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erny\Documents\Work\Models\IMPACTECH\data\input_data\"/>
    </mc:Choice>
  </mc:AlternateContent>
  <bookViews>
    <workbookView xWindow="0" yWindow="0" windowWidth="2160" windowHeight="0" tabRatio="766" firstSheet="16" activeTab="19"/>
  </bookViews>
  <sheets>
    <sheet name="decarb_sources" sheetId="76" r:id="rId1"/>
    <sheet name="decarb_industries" sheetId="69" r:id="rId2"/>
    <sheet name="lifespan_sources" sheetId="53" r:id="rId3"/>
    <sheet name="lifespan" sheetId="54" r:id="rId4"/>
    <sheet name="labcap_sources" sheetId="89" r:id="rId5"/>
    <sheet name="labcap_calc" sheetId="86" r:id="rId6"/>
    <sheet name="opex_sources" sheetId="77" r:id="rId7"/>
    <sheet name="opex_concordance" sheetId="30" r:id="rId8"/>
    <sheet name="opex_orig" sheetId="84" r:id="rId9"/>
    <sheet name="opex_det" sheetId="90" r:id="rId10"/>
    <sheet name="opex_det_2015" sheetId="79" r:id="rId11"/>
    <sheet name="opex_det_2030" sheetId="91" r:id="rId12"/>
    <sheet name="opex_det_2050" sheetId="92" r:id="rId13"/>
    <sheet name="capex_sources" sheetId="55" r:id="rId14"/>
    <sheet name="capex_concordance" sheetId="56" r:id="rId15"/>
    <sheet name="capex_det" sheetId="57" r:id="rId16"/>
    <sheet name="scen_input_electro_hydro" sheetId="97" r:id="rId17"/>
    <sheet name="scen_input_ccs" sheetId="98" r:id="rId18"/>
    <sheet name="scen_input_circular" sheetId="94" r:id="rId19"/>
    <sheet name="scen_input_bau" sheetId="51" r:id="rId20"/>
    <sheet name="cost_projections" sheetId="105" r:id="rId21"/>
    <sheet name="scen_pct_electro_hydro" sheetId="99" r:id="rId22"/>
    <sheet name="scen_pct_ccs" sheetId="100" r:id="rId23"/>
    <sheet name="scen_pct_circular" sheetId="93" r:id="rId24"/>
    <sheet name="scen_pct_bau" sheetId="49" r:id="rId25"/>
    <sheet name="scen_GFCF" sheetId="58" r:id="rId26"/>
    <sheet name="el_capacity" sheetId="64" r:id="rId27"/>
    <sheet name="el_generation" sheetId="65" r:id="rId28"/>
    <sheet name="el_replacements" sheetId="66" r:id="rId29"/>
    <sheet name="scen_electro_hydro" sheetId="101" r:id="rId30"/>
    <sheet name="scen_ccs" sheetId="102" r:id="rId31"/>
    <sheet name="scen_circular" sheetId="95" r:id="rId32"/>
    <sheet name="scen_bau" sheetId="67" r:id="rId33"/>
    <sheet name="fuels_electro_hydro" sheetId="103" r:id="rId34"/>
    <sheet name="fuels_ccs" sheetId="104" r:id="rId35"/>
    <sheet name="fuels_circular" sheetId="96" r:id="rId36"/>
    <sheet name="fuels_bau" sheetId="68"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s>
  <calcPr calcId="162913"/>
</workbook>
</file>

<file path=xl/calcChain.xml><?xml version="1.0" encoding="utf-8"?>
<calcChain xmlns="http://schemas.openxmlformats.org/spreadsheetml/2006/main">
  <c r="H125" i="77" l="1"/>
  <c r="H82" i="77"/>
  <c r="CP175" i="92" l="1"/>
  <c r="CO175" i="92"/>
  <c r="CN175" i="92"/>
  <c r="CM175" i="92"/>
  <c r="CL175" i="92"/>
  <c r="CK175" i="92"/>
  <c r="CJ175" i="92"/>
  <c r="CI175" i="92"/>
  <c r="CH175" i="92"/>
  <c r="CG175" i="92"/>
  <c r="CF175" i="92"/>
  <c r="CP174" i="92"/>
  <c r="CO174" i="92"/>
  <c r="CN174" i="92"/>
  <c r="CM174" i="92"/>
  <c r="CL174" i="92"/>
  <c r="CK174" i="92"/>
  <c r="CJ174" i="92"/>
  <c r="CI174" i="92"/>
  <c r="CH174" i="92"/>
  <c r="CG174" i="92"/>
  <c r="CF174" i="92"/>
  <c r="CP173" i="92"/>
  <c r="CO173" i="92"/>
  <c r="CN173" i="92"/>
  <c r="CM173" i="92"/>
  <c r="CL173" i="92"/>
  <c r="CK173" i="92"/>
  <c r="CJ173" i="92"/>
  <c r="CI173" i="92"/>
  <c r="CH173" i="92"/>
  <c r="CG173" i="92"/>
  <c r="CF173" i="92"/>
  <c r="CB175" i="92"/>
  <c r="CA175" i="92"/>
  <c r="CB174" i="92"/>
  <c r="CA174" i="92"/>
  <c r="CB173" i="92"/>
  <c r="CA173" i="92"/>
  <c r="BY175" i="92"/>
  <c r="BX175" i="92"/>
  <c r="BW175" i="92"/>
  <c r="BV175" i="92"/>
  <c r="BU175" i="92"/>
  <c r="BT175" i="92"/>
  <c r="BS175" i="92"/>
  <c r="BR175" i="92"/>
  <c r="BY174" i="92"/>
  <c r="BX174" i="92"/>
  <c r="BW174" i="92"/>
  <c r="BV174" i="92"/>
  <c r="BU174" i="92"/>
  <c r="BT174" i="92"/>
  <c r="BS174" i="92"/>
  <c r="BR174" i="92"/>
  <c r="BY173" i="92"/>
  <c r="BX173" i="92"/>
  <c r="BW173" i="92"/>
  <c r="BV173" i="92"/>
  <c r="BU173" i="92"/>
  <c r="BT173" i="92"/>
  <c r="BS173" i="92"/>
  <c r="BR173" i="92"/>
  <c r="BO175" i="92"/>
  <c r="BN175" i="92"/>
  <c r="BM175" i="92"/>
  <c r="BL175" i="92"/>
  <c r="BK175" i="92"/>
  <c r="BJ175" i="92"/>
  <c r="BI175" i="92"/>
  <c r="BH175" i="92"/>
  <c r="BG175" i="92"/>
  <c r="BF175" i="92"/>
  <c r="BE175" i="92"/>
  <c r="BD175" i="92"/>
  <c r="BC175" i="92"/>
  <c r="BB175" i="92"/>
  <c r="BA175" i="92"/>
  <c r="AZ175" i="92"/>
  <c r="AY175" i="92"/>
  <c r="BO174" i="92"/>
  <c r="BN174" i="92"/>
  <c r="BM174" i="92"/>
  <c r="BL174" i="92"/>
  <c r="BK174" i="92"/>
  <c r="BJ174" i="92"/>
  <c r="BI174" i="92"/>
  <c r="BH174" i="92"/>
  <c r="BG174" i="92"/>
  <c r="BF174" i="92"/>
  <c r="BE174" i="92"/>
  <c r="BD174" i="92"/>
  <c r="BC174" i="92"/>
  <c r="BB174" i="92"/>
  <c r="BA174" i="92"/>
  <c r="AZ174" i="92"/>
  <c r="AY174" i="92"/>
  <c r="BO173" i="92"/>
  <c r="BN173" i="92"/>
  <c r="BM173" i="92"/>
  <c r="BL173" i="92"/>
  <c r="BK173" i="92"/>
  <c r="BJ173" i="92"/>
  <c r="BI173" i="92"/>
  <c r="BH173" i="92"/>
  <c r="BG173" i="92"/>
  <c r="BF173" i="92"/>
  <c r="BE173" i="92"/>
  <c r="BD173" i="92"/>
  <c r="BC173" i="92"/>
  <c r="BB173" i="92"/>
  <c r="BA173" i="92"/>
  <c r="AZ173" i="92"/>
  <c r="AY173" i="92"/>
  <c r="AT175" i="92"/>
  <c r="AT174" i="92"/>
  <c r="AT173" i="92"/>
  <c r="AO175" i="92"/>
  <c r="AN175" i="92"/>
  <c r="AM175" i="92"/>
  <c r="AL175" i="92"/>
  <c r="AK175" i="92"/>
  <c r="AJ175" i="92"/>
  <c r="AI175" i="92"/>
  <c r="AO174" i="92"/>
  <c r="AN174" i="92"/>
  <c r="AM174" i="92"/>
  <c r="AL174" i="92"/>
  <c r="AK174" i="92"/>
  <c r="AJ174" i="92"/>
  <c r="AI174" i="92"/>
  <c r="AO173" i="92"/>
  <c r="AN173" i="92"/>
  <c r="AM173" i="92"/>
  <c r="AL173" i="92"/>
  <c r="AK173" i="92"/>
  <c r="AJ173" i="92"/>
  <c r="AI173" i="92"/>
  <c r="AA175" i="92"/>
  <c r="Z175" i="92"/>
  <c r="Y175" i="92"/>
  <c r="X175" i="92"/>
  <c r="W175" i="92"/>
  <c r="V175" i="92"/>
  <c r="U175" i="92"/>
  <c r="T175" i="92"/>
  <c r="S175" i="92"/>
  <c r="R175" i="92"/>
  <c r="Q175" i="92"/>
  <c r="P175" i="92"/>
  <c r="O175" i="92"/>
  <c r="N175" i="92"/>
  <c r="M175" i="92"/>
  <c r="L175" i="92"/>
  <c r="K175" i="92"/>
  <c r="J175" i="92"/>
  <c r="I175" i="92"/>
  <c r="H175" i="92"/>
  <c r="G175" i="92"/>
  <c r="F175" i="92"/>
  <c r="E175" i="92"/>
  <c r="D175" i="92"/>
  <c r="AA174" i="92"/>
  <c r="Z174" i="92"/>
  <c r="Y174" i="92"/>
  <c r="X174" i="92"/>
  <c r="W174" i="92"/>
  <c r="V174" i="92"/>
  <c r="U174" i="92"/>
  <c r="T174" i="92"/>
  <c r="S174" i="92"/>
  <c r="R174" i="92"/>
  <c r="Q174" i="92"/>
  <c r="P174" i="92"/>
  <c r="O174" i="92"/>
  <c r="N174" i="92"/>
  <c r="M174" i="92"/>
  <c r="L174" i="92"/>
  <c r="K174" i="92"/>
  <c r="J174" i="92"/>
  <c r="I174" i="92"/>
  <c r="H174" i="92"/>
  <c r="G174" i="92"/>
  <c r="F174" i="92"/>
  <c r="E174" i="92"/>
  <c r="D174" i="92"/>
  <c r="AA173" i="92"/>
  <c r="Z173" i="92"/>
  <c r="Y173" i="92"/>
  <c r="X173" i="92"/>
  <c r="W173" i="92"/>
  <c r="V173" i="92"/>
  <c r="U173" i="92"/>
  <c r="T173" i="92"/>
  <c r="S173" i="92"/>
  <c r="R173" i="92"/>
  <c r="Q173" i="92"/>
  <c r="P173" i="92"/>
  <c r="O173" i="92"/>
  <c r="N173" i="92"/>
  <c r="M173" i="92"/>
  <c r="L173" i="92"/>
  <c r="K173" i="92"/>
  <c r="J173" i="92"/>
  <c r="I173" i="92"/>
  <c r="H173" i="92"/>
  <c r="G173" i="92"/>
  <c r="F173" i="92"/>
  <c r="E173" i="92"/>
  <c r="D173" i="92"/>
  <c r="CP175" i="91"/>
  <c r="CO175" i="91"/>
  <c r="CN175" i="91"/>
  <c r="CM175" i="91"/>
  <c r="CL175" i="91"/>
  <c r="CK175" i="91"/>
  <c r="CJ175" i="91"/>
  <c r="CI175" i="91"/>
  <c r="CH175" i="91"/>
  <c r="CG175" i="91"/>
  <c r="CF175" i="91"/>
  <c r="CP174" i="91"/>
  <c r="CO174" i="91"/>
  <c r="CN174" i="91"/>
  <c r="CM174" i="91"/>
  <c r="CL174" i="91"/>
  <c r="CK174" i="91"/>
  <c r="CJ174" i="91"/>
  <c r="CI174" i="91"/>
  <c r="CH174" i="91"/>
  <c r="CG174" i="91"/>
  <c r="CF174" i="91"/>
  <c r="CP173" i="91"/>
  <c r="CO173" i="91"/>
  <c r="CN173" i="91"/>
  <c r="CM173" i="91"/>
  <c r="CL173" i="91"/>
  <c r="CK173" i="91"/>
  <c r="CJ173" i="91"/>
  <c r="CI173" i="91"/>
  <c r="CH173" i="91"/>
  <c r="CG173" i="91"/>
  <c r="CF173" i="91"/>
  <c r="CB175" i="91"/>
  <c r="CA175" i="91"/>
  <c r="CB174" i="91"/>
  <c r="CA174" i="91"/>
  <c r="CB173" i="91"/>
  <c r="CA173" i="91"/>
  <c r="BY175" i="91"/>
  <c r="BX175" i="91"/>
  <c r="BW175" i="91"/>
  <c r="BV175" i="91"/>
  <c r="BU175" i="91"/>
  <c r="BT175" i="91"/>
  <c r="BS175" i="91"/>
  <c r="BR175" i="91"/>
  <c r="BY174" i="91"/>
  <c r="BX174" i="91"/>
  <c r="BW174" i="91"/>
  <c r="BV174" i="91"/>
  <c r="BU174" i="91"/>
  <c r="BT174" i="91"/>
  <c r="BS174" i="91"/>
  <c r="BR174" i="91"/>
  <c r="BY173" i="91"/>
  <c r="BX173" i="91"/>
  <c r="BW173" i="91"/>
  <c r="BV173" i="91"/>
  <c r="BU173" i="91"/>
  <c r="BT173" i="91"/>
  <c r="BS173" i="91"/>
  <c r="BR173" i="91"/>
  <c r="BO175" i="91"/>
  <c r="BN175" i="91"/>
  <c r="BM175" i="91"/>
  <c r="BL175" i="91"/>
  <c r="BK175" i="91"/>
  <c r="BJ175" i="91"/>
  <c r="BI175" i="91"/>
  <c r="BH175" i="91"/>
  <c r="BG175" i="91"/>
  <c r="BF175" i="91"/>
  <c r="BE175" i="91"/>
  <c r="BD175" i="91"/>
  <c r="BC175" i="91"/>
  <c r="BB175" i="91"/>
  <c r="BA175" i="91"/>
  <c r="AZ175" i="91"/>
  <c r="AY175" i="91"/>
  <c r="BO174" i="91"/>
  <c r="BN174" i="91"/>
  <c r="BM174" i="91"/>
  <c r="BL174" i="91"/>
  <c r="BK174" i="91"/>
  <c r="BJ174" i="91"/>
  <c r="BI174" i="91"/>
  <c r="BH174" i="91"/>
  <c r="BG174" i="91"/>
  <c r="BF174" i="91"/>
  <c r="BE174" i="91"/>
  <c r="BD174" i="91"/>
  <c r="BC174" i="91"/>
  <c r="BB174" i="91"/>
  <c r="BA174" i="91"/>
  <c r="AZ174" i="91"/>
  <c r="AY174" i="91"/>
  <c r="BO173" i="91"/>
  <c r="BN173" i="91"/>
  <c r="BM173" i="91"/>
  <c r="BL173" i="91"/>
  <c r="BK173" i="91"/>
  <c r="BJ173" i="91"/>
  <c r="BI173" i="91"/>
  <c r="BH173" i="91"/>
  <c r="BG173" i="91"/>
  <c r="BF173" i="91"/>
  <c r="BE173" i="91"/>
  <c r="BD173" i="91"/>
  <c r="BC173" i="91"/>
  <c r="BB173" i="91"/>
  <c r="BA173" i="91"/>
  <c r="AZ173" i="91"/>
  <c r="AY173" i="91"/>
  <c r="AT175" i="91"/>
  <c r="AT174" i="91"/>
  <c r="AT173" i="91"/>
  <c r="AO175" i="91"/>
  <c r="AN175" i="91"/>
  <c r="AM175" i="91"/>
  <c r="AL175" i="91"/>
  <c r="AK175" i="91"/>
  <c r="AJ175" i="91"/>
  <c r="AI175" i="91"/>
  <c r="AO174" i="91"/>
  <c r="AN174" i="91"/>
  <c r="AM174" i="91"/>
  <c r="AL174" i="91"/>
  <c r="AK174" i="91"/>
  <c r="AJ174" i="91"/>
  <c r="AI174" i="91"/>
  <c r="AO173" i="91"/>
  <c r="AN173" i="91"/>
  <c r="AM173" i="91"/>
  <c r="AL173" i="91"/>
  <c r="AK173" i="91"/>
  <c r="AJ173" i="91"/>
  <c r="AI173" i="91"/>
  <c r="AA175" i="91"/>
  <c r="Z175" i="91"/>
  <c r="Y175" i="91"/>
  <c r="X175" i="91"/>
  <c r="W175" i="91"/>
  <c r="V175" i="91"/>
  <c r="U175" i="91"/>
  <c r="T175" i="91"/>
  <c r="S175" i="91"/>
  <c r="R175" i="91"/>
  <c r="Q175" i="91"/>
  <c r="P175" i="91"/>
  <c r="O175" i="91"/>
  <c r="N175" i="91"/>
  <c r="M175" i="91"/>
  <c r="L175" i="91"/>
  <c r="K175" i="91"/>
  <c r="J175" i="91"/>
  <c r="I175" i="91"/>
  <c r="H175" i="91"/>
  <c r="G175" i="91"/>
  <c r="F175" i="91"/>
  <c r="E175" i="91"/>
  <c r="D175" i="91"/>
  <c r="AA174" i="91"/>
  <c r="Z174" i="91"/>
  <c r="Y174" i="91"/>
  <c r="X174" i="91"/>
  <c r="W174" i="91"/>
  <c r="V174" i="91"/>
  <c r="U174" i="91"/>
  <c r="T174" i="91"/>
  <c r="S174" i="91"/>
  <c r="R174" i="91"/>
  <c r="Q174" i="91"/>
  <c r="P174" i="91"/>
  <c r="O174" i="91"/>
  <c r="N174" i="91"/>
  <c r="M174" i="91"/>
  <c r="L174" i="91"/>
  <c r="K174" i="91"/>
  <c r="J174" i="91"/>
  <c r="I174" i="91"/>
  <c r="H174" i="91"/>
  <c r="G174" i="91"/>
  <c r="F174" i="91"/>
  <c r="E174" i="91"/>
  <c r="D174" i="91"/>
  <c r="AA173" i="91"/>
  <c r="Z173" i="91"/>
  <c r="Y173" i="91"/>
  <c r="X173" i="91"/>
  <c r="W173" i="91"/>
  <c r="V173" i="91"/>
  <c r="U173" i="91"/>
  <c r="T173" i="91"/>
  <c r="S173" i="91"/>
  <c r="R173" i="91"/>
  <c r="Q173" i="91"/>
  <c r="P173" i="91"/>
  <c r="O173" i="91"/>
  <c r="N173" i="91"/>
  <c r="M173" i="91"/>
  <c r="L173" i="91"/>
  <c r="K173" i="91"/>
  <c r="J173" i="91"/>
  <c r="I173" i="91"/>
  <c r="H173" i="91"/>
  <c r="G173" i="91"/>
  <c r="F173" i="91"/>
  <c r="E173" i="91"/>
  <c r="D173" i="91"/>
  <c r="CP181" i="79"/>
  <c r="CO181" i="79"/>
  <c r="CN181" i="79"/>
  <c r="CM181" i="79"/>
  <c r="CL181" i="79"/>
  <c r="CK181" i="79"/>
  <c r="CJ181" i="79"/>
  <c r="CI181" i="79"/>
  <c r="CP180" i="79"/>
  <c r="CO180" i="79"/>
  <c r="CN180" i="79"/>
  <c r="CM180" i="79"/>
  <c r="CL180" i="79"/>
  <c r="CK180" i="79"/>
  <c r="CJ180" i="79"/>
  <c r="CI180" i="79"/>
  <c r="CP179" i="79"/>
  <c r="CO179" i="79"/>
  <c r="CN179" i="79"/>
  <c r="CM179" i="79"/>
  <c r="CL179" i="79"/>
  <c r="CK179" i="79"/>
  <c r="CJ179" i="79"/>
  <c r="CI179" i="79"/>
  <c r="CP178" i="79"/>
  <c r="CO178" i="79"/>
  <c r="CN178" i="79"/>
  <c r="CM178" i="79"/>
  <c r="CL178" i="79"/>
  <c r="CK178" i="79"/>
  <c r="CJ178" i="79"/>
  <c r="CI178" i="79"/>
  <c r="CP177" i="79"/>
  <c r="CO177" i="79"/>
  <c r="CN177" i="79"/>
  <c r="CM177" i="79"/>
  <c r="CL177" i="79"/>
  <c r="CK177" i="79"/>
  <c r="CJ177" i="79"/>
  <c r="CI177" i="79"/>
  <c r="CP176" i="79"/>
  <c r="CO176" i="79"/>
  <c r="CN176" i="79"/>
  <c r="CM176" i="79"/>
  <c r="CL176" i="79"/>
  <c r="CK176" i="79"/>
  <c r="CJ176" i="79"/>
  <c r="CI176" i="79"/>
  <c r="BU176" i="79"/>
  <c r="CI170" i="79"/>
  <c r="CJ170" i="79"/>
  <c r="CK170" i="79"/>
  <c r="CL170" i="79"/>
  <c r="CM170" i="79"/>
  <c r="CN170" i="79"/>
  <c r="CO170" i="79"/>
  <c r="CP170" i="79"/>
  <c r="CI171" i="79"/>
  <c r="CJ171" i="79"/>
  <c r="CK171" i="79"/>
  <c r="CL171" i="79"/>
  <c r="CM171" i="79"/>
  <c r="CN171" i="79"/>
  <c r="CO171" i="79"/>
  <c r="CP171" i="79"/>
  <c r="CI172" i="79"/>
  <c r="CJ172" i="79"/>
  <c r="CK172" i="79"/>
  <c r="CL172" i="79"/>
  <c r="CM172" i="79"/>
  <c r="CN172" i="79"/>
  <c r="CO172" i="79"/>
  <c r="CP172" i="79"/>
  <c r="CP169" i="79"/>
  <c r="CO169" i="79"/>
  <c r="CN169" i="79"/>
  <c r="CM169" i="79"/>
  <c r="CL169" i="79"/>
  <c r="CK169" i="79"/>
  <c r="CJ169" i="79"/>
  <c r="CI169" i="79"/>
  <c r="CH169" i="79"/>
  <c r="CF170" i="79"/>
  <c r="CG170" i="79"/>
  <c r="CH170" i="79"/>
  <c r="CF171" i="79"/>
  <c r="CG171" i="79"/>
  <c r="CH171" i="79"/>
  <c r="CF172" i="79"/>
  <c r="CG172" i="79"/>
  <c r="CH172" i="79"/>
  <c r="CG169" i="79"/>
  <c r="CF169" i="79"/>
  <c r="CE169" i="79"/>
  <c r="CF177" i="79"/>
  <c r="CG177" i="79"/>
  <c r="CH177" i="79"/>
  <c r="CF178" i="79"/>
  <c r="CG178" i="79"/>
  <c r="CH178" i="79"/>
  <c r="CF179" i="79"/>
  <c r="CG179" i="79"/>
  <c r="CH179" i="79"/>
  <c r="CF180" i="79"/>
  <c r="CG180" i="79"/>
  <c r="CH180" i="79"/>
  <c r="CF181" i="79"/>
  <c r="CG181" i="79"/>
  <c r="CH181" i="79"/>
  <c r="CH176" i="79"/>
  <c r="CG176" i="79"/>
  <c r="CF176" i="79"/>
  <c r="CE176" i="79"/>
  <c r="CA170" i="79"/>
  <c r="CB170" i="79"/>
  <c r="CA171" i="79"/>
  <c r="CB171" i="79"/>
  <c r="CA172" i="79"/>
  <c r="CB172" i="79"/>
  <c r="CA177" i="79"/>
  <c r="CB177" i="79"/>
  <c r="CA178" i="79"/>
  <c r="CB178" i="79"/>
  <c r="CA179" i="79"/>
  <c r="CB179" i="79"/>
  <c r="CA180" i="79"/>
  <c r="CB180" i="79"/>
  <c r="CA181" i="79"/>
  <c r="CB181" i="79"/>
  <c r="CB176" i="79"/>
  <c r="CA176" i="79"/>
  <c r="CB169" i="79"/>
  <c r="CA169" i="79"/>
  <c r="BR177" i="79"/>
  <c r="BS177" i="79"/>
  <c r="BT177" i="79"/>
  <c r="BU177" i="79"/>
  <c r="BV177" i="79"/>
  <c r="BW177" i="79"/>
  <c r="BX177" i="79"/>
  <c r="BY177" i="79"/>
  <c r="BR178" i="79"/>
  <c r="BS178" i="79"/>
  <c r="BT178" i="79"/>
  <c r="BU178" i="79"/>
  <c r="BV178" i="79"/>
  <c r="BW178" i="79"/>
  <c r="BX178" i="79"/>
  <c r="BY178" i="79"/>
  <c r="BR179" i="79"/>
  <c r="BS179" i="79"/>
  <c r="BT179" i="79"/>
  <c r="BU179" i="79"/>
  <c r="BV179" i="79"/>
  <c r="BW179" i="79"/>
  <c r="BX179" i="79"/>
  <c r="BY179" i="79"/>
  <c r="BR180" i="79"/>
  <c r="BS180" i="79"/>
  <c r="BT180" i="79"/>
  <c r="BU180" i="79"/>
  <c r="BV180" i="79"/>
  <c r="BW180" i="79"/>
  <c r="BX180" i="79"/>
  <c r="BY180" i="79"/>
  <c r="BR181" i="79"/>
  <c r="BS181" i="79"/>
  <c r="BT181" i="79"/>
  <c r="BU181" i="79"/>
  <c r="BV181" i="79"/>
  <c r="BW181" i="79"/>
  <c r="BX181" i="79"/>
  <c r="BY181" i="79"/>
  <c r="BV170" i="79"/>
  <c r="BW170" i="79"/>
  <c r="BX170" i="79"/>
  <c r="BY170" i="79"/>
  <c r="BV171" i="79"/>
  <c r="BW171" i="79"/>
  <c r="BX171" i="79"/>
  <c r="BY171" i="79"/>
  <c r="BV172" i="79"/>
  <c r="BW172" i="79"/>
  <c r="BX172" i="79"/>
  <c r="BY172" i="79"/>
  <c r="BY169" i="79"/>
  <c r="BX169" i="79"/>
  <c r="BW169" i="79"/>
  <c r="BV169" i="79"/>
  <c r="BY176" i="79"/>
  <c r="BX176" i="79"/>
  <c r="BW176" i="79"/>
  <c r="BV176" i="79"/>
  <c r="BT176" i="79"/>
  <c r="BS176" i="79"/>
  <c r="BR176" i="79"/>
  <c r="BO176" i="79"/>
  <c r="BR170" i="79"/>
  <c r="BS170" i="79"/>
  <c r="BT170" i="79"/>
  <c r="BU170" i="79"/>
  <c r="BR171" i="79"/>
  <c r="BS171" i="79"/>
  <c r="BT171" i="79"/>
  <c r="BU171" i="79"/>
  <c r="BR172" i="79"/>
  <c r="BS172" i="79"/>
  <c r="BT172" i="79"/>
  <c r="BU172" i="79"/>
  <c r="BU169" i="79"/>
  <c r="BT169" i="79"/>
  <c r="BS169" i="79"/>
  <c r="BR169" i="79"/>
  <c r="BO169" i="79"/>
  <c r="AY177" i="79"/>
  <c r="AZ177" i="79"/>
  <c r="BA177" i="79"/>
  <c r="BB177" i="79"/>
  <c r="BC177" i="79"/>
  <c r="BD177" i="79"/>
  <c r="BE177" i="79"/>
  <c r="BF177" i="79"/>
  <c r="BG177" i="79"/>
  <c r="BH177" i="79"/>
  <c r="BI177" i="79"/>
  <c r="BJ177" i="79"/>
  <c r="BK177" i="79"/>
  <c r="BL177" i="79"/>
  <c r="BM177" i="79"/>
  <c r="BN177" i="79"/>
  <c r="BO177" i="79"/>
  <c r="AY178" i="79"/>
  <c r="AZ178" i="79"/>
  <c r="BA178" i="79"/>
  <c r="BB178" i="79"/>
  <c r="BC178" i="79"/>
  <c r="BD178" i="79"/>
  <c r="BE178" i="79"/>
  <c r="BF178" i="79"/>
  <c r="BG178" i="79"/>
  <c r="BH178" i="79"/>
  <c r="BI178" i="79"/>
  <c r="BJ178" i="79"/>
  <c r="BK178" i="79"/>
  <c r="BL178" i="79"/>
  <c r="BM178" i="79"/>
  <c r="BN178" i="79"/>
  <c r="BO178" i="79"/>
  <c r="AY179" i="79"/>
  <c r="AZ179" i="79"/>
  <c r="BA179" i="79"/>
  <c r="BB179" i="79"/>
  <c r="BC179" i="79"/>
  <c r="BD179" i="79"/>
  <c r="BE179" i="79"/>
  <c r="BF179" i="79"/>
  <c r="BG179" i="79"/>
  <c r="BH179" i="79"/>
  <c r="BI179" i="79"/>
  <c r="BJ179" i="79"/>
  <c r="BK179" i="79"/>
  <c r="BL179" i="79"/>
  <c r="BM179" i="79"/>
  <c r="BN179" i="79"/>
  <c r="BO179" i="79"/>
  <c r="AY180" i="79"/>
  <c r="AZ180" i="79"/>
  <c r="BA180" i="79"/>
  <c r="BB180" i="79"/>
  <c r="BC180" i="79"/>
  <c r="BD180" i="79"/>
  <c r="BE180" i="79"/>
  <c r="BF180" i="79"/>
  <c r="BG180" i="79"/>
  <c r="BH180" i="79"/>
  <c r="BI180" i="79"/>
  <c r="BJ180" i="79"/>
  <c r="BK180" i="79"/>
  <c r="BL180" i="79"/>
  <c r="BM180" i="79"/>
  <c r="BN180" i="79"/>
  <c r="BO180" i="79"/>
  <c r="AY181" i="79"/>
  <c r="AZ181" i="79"/>
  <c r="BA181" i="79"/>
  <c r="BB181" i="79"/>
  <c r="BC181" i="79"/>
  <c r="BD181" i="79"/>
  <c r="BE181" i="79"/>
  <c r="BF181" i="79"/>
  <c r="BG181" i="79"/>
  <c r="BH181" i="79"/>
  <c r="BI181" i="79"/>
  <c r="BJ181" i="79"/>
  <c r="BK181" i="79"/>
  <c r="BL181" i="79"/>
  <c r="BM181" i="79"/>
  <c r="BN181" i="79"/>
  <c r="BO181" i="79"/>
  <c r="BN176" i="79"/>
  <c r="BM176" i="79"/>
  <c r="BL176" i="79"/>
  <c r="BK176" i="79"/>
  <c r="BJ176" i="79"/>
  <c r="BI176" i="79"/>
  <c r="BH176" i="79"/>
  <c r="BG176" i="79"/>
  <c r="BF176" i="79"/>
  <c r="BE176" i="79"/>
  <c r="BD176" i="79"/>
  <c r="BC176" i="79"/>
  <c r="BB176" i="79"/>
  <c r="BA176" i="79"/>
  <c r="AZ176" i="79"/>
  <c r="AY176" i="79"/>
  <c r="AT176" i="79"/>
  <c r="AY170" i="79"/>
  <c r="AZ170" i="79"/>
  <c r="BA170" i="79"/>
  <c r="BB170" i="79"/>
  <c r="BC170" i="79"/>
  <c r="BD170" i="79"/>
  <c r="BE170" i="79"/>
  <c r="BF170" i="79"/>
  <c r="BG170" i="79"/>
  <c r="BH170" i="79"/>
  <c r="BI170" i="79"/>
  <c r="BJ170" i="79"/>
  <c r="BK170" i="79"/>
  <c r="BL170" i="79"/>
  <c r="BM170" i="79"/>
  <c r="BN170" i="79"/>
  <c r="BO170" i="79"/>
  <c r="AY171" i="79"/>
  <c r="AZ171" i="79"/>
  <c r="BA171" i="79"/>
  <c r="BB171" i="79"/>
  <c r="BC171" i="79"/>
  <c r="BD171" i="79"/>
  <c r="BE171" i="79"/>
  <c r="BF171" i="79"/>
  <c r="BG171" i="79"/>
  <c r="BH171" i="79"/>
  <c r="BI171" i="79"/>
  <c r="BJ171" i="79"/>
  <c r="BK171" i="79"/>
  <c r="BL171" i="79"/>
  <c r="BM171" i="79"/>
  <c r="BN171" i="79"/>
  <c r="BO171" i="79"/>
  <c r="AY172" i="79"/>
  <c r="AZ172" i="79"/>
  <c r="BA172" i="79"/>
  <c r="BB172" i="79"/>
  <c r="BC172" i="79"/>
  <c r="BD172" i="79"/>
  <c r="BE172" i="79"/>
  <c r="BF172" i="79"/>
  <c r="BG172" i="79"/>
  <c r="BH172" i="79"/>
  <c r="BI172" i="79"/>
  <c r="BJ172" i="79"/>
  <c r="BK172" i="79"/>
  <c r="BL172" i="79"/>
  <c r="BM172" i="79"/>
  <c r="BN172" i="79"/>
  <c r="BO172" i="79"/>
  <c r="BN169" i="79"/>
  <c r="BM169" i="79"/>
  <c r="BL169" i="79"/>
  <c r="BK169" i="79"/>
  <c r="BJ169" i="79"/>
  <c r="BI169" i="79"/>
  <c r="BH169" i="79"/>
  <c r="BG169" i="79"/>
  <c r="BF169" i="79"/>
  <c r="BE169" i="79"/>
  <c r="BD169" i="79"/>
  <c r="BC169" i="79"/>
  <c r="BB169" i="79"/>
  <c r="BA169" i="79"/>
  <c r="AZ169" i="79"/>
  <c r="AY169" i="79"/>
  <c r="AT169" i="79"/>
  <c r="AT170" i="79"/>
  <c r="AT171" i="79"/>
  <c r="AT172" i="79"/>
  <c r="AO169" i="79"/>
  <c r="AT177" i="79"/>
  <c r="AT178" i="79"/>
  <c r="AT179" i="79"/>
  <c r="AT180" i="79"/>
  <c r="AT181" i="79"/>
  <c r="AI177" i="79"/>
  <c r="AJ177" i="79"/>
  <c r="AK177" i="79"/>
  <c r="AL177" i="79"/>
  <c r="AM177" i="79"/>
  <c r="AN177" i="79"/>
  <c r="AO177" i="79"/>
  <c r="AI178" i="79"/>
  <c r="AJ178" i="79"/>
  <c r="AK178" i="79"/>
  <c r="AL178" i="79"/>
  <c r="AM178" i="79"/>
  <c r="AN178" i="79"/>
  <c r="AO178" i="79"/>
  <c r="AI179" i="79"/>
  <c r="AJ179" i="79"/>
  <c r="AK179" i="79"/>
  <c r="AL179" i="79"/>
  <c r="AM179" i="79"/>
  <c r="AN179" i="79"/>
  <c r="AO179" i="79"/>
  <c r="AI180" i="79"/>
  <c r="AJ180" i="79"/>
  <c r="AK180" i="79"/>
  <c r="AL180" i="79"/>
  <c r="AM180" i="79"/>
  <c r="AN180" i="79"/>
  <c r="AO180" i="79"/>
  <c r="AI181" i="79"/>
  <c r="AJ181" i="79"/>
  <c r="AK181" i="79"/>
  <c r="AL181" i="79"/>
  <c r="AM181" i="79"/>
  <c r="AN181" i="79"/>
  <c r="AO181" i="79"/>
  <c r="AO176" i="79"/>
  <c r="AN176" i="79"/>
  <c r="AM176" i="79"/>
  <c r="AL176" i="79"/>
  <c r="AK176" i="79"/>
  <c r="AJ176" i="79"/>
  <c r="AI176" i="79"/>
  <c r="AA176" i="79"/>
  <c r="AI170" i="79"/>
  <c r="AJ170" i="79"/>
  <c r="AK170" i="79"/>
  <c r="AL170" i="79"/>
  <c r="AM170" i="79"/>
  <c r="AN170" i="79"/>
  <c r="AO170" i="79"/>
  <c r="AI171" i="79"/>
  <c r="AJ171" i="79"/>
  <c r="AK171" i="79"/>
  <c r="AL171" i="79"/>
  <c r="AM171" i="79"/>
  <c r="AN171" i="79"/>
  <c r="AO171" i="79"/>
  <c r="AI172" i="79"/>
  <c r="AJ172" i="79"/>
  <c r="AK172" i="79"/>
  <c r="AL172" i="79"/>
  <c r="AM172" i="79"/>
  <c r="AN172" i="79"/>
  <c r="AO172" i="79"/>
  <c r="AN169" i="79"/>
  <c r="AM169" i="79"/>
  <c r="AL169" i="79"/>
  <c r="AK169" i="79"/>
  <c r="AJ169" i="79"/>
  <c r="AI169" i="79"/>
  <c r="AA169" i="79"/>
  <c r="E177" i="79"/>
  <c r="F177" i="79"/>
  <c r="G177" i="79"/>
  <c r="H177" i="79"/>
  <c r="I177" i="79"/>
  <c r="J177" i="79"/>
  <c r="K177" i="79"/>
  <c r="L177" i="79"/>
  <c r="M177" i="79"/>
  <c r="N177" i="79"/>
  <c r="O177" i="79"/>
  <c r="P177" i="79"/>
  <c r="Q177" i="79"/>
  <c r="R177" i="79"/>
  <c r="S177" i="79"/>
  <c r="T177" i="79"/>
  <c r="U177" i="79"/>
  <c r="V177" i="79"/>
  <c r="W177" i="79"/>
  <c r="X177" i="79"/>
  <c r="Y177" i="79"/>
  <c r="Z177" i="79"/>
  <c r="AA177" i="79"/>
  <c r="E178" i="79"/>
  <c r="F178" i="79"/>
  <c r="G178" i="79"/>
  <c r="H178" i="79"/>
  <c r="I178" i="79"/>
  <c r="J178" i="79"/>
  <c r="K178" i="79"/>
  <c r="L178" i="79"/>
  <c r="M178" i="79"/>
  <c r="N178" i="79"/>
  <c r="O178" i="79"/>
  <c r="P178" i="79"/>
  <c r="Q178" i="79"/>
  <c r="R178" i="79"/>
  <c r="S178" i="79"/>
  <c r="T178" i="79"/>
  <c r="U178" i="79"/>
  <c r="V178" i="79"/>
  <c r="W178" i="79"/>
  <c r="X178" i="79"/>
  <c r="Y178" i="79"/>
  <c r="Z178" i="79"/>
  <c r="AA178" i="79"/>
  <c r="E179" i="79"/>
  <c r="F179" i="79"/>
  <c r="G179" i="79"/>
  <c r="H179" i="79"/>
  <c r="I179" i="79"/>
  <c r="J179" i="79"/>
  <c r="K179" i="79"/>
  <c r="L179" i="79"/>
  <c r="M179" i="79"/>
  <c r="N179" i="79"/>
  <c r="O179" i="79"/>
  <c r="P179" i="79"/>
  <c r="Q179" i="79"/>
  <c r="R179" i="79"/>
  <c r="S179" i="79"/>
  <c r="T179" i="79"/>
  <c r="U179" i="79"/>
  <c r="V179" i="79"/>
  <c r="W179" i="79"/>
  <c r="X179" i="79"/>
  <c r="Y179" i="79"/>
  <c r="Z179" i="79"/>
  <c r="AA179" i="79"/>
  <c r="E180" i="79"/>
  <c r="F180" i="79"/>
  <c r="G180" i="79"/>
  <c r="H180" i="79"/>
  <c r="I180" i="79"/>
  <c r="J180" i="79"/>
  <c r="K180" i="79"/>
  <c r="L180" i="79"/>
  <c r="M180" i="79"/>
  <c r="N180" i="79"/>
  <c r="O180" i="79"/>
  <c r="P180" i="79"/>
  <c r="Q180" i="79"/>
  <c r="R180" i="79"/>
  <c r="S180" i="79"/>
  <c r="T180" i="79"/>
  <c r="U180" i="79"/>
  <c r="V180" i="79"/>
  <c r="W180" i="79"/>
  <c r="X180" i="79"/>
  <c r="Y180" i="79"/>
  <c r="Z180" i="79"/>
  <c r="AA180" i="79"/>
  <c r="E181" i="79"/>
  <c r="F181" i="79"/>
  <c r="G181" i="79"/>
  <c r="H181" i="79"/>
  <c r="I181" i="79"/>
  <c r="J181" i="79"/>
  <c r="K181" i="79"/>
  <c r="L181" i="79"/>
  <c r="M181" i="79"/>
  <c r="N181" i="79"/>
  <c r="O181" i="79"/>
  <c r="P181" i="79"/>
  <c r="Q181" i="79"/>
  <c r="R181" i="79"/>
  <c r="S181" i="79"/>
  <c r="T181" i="79"/>
  <c r="U181" i="79"/>
  <c r="V181" i="79"/>
  <c r="W181" i="79"/>
  <c r="X181" i="79"/>
  <c r="Y181" i="79"/>
  <c r="Z181" i="79"/>
  <c r="AA181" i="79"/>
  <c r="Z176" i="79"/>
  <c r="Y176" i="79"/>
  <c r="X176" i="79"/>
  <c r="W176" i="79"/>
  <c r="V176" i="79"/>
  <c r="U176" i="79"/>
  <c r="T176" i="79"/>
  <c r="S176" i="79"/>
  <c r="R176" i="79"/>
  <c r="Q176" i="79"/>
  <c r="P176" i="79"/>
  <c r="O176" i="79"/>
  <c r="N176" i="79"/>
  <c r="M176" i="79"/>
  <c r="L176" i="79"/>
  <c r="K176" i="79"/>
  <c r="J176" i="79"/>
  <c r="I176" i="79"/>
  <c r="H176" i="79"/>
  <c r="G176" i="79"/>
  <c r="F176" i="79"/>
  <c r="E176" i="79"/>
  <c r="E170" i="79"/>
  <c r="F170" i="79"/>
  <c r="G170" i="79"/>
  <c r="H170" i="79"/>
  <c r="I170" i="79"/>
  <c r="J170" i="79"/>
  <c r="K170" i="79"/>
  <c r="L170" i="79"/>
  <c r="M170" i="79"/>
  <c r="N170" i="79"/>
  <c r="O170" i="79"/>
  <c r="P170" i="79"/>
  <c r="Q170" i="79"/>
  <c r="R170" i="79"/>
  <c r="S170" i="79"/>
  <c r="T170" i="79"/>
  <c r="U170" i="79"/>
  <c r="V170" i="79"/>
  <c r="W170" i="79"/>
  <c r="X170" i="79"/>
  <c r="Y170" i="79"/>
  <c r="Z170" i="79"/>
  <c r="AA170" i="79"/>
  <c r="E171" i="79"/>
  <c r="F171" i="79"/>
  <c r="G171" i="79"/>
  <c r="H171" i="79"/>
  <c r="I171" i="79"/>
  <c r="J171" i="79"/>
  <c r="K171" i="79"/>
  <c r="L171" i="79"/>
  <c r="M171" i="79"/>
  <c r="N171" i="79"/>
  <c r="O171" i="79"/>
  <c r="P171" i="79"/>
  <c r="Q171" i="79"/>
  <c r="R171" i="79"/>
  <c r="S171" i="79"/>
  <c r="T171" i="79"/>
  <c r="U171" i="79"/>
  <c r="V171" i="79"/>
  <c r="W171" i="79"/>
  <c r="X171" i="79"/>
  <c r="Y171" i="79"/>
  <c r="Z171" i="79"/>
  <c r="AA171" i="79"/>
  <c r="E172" i="79"/>
  <c r="F172" i="79"/>
  <c r="G172" i="79"/>
  <c r="H172" i="79"/>
  <c r="I172" i="79"/>
  <c r="J172" i="79"/>
  <c r="K172" i="79"/>
  <c r="L172" i="79"/>
  <c r="M172" i="79"/>
  <c r="N172" i="79"/>
  <c r="O172" i="79"/>
  <c r="P172" i="79"/>
  <c r="Q172" i="79"/>
  <c r="R172" i="79"/>
  <c r="S172" i="79"/>
  <c r="T172" i="79"/>
  <c r="U172" i="79"/>
  <c r="V172" i="79"/>
  <c r="W172" i="79"/>
  <c r="X172" i="79"/>
  <c r="Y172" i="79"/>
  <c r="Z172" i="79"/>
  <c r="AA172" i="79"/>
  <c r="Z169" i="79"/>
  <c r="Y169" i="79"/>
  <c r="X169" i="79"/>
  <c r="W169" i="79"/>
  <c r="V169" i="79"/>
  <c r="U169" i="79"/>
  <c r="T169" i="79"/>
  <c r="S169" i="79"/>
  <c r="R169" i="79"/>
  <c r="Q169" i="79"/>
  <c r="P169" i="79"/>
  <c r="O169" i="79"/>
  <c r="N169" i="79"/>
  <c r="M169" i="79"/>
  <c r="L169" i="79"/>
  <c r="K169" i="79"/>
  <c r="J169" i="79"/>
  <c r="I169" i="79"/>
  <c r="H169" i="79"/>
  <c r="G169" i="79"/>
  <c r="F169" i="79"/>
  <c r="E169" i="79"/>
  <c r="D170" i="79"/>
  <c r="D171" i="79"/>
  <c r="D172" i="79"/>
  <c r="D169" i="79"/>
  <c r="D177" i="79"/>
  <c r="D178" i="79"/>
  <c r="D179" i="79"/>
  <c r="D180" i="79"/>
  <c r="D181" i="79"/>
  <c r="D176" i="79"/>
  <c r="F144" i="86"/>
  <c r="H144" i="86" s="1"/>
  <c r="F143" i="86"/>
  <c r="F142" i="86"/>
  <c r="F141" i="86"/>
  <c r="F140" i="86"/>
  <c r="F139" i="86"/>
  <c r="F137" i="86"/>
  <c r="F136" i="86"/>
  <c r="H136" i="86" s="1"/>
  <c r="F135" i="86"/>
  <c r="F134" i="86"/>
  <c r="F133" i="86"/>
  <c r="H133" i="86" s="1"/>
  <c r="F132" i="86"/>
  <c r="H132" i="86" s="1"/>
  <c r="F131" i="86"/>
  <c r="F130" i="86"/>
  <c r="F129" i="86"/>
  <c r="F128" i="86"/>
  <c r="H128" i="86" s="1"/>
  <c r="F126" i="86"/>
  <c r="F125" i="86"/>
  <c r="F124" i="86"/>
  <c r="H124" i="86" s="1"/>
  <c r="F123" i="86"/>
  <c r="F127" i="86" s="1"/>
  <c r="F122" i="86"/>
  <c r="H122" i="86" s="1"/>
  <c r="F121" i="86"/>
  <c r="F120" i="86"/>
  <c r="F119" i="86"/>
  <c r="F118" i="86"/>
  <c r="F117" i="86"/>
  <c r="F115" i="86"/>
  <c r="F114" i="86"/>
  <c r="H114" i="86" s="1"/>
  <c r="F113" i="86"/>
  <c r="F112" i="86"/>
  <c r="F78" i="86"/>
  <c r="F77" i="86"/>
  <c r="F76" i="86"/>
  <c r="F75" i="86"/>
  <c r="F74" i="86"/>
  <c r="F73" i="86"/>
  <c r="H73" i="86" s="1"/>
  <c r="F71" i="86"/>
  <c r="H71" i="86" s="1"/>
  <c r="F70" i="86"/>
  <c r="F69" i="86"/>
  <c r="F68" i="86"/>
  <c r="H68" i="86" s="1"/>
  <c r="F67" i="86"/>
  <c r="F66" i="86"/>
  <c r="F65" i="86"/>
  <c r="F64" i="86"/>
  <c r="F63" i="86"/>
  <c r="F62" i="86"/>
  <c r="H62" i="86" s="1"/>
  <c r="F60" i="86"/>
  <c r="F59" i="86"/>
  <c r="F58" i="86"/>
  <c r="F57" i="86"/>
  <c r="F61" i="86" s="1"/>
  <c r="F45" i="86"/>
  <c r="F44" i="86"/>
  <c r="F43" i="86"/>
  <c r="F42" i="86"/>
  <c r="F41" i="86"/>
  <c r="F40" i="86"/>
  <c r="F38" i="86"/>
  <c r="F37" i="86"/>
  <c r="F36" i="86"/>
  <c r="F35" i="86"/>
  <c r="F34" i="86"/>
  <c r="F33" i="86"/>
  <c r="F32" i="86"/>
  <c r="F31" i="86"/>
  <c r="F30" i="86"/>
  <c r="F29" i="86"/>
  <c r="F27" i="86"/>
  <c r="F26" i="86"/>
  <c r="H26" i="86" s="1"/>
  <c r="F25" i="86"/>
  <c r="F24" i="86"/>
  <c r="F23" i="86"/>
  <c r="F22" i="86"/>
  <c r="F21" i="86"/>
  <c r="F20" i="86"/>
  <c r="F19" i="86"/>
  <c r="F18" i="86"/>
  <c r="F16" i="86"/>
  <c r="F15" i="86"/>
  <c r="F14" i="86"/>
  <c r="F13" i="86"/>
  <c r="F12" i="86"/>
  <c r="H12" i="86" s="1"/>
  <c r="F11" i="86"/>
  <c r="F10" i="86"/>
  <c r="F9" i="86"/>
  <c r="H9" i="86" s="1"/>
  <c r="F8" i="86"/>
  <c r="F7" i="86"/>
  <c r="F5" i="86"/>
  <c r="F4" i="86"/>
  <c r="F3" i="86"/>
  <c r="F2" i="86"/>
  <c r="G144" i="86"/>
  <c r="G143" i="86"/>
  <c r="H143" i="86"/>
  <c r="G142" i="86"/>
  <c r="H142" i="86"/>
  <c r="H141" i="86"/>
  <c r="G141" i="86"/>
  <c r="G140" i="86"/>
  <c r="H139" i="86"/>
  <c r="G139" i="86"/>
  <c r="M137" i="86"/>
  <c r="J137" i="86"/>
  <c r="G137" i="86"/>
  <c r="G136" i="86"/>
  <c r="G135" i="86"/>
  <c r="H135" i="86"/>
  <c r="G134" i="86"/>
  <c r="H134" i="86" s="1"/>
  <c r="G133" i="86"/>
  <c r="G132" i="86"/>
  <c r="G131" i="86"/>
  <c r="H131" i="86"/>
  <c r="G130" i="86"/>
  <c r="H130" i="86"/>
  <c r="G129" i="86"/>
  <c r="H129" i="86"/>
  <c r="G128" i="86"/>
  <c r="M126" i="86"/>
  <c r="J126" i="86"/>
  <c r="G126" i="86"/>
  <c r="H126" i="86"/>
  <c r="G125" i="86"/>
  <c r="G124" i="86"/>
  <c r="G123" i="86"/>
  <c r="H123" i="86" s="1"/>
  <c r="G122" i="86"/>
  <c r="G121" i="86"/>
  <c r="G120" i="86"/>
  <c r="H120" i="86"/>
  <c r="G119" i="86"/>
  <c r="H119" i="86"/>
  <c r="G118" i="86"/>
  <c r="H118" i="86" s="1"/>
  <c r="H117" i="86"/>
  <c r="G117" i="86"/>
  <c r="M115" i="86"/>
  <c r="J115" i="86"/>
  <c r="H115" i="86"/>
  <c r="G115" i="86"/>
  <c r="G114" i="86"/>
  <c r="H113" i="86"/>
  <c r="G113" i="86"/>
  <c r="G112" i="86"/>
  <c r="G78" i="86"/>
  <c r="H78" i="86"/>
  <c r="G77" i="86"/>
  <c r="H77" i="86"/>
  <c r="G76" i="86"/>
  <c r="H76" i="86"/>
  <c r="G75" i="86"/>
  <c r="H75" i="86"/>
  <c r="G74" i="86"/>
  <c r="H74" i="86"/>
  <c r="G73" i="86"/>
  <c r="M71" i="86"/>
  <c r="J71" i="86"/>
  <c r="G71" i="86"/>
  <c r="G70" i="86"/>
  <c r="H70" i="86" s="1"/>
  <c r="G69" i="86"/>
  <c r="H69" i="86"/>
  <c r="G68" i="86"/>
  <c r="G67" i="86"/>
  <c r="H67" i="86"/>
  <c r="G66" i="86"/>
  <c r="G65" i="86"/>
  <c r="H65" i="86"/>
  <c r="H64" i="86"/>
  <c r="G64" i="86"/>
  <c r="G63" i="86"/>
  <c r="H63" i="86" s="1"/>
  <c r="G62" i="86"/>
  <c r="M60" i="86"/>
  <c r="J60" i="86"/>
  <c r="G60" i="86"/>
  <c r="G59" i="86"/>
  <c r="H59" i="86"/>
  <c r="G58" i="86"/>
  <c r="H58" i="86"/>
  <c r="H57" i="86"/>
  <c r="G57" i="86"/>
  <c r="G45" i="86"/>
  <c r="G44" i="86"/>
  <c r="G43" i="86"/>
  <c r="G42" i="86"/>
  <c r="H42" i="86" s="1"/>
  <c r="G41" i="86"/>
  <c r="G40" i="86"/>
  <c r="M38" i="86"/>
  <c r="J38" i="86"/>
  <c r="G38" i="86"/>
  <c r="G37" i="86"/>
  <c r="G36" i="86"/>
  <c r="G35" i="86"/>
  <c r="G34" i="86"/>
  <c r="G33" i="86"/>
  <c r="G32" i="86"/>
  <c r="H31" i="86"/>
  <c r="G31" i="86"/>
  <c r="G30" i="86"/>
  <c r="G29" i="86"/>
  <c r="M27" i="86"/>
  <c r="J27" i="86"/>
  <c r="G27" i="86"/>
  <c r="G26" i="86"/>
  <c r="G25" i="86"/>
  <c r="H25" i="86"/>
  <c r="G24" i="86"/>
  <c r="G23" i="86"/>
  <c r="G22" i="86"/>
  <c r="H22" i="86"/>
  <c r="G21" i="86"/>
  <c r="G20" i="86"/>
  <c r="H20" i="86"/>
  <c r="G19" i="86"/>
  <c r="H19" i="86"/>
  <c r="G18" i="86"/>
  <c r="H18" i="86"/>
  <c r="M16" i="86"/>
  <c r="J16" i="86"/>
  <c r="G16" i="86"/>
  <c r="H16" i="86"/>
  <c r="G15" i="86"/>
  <c r="G14" i="86"/>
  <c r="G13" i="86"/>
  <c r="G12" i="86"/>
  <c r="G11" i="86"/>
  <c r="G10" i="86"/>
  <c r="H10" i="86"/>
  <c r="G9" i="86"/>
  <c r="G8" i="86"/>
  <c r="G7" i="86"/>
  <c r="M5" i="86"/>
  <c r="J5" i="86"/>
  <c r="G5" i="86"/>
  <c r="G4" i="86"/>
  <c r="G3" i="86"/>
  <c r="G2" i="86"/>
  <c r="F529" i="86"/>
  <c r="F528" i="86"/>
  <c r="F527" i="86"/>
  <c r="F526" i="86"/>
  <c r="F525" i="86"/>
  <c r="F524" i="86"/>
  <c r="F522" i="86"/>
  <c r="F521" i="86"/>
  <c r="F520" i="86"/>
  <c r="F519" i="86"/>
  <c r="F518" i="86"/>
  <c r="F517" i="86"/>
  <c r="F516" i="86"/>
  <c r="F515" i="86"/>
  <c r="F514" i="86"/>
  <c r="F513" i="86"/>
  <c r="F511" i="86"/>
  <c r="F510" i="86"/>
  <c r="F509" i="86"/>
  <c r="F508" i="86"/>
  <c r="F749" i="86"/>
  <c r="F748" i="86"/>
  <c r="F747" i="86"/>
  <c r="F746" i="86"/>
  <c r="F745" i="86"/>
  <c r="F744" i="86"/>
  <c r="F742" i="86"/>
  <c r="F741" i="86"/>
  <c r="F740" i="86"/>
  <c r="F739" i="86"/>
  <c r="F342" i="86"/>
  <c r="F341" i="86"/>
  <c r="F340" i="86"/>
  <c r="F339" i="86"/>
  <c r="F338" i="86"/>
  <c r="F337" i="86"/>
  <c r="F335" i="86"/>
  <c r="H335" i="86" s="1"/>
  <c r="F334" i="86"/>
  <c r="F333" i="86"/>
  <c r="F332" i="86"/>
  <c r="F199" i="86"/>
  <c r="F198" i="86"/>
  <c r="F197" i="86"/>
  <c r="F196" i="86"/>
  <c r="F195" i="86"/>
  <c r="F194" i="86"/>
  <c r="F100" i="86"/>
  <c r="F99" i="86"/>
  <c r="F98" i="86"/>
  <c r="F97" i="86"/>
  <c r="F96" i="86"/>
  <c r="F95" i="86"/>
  <c r="F93" i="86"/>
  <c r="F92" i="86"/>
  <c r="F91" i="86"/>
  <c r="F90" i="86"/>
  <c r="F507" i="86"/>
  <c r="F506" i="86"/>
  <c r="F505" i="86"/>
  <c r="F504" i="86"/>
  <c r="F503" i="86"/>
  <c r="F502" i="86"/>
  <c r="F500" i="86"/>
  <c r="F499" i="86"/>
  <c r="F498" i="86"/>
  <c r="F497" i="86"/>
  <c r="F496" i="86"/>
  <c r="F495" i="86"/>
  <c r="F494" i="86"/>
  <c r="F493" i="86"/>
  <c r="F492" i="86"/>
  <c r="F491" i="86"/>
  <c r="F489" i="86"/>
  <c r="F488" i="86"/>
  <c r="F487" i="86"/>
  <c r="F486" i="86"/>
  <c r="F485" i="86"/>
  <c r="F484" i="86"/>
  <c r="F483" i="86"/>
  <c r="F482" i="86"/>
  <c r="F481" i="86"/>
  <c r="F480" i="86"/>
  <c r="F478" i="86"/>
  <c r="F477" i="86"/>
  <c r="F476" i="86"/>
  <c r="F475" i="86"/>
  <c r="F474" i="86"/>
  <c r="F473" i="86"/>
  <c r="F472" i="86"/>
  <c r="F471" i="86"/>
  <c r="F470" i="86"/>
  <c r="F469" i="86"/>
  <c r="F467" i="86"/>
  <c r="F466" i="86"/>
  <c r="F465" i="86"/>
  <c r="F464" i="86"/>
  <c r="F463" i="86"/>
  <c r="F462" i="86"/>
  <c r="F461" i="86"/>
  <c r="F460" i="86"/>
  <c r="H460" i="86" s="1"/>
  <c r="F459" i="86"/>
  <c r="F458" i="86"/>
  <c r="F456" i="86"/>
  <c r="F455" i="86"/>
  <c r="F454" i="86"/>
  <c r="F453" i="86"/>
  <c r="F452" i="86"/>
  <c r="F451" i="86"/>
  <c r="F450" i="86"/>
  <c r="F449" i="86"/>
  <c r="F448" i="86"/>
  <c r="F447" i="86"/>
  <c r="F445" i="86"/>
  <c r="F444" i="86"/>
  <c r="F443" i="86"/>
  <c r="F442" i="86"/>
  <c r="F441" i="86"/>
  <c r="F440" i="86"/>
  <c r="F439" i="86"/>
  <c r="F438" i="86"/>
  <c r="F437" i="86"/>
  <c r="F436" i="86"/>
  <c r="F434" i="86"/>
  <c r="F433" i="86"/>
  <c r="F432" i="86"/>
  <c r="F431" i="86"/>
  <c r="F430" i="86"/>
  <c r="F429" i="86"/>
  <c r="F428" i="86"/>
  <c r="F427" i="86"/>
  <c r="F426" i="86"/>
  <c r="F425" i="86"/>
  <c r="F423" i="86"/>
  <c r="F422" i="86"/>
  <c r="F421" i="86"/>
  <c r="F420" i="86"/>
  <c r="F419" i="86"/>
  <c r="F418" i="86"/>
  <c r="F417" i="86"/>
  <c r="F416" i="86"/>
  <c r="F415" i="86"/>
  <c r="F414" i="86"/>
  <c r="F412" i="86"/>
  <c r="F411" i="86"/>
  <c r="F410" i="86"/>
  <c r="F409" i="86"/>
  <c r="F408" i="86"/>
  <c r="F407" i="86"/>
  <c r="F406" i="86"/>
  <c r="F405" i="86"/>
  <c r="F404" i="86"/>
  <c r="F403" i="86"/>
  <c r="F401" i="86"/>
  <c r="F402" i="86" s="1"/>
  <c r="F400" i="86"/>
  <c r="F399" i="86"/>
  <c r="F398" i="86"/>
  <c r="F397" i="86"/>
  <c r="F396" i="86"/>
  <c r="F395" i="86"/>
  <c r="F394" i="86"/>
  <c r="F393" i="86"/>
  <c r="F392" i="86"/>
  <c r="F390" i="86"/>
  <c r="F389" i="86"/>
  <c r="F388" i="86"/>
  <c r="F387" i="86"/>
  <c r="F386" i="86"/>
  <c r="F385" i="86"/>
  <c r="F384" i="86"/>
  <c r="H384" i="86" s="1"/>
  <c r="F383" i="86"/>
  <c r="F382" i="86"/>
  <c r="F381" i="86"/>
  <c r="F379" i="86"/>
  <c r="F378" i="86"/>
  <c r="F377" i="86"/>
  <c r="F376" i="86"/>
  <c r="F375" i="86"/>
  <c r="F374" i="86"/>
  <c r="F373" i="86"/>
  <c r="F372" i="86"/>
  <c r="F371" i="86"/>
  <c r="F370" i="86"/>
  <c r="F368" i="86"/>
  <c r="F367" i="86"/>
  <c r="F366" i="86"/>
  <c r="F365" i="86"/>
  <c r="F364" i="86"/>
  <c r="F363" i="86"/>
  <c r="F362" i="86"/>
  <c r="F361" i="86"/>
  <c r="F360" i="86"/>
  <c r="F359" i="86"/>
  <c r="F357" i="86"/>
  <c r="F356" i="86"/>
  <c r="F355" i="86"/>
  <c r="F354" i="86"/>
  <c r="F353" i="86"/>
  <c r="F352" i="86"/>
  <c r="F351" i="86"/>
  <c r="F350" i="86"/>
  <c r="F349" i="86"/>
  <c r="H349" i="86" s="1"/>
  <c r="F348" i="86"/>
  <c r="F346" i="86"/>
  <c r="F345" i="86"/>
  <c r="F344" i="86"/>
  <c r="F343" i="86"/>
  <c r="F540" i="86"/>
  <c r="F539" i="86"/>
  <c r="F538" i="86"/>
  <c r="F537" i="86"/>
  <c r="F536" i="86"/>
  <c r="F535" i="86"/>
  <c r="F533" i="86"/>
  <c r="F532" i="86"/>
  <c r="F531" i="86"/>
  <c r="F530" i="86"/>
  <c r="F551" i="86"/>
  <c r="F550" i="86"/>
  <c r="F549" i="86"/>
  <c r="F548" i="86"/>
  <c r="F547" i="86"/>
  <c r="F546" i="86"/>
  <c r="F544" i="86"/>
  <c r="F543" i="86"/>
  <c r="F542" i="86"/>
  <c r="H542" i="86" s="1"/>
  <c r="F541" i="86"/>
  <c r="F562" i="86"/>
  <c r="F561" i="86"/>
  <c r="F560" i="86"/>
  <c r="F559" i="86"/>
  <c r="F558" i="86"/>
  <c r="F557" i="86"/>
  <c r="F555" i="86"/>
  <c r="F554" i="86"/>
  <c r="F553" i="86"/>
  <c r="F552" i="86"/>
  <c r="F573" i="86"/>
  <c r="F572" i="86"/>
  <c r="F571" i="86"/>
  <c r="F570" i="86"/>
  <c r="F569" i="86"/>
  <c r="F568" i="86"/>
  <c r="F566" i="86"/>
  <c r="F565" i="86"/>
  <c r="F564" i="86"/>
  <c r="F563" i="86"/>
  <c r="F584" i="86"/>
  <c r="F583" i="86"/>
  <c r="F582" i="86"/>
  <c r="F581" i="86"/>
  <c r="F580" i="86"/>
  <c r="F579" i="86"/>
  <c r="F577" i="86"/>
  <c r="F576" i="86"/>
  <c r="F575" i="86"/>
  <c r="F574" i="86"/>
  <c r="F595" i="86"/>
  <c r="F594" i="86"/>
  <c r="F593" i="86"/>
  <c r="F592" i="86"/>
  <c r="F591" i="86"/>
  <c r="F590" i="86"/>
  <c r="F588" i="86"/>
  <c r="F587" i="86"/>
  <c r="F586" i="86"/>
  <c r="H586" i="86" s="1"/>
  <c r="F585" i="86"/>
  <c r="F606" i="86"/>
  <c r="F605" i="86"/>
  <c r="F604" i="86"/>
  <c r="F603" i="86"/>
  <c r="F602" i="86"/>
  <c r="F601" i="86"/>
  <c r="F599" i="86"/>
  <c r="F598" i="86"/>
  <c r="F597" i="86"/>
  <c r="F596" i="86"/>
  <c r="F617" i="86"/>
  <c r="F616" i="86"/>
  <c r="F615" i="86"/>
  <c r="F614" i="86"/>
  <c r="F613" i="86"/>
  <c r="H613" i="86" s="1"/>
  <c r="F612" i="86"/>
  <c r="F610" i="86"/>
  <c r="F609" i="86"/>
  <c r="F608" i="86"/>
  <c r="F607" i="86"/>
  <c r="H607" i="86" s="1"/>
  <c r="F628" i="86"/>
  <c r="F627" i="86"/>
  <c r="F626" i="86"/>
  <c r="F625" i="86"/>
  <c r="F624" i="86"/>
  <c r="F623" i="86"/>
  <c r="F621" i="86"/>
  <c r="F620" i="86"/>
  <c r="F619" i="86"/>
  <c r="F618" i="86"/>
  <c r="F639" i="86"/>
  <c r="F638" i="86"/>
  <c r="F637" i="86"/>
  <c r="F636" i="86"/>
  <c r="F635" i="86"/>
  <c r="F634" i="86"/>
  <c r="F632" i="86"/>
  <c r="F631" i="86"/>
  <c r="F630" i="86"/>
  <c r="F629" i="86"/>
  <c r="F650" i="86"/>
  <c r="F649" i="86"/>
  <c r="F648" i="86"/>
  <c r="F647" i="86"/>
  <c r="F646" i="86"/>
  <c r="F645" i="86"/>
  <c r="F643" i="86"/>
  <c r="F642" i="86"/>
  <c r="F641" i="86"/>
  <c r="F640" i="86"/>
  <c r="F661" i="86"/>
  <c r="F660" i="86"/>
  <c r="F659" i="86"/>
  <c r="F658" i="86"/>
  <c r="F657" i="86"/>
  <c r="F656" i="86"/>
  <c r="F654" i="86"/>
  <c r="F653" i="86"/>
  <c r="F652" i="86"/>
  <c r="F651" i="86"/>
  <c r="F672" i="86"/>
  <c r="F671" i="86"/>
  <c r="F670" i="86"/>
  <c r="F669" i="86"/>
  <c r="F668" i="86"/>
  <c r="F667" i="86"/>
  <c r="H667" i="86" s="1"/>
  <c r="F665" i="86"/>
  <c r="F664" i="86"/>
  <c r="F663" i="86"/>
  <c r="F662" i="86"/>
  <c r="F683" i="86"/>
  <c r="F682" i="86"/>
  <c r="F681" i="86"/>
  <c r="F680" i="86"/>
  <c r="F679" i="86"/>
  <c r="F678" i="86"/>
  <c r="H678" i="86" s="1"/>
  <c r="F676" i="86"/>
  <c r="F675" i="86"/>
  <c r="F674" i="86"/>
  <c r="F673" i="86"/>
  <c r="F694" i="86"/>
  <c r="F693" i="86"/>
  <c r="F692" i="86"/>
  <c r="F691" i="86"/>
  <c r="F690" i="86"/>
  <c r="F689" i="86"/>
  <c r="F687" i="86"/>
  <c r="F686" i="86"/>
  <c r="F685" i="86"/>
  <c r="F684" i="86"/>
  <c r="G705" i="86"/>
  <c r="G704" i="86"/>
  <c r="G703" i="86"/>
  <c r="G702" i="86"/>
  <c r="G701" i="86"/>
  <c r="G700" i="86"/>
  <c r="M698" i="86"/>
  <c r="J698" i="86"/>
  <c r="G698" i="86"/>
  <c r="G697" i="86"/>
  <c r="G696" i="86"/>
  <c r="G695" i="86"/>
  <c r="F705" i="86"/>
  <c r="F704" i="86"/>
  <c r="F703" i="86"/>
  <c r="F702" i="86"/>
  <c r="F701" i="86"/>
  <c r="F700" i="86"/>
  <c r="F698" i="86"/>
  <c r="H698" i="86" s="1"/>
  <c r="F697" i="86"/>
  <c r="F696" i="86"/>
  <c r="F695" i="86"/>
  <c r="F716" i="86"/>
  <c r="F715" i="86"/>
  <c r="H715" i="86" s="1"/>
  <c r="F714" i="86"/>
  <c r="F713" i="86"/>
  <c r="F712" i="86"/>
  <c r="F711" i="86"/>
  <c r="F709" i="86"/>
  <c r="F708" i="86"/>
  <c r="F707" i="86"/>
  <c r="F706" i="86"/>
  <c r="F727" i="86"/>
  <c r="F726" i="86"/>
  <c r="F725" i="86"/>
  <c r="F724" i="86"/>
  <c r="F723" i="86"/>
  <c r="F722" i="86"/>
  <c r="F720" i="86"/>
  <c r="F719" i="86"/>
  <c r="F718" i="86"/>
  <c r="F717" i="86"/>
  <c r="F738" i="86"/>
  <c r="F737" i="86"/>
  <c r="F736" i="86"/>
  <c r="F735" i="86"/>
  <c r="F734" i="86"/>
  <c r="F733" i="86"/>
  <c r="F731" i="86"/>
  <c r="F730" i="86"/>
  <c r="F729" i="86"/>
  <c r="F728" i="86"/>
  <c r="F760" i="86"/>
  <c r="F759" i="86"/>
  <c r="F758" i="86"/>
  <c r="F757" i="86"/>
  <c r="F756" i="86"/>
  <c r="F755" i="86"/>
  <c r="F753" i="86"/>
  <c r="F752" i="86"/>
  <c r="F751" i="86"/>
  <c r="F750" i="86"/>
  <c r="F771" i="86"/>
  <c r="F770" i="86"/>
  <c r="F769" i="86"/>
  <c r="F768" i="86"/>
  <c r="F767" i="86"/>
  <c r="F766" i="86"/>
  <c r="F764" i="86"/>
  <c r="F763" i="86"/>
  <c r="F762" i="86"/>
  <c r="F761" i="86"/>
  <c r="G771" i="86"/>
  <c r="G770" i="86"/>
  <c r="G769" i="86"/>
  <c r="G768" i="86"/>
  <c r="H768" i="86" s="1"/>
  <c r="G767" i="86"/>
  <c r="G766" i="86"/>
  <c r="M764" i="86"/>
  <c r="J764" i="86"/>
  <c r="G764" i="86"/>
  <c r="G763" i="86"/>
  <c r="G762" i="86"/>
  <c r="G761" i="86"/>
  <c r="F782" i="86"/>
  <c r="F781" i="86"/>
  <c r="F780" i="86"/>
  <c r="F779" i="86"/>
  <c r="F778" i="86"/>
  <c r="F777" i="86"/>
  <c r="F775" i="86"/>
  <c r="F774" i="86"/>
  <c r="F773" i="86"/>
  <c r="F772" i="86"/>
  <c r="F793" i="86"/>
  <c r="F792" i="86"/>
  <c r="F791" i="86"/>
  <c r="F790" i="86"/>
  <c r="F789" i="86"/>
  <c r="F788" i="86"/>
  <c r="F786" i="86"/>
  <c r="F785" i="86"/>
  <c r="F784" i="86"/>
  <c r="F783" i="86"/>
  <c r="F804" i="86"/>
  <c r="F803" i="86"/>
  <c r="F802" i="86"/>
  <c r="F801" i="86"/>
  <c r="F800" i="86"/>
  <c r="F799" i="86"/>
  <c r="F797" i="86"/>
  <c r="F796" i="86"/>
  <c r="F795" i="86"/>
  <c r="F794" i="86"/>
  <c r="F815" i="86"/>
  <c r="F814" i="86"/>
  <c r="F813" i="86"/>
  <c r="F812" i="86"/>
  <c r="F811" i="86"/>
  <c r="F810" i="86"/>
  <c r="H810" i="86" s="1"/>
  <c r="F808" i="86"/>
  <c r="F807" i="86"/>
  <c r="F806" i="86"/>
  <c r="F805" i="86"/>
  <c r="F826" i="86"/>
  <c r="F825" i="86"/>
  <c r="F824" i="86"/>
  <c r="F823" i="86"/>
  <c r="H823" i="86" s="1"/>
  <c r="F822" i="86"/>
  <c r="F821" i="86"/>
  <c r="F819" i="86"/>
  <c r="F818" i="86"/>
  <c r="F817" i="86"/>
  <c r="F816" i="86"/>
  <c r="F837" i="86"/>
  <c r="F836" i="86"/>
  <c r="F835" i="86"/>
  <c r="F834" i="86"/>
  <c r="F833" i="86"/>
  <c r="F832" i="86"/>
  <c r="F830" i="86"/>
  <c r="F829" i="86"/>
  <c r="F828" i="86"/>
  <c r="F827" i="86"/>
  <c r="F848" i="86"/>
  <c r="F847" i="86"/>
  <c r="F846" i="86"/>
  <c r="F845" i="86"/>
  <c r="F844" i="86"/>
  <c r="F843" i="86"/>
  <c r="F841" i="86"/>
  <c r="F840" i="86"/>
  <c r="F839" i="86"/>
  <c r="F838" i="86"/>
  <c r="F859" i="86"/>
  <c r="F858" i="86"/>
  <c r="F857" i="86"/>
  <c r="H857" i="86" s="1"/>
  <c r="F856" i="86"/>
  <c r="F855" i="86"/>
  <c r="F854" i="86"/>
  <c r="F852" i="86"/>
  <c r="F851" i="86"/>
  <c r="F850" i="86"/>
  <c r="F849" i="86"/>
  <c r="F870" i="86"/>
  <c r="H870" i="86" s="1"/>
  <c r="F869" i="86"/>
  <c r="F868" i="86"/>
  <c r="F867" i="86"/>
  <c r="F866" i="86"/>
  <c r="F865" i="86"/>
  <c r="F863" i="86"/>
  <c r="F862" i="86"/>
  <c r="F861" i="86"/>
  <c r="F860" i="86"/>
  <c r="F881" i="86"/>
  <c r="F880" i="86"/>
  <c r="H880" i="86" s="1"/>
  <c r="F879" i="86"/>
  <c r="F878" i="86"/>
  <c r="F877" i="86"/>
  <c r="F876" i="86"/>
  <c r="F874" i="86"/>
  <c r="F873" i="86"/>
  <c r="F872" i="86"/>
  <c r="F871" i="86"/>
  <c r="H871" i="86" s="1"/>
  <c r="F892" i="86"/>
  <c r="F891" i="86"/>
  <c r="F890" i="86"/>
  <c r="F889" i="86"/>
  <c r="F888" i="86"/>
  <c r="F887" i="86"/>
  <c r="F885" i="86"/>
  <c r="F884" i="86"/>
  <c r="F883" i="86"/>
  <c r="F882" i="86"/>
  <c r="F903" i="86"/>
  <c r="F902" i="86"/>
  <c r="F901" i="86"/>
  <c r="F900" i="86"/>
  <c r="F899" i="86"/>
  <c r="F898" i="86"/>
  <c r="F896" i="86"/>
  <c r="F895" i="86"/>
  <c r="F894" i="86"/>
  <c r="F893" i="86"/>
  <c r="F914" i="86"/>
  <c r="F913" i="86"/>
  <c r="F912" i="86"/>
  <c r="F911" i="86"/>
  <c r="F910" i="86"/>
  <c r="F909" i="86"/>
  <c r="F907" i="86"/>
  <c r="F906" i="86"/>
  <c r="F905" i="86"/>
  <c r="F904" i="86"/>
  <c r="F925" i="86"/>
  <c r="F924" i="86"/>
  <c r="F923" i="86"/>
  <c r="F922" i="86"/>
  <c r="F921" i="86"/>
  <c r="F920" i="86"/>
  <c r="F918" i="86"/>
  <c r="F917" i="86"/>
  <c r="F916" i="86"/>
  <c r="F915" i="86"/>
  <c r="F936" i="86"/>
  <c r="F935" i="86"/>
  <c r="F934" i="86"/>
  <c r="F933" i="86"/>
  <c r="F932" i="86"/>
  <c r="F931" i="86"/>
  <c r="F929" i="86"/>
  <c r="F928" i="86"/>
  <c r="F927" i="86"/>
  <c r="F926" i="86"/>
  <c r="F947" i="86"/>
  <c r="H947" i="86" s="1"/>
  <c r="F946" i="86"/>
  <c r="F945" i="86"/>
  <c r="H945" i="86" s="1"/>
  <c r="F944" i="86"/>
  <c r="F943" i="86"/>
  <c r="F942" i="86"/>
  <c r="F940" i="86"/>
  <c r="F939" i="86"/>
  <c r="F938" i="86"/>
  <c r="F937" i="86"/>
  <c r="F958" i="86"/>
  <c r="F957" i="86"/>
  <c r="F956" i="86"/>
  <c r="F955" i="86"/>
  <c r="F954" i="86"/>
  <c r="F953" i="86"/>
  <c r="F951" i="86"/>
  <c r="F950" i="86"/>
  <c r="F949" i="86"/>
  <c r="F948" i="86"/>
  <c r="F969" i="86"/>
  <c r="F968" i="86"/>
  <c r="F967" i="86"/>
  <c r="F966" i="86"/>
  <c r="F965" i="86"/>
  <c r="F964" i="86"/>
  <c r="F962" i="86"/>
  <c r="F961" i="86"/>
  <c r="F960" i="86"/>
  <c r="F959" i="86"/>
  <c r="F980" i="86"/>
  <c r="F979" i="86"/>
  <c r="F978" i="86"/>
  <c r="F977" i="86"/>
  <c r="F976" i="86"/>
  <c r="F975" i="86"/>
  <c r="F973" i="86"/>
  <c r="F972" i="86"/>
  <c r="F971" i="86"/>
  <c r="F970" i="86"/>
  <c r="F991" i="86"/>
  <c r="F990" i="86"/>
  <c r="F989" i="86"/>
  <c r="F988" i="86"/>
  <c r="F987" i="86"/>
  <c r="F986" i="86"/>
  <c r="F984" i="86"/>
  <c r="F983" i="86"/>
  <c r="F982" i="86"/>
  <c r="F981" i="86"/>
  <c r="F1002" i="86"/>
  <c r="H1002" i="86" s="1"/>
  <c r="F1001" i="86"/>
  <c r="F1000" i="86"/>
  <c r="F999" i="86"/>
  <c r="F998" i="86"/>
  <c r="F997" i="86"/>
  <c r="F995" i="86"/>
  <c r="F994" i="86"/>
  <c r="F993" i="86"/>
  <c r="F992" i="86"/>
  <c r="G1002" i="86"/>
  <c r="G1001" i="86"/>
  <c r="G1000" i="86"/>
  <c r="H1000" i="86" s="1"/>
  <c r="G999" i="86"/>
  <c r="G998" i="86"/>
  <c r="G997" i="86"/>
  <c r="M995" i="86"/>
  <c r="J995" i="86"/>
  <c r="G995" i="86"/>
  <c r="G994" i="86"/>
  <c r="G993" i="86"/>
  <c r="G992" i="86"/>
  <c r="H992" i="86" s="1"/>
  <c r="G991" i="86"/>
  <c r="G990" i="86"/>
  <c r="G989" i="86"/>
  <c r="G988" i="86"/>
  <c r="G987" i="86"/>
  <c r="H987" i="86" s="1"/>
  <c r="G986" i="86"/>
  <c r="M984" i="86"/>
  <c r="J984" i="86"/>
  <c r="G984" i="86"/>
  <c r="G983" i="86"/>
  <c r="G982" i="86"/>
  <c r="G981" i="86"/>
  <c r="G980" i="86"/>
  <c r="G979" i="86"/>
  <c r="G978" i="86"/>
  <c r="H978" i="86" s="1"/>
  <c r="G977" i="86"/>
  <c r="G976" i="86"/>
  <c r="G975" i="86"/>
  <c r="H975" i="86" s="1"/>
  <c r="M973" i="86"/>
  <c r="J973" i="86"/>
  <c r="G973" i="86"/>
  <c r="H973" i="86" s="1"/>
  <c r="G972" i="86"/>
  <c r="G971" i="86"/>
  <c r="H970" i="86"/>
  <c r="G970" i="86"/>
  <c r="G969" i="86"/>
  <c r="H969" i="86" s="1"/>
  <c r="G968" i="86"/>
  <c r="G967" i="86"/>
  <c r="G966" i="86"/>
  <c r="H966" i="86" s="1"/>
  <c r="G965" i="86"/>
  <c r="G964" i="86"/>
  <c r="M962" i="86"/>
  <c r="J962" i="86"/>
  <c r="G962" i="86"/>
  <c r="G961" i="86"/>
  <c r="G960" i="86"/>
  <c r="H960" i="86" s="1"/>
  <c r="G959" i="86"/>
  <c r="G958" i="86"/>
  <c r="G957" i="86"/>
  <c r="G956" i="86"/>
  <c r="H956" i="86" s="1"/>
  <c r="G955" i="86"/>
  <c r="G954" i="86"/>
  <c r="G953" i="86"/>
  <c r="M951" i="86"/>
  <c r="J951" i="86"/>
  <c r="G951" i="86"/>
  <c r="G950" i="86"/>
  <c r="G949" i="86"/>
  <c r="G948" i="86"/>
  <c r="G947" i="86"/>
  <c r="G946" i="86"/>
  <c r="G945" i="86"/>
  <c r="G944" i="86"/>
  <c r="H944" i="86" s="1"/>
  <c r="G943" i="86"/>
  <c r="H943" i="86" s="1"/>
  <c r="G942" i="86"/>
  <c r="M940" i="86"/>
  <c r="J940" i="86"/>
  <c r="G940" i="86"/>
  <c r="G939" i="86"/>
  <c r="H939" i="86" s="1"/>
  <c r="G938" i="86"/>
  <c r="G937" i="86"/>
  <c r="G936" i="86"/>
  <c r="G935" i="86"/>
  <c r="H935" i="86" s="1"/>
  <c r="G934" i="86"/>
  <c r="G933" i="86"/>
  <c r="H933" i="86" s="1"/>
  <c r="G932" i="86"/>
  <c r="G931" i="86"/>
  <c r="M929" i="86"/>
  <c r="J929" i="86"/>
  <c r="G929" i="86"/>
  <c r="G928" i="86"/>
  <c r="G927" i="86"/>
  <c r="G926" i="86"/>
  <c r="G925" i="86"/>
  <c r="G924" i="86"/>
  <c r="G923" i="86"/>
  <c r="G922" i="86"/>
  <c r="H922" i="86" s="1"/>
  <c r="G921" i="86"/>
  <c r="G920" i="86"/>
  <c r="M918" i="86"/>
  <c r="J918" i="86"/>
  <c r="G918" i="86"/>
  <c r="G917" i="86"/>
  <c r="H917" i="86" s="1"/>
  <c r="G916" i="86"/>
  <c r="G915" i="86"/>
  <c r="G914" i="86"/>
  <c r="G913" i="86"/>
  <c r="H913" i="86" s="1"/>
  <c r="G912" i="86"/>
  <c r="H912" i="86" s="1"/>
  <c r="G911" i="86"/>
  <c r="G910" i="86"/>
  <c r="G909" i="86"/>
  <c r="M907" i="86"/>
  <c r="J907" i="86"/>
  <c r="G907" i="86"/>
  <c r="G906" i="86"/>
  <c r="G905" i="86"/>
  <c r="G904" i="86"/>
  <c r="G903" i="86"/>
  <c r="G902" i="86"/>
  <c r="G901" i="86"/>
  <c r="G900" i="86"/>
  <c r="H900" i="86"/>
  <c r="G899" i="86"/>
  <c r="H899" i="86" s="1"/>
  <c r="G898" i="86"/>
  <c r="M896" i="86"/>
  <c r="J896" i="86"/>
  <c r="G896" i="86"/>
  <c r="G895" i="86"/>
  <c r="H895" i="86" s="1"/>
  <c r="G894" i="86"/>
  <c r="G893" i="86"/>
  <c r="G892" i="86"/>
  <c r="G891" i="86"/>
  <c r="G890" i="86"/>
  <c r="G889" i="86"/>
  <c r="G888" i="86"/>
  <c r="G887" i="86"/>
  <c r="H887" i="86" s="1"/>
  <c r="M885" i="86"/>
  <c r="J885" i="86"/>
  <c r="G885" i="86"/>
  <c r="H885" i="86" s="1"/>
  <c r="G884" i="86"/>
  <c r="G883" i="86"/>
  <c r="G882" i="86"/>
  <c r="G881" i="86"/>
  <c r="H881" i="86" s="1"/>
  <c r="G880" i="86"/>
  <c r="G879" i="86"/>
  <c r="G878" i="86"/>
  <c r="H878" i="86" s="1"/>
  <c r="G877" i="86"/>
  <c r="G876" i="86"/>
  <c r="M874" i="86"/>
  <c r="J874" i="86"/>
  <c r="G874" i="86"/>
  <c r="G873" i="86"/>
  <c r="H873" i="86" s="1"/>
  <c r="G872" i="86"/>
  <c r="H872" i="86" s="1"/>
  <c r="G871" i="86"/>
  <c r="G870" i="86"/>
  <c r="G869" i="86"/>
  <c r="G868" i="86"/>
  <c r="H868" i="86" s="1"/>
  <c r="G867" i="86"/>
  <c r="G866" i="86"/>
  <c r="G865" i="86"/>
  <c r="H865" i="86" s="1"/>
  <c r="M863" i="86"/>
  <c r="J863" i="86"/>
  <c r="G863" i="86"/>
  <c r="G862" i="86"/>
  <c r="G861" i="86"/>
  <c r="G860" i="86"/>
  <c r="G859" i="86"/>
  <c r="G858" i="86"/>
  <c r="G857" i="86"/>
  <c r="G856" i="86"/>
  <c r="H856" i="86" s="1"/>
  <c r="G855" i="86"/>
  <c r="H855" i="86" s="1"/>
  <c r="G854" i="86"/>
  <c r="M852" i="86"/>
  <c r="J852" i="86"/>
  <c r="G852" i="86"/>
  <c r="G851" i="86"/>
  <c r="H851" i="86" s="1"/>
  <c r="G850" i="86"/>
  <c r="G849" i="86"/>
  <c r="G848" i="86"/>
  <c r="H848" i="86" s="1"/>
  <c r="G847" i="86"/>
  <c r="H847" i="86" s="1"/>
  <c r="G846" i="86"/>
  <c r="G845" i="86"/>
  <c r="G844" i="86"/>
  <c r="G843" i="86"/>
  <c r="H843" i="86" s="1"/>
  <c r="M841" i="86"/>
  <c r="J841" i="86"/>
  <c r="G841" i="86"/>
  <c r="G840" i="86"/>
  <c r="G839" i="86"/>
  <c r="G838" i="86"/>
  <c r="G837" i="86"/>
  <c r="H837" i="86" s="1"/>
  <c r="G836" i="86"/>
  <c r="G835" i="86"/>
  <c r="G834" i="86"/>
  <c r="H834" i="86" s="1"/>
  <c r="G833" i="86"/>
  <c r="G832" i="86"/>
  <c r="M830" i="86"/>
  <c r="J830" i="86"/>
  <c r="G830" i="86"/>
  <c r="H830" i="86"/>
  <c r="G829" i="86"/>
  <c r="H829" i="86" s="1"/>
  <c r="G828" i="86"/>
  <c r="H828" i="86" s="1"/>
  <c r="G827" i="86"/>
  <c r="G826" i="86"/>
  <c r="G825" i="86"/>
  <c r="H825" i="86"/>
  <c r="G824" i="86"/>
  <c r="H824" i="86" s="1"/>
  <c r="G823" i="86"/>
  <c r="G822" i="86"/>
  <c r="G821" i="86"/>
  <c r="M819" i="86"/>
  <c r="J819" i="86"/>
  <c r="G819" i="86"/>
  <c r="G818" i="86"/>
  <c r="G817" i="86"/>
  <c r="G816" i="86"/>
  <c r="H816" i="86" s="1"/>
  <c r="G815" i="86"/>
  <c r="G814" i="86"/>
  <c r="G813" i="86"/>
  <c r="G812" i="86"/>
  <c r="H812" i="86" s="1"/>
  <c r="G811" i="86"/>
  <c r="H811" i="86" s="1"/>
  <c r="G810" i="86"/>
  <c r="M808" i="86"/>
  <c r="J808" i="86"/>
  <c r="G808" i="86"/>
  <c r="H807" i="86"/>
  <c r="G807" i="86"/>
  <c r="G806" i="86"/>
  <c r="G805" i="86"/>
  <c r="G804" i="86"/>
  <c r="G803" i="86"/>
  <c r="H803" i="86" s="1"/>
  <c r="G802" i="86"/>
  <c r="H802" i="86" s="1"/>
  <c r="G801" i="86"/>
  <c r="G800" i="86"/>
  <c r="G799" i="86"/>
  <c r="M797" i="86"/>
  <c r="J797" i="86"/>
  <c r="G797" i="86"/>
  <c r="G796" i="86"/>
  <c r="G795" i="86"/>
  <c r="G794" i="86"/>
  <c r="G793" i="86"/>
  <c r="H793" i="86" s="1"/>
  <c r="G792" i="86"/>
  <c r="G791" i="86"/>
  <c r="G790" i="86"/>
  <c r="H790" i="86" s="1"/>
  <c r="G789" i="86"/>
  <c r="G788" i="86"/>
  <c r="M786" i="86"/>
  <c r="J786" i="86"/>
  <c r="G786" i="86"/>
  <c r="G785" i="86"/>
  <c r="H785" i="86" s="1"/>
  <c r="G784" i="86"/>
  <c r="H784" i="86" s="1"/>
  <c r="G783" i="86"/>
  <c r="G782" i="86"/>
  <c r="G781" i="86"/>
  <c r="H781" i="86" s="1"/>
  <c r="G780" i="86"/>
  <c r="H780" i="86" s="1"/>
  <c r="G779" i="86"/>
  <c r="G778" i="86"/>
  <c r="G777" i="86"/>
  <c r="M775" i="86"/>
  <c r="J775" i="86"/>
  <c r="G775" i="86"/>
  <c r="H775" i="86" s="1"/>
  <c r="G774" i="86"/>
  <c r="G773" i="86"/>
  <c r="G772" i="86"/>
  <c r="H772" i="86" s="1"/>
  <c r="G760" i="86"/>
  <c r="G759" i="86"/>
  <c r="G758" i="86"/>
  <c r="G757" i="86"/>
  <c r="G756" i="86"/>
  <c r="H756" i="86" s="1"/>
  <c r="G755" i="86"/>
  <c r="M753" i="86"/>
  <c r="J753" i="86"/>
  <c r="G753" i="86"/>
  <c r="G752" i="86"/>
  <c r="G751" i="86"/>
  <c r="G750" i="86"/>
  <c r="G749" i="86"/>
  <c r="G748" i="86"/>
  <c r="H748" i="86" s="1"/>
  <c r="G747" i="86"/>
  <c r="H747" i="86" s="1"/>
  <c r="G746" i="86"/>
  <c r="G745" i="86"/>
  <c r="G744" i="86"/>
  <c r="M742" i="86"/>
  <c r="J742" i="86"/>
  <c r="G742" i="86"/>
  <c r="G741" i="86"/>
  <c r="G740" i="86"/>
  <c r="G739" i="86"/>
  <c r="H739" i="86" s="1"/>
  <c r="G738" i="86"/>
  <c r="H738" i="86" s="1"/>
  <c r="G737" i="86"/>
  <c r="H737" i="86" s="1"/>
  <c r="G736" i="86"/>
  <c r="G735" i="86"/>
  <c r="G734" i="86"/>
  <c r="G733" i="86"/>
  <c r="M731" i="86"/>
  <c r="J731" i="86"/>
  <c r="G731" i="86"/>
  <c r="H731" i="86" s="1"/>
  <c r="G730" i="86"/>
  <c r="G729" i="86"/>
  <c r="H729" i="86" s="1"/>
  <c r="G728" i="86"/>
  <c r="H728" i="86" s="1"/>
  <c r="G727" i="86"/>
  <c r="H727" i="86" s="1"/>
  <c r="G726" i="86"/>
  <c r="H726" i="86" s="1"/>
  <c r="G725" i="86"/>
  <c r="G724" i="86"/>
  <c r="H724" i="86" s="1"/>
  <c r="G723" i="86"/>
  <c r="G722" i="86"/>
  <c r="M720" i="86"/>
  <c r="J720" i="86"/>
  <c r="G720" i="86"/>
  <c r="G719" i="86"/>
  <c r="G718" i="86"/>
  <c r="H718" i="86" s="1"/>
  <c r="G717" i="86"/>
  <c r="H717" i="86" s="1"/>
  <c r="G716" i="86"/>
  <c r="G715" i="86"/>
  <c r="G714" i="86"/>
  <c r="H714" i="86" s="1"/>
  <c r="G713" i="86"/>
  <c r="H713" i="86" s="1"/>
  <c r="G712" i="86"/>
  <c r="H712" i="86" s="1"/>
  <c r="G711" i="86"/>
  <c r="H711" i="86" s="1"/>
  <c r="M709" i="86"/>
  <c r="J709" i="86"/>
  <c r="G709" i="86"/>
  <c r="G708" i="86"/>
  <c r="G707" i="86"/>
  <c r="G706" i="86"/>
  <c r="G694" i="86"/>
  <c r="H694" i="86" s="1"/>
  <c r="G693" i="86"/>
  <c r="G692" i="86"/>
  <c r="G691" i="86"/>
  <c r="G690" i="86"/>
  <c r="G689" i="86"/>
  <c r="H689" i="86" s="1"/>
  <c r="M687" i="86"/>
  <c r="J687" i="86"/>
  <c r="G687" i="86"/>
  <c r="G686" i="86"/>
  <c r="G685" i="86"/>
  <c r="H685" i="86" s="1"/>
  <c r="G684" i="86"/>
  <c r="G683" i="86"/>
  <c r="H683" i="86" s="1"/>
  <c r="G682" i="86"/>
  <c r="H682" i="86" s="1"/>
  <c r="G681" i="86"/>
  <c r="H681" i="86" s="1"/>
  <c r="G680" i="86"/>
  <c r="G679" i="86"/>
  <c r="G678" i="86"/>
  <c r="M676" i="86"/>
  <c r="J676" i="86"/>
  <c r="G676" i="86"/>
  <c r="G675" i="86"/>
  <c r="G674" i="86"/>
  <c r="H674" i="86" s="1"/>
  <c r="G673" i="86"/>
  <c r="G672" i="86"/>
  <c r="G671" i="86"/>
  <c r="H671" i="86" s="1"/>
  <c r="G670" i="86"/>
  <c r="G669" i="86"/>
  <c r="H669" i="86" s="1"/>
  <c r="G668" i="86"/>
  <c r="H668" i="86" s="1"/>
  <c r="G667" i="86"/>
  <c r="M665" i="86"/>
  <c r="J665" i="86"/>
  <c r="G665" i="86"/>
  <c r="G664" i="86"/>
  <c r="G663" i="86"/>
  <c r="G662" i="86"/>
  <c r="H662" i="86" s="1"/>
  <c r="G661" i="86"/>
  <c r="G660" i="86"/>
  <c r="H660" i="86" s="1"/>
  <c r="G659" i="86"/>
  <c r="G658" i="86"/>
  <c r="H658" i="86" s="1"/>
  <c r="G657" i="86"/>
  <c r="G656" i="86"/>
  <c r="H656" i="86" s="1"/>
  <c r="M654" i="86"/>
  <c r="J654" i="86"/>
  <c r="G654" i="86"/>
  <c r="H654" i="86" s="1"/>
  <c r="N654" i="86" s="1"/>
  <c r="G653" i="86"/>
  <c r="G652" i="86"/>
  <c r="G651" i="86"/>
  <c r="H651" i="86" s="1"/>
  <c r="G650" i="86"/>
  <c r="H650" i="86" s="1"/>
  <c r="G649" i="86"/>
  <c r="G648" i="86"/>
  <c r="G647" i="86"/>
  <c r="G646" i="86"/>
  <c r="G645" i="86"/>
  <c r="H645" i="86" s="1"/>
  <c r="M643" i="86"/>
  <c r="J643" i="86"/>
  <c r="G643" i="86"/>
  <c r="G642" i="86"/>
  <c r="H642" i="86" s="1"/>
  <c r="G641" i="86"/>
  <c r="H641" i="86" s="1"/>
  <c r="G640" i="86"/>
  <c r="G639" i="86"/>
  <c r="G638" i="86"/>
  <c r="H638" i="86" s="1"/>
  <c r="G637" i="86"/>
  <c r="H637" i="86" s="1"/>
  <c r="G636" i="86"/>
  <c r="H636" i="86" s="1"/>
  <c r="G635" i="86"/>
  <c r="G634" i="86"/>
  <c r="M632" i="86"/>
  <c r="J632" i="86"/>
  <c r="G632" i="86"/>
  <c r="G631" i="86"/>
  <c r="G630" i="86"/>
  <c r="G629" i="86"/>
  <c r="H629" i="86" s="1"/>
  <c r="G628" i="86"/>
  <c r="G627" i="86"/>
  <c r="G626" i="86"/>
  <c r="G625" i="86"/>
  <c r="H625" i="86" s="1"/>
  <c r="G624" i="86"/>
  <c r="H624" i="86" s="1"/>
  <c r="G623" i="86"/>
  <c r="M621" i="86"/>
  <c r="J621" i="86"/>
  <c r="G621" i="86"/>
  <c r="G620" i="86"/>
  <c r="G619" i="86"/>
  <c r="G618" i="86"/>
  <c r="G617" i="86"/>
  <c r="G616" i="86"/>
  <c r="G615" i="86"/>
  <c r="G614" i="86"/>
  <c r="H614" i="86" s="1"/>
  <c r="G613" i="86"/>
  <c r="G612" i="86"/>
  <c r="H612" i="86" s="1"/>
  <c r="M610" i="86"/>
  <c r="J610" i="86"/>
  <c r="G610" i="86"/>
  <c r="G609" i="86"/>
  <c r="G608" i="86"/>
  <c r="G607" i="86"/>
  <c r="G606" i="86"/>
  <c r="H606" i="86" s="1"/>
  <c r="G605" i="86"/>
  <c r="H605" i="86" s="1"/>
  <c r="G604" i="86"/>
  <c r="G603" i="86"/>
  <c r="G602" i="86"/>
  <c r="G601" i="86"/>
  <c r="H601" i="86" s="1"/>
  <c r="M599" i="86"/>
  <c r="J599" i="86"/>
  <c r="G599" i="86"/>
  <c r="H599" i="86"/>
  <c r="G598" i="86"/>
  <c r="H598" i="86" s="1"/>
  <c r="G597" i="86"/>
  <c r="H597" i="86" s="1"/>
  <c r="G596" i="86"/>
  <c r="G595" i="86"/>
  <c r="G594" i="86"/>
  <c r="H594" i="86" s="1"/>
  <c r="G593" i="86"/>
  <c r="H593" i="86" s="1"/>
  <c r="G592" i="86"/>
  <c r="G591" i="86"/>
  <c r="G590" i="86"/>
  <c r="M588" i="86"/>
  <c r="J588" i="86"/>
  <c r="G588" i="86"/>
  <c r="G587" i="86"/>
  <c r="G586" i="86"/>
  <c r="G585" i="86"/>
  <c r="G584" i="86"/>
  <c r="G583" i="86"/>
  <c r="H583" i="86" s="1"/>
  <c r="G582" i="86"/>
  <c r="G581" i="86"/>
  <c r="H581" i="86" s="1"/>
  <c r="H580" i="86"/>
  <c r="G580" i="86"/>
  <c r="G579" i="86"/>
  <c r="M577" i="86"/>
  <c r="J577" i="86"/>
  <c r="G577" i="86"/>
  <c r="G576" i="86"/>
  <c r="G575" i="86"/>
  <c r="G574" i="86"/>
  <c r="G573" i="86"/>
  <c r="G572" i="86"/>
  <c r="G571" i="86"/>
  <c r="G570" i="86"/>
  <c r="H570" i="86" s="1"/>
  <c r="G569" i="86"/>
  <c r="G568" i="86"/>
  <c r="H568" i="86" s="1"/>
  <c r="M566" i="86"/>
  <c r="J566" i="86"/>
  <c r="G566" i="86"/>
  <c r="H566" i="86" s="1"/>
  <c r="G565" i="86"/>
  <c r="H565" i="86" s="1"/>
  <c r="G564" i="86"/>
  <c r="H564" i="86" s="1"/>
  <c r="G563" i="86"/>
  <c r="G562" i="86"/>
  <c r="H562" i="86" s="1"/>
  <c r="G561" i="86"/>
  <c r="G560" i="86"/>
  <c r="G559" i="86"/>
  <c r="G558" i="86"/>
  <c r="G557" i="86"/>
  <c r="H557" i="86" s="1"/>
  <c r="M555" i="86"/>
  <c r="J555" i="86"/>
  <c r="G555" i="86"/>
  <c r="G554" i="86"/>
  <c r="G553" i="86"/>
  <c r="H553" i="86" s="1"/>
  <c r="G552" i="86"/>
  <c r="G551" i="86"/>
  <c r="G550" i="86"/>
  <c r="H550" i="86" s="1"/>
  <c r="G549" i="86"/>
  <c r="H549" i="86" s="1"/>
  <c r="G548" i="86"/>
  <c r="G547" i="86"/>
  <c r="G546" i="86"/>
  <c r="M544" i="86"/>
  <c r="J544" i="86"/>
  <c r="G544" i="86"/>
  <c r="G543" i="86"/>
  <c r="G542" i="86"/>
  <c r="G541" i="86"/>
  <c r="H541" i="86" s="1"/>
  <c r="G540" i="86"/>
  <c r="G539" i="86"/>
  <c r="H539" i="86"/>
  <c r="G538" i="86"/>
  <c r="G537" i="86"/>
  <c r="H537" i="86" s="1"/>
  <c r="G536" i="86"/>
  <c r="H536" i="86" s="1"/>
  <c r="G535" i="86"/>
  <c r="M533" i="86"/>
  <c r="J533" i="86"/>
  <c r="G533" i="86"/>
  <c r="G532" i="86"/>
  <c r="G531" i="86"/>
  <c r="G530" i="86"/>
  <c r="H530" i="86" s="1"/>
  <c r="G529" i="86"/>
  <c r="G528" i="86"/>
  <c r="G527" i="86"/>
  <c r="G526" i="86"/>
  <c r="G525" i="86"/>
  <c r="G524" i="86"/>
  <c r="H524" i="86" s="1"/>
  <c r="M522" i="86"/>
  <c r="J522" i="86"/>
  <c r="G522" i="86"/>
  <c r="H522" i="86" s="1"/>
  <c r="G521" i="86"/>
  <c r="G520" i="86"/>
  <c r="G519" i="86"/>
  <c r="H519" i="86" s="1"/>
  <c r="G518" i="86"/>
  <c r="G517" i="86"/>
  <c r="H517" i="86" s="1"/>
  <c r="G516" i="86"/>
  <c r="G515" i="86"/>
  <c r="G514" i="86"/>
  <c r="H514" i="86" s="1"/>
  <c r="G513" i="86"/>
  <c r="H513" i="86" s="1"/>
  <c r="M511" i="86"/>
  <c r="J511" i="86"/>
  <c r="G511" i="86"/>
  <c r="H511" i="86" s="1"/>
  <c r="N511" i="86" s="1"/>
  <c r="G510" i="86"/>
  <c r="G509" i="86"/>
  <c r="G508" i="86"/>
  <c r="H508" i="86" s="1"/>
  <c r="G507" i="86"/>
  <c r="G506" i="86"/>
  <c r="G505" i="86"/>
  <c r="H505" i="86" s="1"/>
  <c r="G504" i="86"/>
  <c r="H504" i="86" s="1"/>
  <c r="G503" i="86"/>
  <c r="G502" i="86"/>
  <c r="M500" i="86"/>
  <c r="J500" i="86"/>
  <c r="G500" i="86"/>
  <c r="G499" i="86"/>
  <c r="G498" i="86"/>
  <c r="G497" i="86"/>
  <c r="H497" i="86" s="1"/>
  <c r="G496" i="86"/>
  <c r="H496" i="86" s="1"/>
  <c r="G495" i="86"/>
  <c r="G494" i="86"/>
  <c r="G493" i="86"/>
  <c r="G492" i="86"/>
  <c r="G491" i="86"/>
  <c r="H491" i="86" s="1"/>
  <c r="M489" i="86"/>
  <c r="J489" i="86"/>
  <c r="G489" i="86"/>
  <c r="G488" i="86"/>
  <c r="G487" i="86"/>
  <c r="H487" i="86" s="1"/>
  <c r="G486" i="86"/>
  <c r="G485" i="86"/>
  <c r="H485" i="86" s="1"/>
  <c r="G484" i="86"/>
  <c r="G483" i="86"/>
  <c r="G482" i="86"/>
  <c r="H482" i="86" s="1"/>
  <c r="G481" i="86"/>
  <c r="G480" i="86"/>
  <c r="H480" i="86" s="1"/>
  <c r="M478" i="86"/>
  <c r="J478" i="86"/>
  <c r="H478" i="86"/>
  <c r="G478" i="86"/>
  <c r="G477" i="86"/>
  <c r="H477" i="86" s="1"/>
  <c r="G476" i="86"/>
  <c r="G475" i="86"/>
  <c r="H475" i="86" s="1"/>
  <c r="G474" i="86"/>
  <c r="G473" i="86"/>
  <c r="G472" i="86"/>
  <c r="G471" i="86"/>
  <c r="H471" i="86" s="1"/>
  <c r="G470" i="86"/>
  <c r="H470" i="86" s="1"/>
  <c r="G469" i="86"/>
  <c r="M467" i="86"/>
  <c r="J467" i="86"/>
  <c r="G467" i="86"/>
  <c r="G466" i="86"/>
  <c r="G465" i="86"/>
  <c r="G464" i="86"/>
  <c r="H464" i="86" s="1"/>
  <c r="G463" i="86"/>
  <c r="G462" i="86"/>
  <c r="G461" i="86"/>
  <c r="H461" i="86" s="1"/>
  <c r="G460" i="86"/>
  <c r="G459" i="86"/>
  <c r="G458" i="86"/>
  <c r="M456" i="86"/>
  <c r="J456" i="86"/>
  <c r="G456" i="86"/>
  <c r="G455" i="86"/>
  <c r="H455" i="86" s="1"/>
  <c r="G454" i="86"/>
  <c r="G453" i="86"/>
  <c r="H453" i="86" s="1"/>
  <c r="G452" i="86"/>
  <c r="H452" i="86" s="1"/>
  <c r="G451" i="86"/>
  <c r="G450" i="86"/>
  <c r="G449" i="86"/>
  <c r="G448" i="86"/>
  <c r="G447" i="86"/>
  <c r="M445" i="86"/>
  <c r="J445" i="86"/>
  <c r="G445" i="86"/>
  <c r="G444" i="86"/>
  <c r="G443" i="86"/>
  <c r="H443" i="86" s="1"/>
  <c r="G442" i="86"/>
  <c r="G441" i="86"/>
  <c r="H441" i="86" s="1"/>
  <c r="G440" i="86"/>
  <c r="G439" i="86"/>
  <c r="G438" i="86"/>
  <c r="H438" i="86" s="1"/>
  <c r="G437" i="86"/>
  <c r="G436" i="86"/>
  <c r="H436" i="86" s="1"/>
  <c r="M434" i="86"/>
  <c r="J434" i="86"/>
  <c r="G434" i="86"/>
  <c r="G433" i="86"/>
  <c r="G432" i="86"/>
  <c r="G431" i="86"/>
  <c r="G430" i="86"/>
  <c r="G429" i="86"/>
  <c r="H429" i="86" s="1"/>
  <c r="G428" i="86"/>
  <c r="G427" i="86"/>
  <c r="H427" i="86" s="1"/>
  <c r="G426" i="86"/>
  <c r="H426" i="86" s="1"/>
  <c r="G425" i="86"/>
  <c r="M423" i="86"/>
  <c r="J423" i="86"/>
  <c r="G423" i="86"/>
  <c r="G422" i="86"/>
  <c r="G421" i="86"/>
  <c r="G420" i="86"/>
  <c r="H420" i="86" s="1"/>
  <c r="G419" i="86"/>
  <c r="G418" i="86"/>
  <c r="H418" i="86" s="1"/>
  <c r="G417" i="86"/>
  <c r="H417" i="86" s="1"/>
  <c r="G416" i="86"/>
  <c r="H416" i="86" s="1"/>
  <c r="G415" i="86"/>
  <c r="G414" i="86"/>
  <c r="H414" i="86" s="1"/>
  <c r="M412" i="86"/>
  <c r="J412" i="86"/>
  <c r="G412" i="86"/>
  <c r="G411" i="86"/>
  <c r="G410" i="86"/>
  <c r="H410" i="86" s="1"/>
  <c r="G409" i="86"/>
  <c r="G408" i="86"/>
  <c r="H408" i="86" s="1"/>
  <c r="G407" i="86"/>
  <c r="G406" i="86"/>
  <c r="G405" i="86"/>
  <c r="H405" i="86" s="1"/>
  <c r="G404" i="86"/>
  <c r="G403" i="86"/>
  <c r="H403" i="86" s="1"/>
  <c r="M401" i="86"/>
  <c r="J401" i="86"/>
  <c r="G401" i="86"/>
  <c r="G400" i="86"/>
  <c r="G399" i="86"/>
  <c r="H399" i="86" s="1"/>
  <c r="G398" i="86"/>
  <c r="G397" i="86"/>
  <c r="G396" i="86"/>
  <c r="G395" i="86"/>
  <c r="G394" i="86"/>
  <c r="H394" i="86" s="1"/>
  <c r="G393" i="86"/>
  <c r="G392" i="86"/>
  <c r="H392" i="86" s="1"/>
  <c r="M390" i="86"/>
  <c r="J390" i="86"/>
  <c r="G390" i="86"/>
  <c r="H390" i="86" s="1"/>
  <c r="G389" i="86"/>
  <c r="G388" i="86"/>
  <c r="G387" i="86"/>
  <c r="G386" i="86"/>
  <c r="G385" i="86"/>
  <c r="H385" i="86" s="1"/>
  <c r="G384" i="86"/>
  <c r="G383" i="86"/>
  <c r="H383" i="86" s="1"/>
  <c r="G382" i="86"/>
  <c r="H382" i="86" s="1"/>
  <c r="G381" i="86"/>
  <c r="H381" i="86" s="1"/>
  <c r="M379" i="86"/>
  <c r="J379" i="86"/>
  <c r="G379" i="86"/>
  <c r="H379" i="86" s="1"/>
  <c r="N379" i="86" s="1"/>
  <c r="G378" i="86"/>
  <c r="G377" i="86"/>
  <c r="G376" i="86"/>
  <c r="H376" i="86" s="1"/>
  <c r="G375" i="86"/>
  <c r="G374" i="86"/>
  <c r="H374" i="86" s="1"/>
  <c r="G373" i="86"/>
  <c r="H373" i="86" s="1"/>
  <c r="G372" i="86"/>
  <c r="G371" i="86"/>
  <c r="G370" i="86"/>
  <c r="H370" i="86" s="1"/>
  <c r="M368" i="86"/>
  <c r="J368" i="86"/>
  <c r="G368" i="86"/>
  <c r="G367" i="86"/>
  <c r="G366" i="86"/>
  <c r="G365" i="86"/>
  <c r="H365" i="86" s="1"/>
  <c r="G364" i="86"/>
  <c r="H364" i="86" s="1"/>
  <c r="G363" i="86"/>
  <c r="G362" i="86"/>
  <c r="G361" i="86"/>
  <c r="H361" i="86"/>
  <c r="G360" i="86"/>
  <c r="G359" i="86"/>
  <c r="H359" i="86" s="1"/>
  <c r="M357" i="86"/>
  <c r="J357" i="86"/>
  <c r="G357" i="86"/>
  <c r="G356" i="86"/>
  <c r="H356" i="86" s="1"/>
  <c r="G355" i="86"/>
  <c r="H355" i="86" s="1"/>
  <c r="G354" i="86"/>
  <c r="G353" i="86"/>
  <c r="G352" i="86"/>
  <c r="G351" i="86"/>
  <c r="G350" i="86"/>
  <c r="H350" i="86" s="1"/>
  <c r="G349" i="86"/>
  <c r="G348" i="86"/>
  <c r="H348" i="86" s="1"/>
  <c r="M346" i="86"/>
  <c r="J346" i="86"/>
  <c r="G346" i="86"/>
  <c r="G345" i="86"/>
  <c r="H345" i="86" s="1"/>
  <c r="G344" i="86"/>
  <c r="G343" i="86"/>
  <c r="G342" i="86"/>
  <c r="H342" i="86" s="1"/>
  <c r="G341" i="86"/>
  <c r="G340" i="86"/>
  <c r="G339" i="86"/>
  <c r="G338" i="86"/>
  <c r="G337" i="86"/>
  <c r="H337" i="86" s="1"/>
  <c r="G335" i="86"/>
  <c r="G334" i="86"/>
  <c r="H334" i="86" s="1"/>
  <c r="G333" i="86"/>
  <c r="H333" i="86" s="1"/>
  <c r="G332" i="86"/>
  <c r="M335" i="86"/>
  <c r="J335" i="86"/>
  <c r="H130" i="89"/>
  <c r="M902" i="86" s="1"/>
  <c r="G130" i="89"/>
  <c r="J873" i="86" s="1"/>
  <c r="H129" i="89"/>
  <c r="M905" i="86" s="1"/>
  <c r="G129" i="89"/>
  <c r="J905" i="86" s="1"/>
  <c r="H128" i="89"/>
  <c r="M871" i="86" s="1"/>
  <c r="G128" i="89"/>
  <c r="J805" i="86" s="1"/>
  <c r="H133" i="89"/>
  <c r="G133" i="89"/>
  <c r="F133" i="89"/>
  <c r="BU168" i="92"/>
  <c r="BT168" i="92"/>
  <c r="BS168" i="92"/>
  <c r="BR168" i="92"/>
  <c r="BU167" i="92"/>
  <c r="BT167" i="92"/>
  <c r="BS167" i="92"/>
  <c r="BR167" i="92"/>
  <c r="BU166" i="92"/>
  <c r="BT166" i="92"/>
  <c r="BS166" i="92"/>
  <c r="BR166" i="92"/>
  <c r="BU165" i="92"/>
  <c r="BT165" i="92"/>
  <c r="BS165" i="92"/>
  <c r="BR165" i="92"/>
  <c r="BU164" i="92"/>
  <c r="BT164" i="92"/>
  <c r="BS164" i="92"/>
  <c r="BR164" i="92"/>
  <c r="BU163" i="92"/>
  <c r="BT163" i="92"/>
  <c r="BS163" i="92"/>
  <c r="BR163" i="92"/>
  <c r="BU162" i="92"/>
  <c r="BT162" i="92"/>
  <c r="BS162" i="92"/>
  <c r="BR162" i="92"/>
  <c r="BU161" i="92"/>
  <c r="BT161" i="92"/>
  <c r="BS161" i="92"/>
  <c r="BR161" i="92"/>
  <c r="BU160" i="92"/>
  <c r="BT160" i="92"/>
  <c r="BS160" i="92"/>
  <c r="BR160" i="92"/>
  <c r="BU159" i="92"/>
  <c r="BT159" i="92"/>
  <c r="BS159" i="92"/>
  <c r="BR159" i="92"/>
  <c r="BU158" i="92"/>
  <c r="BT158" i="92"/>
  <c r="BS158" i="92"/>
  <c r="BR158" i="92"/>
  <c r="BU157" i="92"/>
  <c r="BT157" i="92"/>
  <c r="BS157" i="92"/>
  <c r="BR157" i="92"/>
  <c r="BU156" i="92"/>
  <c r="BT156" i="92"/>
  <c r="BS156" i="92"/>
  <c r="BR156" i="92"/>
  <c r="BU155" i="92"/>
  <c r="BT155" i="92"/>
  <c r="BS155" i="92"/>
  <c r="BR155" i="92"/>
  <c r="BU154" i="92"/>
  <c r="BT154" i="92"/>
  <c r="BS154" i="92"/>
  <c r="BR154" i="92"/>
  <c r="BU153" i="92"/>
  <c r="BT153" i="92"/>
  <c r="BS153" i="92"/>
  <c r="BR153" i="92"/>
  <c r="BU152" i="92"/>
  <c r="BT152" i="92"/>
  <c r="BS152" i="92"/>
  <c r="BR152" i="92"/>
  <c r="BU151" i="92"/>
  <c r="BT151" i="92"/>
  <c r="BS151" i="92"/>
  <c r="BR151" i="92"/>
  <c r="BU150" i="92"/>
  <c r="BT150" i="92"/>
  <c r="BS150" i="92"/>
  <c r="BR150" i="92"/>
  <c r="BU149" i="92"/>
  <c r="BT149" i="92"/>
  <c r="BS149" i="92"/>
  <c r="BR149" i="92"/>
  <c r="BU148" i="92"/>
  <c r="BT148" i="92"/>
  <c r="BS148" i="92"/>
  <c r="BR148" i="92"/>
  <c r="BU147" i="92"/>
  <c r="BT147" i="92"/>
  <c r="BS147" i="92"/>
  <c r="BR147" i="92"/>
  <c r="BU146" i="92"/>
  <c r="BT146" i="92"/>
  <c r="BS146" i="92"/>
  <c r="BR146" i="92"/>
  <c r="BU145" i="92"/>
  <c r="BT145" i="92"/>
  <c r="BS145" i="92"/>
  <c r="BR145" i="92"/>
  <c r="BU144" i="92"/>
  <c r="BT144" i="92"/>
  <c r="BS144" i="92"/>
  <c r="BR144" i="92"/>
  <c r="BU143" i="92"/>
  <c r="BT143" i="92"/>
  <c r="BS143" i="92"/>
  <c r="BR143" i="92"/>
  <c r="BU142" i="92"/>
  <c r="BT142" i="92"/>
  <c r="BS142" i="92"/>
  <c r="BR142" i="92"/>
  <c r="BU141" i="92"/>
  <c r="BT141" i="92"/>
  <c r="BS141" i="92"/>
  <c r="BR141" i="92"/>
  <c r="BU140" i="92"/>
  <c r="BT140" i="92"/>
  <c r="BS140" i="92"/>
  <c r="BR140" i="92"/>
  <c r="BU139" i="92"/>
  <c r="BT139" i="92"/>
  <c r="BS139" i="92"/>
  <c r="BR139" i="92"/>
  <c r="BU138" i="92"/>
  <c r="BT138" i="92"/>
  <c r="BS138" i="92"/>
  <c r="BR138" i="92"/>
  <c r="BU137" i="92"/>
  <c r="BT137" i="92"/>
  <c r="BS137" i="92"/>
  <c r="BR137" i="92"/>
  <c r="BU136" i="92"/>
  <c r="BT136" i="92"/>
  <c r="BS136" i="92"/>
  <c r="BR136" i="92"/>
  <c r="BU135" i="92"/>
  <c r="BT135" i="92"/>
  <c r="BS135" i="92"/>
  <c r="BR135" i="92"/>
  <c r="BU134" i="92"/>
  <c r="BT134" i="92"/>
  <c r="BS134" i="92"/>
  <c r="BR134" i="92"/>
  <c r="BU133" i="92"/>
  <c r="BT133" i="92"/>
  <c r="BS133" i="92"/>
  <c r="BR133" i="92"/>
  <c r="BU132" i="92"/>
  <c r="BT132" i="92"/>
  <c r="BS132" i="92"/>
  <c r="BR132" i="92"/>
  <c r="BU131" i="92"/>
  <c r="BT131" i="92"/>
  <c r="BS131" i="92"/>
  <c r="BR131" i="92"/>
  <c r="BU130" i="92"/>
  <c r="BT130" i="92"/>
  <c r="BS130" i="92"/>
  <c r="BR130" i="92"/>
  <c r="BU129" i="92"/>
  <c r="BT129" i="92"/>
  <c r="BS129" i="92"/>
  <c r="BR129" i="92"/>
  <c r="BU128" i="92"/>
  <c r="BT128" i="92"/>
  <c r="BS128" i="92"/>
  <c r="BR128" i="92"/>
  <c r="BU127" i="92"/>
  <c r="BT127" i="92"/>
  <c r="BS127" i="92"/>
  <c r="BR127" i="92"/>
  <c r="BU126" i="92"/>
  <c r="BT126" i="92"/>
  <c r="BS126" i="92"/>
  <c r="BR126" i="92"/>
  <c r="BU125" i="92"/>
  <c r="BT125" i="92"/>
  <c r="BS125" i="92"/>
  <c r="BR125" i="92"/>
  <c r="BU124" i="92"/>
  <c r="BT124" i="92"/>
  <c r="BS124" i="92"/>
  <c r="BR124" i="92"/>
  <c r="BU123" i="92"/>
  <c r="BT123" i="92"/>
  <c r="BS123" i="92"/>
  <c r="BR123" i="92"/>
  <c r="BU122" i="92"/>
  <c r="BT122" i="92"/>
  <c r="BS122" i="92"/>
  <c r="BR122" i="92"/>
  <c r="BU121" i="92"/>
  <c r="BT121" i="92"/>
  <c r="BS121" i="92"/>
  <c r="BR121" i="92"/>
  <c r="BU120" i="92"/>
  <c r="BT120" i="92"/>
  <c r="BS120" i="92"/>
  <c r="BR120" i="92"/>
  <c r="BU119" i="92"/>
  <c r="BT119" i="92"/>
  <c r="BS119" i="92"/>
  <c r="BR119" i="92"/>
  <c r="BU118" i="92"/>
  <c r="BT118" i="92"/>
  <c r="BS118" i="92"/>
  <c r="BR118" i="92"/>
  <c r="BU117" i="92"/>
  <c r="BT117" i="92"/>
  <c r="BS117" i="92"/>
  <c r="BR117" i="92"/>
  <c r="BU116" i="92"/>
  <c r="BT116" i="92"/>
  <c r="BS116" i="92"/>
  <c r="BR116" i="92"/>
  <c r="BU115" i="92"/>
  <c r="BT115" i="92"/>
  <c r="BS115" i="92"/>
  <c r="BR115" i="92"/>
  <c r="BU114" i="92"/>
  <c r="BT114" i="92"/>
  <c r="BS114" i="92"/>
  <c r="BR114" i="92"/>
  <c r="BU113" i="92"/>
  <c r="BT113" i="92"/>
  <c r="BS113" i="92"/>
  <c r="BR113" i="92"/>
  <c r="BU112" i="92"/>
  <c r="BT112" i="92"/>
  <c r="BS112" i="92"/>
  <c r="BR112" i="92"/>
  <c r="BU111" i="92"/>
  <c r="BT111" i="92"/>
  <c r="BS111" i="92"/>
  <c r="BR111" i="92"/>
  <c r="BU110" i="92"/>
  <c r="BT110" i="92"/>
  <c r="BS110" i="92"/>
  <c r="BR110" i="92"/>
  <c r="BU109" i="92"/>
  <c r="BT109" i="92"/>
  <c r="BS109" i="92"/>
  <c r="BR109" i="92"/>
  <c r="BU108" i="92"/>
  <c r="BT108" i="92"/>
  <c r="BS108" i="92"/>
  <c r="BR108" i="92"/>
  <c r="BU107" i="92"/>
  <c r="BT107" i="92"/>
  <c r="BS107" i="92"/>
  <c r="BR107" i="92"/>
  <c r="BU106" i="92"/>
  <c r="BT106" i="92"/>
  <c r="BS106" i="92"/>
  <c r="BR106" i="92"/>
  <c r="BU105" i="92"/>
  <c r="BT105" i="92"/>
  <c r="BS105" i="92"/>
  <c r="BR105" i="92"/>
  <c r="BU104" i="92"/>
  <c r="BT104" i="92"/>
  <c r="BS104" i="92"/>
  <c r="BR104" i="92"/>
  <c r="BU103" i="92"/>
  <c r="BT103" i="92"/>
  <c r="BS103" i="92"/>
  <c r="BR103" i="92"/>
  <c r="BU102" i="92"/>
  <c r="BT102" i="92"/>
  <c r="BS102" i="92"/>
  <c r="BR102" i="92"/>
  <c r="BU101" i="92"/>
  <c r="BT101" i="92"/>
  <c r="BS101" i="92"/>
  <c r="BR101" i="92"/>
  <c r="BU100" i="92"/>
  <c r="BT100" i="92"/>
  <c r="BS100" i="92"/>
  <c r="BR100" i="92"/>
  <c r="BU99" i="92"/>
  <c r="BT99" i="92"/>
  <c r="BS99" i="92"/>
  <c r="BR99" i="92"/>
  <c r="BU98" i="92"/>
  <c r="BT98" i="92"/>
  <c r="BS98" i="92"/>
  <c r="BR98" i="92"/>
  <c r="BU97" i="92"/>
  <c r="BT97" i="92"/>
  <c r="BS97" i="92"/>
  <c r="BR97" i="92"/>
  <c r="BU96" i="92"/>
  <c r="BT96" i="92"/>
  <c r="BS96" i="92"/>
  <c r="BR96" i="92"/>
  <c r="BU95" i="92"/>
  <c r="BT95" i="92"/>
  <c r="BS95" i="92"/>
  <c r="BR95" i="92"/>
  <c r="BU94" i="92"/>
  <c r="BT94" i="92"/>
  <c r="BS94" i="92"/>
  <c r="BR94" i="92"/>
  <c r="BU93" i="92"/>
  <c r="BT93" i="92"/>
  <c r="BS93" i="92"/>
  <c r="BR93" i="92"/>
  <c r="BU92" i="92"/>
  <c r="BT92" i="92"/>
  <c r="BS92" i="92"/>
  <c r="BR92" i="92"/>
  <c r="BU91" i="92"/>
  <c r="BT91" i="92"/>
  <c r="BS91" i="92"/>
  <c r="BR91" i="92"/>
  <c r="BU90" i="92"/>
  <c r="BT90" i="92"/>
  <c r="BS90" i="92"/>
  <c r="BR90" i="92"/>
  <c r="BU89" i="92"/>
  <c r="BT89" i="92"/>
  <c r="BS89" i="92"/>
  <c r="BR89" i="92"/>
  <c r="BU88" i="92"/>
  <c r="BT88" i="92"/>
  <c r="BS88" i="92"/>
  <c r="BR88" i="92"/>
  <c r="BU87" i="92"/>
  <c r="BT87" i="92"/>
  <c r="BS87" i="92"/>
  <c r="BR87" i="92"/>
  <c r="BU86" i="92"/>
  <c r="BT86" i="92"/>
  <c r="BS86" i="92"/>
  <c r="BR86" i="92"/>
  <c r="BU85" i="92"/>
  <c r="BT85" i="92"/>
  <c r="BS85" i="92"/>
  <c r="BR85" i="92"/>
  <c r="BU84" i="92"/>
  <c r="BT84" i="92"/>
  <c r="BS84" i="92"/>
  <c r="BR84" i="92"/>
  <c r="BU83" i="92"/>
  <c r="BT83" i="92"/>
  <c r="BS83" i="92"/>
  <c r="BR83" i="92"/>
  <c r="BU82" i="92"/>
  <c r="BT82" i="92"/>
  <c r="BS82" i="92"/>
  <c r="BR82" i="92"/>
  <c r="BU81" i="92"/>
  <c r="BT81" i="92"/>
  <c r="BS81" i="92"/>
  <c r="BR81" i="92"/>
  <c r="BU80" i="92"/>
  <c r="BT80" i="92"/>
  <c r="BS80" i="92"/>
  <c r="BR80" i="92"/>
  <c r="BU79" i="92"/>
  <c r="BT79" i="92"/>
  <c r="BS79" i="92"/>
  <c r="BR79" i="92"/>
  <c r="BU78" i="92"/>
  <c r="BT78" i="92"/>
  <c r="BS78" i="92"/>
  <c r="BR78" i="92"/>
  <c r="BU77" i="92"/>
  <c r="BT77" i="92"/>
  <c r="BS77" i="92"/>
  <c r="BR77" i="92"/>
  <c r="BU76" i="92"/>
  <c r="BT76" i="92"/>
  <c r="BS76" i="92"/>
  <c r="BR76" i="92"/>
  <c r="BU75" i="92"/>
  <c r="BT75" i="92"/>
  <c r="BS75" i="92"/>
  <c r="BR75" i="92"/>
  <c r="BU74" i="92"/>
  <c r="BT74" i="92"/>
  <c r="BS74" i="92"/>
  <c r="BR74" i="92"/>
  <c r="BU73" i="92"/>
  <c r="BT73" i="92"/>
  <c r="BS73" i="92"/>
  <c r="BR73" i="92"/>
  <c r="BU72" i="92"/>
  <c r="BT72" i="92"/>
  <c r="BS72" i="92"/>
  <c r="BR72" i="92"/>
  <c r="BU71" i="92"/>
  <c r="BT71" i="92"/>
  <c r="BS71" i="92"/>
  <c r="BR71" i="92"/>
  <c r="BU70" i="92"/>
  <c r="BT70" i="92"/>
  <c r="BS70" i="92"/>
  <c r="BR70" i="92"/>
  <c r="BU69" i="92"/>
  <c r="BT69" i="92"/>
  <c r="BS69" i="92"/>
  <c r="BR69" i="92"/>
  <c r="BU68" i="92"/>
  <c r="BT68" i="92"/>
  <c r="BS68" i="92"/>
  <c r="BR68" i="92"/>
  <c r="BU67" i="92"/>
  <c r="BT67" i="92"/>
  <c r="BS67" i="92"/>
  <c r="BR67" i="92"/>
  <c r="BU66" i="92"/>
  <c r="BT66" i="92"/>
  <c r="BS66" i="92"/>
  <c r="BR66" i="92"/>
  <c r="BU65" i="92"/>
  <c r="BT65" i="92"/>
  <c r="BS65" i="92"/>
  <c r="BR65" i="92"/>
  <c r="BU64" i="92"/>
  <c r="BT64" i="92"/>
  <c r="BS64" i="92"/>
  <c r="BR64" i="92"/>
  <c r="BU63" i="92"/>
  <c r="BT63" i="92"/>
  <c r="BS63" i="92"/>
  <c r="BR63" i="92"/>
  <c r="BU62" i="92"/>
  <c r="BT62" i="92"/>
  <c r="BS62" i="92"/>
  <c r="BR62" i="92"/>
  <c r="BU61" i="92"/>
  <c r="BT61" i="92"/>
  <c r="BS61" i="92"/>
  <c r="BR61" i="92"/>
  <c r="BU60" i="92"/>
  <c r="BT60" i="92"/>
  <c r="BS60" i="92"/>
  <c r="BR60" i="92"/>
  <c r="BU59" i="92"/>
  <c r="BT59" i="92"/>
  <c r="BS59" i="92"/>
  <c r="BR59" i="92"/>
  <c r="BU58" i="92"/>
  <c r="BT58" i="92"/>
  <c r="BS58" i="92"/>
  <c r="BR58" i="92"/>
  <c r="BU57" i="92"/>
  <c r="BT57" i="92"/>
  <c r="BS57" i="92"/>
  <c r="BR57" i="92"/>
  <c r="BU56" i="92"/>
  <c r="BT56" i="92"/>
  <c r="BS56" i="92"/>
  <c r="BR56" i="92"/>
  <c r="BU55" i="92"/>
  <c r="BT55" i="92"/>
  <c r="BS55" i="92"/>
  <c r="BR55" i="92"/>
  <c r="BU54" i="92"/>
  <c r="BT54" i="92"/>
  <c r="BS54" i="92"/>
  <c r="BR54" i="92"/>
  <c r="BU53" i="92"/>
  <c r="BT53" i="92"/>
  <c r="BS53" i="92"/>
  <c r="BR53" i="92"/>
  <c r="BU52" i="92"/>
  <c r="BT52" i="92"/>
  <c r="BS52" i="92"/>
  <c r="BR52" i="92"/>
  <c r="BU51" i="92"/>
  <c r="BT51" i="92"/>
  <c r="BS51" i="92"/>
  <c r="BR51" i="92"/>
  <c r="BU50" i="92"/>
  <c r="BT50" i="92"/>
  <c r="BS50" i="92"/>
  <c r="BR50" i="92"/>
  <c r="BU49" i="92"/>
  <c r="BT49" i="92"/>
  <c r="BS49" i="92"/>
  <c r="BR49" i="92"/>
  <c r="BU48" i="92"/>
  <c r="BT48" i="92"/>
  <c r="BS48" i="92"/>
  <c r="BR48" i="92"/>
  <c r="BU47" i="92"/>
  <c r="BT47" i="92"/>
  <c r="BS47" i="92"/>
  <c r="BR47" i="92"/>
  <c r="BU46" i="92"/>
  <c r="BT46" i="92"/>
  <c r="BS46" i="92"/>
  <c r="BR46" i="92"/>
  <c r="BU45" i="92"/>
  <c r="BT45" i="92"/>
  <c r="BS45" i="92"/>
  <c r="BR45" i="92"/>
  <c r="BU44" i="92"/>
  <c r="BT44" i="92"/>
  <c r="BS44" i="92"/>
  <c r="BR44" i="92"/>
  <c r="BU43" i="92"/>
  <c r="BT43" i="92"/>
  <c r="BS43" i="92"/>
  <c r="BR43" i="92"/>
  <c r="BU42" i="92"/>
  <c r="BT42" i="92"/>
  <c r="BS42" i="92"/>
  <c r="BR42" i="92"/>
  <c r="BU41" i="92"/>
  <c r="BT41" i="92"/>
  <c r="BS41" i="92"/>
  <c r="BR41" i="92"/>
  <c r="BU40" i="92"/>
  <c r="BT40" i="92"/>
  <c r="BS40" i="92"/>
  <c r="BR40" i="92"/>
  <c r="BU39" i="92"/>
  <c r="BT39" i="92"/>
  <c r="BS39" i="92"/>
  <c r="BR39" i="92"/>
  <c r="BU38" i="92"/>
  <c r="BT38" i="92"/>
  <c r="BS38" i="92"/>
  <c r="BR38" i="92"/>
  <c r="BU37" i="92"/>
  <c r="BT37" i="92"/>
  <c r="BS37" i="92"/>
  <c r="BR37" i="92"/>
  <c r="BU36" i="92"/>
  <c r="BT36" i="92"/>
  <c r="BS36" i="92"/>
  <c r="BR36" i="92"/>
  <c r="BU35" i="92"/>
  <c r="BT35" i="92"/>
  <c r="BS35" i="92"/>
  <c r="BR35" i="92"/>
  <c r="BU34" i="92"/>
  <c r="BT34" i="92"/>
  <c r="BS34" i="92"/>
  <c r="BR34" i="92"/>
  <c r="BU33" i="92"/>
  <c r="BT33" i="92"/>
  <c r="BS33" i="92"/>
  <c r="BR33" i="92"/>
  <c r="BU32" i="92"/>
  <c r="BT32" i="92"/>
  <c r="BS32" i="92"/>
  <c r="BR32" i="92"/>
  <c r="BU31" i="92"/>
  <c r="BT31" i="92"/>
  <c r="BS31" i="92"/>
  <c r="BR31" i="92"/>
  <c r="BU30" i="92"/>
  <c r="BT30" i="92"/>
  <c r="BS30" i="92"/>
  <c r="BR30" i="92"/>
  <c r="BU29" i="92"/>
  <c r="BT29" i="92"/>
  <c r="BS29" i="92"/>
  <c r="BR29" i="92"/>
  <c r="BU28" i="92"/>
  <c r="BT28" i="92"/>
  <c r="BS28" i="92"/>
  <c r="BR28" i="92"/>
  <c r="BU27" i="92"/>
  <c r="BT27" i="92"/>
  <c r="BS27" i="92"/>
  <c r="BR27" i="92"/>
  <c r="BU26" i="92"/>
  <c r="BT26" i="92"/>
  <c r="BS26" i="92"/>
  <c r="BR26" i="92"/>
  <c r="BU25" i="92"/>
  <c r="BT25" i="92"/>
  <c r="BS25" i="92"/>
  <c r="BR25" i="92"/>
  <c r="BU24" i="92"/>
  <c r="BT24" i="92"/>
  <c r="BS24" i="92"/>
  <c r="BR24" i="92"/>
  <c r="BU23" i="92"/>
  <c r="BT23" i="92"/>
  <c r="BS23" i="92"/>
  <c r="BR23" i="92"/>
  <c r="BU22" i="92"/>
  <c r="BT22" i="92"/>
  <c r="BS22" i="92"/>
  <c r="BR22" i="92"/>
  <c r="BU21" i="92"/>
  <c r="BT21" i="92"/>
  <c r="BS21" i="92"/>
  <c r="BR21" i="92"/>
  <c r="BU20" i="92"/>
  <c r="BT20" i="92"/>
  <c r="BS20" i="92"/>
  <c r="BR20" i="92"/>
  <c r="BU19" i="92"/>
  <c r="BT19" i="92"/>
  <c r="BS19" i="92"/>
  <c r="BR19" i="92"/>
  <c r="BU18" i="92"/>
  <c r="BT18" i="92"/>
  <c r="BS18" i="92"/>
  <c r="BR18" i="92"/>
  <c r="BU17" i="92"/>
  <c r="BT17" i="92"/>
  <c r="BS17" i="92"/>
  <c r="BR17" i="92"/>
  <c r="BU16" i="92"/>
  <c r="BT16" i="92"/>
  <c r="BS16" i="92"/>
  <c r="BR16" i="92"/>
  <c r="BU15" i="92"/>
  <c r="BT15" i="92"/>
  <c r="BS15" i="92"/>
  <c r="BR15" i="92"/>
  <c r="BU14" i="92"/>
  <c r="BT14" i="92"/>
  <c r="BS14" i="92"/>
  <c r="BR14" i="92"/>
  <c r="BU13" i="92"/>
  <c r="BT13" i="92"/>
  <c r="BS13" i="92"/>
  <c r="BR13" i="92"/>
  <c r="BU12" i="92"/>
  <c r="BT12" i="92"/>
  <c r="BS12" i="92"/>
  <c r="BR12" i="92"/>
  <c r="BU11" i="92"/>
  <c r="BT11" i="92"/>
  <c r="BS11" i="92"/>
  <c r="BR11" i="92"/>
  <c r="BU10" i="92"/>
  <c r="BT10" i="92"/>
  <c r="BS10" i="92"/>
  <c r="BR10" i="92"/>
  <c r="BU9" i="92"/>
  <c r="BT9" i="92"/>
  <c r="BS9" i="92"/>
  <c r="BR9" i="92"/>
  <c r="BU8" i="92"/>
  <c r="BT8" i="92"/>
  <c r="BS8" i="92"/>
  <c r="BR8" i="92"/>
  <c r="BU7" i="92"/>
  <c r="BT7" i="92"/>
  <c r="BS7" i="92"/>
  <c r="BR7" i="92"/>
  <c r="BU6" i="92"/>
  <c r="BT6" i="92"/>
  <c r="BS6" i="92"/>
  <c r="BR6" i="92"/>
  <c r="BU5" i="92"/>
  <c r="BT5" i="92"/>
  <c r="BS5" i="92"/>
  <c r="BR5" i="92"/>
  <c r="BU4" i="92"/>
  <c r="BT4" i="92"/>
  <c r="BS4" i="92"/>
  <c r="BR4" i="92"/>
  <c r="BU3" i="92"/>
  <c r="BT3" i="92"/>
  <c r="BS3" i="92"/>
  <c r="BR3" i="92"/>
  <c r="BU2" i="92"/>
  <c r="BT2" i="92"/>
  <c r="BS2" i="92"/>
  <c r="BR2" i="92"/>
  <c r="BU168" i="91"/>
  <c r="BT168" i="91"/>
  <c r="BS168" i="91"/>
  <c r="BR168" i="91"/>
  <c r="BU167" i="91"/>
  <c r="BT167" i="91"/>
  <c r="BS167" i="91"/>
  <c r="BR167" i="91"/>
  <c r="BU166" i="91"/>
  <c r="BT166" i="91"/>
  <c r="BS166" i="91"/>
  <c r="BR166" i="91"/>
  <c r="BU165" i="91"/>
  <c r="BT165" i="91"/>
  <c r="BS165" i="91"/>
  <c r="BR165" i="91"/>
  <c r="BU164" i="91"/>
  <c r="BT164" i="91"/>
  <c r="BS164" i="91"/>
  <c r="BR164" i="91"/>
  <c r="BU163" i="91"/>
  <c r="BT163" i="91"/>
  <c r="BS163" i="91"/>
  <c r="BR163" i="91"/>
  <c r="BU162" i="91"/>
  <c r="BT162" i="91"/>
  <c r="BS162" i="91"/>
  <c r="BR162" i="91"/>
  <c r="BU161" i="91"/>
  <c r="BT161" i="91"/>
  <c r="BS161" i="91"/>
  <c r="BR161" i="91"/>
  <c r="BU160" i="91"/>
  <c r="BT160" i="91"/>
  <c r="BS160" i="91"/>
  <c r="BR160" i="91"/>
  <c r="BU159" i="91"/>
  <c r="BT159" i="91"/>
  <c r="BS159" i="91"/>
  <c r="BR159" i="91"/>
  <c r="BU158" i="91"/>
  <c r="BT158" i="91"/>
  <c r="BS158" i="91"/>
  <c r="BR158" i="91"/>
  <c r="BU157" i="91"/>
  <c r="BT157" i="91"/>
  <c r="BS157" i="91"/>
  <c r="BR157" i="91"/>
  <c r="BU156" i="91"/>
  <c r="BT156" i="91"/>
  <c r="BS156" i="91"/>
  <c r="BR156" i="91"/>
  <c r="BU155" i="91"/>
  <c r="BT155" i="91"/>
  <c r="BS155" i="91"/>
  <c r="BR155" i="91"/>
  <c r="BU154" i="91"/>
  <c r="BT154" i="91"/>
  <c r="BS154" i="91"/>
  <c r="BR154" i="91"/>
  <c r="BU153" i="91"/>
  <c r="BT153" i="91"/>
  <c r="BS153" i="91"/>
  <c r="BR153" i="91"/>
  <c r="BU152" i="91"/>
  <c r="BT152" i="91"/>
  <c r="BS152" i="91"/>
  <c r="BR152" i="91"/>
  <c r="BU151" i="91"/>
  <c r="BT151" i="91"/>
  <c r="BS151" i="91"/>
  <c r="BR151" i="91"/>
  <c r="BU150" i="91"/>
  <c r="BT150" i="91"/>
  <c r="BS150" i="91"/>
  <c r="BR150" i="91"/>
  <c r="BU149" i="91"/>
  <c r="BT149" i="91"/>
  <c r="BS149" i="91"/>
  <c r="BR149" i="91"/>
  <c r="BU148" i="91"/>
  <c r="BT148" i="91"/>
  <c r="BS148" i="91"/>
  <c r="BR148" i="91"/>
  <c r="BU147" i="91"/>
  <c r="BT147" i="91"/>
  <c r="BS147" i="91"/>
  <c r="BR147" i="91"/>
  <c r="BU146" i="91"/>
  <c r="BT146" i="91"/>
  <c r="BS146" i="91"/>
  <c r="BR146" i="91"/>
  <c r="BU145" i="91"/>
  <c r="BT145" i="91"/>
  <c r="BS145" i="91"/>
  <c r="BR145" i="91"/>
  <c r="BU144" i="91"/>
  <c r="BT144" i="91"/>
  <c r="BS144" i="91"/>
  <c r="BR144" i="91"/>
  <c r="BU143" i="91"/>
  <c r="BT143" i="91"/>
  <c r="BS143" i="91"/>
  <c r="BR143" i="91"/>
  <c r="BU142" i="91"/>
  <c r="BT142" i="91"/>
  <c r="BS142" i="91"/>
  <c r="BR142" i="91"/>
  <c r="BU141" i="91"/>
  <c r="BT141" i="91"/>
  <c r="BS141" i="91"/>
  <c r="BR141" i="91"/>
  <c r="BU140" i="91"/>
  <c r="BT140" i="91"/>
  <c r="BS140" i="91"/>
  <c r="BR140" i="91"/>
  <c r="BU139" i="91"/>
  <c r="BT139" i="91"/>
  <c r="BS139" i="91"/>
  <c r="BR139" i="91"/>
  <c r="BU138" i="91"/>
  <c r="BT138" i="91"/>
  <c r="BS138" i="91"/>
  <c r="BR138" i="91"/>
  <c r="BU137" i="91"/>
  <c r="BT137" i="91"/>
  <c r="BS137" i="91"/>
  <c r="BR137" i="91"/>
  <c r="BU136" i="91"/>
  <c r="BT136" i="91"/>
  <c r="BS136" i="91"/>
  <c r="BR136" i="91"/>
  <c r="BU135" i="91"/>
  <c r="BT135" i="91"/>
  <c r="BS135" i="91"/>
  <c r="BR135" i="91"/>
  <c r="BU134" i="91"/>
  <c r="BT134" i="91"/>
  <c r="BS134" i="91"/>
  <c r="BR134" i="91"/>
  <c r="BU133" i="91"/>
  <c r="BT133" i="91"/>
  <c r="BS133" i="91"/>
  <c r="BR133" i="91"/>
  <c r="BU132" i="91"/>
  <c r="BT132" i="91"/>
  <c r="BS132" i="91"/>
  <c r="BR132" i="91"/>
  <c r="BU131" i="91"/>
  <c r="BT131" i="91"/>
  <c r="BS131" i="91"/>
  <c r="BR131" i="91"/>
  <c r="BU130" i="91"/>
  <c r="BT130" i="91"/>
  <c r="BS130" i="91"/>
  <c r="BR130" i="91"/>
  <c r="BU129" i="91"/>
  <c r="BT129" i="91"/>
  <c r="BS129" i="91"/>
  <c r="BR129" i="91"/>
  <c r="BU128" i="91"/>
  <c r="BT128" i="91"/>
  <c r="BS128" i="91"/>
  <c r="BR128" i="91"/>
  <c r="BU127" i="91"/>
  <c r="BT127" i="91"/>
  <c r="BS127" i="91"/>
  <c r="BR127" i="91"/>
  <c r="BU126" i="91"/>
  <c r="BT126" i="91"/>
  <c r="BS126" i="91"/>
  <c r="BR126" i="91"/>
  <c r="BU125" i="91"/>
  <c r="BT125" i="91"/>
  <c r="BS125" i="91"/>
  <c r="BR125" i="91"/>
  <c r="BU124" i="91"/>
  <c r="BT124" i="91"/>
  <c r="BS124" i="91"/>
  <c r="BR124" i="91"/>
  <c r="BU123" i="91"/>
  <c r="BT123" i="91"/>
  <c r="BS123" i="91"/>
  <c r="BR123" i="91"/>
  <c r="BU122" i="91"/>
  <c r="BT122" i="91"/>
  <c r="BS122" i="91"/>
  <c r="BR122" i="91"/>
  <c r="BU121" i="91"/>
  <c r="BT121" i="91"/>
  <c r="BS121" i="91"/>
  <c r="BR121" i="91"/>
  <c r="BU120" i="91"/>
  <c r="BT120" i="91"/>
  <c r="BS120" i="91"/>
  <c r="BR120" i="91"/>
  <c r="BU119" i="91"/>
  <c r="BT119" i="91"/>
  <c r="BS119" i="91"/>
  <c r="BR119" i="91"/>
  <c r="BU118" i="91"/>
  <c r="BT118" i="91"/>
  <c r="BS118" i="91"/>
  <c r="BR118" i="91"/>
  <c r="BU117" i="91"/>
  <c r="BT117" i="91"/>
  <c r="BS117" i="91"/>
  <c r="BR117" i="91"/>
  <c r="BU116" i="91"/>
  <c r="BT116" i="91"/>
  <c r="BS116" i="91"/>
  <c r="BR116" i="91"/>
  <c r="BU115" i="91"/>
  <c r="BT115" i="91"/>
  <c r="BS115" i="91"/>
  <c r="BR115" i="91"/>
  <c r="BU114" i="91"/>
  <c r="BT114" i="91"/>
  <c r="BS114" i="91"/>
  <c r="BR114" i="91"/>
  <c r="BU113" i="91"/>
  <c r="BT113" i="91"/>
  <c r="BS113" i="91"/>
  <c r="BR113" i="91"/>
  <c r="BU112" i="91"/>
  <c r="BT112" i="91"/>
  <c r="BS112" i="91"/>
  <c r="BR112" i="91"/>
  <c r="BU111" i="91"/>
  <c r="BT111" i="91"/>
  <c r="BS111" i="91"/>
  <c r="BR111" i="91"/>
  <c r="BU110" i="91"/>
  <c r="BT110" i="91"/>
  <c r="BS110" i="91"/>
  <c r="BR110" i="91"/>
  <c r="BU109" i="91"/>
  <c r="BT109" i="91"/>
  <c r="BS109" i="91"/>
  <c r="BR109" i="91"/>
  <c r="BU108" i="91"/>
  <c r="BT108" i="91"/>
  <c r="BS108" i="91"/>
  <c r="BR108" i="91"/>
  <c r="BU107" i="91"/>
  <c r="BT107" i="91"/>
  <c r="BS107" i="91"/>
  <c r="BR107" i="91"/>
  <c r="BU106" i="91"/>
  <c r="BT106" i="91"/>
  <c r="BS106" i="91"/>
  <c r="BR106" i="91"/>
  <c r="BU105" i="91"/>
  <c r="BT105" i="91"/>
  <c r="BS105" i="91"/>
  <c r="BR105" i="91"/>
  <c r="BU104" i="91"/>
  <c r="BT104" i="91"/>
  <c r="BS104" i="91"/>
  <c r="BR104" i="91"/>
  <c r="BU103" i="91"/>
  <c r="BT103" i="91"/>
  <c r="BS103" i="91"/>
  <c r="BR103" i="91"/>
  <c r="BU102" i="91"/>
  <c r="BT102" i="91"/>
  <c r="BS102" i="91"/>
  <c r="BR102" i="91"/>
  <c r="BU101" i="91"/>
  <c r="BT101" i="91"/>
  <c r="BS101" i="91"/>
  <c r="BR101" i="91"/>
  <c r="BU100" i="91"/>
  <c r="BT100" i="91"/>
  <c r="BS100" i="91"/>
  <c r="BR100" i="91"/>
  <c r="BU99" i="91"/>
  <c r="BT99" i="91"/>
  <c r="BS99" i="91"/>
  <c r="BR99" i="91"/>
  <c r="BU98" i="91"/>
  <c r="BT98" i="91"/>
  <c r="BS98" i="91"/>
  <c r="BR98" i="91"/>
  <c r="BU97" i="91"/>
  <c r="BT97" i="91"/>
  <c r="BS97" i="91"/>
  <c r="BR97" i="91"/>
  <c r="BU96" i="91"/>
  <c r="BT96" i="91"/>
  <c r="BS96" i="91"/>
  <c r="BR96" i="91"/>
  <c r="BU95" i="91"/>
  <c r="BT95" i="91"/>
  <c r="BS95" i="91"/>
  <c r="BR95" i="91"/>
  <c r="BU94" i="91"/>
  <c r="BT94" i="91"/>
  <c r="BS94" i="91"/>
  <c r="BR94" i="91"/>
  <c r="BU93" i="91"/>
  <c r="BT93" i="91"/>
  <c r="BS93" i="91"/>
  <c r="BR93" i="91"/>
  <c r="BU92" i="91"/>
  <c r="BT92" i="91"/>
  <c r="BS92" i="91"/>
  <c r="BR92" i="91"/>
  <c r="BU91" i="91"/>
  <c r="BT91" i="91"/>
  <c r="BS91" i="91"/>
  <c r="BR91" i="91"/>
  <c r="BU90" i="91"/>
  <c r="BT90" i="91"/>
  <c r="BS90" i="91"/>
  <c r="BR90" i="91"/>
  <c r="BU89" i="91"/>
  <c r="BT89" i="91"/>
  <c r="BS89" i="91"/>
  <c r="BR89" i="91"/>
  <c r="BU88" i="91"/>
  <c r="BT88" i="91"/>
  <c r="BS88" i="91"/>
  <c r="BR88" i="91"/>
  <c r="BU87" i="91"/>
  <c r="BT87" i="91"/>
  <c r="BS87" i="91"/>
  <c r="BR87" i="91"/>
  <c r="BU86" i="91"/>
  <c r="BT86" i="91"/>
  <c r="BS86" i="91"/>
  <c r="BR86" i="91"/>
  <c r="BU85" i="91"/>
  <c r="BT85" i="91"/>
  <c r="BS85" i="91"/>
  <c r="BR85" i="91"/>
  <c r="BU84" i="91"/>
  <c r="BT84" i="91"/>
  <c r="BS84" i="91"/>
  <c r="BR84" i="91"/>
  <c r="BU83" i="91"/>
  <c r="BT83" i="91"/>
  <c r="BS83" i="91"/>
  <c r="BR83" i="91"/>
  <c r="BU82" i="91"/>
  <c r="BT82" i="91"/>
  <c r="BS82" i="91"/>
  <c r="BR82" i="91"/>
  <c r="BU81" i="91"/>
  <c r="BT81" i="91"/>
  <c r="BS81" i="91"/>
  <c r="BR81" i="91"/>
  <c r="BU80" i="91"/>
  <c r="BT80" i="91"/>
  <c r="BS80" i="91"/>
  <c r="BR80" i="91"/>
  <c r="BU79" i="91"/>
  <c r="BT79" i="91"/>
  <c r="BS79" i="91"/>
  <c r="BR79" i="91"/>
  <c r="BU78" i="91"/>
  <c r="BT78" i="91"/>
  <c r="BS78" i="91"/>
  <c r="BR78" i="91"/>
  <c r="BU77" i="91"/>
  <c r="BT77" i="91"/>
  <c r="BS77" i="91"/>
  <c r="BR77" i="91"/>
  <c r="BU76" i="91"/>
  <c r="BT76" i="91"/>
  <c r="BS76" i="91"/>
  <c r="BR76" i="91"/>
  <c r="BU75" i="91"/>
  <c r="BT75" i="91"/>
  <c r="BS75" i="91"/>
  <c r="BR75" i="91"/>
  <c r="BU74" i="91"/>
  <c r="BT74" i="91"/>
  <c r="BS74" i="91"/>
  <c r="BR74" i="91"/>
  <c r="BU73" i="91"/>
  <c r="BT73" i="91"/>
  <c r="BS73" i="91"/>
  <c r="BR73" i="91"/>
  <c r="BU72" i="91"/>
  <c r="BT72" i="91"/>
  <c r="BS72" i="91"/>
  <c r="BR72" i="91"/>
  <c r="BU71" i="91"/>
  <c r="BT71" i="91"/>
  <c r="BS71" i="91"/>
  <c r="BR71" i="91"/>
  <c r="BU70" i="91"/>
  <c r="BT70" i="91"/>
  <c r="BS70" i="91"/>
  <c r="BR70" i="91"/>
  <c r="BU69" i="91"/>
  <c r="BT69" i="91"/>
  <c r="BS69" i="91"/>
  <c r="BR69" i="91"/>
  <c r="BU68" i="91"/>
  <c r="BT68" i="91"/>
  <c r="BS68" i="91"/>
  <c r="BR68" i="91"/>
  <c r="BU67" i="91"/>
  <c r="BT67" i="91"/>
  <c r="BS67" i="91"/>
  <c r="BR67" i="91"/>
  <c r="BU66" i="91"/>
  <c r="BT66" i="91"/>
  <c r="BS66" i="91"/>
  <c r="BR66" i="91"/>
  <c r="BU65" i="91"/>
  <c r="BT65" i="91"/>
  <c r="BS65" i="91"/>
  <c r="BR65" i="91"/>
  <c r="BU64" i="91"/>
  <c r="BT64" i="91"/>
  <c r="BS64" i="91"/>
  <c r="BR64" i="91"/>
  <c r="BU63" i="91"/>
  <c r="BT63" i="91"/>
  <c r="BS63" i="91"/>
  <c r="BR63" i="91"/>
  <c r="BU62" i="91"/>
  <c r="BT62" i="91"/>
  <c r="BS62" i="91"/>
  <c r="BR62" i="91"/>
  <c r="BU61" i="91"/>
  <c r="BT61" i="91"/>
  <c r="BS61" i="91"/>
  <c r="BR61" i="91"/>
  <c r="BU60" i="91"/>
  <c r="BT60" i="91"/>
  <c r="BS60" i="91"/>
  <c r="BR60" i="91"/>
  <c r="BU59" i="91"/>
  <c r="BT59" i="91"/>
  <c r="BS59" i="91"/>
  <c r="BR59" i="91"/>
  <c r="BU58" i="91"/>
  <c r="BT58" i="91"/>
  <c r="BS58" i="91"/>
  <c r="BR58" i="91"/>
  <c r="BU57" i="91"/>
  <c r="BT57" i="91"/>
  <c r="BS57" i="91"/>
  <c r="BR57" i="91"/>
  <c r="BU56" i="91"/>
  <c r="BT56" i="91"/>
  <c r="BS56" i="91"/>
  <c r="BR56" i="91"/>
  <c r="BU55" i="91"/>
  <c r="BT55" i="91"/>
  <c r="BS55" i="91"/>
  <c r="BR55" i="91"/>
  <c r="BU54" i="91"/>
  <c r="BT54" i="91"/>
  <c r="BS54" i="91"/>
  <c r="BR54" i="91"/>
  <c r="BU53" i="91"/>
  <c r="BT53" i="91"/>
  <c r="BS53" i="91"/>
  <c r="BR53" i="91"/>
  <c r="BU52" i="91"/>
  <c r="BT52" i="91"/>
  <c r="BS52" i="91"/>
  <c r="BR52" i="91"/>
  <c r="BU51" i="91"/>
  <c r="BT51" i="91"/>
  <c r="BS51" i="91"/>
  <c r="BR51" i="91"/>
  <c r="BU50" i="91"/>
  <c r="BT50" i="91"/>
  <c r="BS50" i="91"/>
  <c r="BR50" i="91"/>
  <c r="BU49" i="91"/>
  <c r="BT49" i="91"/>
  <c r="BS49" i="91"/>
  <c r="BR49" i="91"/>
  <c r="BU48" i="91"/>
  <c r="BT48" i="91"/>
  <c r="BS48" i="91"/>
  <c r="BR48" i="91"/>
  <c r="BU47" i="91"/>
  <c r="BT47" i="91"/>
  <c r="BS47" i="91"/>
  <c r="BR47" i="91"/>
  <c r="BU46" i="91"/>
  <c r="BT46" i="91"/>
  <c r="BS46" i="91"/>
  <c r="BR46" i="91"/>
  <c r="BU45" i="91"/>
  <c r="BT45" i="91"/>
  <c r="BS45" i="91"/>
  <c r="BR45" i="91"/>
  <c r="BU44" i="91"/>
  <c r="BT44" i="91"/>
  <c r="BS44" i="91"/>
  <c r="BR44" i="91"/>
  <c r="BU43" i="91"/>
  <c r="BT43" i="91"/>
  <c r="BS43" i="91"/>
  <c r="BR43" i="91"/>
  <c r="BU42" i="91"/>
  <c r="BT42" i="91"/>
  <c r="BS42" i="91"/>
  <c r="BR42" i="91"/>
  <c r="BU41" i="91"/>
  <c r="BT41" i="91"/>
  <c r="BS41" i="91"/>
  <c r="BR41" i="91"/>
  <c r="BU40" i="91"/>
  <c r="BT40" i="91"/>
  <c r="BS40" i="91"/>
  <c r="BR40" i="91"/>
  <c r="BU39" i="91"/>
  <c r="BT39" i="91"/>
  <c r="BS39" i="91"/>
  <c r="BR39" i="91"/>
  <c r="BU38" i="91"/>
  <c r="BT38" i="91"/>
  <c r="BS38" i="91"/>
  <c r="BR38" i="91"/>
  <c r="BU37" i="91"/>
  <c r="BT37" i="91"/>
  <c r="BS37" i="91"/>
  <c r="BR37" i="91"/>
  <c r="BU36" i="91"/>
  <c r="BT36" i="91"/>
  <c r="BS36" i="91"/>
  <c r="BR36" i="91"/>
  <c r="BU35" i="91"/>
  <c r="BT35" i="91"/>
  <c r="BS35" i="91"/>
  <c r="BR35" i="91"/>
  <c r="BU34" i="91"/>
  <c r="BT34" i="91"/>
  <c r="BS34" i="91"/>
  <c r="BR34" i="91"/>
  <c r="BU33" i="91"/>
  <c r="BT33" i="91"/>
  <c r="BS33" i="91"/>
  <c r="BR33" i="91"/>
  <c r="BU32" i="91"/>
  <c r="BT32" i="91"/>
  <c r="BS32" i="91"/>
  <c r="BR32" i="91"/>
  <c r="BU31" i="91"/>
  <c r="BT31" i="91"/>
  <c r="BS31" i="91"/>
  <c r="BR31" i="91"/>
  <c r="BU30" i="91"/>
  <c r="BT30" i="91"/>
  <c r="BS30" i="91"/>
  <c r="BR30" i="91"/>
  <c r="BU29" i="91"/>
  <c r="BT29" i="91"/>
  <c r="BS29" i="91"/>
  <c r="BR29" i="91"/>
  <c r="BU28" i="91"/>
  <c r="BT28" i="91"/>
  <c r="BS28" i="91"/>
  <c r="BR28" i="91"/>
  <c r="BU27" i="91"/>
  <c r="BT27" i="91"/>
  <c r="BS27" i="91"/>
  <c r="BR27" i="91"/>
  <c r="BU26" i="91"/>
  <c r="BT26" i="91"/>
  <c r="BS26" i="91"/>
  <c r="BR26" i="91"/>
  <c r="BU25" i="91"/>
  <c r="BT25" i="91"/>
  <c r="BS25" i="91"/>
  <c r="BR25" i="91"/>
  <c r="BU24" i="91"/>
  <c r="BT24" i="91"/>
  <c r="BS24" i="91"/>
  <c r="BR24" i="91"/>
  <c r="BU23" i="91"/>
  <c r="BT23" i="91"/>
  <c r="BS23" i="91"/>
  <c r="BR23" i="91"/>
  <c r="BU22" i="91"/>
  <c r="BT22" i="91"/>
  <c r="BS22" i="91"/>
  <c r="BR22" i="91"/>
  <c r="BU21" i="91"/>
  <c r="BT21" i="91"/>
  <c r="BS21" i="91"/>
  <c r="BR21" i="91"/>
  <c r="BU20" i="91"/>
  <c r="BT20" i="91"/>
  <c r="BS20" i="91"/>
  <c r="BR20" i="91"/>
  <c r="BU19" i="91"/>
  <c r="BT19" i="91"/>
  <c r="BS19" i="91"/>
  <c r="BR19" i="91"/>
  <c r="BU18" i="91"/>
  <c r="BT18" i="91"/>
  <c r="BS18" i="91"/>
  <c r="BR18" i="91"/>
  <c r="BU17" i="91"/>
  <c r="BT17" i="91"/>
  <c r="BS17" i="91"/>
  <c r="BR17" i="91"/>
  <c r="BU16" i="91"/>
  <c r="BT16" i="91"/>
  <c r="BS16" i="91"/>
  <c r="BR16" i="91"/>
  <c r="BU15" i="91"/>
  <c r="BT15" i="91"/>
  <c r="BS15" i="91"/>
  <c r="BR15" i="91"/>
  <c r="BU14" i="91"/>
  <c r="BT14" i="91"/>
  <c r="BS14" i="91"/>
  <c r="BR14" i="91"/>
  <c r="BU13" i="91"/>
  <c r="BT13" i="91"/>
  <c r="BS13" i="91"/>
  <c r="BR13" i="91"/>
  <c r="BU12" i="91"/>
  <c r="BT12" i="91"/>
  <c r="BS12" i="91"/>
  <c r="BR12" i="91"/>
  <c r="BU11" i="91"/>
  <c r="BT11" i="91"/>
  <c r="BS11" i="91"/>
  <c r="BR11" i="91"/>
  <c r="BU10" i="91"/>
  <c r="BT10" i="91"/>
  <c r="BS10" i="91"/>
  <c r="BR10" i="91"/>
  <c r="BU9" i="91"/>
  <c r="BT9" i="91"/>
  <c r="BS9" i="91"/>
  <c r="BR9" i="91"/>
  <c r="BU8" i="91"/>
  <c r="BT8" i="91"/>
  <c r="BS8" i="91"/>
  <c r="BR8" i="91"/>
  <c r="BU7" i="91"/>
  <c r="BT7" i="91"/>
  <c r="BS7" i="91"/>
  <c r="BR7" i="91"/>
  <c r="BU6" i="91"/>
  <c r="BT6" i="91"/>
  <c r="BS6" i="91"/>
  <c r="BR6" i="91"/>
  <c r="BU5" i="91"/>
  <c r="BT5" i="91"/>
  <c r="BS5" i="91"/>
  <c r="BR5" i="91"/>
  <c r="BU4" i="91"/>
  <c r="BT4" i="91"/>
  <c r="BS4" i="91"/>
  <c r="BR4" i="91"/>
  <c r="BU3" i="91"/>
  <c r="BT3" i="91"/>
  <c r="BS3" i="91"/>
  <c r="BR3" i="91"/>
  <c r="BU2" i="91"/>
  <c r="BT2" i="91"/>
  <c r="BS2" i="91"/>
  <c r="BR2" i="91"/>
  <c r="BO168" i="92"/>
  <c r="BN168" i="92"/>
  <c r="BM168" i="92"/>
  <c r="BL168" i="92"/>
  <c r="BK168" i="92"/>
  <c r="BJ168" i="92"/>
  <c r="BI168" i="92"/>
  <c r="BH168" i="92"/>
  <c r="BG168" i="92"/>
  <c r="BF168" i="92"/>
  <c r="BE168" i="92"/>
  <c r="BD168" i="92"/>
  <c r="BC168" i="92"/>
  <c r="BB168" i="92"/>
  <c r="BA168" i="92"/>
  <c r="AZ168" i="92"/>
  <c r="AY168" i="92"/>
  <c r="BO167" i="92"/>
  <c r="BN167" i="92"/>
  <c r="BM167" i="92"/>
  <c r="BL167" i="92"/>
  <c r="BK167" i="92"/>
  <c r="BJ167" i="92"/>
  <c r="BI167" i="92"/>
  <c r="BH167" i="92"/>
  <c r="BG167" i="92"/>
  <c r="BF167" i="92"/>
  <c r="BE167" i="92"/>
  <c r="BD167" i="92"/>
  <c r="BC167" i="92"/>
  <c r="BB167" i="92"/>
  <c r="BA167" i="92"/>
  <c r="AZ167" i="92"/>
  <c r="AY167" i="92"/>
  <c r="BO166" i="92"/>
  <c r="BN166" i="92"/>
  <c r="BM166" i="92"/>
  <c r="BL166" i="92"/>
  <c r="BK166" i="92"/>
  <c r="BJ166" i="92"/>
  <c r="BI166" i="92"/>
  <c r="BH166" i="92"/>
  <c r="BG166" i="92"/>
  <c r="BF166" i="92"/>
  <c r="BE166" i="92"/>
  <c r="BD166" i="92"/>
  <c r="BC166" i="92"/>
  <c r="BB166" i="92"/>
  <c r="BA166" i="92"/>
  <c r="AZ166" i="92"/>
  <c r="AY166" i="92"/>
  <c r="BO165" i="92"/>
  <c r="BN165" i="92"/>
  <c r="BM165" i="92"/>
  <c r="BL165" i="92"/>
  <c r="BK165" i="92"/>
  <c r="BJ165" i="92"/>
  <c r="BI165" i="92"/>
  <c r="BH165" i="92"/>
  <c r="BG165" i="92"/>
  <c r="BF165" i="92"/>
  <c r="BE165" i="92"/>
  <c r="BD165" i="92"/>
  <c r="BC165" i="92"/>
  <c r="BB165" i="92"/>
  <c r="BA165" i="92"/>
  <c r="AZ165" i="92"/>
  <c r="AY165" i="92"/>
  <c r="BO164" i="92"/>
  <c r="BN164" i="92"/>
  <c r="BM164" i="92"/>
  <c r="BL164" i="92"/>
  <c r="BK164" i="92"/>
  <c r="BJ164" i="92"/>
  <c r="BI164" i="92"/>
  <c r="BH164" i="92"/>
  <c r="BG164" i="92"/>
  <c r="BF164" i="92"/>
  <c r="BE164" i="92"/>
  <c r="BD164" i="92"/>
  <c r="BC164" i="92"/>
  <c r="BB164" i="92"/>
  <c r="BA164" i="92"/>
  <c r="AZ164" i="92"/>
  <c r="AY164" i="92"/>
  <c r="BO163" i="92"/>
  <c r="BN163" i="92"/>
  <c r="BM163" i="92"/>
  <c r="BL163" i="92"/>
  <c r="BK163" i="92"/>
  <c r="BJ163" i="92"/>
  <c r="BI163" i="92"/>
  <c r="BH163" i="92"/>
  <c r="BG163" i="92"/>
  <c r="BF163" i="92"/>
  <c r="BE163" i="92"/>
  <c r="BD163" i="92"/>
  <c r="BC163" i="92"/>
  <c r="BB163" i="92"/>
  <c r="BA163" i="92"/>
  <c r="AZ163" i="92"/>
  <c r="AY163" i="92"/>
  <c r="BO162" i="92"/>
  <c r="BN162" i="92"/>
  <c r="BM162" i="92"/>
  <c r="BL162" i="92"/>
  <c r="BK162" i="92"/>
  <c r="BJ162" i="92"/>
  <c r="BI162" i="92"/>
  <c r="BH162" i="92"/>
  <c r="BG162" i="92"/>
  <c r="BF162" i="92"/>
  <c r="BE162" i="92"/>
  <c r="BD162" i="92"/>
  <c r="BC162" i="92"/>
  <c r="BB162" i="92"/>
  <c r="BA162" i="92"/>
  <c r="AZ162" i="92"/>
  <c r="AY162" i="92"/>
  <c r="BO161" i="92"/>
  <c r="BN161" i="92"/>
  <c r="BM161" i="92"/>
  <c r="BL161" i="92"/>
  <c r="BK161" i="92"/>
  <c r="BJ161" i="92"/>
  <c r="BI161" i="92"/>
  <c r="BH161" i="92"/>
  <c r="BG161" i="92"/>
  <c r="BF161" i="92"/>
  <c r="BE161" i="92"/>
  <c r="BD161" i="92"/>
  <c r="BC161" i="92"/>
  <c r="BB161" i="92"/>
  <c r="BA161" i="92"/>
  <c r="AZ161" i="92"/>
  <c r="AY161" i="92"/>
  <c r="BO160" i="92"/>
  <c r="BN160" i="92"/>
  <c r="BM160" i="92"/>
  <c r="BL160" i="92"/>
  <c r="BK160" i="92"/>
  <c r="BJ160" i="92"/>
  <c r="BI160" i="92"/>
  <c r="BH160" i="92"/>
  <c r="BG160" i="92"/>
  <c r="BF160" i="92"/>
  <c r="BE160" i="92"/>
  <c r="BD160" i="92"/>
  <c r="BC160" i="92"/>
  <c r="BB160" i="92"/>
  <c r="BA160" i="92"/>
  <c r="AZ160" i="92"/>
  <c r="AY160" i="92"/>
  <c r="BO159" i="92"/>
  <c r="BN159" i="92"/>
  <c r="BM159" i="92"/>
  <c r="BL159" i="92"/>
  <c r="BK159" i="92"/>
  <c r="BJ159" i="92"/>
  <c r="BI159" i="92"/>
  <c r="BH159" i="92"/>
  <c r="BG159" i="92"/>
  <c r="BF159" i="92"/>
  <c r="BE159" i="92"/>
  <c r="BD159" i="92"/>
  <c r="BC159" i="92"/>
  <c r="BB159" i="92"/>
  <c r="BA159" i="92"/>
  <c r="AZ159" i="92"/>
  <c r="AY159" i="92"/>
  <c r="BO158" i="92"/>
  <c r="BN158" i="92"/>
  <c r="BM158" i="92"/>
  <c r="BL158" i="92"/>
  <c r="BK158" i="92"/>
  <c r="BJ158" i="92"/>
  <c r="BI158" i="92"/>
  <c r="BH158" i="92"/>
  <c r="BG158" i="92"/>
  <c r="BF158" i="92"/>
  <c r="BE158" i="92"/>
  <c r="BD158" i="92"/>
  <c r="BC158" i="92"/>
  <c r="BB158" i="92"/>
  <c r="BA158" i="92"/>
  <c r="AZ158" i="92"/>
  <c r="AY158" i="92"/>
  <c r="BO157" i="92"/>
  <c r="BN157" i="92"/>
  <c r="BM157" i="92"/>
  <c r="BL157" i="92"/>
  <c r="BK157" i="92"/>
  <c r="BJ157" i="92"/>
  <c r="BI157" i="92"/>
  <c r="BH157" i="92"/>
  <c r="BG157" i="92"/>
  <c r="BF157" i="92"/>
  <c r="BE157" i="92"/>
  <c r="BD157" i="92"/>
  <c r="BC157" i="92"/>
  <c r="BB157" i="92"/>
  <c r="BA157" i="92"/>
  <c r="AZ157" i="92"/>
  <c r="AY157" i="92"/>
  <c r="BO156" i="92"/>
  <c r="BN156" i="92"/>
  <c r="BM156" i="92"/>
  <c r="BL156" i="92"/>
  <c r="BK156" i="92"/>
  <c r="BJ156" i="92"/>
  <c r="BI156" i="92"/>
  <c r="BH156" i="92"/>
  <c r="BG156" i="92"/>
  <c r="BF156" i="92"/>
  <c r="BE156" i="92"/>
  <c r="BD156" i="92"/>
  <c r="BC156" i="92"/>
  <c r="BB156" i="92"/>
  <c r="BA156" i="92"/>
  <c r="AZ156" i="92"/>
  <c r="AY156" i="92"/>
  <c r="BO155" i="92"/>
  <c r="BN155" i="92"/>
  <c r="BM155" i="92"/>
  <c r="BL155" i="92"/>
  <c r="BK155" i="92"/>
  <c r="BJ155" i="92"/>
  <c r="BI155" i="92"/>
  <c r="BH155" i="92"/>
  <c r="BG155" i="92"/>
  <c r="BF155" i="92"/>
  <c r="BE155" i="92"/>
  <c r="BD155" i="92"/>
  <c r="BC155" i="92"/>
  <c r="BB155" i="92"/>
  <c r="BA155" i="92"/>
  <c r="AZ155" i="92"/>
  <c r="AY155" i="92"/>
  <c r="BO154" i="92"/>
  <c r="BN154" i="92"/>
  <c r="BM154" i="92"/>
  <c r="BL154" i="92"/>
  <c r="BK154" i="92"/>
  <c r="BJ154" i="92"/>
  <c r="BI154" i="92"/>
  <c r="BH154" i="92"/>
  <c r="BG154" i="92"/>
  <c r="BF154" i="92"/>
  <c r="BE154" i="92"/>
  <c r="BD154" i="92"/>
  <c r="BC154" i="92"/>
  <c r="BB154" i="92"/>
  <c r="BA154" i="92"/>
  <c r="AZ154" i="92"/>
  <c r="AY154" i="92"/>
  <c r="BO153" i="92"/>
  <c r="BN153" i="92"/>
  <c r="BM153" i="92"/>
  <c r="BL153" i="92"/>
  <c r="BK153" i="92"/>
  <c r="BJ153" i="92"/>
  <c r="BI153" i="92"/>
  <c r="BH153" i="92"/>
  <c r="BG153" i="92"/>
  <c r="BF153" i="92"/>
  <c r="BE153" i="92"/>
  <c r="BD153" i="92"/>
  <c r="BC153" i="92"/>
  <c r="BB153" i="92"/>
  <c r="BA153" i="92"/>
  <c r="AZ153" i="92"/>
  <c r="AY153" i="92"/>
  <c r="BO152" i="92"/>
  <c r="BN152" i="92"/>
  <c r="BM152" i="92"/>
  <c r="BL152" i="92"/>
  <c r="BK152" i="92"/>
  <c r="BJ152" i="92"/>
  <c r="BI152" i="92"/>
  <c r="BH152" i="92"/>
  <c r="BG152" i="92"/>
  <c r="BF152" i="92"/>
  <c r="BE152" i="92"/>
  <c r="BD152" i="92"/>
  <c r="BC152" i="92"/>
  <c r="BB152" i="92"/>
  <c r="BA152" i="92"/>
  <c r="AZ152" i="92"/>
  <c r="AY152" i="92"/>
  <c r="BO151" i="92"/>
  <c r="BN151" i="92"/>
  <c r="BM151" i="92"/>
  <c r="BL151" i="92"/>
  <c r="BK151" i="92"/>
  <c r="BJ151" i="92"/>
  <c r="BI151" i="92"/>
  <c r="BH151" i="92"/>
  <c r="BG151" i="92"/>
  <c r="BF151" i="92"/>
  <c r="BE151" i="92"/>
  <c r="BD151" i="92"/>
  <c r="BC151" i="92"/>
  <c r="BB151" i="92"/>
  <c r="BA151" i="92"/>
  <c r="AZ151" i="92"/>
  <c r="AY151" i="92"/>
  <c r="BO150" i="92"/>
  <c r="BN150" i="92"/>
  <c r="BM150" i="92"/>
  <c r="BL150" i="92"/>
  <c r="BK150" i="92"/>
  <c r="BJ150" i="92"/>
  <c r="BI150" i="92"/>
  <c r="BH150" i="92"/>
  <c r="BG150" i="92"/>
  <c r="BF150" i="92"/>
  <c r="BE150" i="92"/>
  <c r="BD150" i="92"/>
  <c r="BC150" i="92"/>
  <c r="BB150" i="92"/>
  <c r="BA150" i="92"/>
  <c r="AZ150" i="92"/>
  <c r="AY150" i="92"/>
  <c r="BO149" i="92"/>
  <c r="BN149" i="92"/>
  <c r="BM149" i="92"/>
  <c r="BL149" i="92"/>
  <c r="BK149" i="92"/>
  <c r="BJ149" i="92"/>
  <c r="BI149" i="92"/>
  <c r="BH149" i="92"/>
  <c r="BG149" i="92"/>
  <c r="BF149" i="92"/>
  <c r="BE149" i="92"/>
  <c r="BD149" i="92"/>
  <c r="BC149" i="92"/>
  <c r="BB149" i="92"/>
  <c r="BA149" i="92"/>
  <c r="AZ149" i="92"/>
  <c r="AY149" i="92"/>
  <c r="BO148" i="92"/>
  <c r="BN148" i="92"/>
  <c r="BM148" i="92"/>
  <c r="BL148" i="92"/>
  <c r="BK148" i="92"/>
  <c r="BJ148" i="92"/>
  <c r="BI148" i="92"/>
  <c r="BH148" i="92"/>
  <c r="BG148" i="92"/>
  <c r="BF148" i="92"/>
  <c r="BE148" i="92"/>
  <c r="BD148" i="92"/>
  <c r="BC148" i="92"/>
  <c r="BB148" i="92"/>
  <c r="BA148" i="92"/>
  <c r="AZ148" i="92"/>
  <c r="AY148" i="92"/>
  <c r="BO147" i="92"/>
  <c r="BN147" i="92"/>
  <c r="BM147" i="92"/>
  <c r="BL147" i="92"/>
  <c r="BK147" i="92"/>
  <c r="BJ147" i="92"/>
  <c r="BI147" i="92"/>
  <c r="BH147" i="92"/>
  <c r="BG147" i="92"/>
  <c r="BF147" i="92"/>
  <c r="BE147" i="92"/>
  <c r="BD147" i="92"/>
  <c r="BC147" i="92"/>
  <c r="BB147" i="92"/>
  <c r="BA147" i="92"/>
  <c r="AZ147" i="92"/>
  <c r="AY147" i="92"/>
  <c r="BO146" i="92"/>
  <c r="BN146" i="92"/>
  <c r="BM146" i="92"/>
  <c r="BL146" i="92"/>
  <c r="BK146" i="92"/>
  <c r="BJ146" i="92"/>
  <c r="BI146" i="92"/>
  <c r="BH146" i="92"/>
  <c r="BG146" i="92"/>
  <c r="BF146" i="92"/>
  <c r="BE146" i="92"/>
  <c r="BD146" i="92"/>
  <c r="BC146" i="92"/>
  <c r="BB146" i="92"/>
  <c r="BA146" i="92"/>
  <c r="AZ146" i="92"/>
  <c r="AY146" i="92"/>
  <c r="BO145" i="92"/>
  <c r="BN145" i="92"/>
  <c r="BM145" i="92"/>
  <c r="BL145" i="92"/>
  <c r="BK145" i="92"/>
  <c r="BJ145" i="92"/>
  <c r="BI145" i="92"/>
  <c r="BH145" i="92"/>
  <c r="BG145" i="92"/>
  <c r="BF145" i="92"/>
  <c r="BE145" i="92"/>
  <c r="BD145" i="92"/>
  <c r="BC145" i="92"/>
  <c r="BB145" i="92"/>
  <c r="BA145" i="92"/>
  <c r="AZ145" i="92"/>
  <c r="AY145" i="92"/>
  <c r="BO144" i="92"/>
  <c r="BN144" i="92"/>
  <c r="BM144" i="92"/>
  <c r="BL144" i="92"/>
  <c r="BK144" i="92"/>
  <c r="BJ144" i="92"/>
  <c r="BI144" i="92"/>
  <c r="BH144" i="92"/>
  <c r="BG144" i="92"/>
  <c r="BF144" i="92"/>
  <c r="BE144" i="92"/>
  <c r="BD144" i="92"/>
  <c r="BC144" i="92"/>
  <c r="BB144" i="92"/>
  <c r="BA144" i="92"/>
  <c r="AZ144" i="92"/>
  <c r="AY144" i="92"/>
  <c r="BO143" i="92"/>
  <c r="BN143" i="92"/>
  <c r="BM143" i="92"/>
  <c r="BL143" i="92"/>
  <c r="BK143" i="92"/>
  <c r="BJ143" i="92"/>
  <c r="BI143" i="92"/>
  <c r="BH143" i="92"/>
  <c r="BG143" i="92"/>
  <c r="BF143" i="92"/>
  <c r="BE143" i="92"/>
  <c r="BD143" i="92"/>
  <c r="BC143" i="92"/>
  <c r="BB143" i="92"/>
  <c r="BA143" i="92"/>
  <c r="AZ143" i="92"/>
  <c r="AY143" i="92"/>
  <c r="BO142" i="92"/>
  <c r="BN142" i="92"/>
  <c r="BM142" i="92"/>
  <c r="BL142" i="92"/>
  <c r="BK142" i="92"/>
  <c r="BJ142" i="92"/>
  <c r="BI142" i="92"/>
  <c r="BH142" i="92"/>
  <c r="BG142" i="92"/>
  <c r="BF142" i="92"/>
  <c r="BE142" i="92"/>
  <c r="BD142" i="92"/>
  <c r="BC142" i="92"/>
  <c r="BB142" i="92"/>
  <c r="BA142" i="92"/>
  <c r="AZ142" i="92"/>
  <c r="AY142" i="92"/>
  <c r="BO141" i="92"/>
  <c r="BN141" i="92"/>
  <c r="BM141" i="92"/>
  <c r="BL141" i="92"/>
  <c r="BK141" i="92"/>
  <c r="BJ141" i="92"/>
  <c r="BI141" i="92"/>
  <c r="BH141" i="92"/>
  <c r="BG141" i="92"/>
  <c r="BF141" i="92"/>
  <c r="BE141" i="92"/>
  <c r="BD141" i="92"/>
  <c r="BC141" i="92"/>
  <c r="BB141" i="92"/>
  <c r="BA141" i="92"/>
  <c r="AZ141" i="92"/>
  <c r="AY141" i="92"/>
  <c r="BO140" i="92"/>
  <c r="BN140" i="92"/>
  <c r="BM140" i="92"/>
  <c r="BL140" i="92"/>
  <c r="BK140" i="92"/>
  <c r="BJ140" i="92"/>
  <c r="BI140" i="92"/>
  <c r="BH140" i="92"/>
  <c r="BG140" i="92"/>
  <c r="BF140" i="92"/>
  <c r="BE140" i="92"/>
  <c r="BD140" i="92"/>
  <c r="BC140" i="92"/>
  <c r="BB140" i="92"/>
  <c r="BA140" i="92"/>
  <c r="AZ140" i="92"/>
  <c r="AY140" i="92"/>
  <c r="BO139" i="92"/>
  <c r="BN139" i="92"/>
  <c r="BM139" i="92"/>
  <c r="BL139" i="92"/>
  <c r="BK139" i="92"/>
  <c r="BJ139" i="92"/>
  <c r="BI139" i="92"/>
  <c r="BH139" i="92"/>
  <c r="BG139" i="92"/>
  <c r="BF139" i="92"/>
  <c r="BE139" i="92"/>
  <c r="BD139" i="92"/>
  <c r="BC139" i="92"/>
  <c r="BB139" i="92"/>
  <c r="BA139" i="92"/>
  <c r="AZ139" i="92"/>
  <c r="AY139" i="92"/>
  <c r="BO138" i="92"/>
  <c r="BN138" i="92"/>
  <c r="BM138" i="92"/>
  <c r="BL138" i="92"/>
  <c r="BK138" i="92"/>
  <c r="BJ138" i="92"/>
  <c r="BI138" i="92"/>
  <c r="BH138" i="92"/>
  <c r="BG138" i="92"/>
  <c r="BF138" i="92"/>
  <c r="BE138" i="92"/>
  <c r="BD138" i="92"/>
  <c r="BC138" i="92"/>
  <c r="BB138" i="92"/>
  <c r="BA138" i="92"/>
  <c r="AZ138" i="92"/>
  <c r="AY138" i="92"/>
  <c r="BO137" i="92"/>
  <c r="BN137" i="92"/>
  <c r="BM137" i="92"/>
  <c r="BL137" i="92"/>
  <c r="BK137" i="92"/>
  <c r="BJ137" i="92"/>
  <c r="BI137" i="92"/>
  <c r="BH137" i="92"/>
  <c r="BG137" i="92"/>
  <c r="BF137" i="92"/>
  <c r="BE137" i="92"/>
  <c r="BD137" i="92"/>
  <c r="BC137" i="92"/>
  <c r="BB137" i="92"/>
  <c r="BA137" i="92"/>
  <c r="AZ137" i="92"/>
  <c r="AY137" i="92"/>
  <c r="BO136" i="92"/>
  <c r="BN136" i="92"/>
  <c r="BM136" i="92"/>
  <c r="BL136" i="92"/>
  <c r="BK136" i="92"/>
  <c r="BJ136" i="92"/>
  <c r="BI136" i="92"/>
  <c r="BH136" i="92"/>
  <c r="BG136" i="92"/>
  <c r="BF136" i="92"/>
  <c r="BE136" i="92"/>
  <c r="BD136" i="92"/>
  <c r="BC136" i="92"/>
  <c r="BB136" i="92"/>
  <c r="BA136" i="92"/>
  <c r="AZ136" i="92"/>
  <c r="AY136" i="92"/>
  <c r="BO135" i="92"/>
  <c r="BN135" i="92"/>
  <c r="BM135" i="92"/>
  <c r="BL135" i="92"/>
  <c r="BK135" i="92"/>
  <c r="BJ135" i="92"/>
  <c r="BI135" i="92"/>
  <c r="BH135" i="92"/>
  <c r="BG135" i="92"/>
  <c r="BF135" i="92"/>
  <c r="BE135" i="92"/>
  <c r="BD135" i="92"/>
  <c r="BC135" i="92"/>
  <c r="BB135" i="92"/>
  <c r="BA135" i="92"/>
  <c r="AZ135" i="92"/>
  <c r="AY135" i="92"/>
  <c r="BO134" i="92"/>
  <c r="BN134" i="92"/>
  <c r="BM134" i="92"/>
  <c r="BL134" i="92"/>
  <c r="BK134" i="92"/>
  <c r="BJ134" i="92"/>
  <c r="BI134" i="92"/>
  <c r="BH134" i="92"/>
  <c r="BG134" i="92"/>
  <c r="BF134" i="92"/>
  <c r="BE134" i="92"/>
  <c r="BD134" i="92"/>
  <c r="BC134" i="92"/>
  <c r="BB134" i="92"/>
  <c r="BA134" i="92"/>
  <c r="AZ134" i="92"/>
  <c r="AY134" i="92"/>
  <c r="BO133" i="92"/>
  <c r="BN133" i="92"/>
  <c r="BM133" i="92"/>
  <c r="BL133" i="92"/>
  <c r="BK133" i="92"/>
  <c r="BJ133" i="92"/>
  <c r="BI133" i="92"/>
  <c r="BH133" i="92"/>
  <c r="BG133" i="92"/>
  <c r="BF133" i="92"/>
  <c r="BE133" i="92"/>
  <c r="BD133" i="92"/>
  <c r="BC133" i="92"/>
  <c r="BB133" i="92"/>
  <c r="BA133" i="92"/>
  <c r="AZ133" i="92"/>
  <c r="AY133" i="92"/>
  <c r="BO132" i="92"/>
  <c r="BN132" i="92"/>
  <c r="BM132" i="92"/>
  <c r="BL132" i="92"/>
  <c r="BK132" i="92"/>
  <c r="BJ132" i="92"/>
  <c r="BI132" i="92"/>
  <c r="BH132" i="92"/>
  <c r="BG132" i="92"/>
  <c r="BF132" i="92"/>
  <c r="BE132" i="92"/>
  <c r="BD132" i="92"/>
  <c r="BC132" i="92"/>
  <c r="BB132" i="92"/>
  <c r="BA132" i="92"/>
  <c r="AZ132" i="92"/>
  <c r="AY132" i="92"/>
  <c r="BO131" i="92"/>
  <c r="BN131" i="92"/>
  <c r="BM131" i="92"/>
  <c r="BL131" i="92"/>
  <c r="BK131" i="92"/>
  <c r="BJ131" i="92"/>
  <c r="BI131" i="92"/>
  <c r="BH131" i="92"/>
  <c r="BG131" i="92"/>
  <c r="BF131" i="92"/>
  <c r="BE131" i="92"/>
  <c r="BD131" i="92"/>
  <c r="BC131" i="92"/>
  <c r="BB131" i="92"/>
  <c r="BA131" i="92"/>
  <c r="AZ131" i="92"/>
  <c r="AY131" i="92"/>
  <c r="BO130" i="92"/>
  <c r="BN130" i="92"/>
  <c r="BM130" i="92"/>
  <c r="BL130" i="92"/>
  <c r="BK130" i="92"/>
  <c r="BJ130" i="92"/>
  <c r="BI130" i="92"/>
  <c r="BH130" i="92"/>
  <c r="BG130" i="92"/>
  <c r="BF130" i="92"/>
  <c r="BE130" i="92"/>
  <c r="BD130" i="92"/>
  <c r="BC130" i="92"/>
  <c r="BB130" i="92"/>
  <c r="BA130" i="92"/>
  <c r="AZ130" i="92"/>
  <c r="AY130" i="92"/>
  <c r="BO129" i="92"/>
  <c r="BN129" i="92"/>
  <c r="BM129" i="92"/>
  <c r="BL129" i="92"/>
  <c r="BK129" i="92"/>
  <c r="BJ129" i="92"/>
  <c r="BI129" i="92"/>
  <c r="BH129" i="92"/>
  <c r="BG129" i="92"/>
  <c r="BF129" i="92"/>
  <c r="BE129" i="92"/>
  <c r="BD129" i="92"/>
  <c r="BC129" i="92"/>
  <c r="BB129" i="92"/>
  <c r="BA129" i="92"/>
  <c r="AZ129" i="92"/>
  <c r="AY129" i="92"/>
  <c r="BO128" i="92"/>
  <c r="BN128" i="92"/>
  <c r="BM128" i="92"/>
  <c r="BL128" i="92"/>
  <c r="BK128" i="92"/>
  <c r="BJ128" i="92"/>
  <c r="BI128" i="92"/>
  <c r="BH128" i="92"/>
  <c r="BG128" i="92"/>
  <c r="BF128" i="92"/>
  <c r="BE128" i="92"/>
  <c r="BD128" i="92"/>
  <c r="BC128" i="92"/>
  <c r="BB128" i="92"/>
  <c r="BA128" i="92"/>
  <c r="AZ128" i="92"/>
  <c r="AY128" i="92"/>
  <c r="BO127" i="92"/>
  <c r="BN127" i="92"/>
  <c r="BM127" i="92"/>
  <c r="BL127" i="92"/>
  <c r="BK127" i="92"/>
  <c r="BJ127" i="92"/>
  <c r="BI127" i="92"/>
  <c r="BH127" i="92"/>
  <c r="BG127" i="92"/>
  <c r="BF127" i="92"/>
  <c r="BE127" i="92"/>
  <c r="BD127" i="92"/>
  <c r="BC127" i="92"/>
  <c r="BB127" i="92"/>
  <c r="BA127" i="92"/>
  <c r="AZ127" i="92"/>
  <c r="AY127" i="92"/>
  <c r="BO126" i="92"/>
  <c r="BN126" i="92"/>
  <c r="BM126" i="92"/>
  <c r="BL126" i="92"/>
  <c r="BK126" i="92"/>
  <c r="BJ126" i="92"/>
  <c r="BI126" i="92"/>
  <c r="BH126" i="92"/>
  <c r="BG126" i="92"/>
  <c r="BF126" i="92"/>
  <c r="BE126" i="92"/>
  <c r="BD126" i="92"/>
  <c r="BC126" i="92"/>
  <c r="BB126" i="92"/>
  <c r="BA126" i="92"/>
  <c r="AZ126" i="92"/>
  <c r="AY126" i="92"/>
  <c r="BO125" i="92"/>
  <c r="BN125" i="92"/>
  <c r="BM125" i="92"/>
  <c r="BL125" i="92"/>
  <c r="BK125" i="92"/>
  <c r="BJ125" i="92"/>
  <c r="BI125" i="92"/>
  <c r="BH125" i="92"/>
  <c r="BG125" i="92"/>
  <c r="BF125" i="92"/>
  <c r="BE125" i="92"/>
  <c r="BD125" i="92"/>
  <c r="BC125" i="92"/>
  <c r="BB125" i="92"/>
  <c r="BA125" i="92"/>
  <c r="AZ125" i="92"/>
  <c r="AY125" i="92"/>
  <c r="BO124" i="92"/>
  <c r="BN124" i="92"/>
  <c r="BM124" i="92"/>
  <c r="BL124" i="92"/>
  <c r="BK124" i="92"/>
  <c r="BJ124" i="92"/>
  <c r="BI124" i="92"/>
  <c r="BH124" i="92"/>
  <c r="BG124" i="92"/>
  <c r="BF124" i="92"/>
  <c r="BE124" i="92"/>
  <c r="BD124" i="92"/>
  <c r="BC124" i="92"/>
  <c r="BB124" i="92"/>
  <c r="BA124" i="92"/>
  <c r="AZ124" i="92"/>
  <c r="AY124" i="92"/>
  <c r="BO123" i="92"/>
  <c r="BN123" i="92"/>
  <c r="BM123" i="92"/>
  <c r="BL123" i="92"/>
  <c r="BK123" i="92"/>
  <c r="BJ123" i="92"/>
  <c r="BI123" i="92"/>
  <c r="BH123" i="92"/>
  <c r="BG123" i="92"/>
  <c r="BF123" i="92"/>
  <c r="BE123" i="92"/>
  <c r="BD123" i="92"/>
  <c r="BC123" i="92"/>
  <c r="BB123" i="92"/>
  <c r="BA123" i="92"/>
  <c r="AZ123" i="92"/>
  <c r="AY123" i="92"/>
  <c r="BO122" i="92"/>
  <c r="BN122" i="92"/>
  <c r="BM122" i="92"/>
  <c r="BL122" i="92"/>
  <c r="BK122" i="92"/>
  <c r="BJ122" i="92"/>
  <c r="BI122" i="92"/>
  <c r="BH122" i="92"/>
  <c r="BG122" i="92"/>
  <c r="BF122" i="92"/>
  <c r="BE122" i="92"/>
  <c r="BD122" i="92"/>
  <c r="BC122" i="92"/>
  <c r="BB122" i="92"/>
  <c r="BA122" i="92"/>
  <c r="AZ122" i="92"/>
  <c r="AY122" i="92"/>
  <c r="BO121" i="92"/>
  <c r="BN121" i="92"/>
  <c r="BM121" i="92"/>
  <c r="BL121" i="92"/>
  <c r="BK121" i="92"/>
  <c r="BJ121" i="92"/>
  <c r="BI121" i="92"/>
  <c r="BH121" i="92"/>
  <c r="BG121" i="92"/>
  <c r="BF121" i="92"/>
  <c r="BE121" i="92"/>
  <c r="BD121" i="92"/>
  <c r="BC121" i="92"/>
  <c r="BB121" i="92"/>
  <c r="BA121" i="92"/>
  <c r="AZ121" i="92"/>
  <c r="AY121" i="92"/>
  <c r="BO120" i="92"/>
  <c r="BN120" i="92"/>
  <c r="BM120" i="92"/>
  <c r="BL120" i="92"/>
  <c r="BK120" i="92"/>
  <c r="BJ120" i="92"/>
  <c r="BI120" i="92"/>
  <c r="BH120" i="92"/>
  <c r="BG120" i="92"/>
  <c r="BF120" i="92"/>
  <c r="BE120" i="92"/>
  <c r="BD120" i="92"/>
  <c r="BC120" i="92"/>
  <c r="BB120" i="92"/>
  <c r="BA120" i="92"/>
  <c r="AZ120" i="92"/>
  <c r="AY120" i="92"/>
  <c r="BO119" i="92"/>
  <c r="BN119" i="92"/>
  <c r="BM119" i="92"/>
  <c r="BL119" i="92"/>
  <c r="BK119" i="92"/>
  <c r="BJ119" i="92"/>
  <c r="BI119" i="92"/>
  <c r="BH119" i="92"/>
  <c r="BG119" i="92"/>
  <c r="BF119" i="92"/>
  <c r="BE119" i="92"/>
  <c r="BD119" i="92"/>
  <c r="BC119" i="92"/>
  <c r="BB119" i="92"/>
  <c r="BA119" i="92"/>
  <c r="AZ119" i="92"/>
  <c r="AY119" i="92"/>
  <c r="BO118" i="92"/>
  <c r="BN118" i="92"/>
  <c r="BM118" i="92"/>
  <c r="BL118" i="92"/>
  <c r="BK118" i="92"/>
  <c r="BJ118" i="92"/>
  <c r="BI118" i="92"/>
  <c r="BH118" i="92"/>
  <c r="BG118" i="92"/>
  <c r="BF118" i="92"/>
  <c r="BE118" i="92"/>
  <c r="BD118" i="92"/>
  <c r="BC118" i="92"/>
  <c r="BB118" i="92"/>
  <c r="BA118" i="92"/>
  <c r="AZ118" i="92"/>
  <c r="AY118" i="92"/>
  <c r="BO117" i="92"/>
  <c r="BN117" i="92"/>
  <c r="BM117" i="92"/>
  <c r="BL117" i="92"/>
  <c r="BK117" i="92"/>
  <c r="BJ117" i="92"/>
  <c r="BI117" i="92"/>
  <c r="BH117" i="92"/>
  <c r="BG117" i="92"/>
  <c r="BF117" i="92"/>
  <c r="BE117" i="92"/>
  <c r="BD117" i="92"/>
  <c r="BC117" i="92"/>
  <c r="BB117" i="92"/>
  <c r="BA117" i="92"/>
  <c r="AZ117" i="92"/>
  <c r="AY117" i="92"/>
  <c r="BO116" i="92"/>
  <c r="BN116" i="92"/>
  <c r="BM116" i="92"/>
  <c r="BL116" i="92"/>
  <c r="BK116" i="92"/>
  <c r="BJ116" i="92"/>
  <c r="BI116" i="92"/>
  <c r="BH116" i="92"/>
  <c r="BG116" i="92"/>
  <c r="BF116" i="92"/>
  <c r="BE116" i="92"/>
  <c r="BD116" i="92"/>
  <c r="BC116" i="92"/>
  <c r="BB116" i="92"/>
  <c r="BA116" i="92"/>
  <c r="AZ116" i="92"/>
  <c r="AY116" i="92"/>
  <c r="BO115" i="92"/>
  <c r="BN115" i="92"/>
  <c r="BM115" i="92"/>
  <c r="BL115" i="92"/>
  <c r="BK115" i="92"/>
  <c r="BJ115" i="92"/>
  <c r="BI115" i="92"/>
  <c r="BH115" i="92"/>
  <c r="BG115" i="92"/>
  <c r="BF115" i="92"/>
  <c r="BE115" i="92"/>
  <c r="BD115" i="92"/>
  <c r="BC115" i="92"/>
  <c r="BB115" i="92"/>
  <c r="BA115" i="92"/>
  <c r="AZ115" i="92"/>
  <c r="AY115" i="92"/>
  <c r="BO114" i="92"/>
  <c r="BN114" i="92"/>
  <c r="BM114" i="92"/>
  <c r="BL114" i="92"/>
  <c r="BK114" i="92"/>
  <c r="BJ114" i="92"/>
  <c r="BI114" i="92"/>
  <c r="BH114" i="92"/>
  <c r="BG114" i="92"/>
  <c r="BF114" i="92"/>
  <c r="BE114" i="92"/>
  <c r="BD114" i="92"/>
  <c r="BC114" i="92"/>
  <c r="BB114" i="92"/>
  <c r="BA114" i="92"/>
  <c r="AZ114" i="92"/>
  <c r="AY114" i="92"/>
  <c r="BO113" i="92"/>
  <c r="BN113" i="92"/>
  <c r="BM113" i="92"/>
  <c r="BL113" i="92"/>
  <c r="BK113" i="92"/>
  <c r="BJ113" i="92"/>
  <c r="BI113" i="92"/>
  <c r="BH113" i="92"/>
  <c r="BG113" i="92"/>
  <c r="BF113" i="92"/>
  <c r="BE113" i="92"/>
  <c r="BD113" i="92"/>
  <c r="BC113" i="92"/>
  <c r="BB113" i="92"/>
  <c r="BA113" i="92"/>
  <c r="AZ113" i="92"/>
  <c r="AY113" i="92"/>
  <c r="BO112" i="92"/>
  <c r="BN112" i="92"/>
  <c r="BM112" i="92"/>
  <c r="BL112" i="92"/>
  <c r="BK112" i="92"/>
  <c r="BJ112" i="92"/>
  <c r="BI112" i="92"/>
  <c r="BH112" i="92"/>
  <c r="BG112" i="92"/>
  <c r="BF112" i="92"/>
  <c r="BE112" i="92"/>
  <c r="BD112" i="92"/>
  <c r="BC112" i="92"/>
  <c r="BB112" i="92"/>
  <c r="BA112" i="92"/>
  <c r="AZ112" i="92"/>
  <c r="AY112" i="92"/>
  <c r="BO111" i="92"/>
  <c r="BN111" i="92"/>
  <c r="BM111" i="92"/>
  <c r="BL111" i="92"/>
  <c r="BK111" i="92"/>
  <c r="BJ111" i="92"/>
  <c r="BI111" i="92"/>
  <c r="BH111" i="92"/>
  <c r="BG111" i="92"/>
  <c r="BF111" i="92"/>
  <c r="BE111" i="92"/>
  <c r="BD111" i="92"/>
  <c r="BC111" i="92"/>
  <c r="BB111" i="92"/>
  <c r="BA111" i="92"/>
  <c r="AZ111" i="92"/>
  <c r="AY111" i="92"/>
  <c r="BO110" i="92"/>
  <c r="BN110" i="92"/>
  <c r="BM110" i="92"/>
  <c r="BL110" i="92"/>
  <c r="BK110" i="92"/>
  <c r="BJ110" i="92"/>
  <c r="BI110" i="92"/>
  <c r="BH110" i="92"/>
  <c r="BG110" i="92"/>
  <c r="BF110" i="92"/>
  <c r="BE110" i="92"/>
  <c r="BD110" i="92"/>
  <c r="BC110" i="92"/>
  <c r="BB110" i="92"/>
  <c r="BA110" i="92"/>
  <c r="AZ110" i="92"/>
  <c r="AY110" i="92"/>
  <c r="BO109" i="92"/>
  <c r="BN109" i="92"/>
  <c r="BM109" i="92"/>
  <c r="BL109" i="92"/>
  <c r="BK109" i="92"/>
  <c r="BJ109" i="92"/>
  <c r="BI109" i="92"/>
  <c r="BH109" i="92"/>
  <c r="BG109" i="92"/>
  <c r="BF109" i="92"/>
  <c r="BE109" i="92"/>
  <c r="BD109" i="92"/>
  <c r="BC109" i="92"/>
  <c r="BB109" i="92"/>
  <c r="BA109" i="92"/>
  <c r="AZ109" i="92"/>
  <c r="AY109" i="92"/>
  <c r="BO108" i="92"/>
  <c r="BN108" i="92"/>
  <c r="BM108" i="92"/>
  <c r="BL108" i="92"/>
  <c r="BK108" i="92"/>
  <c r="BJ108" i="92"/>
  <c r="BI108" i="92"/>
  <c r="BH108" i="92"/>
  <c r="BG108" i="92"/>
  <c r="BF108" i="92"/>
  <c r="BE108" i="92"/>
  <c r="BD108" i="92"/>
  <c r="BC108" i="92"/>
  <c r="BB108" i="92"/>
  <c r="BA108" i="92"/>
  <c r="AZ108" i="92"/>
  <c r="AY108" i="92"/>
  <c r="BO107" i="92"/>
  <c r="BN107" i="92"/>
  <c r="BM107" i="92"/>
  <c r="BL107" i="92"/>
  <c r="BK107" i="92"/>
  <c r="BJ107" i="92"/>
  <c r="BI107" i="92"/>
  <c r="BH107" i="92"/>
  <c r="BG107" i="92"/>
  <c r="BF107" i="92"/>
  <c r="BE107" i="92"/>
  <c r="BD107" i="92"/>
  <c r="BC107" i="92"/>
  <c r="BB107" i="92"/>
  <c r="BA107" i="92"/>
  <c r="AZ107" i="92"/>
  <c r="AY107" i="92"/>
  <c r="BO106" i="92"/>
  <c r="BN106" i="92"/>
  <c r="BM106" i="92"/>
  <c r="BL106" i="92"/>
  <c r="BK106" i="92"/>
  <c r="BJ106" i="92"/>
  <c r="BI106" i="92"/>
  <c r="BH106" i="92"/>
  <c r="BG106" i="92"/>
  <c r="BF106" i="92"/>
  <c r="BE106" i="92"/>
  <c r="BD106" i="92"/>
  <c r="BC106" i="92"/>
  <c r="BB106" i="92"/>
  <c r="BA106" i="92"/>
  <c r="AZ106" i="92"/>
  <c r="AY106" i="92"/>
  <c r="BO105" i="92"/>
  <c r="BN105" i="92"/>
  <c r="BM105" i="92"/>
  <c r="BL105" i="92"/>
  <c r="BK105" i="92"/>
  <c r="BJ105" i="92"/>
  <c r="BI105" i="92"/>
  <c r="BH105" i="92"/>
  <c r="BG105" i="92"/>
  <c r="BF105" i="92"/>
  <c r="BE105" i="92"/>
  <c r="BD105" i="92"/>
  <c r="BC105" i="92"/>
  <c r="BB105" i="92"/>
  <c r="BA105" i="92"/>
  <c r="AZ105" i="92"/>
  <c r="AY105" i="92"/>
  <c r="BO104" i="92"/>
  <c r="BN104" i="92"/>
  <c r="BM104" i="92"/>
  <c r="BL104" i="92"/>
  <c r="BK104" i="92"/>
  <c r="BJ104" i="92"/>
  <c r="BI104" i="92"/>
  <c r="BH104" i="92"/>
  <c r="BG104" i="92"/>
  <c r="BF104" i="92"/>
  <c r="BE104" i="92"/>
  <c r="BD104" i="92"/>
  <c r="BC104" i="92"/>
  <c r="BB104" i="92"/>
  <c r="BA104" i="92"/>
  <c r="AZ104" i="92"/>
  <c r="AY104" i="92"/>
  <c r="BO103" i="92"/>
  <c r="BN103" i="92"/>
  <c r="BM103" i="92"/>
  <c r="BL103" i="92"/>
  <c r="BK103" i="92"/>
  <c r="BJ103" i="92"/>
  <c r="BI103" i="92"/>
  <c r="BH103" i="92"/>
  <c r="BG103" i="92"/>
  <c r="BF103" i="92"/>
  <c r="BE103" i="92"/>
  <c r="BD103" i="92"/>
  <c r="BC103" i="92"/>
  <c r="BB103" i="92"/>
  <c r="BA103" i="92"/>
  <c r="AZ103" i="92"/>
  <c r="AY103" i="92"/>
  <c r="BO102" i="92"/>
  <c r="BN102" i="92"/>
  <c r="BM102" i="92"/>
  <c r="BL102" i="92"/>
  <c r="BK102" i="92"/>
  <c r="BJ102" i="92"/>
  <c r="BI102" i="92"/>
  <c r="BH102" i="92"/>
  <c r="BG102" i="92"/>
  <c r="BF102" i="92"/>
  <c r="BE102" i="92"/>
  <c r="BD102" i="92"/>
  <c r="BC102" i="92"/>
  <c r="BB102" i="92"/>
  <c r="BA102" i="92"/>
  <c r="AZ102" i="92"/>
  <c r="AY102" i="92"/>
  <c r="BO101" i="92"/>
  <c r="BN101" i="92"/>
  <c r="BM101" i="92"/>
  <c r="BL101" i="92"/>
  <c r="BK101" i="92"/>
  <c r="BJ101" i="92"/>
  <c r="BI101" i="92"/>
  <c r="BH101" i="92"/>
  <c r="BG101" i="92"/>
  <c r="BF101" i="92"/>
  <c r="BE101" i="92"/>
  <c r="BD101" i="92"/>
  <c r="BC101" i="92"/>
  <c r="BB101" i="92"/>
  <c r="BA101" i="92"/>
  <c r="AZ101" i="92"/>
  <c r="AY101" i="92"/>
  <c r="BO100" i="92"/>
  <c r="BN100" i="92"/>
  <c r="BM100" i="92"/>
  <c r="BL100" i="92"/>
  <c r="BK100" i="92"/>
  <c r="BJ100" i="92"/>
  <c r="BI100" i="92"/>
  <c r="BH100" i="92"/>
  <c r="BG100" i="92"/>
  <c r="BF100" i="92"/>
  <c r="BE100" i="92"/>
  <c r="BD100" i="92"/>
  <c r="BC100" i="92"/>
  <c r="BB100" i="92"/>
  <c r="BA100" i="92"/>
  <c r="AZ100" i="92"/>
  <c r="AY100" i="92"/>
  <c r="BO99" i="92"/>
  <c r="BN99" i="92"/>
  <c r="BM99" i="92"/>
  <c r="BL99" i="92"/>
  <c r="BK99" i="92"/>
  <c r="BJ99" i="92"/>
  <c r="BI99" i="92"/>
  <c r="BH99" i="92"/>
  <c r="BG99" i="92"/>
  <c r="BF99" i="92"/>
  <c r="BE99" i="92"/>
  <c r="BD99" i="92"/>
  <c r="BC99" i="92"/>
  <c r="BB99" i="92"/>
  <c r="BA99" i="92"/>
  <c r="AZ99" i="92"/>
  <c r="AY99" i="92"/>
  <c r="BO98" i="92"/>
  <c r="BN98" i="92"/>
  <c r="BM98" i="92"/>
  <c r="BL98" i="92"/>
  <c r="BK98" i="92"/>
  <c r="BJ98" i="92"/>
  <c r="BI98" i="92"/>
  <c r="BH98" i="92"/>
  <c r="BG98" i="92"/>
  <c r="BF98" i="92"/>
  <c r="BE98" i="92"/>
  <c r="BD98" i="92"/>
  <c r="BC98" i="92"/>
  <c r="BB98" i="92"/>
  <c r="BA98" i="92"/>
  <c r="AZ98" i="92"/>
  <c r="AY98" i="92"/>
  <c r="BO97" i="92"/>
  <c r="BN97" i="92"/>
  <c r="BM97" i="92"/>
  <c r="BL97" i="92"/>
  <c r="BK97" i="92"/>
  <c r="BJ97" i="92"/>
  <c r="BI97" i="92"/>
  <c r="BH97" i="92"/>
  <c r="BG97" i="92"/>
  <c r="BF97" i="92"/>
  <c r="BE97" i="92"/>
  <c r="BD97" i="92"/>
  <c r="BC97" i="92"/>
  <c r="BB97" i="92"/>
  <c r="BA97" i="92"/>
  <c r="AZ97" i="92"/>
  <c r="AY97" i="92"/>
  <c r="BO96" i="92"/>
  <c r="BN96" i="92"/>
  <c r="BM96" i="92"/>
  <c r="BL96" i="92"/>
  <c r="BK96" i="92"/>
  <c r="BJ96" i="92"/>
  <c r="BI96" i="92"/>
  <c r="BH96" i="92"/>
  <c r="BG96" i="92"/>
  <c r="BF96" i="92"/>
  <c r="BE96" i="92"/>
  <c r="BD96" i="92"/>
  <c r="BC96" i="92"/>
  <c r="BB96" i="92"/>
  <c r="BA96" i="92"/>
  <c r="AZ96" i="92"/>
  <c r="AY96" i="92"/>
  <c r="BO95" i="92"/>
  <c r="BN95" i="92"/>
  <c r="BM95" i="92"/>
  <c r="BL95" i="92"/>
  <c r="BK95" i="92"/>
  <c r="BJ95" i="92"/>
  <c r="BI95" i="92"/>
  <c r="BH95" i="92"/>
  <c r="BG95" i="92"/>
  <c r="BF95" i="92"/>
  <c r="BE95" i="92"/>
  <c r="BD95" i="92"/>
  <c r="BC95" i="92"/>
  <c r="BB95" i="92"/>
  <c r="BA95" i="92"/>
  <c r="AZ95" i="92"/>
  <c r="AY95" i="92"/>
  <c r="BO94" i="92"/>
  <c r="BN94" i="92"/>
  <c r="BM94" i="92"/>
  <c r="BL94" i="92"/>
  <c r="BK94" i="92"/>
  <c r="BJ94" i="92"/>
  <c r="BI94" i="92"/>
  <c r="BH94" i="92"/>
  <c r="BG94" i="92"/>
  <c r="BF94" i="92"/>
  <c r="BE94" i="92"/>
  <c r="BD94" i="92"/>
  <c r="BC94" i="92"/>
  <c r="BB94" i="92"/>
  <c r="BA94" i="92"/>
  <c r="AZ94" i="92"/>
  <c r="AY94" i="92"/>
  <c r="BO93" i="92"/>
  <c r="BN93" i="92"/>
  <c r="BM93" i="92"/>
  <c r="BL93" i="92"/>
  <c r="BK93" i="92"/>
  <c r="BJ93" i="92"/>
  <c r="BI93" i="92"/>
  <c r="BH93" i="92"/>
  <c r="BG93" i="92"/>
  <c r="BF93" i="92"/>
  <c r="BE93" i="92"/>
  <c r="BD93" i="92"/>
  <c r="BC93" i="92"/>
  <c r="BB93" i="92"/>
  <c r="BA93" i="92"/>
  <c r="AZ93" i="92"/>
  <c r="AY93" i="92"/>
  <c r="BO92" i="92"/>
  <c r="BN92" i="92"/>
  <c r="BM92" i="92"/>
  <c r="BL92" i="92"/>
  <c r="BK92" i="92"/>
  <c r="BJ92" i="92"/>
  <c r="BI92" i="92"/>
  <c r="BH92" i="92"/>
  <c r="BG92" i="92"/>
  <c r="BF92" i="92"/>
  <c r="BE92" i="92"/>
  <c r="BD92" i="92"/>
  <c r="BC92" i="92"/>
  <c r="BB92" i="92"/>
  <c r="BA92" i="92"/>
  <c r="AZ92" i="92"/>
  <c r="AY92" i="92"/>
  <c r="BO91" i="92"/>
  <c r="BN91" i="92"/>
  <c r="BM91" i="92"/>
  <c r="BL91" i="92"/>
  <c r="BK91" i="92"/>
  <c r="BJ91" i="92"/>
  <c r="BI91" i="92"/>
  <c r="BH91" i="92"/>
  <c r="BG91" i="92"/>
  <c r="BF91" i="92"/>
  <c r="BE91" i="92"/>
  <c r="BD91" i="92"/>
  <c r="BC91" i="92"/>
  <c r="BB91" i="92"/>
  <c r="BA91" i="92"/>
  <c r="AZ91" i="92"/>
  <c r="AY91" i="92"/>
  <c r="BO90" i="92"/>
  <c r="BN90" i="92"/>
  <c r="BM90" i="92"/>
  <c r="BL90" i="92"/>
  <c r="BK90" i="92"/>
  <c r="BJ90" i="92"/>
  <c r="BI90" i="92"/>
  <c r="BH90" i="92"/>
  <c r="BG90" i="92"/>
  <c r="BF90" i="92"/>
  <c r="BE90" i="92"/>
  <c r="BD90" i="92"/>
  <c r="BC90" i="92"/>
  <c r="BB90" i="92"/>
  <c r="BA90" i="92"/>
  <c r="AZ90" i="92"/>
  <c r="AY90" i="92"/>
  <c r="BO89" i="92"/>
  <c r="BN89" i="92"/>
  <c r="BM89" i="92"/>
  <c r="BL89" i="92"/>
  <c r="BK89" i="92"/>
  <c r="BJ89" i="92"/>
  <c r="BI89" i="92"/>
  <c r="BH89" i="92"/>
  <c r="BG89" i="92"/>
  <c r="BF89" i="92"/>
  <c r="BE89" i="92"/>
  <c r="BD89" i="92"/>
  <c r="BC89" i="92"/>
  <c r="BB89" i="92"/>
  <c r="BA89" i="92"/>
  <c r="AZ89" i="92"/>
  <c r="AY89" i="92"/>
  <c r="BO88" i="92"/>
  <c r="BN88" i="92"/>
  <c r="BM88" i="92"/>
  <c r="BL88" i="92"/>
  <c r="BK88" i="92"/>
  <c r="BJ88" i="92"/>
  <c r="BI88" i="92"/>
  <c r="BH88" i="92"/>
  <c r="BG88" i="92"/>
  <c r="BF88" i="92"/>
  <c r="BE88" i="92"/>
  <c r="BD88" i="92"/>
  <c r="BC88" i="92"/>
  <c r="BB88" i="92"/>
  <c r="BA88" i="92"/>
  <c r="AZ88" i="92"/>
  <c r="AY88" i="92"/>
  <c r="BO87" i="92"/>
  <c r="BN87" i="92"/>
  <c r="BM87" i="92"/>
  <c r="BL87" i="92"/>
  <c r="BK87" i="92"/>
  <c r="BJ87" i="92"/>
  <c r="BI87" i="92"/>
  <c r="BH87" i="92"/>
  <c r="BG87" i="92"/>
  <c r="BF87" i="92"/>
  <c r="BE87" i="92"/>
  <c r="BD87" i="92"/>
  <c r="BC87" i="92"/>
  <c r="BB87" i="92"/>
  <c r="BA87" i="92"/>
  <c r="AZ87" i="92"/>
  <c r="AY87" i="92"/>
  <c r="BO86" i="92"/>
  <c r="BN86" i="92"/>
  <c r="BM86" i="92"/>
  <c r="BL86" i="92"/>
  <c r="BK86" i="92"/>
  <c r="BJ86" i="92"/>
  <c r="BI86" i="92"/>
  <c r="BH86" i="92"/>
  <c r="BG86" i="92"/>
  <c r="BF86" i="92"/>
  <c r="BE86" i="92"/>
  <c r="BD86" i="92"/>
  <c r="BC86" i="92"/>
  <c r="BB86" i="92"/>
  <c r="BA86" i="92"/>
  <c r="AZ86" i="92"/>
  <c r="AY86" i="92"/>
  <c r="BO85" i="92"/>
  <c r="BN85" i="92"/>
  <c r="BM85" i="92"/>
  <c r="BL85" i="92"/>
  <c r="BK85" i="92"/>
  <c r="BJ85" i="92"/>
  <c r="BI85" i="92"/>
  <c r="BH85" i="92"/>
  <c r="BG85" i="92"/>
  <c r="BF85" i="92"/>
  <c r="BE85" i="92"/>
  <c r="BD85" i="92"/>
  <c r="BC85" i="92"/>
  <c r="BB85" i="92"/>
  <c r="BA85" i="92"/>
  <c r="AZ85" i="92"/>
  <c r="AY85" i="92"/>
  <c r="BO84" i="92"/>
  <c r="BN84" i="92"/>
  <c r="BM84" i="92"/>
  <c r="BL84" i="92"/>
  <c r="BK84" i="92"/>
  <c r="BJ84" i="92"/>
  <c r="BI84" i="92"/>
  <c r="BH84" i="92"/>
  <c r="BG84" i="92"/>
  <c r="BF84" i="92"/>
  <c r="BE84" i="92"/>
  <c r="BD84" i="92"/>
  <c r="BC84" i="92"/>
  <c r="BB84" i="92"/>
  <c r="BA84" i="92"/>
  <c r="AZ84" i="92"/>
  <c r="AY84" i="92"/>
  <c r="BO83" i="92"/>
  <c r="BN83" i="92"/>
  <c r="BM83" i="92"/>
  <c r="BL83" i="92"/>
  <c r="BK83" i="92"/>
  <c r="BJ83" i="92"/>
  <c r="BI83" i="92"/>
  <c r="BH83" i="92"/>
  <c r="BG83" i="92"/>
  <c r="BF83" i="92"/>
  <c r="BE83" i="92"/>
  <c r="BD83" i="92"/>
  <c r="BC83" i="92"/>
  <c r="BB83" i="92"/>
  <c r="BA83" i="92"/>
  <c r="AZ83" i="92"/>
  <c r="AY83" i="92"/>
  <c r="BO82" i="92"/>
  <c r="BN82" i="92"/>
  <c r="BM82" i="92"/>
  <c r="BL82" i="92"/>
  <c r="BK82" i="92"/>
  <c r="BJ82" i="92"/>
  <c r="BI82" i="92"/>
  <c r="BH82" i="92"/>
  <c r="BG82" i="92"/>
  <c r="BF82" i="92"/>
  <c r="BE82" i="92"/>
  <c r="BD82" i="92"/>
  <c r="BC82" i="92"/>
  <c r="BB82" i="92"/>
  <c r="BA82" i="92"/>
  <c r="AZ82" i="92"/>
  <c r="AY82" i="92"/>
  <c r="BO81" i="92"/>
  <c r="BN81" i="92"/>
  <c r="BM81" i="92"/>
  <c r="BL81" i="92"/>
  <c r="BK81" i="92"/>
  <c r="BJ81" i="92"/>
  <c r="BI81" i="92"/>
  <c r="BH81" i="92"/>
  <c r="BG81" i="92"/>
  <c r="BF81" i="92"/>
  <c r="BE81" i="92"/>
  <c r="BD81" i="92"/>
  <c r="BC81" i="92"/>
  <c r="BB81" i="92"/>
  <c r="BA81" i="92"/>
  <c r="AZ81" i="92"/>
  <c r="AY81" i="92"/>
  <c r="BO80" i="92"/>
  <c r="BN80" i="92"/>
  <c r="BM80" i="92"/>
  <c r="BL80" i="92"/>
  <c r="BK80" i="92"/>
  <c r="BJ80" i="92"/>
  <c r="BI80" i="92"/>
  <c r="BH80" i="92"/>
  <c r="BG80" i="92"/>
  <c r="BF80" i="92"/>
  <c r="BE80" i="92"/>
  <c r="BD80" i="92"/>
  <c r="BC80" i="92"/>
  <c r="BB80" i="92"/>
  <c r="BA80" i="92"/>
  <c r="AZ80" i="92"/>
  <c r="AY80" i="92"/>
  <c r="BO79" i="92"/>
  <c r="BN79" i="92"/>
  <c r="BM79" i="92"/>
  <c r="BL79" i="92"/>
  <c r="BK79" i="92"/>
  <c r="BJ79" i="92"/>
  <c r="BI79" i="92"/>
  <c r="BH79" i="92"/>
  <c r="BG79" i="92"/>
  <c r="BF79" i="92"/>
  <c r="BE79" i="92"/>
  <c r="BD79" i="92"/>
  <c r="BC79" i="92"/>
  <c r="BB79" i="92"/>
  <c r="BA79" i="92"/>
  <c r="AZ79" i="92"/>
  <c r="AY79" i="92"/>
  <c r="BO78" i="92"/>
  <c r="BN78" i="92"/>
  <c r="BM78" i="92"/>
  <c r="BL78" i="92"/>
  <c r="BK78" i="92"/>
  <c r="BJ78" i="92"/>
  <c r="BI78" i="92"/>
  <c r="BH78" i="92"/>
  <c r="BG78" i="92"/>
  <c r="BF78" i="92"/>
  <c r="BE78" i="92"/>
  <c r="BD78" i="92"/>
  <c r="BC78" i="92"/>
  <c r="BB78" i="92"/>
  <c r="BA78" i="92"/>
  <c r="AZ78" i="92"/>
  <c r="AY78" i="92"/>
  <c r="BO77" i="92"/>
  <c r="BN77" i="92"/>
  <c r="BM77" i="92"/>
  <c r="BL77" i="92"/>
  <c r="BK77" i="92"/>
  <c r="BJ77" i="92"/>
  <c r="BI77" i="92"/>
  <c r="BH77" i="92"/>
  <c r="BG77" i="92"/>
  <c r="BF77" i="92"/>
  <c r="BE77" i="92"/>
  <c r="BD77" i="92"/>
  <c r="BC77" i="92"/>
  <c r="BB77" i="92"/>
  <c r="BA77" i="92"/>
  <c r="AZ77" i="92"/>
  <c r="AY77" i="92"/>
  <c r="BO76" i="92"/>
  <c r="BN76" i="92"/>
  <c r="BM76" i="92"/>
  <c r="BL76" i="92"/>
  <c r="BK76" i="92"/>
  <c r="BJ76" i="92"/>
  <c r="BI76" i="92"/>
  <c r="BH76" i="92"/>
  <c r="BG76" i="92"/>
  <c r="BF76" i="92"/>
  <c r="BE76" i="92"/>
  <c r="BD76" i="92"/>
  <c r="BC76" i="92"/>
  <c r="BB76" i="92"/>
  <c r="BA76" i="92"/>
  <c r="AZ76" i="92"/>
  <c r="AY76" i="92"/>
  <c r="BO75" i="92"/>
  <c r="BN75" i="92"/>
  <c r="BM75" i="92"/>
  <c r="BL75" i="92"/>
  <c r="BK75" i="92"/>
  <c r="BJ75" i="92"/>
  <c r="BI75" i="92"/>
  <c r="BH75" i="92"/>
  <c r="BG75" i="92"/>
  <c r="BF75" i="92"/>
  <c r="BE75" i="92"/>
  <c r="BD75" i="92"/>
  <c r="BC75" i="92"/>
  <c r="BB75" i="92"/>
  <c r="BA75" i="92"/>
  <c r="AZ75" i="92"/>
  <c r="AY75" i="92"/>
  <c r="BO74" i="92"/>
  <c r="BN74" i="92"/>
  <c r="BM74" i="92"/>
  <c r="BL74" i="92"/>
  <c r="BK74" i="92"/>
  <c r="BJ74" i="92"/>
  <c r="BI74" i="92"/>
  <c r="BH74" i="92"/>
  <c r="BG74" i="92"/>
  <c r="BF74" i="92"/>
  <c r="BE74" i="92"/>
  <c r="BD74" i="92"/>
  <c r="BC74" i="92"/>
  <c r="BB74" i="92"/>
  <c r="BA74" i="92"/>
  <c r="AZ74" i="92"/>
  <c r="AY74" i="92"/>
  <c r="BO73" i="92"/>
  <c r="BN73" i="92"/>
  <c r="BM73" i="92"/>
  <c r="BL73" i="92"/>
  <c r="BK73" i="92"/>
  <c r="BJ73" i="92"/>
  <c r="BI73" i="92"/>
  <c r="BH73" i="92"/>
  <c r="BG73" i="92"/>
  <c r="BF73" i="92"/>
  <c r="BE73" i="92"/>
  <c r="BD73" i="92"/>
  <c r="BC73" i="92"/>
  <c r="BB73" i="92"/>
  <c r="BA73" i="92"/>
  <c r="AZ73" i="92"/>
  <c r="AY73" i="92"/>
  <c r="BO72" i="92"/>
  <c r="BN72" i="92"/>
  <c r="BM72" i="92"/>
  <c r="BL72" i="92"/>
  <c r="BK72" i="92"/>
  <c r="BJ72" i="92"/>
  <c r="BI72" i="92"/>
  <c r="BH72" i="92"/>
  <c r="BG72" i="92"/>
  <c r="BF72" i="92"/>
  <c r="BE72" i="92"/>
  <c r="BD72" i="92"/>
  <c r="BC72" i="92"/>
  <c r="BB72" i="92"/>
  <c r="BA72" i="92"/>
  <c r="AZ72" i="92"/>
  <c r="AY72" i="92"/>
  <c r="BO71" i="92"/>
  <c r="BN71" i="92"/>
  <c r="BM71" i="92"/>
  <c r="BL71" i="92"/>
  <c r="BK71" i="92"/>
  <c r="BJ71" i="92"/>
  <c r="BI71" i="92"/>
  <c r="BH71" i="92"/>
  <c r="BG71" i="92"/>
  <c r="BF71" i="92"/>
  <c r="BE71" i="92"/>
  <c r="BD71" i="92"/>
  <c r="BC71" i="92"/>
  <c r="BB71" i="92"/>
  <c r="BA71" i="92"/>
  <c r="AZ71" i="92"/>
  <c r="AY71" i="92"/>
  <c r="BO70" i="92"/>
  <c r="BN70" i="92"/>
  <c r="BM70" i="92"/>
  <c r="BL70" i="92"/>
  <c r="BK70" i="92"/>
  <c r="BJ70" i="92"/>
  <c r="BI70" i="92"/>
  <c r="BH70" i="92"/>
  <c r="BG70" i="92"/>
  <c r="BF70" i="92"/>
  <c r="BE70" i="92"/>
  <c r="BD70" i="92"/>
  <c r="BC70" i="92"/>
  <c r="BB70" i="92"/>
  <c r="BA70" i="92"/>
  <c r="AZ70" i="92"/>
  <c r="AY70" i="92"/>
  <c r="BO69" i="92"/>
  <c r="BN69" i="92"/>
  <c r="BM69" i="92"/>
  <c r="BL69" i="92"/>
  <c r="BK69" i="92"/>
  <c r="BJ69" i="92"/>
  <c r="BI69" i="92"/>
  <c r="BH69" i="92"/>
  <c r="BG69" i="92"/>
  <c r="BF69" i="92"/>
  <c r="BE69" i="92"/>
  <c r="BD69" i="92"/>
  <c r="BC69" i="92"/>
  <c r="BB69" i="92"/>
  <c r="BA69" i="92"/>
  <c r="AZ69" i="92"/>
  <c r="AY69" i="92"/>
  <c r="BO68" i="92"/>
  <c r="BN68" i="92"/>
  <c r="BM68" i="92"/>
  <c r="BL68" i="92"/>
  <c r="BK68" i="92"/>
  <c r="BJ68" i="92"/>
  <c r="BI68" i="92"/>
  <c r="BH68" i="92"/>
  <c r="BG68" i="92"/>
  <c r="BF68" i="92"/>
  <c r="BE68" i="92"/>
  <c r="BD68" i="92"/>
  <c r="BC68" i="92"/>
  <c r="BB68" i="92"/>
  <c r="BA68" i="92"/>
  <c r="AZ68" i="92"/>
  <c r="AY68" i="92"/>
  <c r="BO67" i="92"/>
  <c r="BN67" i="92"/>
  <c r="BM67" i="92"/>
  <c r="BL67" i="92"/>
  <c r="BK67" i="92"/>
  <c r="BJ67" i="92"/>
  <c r="BI67" i="92"/>
  <c r="BH67" i="92"/>
  <c r="BG67" i="92"/>
  <c r="BF67" i="92"/>
  <c r="BE67" i="92"/>
  <c r="BD67" i="92"/>
  <c r="BC67" i="92"/>
  <c r="BB67" i="92"/>
  <c r="BA67" i="92"/>
  <c r="AZ67" i="92"/>
  <c r="AY67" i="92"/>
  <c r="BO66" i="92"/>
  <c r="BN66" i="92"/>
  <c r="BM66" i="92"/>
  <c r="BL66" i="92"/>
  <c r="BK66" i="92"/>
  <c r="BJ66" i="92"/>
  <c r="BI66" i="92"/>
  <c r="BH66" i="92"/>
  <c r="BG66" i="92"/>
  <c r="BF66" i="92"/>
  <c r="BE66" i="92"/>
  <c r="BD66" i="92"/>
  <c r="BC66" i="92"/>
  <c r="BB66" i="92"/>
  <c r="BA66" i="92"/>
  <c r="AZ66" i="92"/>
  <c r="AY66" i="92"/>
  <c r="BO65" i="92"/>
  <c r="BN65" i="92"/>
  <c r="BM65" i="92"/>
  <c r="BL65" i="92"/>
  <c r="BK65" i="92"/>
  <c r="BJ65" i="92"/>
  <c r="BI65" i="92"/>
  <c r="BH65" i="92"/>
  <c r="BG65" i="92"/>
  <c r="BF65" i="92"/>
  <c r="BE65" i="92"/>
  <c r="BD65" i="92"/>
  <c r="BC65" i="92"/>
  <c r="BB65" i="92"/>
  <c r="BA65" i="92"/>
  <c r="AZ65" i="92"/>
  <c r="AY65" i="92"/>
  <c r="BO64" i="92"/>
  <c r="BN64" i="92"/>
  <c r="BM64" i="92"/>
  <c r="BL64" i="92"/>
  <c r="BK64" i="92"/>
  <c r="BJ64" i="92"/>
  <c r="BI64" i="92"/>
  <c r="BH64" i="92"/>
  <c r="BG64" i="92"/>
  <c r="BF64" i="92"/>
  <c r="BE64" i="92"/>
  <c r="BD64" i="92"/>
  <c r="BC64" i="92"/>
  <c r="BB64" i="92"/>
  <c r="BA64" i="92"/>
  <c r="AZ64" i="92"/>
  <c r="AY64" i="92"/>
  <c r="BO63" i="92"/>
  <c r="BN63" i="92"/>
  <c r="BM63" i="92"/>
  <c r="BL63" i="92"/>
  <c r="BK63" i="92"/>
  <c r="BJ63" i="92"/>
  <c r="BI63" i="92"/>
  <c r="BH63" i="92"/>
  <c r="BG63" i="92"/>
  <c r="BF63" i="92"/>
  <c r="BE63" i="92"/>
  <c r="BD63" i="92"/>
  <c r="BC63" i="92"/>
  <c r="BB63" i="92"/>
  <c r="BA63" i="92"/>
  <c r="AZ63" i="92"/>
  <c r="AY63" i="92"/>
  <c r="BO62" i="92"/>
  <c r="BN62" i="92"/>
  <c r="BM62" i="92"/>
  <c r="BL62" i="92"/>
  <c r="BK62" i="92"/>
  <c r="BJ62" i="92"/>
  <c r="BI62" i="92"/>
  <c r="BH62" i="92"/>
  <c r="BG62" i="92"/>
  <c r="BF62" i="92"/>
  <c r="BE62" i="92"/>
  <c r="BD62" i="92"/>
  <c r="BC62" i="92"/>
  <c r="BB62" i="92"/>
  <c r="BA62" i="92"/>
  <c r="AZ62" i="92"/>
  <c r="AY62" i="92"/>
  <c r="BO61" i="92"/>
  <c r="BN61" i="92"/>
  <c r="BM61" i="92"/>
  <c r="BL61" i="92"/>
  <c r="BK61" i="92"/>
  <c r="BJ61" i="92"/>
  <c r="BI61" i="92"/>
  <c r="BH61" i="92"/>
  <c r="BG61" i="92"/>
  <c r="BF61" i="92"/>
  <c r="BE61" i="92"/>
  <c r="BD61" i="92"/>
  <c r="BC61" i="92"/>
  <c r="BB61" i="92"/>
  <c r="BA61" i="92"/>
  <c r="AZ61" i="92"/>
  <c r="AY61" i="92"/>
  <c r="BO60" i="92"/>
  <c r="BN60" i="92"/>
  <c r="BM60" i="92"/>
  <c r="BL60" i="92"/>
  <c r="BK60" i="92"/>
  <c r="BJ60" i="92"/>
  <c r="BI60" i="92"/>
  <c r="BH60" i="92"/>
  <c r="BG60" i="92"/>
  <c r="BF60" i="92"/>
  <c r="BE60" i="92"/>
  <c r="BD60" i="92"/>
  <c r="BC60" i="92"/>
  <c r="BB60" i="92"/>
  <c r="BA60" i="92"/>
  <c r="AZ60" i="92"/>
  <c r="AY60" i="92"/>
  <c r="BO59" i="92"/>
  <c r="BN59" i="92"/>
  <c r="BM59" i="92"/>
  <c r="BL59" i="92"/>
  <c r="BK59" i="92"/>
  <c r="BJ59" i="92"/>
  <c r="BI59" i="92"/>
  <c r="BH59" i="92"/>
  <c r="BG59" i="92"/>
  <c r="BF59" i="92"/>
  <c r="BE59" i="92"/>
  <c r="BD59" i="92"/>
  <c r="BC59" i="92"/>
  <c r="BB59" i="92"/>
  <c r="BA59" i="92"/>
  <c r="AZ59" i="92"/>
  <c r="AY59" i="92"/>
  <c r="BO58" i="92"/>
  <c r="BN58" i="92"/>
  <c r="BM58" i="92"/>
  <c r="BL58" i="92"/>
  <c r="BK58" i="92"/>
  <c r="BJ58" i="92"/>
  <c r="BI58" i="92"/>
  <c r="BH58" i="92"/>
  <c r="BG58" i="92"/>
  <c r="BF58" i="92"/>
  <c r="BE58" i="92"/>
  <c r="BD58" i="92"/>
  <c r="BC58" i="92"/>
  <c r="BB58" i="92"/>
  <c r="BA58" i="92"/>
  <c r="AZ58" i="92"/>
  <c r="AY58" i="92"/>
  <c r="BO57" i="92"/>
  <c r="BN57" i="92"/>
  <c r="BM57" i="92"/>
  <c r="BL57" i="92"/>
  <c r="BK57" i="92"/>
  <c r="BJ57" i="92"/>
  <c r="BI57" i="92"/>
  <c r="BH57" i="92"/>
  <c r="BG57" i="92"/>
  <c r="BF57" i="92"/>
  <c r="BE57" i="92"/>
  <c r="BD57" i="92"/>
  <c r="BC57" i="92"/>
  <c r="BB57" i="92"/>
  <c r="BA57" i="92"/>
  <c r="AZ57" i="92"/>
  <c r="AY57" i="92"/>
  <c r="BO56" i="92"/>
  <c r="BN56" i="92"/>
  <c r="BM56" i="92"/>
  <c r="BL56" i="92"/>
  <c r="BK56" i="92"/>
  <c r="BJ56" i="92"/>
  <c r="BI56" i="92"/>
  <c r="BH56" i="92"/>
  <c r="BG56" i="92"/>
  <c r="BF56" i="92"/>
  <c r="BE56" i="92"/>
  <c r="BD56" i="92"/>
  <c r="BC56" i="92"/>
  <c r="BB56" i="92"/>
  <c r="BA56" i="92"/>
  <c r="AZ56" i="92"/>
  <c r="AY56" i="92"/>
  <c r="BO55" i="92"/>
  <c r="BN55" i="92"/>
  <c r="BM55" i="92"/>
  <c r="BL55" i="92"/>
  <c r="BK55" i="92"/>
  <c r="BJ55" i="92"/>
  <c r="BI55" i="92"/>
  <c r="BH55" i="92"/>
  <c r="BG55" i="92"/>
  <c r="BF55" i="92"/>
  <c r="BE55" i="92"/>
  <c r="BD55" i="92"/>
  <c r="BC55" i="92"/>
  <c r="BB55" i="92"/>
  <c r="BA55" i="92"/>
  <c r="AZ55" i="92"/>
  <c r="AY55" i="92"/>
  <c r="BO54" i="92"/>
  <c r="BN54" i="92"/>
  <c r="BM54" i="92"/>
  <c r="BL54" i="92"/>
  <c r="BK54" i="92"/>
  <c r="BJ54" i="92"/>
  <c r="BI54" i="92"/>
  <c r="BH54" i="92"/>
  <c r="BG54" i="92"/>
  <c r="BF54" i="92"/>
  <c r="BE54" i="92"/>
  <c r="BD54" i="92"/>
  <c r="BC54" i="92"/>
  <c r="BB54" i="92"/>
  <c r="BA54" i="92"/>
  <c r="AZ54" i="92"/>
  <c r="AY54" i="92"/>
  <c r="BO53" i="92"/>
  <c r="BN53" i="92"/>
  <c r="BM53" i="92"/>
  <c r="BL53" i="92"/>
  <c r="BK53" i="92"/>
  <c r="BJ53" i="92"/>
  <c r="BI53" i="92"/>
  <c r="BH53" i="92"/>
  <c r="BG53" i="92"/>
  <c r="BF53" i="92"/>
  <c r="BE53" i="92"/>
  <c r="BD53" i="92"/>
  <c r="BC53" i="92"/>
  <c r="BB53" i="92"/>
  <c r="BA53" i="92"/>
  <c r="AZ53" i="92"/>
  <c r="AY53" i="92"/>
  <c r="BO52" i="92"/>
  <c r="BN52" i="92"/>
  <c r="BM52" i="92"/>
  <c r="BL52" i="92"/>
  <c r="BK52" i="92"/>
  <c r="BJ52" i="92"/>
  <c r="BI52" i="92"/>
  <c r="BH52" i="92"/>
  <c r="BG52" i="92"/>
  <c r="BF52" i="92"/>
  <c r="BE52" i="92"/>
  <c r="BD52" i="92"/>
  <c r="BC52" i="92"/>
  <c r="BB52" i="92"/>
  <c r="BA52" i="92"/>
  <c r="AZ52" i="92"/>
  <c r="AY52" i="92"/>
  <c r="BO51" i="92"/>
  <c r="BN51" i="92"/>
  <c r="BM51" i="92"/>
  <c r="BL51" i="92"/>
  <c r="BK51" i="92"/>
  <c r="BJ51" i="92"/>
  <c r="BI51" i="92"/>
  <c r="BH51" i="92"/>
  <c r="BG51" i="92"/>
  <c r="BF51" i="92"/>
  <c r="BE51" i="92"/>
  <c r="BD51" i="92"/>
  <c r="BC51" i="92"/>
  <c r="BB51" i="92"/>
  <c r="BA51" i="92"/>
  <c r="AZ51" i="92"/>
  <c r="AY51" i="92"/>
  <c r="BO50" i="92"/>
  <c r="BN50" i="92"/>
  <c r="BM50" i="92"/>
  <c r="BL50" i="92"/>
  <c r="BK50" i="92"/>
  <c r="BJ50" i="92"/>
  <c r="BI50" i="92"/>
  <c r="BH50" i="92"/>
  <c r="BG50" i="92"/>
  <c r="BF50" i="92"/>
  <c r="BE50" i="92"/>
  <c r="BD50" i="92"/>
  <c r="BC50" i="92"/>
  <c r="BB50" i="92"/>
  <c r="BA50" i="92"/>
  <c r="AZ50" i="92"/>
  <c r="AY50" i="92"/>
  <c r="BO49" i="92"/>
  <c r="BN49" i="92"/>
  <c r="BM49" i="92"/>
  <c r="BL49" i="92"/>
  <c r="BK49" i="92"/>
  <c r="BJ49" i="92"/>
  <c r="BI49" i="92"/>
  <c r="BH49" i="92"/>
  <c r="BG49" i="92"/>
  <c r="BF49" i="92"/>
  <c r="BE49" i="92"/>
  <c r="BD49" i="92"/>
  <c r="BC49" i="92"/>
  <c r="BB49" i="92"/>
  <c r="BA49" i="92"/>
  <c r="AZ49" i="92"/>
  <c r="AY49" i="92"/>
  <c r="BO48" i="92"/>
  <c r="BN48" i="92"/>
  <c r="BM48" i="92"/>
  <c r="BL48" i="92"/>
  <c r="BK48" i="92"/>
  <c r="BJ48" i="92"/>
  <c r="BI48" i="92"/>
  <c r="BH48" i="92"/>
  <c r="BG48" i="92"/>
  <c r="BF48" i="92"/>
  <c r="BE48" i="92"/>
  <c r="BD48" i="92"/>
  <c r="BC48" i="92"/>
  <c r="BB48" i="92"/>
  <c r="BA48" i="92"/>
  <c r="AZ48" i="92"/>
  <c r="AY48" i="92"/>
  <c r="BO47" i="92"/>
  <c r="BN47" i="92"/>
  <c r="BM47" i="92"/>
  <c r="BL47" i="92"/>
  <c r="BK47" i="92"/>
  <c r="BJ47" i="92"/>
  <c r="BI47" i="92"/>
  <c r="BH47" i="92"/>
  <c r="BG47" i="92"/>
  <c r="BF47" i="92"/>
  <c r="BE47" i="92"/>
  <c r="BD47" i="92"/>
  <c r="BC47" i="92"/>
  <c r="BB47" i="92"/>
  <c r="BA47" i="92"/>
  <c r="AZ47" i="92"/>
  <c r="AY47" i="92"/>
  <c r="BO46" i="92"/>
  <c r="BN46" i="92"/>
  <c r="BM46" i="92"/>
  <c r="BL46" i="92"/>
  <c r="BK46" i="92"/>
  <c r="BJ46" i="92"/>
  <c r="BI46" i="92"/>
  <c r="BH46" i="92"/>
  <c r="BG46" i="92"/>
  <c r="BF46" i="92"/>
  <c r="BE46" i="92"/>
  <c r="BD46" i="92"/>
  <c r="BC46" i="92"/>
  <c r="BB46" i="92"/>
  <c r="BA46" i="92"/>
  <c r="AZ46" i="92"/>
  <c r="AY46" i="92"/>
  <c r="BO45" i="92"/>
  <c r="BN45" i="92"/>
  <c r="BM45" i="92"/>
  <c r="BL45" i="92"/>
  <c r="BK45" i="92"/>
  <c r="BJ45" i="92"/>
  <c r="BI45" i="92"/>
  <c r="BH45" i="92"/>
  <c r="BG45" i="92"/>
  <c r="BF45" i="92"/>
  <c r="BE45" i="92"/>
  <c r="BD45" i="92"/>
  <c r="BC45" i="92"/>
  <c r="BB45" i="92"/>
  <c r="BA45" i="92"/>
  <c r="AZ45" i="92"/>
  <c r="AY45" i="92"/>
  <c r="BO44" i="92"/>
  <c r="BN44" i="92"/>
  <c r="BM44" i="92"/>
  <c r="BL44" i="92"/>
  <c r="BK44" i="92"/>
  <c r="BJ44" i="92"/>
  <c r="BI44" i="92"/>
  <c r="BH44" i="92"/>
  <c r="BG44" i="92"/>
  <c r="BF44" i="92"/>
  <c r="BE44" i="92"/>
  <c r="BD44" i="92"/>
  <c r="BC44" i="92"/>
  <c r="BB44" i="92"/>
  <c r="BA44" i="92"/>
  <c r="AZ44" i="92"/>
  <c r="AY44" i="92"/>
  <c r="BO43" i="92"/>
  <c r="BN43" i="92"/>
  <c r="BM43" i="92"/>
  <c r="BL43" i="92"/>
  <c r="BK43" i="92"/>
  <c r="BJ43" i="92"/>
  <c r="BI43" i="92"/>
  <c r="BH43" i="92"/>
  <c r="BG43" i="92"/>
  <c r="BF43" i="92"/>
  <c r="BE43" i="92"/>
  <c r="BD43" i="92"/>
  <c r="BC43" i="92"/>
  <c r="BB43" i="92"/>
  <c r="BA43" i="92"/>
  <c r="AZ43" i="92"/>
  <c r="AY43" i="92"/>
  <c r="BO42" i="92"/>
  <c r="BN42" i="92"/>
  <c r="BM42" i="92"/>
  <c r="BL42" i="92"/>
  <c r="BK42" i="92"/>
  <c r="BJ42" i="92"/>
  <c r="BI42" i="92"/>
  <c r="BH42" i="92"/>
  <c r="BG42" i="92"/>
  <c r="BF42" i="92"/>
  <c r="BE42" i="92"/>
  <c r="BD42" i="92"/>
  <c r="BC42" i="92"/>
  <c r="BB42" i="92"/>
  <c r="BA42" i="92"/>
  <c r="AZ42" i="92"/>
  <c r="AY42" i="92"/>
  <c r="BO41" i="92"/>
  <c r="BN41" i="92"/>
  <c r="BM41" i="92"/>
  <c r="BL41" i="92"/>
  <c r="BK41" i="92"/>
  <c r="BJ41" i="92"/>
  <c r="BI41" i="92"/>
  <c r="BH41" i="92"/>
  <c r="BG41" i="92"/>
  <c r="BF41" i="92"/>
  <c r="BE41" i="92"/>
  <c r="BD41" i="92"/>
  <c r="BC41" i="92"/>
  <c r="BB41" i="92"/>
  <c r="BA41" i="92"/>
  <c r="AZ41" i="92"/>
  <c r="AY41" i="92"/>
  <c r="BO40" i="92"/>
  <c r="BN40" i="92"/>
  <c r="BM40" i="92"/>
  <c r="BL40" i="92"/>
  <c r="BK40" i="92"/>
  <c r="BJ40" i="92"/>
  <c r="BI40" i="92"/>
  <c r="BH40" i="92"/>
  <c r="BG40" i="92"/>
  <c r="BF40" i="92"/>
  <c r="BE40" i="92"/>
  <c r="BD40" i="92"/>
  <c r="BC40" i="92"/>
  <c r="BB40" i="92"/>
  <c r="BA40" i="92"/>
  <c r="AZ40" i="92"/>
  <c r="AY40" i="92"/>
  <c r="BO39" i="92"/>
  <c r="BN39" i="92"/>
  <c r="BM39" i="92"/>
  <c r="BL39" i="92"/>
  <c r="BK39" i="92"/>
  <c r="BJ39" i="92"/>
  <c r="BI39" i="92"/>
  <c r="BH39" i="92"/>
  <c r="BG39" i="92"/>
  <c r="BF39" i="92"/>
  <c r="BE39" i="92"/>
  <c r="BD39" i="92"/>
  <c r="BC39" i="92"/>
  <c r="BB39" i="92"/>
  <c r="BA39" i="92"/>
  <c r="AZ39" i="92"/>
  <c r="AY39" i="92"/>
  <c r="BO38" i="92"/>
  <c r="BN38" i="92"/>
  <c r="BM38" i="92"/>
  <c r="BL38" i="92"/>
  <c r="BK38" i="92"/>
  <c r="BJ38" i="92"/>
  <c r="BI38" i="92"/>
  <c r="BH38" i="92"/>
  <c r="BG38" i="92"/>
  <c r="BF38" i="92"/>
  <c r="BE38" i="92"/>
  <c r="BD38" i="92"/>
  <c r="BC38" i="92"/>
  <c r="BB38" i="92"/>
  <c r="BA38" i="92"/>
  <c r="AZ38" i="92"/>
  <c r="AY38" i="92"/>
  <c r="BO37" i="92"/>
  <c r="BN37" i="92"/>
  <c r="BM37" i="92"/>
  <c r="BL37" i="92"/>
  <c r="BK37" i="92"/>
  <c r="BJ37" i="92"/>
  <c r="BI37" i="92"/>
  <c r="BH37" i="92"/>
  <c r="BG37" i="92"/>
  <c r="BF37" i="92"/>
  <c r="BE37" i="92"/>
  <c r="BD37" i="92"/>
  <c r="BC37" i="92"/>
  <c r="BB37" i="92"/>
  <c r="BA37" i="92"/>
  <c r="AZ37" i="92"/>
  <c r="AY37" i="92"/>
  <c r="BO36" i="92"/>
  <c r="BN36" i="92"/>
  <c r="BM36" i="92"/>
  <c r="BL36" i="92"/>
  <c r="BK36" i="92"/>
  <c r="BJ36" i="92"/>
  <c r="BI36" i="92"/>
  <c r="BH36" i="92"/>
  <c r="BG36" i="92"/>
  <c r="BF36" i="92"/>
  <c r="BE36" i="92"/>
  <c r="BD36" i="92"/>
  <c r="BC36" i="92"/>
  <c r="BB36" i="92"/>
  <c r="BA36" i="92"/>
  <c r="AZ36" i="92"/>
  <c r="AY36" i="92"/>
  <c r="BO35" i="92"/>
  <c r="BN35" i="92"/>
  <c r="BM35" i="92"/>
  <c r="BL35" i="92"/>
  <c r="BK35" i="92"/>
  <c r="BJ35" i="92"/>
  <c r="BI35" i="92"/>
  <c r="BH35" i="92"/>
  <c r="BG35" i="92"/>
  <c r="BF35" i="92"/>
  <c r="BE35" i="92"/>
  <c r="BD35" i="92"/>
  <c r="BC35" i="92"/>
  <c r="BB35" i="92"/>
  <c r="BA35" i="92"/>
  <c r="AZ35" i="92"/>
  <c r="AY35" i="92"/>
  <c r="BO34" i="92"/>
  <c r="BN34" i="92"/>
  <c r="BM34" i="92"/>
  <c r="BL34" i="92"/>
  <c r="BK34" i="92"/>
  <c r="BJ34" i="92"/>
  <c r="BI34" i="92"/>
  <c r="BH34" i="92"/>
  <c r="BG34" i="92"/>
  <c r="BF34" i="92"/>
  <c r="BE34" i="92"/>
  <c r="BD34" i="92"/>
  <c r="BC34" i="92"/>
  <c r="BB34" i="92"/>
  <c r="BA34" i="92"/>
  <c r="AZ34" i="92"/>
  <c r="AY34" i="92"/>
  <c r="BO33" i="92"/>
  <c r="BN33" i="92"/>
  <c r="BM33" i="92"/>
  <c r="BL33" i="92"/>
  <c r="BK33" i="92"/>
  <c r="BJ33" i="92"/>
  <c r="BI33" i="92"/>
  <c r="BH33" i="92"/>
  <c r="BG33" i="92"/>
  <c r="BF33" i="92"/>
  <c r="BE33" i="92"/>
  <c r="BD33" i="92"/>
  <c r="BC33" i="92"/>
  <c r="BB33" i="92"/>
  <c r="BA33" i="92"/>
  <c r="AZ33" i="92"/>
  <c r="AY33" i="92"/>
  <c r="BO32" i="92"/>
  <c r="BN32" i="92"/>
  <c r="BM32" i="92"/>
  <c r="BL32" i="92"/>
  <c r="BK32" i="92"/>
  <c r="BJ32" i="92"/>
  <c r="BI32" i="92"/>
  <c r="BH32" i="92"/>
  <c r="BG32" i="92"/>
  <c r="BF32" i="92"/>
  <c r="BE32" i="92"/>
  <c r="BD32" i="92"/>
  <c r="BC32" i="92"/>
  <c r="BB32" i="92"/>
  <c r="BA32" i="92"/>
  <c r="AZ32" i="92"/>
  <c r="AY32" i="92"/>
  <c r="BO31" i="92"/>
  <c r="BN31" i="92"/>
  <c r="BM31" i="92"/>
  <c r="BL31" i="92"/>
  <c r="BK31" i="92"/>
  <c r="BJ31" i="92"/>
  <c r="BI31" i="92"/>
  <c r="BH31" i="92"/>
  <c r="BG31" i="92"/>
  <c r="BF31" i="92"/>
  <c r="BE31" i="92"/>
  <c r="BD31" i="92"/>
  <c r="BC31" i="92"/>
  <c r="BB31" i="92"/>
  <c r="BA31" i="92"/>
  <c r="AZ31" i="92"/>
  <c r="AY31" i="92"/>
  <c r="BO30" i="92"/>
  <c r="BN30" i="92"/>
  <c r="BM30" i="92"/>
  <c r="BL30" i="92"/>
  <c r="BK30" i="92"/>
  <c r="BJ30" i="92"/>
  <c r="BI30" i="92"/>
  <c r="BH30" i="92"/>
  <c r="BG30" i="92"/>
  <c r="BF30" i="92"/>
  <c r="BE30" i="92"/>
  <c r="BD30" i="92"/>
  <c r="BC30" i="92"/>
  <c r="BB30" i="92"/>
  <c r="BA30" i="92"/>
  <c r="AZ30" i="92"/>
  <c r="AY30" i="92"/>
  <c r="BO29" i="92"/>
  <c r="BN29" i="92"/>
  <c r="BM29" i="92"/>
  <c r="BL29" i="92"/>
  <c r="BK29" i="92"/>
  <c r="BJ29" i="92"/>
  <c r="BI29" i="92"/>
  <c r="BH29" i="92"/>
  <c r="BG29" i="92"/>
  <c r="BF29" i="92"/>
  <c r="BE29" i="92"/>
  <c r="BD29" i="92"/>
  <c r="BC29" i="92"/>
  <c r="BB29" i="92"/>
  <c r="BA29" i="92"/>
  <c r="AZ29" i="92"/>
  <c r="AY29" i="92"/>
  <c r="BO28" i="92"/>
  <c r="BN28" i="92"/>
  <c r="BM28" i="92"/>
  <c r="BL28" i="92"/>
  <c r="BK28" i="92"/>
  <c r="BJ28" i="92"/>
  <c r="BI28" i="92"/>
  <c r="BH28" i="92"/>
  <c r="BG28" i="92"/>
  <c r="BF28" i="92"/>
  <c r="BE28" i="92"/>
  <c r="BD28" i="92"/>
  <c r="BC28" i="92"/>
  <c r="BB28" i="92"/>
  <c r="BA28" i="92"/>
  <c r="AZ28" i="92"/>
  <c r="AY28" i="92"/>
  <c r="BO27" i="92"/>
  <c r="BN27" i="92"/>
  <c r="BM27" i="92"/>
  <c r="BL27" i="92"/>
  <c r="BK27" i="92"/>
  <c r="BJ27" i="92"/>
  <c r="BI27" i="92"/>
  <c r="BH27" i="92"/>
  <c r="BG27" i="92"/>
  <c r="BF27" i="92"/>
  <c r="BE27" i="92"/>
  <c r="BD27" i="92"/>
  <c r="BC27" i="92"/>
  <c r="BB27" i="92"/>
  <c r="BA27" i="92"/>
  <c r="AZ27" i="92"/>
  <c r="AY27" i="92"/>
  <c r="BO26" i="92"/>
  <c r="BN26" i="92"/>
  <c r="BM26" i="92"/>
  <c r="BL26" i="92"/>
  <c r="BK26" i="92"/>
  <c r="BJ26" i="92"/>
  <c r="BI26" i="92"/>
  <c r="BH26" i="92"/>
  <c r="BG26" i="92"/>
  <c r="BF26" i="92"/>
  <c r="BE26" i="92"/>
  <c r="BD26" i="92"/>
  <c r="BC26" i="92"/>
  <c r="BB26" i="92"/>
  <c r="BA26" i="92"/>
  <c r="AZ26" i="92"/>
  <c r="AY26" i="92"/>
  <c r="BO25" i="92"/>
  <c r="BN25" i="92"/>
  <c r="BM25" i="92"/>
  <c r="BL25" i="92"/>
  <c r="BK25" i="92"/>
  <c r="BJ25" i="92"/>
  <c r="BI25" i="92"/>
  <c r="BH25" i="92"/>
  <c r="BG25" i="92"/>
  <c r="BF25" i="92"/>
  <c r="BE25" i="92"/>
  <c r="BD25" i="92"/>
  <c r="BC25" i="92"/>
  <c r="BB25" i="92"/>
  <c r="BA25" i="92"/>
  <c r="AZ25" i="92"/>
  <c r="AY25" i="92"/>
  <c r="BO24" i="92"/>
  <c r="BN24" i="92"/>
  <c r="BM24" i="92"/>
  <c r="BL24" i="92"/>
  <c r="BK24" i="92"/>
  <c r="BJ24" i="92"/>
  <c r="BI24" i="92"/>
  <c r="BH24" i="92"/>
  <c r="BG24" i="92"/>
  <c r="BF24" i="92"/>
  <c r="BE24" i="92"/>
  <c r="BD24" i="92"/>
  <c r="BC24" i="92"/>
  <c r="BB24" i="92"/>
  <c r="BA24" i="92"/>
  <c r="AZ24" i="92"/>
  <c r="AY24" i="92"/>
  <c r="BO23" i="92"/>
  <c r="BN23" i="92"/>
  <c r="BM23" i="92"/>
  <c r="BL23" i="92"/>
  <c r="BK23" i="92"/>
  <c r="BJ23" i="92"/>
  <c r="BI23" i="92"/>
  <c r="BH23" i="92"/>
  <c r="BG23" i="92"/>
  <c r="BF23" i="92"/>
  <c r="BE23" i="92"/>
  <c r="BD23" i="92"/>
  <c r="BC23" i="92"/>
  <c r="BB23" i="92"/>
  <c r="BA23" i="92"/>
  <c r="AZ23" i="92"/>
  <c r="AY23" i="92"/>
  <c r="BO22" i="92"/>
  <c r="BN22" i="92"/>
  <c r="BM22" i="92"/>
  <c r="BL22" i="92"/>
  <c r="BK22" i="92"/>
  <c r="BJ22" i="92"/>
  <c r="BI22" i="92"/>
  <c r="BH22" i="92"/>
  <c r="BG22" i="92"/>
  <c r="BF22" i="92"/>
  <c r="BE22" i="92"/>
  <c r="BD22" i="92"/>
  <c r="BC22" i="92"/>
  <c r="BB22" i="92"/>
  <c r="BA22" i="92"/>
  <c r="AZ22" i="92"/>
  <c r="AY22" i="92"/>
  <c r="BO21" i="92"/>
  <c r="BN21" i="92"/>
  <c r="BM21" i="92"/>
  <c r="BL21" i="92"/>
  <c r="BK21" i="92"/>
  <c r="BJ21" i="92"/>
  <c r="BI21" i="92"/>
  <c r="BH21" i="92"/>
  <c r="BG21" i="92"/>
  <c r="BF21" i="92"/>
  <c r="BE21" i="92"/>
  <c r="BD21" i="92"/>
  <c r="BC21" i="92"/>
  <c r="BB21" i="92"/>
  <c r="BA21" i="92"/>
  <c r="AZ21" i="92"/>
  <c r="AY21" i="92"/>
  <c r="BO20" i="92"/>
  <c r="BN20" i="92"/>
  <c r="BM20" i="92"/>
  <c r="BL20" i="92"/>
  <c r="BK20" i="92"/>
  <c r="BJ20" i="92"/>
  <c r="BI20" i="92"/>
  <c r="BH20" i="92"/>
  <c r="BG20" i="92"/>
  <c r="BF20" i="92"/>
  <c r="BE20" i="92"/>
  <c r="BD20" i="92"/>
  <c r="BC20" i="92"/>
  <c r="BB20" i="92"/>
  <c r="BA20" i="92"/>
  <c r="AZ20" i="92"/>
  <c r="AY20" i="92"/>
  <c r="BO19" i="92"/>
  <c r="BN19" i="92"/>
  <c r="BM19" i="92"/>
  <c r="BL19" i="92"/>
  <c r="BK19" i="92"/>
  <c r="BJ19" i="92"/>
  <c r="BI19" i="92"/>
  <c r="BH19" i="92"/>
  <c r="BG19" i="92"/>
  <c r="BF19" i="92"/>
  <c r="BE19" i="92"/>
  <c r="BD19" i="92"/>
  <c r="BC19" i="92"/>
  <c r="BB19" i="92"/>
  <c r="BA19" i="92"/>
  <c r="AZ19" i="92"/>
  <c r="AY19" i="92"/>
  <c r="BO18" i="92"/>
  <c r="BN18" i="92"/>
  <c r="BM18" i="92"/>
  <c r="BL18" i="92"/>
  <c r="BK18" i="92"/>
  <c r="BJ18" i="92"/>
  <c r="BI18" i="92"/>
  <c r="BH18" i="92"/>
  <c r="BG18" i="92"/>
  <c r="BF18" i="92"/>
  <c r="BE18" i="92"/>
  <c r="BD18" i="92"/>
  <c r="BC18" i="92"/>
  <c r="BB18" i="92"/>
  <c r="BA18" i="92"/>
  <c r="AZ18" i="92"/>
  <c r="AY18" i="92"/>
  <c r="BO17" i="92"/>
  <c r="BN17" i="92"/>
  <c r="BM17" i="92"/>
  <c r="BL17" i="92"/>
  <c r="BK17" i="92"/>
  <c r="BJ17" i="92"/>
  <c r="BI17" i="92"/>
  <c r="BH17" i="92"/>
  <c r="BG17" i="92"/>
  <c r="BF17" i="92"/>
  <c r="BE17" i="92"/>
  <c r="BD17" i="92"/>
  <c r="BC17" i="92"/>
  <c r="BB17" i="92"/>
  <c r="BA17" i="92"/>
  <c r="AZ17" i="92"/>
  <c r="AY17" i="92"/>
  <c r="BO16" i="92"/>
  <c r="BN16" i="92"/>
  <c r="BM16" i="92"/>
  <c r="BL16" i="92"/>
  <c r="BK16" i="92"/>
  <c r="BJ16" i="92"/>
  <c r="BI16" i="92"/>
  <c r="BH16" i="92"/>
  <c r="BG16" i="92"/>
  <c r="BF16" i="92"/>
  <c r="BE16" i="92"/>
  <c r="BD16" i="92"/>
  <c r="BC16" i="92"/>
  <c r="BB16" i="92"/>
  <c r="BA16" i="92"/>
  <c r="AZ16" i="92"/>
  <c r="AY16" i="92"/>
  <c r="BO15" i="92"/>
  <c r="BN15" i="92"/>
  <c r="BM15" i="92"/>
  <c r="BL15" i="92"/>
  <c r="BK15" i="92"/>
  <c r="BJ15" i="92"/>
  <c r="BI15" i="92"/>
  <c r="BH15" i="92"/>
  <c r="BG15" i="92"/>
  <c r="BF15" i="92"/>
  <c r="BE15" i="92"/>
  <c r="BD15" i="92"/>
  <c r="BC15" i="92"/>
  <c r="BB15" i="92"/>
  <c r="BA15" i="92"/>
  <c r="AZ15" i="92"/>
  <c r="AY15" i="92"/>
  <c r="BO14" i="92"/>
  <c r="BN14" i="92"/>
  <c r="BM14" i="92"/>
  <c r="BL14" i="92"/>
  <c r="BK14" i="92"/>
  <c r="BJ14" i="92"/>
  <c r="BI14" i="92"/>
  <c r="BH14" i="92"/>
  <c r="BG14" i="92"/>
  <c r="BF14" i="92"/>
  <c r="BE14" i="92"/>
  <c r="BD14" i="92"/>
  <c r="BC14" i="92"/>
  <c r="BB14" i="92"/>
  <c r="BA14" i="92"/>
  <c r="AZ14" i="92"/>
  <c r="AY14" i="92"/>
  <c r="BO13" i="92"/>
  <c r="BN13" i="92"/>
  <c r="BM13" i="92"/>
  <c r="BL13" i="92"/>
  <c r="BK13" i="92"/>
  <c r="BJ13" i="92"/>
  <c r="BI13" i="92"/>
  <c r="BH13" i="92"/>
  <c r="BG13" i="92"/>
  <c r="BF13" i="92"/>
  <c r="BE13" i="92"/>
  <c r="BD13" i="92"/>
  <c r="BC13" i="92"/>
  <c r="BB13" i="92"/>
  <c r="BA13" i="92"/>
  <c r="AZ13" i="92"/>
  <c r="AY13" i="92"/>
  <c r="BO12" i="92"/>
  <c r="BN12" i="92"/>
  <c r="BM12" i="92"/>
  <c r="BL12" i="92"/>
  <c r="BK12" i="92"/>
  <c r="BJ12" i="92"/>
  <c r="BI12" i="92"/>
  <c r="BH12" i="92"/>
  <c r="BG12" i="92"/>
  <c r="BF12" i="92"/>
  <c r="BE12" i="92"/>
  <c r="BD12" i="92"/>
  <c r="BC12" i="92"/>
  <c r="BB12" i="92"/>
  <c r="BA12" i="92"/>
  <c r="AZ12" i="92"/>
  <c r="AY12" i="92"/>
  <c r="BO11" i="92"/>
  <c r="BN11" i="92"/>
  <c r="BM11" i="92"/>
  <c r="BL11" i="92"/>
  <c r="BK11" i="92"/>
  <c r="BJ11" i="92"/>
  <c r="BI11" i="92"/>
  <c r="BH11" i="92"/>
  <c r="BG11" i="92"/>
  <c r="BF11" i="92"/>
  <c r="BE11" i="92"/>
  <c r="BD11" i="92"/>
  <c r="BC11" i="92"/>
  <c r="BB11" i="92"/>
  <c r="BA11" i="92"/>
  <c r="AZ11" i="92"/>
  <c r="AY11" i="92"/>
  <c r="BO10" i="92"/>
  <c r="BN10" i="92"/>
  <c r="BM10" i="92"/>
  <c r="BL10" i="92"/>
  <c r="BK10" i="92"/>
  <c r="BJ10" i="92"/>
  <c r="BI10" i="92"/>
  <c r="BH10" i="92"/>
  <c r="BG10" i="92"/>
  <c r="BF10" i="92"/>
  <c r="BE10" i="92"/>
  <c r="BD10" i="92"/>
  <c r="BC10" i="92"/>
  <c r="BB10" i="92"/>
  <c r="BA10" i="92"/>
  <c r="AZ10" i="92"/>
  <c r="AY10" i="92"/>
  <c r="BO9" i="92"/>
  <c r="BN9" i="92"/>
  <c r="BM9" i="92"/>
  <c r="BL9" i="92"/>
  <c r="BK9" i="92"/>
  <c r="BJ9" i="92"/>
  <c r="BI9" i="92"/>
  <c r="BH9" i="92"/>
  <c r="BG9" i="92"/>
  <c r="BF9" i="92"/>
  <c r="BE9" i="92"/>
  <c r="BD9" i="92"/>
  <c r="BC9" i="92"/>
  <c r="BB9" i="92"/>
  <c r="BA9" i="92"/>
  <c r="AZ9" i="92"/>
  <c r="AY9" i="92"/>
  <c r="BO8" i="92"/>
  <c r="BN8" i="92"/>
  <c r="BM8" i="92"/>
  <c r="BL8" i="92"/>
  <c r="BK8" i="92"/>
  <c r="BJ8" i="92"/>
  <c r="BI8" i="92"/>
  <c r="BH8" i="92"/>
  <c r="BG8" i="92"/>
  <c r="BF8" i="92"/>
  <c r="BE8" i="92"/>
  <c r="BD8" i="92"/>
  <c r="BC8" i="92"/>
  <c r="BB8" i="92"/>
  <c r="BA8" i="92"/>
  <c r="AZ8" i="92"/>
  <c r="AY8" i="92"/>
  <c r="BO7" i="92"/>
  <c r="BN7" i="92"/>
  <c r="BM7" i="92"/>
  <c r="BL7" i="92"/>
  <c r="BK7" i="92"/>
  <c r="BJ7" i="92"/>
  <c r="BI7" i="92"/>
  <c r="BH7" i="92"/>
  <c r="BG7" i="92"/>
  <c r="BF7" i="92"/>
  <c r="BE7" i="92"/>
  <c r="BD7" i="92"/>
  <c r="BC7" i="92"/>
  <c r="BB7" i="92"/>
  <c r="BA7" i="92"/>
  <c r="AZ7" i="92"/>
  <c r="AY7" i="92"/>
  <c r="BO6" i="92"/>
  <c r="BN6" i="92"/>
  <c r="BM6" i="92"/>
  <c r="BL6" i="92"/>
  <c r="BK6" i="92"/>
  <c r="BJ6" i="92"/>
  <c r="BI6" i="92"/>
  <c r="BH6" i="92"/>
  <c r="BG6" i="92"/>
  <c r="BF6" i="92"/>
  <c r="BE6" i="92"/>
  <c r="BD6" i="92"/>
  <c r="BC6" i="92"/>
  <c r="BB6" i="92"/>
  <c r="BA6" i="92"/>
  <c r="AZ6" i="92"/>
  <c r="AY6" i="92"/>
  <c r="BO5" i="92"/>
  <c r="BN5" i="92"/>
  <c r="BM5" i="92"/>
  <c r="BL5" i="92"/>
  <c r="BK5" i="92"/>
  <c r="BJ5" i="92"/>
  <c r="BI5" i="92"/>
  <c r="BH5" i="92"/>
  <c r="BG5" i="92"/>
  <c r="BF5" i="92"/>
  <c r="BE5" i="92"/>
  <c r="BD5" i="92"/>
  <c r="BC5" i="92"/>
  <c r="BB5" i="92"/>
  <c r="BA5" i="92"/>
  <c r="AZ5" i="92"/>
  <c r="AY5" i="92"/>
  <c r="BO4" i="92"/>
  <c r="BN4" i="92"/>
  <c r="BM4" i="92"/>
  <c r="BL4" i="92"/>
  <c r="BK4" i="92"/>
  <c r="BJ4" i="92"/>
  <c r="BI4" i="92"/>
  <c r="BH4" i="92"/>
  <c r="BG4" i="92"/>
  <c r="BF4" i="92"/>
  <c r="BE4" i="92"/>
  <c r="BD4" i="92"/>
  <c r="BC4" i="92"/>
  <c r="BB4" i="92"/>
  <c r="BA4" i="92"/>
  <c r="AZ4" i="92"/>
  <c r="AY4" i="92"/>
  <c r="BO3" i="92"/>
  <c r="BN3" i="92"/>
  <c r="BM3" i="92"/>
  <c r="BL3" i="92"/>
  <c r="BK3" i="92"/>
  <c r="BJ3" i="92"/>
  <c r="BI3" i="92"/>
  <c r="BH3" i="92"/>
  <c r="BG3" i="92"/>
  <c r="BF3" i="92"/>
  <c r="BE3" i="92"/>
  <c r="BD3" i="92"/>
  <c r="BC3" i="92"/>
  <c r="BB3" i="92"/>
  <c r="BA3" i="92"/>
  <c r="AZ3" i="92"/>
  <c r="AY3" i="92"/>
  <c r="BO2" i="92"/>
  <c r="BN2" i="92"/>
  <c r="BM2" i="92"/>
  <c r="BL2" i="92"/>
  <c r="BK2" i="92"/>
  <c r="BJ2" i="92"/>
  <c r="BI2" i="92"/>
  <c r="BH2" i="92"/>
  <c r="BG2" i="92"/>
  <c r="BF2" i="92"/>
  <c r="BE2" i="92"/>
  <c r="BD2" i="92"/>
  <c r="BC2" i="92"/>
  <c r="BB2" i="92"/>
  <c r="BA2" i="92"/>
  <c r="AZ2" i="92"/>
  <c r="AY2" i="92"/>
  <c r="BO168" i="91"/>
  <c r="BN168" i="91"/>
  <c r="BM168" i="91"/>
  <c r="BL168" i="91"/>
  <c r="BK168" i="91"/>
  <c r="BJ168" i="91"/>
  <c r="BI168" i="91"/>
  <c r="BH168" i="91"/>
  <c r="BG168" i="91"/>
  <c r="BF168" i="91"/>
  <c r="BE168" i="91"/>
  <c r="BD168" i="91"/>
  <c r="BC168" i="91"/>
  <c r="BB168" i="91"/>
  <c r="BA168" i="91"/>
  <c r="AZ168" i="91"/>
  <c r="AY168" i="91"/>
  <c r="BO167" i="91"/>
  <c r="BN167" i="91"/>
  <c r="BM167" i="91"/>
  <c r="BL167" i="91"/>
  <c r="BK167" i="91"/>
  <c r="BJ167" i="91"/>
  <c r="BI167" i="91"/>
  <c r="BH167" i="91"/>
  <c r="BG167" i="91"/>
  <c r="BF167" i="91"/>
  <c r="BE167" i="91"/>
  <c r="BD167" i="91"/>
  <c r="BC167" i="91"/>
  <c r="BB167" i="91"/>
  <c r="BA167" i="91"/>
  <c r="AZ167" i="91"/>
  <c r="AY167" i="91"/>
  <c r="BO166" i="91"/>
  <c r="BN166" i="91"/>
  <c r="BM166" i="91"/>
  <c r="BL166" i="91"/>
  <c r="BK166" i="91"/>
  <c r="BJ166" i="91"/>
  <c r="BI166" i="91"/>
  <c r="BH166" i="91"/>
  <c r="BG166" i="91"/>
  <c r="BF166" i="91"/>
  <c r="BE166" i="91"/>
  <c r="BD166" i="91"/>
  <c r="BC166" i="91"/>
  <c r="BB166" i="91"/>
  <c r="BA166" i="91"/>
  <c r="AZ166" i="91"/>
  <c r="AY166" i="91"/>
  <c r="BO165" i="91"/>
  <c r="BN165" i="91"/>
  <c r="BM165" i="91"/>
  <c r="BL165" i="91"/>
  <c r="BK165" i="91"/>
  <c r="BJ165" i="91"/>
  <c r="BI165" i="91"/>
  <c r="BH165" i="91"/>
  <c r="BG165" i="91"/>
  <c r="BF165" i="91"/>
  <c r="BE165" i="91"/>
  <c r="BD165" i="91"/>
  <c r="BC165" i="91"/>
  <c r="BB165" i="91"/>
  <c r="BA165" i="91"/>
  <c r="AZ165" i="91"/>
  <c r="AY165" i="91"/>
  <c r="BO164" i="91"/>
  <c r="BN164" i="91"/>
  <c r="BM164" i="91"/>
  <c r="BL164" i="91"/>
  <c r="BK164" i="91"/>
  <c r="BJ164" i="91"/>
  <c r="BI164" i="91"/>
  <c r="BH164" i="91"/>
  <c r="BG164" i="91"/>
  <c r="BF164" i="91"/>
  <c r="BE164" i="91"/>
  <c r="BD164" i="91"/>
  <c r="BC164" i="91"/>
  <c r="BB164" i="91"/>
  <c r="BA164" i="91"/>
  <c r="AZ164" i="91"/>
  <c r="AY164" i="91"/>
  <c r="BO163" i="91"/>
  <c r="BN163" i="91"/>
  <c r="BM163" i="91"/>
  <c r="BL163" i="91"/>
  <c r="BK163" i="91"/>
  <c r="BJ163" i="91"/>
  <c r="BI163" i="91"/>
  <c r="BH163" i="91"/>
  <c r="BG163" i="91"/>
  <c r="BF163" i="91"/>
  <c r="BE163" i="91"/>
  <c r="BD163" i="91"/>
  <c r="BC163" i="91"/>
  <c r="BB163" i="91"/>
  <c r="BA163" i="91"/>
  <c r="AZ163" i="91"/>
  <c r="AY163" i="91"/>
  <c r="BO162" i="91"/>
  <c r="BN162" i="91"/>
  <c r="BM162" i="91"/>
  <c r="BL162" i="91"/>
  <c r="BK162" i="91"/>
  <c r="BJ162" i="91"/>
  <c r="BI162" i="91"/>
  <c r="BH162" i="91"/>
  <c r="BG162" i="91"/>
  <c r="BF162" i="91"/>
  <c r="BE162" i="91"/>
  <c r="BD162" i="91"/>
  <c r="BC162" i="91"/>
  <c r="BB162" i="91"/>
  <c r="BA162" i="91"/>
  <c r="AZ162" i="91"/>
  <c r="AY162" i="91"/>
  <c r="BO161" i="91"/>
  <c r="BN161" i="91"/>
  <c r="BM161" i="91"/>
  <c r="BL161" i="91"/>
  <c r="BK161" i="91"/>
  <c r="BJ161" i="91"/>
  <c r="BI161" i="91"/>
  <c r="BH161" i="91"/>
  <c r="BG161" i="91"/>
  <c r="BF161" i="91"/>
  <c r="BE161" i="91"/>
  <c r="BD161" i="91"/>
  <c r="BC161" i="91"/>
  <c r="BB161" i="91"/>
  <c r="BA161" i="91"/>
  <c r="AZ161" i="91"/>
  <c r="AY161" i="91"/>
  <c r="BO160" i="91"/>
  <c r="BN160" i="91"/>
  <c r="BM160" i="91"/>
  <c r="BL160" i="91"/>
  <c r="BK160" i="91"/>
  <c r="BJ160" i="91"/>
  <c r="BI160" i="91"/>
  <c r="BH160" i="91"/>
  <c r="BG160" i="91"/>
  <c r="BF160" i="91"/>
  <c r="BE160" i="91"/>
  <c r="BD160" i="91"/>
  <c r="BC160" i="91"/>
  <c r="BB160" i="91"/>
  <c r="BA160" i="91"/>
  <c r="AZ160" i="91"/>
  <c r="AY160" i="91"/>
  <c r="BO159" i="91"/>
  <c r="BN159" i="91"/>
  <c r="BM159" i="91"/>
  <c r="BL159" i="91"/>
  <c r="BK159" i="91"/>
  <c r="BJ159" i="91"/>
  <c r="BI159" i="91"/>
  <c r="BH159" i="91"/>
  <c r="BG159" i="91"/>
  <c r="BF159" i="91"/>
  <c r="BE159" i="91"/>
  <c r="BD159" i="91"/>
  <c r="BC159" i="91"/>
  <c r="BB159" i="91"/>
  <c r="BA159" i="91"/>
  <c r="AZ159" i="91"/>
  <c r="AY159" i="91"/>
  <c r="BO158" i="91"/>
  <c r="BN158" i="91"/>
  <c r="BM158" i="91"/>
  <c r="BL158" i="91"/>
  <c r="BK158" i="91"/>
  <c r="BJ158" i="91"/>
  <c r="BI158" i="91"/>
  <c r="BH158" i="91"/>
  <c r="BG158" i="91"/>
  <c r="BF158" i="91"/>
  <c r="BE158" i="91"/>
  <c r="BD158" i="91"/>
  <c r="BC158" i="91"/>
  <c r="BB158" i="91"/>
  <c r="BA158" i="91"/>
  <c r="AZ158" i="91"/>
  <c r="AY158" i="91"/>
  <c r="BO157" i="91"/>
  <c r="BN157" i="91"/>
  <c r="BM157" i="91"/>
  <c r="BL157" i="91"/>
  <c r="BK157" i="91"/>
  <c r="BJ157" i="91"/>
  <c r="BI157" i="91"/>
  <c r="BH157" i="91"/>
  <c r="BG157" i="91"/>
  <c r="BF157" i="91"/>
  <c r="BE157" i="91"/>
  <c r="BD157" i="91"/>
  <c r="BC157" i="91"/>
  <c r="BB157" i="91"/>
  <c r="BA157" i="91"/>
  <c r="AZ157" i="91"/>
  <c r="AY157" i="91"/>
  <c r="BO156" i="91"/>
  <c r="BN156" i="91"/>
  <c r="BM156" i="91"/>
  <c r="BL156" i="91"/>
  <c r="BK156" i="91"/>
  <c r="BJ156" i="91"/>
  <c r="BI156" i="91"/>
  <c r="BH156" i="91"/>
  <c r="BG156" i="91"/>
  <c r="BF156" i="91"/>
  <c r="BE156" i="91"/>
  <c r="BD156" i="91"/>
  <c r="BC156" i="91"/>
  <c r="BB156" i="91"/>
  <c r="BA156" i="91"/>
  <c r="AZ156" i="91"/>
  <c r="AY156" i="91"/>
  <c r="BO155" i="91"/>
  <c r="BN155" i="91"/>
  <c r="BM155" i="91"/>
  <c r="BL155" i="91"/>
  <c r="BK155" i="91"/>
  <c r="BJ155" i="91"/>
  <c r="BI155" i="91"/>
  <c r="BH155" i="91"/>
  <c r="BG155" i="91"/>
  <c r="BF155" i="91"/>
  <c r="BE155" i="91"/>
  <c r="BD155" i="91"/>
  <c r="BC155" i="91"/>
  <c r="BB155" i="91"/>
  <c r="BA155" i="91"/>
  <c r="AZ155" i="91"/>
  <c r="AY155" i="91"/>
  <c r="BO154" i="91"/>
  <c r="BN154" i="91"/>
  <c r="BM154" i="91"/>
  <c r="BL154" i="91"/>
  <c r="BK154" i="91"/>
  <c r="BJ154" i="91"/>
  <c r="BI154" i="91"/>
  <c r="BH154" i="91"/>
  <c r="BG154" i="91"/>
  <c r="BF154" i="91"/>
  <c r="BE154" i="91"/>
  <c r="BD154" i="91"/>
  <c r="BC154" i="91"/>
  <c r="BB154" i="91"/>
  <c r="BA154" i="91"/>
  <c r="AZ154" i="91"/>
  <c r="AY154" i="91"/>
  <c r="BO153" i="91"/>
  <c r="BN153" i="91"/>
  <c r="BM153" i="91"/>
  <c r="BL153" i="91"/>
  <c r="BK153" i="91"/>
  <c r="BJ153" i="91"/>
  <c r="BI153" i="91"/>
  <c r="BH153" i="91"/>
  <c r="BG153" i="91"/>
  <c r="BF153" i="91"/>
  <c r="BE153" i="91"/>
  <c r="BD153" i="91"/>
  <c r="BC153" i="91"/>
  <c r="BB153" i="91"/>
  <c r="BA153" i="91"/>
  <c r="AZ153" i="91"/>
  <c r="AY153" i="91"/>
  <c r="BO152" i="91"/>
  <c r="BN152" i="91"/>
  <c r="BM152" i="91"/>
  <c r="BL152" i="91"/>
  <c r="BK152" i="91"/>
  <c r="BJ152" i="91"/>
  <c r="BI152" i="91"/>
  <c r="BH152" i="91"/>
  <c r="BG152" i="91"/>
  <c r="BF152" i="91"/>
  <c r="BE152" i="91"/>
  <c r="BD152" i="91"/>
  <c r="BC152" i="91"/>
  <c r="BB152" i="91"/>
  <c r="BA152" i="91"/>
  <c r="AZ152" i="91"/>
  <c r="AY152" i="91"/>
  <c r="BO151" i="91"/>
  <c r="BN151" i="91"/>
  <c r="BM151" i="91"/>
  <c r="BL151" i="91"/>
  <c r="BK151" i="91"/>
  <c r="BJ151" i="91"/>
  <c r="BI151" i="91"/>
  <c r="BH151" i="91"/>
  <c r="BG151" i="91"/>
  <c r="BF151" i="91"/>
  <c r="BE151" i="91"/>
  <c r="BD151" i="91"/>
  <c r="BC151" i="91"/>
  <c r="BB151" i="91"/>
  <c r="BA151" i="91"/>
  <c r="AZ151" i="91"/>
  <c r="AY151" i="91"/>
  <c r="BO150" i="91"/>
  <c r="BN150" i="91"/>
  <c r="BM150" i="91"/>
  <c r="BL150" i="91"/>
  <c r="BK150" i="91"/>
  <c r="BJ150" i="91"/>
  <c r="BI150" i="91"/>
  <c r="BH150" i="91"/>
  <c r="BG150" i="91"/>
  <c r="BF150" i="91"/>
  <c r="BE150" i="91"/>
  <c r="BD150" i="91"/>
  <c r="BC150" i="91"/>
  <c r="BB150" i="91"/>
  <c r="BA150" i="91"/>
  <c r="AZ150" i="91"/>
  <c r="AY150" i="91"/>
  <c r="BO149" i="91"/>
  <c r="BN149" i="91"/>
  <c r="BM149" i="91"/>
  <c r="BL149" i="91"/>
  <c r="BK149" i="91"/>
  <c r="BJ149" i="91"/>
  <c r="BI149" i="91"/>
  <c r="BH149" i="91"/>
  <c r="BG149" i="91"/>
  <c r="BF149" i="91"/>
  <c r="BE149" i="91"/>
  <c r="BD149" i="91"/>
  <c r="BC149" i="91"/>
  <c r="BB149" i="91"/>
  <c r="BA149" i="91"/>
  <c r="AZ149" i="91"/>
  <c r="AY149" i="91"/>
  <c r="BO148" i="91"/>
  <c r="BN148" i="91"/>
  <c r="BM148" i="91"/>
  <c r="BL148" i="91"/>
  <c r="BK148" i="91"/>
  <c r="BJ148" i="91"/>
  <c r="BI148" i="91"/>
  <c r="BH148" i="91"/>
  <c r="BG148" i="91"/>
  <c r="BF148" i="91"/>
  <c r="BE148" i="91"/>
  <c r="BD148" i="91"/>
  <c r="BC148" i="91"/>
  <c r="BB148" i="91"/>
  <c r="BA148" i="91"/>
  <c r="AZ148" i="91"/>
  <c r="AY148" i="91"/>
  <c r="BO147" i="91"/>
  <c r="BN147" i="91"/>
  <c r="BM147" i="91"/>
  <c r="BL147" i="91"/>
  <c r="BK147" i="91"/>
  <c r="BJ147" i="91"/>
  <c r="BI147" i="91"/>
  <c r="BH147" i="91"/>
  <c r="BG147" i="91"/>
  <c r="BF147" i="91"/>
  <c r="BE147" i="91"/>
  <c r="BD147" i="91"/>
  <c r="BC147" i="91"/>
  <c r="BB147" i="91"/>
  <c r="BA147" i="91"/>
  <c r="AZ147" i="91"/>
  <c r="AY147" i="91"/>
  <c r="BO146" i="91"/>
  <c r="BN146" i="91"/>
  <c r="BM146" i="91"/>
  <c r="BL146" i="91"/>
  <c r="BK146" i="91"/>
  <c r="BJ146" i="91"/>
  <c r="BI146" i="91"/>
  <c r="BH146" i="91"/>
  <c r="BG146" i="91"/>
  <c r="BF146" i="91"/>
  <c r="BE146" i="91"/>
  <c r="BD146" i="91"/>
  <c r="BC146" i="91"/>
  <c r="BB146" i="91"/>
  <c r="BA146" i="91"/>
  <c r="AZ146" i="91"/>
  <c r="AY146" i="91"/>
  <c r="BO145" i="91"/>
  <c r="BN145" i="91"/>
  <c r="BM145" i="91"/>
  <c r="BL145" i="91"/>
  <c r="BK145" i="91"/>
  <c r="BJ145" i="91"/>
  <c r="BI145" i="91"/>
  <c r="BH145" i="91"/>
  <c r="BG145" i="91"/>
  <c r="BF145" i="91"/>
  <c r="BE145" i="91"/>
  <c r="BD145" i="91"/>
  <c r="BC145" i="91"/>
  <c r="BB145" i="91"/>
  <c r="BA145" i="91"/>
  <c r="AZ145" i="91"/>
  <c r="AY145" i="91"/>
  <c r="BO144" i="91"/>
  <c r="BN144" i="91"/>
  <c r="BM144" i="91"/>
  <c r="BL144" i="91"/>
  <c r="BK144" i="91"/>
  <c r="BJ144" i="91"/>
  <c r="BI144" i="91"/>
  <c r="BH144" i="91"/>
  <c r="BG144" i="91"/>
  <c r="BF144" i="91"/>
  <c r="BE144" i="91"/>
  <c r="BD144" i="91"/>
  <c r="BC144" i="91"/>
  <c r="BB144" i="91"/>
  <c r="BA144" i="91"/>
  <c r="AZ144" i="91"/>
  <c r="AY144" i="91"/>
  <c r="BO143" i="91"/>
  <c r="BN143" i="91"/>
  <c r="BM143" i="91"/>
  <c r="BL143" i="91"/>
  <c r="BK143" i="91"/>
  <c r="BJ143" i="91"/>
  <c r="BI143" i="91"/>
  <c r="BH143" i="91"/>
  <c r="BG143" i="91"/>
  <c r="BF143" i="91"/>
  <c r="BE143" i="91"/>
  <c r="BD143" i="91"/>
  <c r="BC143" i="91"/>
  <c r="BB143" i="91"/>
  <c r="BA143" i="91"/>
  <c r="AZ143" i="91"/>
  <c r="AY143" i="91"/>
  <c r="BO142" i="91"/>
  <c r="BN142" i="91"/>
  <c r="BM142" i="91"/>
  <c r="BL142" i="91"/>
  <c r="BK142" i="91"/>
  <c r="BJ142" i="91"/>
  <c r="BI142" i="91"/>
  <c r="BH142" i="91"/>
  <c r="BG142" i="91"/>
  <c r="BF142" i="91"/>
  <c r="BE142" i="91"/>
  <c r="BD142" i="91"/>
  <c r="BC142" i="91"/>
  <c r="BB142" i="91"/>
  <c r="BA142" i="91"/>
  <c r="AZ142" i="91"/>
  <c r="AY142" i="91"/>
  <c r="BO141" i="91"/>
  <c r="BN141" i="91"/>
  <c r="BM141" i="91"/>
  <c r="BL141" i="91"/>
  <c r="BK141" i="91"/>
  <c r="BJ141" i="91"/>
  <c r="BI141" i="91"/>
  <c r="BH141" i="91"/>
  <c r="BG141" i="91"/>
  <c r="BF141" i="91"/>
  <c r="BE141" i="91"/>
  <c r="BD141" i="91"/>
  <c r="BC141" i="91"/>
  <c r="BB141" i="91"/>
  <c r="BA141" i="91"/>
  <c r="AZ141" i="91"/>
  <c r="AY141" i="91"/>
  <c r="BO140" i="91"/>
  <c r="BN140" i="91"/>
  <c r="BM140" i="91"/>
  <c r="BL140" i="91"/>
  <c r="BK140" i="91"/>
  <c r="BJ140" i="91"/>
  <c r="BI140" i="91"/>
  <c r="BH140" i="91"/>
  <c r="BG140" i="91"/>
  <c r="BF140" i="91"/>
  <c r="BE140" i="91"/>
  <c r="BD140" i="91"/>
  <c r="BC140" i="91"/>
  <c r="BB140" i="91"/>
  <c r="BA140" i="91"/>
  <c r="AZ140" i="91"/>
  <c r="AY140" i="91"/>
  <c r="BO139" i="91"/>
  <c r="BN139" i="91"/>
  <c r="BM139" i="91"/>
  <c r="BL139" i="91"/>
  <c r="BK139" i="91"/>
  <c r="BJ139" i="91"/>
  <c r="BI139" i="91"/>
  <c r="BH139" i="91"/>
  <c r="BG139" i="91"/>
  <c r="BF139" i="91"/>
  <c r="BE139" i="91"/>
  <c r="BD139" i="91"/>
  <c r="BC139" i="91"/>
  <c r="BB139" i="91"/>
  <c r="BA139" i="91"/>
  <c r="AZ139" i="91"/>
  <c r="AY139" i="91"/>
  <c r="BO138" i="91"/>
  <c r="BN138" i="91"/>
  <c r="BM138" i="91"/>
  <c r="BL138" i="91"/>
  <c r="BK138" i="91"/>
  <c r="BJ138" i="91"/>
  <c r="BI138" i="91"/>
  <c r="BH138" i="91"/>
  <c r="BG138" i="91"/>
  <c r="BF138" i="91"/>
  <c r="BE138" i="91"/>
  <c r="BD138" i="91"/>
  <c r="BC138" i="91"/>
  <c r="BB138" i="91"/>
  <c r="BA138" i="91"/>
  <c r="AZ138" i="91"/>
  <c r="AY138" i="91"/>
  <c r="BO137" i="91"/>
  <c r="BN137" i="91"/>
  <c r="BM137" i="91"/>
  <c r="BL137" i="91"/>
  <c r="BK137" i="91"/>
  <c r="BJ137" i="91"/>
  <c r="BI137" i="91"/>
  <c r="BH137" i="91"/>
  <c r="BG137" i="91"/>
  <c r="BF137" i="91"/>
  <c r="BE137" i="91"/>
  <c r="BD137" i="91"/>
  <c r="BC137" i="91"/>
  <c r="BB137" i="91"/>
  <c r="BA137" i="91"/>
  <c r="AZ137" i="91"/>
  <c r="AY137" i="91"/>
  <c r="BO136" i="91"/>
  <c r="BN136" i="91"/>
  <c r="BM136" i="91"/>
  <c r="BL136" i="91"/>
  <c r="BK136" i="91"/>
  <c r="BJ136" i="91"/>
  <c r="BI136" i="91"/>
  <c r="BH136" i="91"/>
  <c r="BG136" i="91"/>
  <c r="BF136" i="91"/>
  <c r="BE136" i="91"/>
  <c r="BD136" i="91"/>
  <c r="BC136" i="91"/>
  <c r="BB136" i="91"/>
  <c r="BA136" i="91"/>
  <c r="AZ136" i="91"/>
  <c r="AY136" i="91"/>
  <c r="BO135" i="91"/>
  <c r="BN135" i="91"/>
  <c r="BM135" i="91"/>
  <c r="BL135" i="91"/>
  <c r="BK135" i="91"/>
  <c r="BJ135" i="91"/>
  <c r="BI135" i="91"/>
  <c r="BH135" i="91"/>
  <c r="BG135" i="91"/>
  <c r="BF135" i="91"/>
  <c r="BE135" i="91"/>
  <c r="BD135" i="91"/>
  <c r="BC135" i="91"/>
  <c r="BB135" i="91"/>
  <c r="BA135" i="91"/>
  <c r="AZ135" i="91"/>
  <c r="AY135" i="91"/>
  <c r="BO134" i="91"/>
  <c r="BN134" i="91"/>
  <c r="BM134" i="91"/>
  <c r="BL134" i="91"/>
  <c r="BK134" i="91"/>
  <c r="BJ134" i="91"/>
  <c r="BI134" i="91"/>
  <c r="BH134" i="91"/>
  <c r="BG134" i="91"/>
  <c r="BF134" i="91"/>
  <c r="BE134" i="91"/>
  <c r="BD134" i="91"/>
  <c r="BC134" i="91"/>
  <c r="BB134" i="91"/>
  <c r="BA134" i="91"/>
  <c r="AZ134" i="91"/>
  <c r="AY134" i="91"/>
  <c r="BO133" i="91"/>
  <c r="BN133" i="91"/>
  <c r="BM133" i="91"/>
  <c r="BL133" i="91"/>
  <c r="BK133" i="91"/>
  <c r="BJ133" i="91"/>
  <c r="BI133" i="91"/>
  <c r="BH133" i="91"/>
  <c r="BG133" i="91"/>
  <c r="BF133" i="91"/>
  <c r="BE133" i="91"/>
  <c r="BD133" i="91"/>
  <c r="BC133" i="91"/>
  <c r="BB133" i="91"/>
  <c r="BA133" i="91"/>
  <c r="AZ133" i="91"/>
  <c r="AY133" i="91"/>
  <c r="BO132" i="91"/>
  <c r="BN132" i="91"/>
  <c r="BM132" i="91"/>
  <c r="BL132" i="91"/>
  <c r="BK132" i="91"/>
  <c r="BJ132" i="91"/>
  <c r="BI132" i="91"/>
  <c r="BH132" i="91"/>
  <c r="BG132" i="91"/>
  <c r="BF132" i="91"/>
  <c r="BE132" i="91"/>
  <c r="BD132" i="91"/>
  <c r="BC132" i="91"/>
  <c r="BB132" i="91"/>
  <c r="BA132" i="91"/>
  <c r="AZ132" i="91"/>
  <c r="AY132" i="91"/>
  <c r="BO131" i="91"/>
  <c r="BN131" i="91"/>
  <c r="BM131" i="91"/>
  <c r="BL131" i="91"/>
  <c r="BK131" i="91"/>
  <c r="BJ131" i="91"/>
  <c r="BI131" i="91"/>
  <c r="BH131" i="91"/>
  <c r="BG131" i="91"/>
  <c r="BF131" i="91"/>
  <c r="BE131" i="91"/>
  <c r="BD131" i="91"/>
  <c r="BC131" i="91"/>
  <c r="BB131" i="91"/>
  <c r="BA131" i="91"/>
  <c r="AZ131" i="91"/>
  <c r="AY131" i="91"/>
  <c r="BO130" i="91"/>
  <c r="BN130" i="91"/>
  <c r="BM130" i="91"/>
  <c r="BL130" i="91"/>
  <c r="BK130" i="91"/>
  <c r="BJ130" i="91"/>
  <c r="BI130" i="91"/>
  <c r="BH130" i="91"/>
  <c r="BG130" i="91"/>
  <c r="BF130" i="91"/>
  <c r="BE130" i="91"/>
  <c r="BD130" i="91"/>
  <c r="BC130" i="91"/>
  <c r="BB130" i="91"/>
  <c r="BA130" i="91"/>
  <c r="AZ130" i="91"/>
  <c r="AY130" i="91"/>
  <c r="BO129" i="91"/>
  <c r="BN129" i="91"/>
  <c r="BM129" i="91"/>
  <c r="BL129" i="91"/>
  <c r="BK129" i="91"/>
  <c r="BJ129" i="91"/>
  <c r="BI129" i="91"/>
  <c r="BH129" i="91"/>
  <c r="BG129" i="91"/>
  <c r="BF129" i="91"/>
  <c r="BE129" i="91"/>
  <c r="BD129" i="91"/>
  <c r="BC129" i="91"/>
  <c r="BB129" i="91"/>
  <c r="BA129" i="91"/>
  <c r="AZ129" i="91"/>
  <c r="AY129" i="91"/>
  <c r="BO128" i="91"/>
  <c r="BN128" i="91"/>
  <c r="BM128" i="91"/>
  <c r="BL128" i="91"/>
  <c r="BK128" i="91"/>
  <c r="BJ128" i="91"/>
  <c r="BI128" i="91"/>
  <c r="BH128" i="91"/>
  <c r="BG128" i="91"/>
  <c r="BF128" i="91"/>
  <c r="BE128" i="91"/>
  <c r="BD128" i="91"/>
  <c r="BC128" i="91"/>
  <c r="BB128" i="91"/>
  <c r="BA128" i="91"/>
  <c r="AZ128" i="91"/>
  <c r="AY128" i="91"/>
  <c r="BO127" i="91"/>
  <c r="BN127" i="91"/>
  <c r="BM127" i="91"/>
  <c r="BL127" i="91"/>
  <c r="BK127" i="91"/>
  <c r="BJ127" i="91"/>
  <c r="BI127" i="91"/>
  <c r="BH127" i="91"/>
  <c r="BG127" i="91"/>
  <c r="BF127" i="91"/>
  <c r="BE127" i="91"/>
  <c r="BD127" i="91"/>
  <c r="BC127" i="91"/>
  <c r="BB127" i="91"/>
  <c r="BA127" i="91"/>
  <c r="AZ127" i="91"/>
  <c r="AY127" i="91"/>
  <c r="BO126" i="91"/>
  <c r="BN126" i="91"/>
  <c r="BM126" i="91"/>
  <c r="BL126" i="91"/>
  <c r="BK126" i="91"/>
  <c r="BJ126" i="91"/>
  <c r="BI126" i="91"/>
  <c r="BH126" i="91"/>
  <c r="BG126" i="91"/>
  <c r="BF126" i="91"/>
  <c r="BE126" i="91"/>
  <c r="BD126" i="91"/>
  <c r="BC126" i="91"/>
  <c r="BB126" i="91"/>
  <c r="BA126" i="91"/>
  <c r="AZ126" i="91"/>
  <c r="AY126" i="91"/>
  <c r="BO125" i="91"/>
  <c r="BN125" i="91"/>
  <c r="BM125" i="91"/>
  <c r="BL125" i="91"/>
  <c r="BK125" i="91"/>
  <c r="BJ125" i="91"/>
  <c r="BI125" i="91"/>
  <c r="BH125" i="91"/>
  <c r="BG125" i="91"/>
  <c r="BF125" i="91"/>
  <c r="BE125" i="91"/>
  <c r="BD125" i="91"/>
  <c r="BC125" i="91"/>
  <c r="BB125" i="91"/>
  <c r="BA125" i="91"/>
  <c r="AZ125" i="91"/>
  <c r="AY125" i="91"/>
  <c r="BO124" i="91"/>
  <c r="BN124" i="91"/>
  <c r="BM124" i="91"/>
  <c r="BL124" i="91"/>
  <c r="BK124" i="91"/>
  <c r="BJ124" i="91"/>
  <c r="BI124" i="91"/>
  <c r="BH124" i="91"/>
  <c r="BG124" i="91"/>
  <c r="BF124" i="91"/>
  <c r="BE124" i="91"/>
  <c r="BD124" i="91"/>
  <c r="BC124" i="91"/>
  <c r="BB124" i="91"/>
  <c r="BA124" i="91"/>
  <c r="AZ124" i="91"/>
  <c r="AY124" i="91"/>
  <c r="BO123" i="91"/>
  <c r="BN123" i="91"/>
  <c r="BM123" i="91"/>
  <c r="BL123" i="91"/>
  <c r="BK123" i="91"/>
  <c r="BJ123" i="91"/>
  <c r="BI123" i="91"/>
  <c r="BH123" i="91"/>
  <c r="BG123" i="91"/>
  <c r="BF123" i="91"/>
  <c r="BE123" i="91"/>
  <c r="BD123" i="91"/>
  <c r="BC123" i="91"/>
  <c r="BB123" i="91"/>
  <c r="BA123" i="91"/>
  <c r="AZ123" i="91"/>
  <c r="AY123" i="91"/>
  <c r="BO122" i="91"/>
  <c r="BN122" i="91"/>
  <c r="BM122" i="91"/>
  <c r="BL122" i="91"/>
  <c r="BK122" i="91"/>
  <c r="BJ122" i="91"/>
  <c r="BI122" i="91"/>
  <c r="BH122" i="91"/>
  <c r="BG122" i="91"/>
  <c r="BF122" i="91"/>
  <c r="BE122" i="91"/>
  <c r="BD122" i="91"/>
  <c r="BC122" i="91"/>
  <c r="BB122" i="91"/>
  <c r="BA122" i="91"/>
  <c r="AZ122" i="91"/>
  <c r="AY122" i="91"/>
  <c r="BO121" i="91"/>
  <c r="BN121" i="91"/>
  <c r="BM121" i="91"/>
  <c r="BL121" i="91"/>
  <c r="BK121" i="91"/>
  <c r="BJ121" i="91"/>
  <c r="BI121" i="91"/>
  <c r="BH121" i="91"/>
  <c r="BG121" i="91"/>
  <c r="BF121" i="91"/>
  <c r="BE121" i="91"/>
  <c r="BD121" i="91"/>
  <c r="BC121" i="91"/>
  <c r="BB121" i="91"/>
  <c r="BA121" i="91"/>
  <c r="AZ121" i="91"/>
  <c r="AY121" i="91"/>
  <c r="BO120" i="91"/>
  <c r="BN120" i="91"/>
  <c r="BM120" i="91"/>
  <c r="BL120" i="91"/>
  <c r="BK120" i="91"/>
  <c r="BJ120" i="91"/>
  <c r="BI120" i="91"/>
  <c r="BH120" i="91"/>
  <c r="BG120" i="91"/>
  <c r="BF120" i="91"/>
  <c r="BE120" i="91"/>
  <c r="BD120" i="91"/>
  <c r="BC120" i="91"/>
  <c r="BB120" i="91"/>
  <c r="BA120" i="91"/>
  <c r="AZ120" i="91"/>
  <c r="AY120" i="91"/>
  <c r="BO119" i="91"/>
  <c r="BN119" i="91"/>
  <c r="BM119" i="91"/>
  <c r="BL119" i="91"/>
  <c r="BK119" i="91"/>
  <c r="BJ119" i="91"/>
  <c r="BI119" i="91"/>
  <c r="BH119" i="91"/>
  <c r="BG119" i="91"/>
  <c r="BF119" i="91"/>
  <c r="BE119" i="91"/>
  <c r="BD119" i="91"/>
  <c r="BC119" i="91"/>
  <c r="BB119" i="91"/>
  <c r="BA119" i="91"/>
  <c r="AZ119" i="91"/>
  <c r="AY119" i="91"/>
  <c r="BO118" i="91"/>
  <c r="BN118" i="91"/>
  <c r="BM118" i="91"/>
  <c r="BL118" i="91"/>
  <c r="BK118" i="91"/>
  <c r="BJ118" i="91"/>
  <c r="BI118" i="91"/>
  <c r="BH118" i="91"/>
  <c r="BG118" i="91"/>
  <c r="BF118" i="91"/>
  <c r="BE118" i="91"/>
  <c r="BD118" i="91"/>
  <c r="BC118" i="91"/>
  <c r="BB118" i="91"/>
  <c r="BA118" i="91"/>
  <c r="AZ118" i="91"/>
  <c r="AY118" i="91"/>
  <c r="BO117" i="91"/>
  <c r="BN117" i="91"/>
  <c r="BM117" i="91"/>
  <c r="BL117" i="91"/>
  <c r="BK117" i="91"/>
  <c r="BJ117" i="91"/>
  <c r="BI117" i="91"/>
  <c r="BH117" i="91"/>
  <c r="BG117" i="91"/>
  <c r="BF117" i="91"/>
  <c r="BE117" i="91"/>
  <c r="BD117" i="91"/>
  <c r="BC117" i="91"/>
  <c r="BB117" i="91"/>
  <c r="BA117" i="91"/>
  <c r="AZ117" i="91"/>
  <c r="AY117" i="91"/>
  <c r="BO116" i="91"/>
  <c r="BN116" i="91"/>
  <c r="BM116" i="91"/>
  <c r="BL116" i="91"/>
  <c r="BK116" i="91"/>
  <c r="BJ116" i="91"/>
  <c r="BI116" i="91"/>
  <c r="BH116" i="91"/>
  <c r="BG116" i="91"/>
  <c r="BF116" i="91"/>
  <c r="BE116" i="91"/>
  <c r="BD116" i="91"/>
  <c r="BC116" i="91"/>
  <c r="BB116" i="91"/>
  <c r="BA116" i="91"/>
  <c r="AZ116" i="91"/>
  <c r="AY116" i="91"/>
  <c r="BO115" i="91"/>
  <c r="BN115" i="91"/>
  <c r="BM115" i="91"/>
  <c r="BL115" i="91"/>
  <c r="BK115" i="91"/>
  <c r="BJ115" i="91"/>
  <c r="BI115" i="91"/>
  <c r="BH115" i="91"/>
  <c r="BG115" i="91"/>
  <c r="BF115" i="91"/>
  <c r="BE115" i="91"/>
  <c r="BD115" i="91"/>
  <c r="BC115" i="91"/>
  <c r="BB115" i="91"/>
  <c r="BA115" i="91"/>
  <c r="AZ115" i="91"/>
  <c r="AY115" i="91"/>
  <c r="BO114" i="91"/>
  <c r="BN114" i="91"/>
  <c r="BM114" i="91"/>
  <c r="BL114" i="91"/>
  <c r="BK114" i="91"/>
  <c r="BJ114" i="91"/>
  <c r="BI114" i="91"/>
  <c r="BH114" i="91"/>
  <c r="BG114" i="91"/>
  <c r="BF114" i="91"/>
  <c r="BE114" i="91"/>
  <c r="BD114" i="91"/>
  <c r="BC114" i="91"/>
  <c r="BB114" i="91"/>
  <c r="BA114" i="91"/>
  <c r="AZ114" i="91"/>
  <c r="AY114" i="91"/>
  <c r="BO113" i="91"/>
  <c r="BN113" i="91"/>
  <c r="BM113" i="91"/>
  <c r="BL113" i="91"/>
  <c r="BK113" i="91"/>
  <c r="BJ113" i="91"/>
  <c r="BI113" i="91"/>
  <c r="BH113" i="91"/>
  <c r="BG113" i="91"/>
  <c r="BF113" i="91"/>
  <c r="BE113" i="91"/>
  <c r="BD113" i="91"/>
  <c r="BC113" i="91"/>
  <c r="BB113" i="91"/>
  <c r="BA113" i="91"/>
  <c r="AZ113" i="91"/>
  <c r="AY113" i="91"/>
  <c r="BO112" i="91"/>
  <c r="BN112" i="91"/>
  <c r="BM112" i="91"/>
  <c r="BL112" i="91"/>
  <c r="BK112" i="91"/>
  <c r="BJ112" i="91"/>
  <c r="BI112" i="91"/>
  <c r="BH112" i="91"/>
  <c r="BG112" i="91"/>
  <c r="BF112" i="91"/>
  <c r="BE112" i="91"/>
  <c r="BD112" i="91"/>
  <c r="BC112" i="91"/>
  <c r="BB112" i="91"/>
  <c r="BA112" i="91"/>
  <c r="AZ112" i="91"/>
  <c r="AY112" i="91"/>
  <c r="BO111" i="91"/>
  <c r="BN111" i="91"/>
  <c r="BM111" i="91"/>
  <c r="BL111" i="91"/>
  <c r="BK111" i="91"/>
  <c r="BJ111" i="91"/>
  <c r="BI111" i="91"/>
  <c r="BH111" i="91"/>
  <c r="BG111" i="91"/>
  <c r="BF111" i="91"/>
  <c r="BE111" i="91"/>
  <c r="BD111" i="91"/>
  <c r="BC111" i="91"/>
  <c r="BB111" i="91"/>
  <c r="BA111" i="91"/>
  <c r="AZ111" i="91"/>
  <c r="AY111" i="91"/>
  <c r="BO110" i="91"/>
  <c r="BN110" i="91"/>
  <c r="BM110" i="91"/>
  <c r="BL110" i="91"/>
  <c r="BK110" i="91"/>
  <c r="BJ110" i="91"/>
  <c r="BI110" i="91"/>
  <c r="BH110" i="91"/>
  <c r="BG110" i="91"/>
  <c r="BF110" i="91"/>
  <c r="BE110" i="91"/>
  <c r="BD110" i="91"/>
  <c r="BC110" i="91"/>
  <c r="BB110" i="91"/>
  <c r="BA110" i="91"/>
  <c r="AZ110" i="91"/>
  <c r="AY110" i="91"/>
  <c r="BO109" i="91"/>
  <c r="BN109" i="91"/>
  <c r="BM109" i="91"/>
  <c r="BL109" i="91"/>
  <c r="BK109" i="91"/>
  <c r="BJ109" i="91"/>
  <c r="BI109" i="91"/>
  <c r="BH109" i="91"/>
  <c r="BG109" i="91"/>
  <c r="BF109" i="91"/>
  <c r="BE109" i="91"/>
  <c r="BD109" i="91"/>
  <c r="BC109" i="91"/>
  <c r="BB109" i="91"/>
  <c r="BA109" i="91"/>
  <c r="AZ109" i="91"/>
  <c r="AY109" i="91"/>
  <c r="BO108" i="91"/>
  <c r="BN108" i="91"/>
  <c r="BM108" i="91"/>
  <c r="BL108" i="91"/>
  <c r="BK108" i="91"/>
  <c r="BJ108" i="91"/>
  <c r="BI108" i="91"/>
  <c r="BH108" i="91"/>
  <c r="BG108" i="91"/>
  <c r="BF108" i="91"/>
  <c r="BE108" i="91"/>
  <c r="BD108" i="91"/>
  <c r="BC108" i="91"/>
  <c r="BB108" i="91"/>
  <c r="BA108" i="91"/>
  <c r="AZ108" i="91"/>
  <c r="AY108" i="91"/>
  <c r="BO107" i="91"/>
  <c r="BN107" i="91"/>
  <c r="BM107" i="91"/>
  <c r="BL107" i="91"/>
  <c r="BK107" i="91"/>
  <c r="BJ107" i="91"/>
  <c r="BI107" i="91"/>
  <c r="BH107" i="91"/>
  <c r="BG107" i="91"/>
  <c r="BF107" i="91"/>
  <c r="BE107" i="91"/>
  <c r="BD107" i="91"/>
  <c r="BC107" i="91"/>
  <c r="BB107" i="91"/>
  <c r="BA107" i="91"/>
  <c r="AZ107" i="91"/>
  <c r="AY107" i="91"/>
  <c r="BO106" i="91"/>
  <c r="BN106" i="91"/>
  <c r="BM106" i="91"/>
  <c r="BL106" i="91"/>
  <c r="BK106" i="91"/>
  <c r="BJ106" i="91"/>
  <c r="BI106" i="91"/>
  <c r="BH106" i="91"/>
  <c r="BG106" i="91"/>
  <c r="BF106" i="91"/>
  <c r="BE106" i="91"/>
  <c r="BD106" i="91"/>
  <c r="BC106" i="91"/>
  <c r="BB106" i="91"/>
  <c r="BA106" i="91"/>
  <c r="AZ106" i="91"/>
  <c r="AY106" i="91"/>
  <c r="BO105" i="91"/>
  <c r="BN105" i="91"/>
  <c r="BM105" i="91"/>
  <c r="BL105" i="91"/>
  <c r="BK105" i="91"/>
  <c r="BJ105" i="91"/>
  <c r="BI105" i="91"/>
  <c r="BH105" i="91"/>
  <c r="BG105" i="91"/>
  <c r="BF105" i="91"/>
  <c r="BE105" i="91"/>
  <c r="BD105" i="91"/>
  <c r="BC105" i="91"/>
  <c r="BB105" i="91"/>
  <c r="BA105" i="91"/>
  <c r="AZ105" i="91"/>
  <c r="AY105" i="91"/>
  <c r="BO104" i="91"/>
  <c r="BN104" i="91"/>
  <c r="BM104" i="91"/>
  <c r="BL104" i="91"/>
  <c r="BK104" i="91"/>
  <c r="BJ104" i="91"/>
  <c r="BI104" i="91"/>
  <c r="BH104" i="91"/>
  <c r="BG104" i="91"/>
  <c r="BF104" i="91"/>
  <c r="BE104" i="91"/>
  <c r="BD104" i="91"/>
  <c r="BC104" i="91"/>
  <c r="BB104" i="91"/>
  <c r="BA104" i="91"/>
  <c r="AZ104" i="91"/>
  <c r="AY104" i="91"/>
  <c r="BO103" i="91"/>
  <c r="BN103" i="91"/>
  <c r="BM103" i="91"/>
  <c r="BL103" i="91"/>
  <c r="BK103" i="91"/>
  <c r="BJ103" i="91"/>
  <c r="BI103" i="91"/>
  <c r="BH103" i="91"/>
  <c r="BG103" i="91"/>
  <c r="BF103" i="91"/>
  <c r="BE103" i="91"/>
  <c r="BD103" i="91"/>
  <c r="BC103" i="91"/>
  <c r="BB103" i="91"/>
  <c r="BA103" i="91"/>
  <c r="AZ103" i="91"/>
  <c r="AY103" i="91"/>
  <c r="BO102" i="91"/>
  <c r="BN102" i="91"/>
  <c r="BM102" i="91"/>
  <c r="BL102" i="91"/>
  <c r="BK102" i="91"/>
  <c r="BJ102" i="91"/>
  <c r="BI102" i="91"/>
  <c r="BH102" i="91"/>
  <c r="BG102" i="91"/>
  <c r="BF102" i="91"/>
  <c r="BE102" i="91"/>
  <c r="BD102" i="91"/>
  <c r="BC102" i="91"/>
  <c r="BB102" i="91"/>
  <c r="BA102" i="91"/>
  <c r="AZ102" i="91"/>
  <c r="AY102" i="91"/>
  <c r="BO101" i="91"/>
  <c r="BN101" i="91"/>
  <c r="BM101" i="91"/>
  <c r="BL101" i="91"/>
  <c r="BK101" i="91"/>
  <c r="BJ101" i="91"/>
  <c r="BI101" i="91"/>
  <c r="BH101" i="91"/>
  <c r="BG101" i="91"/>
  <c r="BF101" i="91"/>
  <c r="BE101" i="91"/>
  <c r="BD101" i="91"/>
  <c r="BC101" i="91"/>
  <c r="BB101" i="91"/>
  <c r="BA101" i="91"/>
  <c r="AZ101" i="91"/>
  <c r="AY101" i="91"/>
  <c r="BO100" i="91"/>
  <c r="BN100" i="91"/>
  <c r="BM100" i="91"/>
  <c r="BL100" i="91"/>
  <c r="BK100" i="91"/>
  <c r="BJ100" i="91"/>
  <c r="BI100" i="91"/>
  <c r="BH100" i="91"/>
  <c r="BG100" i="91"/>
  <c r="BF100" i="91"/>
  <c r="BE100" i="91"/>
  <c r="BD100" i="91"/>
  <c r="BC100" i="91"/>
  <c r="BB100" i="91"/>
  <c r="BA100" i="91"/>
  <c r="AZ100" i="91"/>
  <c r="AY100" i="91"/>
  <c r="BO99" i="91"/>
  <c r="BN99" i="91"/>
  <c r="BM99" i="91"/>
  <c r="BL99" i="91"/>
  <c r="BK99" i="91"/>
  <c r="BJ99" i="91"/>
  <c r="BI99" i="91"/>
  <c r="BH99" i="91"/>
  <c r="BG99" i="91"/>
  <c r="BF99" i="91"/>
  <c r="BE99" i="91"/>
  <c r="BD99" i="91"/>
  <c r="BC99" i="91"/>
  <c r="BB99" i="91"/>
  <c r="BA99" i="91"/>
  <c r="AZ99" i="91"/>
  <c r="AY99" i="91"/>
  <c r="BO98" i="91"/>
  <c r="BN98" i="91"/>
  <c r="BM98" i="91"/>
  <c r="BL98" i="91"/>
  <c r="BK98" i="91"/>
  <c r="BJ98" i="91"/>
  <c r="BI98" i="91"/>
  <c r="BH98" i="91"/>
  <c r="BG98" i="91"/>
  <c r="BF98" i="91"/>
  <c r="BE98" i="91"/>
  <c r="BD98" i="91"/>
  <c r="BC98" i="91"/>
  <c r="BB98" i="91"/>
  <c r="BA98" i="91"/>
  <c r="AZ98" i="91"/>
  <c r="AY98" i="91"/>
  <c r="BO97" i="91"/>
  <c r="BN97" i="91"/>
  <c r="BM97" i="91"/>
  <c r="BL97" i="91"/>
  <c r="BK97" i="91"/>
  <c r="BJ97" i="91"/>
  <c r="BI97" i="91"/>
  <c r="BH97" i="91"/>
  <c r="BG97" i="91"/>
  <c r="BF97" i="91"/>
  <c r="BE97" i="91"/>
  <c r="BD97" i="91"/>
  <c r="BC97" i="91"/>
  <c r="BB97" i="91"/>
  <c r="BA97" i="91"/>
  <c r="AZ97" i="91"/>
  <c r="AY97" i="91"/>
  <c r="BO96" i="91"/>
  <c r="BN96" i="91"/>
  <c r="BM96" i="91"/>
  <c r="BL96" i="91"/>
  <c r="BK96" i="91"/>
  <c r="BJ96" i="91"/>
  <c r="BI96" i="91"/>
  <c r="BH96" i="91"/>
  <c r="BG96" i="91"/>
  <c r="BF96" i="91"/>
  <c r="BE96" i="91"/>
  <c r="BD96" i="91"/>
  <c r="BC96" i="91"/>
  <c r="BB96" i="91"/>
  <c r="BA96" i="91"/>
  <c r="AZ96" i="91"/>
  <c r="AY96" i="91"/>
  <c r="BO95" i="91"/>
  <c r="BN95" i="91"/>
  <c r="BM95" i="91"/>
  <c r="BL95" i="91"/>
  <c r="BK95" i="91"/>
  <c r="BJ95" i="91"/>
  <c r="BI95" i="91"/>
  <c r="BH95" i="91"/>
  <c r="BG95" i="91"/>
  <c r="BF95" i="91"/>
  <c r="BE95" i="91"/>
  <c r="BD95" i="91"/>
  <c r="BC95" i="91"/>
  <c r="BB95" i="91"/>
  <c r="BA95" i="91"/>
  <c r="AZ95" i="91"/>
  <c r="AY95" i="91"/>
  <c r="BO94" i="91"/>
  <c r="BN94" i="91"/>
  <c r="BM94" i="91"/>
  <c r="BL94" i="91"/>
  <c r="BK94" i="91"/>
  <c r="BJ94" i="91"/>
  <c r="BI94" i="91"/>
  <c r="BH94" i="91"/>
  <c r="BG94" i="91"/>
  <c r="BF94" i="91"/>
  <c r="BE94" i="91"/>
  <c r="BD94" i="91"/>
  <c r="BC94" i="91"/>
  <c r="BB94" i="91"/>
  <c r="BA94" i="91"/>
  <c r="AZ94" i="91"/>
  <c r="AY94" i="91"/>
  <c r="BO93" i="91"/>
  <c r="BN93" i="91"/>
  <c r="BM93" i="91"/>
  <c r="BL93" i="91"/>
  <c r="BK93" i="91"/>
  <c r="BJ93" i="91"/>
  <c r="BI93" i="91"/>
  <c r="BH93" i="91"/>
  <c r="BG93" i="91"/>
  <c r="BF93" i="91"/>
  <c r="BE93" i="91"/>
  <c r="BD93" i="91"/>
  <c r="BC93" i="91"/>
  <c r="BB93" i="91"/>
  <c r="BA93" i="91"/>
  <c r="AZ93" i="91"/>
  <c r="AY93" i="91"/>
  <c r="BO92" i="91"/>
  <c r="BN92" i="91"/>
  <c r="BM92" i="91"/>
  <c r="BL92" i="91"/>
  <c r="BK92" i="91"/>
  <c r="BJ92" i="91"/>
  <c r="BI92" i="91"/>
  <c r="BH92" i="91"/>
  <c r="BG92" i="91"/>
  <c r="BF92" i="91"/>
  <c r="BE92" i="91"/>
  <c r="BD92" i="91"/>
  <c r="BC92" i="91"/>
  <c r="BB92" i="91"/>
  <c r="BA92" i="91"/>
  <c r="AZ92" i="91"/>
  <c r="AY92" i="91"/>
  <c r="BO91" i="91"/>
  <c r="BN91" i="91"/>
  <c r="BM91" i="91"/>
  <c r="BL91" i="91"/>
  <c r="BK91" i="91"/>
  <c r="BJ91" i="91"/>
  <c r="BI91" i="91"/>
  <c r="BH91" i="91"/>
  <c r="BG91" i="91"/>
  <c r="BF91" i="91"/>
  <c r="BE91" i="91"/>
  <c r="BD91" i="91"/>
  <c r="BC91" i="91"/>
  <c r="BB91" i="91"/>
  <c r="BA91" i="91"/>
  <c r="AZ91" i="91"/>
  <c r="AY91" i="91"/>
  <c r="BO90" i="91"/>
  <c r="BN90" i="91"/>
  <c r="BM90" i="91"/>
  <c r="BL90" i="91"/>
  <c r="BK90" i="91"/>
  <c r="BJ90" i="91"/>
  <c r="BI90" i="91"/>
  <c r="BH90" i="91"/>
  <c r="BG90" i="91"/>
  <c r="BF90" i="91"/>
  <c r="BE90" i="91"/>
  <c r="BD90" i="91"/>
  <c r="BC90" i="91"/>
  <c r="BB90" i="91"/>
  <c r="BA90" i="91"/>
  <c r="AZ90" i="91"/>
  <c r="AY90" i="91"/>
  <c r="BO89" i="91"/>
  <c r="BN89" i="91"/>
  <c r="BM89" i="91"/>
  <c r="BL89" i="91"/>
  <c r="BK89" i="91"/>
  <c r="BJ89" i="91"/>
  <c r="BI89" i="91"/>
  <c r="BH89" i="91"/>
  <c r="BG89" i="91"/>
  <c r="BF89" i="91"/>
  <c r="BE89" i="91"/>
  <c r="BD89" i="91"/>
  <c r="BC89" i="91"/>
  <c r="BB89" i="91"/>
  <c r="BA89" i="91"/>
  <c r="AZ89" i="91"/>
  <c r="AY89" i="91"/>
  <c r="BO88" i="91"/>
  <c r="BN88" i="91"/>
  <c r="BM88" i="91"/>
  <c r="BL88" i="91"/>
  <c r="BK88" i="91"/>
  <c r="BJ88" i="91"/>
  <c r="BI88" i="91"/>
  <c r="BH88" i="91"/>
  <c r="BG88" i="91"/>
  <c r="BF88" i="91"/>
  <c r="BE88" i="91"/>
  <c r="BD88" i="91"/>
  <c r="BC88" i="91"/>
  <c r="BB88" i="91"/>
  <c r="BA88" i="91"/>
  <c r="AZ88" i="91"/>
  <c r="AY88" i="91"/>
  <c r="BO87" i="91"/>
  <c r="BN87" i="91"/>
  <c r="BM87" i="91"/>
  <c r="BL87" i="91"/>
  <c r="BK87" i="91"/>
  <c r="BJ87" i="91"/>
  <c r="BI87" i="91"/>
  <c r="BH87" i="91"/>
  <c r="BG87" i="91"/>
  <c r="BF87" i="91"/>
  <c r="BE87" i="91"/>
  <c r="BD87" i="91"/>
  <c r="BC87" i="91"/>
  <c r="BB87" i="91"/>
  <c r="BA87" i="91"/>
  <c r="AZ87" i="91"/>
  <c r="AY87" i="91"/>
  <c r="BO86" i="91"/>
  <c r="BN86" i="91"/>
  <c r="BM86" i="91"/>
  <c r="BL86" i="91"/>
  <c r="BK86" i="91"/>
  <c r="BJ86" i="91"/>
  <c r="BI86" i="91"/>
  <c r="BH86" i="91"/>
  <c r="BG86" i="91"/>
  <c r="BF86" i="91"/>
  <c r="BE86" i="91"/>
  <c r="BD86" i="91"/>
  <c r="BC86" i="91"/>
  <c r="BB86" i="91"/>
  <c r="BA86" i="91"/>
  <c r="AZ86" i="91"/>
  <c r="AY86" i="91"/>
  <c r="BO85" i="91"/>
  <c r="BN85" i="91"/>
  <c r="BM85" i="91"/>
  <c r="BL85" i="91"/>
  <c r="BK85" i="91"/>
  <c r="BJ85" i="91"/>
  <c r="BI85" i="91"/>
  <c r="BH85" i="91"/>
  <c r="BG85" i="91"/>
  <c r="BF85" i="91"/>
  <c r="BE85" i="91"/>
  <c r="BD85" i="91"/>
  <c r="BC85" i="91"/>
  <c r="BB85" i="91"/>
  <c r="BA85" i="91"/>
  <c r="AZ85" i="91"/>
  <c r="AY85" i="91"/>
  <c r="BO84" i="91"/>
  <c r="BN84" i="91"/>
  <c r="BM84" i="91"/>
  <c r="BL84" i="91"/>
  <c r="BK84" i="91"/>
  <c r="BJ84" i="91"/>
  <c r="BI84" i="91"/>
  <c r="BH84" i="91"/>
  <c r="BG84" i="91"/>
  <c r="BF84" i="91"/>
  <c r="BE84" i="91"/>
  <c r="BD84" i="91"/>
  <c r="BC84" i="91"/>
  <c r="BB84" i="91"/>
  <c r="BA84" i="91"/>
  <c r="AZ84" i="91"/>
  <c r="AY84" i="91"/>
  <c r="BO83" i="91"/>
  <c r="BN83" i="91"/>
  <c r="BM83" i="91"/>
  <c r="BL83" i="91"/>
  <c r="BK83" i="91"/>
  <c r="BJ83" i="91"/>
  <c r="BI83" i="91"/>
  <c r="BH83" i="91"/>
  <c r="BG83" i="91"/>
  <c r="BF83" i="91"/>
  <c r="BE83" i="91"/>
  <c r="BD83" i="91"/>
  <c r="BC83" i="91"/>
  <c r="BB83" i="91"/>
  <c r="BA83" i="91"/>
  <c r="AZ83" i="91"/>
  <c r="AY83" i="91"/>
  <c r="BO82" i="91"/>
  <c r="BN82" i="91"/>
  <c r="BM82" i="91"/>
  <c r="BL82" i="91"/>
  <c r="BK82" i="91"/>
  <c r="BJ82" i="91"/>
  <c r="BI82" i="91"/>
  <c r="BH82" i="91"/>
  <c r="BG82" i="91"/>
  <c r="BF82" i="91"/>
  <c r="BE82" i="91"/>
  <c r="BD82" i="91"/>
  <c r="BC82" i="91"/>
  <c r="BB82" i="91"/>
  <c r="BA82" i="91"/>
  <c r="AZ82" i="91"/>
  <c r="AY82" i="91"/>
  <c r="BO81" i="91"/>
  <c r="BN81" i="91"/>
  <c r="BM81" i="91"/>
  <c r="BL81" i="91"/>
  <c r="BK81" i="91"/>
  <c r="BJ81" i="91"/>
  <c r="BI81" i="91"/>
  <c r="BH81" i="91"/>
  <c r="BG81" i="91"/>
  <c r="BF81" i="91"/>
  <c r="BE81" i="91"/>
  <c r="BD81" i="91"/>
  <c r="BC81" i="91"/>
  <c r="BB81" i="91"/>
  <c r="BA81" i="91"/>
  <c r="AZ81" i="91"/>
  <c r="AY81" i="91"/>
  <c r="BO80" i="91"/>
  <c r="BN80" i="91"/>
  <c r="BM80" i="91"/>
  <c r="BL80" i="91"/>
  <c r="BK80" i="91"/>
  <c r="BJ80" i="91"/>
  <c r="BI80" i="91"/>
  <c r="BH80" i="91"/>
  <c r="BG80" i="91"/>
  <c r="BF80" i="91"/>
  <c r="BE80" i="91"/>
  <c r="BD80" i="91"/>
  <c r="BC80" i="91"/>
  <c r="BB80" i="91"/>
  <c r="BA80" i="91"/>
  <c r="AZ80" i="91"/>
  <c r="AY80" i="91"/>
  <c r="BO79" i="91"/>
  <c r="BN79" i="91"/>
  <c r="BM79" i="91"/>
  <c r="BL79" i="91"/>
  <c r="BK79" i="91"/>
  <c r="BJ79" i="91"/>
  <c r="BI79" i="91"/>
  <c r="BH79" i="91"/>
  <c r="BG79" i="91"/>
  <c r="BF79" i="91"/>
  <c r="BE79" i="91"/>
  <c r="BD79" i="91"/>
  <c r="BC79" i="91"/>
  <c r="BB79" i="91"/>
  <c r="BA79" i="91"/>
  <c r="AZ79" i="91"/>
  <c r="AY79" i="91"/>
  <c r="BO78" i="91"/>
  <c r="BN78" i="91"/>
  <c r="BM78" i="91"/>
  <c r="BL78" i="91"/>
  <c r="BK78" i="91"/>
  <c r="BJ78" i="91"/>
  <c r="BI78" i="91"/>
  <c r="BH78" i="91"/>
  <c r="BG78" i="91"/>
  <c r="BF78" i="91"/>
  <c r="BE78" i="91"/>
  <c r="BD78" i="91"/>
  <c r="BC78" i="91"/>
  <c r="BB78" i="91"/>
  <c r="BA78" i="91"/>
  <c r="AZ78" i="91"/>
  <c r="AY78" i="91"/>
  <c r="BO77" i="91"/>
  <c r="BN77" i="91"/>
  <c r="BM77" i="91"/>
  <c r="BL77" i="91"/>
  <c r="BK77" i="91"/>
  <c r="BJ77" i="91"/>
  <c r="BI77" i="91"/>
  <c r="BH77" i="91"/>
  <c r="BG77" i="91"/>
  <c r="BF77" i="91"/>
  <c r="BE77" i="91"/>
  <c r="BD77" i="91"/>
  <c r="BC77" i="91"/>
  <c r="BB77" i="91"/>
  <c r="BA77" i="91"/>
  <c r="AZ77" i="91"/>
  <c r="AY77" i="91"/>
  <c r="BO76" i="91"/>
  <c r="BN76" i="91"/>
  <c r="BM76" i="91"/>
  <c r="BL76" i="91"/>
  <c r="BK76" i="91"/>
  <c r="BJ76" i="91"/>
  <c r="BI76" i="91"/>
  <c r="BH76" i="91"/>
  <c r="BG76" i="91"/>
  <c r="BF76" i="91"/>
  <c r="BE76" i="91"/>
  <c r="BD76" i="91"/>
  <c r="BC76" i="91"/>
  <c r="BB76" i="91"/>
  <c r="BA76" i="91"/>
  <c r="AZ76" i="91"/>
  <c r="AY76" i="91"/>
  <c r="BO75" i="91"/>
  <c r="BN75" i="91"/>
  <c r="BM75" i="91"/>
  <c r="BL75" i="91"/>
  <c r="BK75" i="91"/>
  <c r="BJ75" i="91"/>
  <c r="BI75" i="91"/>
  <c r="BH75" i="91"/>
  <c r="BG75" i="91"/>
  <c r="BF75" i="91"/>
  <c r="BE75" i="91"/>
  <c r="BD75" i="91"/>
  <c r="BC75" i="91"/>
  <c r="BB75" i="91"/>
  <c r="BA75" i="91"/>
  <c r="AZ75" i="91"/>
  <c r="AY75" i="91"/>
  <c r="BO74" i="91"/>
  <c r="BN74" i="91"/>
  <c r="BM74" i="91"/>
  <c r="BL74" i="91"/>
  <c r="BK74" i="91"/>
  <c r="BJ74" i="91"/>
  <c r="BI74" i="91"/>
  <c r="BH74" i="91"/>
  <c r="BG74" i="91"/>
  <c r="BF74" i="91"/>
  <c r="BE74" i="91"/>
  <c r="BD74" i="91"/>
  <c r="BC74" i="91"/>
  <c r="BB74" i="91"/>
  <c r="BA74" i="91"/>
  <c r="AZ74" i="91"/>
  <c r="AY74" i="91"/>
  <c r="BO73" i="91"/>
  <c r="BN73" i="91"/>
  <c r="BM73" i="91"/>
  <c r="BL73" i="91"/>
  <c r="BK73" i="91"/>
  <c r="BJ73" i="91"/>
  <c r="BI73" i="91"/>
  <c r="BH73" i="91"/>
  <c r="BG73" i="91"/>
  <c r="BF73" i="91"/>
  <c r="BE73" i="91"/>
  <c r="BD73" i="91"/>
  <c r="BC73" i="91"/>
  <c r="BB73" i="91"/>
  <c r="BA73" i="91"/>
  <c r="AZ73" i="91"/>
  <c r="AY73" i="91"/>
  <c r="BO72" i="91"/>
  <c r="BN72" i="91"/>
  <c r="BM72" i="91"/>
  <c r="BL72" i="91"/>
  <c r="BK72" i="91"/>
  <c r="BJ72" i="91"/>
  <c r="BI72" i="91"/>
  <c r="BH72" i="91"/>
  <c r="BG72" i="91"/>
  <c r="BF72" i="91"/>
  <c r="BE72" i="91"/>
  <c r="BD72" i="91"/>
  <c r="BC72" i="91"/>
  <c r="BB72" i="91"/>
  <c r="BA72" i="91"/>
  <c r="AZ72" i="91"/>
  <c r="AY72" i="91"/>
  <c r="BO71" i="91"/>
  <c r="BN71" i="91"/>
  <c r="BM71" i="91"/>
  <c r="BL71" i="91"/>
  <c r="BK71" i="91"/>
  <c r="BJ71" i="91"/>
  <c r="BI71" i="91"/>
  <c r="BH71" i="91"/>
  <c r="BG71" i="91"/>
  <c r="BF71" i="91"/>
  <c r="BE71" i="91"/>
  <c r="BD71" i="91"/>
  <c r="BC71" i="91"/>
  <c r="BB71" i="91"/>
  <c r="BA71" i="91"/>
  <c r="AZ71" i="91"/>
  <c r="AY71" i="91"/>
  <c r="BO70" i="91"/>
  <c r="BN70" i="91"/>
  <c r="BM70" i="91"/>
  <c r="BL70" i="91"/>
  <c r="BK70" i="91"/>
  <c r="BJ70" i="91"/>
  <c r="BI70" i="91"/>
  <c r="BH70" i="91"/>
  <c r="BG70" i="91"/>
  <c r="BF70" i="91"/>
  <c r="BE70" i="91"/>
  <c r="BD70" i="91"/>
  <c r="BC70" i="91"/>
  <c r="BB70" i="91"/>
  <c r="BA70" i="91"/>
  <c r="AZ70" i="91"/>
  <c r="AY70" i="91"/>
  <c r="BO69" i="91"/>
  <c r="BN69" i="91"/>
  <c r="BM69" i="91"/>
  <c r="BL69" i="91"/>
  <c r="BK69" i="91"/>
  <c r="BJ69" i="91"/>
  <c r="BI69" i="91"/>
  <c r="BH69" i="91"/>
  <c r="BG69" i="91"/>
  <c r="BF69" i="91"/>
  <c r="BE69" i="91"/>
  <c r="BD69" i="91"/>
  <c r="BC69" i="91"/>
  <c r="BB69" i="91"/>
  <c r="BA69" i="91"/>
  <c r="AZ69" i="91"/>
  <c r="AY69" i="91"/>
  <c r="BO68" i="91"/>
  <c r="BN68" i="91"/>
  <c r="BM68" i="91"/>
  <c r="BL68" i="91"/>
  <c r="BK68" i="91"/>
  <c r="BJ68" i="91"/>
  <c r="BI68" i="91"/>
  <c r="BH68" i="91"/>
  <c r="BG68" i="91"/>
  <c r="BF68" i="91"/>
  <c r="BE68" i="91"/>
  <c r="BD68" i="91"/>
  <c r="BC68" i="91"/>
  <c r="BB68" i="91"/>
  <c r="BA68" i="91"/>
  <c r="AZ68" i="91"/>
  <c r="AY68" i="91"/>
  <c r="BO67" i="91"/>
  <c r="BN67" i="91"/>
  <c r="BM67" i="91"/>
  <c r="BL67" i="91"/>
  <c r="BK67" i="91"/>
  <c r="BJ67" i="91"/>
  <c r="BI67" i="91"/>
  <c r="BH67" i="91"/>
  <c r="BG67" i="91"/>
  <c r="BF67" i="91"/>
  <c r="BE67" i="91"/>
  <c r="BD67" i="91"/>
  <c r="BC67" i="91"/>
  <c r="BB67" i="91"/>
  <c r="BA67" i="91"/>
  <c r="AZ67" i="91"/>
  <c r="AY67" i="91"/>
  <c r="BO66" i="91"/>
  <c r="BN66" i="91"/>
  <c r="BM66" i="91"/>
  <c r="BL66" i="91"/>
  <c r="BK66" i="91"/>
  <c r="BJ66" i="91"/>
  <c r="BI66" i="91"/>
  <c r="BH66" i="91"/>
  <c r="BG66" i="91"/>
  <c r="BF66" i="91"/>
  <c r="BE66" i="91"/>
  <c r="BD66" i="91"/>
  <c r="BC66" i="91"/>
  <c r="BB66" i="91"/>
  <c r="BA66" i="91"/>
  <c r="AZ66" i="91"/>
  <c r="AY66" i="91"/>
  <c r="BO65" i="91"/>
  <c r="BN65" i="91"/>
  <c r="BM65" i="91"/>
  <c r="BL65" i="91"/>
  <c r="BK65" i="91"/>
  <c r="BJ65" i="91"/>
  <c r="BI65" i="91"/>
  <c r="BH65" i="91"/>
  <c r="BG65" i="91"/>
  <c r="BF65" i="91"/>
  <c r="BE65" i="91"/>
  <c r="BD65" i="91"/>
  <c r="BC65" i="91"/>
  <c r="BB65" i="91"/>
  <c r="BA65" i="91"/>
  <c r="AZ65" i="91"/>
  <c r="AY65" i="91"/>
  <c r="BO64" i="91"/>
  <c r="BN64" i="91"/>
  <c r="BM64" i="91"/>
  <c r="BL64" i="91"/>
  <c r="BK64" i="91"/>
  <c r="BJ64" i="91"/>
  <c r="BI64" i="91"/>
  <c r="BH64" i="91"/>
  <c r="BG64" i="91"/>
  <c r="BF64" i="91"/>
  <c r="BE64" i="91"/>
  <c r="BD64" i="91"/>
  <c r="BC64" i="91"/>
  <c r="BB64" i="91"/>
  <c r="BA64" i="91"/>
  <c r="AZ64" i="91"/>
  <c r="AY64" i="91"/>
  <c r="BO63" i="91"/>
  <c r="BN63" i="91"/>
  <c r="BM63" i="91"/>
  <c r="BL63" i="91"/>
  <c r="BK63" i="91"/>
  <c r="BJ63" i="91"/>
  <c r="BI63" i="91"/>
  <c r="BH63" i="91"/>
  <c r="BG63" i="91"/>
  <c r="BF63" i="91"/>
  <c r="BE63" i="91"/>
  <c r="BD63" i="91"/>
  <c r="BC63" i="91"/>
  <c r="BB63" i="91"/>
  <c r="BA63" i="91"/>
  <c r="AZ63" i="91"/>
  <c r="AY63" i="91"/>
  <c r="BO62" i="91"/>
  <c r="BN62" i="91"/>
  <c r="BM62" i="91"/>
  <c r="BL62" i="91"/>
  <c r="BK62" i="91"/>
  <c r="BJ62" i="91"/>
  <c r="BI62" i="91"/>
  <c r="BH62" i="91"/>
  <c r="BG62" i="91"/>
  <c r="BF62" i="91"/>
  <c r="BE62" i="91"/>
  <c r="BD62" i="91"/>
  <c r="BC62" i="91"/>
  <c r="BB62" i="91"/>
  <c r="BA62" i="91"/>
  <c r="AZ62" i="91"/>
  <c r="AY62" i="91"/>
  <c r="BO61" i="91"/>
  <c r="BN61" i="91"/>
  <c r="BM61" i="91"/>
  <c r="BL61" i="91"/>
  <c r="BK61" i="91"/>
  <c r="BJ61" i="91"/>
  <c r="BI61" i="91"/>
  <c r="BH61" i="91"/>
  <c r="BG61" i="91"/>
  <c r="BF61" i="91"/>
  <c r="BE61" i="91"/>
  <c r="BD61" i="91"/>
  <c r="BC61" i="91"/>
  <c r="BB61" i="91"/>
  <c r="BA61" i="91"/>
  <c r="AZ61" i="91"/>
  <c r="AY61" i="91"/>
  <c r="BO60" i="91"/>
  <c r="BN60" i="91"/>
  <c r="BM60" i="91"/>
  <c r="BL60" i="91"/>
  <c r="BK60" i="91"/>
  <c r="BJ60" i="91"/>
  <c r="BI60" i="91"/>
  <c r="BH60" i="91"/>
  <c r="BG60" i="91"/>
  <c r="BF60" i="91"/>
  <c r="BE60" i="91"/>
  <c r="BD60" i="91"/>
  <c r="BC60" i="91"/>
  <c r="BB60" i="91"/>
  <c r="BA60" i="91"/>
  <c r="AZ60" i="91"/>
  <c r="AY60" i="91"/>
  <c r="BO59" i="91"/>
  <c r="BN59" i="91"/>
  <c r="BM59" i="91"/>
  <c r="BL59" i="91"/>
  <c r="BK59" i="91"/>
  <c r="BJ59" i="91"/>
  <c r="BI59" i="91"/>
  <c r="BH59" i="91"/>
  <c r="BG59" i="91"/>
  <c r="BF59" i="91"/>
  <c r="BE59" i="91"/>
  <c r="BD59" i="91"/>
  <c r="BC59" i="91"/>
  <c r="BB59" i="91"/>
  <c r="BA59" i="91"/>
  <c r="AZ59" i="91"/>
  <c r="AY59" i="91"/>
  <c r="BO58" i="91"/>
  <c r="BN58" i="91"/>
  <c r="BM58" i="91"/>
  <c r="BL58" i="91"/>
  <c r="BK58" i="91"/>
  <c r="BJ58" i="91"/>
  <c r="BI58" i="91"/>
  <c r="BH58" i="91"/>
  <c r="BG58" i="91"/>
  <c r="BF58" i="91"/>
  <c r="BE58" i="91"/>
  <c r="BD58" i="91"/>
  <c r="BC58" i="91"/>
  <c r="BB58" i="91"/>
  <c r="BA58" i="91"/>
  <c r="AZ58" i="91"/>
  <c r="AY58" i="91"/>
  <c r="BO57" i="91"/>
  <c r="BN57" i="91"/>
  <c r="BM57" i="91"/>
  <c r="BL57" i="91"/>
  <c r="BK57" i="91"/>
  <c r="BJ57" i="91"/>
  <c r="BI57" i="91"/>
  <c r="BH57" i="91"/>
  <c r="BG57" i="91"/>
  <c r="BF57" i="91"/>
  <c r="BE57" i="91"/>
  <c r="BD57" i="91"/>
  <c r="BC57" i="91"/>
  <c r="BB57" i="91"/>
  <c r="BA57" i="91"/>
  <c r="AZ57" i="91"/>
  <c r="AY57" i="91"/>
  <c r="BO56" i="91"/>
  <c r="BN56" i="91"/>
  <c r="BM56" i="91"/>
  <c r="BL56" i="91"/>
  <c r="BK56" i="91"/>
  <c r="BJ56" i="91"/>
  <c r="BI56" i="91"/>
  <c r="BH56" i="91"/>
  <c r="BG56" i="91"/>
  <c r="BF56" i="91"/>
  <c r="BE56" i="91"/>
  <c r="BD56" i="91"/>
  <c r="BC56" i="91"/>
  <c r="BB56" i="91"/>
  <c r="BA56" i="91"/>
  <c r="AZ56" i="91"/>
  <c r="AY56" i="91"/>
  <c r="BO55" i="91"/>
  <c r="BN55" i="91"/>
  <c r="BM55" i="91"/>
  <c r="BL55" i="91"/>
  <c r="BK55" i="91"/>
  <c r="BJ55" i="91"/>
  <c r="BI55" i="91"/>
  <c r="BH55" i="91"/>
  <c r="BG55" i="91"/>
  <c r="BF55" i="91"/>
  <c r="BE55" i="91"/>
  <c r="BD55" i="91"/>
  <c r="BC55" i="91"/>
  <c r="BB55" i="91"/>
  <c r="BA55" i="91"/>
  <c r="AZ55" i="91"/>
  <c r="AY55" i="91"/>
  <c r="BO54" i="91"/>
  <c r="BN54" i="91"/>
  <c r="BM54" i="91"/>
  <c r="BL54" i="91"/>
  <c r="BK54" i="91"/>
  <c r="BJ54" i="91"/>
  <c r="BI54" i="91"/>
  <c r="BH54" i="91"/>
  <c r="BG54" i="91"/>
  <c r="BF54" i="91"/>
  <c r="BE54" i="91"/>
  <c r="BD54" i="91"/>
  <c r="BC54" i="91"/>
  <c r="BB54" i="91"/>
  <c r="BA54" i="91"/>
  <c r="AZ54" i="91"/>
  <c r="AY54" i="91"/>
  <c r="BO53" i="91"/>
  <c r="BN53" i="91"/>
  <c r="BM53" i="91"/>
  <c r="BL53" i="91"/>
  <c r="BK53" i="91"/>
  <c r="BJ53" i="91"/>
  <c r="BI53" i="91"/>
  <c r="BH53" i="91"/>
  <c r="BG53" i="91"/>
  <c r="BF53" i="91"/>
  <c r="BE53" i="91"/>
  <c r="BD53" i="91"/>
  <c r="BC53" i="91"/>
  <c r="BB53" i="91"/>
  <c r="BA53" i="91"/>
  <c r="AZ53" i="91"/>
  <c r="AY53" i="91"/>
  <c r="BO52" i="91"/>
  <c r="BN52" i="91"/>
  <c r="BM52" i="91"/>
  <c r="BL52" i="91"/>
  <c r="BK52" i="91"/>
  <c r="BJ52" i="91"/>
  <c r="BI52" i="91"/>
  <c r="BH52" i="91"/>
  <c r="BG52" i="91"/>
  <c r="BF52" i="91"/>
  <c r="BE52" i="91"/>
  <c r="BD52" i="91"/>
  <c r="BC52" i="91"/>
  <c r="BB52" i="91"/>
  <c r="BA52" i="91"/>
  <c r="AZ52" i="91"/>
  <c r="AY52" i="91"/>
  <c r="BO51" i="91"/>
  <c r="BN51" i="91"/>
  <c r="BM51" i="91"/>
  <c r="BL51" i="91"/>
  <c r="BK51" i="91"/>
  <c r="BJ51" i="91"/>
  <c r="BI51" i="91"/>
  <c r="BH51" i="91"/>
  <c r="BG51" i="91"/>
  <c r="BF51" i="91"/>
  <c r="BE51" i="91"/>
  <c r="BD51" i="91"/>
  <c r="BC51" i="91"/>
  <c r="BB51" i="91"/>
  <c r="BA51" i="91"/>
  <c r="AZ51" i="91"/>
  <c r="AY51" i="91"/>
  <c r="BO50" i="91"/>
  <c r="BN50" i="91"/>
  <c r="BM50" i="91"/>
  <c r="BL50" i="91"/>
  <c r="BK50" i="91"/>
  <c r="BJ50" i="91"/>
  <c r="BI50" i="91"/>
  <c r="BH50" i="91"/>
  <c r="BG50" i="91"/>
  <c r="BF50" i="91"/>
  <c r="BE50" i="91"/>
  <c r="BD50" i="91"/>
  <c r="BC50" i="91"/>
  <c r="BB50" i="91"/>
  <c r="BA50" i="91"/>
  <c r="AZ50" i="91"/>
  <c r="AY50" i="91"/>
  <c r="BO49" i="91"/>
  <c r="BN49" i="91"/>
  <c r="BM49" i="91"/>
  <c r="BL49" i="91"/>
  <c r="BK49" i="91"/>
  <c r="BJ49" i="91"/>
  <c r="BI49" i="91"/>
  <c r="BH49" i="91"/>
  <c r="BG49" i="91"/>
  <c r="BF49" i="91"/>
  <c r="BE49" i="91"/>
  <c r="BD49" i="91"/>
  <c r="BC49" i="91"/>
  <c r="BB49" i="91"/>
  <c r="BA49" i="91"/>
  <c r="AZ49" i="91"/>
  <c r="AY49" i="91"/>
  <c r="BO48" i="91"/>
  <c r="BN48" i="91"/>
  <c r="BM48" i="91"/>
  <c r="BL48" i="91"/>
  <c r="BK48" i="91"/>
  <c r="BJ48" i="91"/>
  <c r="BI48" i="91"/>
  <c r="BH48" i="91"/>
  <c r="BG48" i="91"/>
  <c r="BF48" i="91"/>
  <c r="BE48" i="91"/>
  <c r="BD48" i="91"/>
  <c r="BC48" i="91"/>
  <c r="BB48" i="91"/>
  <c r="BA48" i="91"/>
  <c r="AZ48" i="91"/>
  <c r="AY48" i="91"/>
  <c r="BO47" i="91"/>
  <c r="BN47" i="91"/>
  <c r="BM47" i="91"/>
  <c r="BL47" i="91"/>
  <c r="BK47" i="91"/>
  <c r="BJ47" i="91"/>
  <c r="BI47" i="91"/>
  <c r="BH47" i="91"/>
  <c r="BG47" i="91"/>
  <c r="BF47" i="91"/>
  <c r="BE47" i="91"/>
  <c r="BD47" i="91"/>
  <c r="BC47" i="91"/>
  <c r="BB47" i="91"/>
  <c r="BA47" i="91"/>
  <c r="AZ47" i="91"/>
  <c r="AY47" i="91"/>
  <c r="BO46" i="91"/>
  <c r="BN46" i="91"/>
  <c r="BM46" i="91"/>
  <c r="BL46" i="91"/>
  <c r="BK46" i="91"/>
  <c r="BJ46" i="91"/>
  <c r="BI46" i="91"/>
  <c r="BH46" i="91"/>
  <c r="BG46" i="91"/>
  <c r="BF46" i="91"/>
  <c r="BE46" i="91"/>
  <c r="BD46" i="91"/>
  <c r="BC46" i="91"/>
  <c r="BB46" i="91"/>
  <c r="BA46" i="91"/>
  <c r="AZ46" i="91"/>
  <c r="AY46" i="91"/>
  <c r="BO45" i="91"/>
  <c r="BN45" i="91"/>
  <c r="BM45" i="91"/>
  <c r="BL45" i="91"/>
  <c r="BK45" i="91"/>
  <c r="BJ45" i="91"/>
  <c r="BI45" i="91"/>
  <c r="BH45" i="91"/>
  <c r="BG45" i="91"/>
  <c r="BF45" i="91"/>
  <c r="BE45" i="91"/>
  <c r="BD45" i="91"/>
  <c r="BC45" i="91"/>
  <c r="BB45" i="91"/>
  <c r="BA45" i="91"/>
  <c r="AZ45" i="91"/>
  <c r="AY45" i="91"/>
  <c r="BO44" i="91"/>
  <c r="BN44" i="91"/>
  <c r="BM44" i="91"/>
  <c r="BL44" i="91"/>
  <c r="BK44" i="91"/>
  <c r="BJ44" i="91"/>
  <c r="BI44" i="91"/>
  <c r="BH44" i="91"/>
  <c r="BG44" i="91"/>
  <c r="BF44" i="91"/>
  <c r="BE44" i="91"/>
  <c r="BD44" i="91"/>
  <c r="BC44" i="91"/>
  <c r="BB44" i="91"/>
  <c r="BA44" i="91"/>
  <c r="AZ44" i="91"/>
  <c r="AY44" i="91"/>
  <c r="BO43" i="91"/>
  <c r="BN43" i="91"/>
  <c r="BM43" i="91"/>
  <c r="BL43" i="91"/>
  <c r="BK43" i="91"/>
  <c r="BJ43" i="91"/>
  <c r="BI43" i="91"/>
  <c r="BH43" i="91"/>
  <c r="BG43" i="91"/>
  <c r="BF43" i="91"/>
  <c r="BE43" i="91"/>
  <c r="BD43" i="91"/>
  <c r="BC43" i="91"/>
  <c r="BB43" i="91"/>
  <c r="BA43" i="91"/>
  <c r="AZ43" i="91"/>
  <c r="AY43" i="91"/>
  <c r="BO42" i="91"/>
  <c r="BN42" i="91"/>
  <c r="BM42" i="91"/>
  <c r="BL42" i="91"/>
  <c r="BK42" i="91"/>
  <c r="BJ42" i="91"/>
  <c r="BI42" i="91"/>
  <c r="BH42" i="91"/>
  <c r="BG42" i="91"/>
  <c r="BF42" i="91"/>
  <c r="BE42" i="91"/>
  <c r="BD42" i="91"/>
  <c r="BC42" i="91"/>
  <c r="BB42" i="91"/>
  <c r="BA42" i="91"/>
  <c r="AZ42" i="91"/>
  <c r="AY42" i="91"/>
  <c r="BO41" i="91"/>
  <c r="BN41" i="91"/>
  <c r="BM41" i="91"/>
  <c r="BL41" i="91"/>
  <c r="BK41" i="91"/>
  <c r="BJ41" i="91"/>
  <c r="BI41" i="91"/>
  <c r="BH41" i="91"/>
  <c r="BG41" i="91"/>
  <c r="BF41" i="91"/>
  <c r="BE41" i="91"/>
  <c r="BD41" i="91"/>
  <c r="BC41" i="91"/>
  <c r="BB41" i="91"/>
  <c r="BA41" i="91"/>
  <c r="AZ41" i="91"/>
  <c r="AY41" i="91"/>
  <c r="BO40" i="91"/>
  <c r="BN40" i="91"/>
  <c r="BM40" i="91"/>
  <c r="BL40" i="91"/>
  <c r="BK40" i="91"/>
  <c r="BJ40" i="91"/>
  <c r="BI40" i="91"/>
  <c r="BH40" i="91"/>
  <c r="BG40" i="91"/>
  <c r="BF40" i="91"/>
  <c r="BE40" i="91"/>
  <c r="BD40" i="91"/>
  <c r="BC40" i="91"/>
  <c r="BB40" i="91"/>
  <c r="BA40" i="91"/>
  <c r="AZ40" i="91"/>
  <c r="AY40" i="91"/>
  <c r="BO39" i="91"/>
  <c r="BN39" i="91"/>
  <c r="BM39" i="91"/>
  <c r="BL39" i="91"/>
  <c r="BK39" i="91"/>
  <c r="BJ39" i="91"/>
  <c r="BI39" i="91"/>
  <c r="BH39" i="91"/>
  <c r="BG39" i="91"/>
  <c r="BF39" i="91"/>
  <c r="BE39" i="91"/>
  <c r="BD39" i="91"/>
  <c r="BC39" i="91"/>
  <c r="BB39" i="91"/>
  <c r="BA39" i="91"/>
  <c r="AZ39" i="91"/>
  <c r="AY39" i="91"/>
  <c r="BO38" i="91"/>
  <c r="BN38" i="91"/>
  <c r="BM38" i="91"/>
  <c r="BL38" i="91"/>
  <c r="BK38" i="91"/>
  <c r="BJ38" i="91"/>
  <c r="BI38" i="91"/>
  <c r="BH38" i="91"/>
  <c r="BG38" i="91"/>
  <c r="BF38" i="91"/>
  <c r="BE38" i="91"/>
  <c r="BD38" i="91"/>
  <c r="BC38" i="91"/>
  <c r="BB38" i="91"/>
  <c r="BA38" i="91"/>
  <c r="AZ38" i="91"/>
  <c r="AY38" i="91"/>
  <c r="BO37" i="91"/>
  <c r="BN37" i="91"/>
  <c r="BM37" i="91"/>
  <c r="BL37" i="91"/>
  <c r="BK37" i="91"/>
  <c r="BJ37" i="91"/>
  <c r="BI37" i="91"/>
  <c r="BH37" i="91"/>
  <c r="BG37" i="91"/>
  <c r="BF37" i="91"/>
  <c r="BE37" i="91"/>
  <c r="BD37" i="91"/>
  <c r="BC37" i="91"/>
  <c r="BB37" i="91"/>
  <c r="BA37" i="91"/>
  <c r="AZ37" i="91"/>
  <c r="AY37" i="91"/>
  <c r="BO36" i="91"/>
  <c r="BN36" i="91"/>
  <c r="BM36" i="91"/>
  <c r="BL36" i="91"/>
  <c r="BK36" i="91"/>
  <c r="BJ36" i="91"/>
  <c r="BI36" i="91"/>
  <c r="BH36" i="91"/>
  <c r="BG36" i="91"/>
  <c r="BF36" i="91"/>
  <c r="BE36" i="91"/>
  <c r="BD36" i="91"/>
  <c r="BC36" i="91"/>
  <c r="BB36" i="91"/>
  <c r="BA36" i="91"/>
  <c r="AZ36" i="91"/>
  <c r="AY36" i="91"/>
  <c r="BO35" i="91"/>
  <c r="BN35" i="91"/>
  <c r="BM35" i="91"/>
  <c r="BL35" i="91"/>
  <c r="BK35" i="91"/>
  <c r="BJ35" i="91"/>
  <c r="BI35" i="91"/>
  <c r="BH35" i="91"/>
  <c r="BG35" i="91"/>
  <c r="BF35" i="91"/>
  <c r="BE35" i="91"/>
  <c r="BD35" i="91"/>
  <c r="BC35" i="91"/>
  <c r="BB35" i="91"/>
  <c r="BA35" i="91"/>
  <c r="AZ35" i="91"/>
  <c r="AY35" i="91"/>
  <c r="BO34" i="91"/>
  <c r="BN34" i="91"/>
  <c r="BM34" i="91"/>
  <c r="BL34" i="91"/>
  <c r="BK34" i="91"/>
  <c r="BJ34" i="91"/>
  <c r="BI34" i="91"/>
  <c r="BH34" i="91"/>
  <c r="BG34" i="91"/>
  <c r="BF34" i="91"/>
  <c r="BE34" i="91"/>
  <c r="BD34" i="91"/>
  <c r="BC34" i="91"/>
  <c r="BB34" i="91"/>
  <c r="BA34" i="91"/>
  <c r="AZ34" i="91"/>
  <c r="AY34" i="91"/>
  <c r="BO33" i="91"/>
  <c r="BN33" i="91"/>
  <c r="BM33" i="91"/>
  <c r="BL33" i="91"/>
  <c r="BK33" i="91"/>
  <c r="BJ33" i="91"/>
  <c r="BI33" i="91"/>
  <c r="BH33" i="91"/>
  <c r="BG33" i="91"/>
  <c r="BF33" i="91"/>
  <c r="BE33" i="91"/>
  <c r="BD33" i="91"/>
  <c r="BC33" i="91"/>
  <c r="BB33" i="91"/>
  <c r="BA33" i="91"/>
  <c r="AZ33" i="91"/>
  <c r="AY33" i="91"/>
  <c r="BO32" i="91"/>
  <c r="BN32" i="91"/>
  <c r="BM32" i="91"/>
  <c r="BL32" i="91"/>
  <c r="BK32" i="91"/>
  <c r="BJ32" i="91"/>
  <c r="BI32" i="91"/>
  <c r="BH32" i="91"/>
  <c r="BG32" i="91"/>
  <c r="BF32" i="91"/>
  <c r="BE32" i="91"/>
  <c r="BD32" i="91"/>
  <c r="BC32" i="91"/>
  <c r="BB32" i="91"/>
  <c r="BA32" i="91"/>
  <c r="AZ32" i="91"/>
  <c r="AY32" i="91"/>
  <c r="BO31" i="91"/>
  <c r="BN31" i="91"/>
  <c r="BM31" i="91"/>
  <c r="BL31" i="91"/>
  <c r="BK31" i="91"/>
  <c r="BJ31" i="91"/>
  <c r="BI31" i="91"/>
  <c r="BH31" i="91"/>
  <c r="BG31" i="91"/>
  <c r="BF31" i="91"/>
  <c r="BE31" i="91"/>
  <c r="BD31" i="91"/>
  <c r="BC31" i="91"/>
  <c r="BB31" i="91"/>
  <c r="BA31" i="91"/>
  <c r="AZ31" i="91"/>
  <c r="AY31" i="91"/>
  <c r="BO30" i="91"/>
  <c r="BN30" i="91"/>
  <c r="BM30" i="91"/>
  <c r="BL30" i="91"/>
  <c r="BK30" i="91"/>
  <c r="BJ30" i="91"/>
  <c r="BI30" i="91"/>
  <c r="BH30" i="91"/>
  <c r="BG30" i="91"/>
  <c r="BF30" i="91"/>
  <c r="BE30" i="91"/>
  <c r="BD30" i="91"/>
  <c r="BC30" i="91"/>
  <c r="BB30" i="91"/>
  <c r="BA30" i="91"/>
  <c r="AZ30" i="91"/>
  <c r="AY30" i="91"/>
  <c r="BO29" i="91"/>
  <c r="BN29" i="91"/>
  <c r="BM29" i="91"/>
  <c r="BL29" i="91"/>
  <c r="BK29" i="91"/>
  <c r="BJ29" i="91"/>
  <c r="BI29" i="91"/>
  <c r="BH29" i="91"/>
  <c r="BG29" i="91"/>
  <c r="BF29" i="91"/>
  <c r="BE29" i="91"/>
  <c r="BD29" i="91"/>
  <c r="BC29" i="91"/>
  <c r="BB29" i="91"/>
  <c r="BA29" i="91"/>
  <c r="AZ29" i="91"/>
  <c r="AY29" i="91"/>
  <c r="BO28" i="91"/>
  <c r="BN28" i="91"/>
  <c r="BM28" i="91"/>
  <c r="BL28" i="91"/>
  <c r="BK28" i="91"/>
  <c r="BJ28" i="91"/>
  <c r="BI28" i="91"/>
  <c r="BH28" i="91"/>
  <c r="BG28" i="91"/>
  <c r="BF28" i="91"/>
  <c r="BE28" i="91"/>
  <c r="BD28" i="91"/>
  <c r="BC28" i="91"/>
  <c r="BB28" i="91"/>
  <c r="BA28" i="91"/>
  <c r="AZ28" i="91"/>
  <c r="AY28" i="91"/>
  <c r="BO27" i="91"/>
  <c r="BN27" i="91"/>
  <c r="BM27" i="91"/>
  <c r="BL27" i="91"/>
  <c r="BK27" i="91"/>
  <c r="BJ27" i="91"/>
  <c r="BI27" i="91"/>
  <c r="BH27" i="91"/>
  <c r="BG27" i="91"/>
  <c r="BF27" i="91"/>
  <c r="BE27" i="91"/>
  <c r="BD27" i="91"/>
  <c r="BC27" i="91"/>
  <c r="BB27" i="91"/>
  <c r="BA27" i="91"/>
  <c r="AZ27" i="91"/>
  <c r="AY27" i="91"/>
  <c r="BO26" i="91"/>
  <c r="BN26" i="91"/>
  <c r="BM26" i="91"/>
  <c r="BL26" i="91"/>
  <c r="BK26" i="91"/>
  <c r="BJ26" i="91"/>
  <c r="BI26" i="91"/>
  <c r="BH26" i="91"/>
  <c r="BG26" i="91"/>
  <c r="BF26" i="91"/>
  <c r="BE26" i="91"/>
  <c r="BD26" i="91"/>
  <c r="BC26" i="91"/>
  <c r="BB26" i="91"/>
  <c r="BA26" i="91"/>
  <c r="AZ26" i="91"/>
  <c r="AY26" i="91"/>
  <c r="BO25" i="91"/>
  <c r="BN25" i="91"/>
  <c r="BM25" i="91"/>
  <c r="BL25" i="91"/>
  <c r="BK25" i="91"/>
  <c r="BJ25" i="91"/>
  <c r="BI25" i="91"/>
  <c r="BH25" i="91"/>
  <c r="BG25" i="91"/>
  <c r="BF25" i="91"/>
  <c r="BE25" i="91"/>
  <c r="BD25" i="91"/>
  <c r="BC25" i="91"/>
  <c r="BB25" i="91"/>
  <c r="BA25" i="91"/>
  <c r="AZ25" i="91"/>
  <c r="AY25" i="91"/>
  <c r="BO24" i="91"/>
  <c r="BN24" i="91"/>
  <c r="BM24" i="91"/>
  <c r="BL24" i="91"/>
  <c r="BK24" i="91"/>
  <c r="BJ24" i="91"/>
  <c r="BI24" i="91"/>
  <c r="BH24" i="91"/>
  <c r="BG24" i="91"/>
  <c r="BF24" i="91"/>
  <c r="BE24" i="91"/>
  <c r="BD24" i="91"/>
  <c r="BC24" i="91"/>
  <c r="BB24" i="91"/>
  <c r="BA24" i="91"/>
  <c r="AZ24" i="91"/>
  <c r="AY24" i="91"/>
  <c r="BO23" i="91"/>
  <c r="BN23" i="91"/>
  <c r="BM23" i="91"/>
  <c r="BL23" i="91"/>
  <c r="BK23" i="91"/>
  <c r="BJ23" i="91"/>
  <c r="BI23" i="91"/>
  <c r="BH23" i="91"/>
  <c r="BG23" i="91"/>
  <c r="BF23" i="91"/>
  <c r="BE23" i="91"/>
  <c r="BD23" i="91"/>
  <c r="BC23" i="91"/>
  <c r="BB23" i="91"/>
  <c r="BA23" i="91"/>
  <c r="AZ23" i="91"/>
  <c r="AY23" i="91"/>
  <c r="BO22" i="91"/>
  <c r="BN22" i="91"/>
  <c r="BM22" i="91"/>
  <c r="BL22" i="91"/>
  <c r="BK22" i="91"/>
  <c r="BJ22" i="91"/>
  <c r="BI22" i="91"/>
  <c r="BH22" i="91"/>
  <c r="BG22" i="91"/>
  <c r="BF22" i="91"/>
  <c r="BE22" i="91"/>
  <c r="BD22" i="91"/>
  <c r="BC22" i="91"/>
  <c r="BB22" i="91"/>
  <c r="BA22" i="91"/>
  <c r="AZ22" i="91"/>
  <c r="AY22" i="91"/>
  <c r="BO21" i="91"/>
  <c r="BN21" i="91"/>
  <c r="BM21" i="91"/>
  <c r="BL21" i="91"/>
  <c r="BK21" i="91"/>
  <c r="BJ21" i="91"/>
  <c r="BI21" i="91"/>
  <c r="BH21" i="91"/>
  <c r="BG21" i="91"/>
  <c r="BF21" i="91"/>
  <c r="BE21" i="91"/>
  <c r="BD21" i="91"/>
  <c r="BC21" i="91"/>
  <c r="BB21" i="91"/>
  <c r="BA21" i="91"/>
  <c r="AZ21" i="91"/>
  <c r="AY21" i="91"/>
  <c r="BO20" i="91"/>
  <c r="BN20" i="91"/>
  <c r="BM20" i="91"/>
  <c r="BL20" i="91"/>
  <c r="BK20" i="91"/>
  <c r="BJ20" i="91"/>
  <c r="BI20" i="91"/>
  <c r="BH20" i="91"/>
  <c r="BG20" i="91"/>
  <c r="BF20" i="91"/>
  <c r="BE20" i="91"/>
  <c r="BD20" i="91"/>
  <c r="BC20" i="91"/>
  <c r="BB20" i="91"/>
  <c r="BA20" i="91"/>
  <c r="AZ20" i="91"/>
  <c r="AY20" i="91"/>
  <c r="BO19" i="91"/>
  <c r="BN19" i="91"/>
  <c r="BM19" i="91"/>
  <c r="BL19" i="91"/>
  <c r="BK19" i="91"/>
  <c r="BJ19" i="91"/>
  <c r="BI19" i="91"/>
  <c r="BH19" i="91"/>
  <c r="BG19" i="91"/>
  <c r="BF19" i="91"/>
  <c r="BE19" i="91"/>
  <c r="BD19" i="91"/>
  <c r="BC19" i="91"/>
  <c r="BB19" i="91"/>
  <c r="BA19" i="91"/>
  <c r="AZ19" i="91"/>
  <c r="AY19" i="91"/>
  <c r="BO18" i="91"/>
  <c r="BN18" i="91"/>
  <c r="BM18" i="91"/>
  <c r="BL18" i="91"/>
  <c r="BK18" i="91"/>
  <c r="BJ18" i="91"/>
  <c r="BI18" i="91"/>
  <c r="BH18" i="91"/>
  <c r="BG18" i="91"/>
  <c r="BF18" i="91"/>
  <c r="BE18" i="91"/>
  <c r="BD18" i="91"/>
  <c r="BC18" i="91"/>
  <c r="BB18" i="91"/>
  <c r="BA18" i="91"/>
  <c r="AZ18" i="91"/>
  <c r="AY18" i="91"/>
  <c r="BO17" i="91"/>
  <c r="BN17" i="91"/>
  <c r="BM17" i="91"/>
  <c r="BL17" i="91"/>
  <c r="BK17" i="91"/>
  <c r="BJ17" i="91"/>
  <c r="BI17" i="91"/>
  <c r="BH17" i="91"/>
  <c r="BG17" i="91"/>
  <c r="BF17" i="91"/>
  <c r="BE17" i="91"/>
  <c r="BD17" i="91"/>
  <c r="BC17" i="91"/>
  <c r="BB17" i="91"/>
  <c r="BA17" i="91"/>
  <c r="AZ17" i="91"/>
  <c r="AY17" i="91"/>
  <c r="BO16" i="91"/>
  <c r="BN16" i="91"/>
  <c r="BM16" i="91"/>
  <c r="BL16" i="91"/>
  <c r="BK16" i="91"/>
  <c r="BJ16" i="91"/>
  <c r="BI16" i="91"/>
  <c r="BH16" i="91"/>
  <c r="BG16" i="91"/>
  <c r="BF16" i="91"/>
  <c r="BE16" i="91"/>
  <c r="BD16" i="91"/>
  <c r="BC16" i="91"/>
  <c r="BB16" i="91"/>
  <c r="BA16" i="91"/>
  <c r="AZ16" i="91"/>
  <c r="AY16" i="91"/>
  <c r="BO15" i="91"/>
  <c r="BN15" i="91"/>
  <c r="BM15" i="91"/>
  <c r="BL15" i="91"/>
  <c r="BK15" i="91"/>
  <c r="BJ15" i="91"/>
  <c r="BI15" i="91"/>
  <c r="BH15" i="91"/>
  <c r="BG15" i="91"/>
  <c r="BF15" i="91"/>
  <c r="BE15" i="91"/>
  <c r="BD15" i="91"/>
  <c r="BC15" i="91"/>
  <c r="BB15" i="91"/>
  <c r="BA15" i="91"/>
  <c r="AZ15" i="91"/>
  <c r="AY15" i="91"/>
  <c r="BO14" i="91"/>
  <c r="BN14" i="91"/>
  <c r="BM14" i="91"/>
  <c r="BL14" i="91"/>
  <c r="BK14" i="91"/>
  <c r="BJ14" i="91"/>
  <c r="BI14" i="91"/>
  <c r="BH14" i="91"/>
  <c r="BG14" i="91"/>
  <c r="BF14" i="91"/>
  <c r="BE14" i="91"/>
  <c r="BD14" i="91"/>
  <c r="BC14" i="91"/>
  <c r="BB14" i="91"/>
  <c r="BA14" i="91"/>
  <c r="AZ14" i="91"/>
  <c r="AY14" i="91"/>
  <c r="BO13" i="91"/>
  <c r="BN13" i="91"/>
  <c r="BM13" i="91"/>
  <c r="BL13" i="91"/>
  <c r="BK13" i="91"/>
  <c r="BJ13" i="91"/>
  <c r="BI13" i="91"/>
  <c r="BH13" i="91"/>
  <c r="BG13" i="91"/>
  <c r="BF13" i="91"/>
  <c r="BE13" i="91"/>
  <c r="BD13" i="91"/>
  <c r="BC13" i="91"/>
  <c r="BB13" i="91"/>
  <c r="BA13" i="91"/>
  <c r="AZ13" i="91"/>
  <c r="AY13" i="91"/>
  <c r="BO12" i="91"/>
  <c r="BN12" i="91"/>
  <c r="BM12" i="91"/>
  <c r="BL12" i="91"/>
  <c r="BK12" i="91"/>
  <c r="BJ12" i="91"/>
  <c r="BI12" i="91"/>
  <c r="BH12" i="91"/>
  <c r="BG12" i="91"/>
  <c r="BF12" i="91"/>
  <c r="BE12" i="91"/>
  <c r="BD12" i="91"/>
  <c r="BC12" i="91"/>
  <c r="BB12" i="91"/>
  <c r="BA12" i="91"/>
  <c r="AZ12" i="91"/>
  <c r="AY12" i="91"/>
  <c r="BO11" i="91"/>
  <c r="BN11" i="91"/>
  <c r="BM11" i="91"/>
  <c r="BL11" i="91"/>
  <c r="BK11" i="91"/>
  <c r="BJ11" i="91"/>
  <c r="BI11" i="91"/>
  <c r="BH11" i="91"/>
  <c r="BG11" i="91"/>
  <c r="BF11" i="91"/>
  <c r="BE11" i="91"/>
  <c r="BD11" i="91"/>
  <c r="BC11" i="91"/>
  <c r="BB11" i="91"/>
  <c r="BA11" i="91"/>
  <c r="AZ11" i="91"/>
  <c r="AY11" i="91"/>
  <c r="BO10" i="91"/>
  <c r="BN10" i="91"/>
  <c r="BM10" i="91"/>
  <c r="BL10" i="91"/>
  <c r="BK10" i="91"/>
  <c r="BJ10" i="91"/>
  <c r="BI10" i="91"/>
  <c r="BH10" i="91"/>
  <c r="BG10" i="91"/>
  <c r="BF10" i="91"/>
  <c r="BE10" i="91"/>
  <c r="BD10" i="91"/>
  <c r="BC10" i="91"/>
  <c r="BB10" i="91"/>
  <c r="BA10" i="91"/>
  <c r="AZ10" i="91"/>
  <c r="AY10" i="91"/>
  <c r="BO9" i="91"/>
  <c r="BN9" i="91"/>
  <c r="BM9" i="91"/>
  <c r="BL9" i="91"/>
  <c r="BK9" i="91"/>
  <c r="BJ9" i="91"/>
  <c r="BI9" i="91"/>
  <c r="BH9" i="91"/>
  <c r="BG9" i="91"/>
  <c r="BF9" i="91"/>
  <c r="BE9" i="91"/>
  <c r="BD9" i="91"/>
  <c r="BC9" i="91"/>
  <c r="BB9" i="91"/>
  <c r="BA9" i="91"/>
  <c r="AZ9" i="91"/>
  <c r="AY9" i="91"/>
  <c r="BO8" i="91"/>
  <c r="BN8" i="91"/>
  <c r="BM8" i="91"/>
  <c r="BL8" i="91"/>
  <c r="BK8" i="91"/>
  <c r="BJ8" i="91"/>
  <c r="BI8" i="91"/>
  <c r="BH8" i="91"/>
  <c r="BG8" i="91"/>
  <c r="BF8" i="91"/>
  <c r="BE8" i="91"/>
  <c r="BD8" i="91"/>
  <c r="BC8" i="91"/>
  <c r="BB8" i="91"/>
  <c r="BA8" i="91"/>
  <c r="AZ8" i="91"/>
  <c r="AY8" i="91"/>
  <c r="BO7" i="91"/>
  <c r="BN7" i="91"/>
  <c r="BM7" i="91"/>
  <c r="BL7" i="91"/>
  <c r="BK7" i="91"/>
  <c r="BJ7" i="91"/>
  <c r="BI7" i="91"/>
  <c r="BH7" i="91"/>
  <c r="BG7" i="91"/>
  <c r="BF7" i="91"/>
  <c r="BE7" i="91"/>
  <c r="BD7" i="91"/>
  <c r="BC7" i="91"/>
  <c r="BB7" i="91"/>
  <c r="BA7" i="91"/>
  <c r="AZ7" i="91"/>
  <c r="AY7" i="91"/>
  <c r="BO6" i="91"/>
  <c r="BN6" i="91"/>
  <c r="BM6" i="91"/>
  <c r="BL6" i="91"/>
  <c r="BK6" i="91"/>
  <c r="BJ6" i="91"/>
  <c r="BI6" i="91"/>
  <c r="BH6" i="91"/>
  <c r="BG6" i="91"/>
  <c r="BF6" i="91"/>
  <c r="BE6" i="91"/>
  <c r="BD6" i="91"/>
  <c r="BC6" i="91"/>
  <c r="BB6" i="91"/>
  <c r="BA6" i="91"/>
  <c r="AZ6" i="91"/>
  <c r="AY6" i="91"/>
  <c r="BO5" i="91"/>
  <c r="BN5" i="91"/>
  <c r="BM5" i="91"/>
  <c r="BL5" i="91"/>
  <c r="BK5" i="91"/>
  <c r="BJ5" i="91"/>
  <c r="BI5" i="91"/>
  <c r="BH5" i="91"/>
  <c r="BG5" i="91"/>
  <c r="BF5" i="91"/>
  <c r="BE5" i="91"/>
  <c r="BD5" i="91"/>
  <c r="BC5" i="91"/>
  <c r="BB5" i="91"/>
  <c r="BA5" i="91"/>
  <c r="AZ5" i="91"/>
  <c r="AY5" i="91"/>
  <c r="BO4" i="91"/>
  <c r="BN4" i="91"/>
  <c r="BM4" i="91"/>
  <c r="BL4" i="91"/>
  <c r="BK4" i="91"/>
  <c r="BJ4" i="91"/>
  <c r="BI4" i="91"/>
  <c r="BH4" i="91"/>
  <c r="BG4" i="91"/>
  <c r="BF4" i="91"/>
  <c r="BE4" i="91"/>
  <c r="BD4" i="91"/>
  <c r="BC4" i="91"/>
  <c r="BB4" i="91"/>
  <c r="BA4" i="91"/>
  <c r="AZ4" i="91"/>
  <c r="AY4" i="91"/>
  <c r="BO3" i="91"/>
  <c r="BN3" i="91"/>
  <c r="BM3" i="91"/>
  <c r="BL3" i="91"/>
  <c r="BK3" i="91"/>
  <c r="BJ3" i="91"/>
  <c r="BI3" i="91"/>
  <c r="BH3" i="91"/>
  <c r="BG3" i="91"/>
  <c r="BF3" i="91"/>
  <c r="BE3" i="91"/>
  <c r="BD3" i="91"/>
  <c r="BC3" i="91"/>
  <c r="BB3" i="91"/>
  <c r="BA3" i="91"/>
  <c r="AZ3" i="91"/>
  <c r="AY3" i="91"/>
  <c r="BO2" i="91"/>
  <c r="BN2" i="91"/>
  <c r="BM2" i="91"/>
  <c r="BL2" i="91"/>
  <c r="BK2" i="91"/>
  <c r="BJ2" i="91"/>
  <c r="BI2" i="91"/>
  <c r="BH2" i="91"/>
  <c r="BG2" i="91"/>
  <c r="BF2" i="91"/>
  <c r="BE2" i="91"/>
  <c r="BD2" i="91"/>
  <c r="BC2" i="91"/>
  <c r="BB2" i="91"/>
  <c r="BA2" i="91"/>
  <c r="AZ2" i="91"/>
  <c r="AY2" i="91"/>
  <c r="AT168" i="92"/>
  <c r="AT167" i="92"/>
  <c r="AT166" i="92"/>
  <c r="AT165" i="92"/>
  <c r="AT164" i="92"/>
  <c r="AT163" i="92"/>
  <c r="AT162" i="92"/>
  <c r="AT161" i="92"/>
  <c r="AT160" i="92"/>
  <c r="AT159" i="92"/>
  <c r="AT158" i="92"/>
  <c r="AT157" i="92"/>
  <c r="AT156" i="92"/>
  <c r="AT155" i="92"/>
  <c r="AT154" i="92"/>
  <c r="AT153" i="92"/>
  <c r="AT152" i="92"/>
  <c r="AT151" i="92"/>
  <c r="AT150" i="92"/>
  <c r="AT149" i="92"/>
  <c r="AT148" i="92"/>
  <c r="AT147" i="92"/>
  <c r="AT146" i="92"/>
  <c r="AT145" i="92"/>
  <c r="AT144" i="92"/>
  <c r="AT143" i="92"/>
  <c r="AT142" i="92"/>
  <c r="AT141" i="92"/>
  <c r="AT140" i="92"/>
  <c r="AT139" i="92"/>
  <c r="AT138" i="92"/>
  <c r="AT137" i="92"/>
  <c r="AT136" i="92"/>
  <c r="AT135" i="92"/>
  <c r="AT134" i="92"/>
  <c r="AT133" i="92"/>
  <c r="AT132" i="92"/>
  <c r="AT131" i="92"/>
  <c r="AT130" i="92"/>
  <c r="AT129" i="92"/>
  <c r="AT128" i="92"/>
  <c r="AT127" i="92"/>
  <c r="AT126" i="92"/>
  <c r="AT125" i="92"/>
  <c r="AT124" i="92"/>
  <c r="AT123" i="92"/>
  <c r="AT122" i="92"/>
  <c r="AT121" i="92"/>
  <c r="AT120" i="92"/>
  <c r="AT119" i="92"/>
  <c r="AT118" i="92"/>
  <c r="AT117" i="92"/>
  <c r="AT116" i="92"/>
  <c r="AT115" i="92"/>
  <c r="AT114" i="92"/>
  <c r="AT113" i="92"/>
  <c r="AT112" i="92"/>
  <c r="AT111" i="92"/>
  <c r="AT110" i="92"/>
  <c r="AT109" i="92"/>
  <c r="AT108" i="92"/>
  <c r="AT107" i="92"/>
  <c r="AT106" i="92"/>
  <c r="AT105" i="92"/>
  <c r="AT104" i="92"/>
  <c r="AT103" i="92"/>
  <c r="AT102" i="92"/>
  <c r="AT101" i="92"/>
  <c r="AT100" i="92"/>
  <c r="AT99" i="92"/>
  <c r="AT98" i="92"/>
  <c r="AT97" i="92"/>
  <c r="AT96" i="92"/>
  <c r="AT95" i="92"/>
  <c r="AT94" i="92"/>
  <c r="AT93" i="92"/>
  <c r="AT92" i="92"/>
  <c r="AT91" i="92"/>
  <c r="AT90" i="92"/>
  <c r="AT89" i="92"/>
  <c r="AT88" i="92"/>
  <c r="AT87" i="92"/>
  <c r="AT86" i="92"/>
  <c r="AT85" i="92"/>
  <c r="AT84" i="92"/>
  <c r="AT83" i="92"/>
  <c r="AT82" i="92"/>
  <c r="AT81" i="92"/>
  <c r="AT80" i="92"/>
  <c r="AT79" i="92"/>
  <c r="AT78" i="92"/>
  <c r="AT77" i="92"/>
  <c r="AT76" i="92"/>
  <c r="AT75" i="92"/>
  <c r="AT74" i="92"/>
  <c r="AT73" i="92"/>
  <c r="AT72" i="92"/>
  <c r="AT71" i="92"/>
  <c r="AT70" i="92"/>
  <c r="AT69" i="92"/>
  <c r="AT68" i="92"/>
  <c r="AT67" i="92"/>
  <c r="AT66" i="92"/>
  <c r="AT65" i="92"/>
  <c r="AT64" i="92"/>
  <c r="AT63" i="92"/>
  <c r="AT62" i="92"/>
  <c r="AT61" i="92"/>
  <c r="AT60" i="92"/>
  <c r="AT59" i="92"/>
  <c r="AT58" i="92"/>
  <c r="AT57" i="92"/>
  <c r="AT56" i="92"/>
  <c r="AT55" i="92"/>
  <c r="AT54" i="92"/>
  <c r="AT53" i="92"/>
  <c r="AT52" i="92"/>
  <c r="AT51" i="92"/>
  <c r="AT50" i="92"/>
  <c r="AT49" i="92"/>
  <c r="AT48" i="92"/>
  <c r="AT47" i="92"/>
  <c r="AT46" i="92"/>
  <c r="AT45" i="92"/>
  <c r="AT44" i="92"/>
  <c r="AT43" i="92"/>
  <c r="AT42" i="92"/>
  <c r="AT41" i="92"/>
  <c r="AT40" i="92"/>
  <c r="AT39" i="92"/>
  <c r="AT38" i="92"/>
  <c r="AT37" i="92"/>
  <c r="AT36" i="92"/>
  <c r="AT35" i="92"/>
  <c r="AT34" i="92"/>
  <c r="AT33" i="92"/>
  <c r="AT32" i="92"/>
  <c r="AT31" i="92"/>
  <c r="AT30" i="92"/>
  <c r="AT29" i="92"/>
  <c r="AT28" i="92"/>
  <c r="AT27" i="92"/>
  <c r="AT26" i="92"/>
  <c r="AT25" i="92"/>
  <c r="AT24" i="92"/>
  <c r="AT23" i="92"/>
  <c r="AT22" i="92"/>
  <c r="AT21" i="92"/>
  <c r="AT20" i="92"/>
  <c r="AT19" i="92"/>
  <c r="AT18" i="92"/>
  <c r="AT17" i="92"/>
  <c r="AT16" i="92"/>
  <c r="AT15" i="92"/>
  <c r="AT14" i="92"/>
  <c r="AT13" i="92"/>
  <c r="AT12" i="92"/>
  <c r="AT11" i="92"/>
  <c r="AT10" i="92"/>
  <c r="AT9" i="92"/>
  <c r="AT8" i="92"/>
  <c r="AT7" i="92"/>
  <c r="AT6" i="92"/>
  <c r="AT5" i="92"/>
  <c r="AT4" i="92"/>
  <c r="AT3" i="92"/>
  <c r="AT2" i="92"/>
  <c r="AT168" i="91"/>
  <c r="AT167" i="91"/>
  <c r="AT166" i="91"/>
  <c r="AT165" i="91"/>
  <c r="AT164" i="91"/>
  <c r="AT163" i="91"/>
  <c r="AT162" i="91"/>
  <c r="AT161" i="91"/>
  <c r="AT160" i="91"/>
  <c r="AT159" i="91"/>
  <c r="AT158" i="91"/>
  <c r="AT157" i="91"/>
  <c r="AT156" i="91"/>
  <c r="AT155" i="91"/>
  <c r="AT154" i="91"/>
  <c r="AT153" i="91"/>
  <c r="AT152" i="91"/>
  <c r="AT151" i="91"/>
  <c r="AT150" i="91"/>
  <c r="AT149" i="91"/>
  <c r="AT148" i="91"/>
  <c r="AT147" i="91"/>
  <c r="AT146" i="91"/>
  <c r="AT145" i="91"/>
  <c r="AT144" i="91"/>
  <c r="AT143" i="91"/>
  <c r="AT142" i="91"/>
  <c r="AT141" i="91"/>
  <c r="AT140" i="91"/>
  <c r="AT139" i="91"/>
  <c r="AT138" i="91"/>
  <c r="AT137" i="91"/>
  <c r="AT136" i="91"/>
  <c r="AT135" i="91"/>
  <c r="AT134" i="91"/>
  <c r="AT133" i="91"/>
  <c r="AT132" i="91"/>
  <c r="AT131" i="91"/>
  <c r="AT130" i="91"/>
  <c r="AT129" i="91"/>
  <c r="AT128" i="91"/>
  <c r="AT127" i="91"/>
  <c r="AT126" i="91"/>
  <c r="AT125" i="91"/>
  <c r="AT124" i="91"/>
  <c r="AT123" i="91"/>
  <c r="AT122" i="91"/>
  <c r="AT121" i="91"/>
  <c r="AT120" i="91"/>
  <c r="AT119" i="91"/>
  <c r="AT118" i="91"/>
  <c r="AT117" i="91"/>
  <c r="AT116" i="91"/>
  <c r="AT115" i="91"/>
  <c r="AT114" i="91"/>
  <c r="AT113" i="91"/>
  <c r="AT112" i="91"/>
  <c r="AT111" i="91"/>
  <c r="AT110" i="91"/>
  <c r="AT109" i="91"/>
  <c r="AT108" i="91"/>
  <c r="AT107" i="91"/>
  <c r="AT106" i="91"/>
  <c r="AT105" i="91"/>
  <c r="AT104" i="91"/>
  <c r="AT103" i="91"/>
  <c r="AT102" i="91"/>
  <c r="AT101" i="91"/>
  <c r="AT100" i="91"/>
  <c r="AT99" i="91"/>
  <c r="AT98" i="91"/>
  <c r="AT97" i="91"/>
  <c r="AT96" i="91"/>
  <c r="AT95" i="91"/>
  <c r="AT94" i="91"/>
  <c r="AT93" i="91"/>
  <c r="AT92" i="91"/>
  <c r="AT91" i="91"/>
  <c r="AT90" i="91"/>
  <c r="AT89" i="91"/>
  <c r="AT88" i="91"/>
  <c r="AT87" i="91"/>
  <c r="AT86" i="91"/>
  <c r="AT85" i="91"/>
  <c r="AT84" i="91"/>
  <c r="AT83" i="91"/>
  <c r="AT82" i="91"/>
  <c r="AT81" i="91"/>
  <c r="AT80" i="91"/>
  <c r="AT79" i="91"/>
  <c r="AT78" i="91"/>
  <c r="AT77" i="91"/>
  <c r="AT76" i="91"/>
  <c r="AT75" i="91"/>
  <c r="AT74" i="91"/>
  <c r="AT73" i="91"/>
  <c r="AT72" i="91"/>
  <c r="AT71" i="91"/>
  <c r="AT70" i="91"/>
  <c r="AT69" i="91"/>
  <c r="AT68" i="91"/>
  <c r="AT67" i="91"/>
  <c r="AT66" i="91"/>
  <c r="AT65" i="91"/>
  <c r="AT64" i="91"/>
  <c r="AT63" i="91"/>
  <c r="AT62" i="91"/>
  <c r="AT61" i="91"/>
  <c r="AT60" i="91"/>
  <c r="AT59" i="91"/>
  <c r="AT58" i="91"/>
  <c r="AT57" i="91"/>
  <c r="AT56" i="91"/>
  <c r="AT55" i="91"/>
  <c r="AT54" i="91"/>
  <c r="AT53" i="91"/>
  <c r="AT52" i="91"/>
  <c r="AT51" i="91"/>
  <c r="AT50" i="91"/>
  <c r="AT49" i="91"/>
  <c r="AT48" i="91"/>
  <c r="AT47" i="91"/>
  <c r="AT46" i="91"/>
  <c r="AT45" i="91"/>
  <c r="AT44" i="91"/>
  <c r="AT43" i="91"/>
  <c r="AT42" i="91"/>
  <c r="AT41" i="91"/>
  <c r="AT40" i="91"/>
  <c r="AT39" i="91"/>
  <c r="AT38" i="91"/>
  <c r="AT37" i="91"/>
  <c r="AT36" i="91"/>
  <c r="AT35" i="91"/>
  <c r="AT34" i="91"/>
  <c r="AT33" i="91"/>
  <c r="AT32" i="91"/>
  <c r="AT31" i="91"/>
  <c r="AT30" i="91"/>
  <c r="AT29" i="91"/>
  <c r="AT28" i="91"/>
  <c r="AT27" i="91"/>
  <c r="AT26" i="91"/>
  <c r="AT25" i="91"/>
  <c r="AT24" i="91"/>
  <c r="AT23" i="91"/>
  <c r="AT22" i="91"/>
  <c r="AT21" i="91"/>
  <c r="AT20" i="91"/>
  <c r="AT19" i="91"/>
  <c r="AT18" i="91"/>
  <c r="AT17" i="91"/>
  <c r="AT16" i="91"/>
  <c r="AT15" i="91"/>
  <c r="AT14" i="91"/>
  <c r="AT13" i="91"/>
  <c r="AT12" i="91"/>
  <c r="AT11" i="91"/>
  <c r="AT10" i="91"/>
  <c r="AT9" i="91"/>
  <c r="AT8" i="91"/>
  <c r="AT7" i="91"/>
  <c r="AT6" i="91"/>
  <c r="AT5" i="91"/>
  <c r="AT4" i="91"/>
  <c r="AT3" i="91"/>
  <c r="AT2" i="91"/>
  <c r="AO168" i="92"/>
  <c r="AN168" i="92"/>
  <c r="AM168" i="92"/>
  <c r="AL168" i="92"/>
  <c r="AK168" i="92"/>
  <c r="AJ168" i="92"/>
  <c r="AI168" i="92"/>
  <c r="AO167" i="92"/>
  <c r="AN167" i="92"/>
  <c r="AM167" i="92"/>
  <c r="AL167" i="92"/>
  <c r="AK167" i="92"/>
  <c r="AJ167" i="92"/>
  <c r="AI167" i="92"/>
  <c r="AO166" i="92"/>
  <c r="AN166" i="92"/>
  <c r="AM166" i="92"/>
  <c r="AL166" i="92"/>
  <c r="AK166" i="92"/>
  <c r="AJ166" i="92"/>
  <c r="AI166" i="92"/>
  <c r="AO165" i="92"/>
  <c r="AN165" i="92"/>
  <c r="AM165" i="92"/>
  <c r="AL165" i="92"/>
  <c r="AK165" i="92"/>
  <c r="AJ165" i="92"/>
  <c r="AI165" i="92"/>
  <c r="AO164" i="92"/>
  <c r="AN164" i="92"/>
  <c r="AM164" i="92"/>
  <c r="AL164" i="92"/>
  <c r="AK164" i="92"/>
  <c r="AJ164" i="92"/>
  <c r="AI164" i="92"/>
  <c r="AO163" i="92"/>
  <c r="AN163" i="92"/>
  <c r="AM163" i="92"/>
  <c r="AL163" i="92"/>
  <c r="AK163" i="92"/>
  <c r="AJ163" i="92"/>
  <c r="AI163" i="92"/>
  <c r="AO162" i="92"/>
  <c r="AN162" i="92"/>
  <c r="AM162" i="92"/>
  <c r="AL162" i="92"/>
  <c r="AK162" i="92"/>
  <c r="AJ162" i="92"/>
  <c r="AI162" i="92"/>
  <c r="AO161" i="92"/>
  <c r="AN161" i="92"/>
  <c r="AM161" i="92"/>
  <c r="AL161" i="92"/>
  <c r="AK161" i="92"/>
  <c r="AJ161" i="92"/>
  <c r="AI161" i="92"/>
  <c r="AO160" i="92"/>
  <c r="AN160" i="92"/>
  <c r="AM160" i="92"/>
  <c r="AL160" i="92"/>
  <c r="AK160" i="92"/>
  <c r="AJ160" i="92"/>
  <c r="AI160" i="92"/>
  <c r="AO159" i="92"/>
  <c r="AN159" i="92"/>
  <c r="AM159" i="92"/>
  <c r="AL159" i="92"/>
  <c r="AK159" i="92"/>
  <c r="AJ159" i="92"/>
  <c r="AI159" i="92"/>
  <c r="AO158" i="92"/>
  <c r="AN158" i="92"/>
  <c r="AM158" i="92"/>
  <c r="AL158" i="92"/>
  <c r="AK158" i="92"/>
  <c r="AJ158" i="92"/>
  <c r="AI158" i="92"/>
  <c r="AO157" i="92"/>
  <c r="AN157" i="92"/>
  <c r="AM157" i="92"/>
  <c r="AL157" i="92"/>
  <c r="AK157" i="92"/>
  <c r="AJ157" i="92"/>
  <c r="AI157" i="92"/>
  <c r="AO156" i="92"/>
  <c r="AN156" i="92"/>
  <c r="AM156" i="92"/>
  <c r="AL156" i="92"/>
  <c r="AK156" i="92"/>
  <c r="AJ156" i="92"/>
  <c r="AI156" i="92"/>
  <c r="AO155" i="92"/>
  <c r="AN155" i="92"/>
  <c r="AM155" i="92"/>
  <c r="AL155" i="92"/>
  <c r="AK155" i="92"/>
  <c r="AJ155" i="92"/>
  <c r="AI155" i="92"/>
  <c r="AO154" i="92"/>
  <c r="AN154" i="92"/>
  <c r="AM154" i="92"/>
  <c r="AL154" i="92"/>
  <c r="AK154" i="92"/>
  <c r="AJ154" i="92"/>
  <c r="AI154" i="92"/>
  <c r="AO153" i="92"/>
  <c r="AN153" i="92"/>
  <c r="AM153" i="92"/>
  <c r="AL153" i="92"/>
  <c r="AK153" i="92"/>
  <c r="AJ153" i="92"/>
  <c r="AI153" i="92"/>
  <c r="AO152" i="92"/>
  <c r="AN152" i="92"/>
  <c r="AM152" i="92"/>
  <c r="AL152" i="92"/>
  <c r="AK152" i="92"/>
  <c r="AJ152" i="92"/>
  <c r="AI152" i="92"/>
  <c r="AO151" i="92"/>
  <c r="AN151" i="92"/>
  <c r="AM151" i="92"/>
  <c r="AL151" i="92"/>
  <c r="AK151" i="92"/>
  <c r="AJ151" i="92"/>
  <c r="AI151" i="92"/>
  <c r="AO150" i="92"/>
  <c r="AN150" i="92"/>
  <c r="AM150" i="92"/>
  <c r="AL150" i="92"/>
  <c r="AK150" i="92"/>
  <c r="AJ150" i="92"/>
  <c r="AI150" i="92"/>
  <c r="AO149" i="92"/>
  <c r="AN149" i="92"/>
  <c r="AM149" i="92"/>
  <c r="AL149" i="92"/>
  <c r="AK149" i="92"/>
  <c r="AJ149" i="92"/>
  <c r="AI149" i="92"/>
  <c r="AO148" i="92"/>
  <c r="AN148" i="92"/>
  <c r="AM148" i="92"/>
  <c r="AL148" i="92"/>
  <c r="AK148" i="92"/>
  <c r="AJ148" i="92"/>
  <c r="AI148" i="92"/>
  <c r="AO147" i="92"/>
  <c r="AN147" i="92"/>
  <c r="AM147" i="92"/>
  <c r="AL147" i="92"/>
  <c r="AK147" i="92"/>
  <c r="AJ147" i="92"/>
  <c r="AI147" i="92"/>
  <c r="AO146" i="92"/>
  <c r="AN146" i="92"/>
  <c r="AM146" i="92"/>
  <c r="AL146" i="92"/>
  <c r="AK146" i="92"/>
  <c r="AJ146" i="92"/>
  <c r="AI146" i="92"/>
  <c r="AO145" i="92"/>
  <c r="AN145" i="92"/>
  <c r="AM145" i="92"/>
  <c r="AL145" i="92"/>
  <c r="AK145" i="92"/>
  <c r="AJ145" i="92"/>
  <c r="AI145" i="92"/>
  <c r="AO144" i="92"/>
  <c r="AN144" i="92"/>
  <c r="AM144" i="92"/>
  <c r="AL144" i="92"/>
  <c r="AK144" i="92"/>
  <c r="AJ144" i="92"/>
  <c r="AI144" i="92"/>
  <c r="AO143" i="92"/>
  <c r="AN143" i="92"/>
  <c r="AM143" i="92"/>
  <c r="AL143" i="92"/>
  <c r="AK143" i="92"/>
  <c r="AJ143" i="92"/>
  <c r="AI143" i="92"/>
  <c r="AO142" i="92"/>
  <c r="AN142" i="92"/>
  <c r="AM142" i="92"/>
  <c r="AL142" i="92"/>
  <c r="AK142" i="92"/>
  <c r="AJ142" i="92"/>
  <c r="AI142" i="92"/>
  <c r="AO141" i="92"/>
  <c r="AN141" i="92"/>
  <c r="AM141" i="92"/>
  <c r="AL141" i="92"/>
  <c r="AK141" i="92"/>
  <c r="AJ141" i="92"/>
  <c r="AI141" i="92"/>
  <c r="AO140" i="92"/>
  <c r="AN140" i="92"/>
  <c r="AM140" i="92"/>
  <c r="AL140" i="92"/>
  <c r="AK140" i="92"/>
  <c r="AJ140" i="92"/>
  <c r="AI140" i="92"/>
  <c r="AO139" i="92"/>
  <c r="AN139" i="92"/>
  <c r="AM139" i="92"/>
  <c r="AL139" i="92"/>
  <c r="AK139" i="92"/>
  <c r="AJ139" i="92"/>
  <c r="AI139" i="92"/>
  <c r="AO138" i="92"/>
  <c r="AN138" i="92"/>
  <c r="AM138" i="92"/>
  <c r="AL138" i="92"/>
  <c r="AK138" i="92"/>
  <c r="AJ138" i="92"/>
  <c r="AI138" i="92"/>
  <c r="AO137" i="92"/>
  <c r="AN137" i="92"/>
  <c r="AM137" i="92"/>
  <c r="AL137" i="92"/>
  <c r="AK137" i="92"/>
  <c r="AJ137" i="92"/>
  <c r="AI137" i="92"/>
  <c r="AO136" i="92"/>
  <c r="AN136" i="92"/>
  <c r="AM136" i="92"/>
  <c r="AL136" i="92"/>
  <c r="AK136" i="92"/>
  <c r="AJ136" i="92"/>
  <c r="AI136" i="92"/>
  <c r="AO135" i="92"/>
  <c r="AN135" i="92"/>
  <c r="AM135" i="92"/>
  <c r="AL135" i="92"/>
  <c r="AK135" i="92"/>
  <c r="AJ135" i="92"/>
  <c r="AI135" i="92"/>
  <c r="AO134" i="92"/>
  <c r="AN134" i="92"/>
  <c r="AM134" i="92"/>
  <c r="AL134" i="92"/>
  <c r="AK134" i="92"/>
  <c r="AJ134" i="92"/>
  <c r="AI134" i="92"/>
  <c r="AO133" i="92"/>
  <c r="AN133" i="92"/>
  <c r="AM133" i="92"/>
  <c r="AL133" i="92"/>
  <c r="AK133" i="92"/>
  <c r="AJ133" i="92"/>
  <c r="AI133" i="92"/>
  <c r="AO132" i="92"/>
  <c r="AN132" i="92"/>
  <c r="AM132" i="92"/>
  <c r="AL132" i="92"/>
  <c r="AK132" i="92"/>
  <c r="AJ132" i="92"/>
  <c r="AI132" i="92"/>
  <c r="AO131" i="92"/>
  <c r="AN131" i="92"/>
  <c r="AM131" i="92"/>
  <c r="AL131" i="92"/>
  <c r="AK131" i="92"/>
  <c r="AJ131" i="92"/>
  <c r="AI131" i="92"/>
  <c r="AO130" i="92"/>
  <c r="AN130" i="92"/>
  <c r="AM130" i="92"/>
  <c r="AL130" i="92"/>
  <c r="AK130" i="92"/>
  <c r="AJ130" i="92"/>
  <c r="AI130" i="92"/>
  <c r="AO129" i="92"/>
  <c r="AN129" i="92"/>
  <c r="AM129" i="92"/>
  <c r="AL129" i="92"/>
  <c r="AK129" i="92"/>
  <c r="AJ129" i="92"/>
  <c r="AI129" i="92"/>
  <c r="AO128" i="92"/>
  <c r="AN128" i="92"/>
  <c r="AM128" i="92"/>
  <c r="AL128" i="92"/>
  <c r="AK128" i="92"/>
  <c r="AJ128" i="92"/>
  <c r="AI128" i="92"/>
  <c r="AO127" i="92"/>
  <c r="AN127" i="92"/>
  <c r="AM127" i="92"/>
  <c r="AL127" i="92"/>
  <c r="AK127" i="92"/>
  <c r="AJ127" i="92"/>
  <c r="AI127" i="92"/>
  <c r="AO126" i="92"/>
  <c r="AN126" i="92"/>
  <c r="AM126" i="92"/>
  <c r="AL126" i="92"/>
  <c r="AK126" i="92"/>
  <c r="AJ126" i="92"/>
  <c r="AI126" i="92"/>
  <c r="AO125" i="92"/>
  <c r="AN125" i="92"/>
  <c r="AM125" i="92"/>
  <c r="AL125" i="92"/>
  <c r="AK125" i="92"/>
  <c r="AJ125" i="92"/>
  <c r="AI125" i="92"/>
  <c r="AO124" i="92"/>
  <c r="AN124" i="92"/>
  <c r="AM124" i="92"/>
  <c r="AL124" i="92"/>
  <c r="AK124" i="92"/>
  <c r="AJ124" i="92"/>
  <c r="AI124" i="92"/>
  <c r="AO123" i="92"/>
  <c r="AN123" i="92"/>
  <c r="AM123" i="92"/>
  <c r="AL123" i="92"/>
  <c r="AK123" i="92"/>
  <c r="AJ123" i="92"/>
  <c r="AI123" i="92"/>
  <c r="AO122" i="92"/>
  <c r="AN122" i="92"/>
  <c r="AM122" i="92"/>
  <c r="AL122" i="92"/>
  <c r="AK122" i="92"/>
  <c r="AJ122" i="92"/>
  <c r="AI122" i="92"/>
  <c r="AO121" i="92"/>
  <c r="AN121" i="92"/>
  <c r="AM121" i="92"/>
  <c r="AL121" i="92"/>
  <c r="AK121" i="92"/>
  <c r="AJ121" i="92"/>
  <c r="AI121" i="92"/>
  <c r="AO120" i="92"/>
  <c r="AN120" i="92"/>
  <c r="AM120" i="92"/>
  <c r="AL120" i="92"/>
  <c r="AK120" i="92"/>
  <c r="AJ120" i="92"/>
  <c r="AI120" i="92"/>
  <c r="AO119" i="92"/>
  <c r="AN119" i="92"/>
  <c r="AM119" i="92"/>
  <c r="AL119" i="92"/>
  <c r="AK119" i="92"/>
  <c r="AJ119" i="92"/>
  <c r="AI119" i="92"/>
  <c r="AO118" i="92"/>
  <c r="AN118" i="92"/>
  <c r="AM118" i="92"/>
  <c r="AL118" i="92"/>
  <c r="AK118" i="92"/>
  <c r="AJ118" i="92"/>
  <c r="AI118" i="92"/>
  <c r="AO117" i="92"/>
  <c r="AN117" i="92"/>
  <c r="AM117" i="92"/>
  <c r="AL117" i="92"/>
  <c r="AK117" i="92"/>
  <c r="AJ117" i="92"/>
  <c r="AI117" i="92"/>
  <c r="AO116" i="92"/>
  <c r="AN116" i="92"/>
  <c r="AM116" i="92"/>
  <c r="AL116" i="92"/>
  <c r="AK116" i="92"/>
  <c r="AJ116" i="92"/>
  <c r="AI116" i="92"/>
  <c r="AO115" i="92"/>
  <c r="AN115" i="92"/>
  <c r="AM115" i="92"/>
  <c r="AL115" i="92"/>
  <c r="AK115" i="92"/>
  <c r="AJ115" i="92"/>
  <c r="AI115" i="92"/>
  <c r="AO114" i="92"/>
  <c r="AN114" i="92"/>
  <c r="AM114" i="92"/>
  <c r="AL114" i="92"/>
  <c r="AK114" i="92"/>
  <c r="AJ114" i="92"/>
  <c r="AI114" i="92"/>
  <c r="AO113" i="92"/>
  <c r="AN113" i="92"/>
  <c r="AM113" i="92"/>
  <c r="AL113" i="92"/>
  <c r="AK113" i="92"/>
  <c r="AJ113" i="92"/>
  <c r="AI113" i="92"/>
  <c r="AO112" i="92"/>
  <c r="AN112" i="92"/>
  <c r="AM112" i="92"/>
  <c r="AL112" i="92"/>
  <c r="AK112" i="92"/>
  <c r="AJ112" i="92"/>
  <c r="AI112" i="92"/>
  <c r="AO111" i="92"/>
  <c r="AN111" i="92"/>
  <c r="AM111" i="92"/>
  <c r="AL111" i="92"/>
  <c r="AK111" i="92"/>
  <c r="AJ111" i="92"/>
  <c r="AI111" i="92"/>
  <c r="AO110" i="92"/>
  <c r="AN110" i="92"/>
  <c r="AM110" i="92"/>
  <c r="AL110" i="92"/>
  <c r="AK110" i="92"/>
  <c r="AJ110" i="92"/>
  <c r="AI110" i="92"/>
  <c r="AO109" i="92"/>
  <c r="AN109" i="92"/>
  <c r="AM109" i="92"/>
  <c r="AL109" i="92"/>
  <c r="AK109" i="92"/>
  <c r="AJ109" i="92"/>
  <c r="AI109" i="92"/>
  <c r="AO108" i="92"/>
  <c r="AN108" i="92"/>
  <c r="AM108" i="92"/>
  <c r="AL108" i="92"/>
  <c r="AK108" i="92"/>
  <c r="AJ108" i="92"/>
  <c r="AI108" i="92"/>
  <c r="AO107" i="92"/>
  <c r="AN107" i="92"/>
  <c r="AM107" i="92"/>
  <c r="AL107" i="92"/>
  <c r="AK107" i="92"/>
  <c r="AJ107" i="92"/>
  <c r="AI107" i="92"/>
  <c r="AO106" i="92"/>
  <c r="AN106" i="92"/>
  <c r="AM106" i="92"/>
  <c r="AL106" i="92"/>
  <c r="AK106" i="92"/>
  <c r="AJ106" i="92"/>
  <c r="AI106" i="92"/>
  <c r="AO105" i="92"/>
  <c r="AN105" i="92"/>
  <c r="AM105" i="92"/>
  <c r="AL105" i="92"/>
  <c r="AK105" i="92"/>
  <c r="AJ105" i="92"/>
  <c r="AI105" i="92"/>
  <c r="AO104" i="92"/>
  <c r="AN104" i="92"/>
  <c r="AM104" i="92"/>
  <c r="AL104" i="92"/>
  <c r="AK104" i="92"/>
  <c r="AJ104" i="92"/>
  <c r="AI104" i="92"/>
  <c r="AO103" i="92"/>
  <c r="AN103" i="92"/>
  <c r="AM103" i="92"/>
  <c r="AL103" i="92"/>
  <c r="AK103" i="92"/>
  <c r="AJ103" i="92"/>
  <c r="AI103" i="92"/>
  <c r="AO102" i="92"/>
  <c r="AN102" i="92"/>
  <c r="AM102" i="92"/>
  <c r="AL102" i="92"/>
  <c r="AK102" i="92"/>
  <c r="AJ102" i="92"/>
  <c r="AI102" i="92"/>
  <c r="AO101" i="92"/>
  <c r="AN101" i="92"/>
  <c r="AM101" i="92"/>
  <c r="AL101" i="92"/>
  <c r="AK101" i="92"/>
  <c r="AJ101" i="92"/>
  <c r="AI101" i="92"/>
  <c r="AO100" i="92"/>
  <c r="AN100" i="92"/>
  <c r="AM100" i="92"/>
  <c r="AL100" i="92"/>
  <c r="AK100" i="92"/>
  <c r="AJ100" i="92"/>
  <c r="AI100" i="92"/>
  <c r="AO99" i="92"/>
  <c r="AN99" i="92"/>
  <c r="AM99" i="92"/>
  <c r="AL99" i="92"/>
  <c r="AK99" i="92"/>
  <c r="AJ99" i="92"/>
  <c r="AI99" i="92"/>
  <c r="AO98" i="92"/>
  <c r="AN98" i="92"/>
  <c r="AM98" i="92"/>
  <c r="AL98" i="92"/>
  <c r="AK98" i="92"/>
  <c r="AJ98" i="92"/>
  <c r="AI98" i="92"/>
  <c r="AO97" i="92"/>
  <c r="AN97" i="92"/>
  <c r="AM97" i="92"/>
  <c r="AL97" i="92"/>
  <c r="AK97" i="92"/>
  <c r="AJ97" i="92"/>
  <c r="AI97" i="92"/>
  <c r="AO96" i="92"/>
  <c r="AN96" i="92"/>
  <c r="AM96" i="92"/>
  <c r="AL96" i="92"/>
  <c r="AK96" i="92"/>
  <c r="AJ96" i="92"/>
  <c r="AI96" i="92"/>
  <c r="AO95" i="92"/>
  <c r="AN95" i="92"/>
  <c r="AM95" i="92"/>
  <c r="AL95" i="92"/>
  <c r="AK95" i="92"/>
  <c r="AJ95" i="92"/>
  <c r="AI95" i="92"/>
  <c r="AO94" i="92"/>
  <c r="AN94" i="92"/>
  <c r="AM94" i="92"/>
  <c r="AL94" i="92"/>
  <c r="AK94" i="92"/>
  <c r="AJ94" i="92"/>
  <c r="AI94" i="92"/>
  <c r="AO93" i="92"/>
  <c r="AN93" i="92"/>
  <c r="AM93" i="92"/>
  <c r="AL93" i="92"/>
  <c r="AK93" i="92"/>
  <c r="AJ93" i="92"/>
  <c r="AI93" i="92"/>
  <c r="AO92" i="92"/>
  <c r="AN92" i="92"/>
  <c r="AM92" i="92"/>
  <c r="AL92" i="92"/>
  <c r="AK92" i="92"/>
  <c r="AJ92" i="92"/>
  <c r="AI92" i="92"/>
  <c r="AO91" i="92"/>
  <c r="AN91" i="92"/>
  <c r="AM91" i="92"/>
  <c r="AL91" i="92"/>
  <c r="AK91" i="92"/>
  <c r="AJ91" i="92"/>
  <c r="AI91" i="92"/>
  <c r="AO90" i="92"/>
  <c r="AN90" i="92"/>
  <c r="AM90" i="92"/>
  <c r="AL90" i="92"/>
  <c r="AK90" i="92"/>
  <c r="AJ90" i="92"/>
  <c r="AI90" i="92"/>
  <c r="AO89" i="92"/>
  <c r="AN89" i="92"/>
  <c r="AM89" i="92"/>
  <c r="AL89" i="92"/>
  <c r="AK89" i="92"/>
  <c r="AJ89" i="92"/>
  <c r="AI89" i="92"/>
  <c r="AO88" i="92"/>
  <c r="AN88" i="92"/>
  <c r="AM88" i="92"/>
  <c r="AL88" i="92"/>
  <c r="AK88" i="92"/>
  <c r="AJ88" i="92"/>
  <c r="AI88" i="92"/>
  <c r="AO87" i="92"/>
  <c r="AN87" i="92"/>
  <c r="AM87" i="92"/>
  <c r="AL87" i="92"/>
  <c r="AK87" i="92"/>
  <c r="AJ87" i="92"/>
  <c r="AI87" i="92"/>
  <c r="AO86" i="92"/>
  <c r="AN86" i="92"/>
  <c r="AM86" i="92"/>
  <c r="AL86" i="92"/>
  <c r="AK86" i="92"/>
  <c r="AJ86" i="92"/>
  <c r="AI86" i="92"/>
  <c r="AO85" i="92"/>
  <c r="AN85" i="92"/>
  <c r="AM85" i="92"/>
  <c r="AL85" i="92"/>
  <c r="AK85" i="92"/>
  <c r="AJ85" i="92"/>
  <c r="AI85" i="92"/>
  <c r="AO84" i="92"/>
  <c r="AN84" i="92"/>
  <c r="AM84" i="92"/>
  <c r="AL84" i="92"/>
  <c r="AK84" i="92"/>
  <c r="AJ84" i="92"/>
  <c r="AI84" i="92"/>
  <c r="AO83" i="92"/>
  <c r="AN83" i="92"/>
  <c r="AM83" i="92"/>
  <c r="AL83" i="92"/>
  <c r="AK83" i="92"/>
  <c r="AJ83" i="92"/>
  <c r="AI83" i="92"/>
  <c r="AO82" i="92"/>
  <c r="AN82" i="92"/>
  <c r="AM82" i="92"/>
  <c r="AL82" i="92"/>
  <c r="AK82" i="92"/>
  <c r="AJ82" i="92"/>
  <c r="AI82" i="92"/>
  <c r="AO81" i="92"/>
  <c r="AN81" i="92"/>
  <c r="AM81" i="92"/>
  <c r="AL81" i="92"/>
  <c r="AK81" i="92"/>
  <c r="AJ81" i="92"/>
  <c r="AI81" i="92"/>
  <c r="AO80" i="92"/>
  <c r="AN80" i="92"/>
  <c r="AM80" i="92"/>
  <c r="AL80" i="92"/>
  <c r="AK80" i="92"/>
  <c r="AJ80" i="92"/>
  <c r="AI80" i="92"/>
  <c r="AO79" i="92"/>
  <c r="AN79" i="92"/>
  <c r="AM79" i="92"/>
  <c r="AL79" i="92"/>
  <c r="AK79" i="92"/>
  <c r="AJ79" i="92"/>
  <c r="AI79" i="92"/>
  <c r="AO78" i="92"/>
  <c r="AN78" i="92"/>
  <c r="AM78" i="92"/>
  <c r="AL78" i="92"/>
  <c r="AK78" i="92"/>
  <c r="AJ78" i="92"/>
  <c r="AI78" i="92"/>
  <c r="AO77" i="92"/>
  <c r="AN77" i="92"/>
  <c r="AM77" i="92"/>
  <c r="AL77" i="92"/>
  <c r="AK77" i="92"/>
  <c r="AJ77" i="92"/>
  <c r="AI77" i="92"/>
  <c r="AO76" i="92"/>
  <c r="AN76" i="92"/>
  <c r="AM76" i="92"/>
  <c r="AL76" i="92"/>
  <c r="AK76" i="92"/>
  <c r="AJ76" i="92"/>
  <c r="AI76" i="92"/>
  <c r="AO75" i="92"/>
  <c r="AN75" i="92"/>
  <c r="AM75" i="92"/>
  <c r="AL75" i="92"/>
  <c r="AK75" i="92"/>
  <c r="AJ75" i="92"/>
  <c r="AI75" i="92"/>
  <c r="AO74" i="92"/>
  <c r="AN74" i="92"/>
  <c r="AM74" i="92"/>
  <c r="AL74" i="92"/>
  <c r="AK74" i="92"/>
  <c r="AJ74" i="92"/>
  <c r="AI74" i="92"/>
  <c r="AO73" i="92"/>
  <c r="AN73" i="92"/>
  <c r="AM73" i="92"/>
  <c r="AL73" i="92"/>
  <c r="AK73" i="92"/>
  <c r="AJ73" i="92"/>
  <c r="AI73" i="92"/>
  <c r="AO72" i="92"/>
  <c r="AN72" i="92"/>
  <c r="AM72" i="92"/>
  <c r="AL72" i="92"/>
  <c r="AK72" i="92"/>
  <c r="AJ72" i="92"/>
  <c r="AI72" i="92"/>
  <c r="AO71" i="92"/>
  <c r="AN71" i="92"/>
  <c r="AM71" i="92"/>
  <c r="AL71" i="92"/>
  <c r="AK71" i="92"/>
  <c r="AJ71" i="92"/>
  <c r="AI71" i="92"/>
  <c r="AO70" i="92"/>
  <c r="AN70" i="92"/>
  <c r="AM70" i="92"/>
  <c r="AL70" i="92"/>
  <c r="AK70" i="92"/>
  <c r="AJ70" i="92"/>
  <c r="AI70" i="92"/>
  <c r="AO69" i="92"/>
  <c r="AN69" i="92"/>
  <c r="AM69" i="92"/>
  <c r="AL69" i="92"/>
  <c r="AK69" i="92"/>
  <c r="AJ69" i="92"/>
  <c r="AI69" i="92"/>
  <c r="AO68" i="92"/>
  <c r="AN68" i="92"/>
  <c r="AM68" i="92"/>
  <c r="AL68" i="92"/>
  <c r="AK68" i="92"/>
  <c r="AJ68" i="92"/>
  <c r="AI68" i="92"/>
  <c r="AO67" i="92"/>
  <c r="AN67" i="92"/>
  <c r="AM67" i="92"/>
  <c r="AL67" i="92"/>
  <c r="AK67" i="92"/>
  <c r="AJ67" i="92"/>
  <c r="AI67" i="92"/>
  <c r="AO66" i="92"/>
  <c r="AN66" i="92"/>
  <c r="AM66" i="92"/>
  <c r="AL66" i="92"/>
  <c r="AK66" i="92"/>
  <c r="AJ66" i="92"/>
  <c r="AI66" i="92"/>
  <c r="AO65" i="92"/>
  <c r="AN65" i="92"/>
  <c r="AM65" i="92"/>
  <c r="AL65" i="92"/>
  <c r="AK65" i="92"/>
  <c r="AJ65" i="92"/>
  <c r="AI65" i="92"/>
  <c r="AO64" i="92"/>
  <c r="AN64" i="92"/>
  <c r="AM64" i="92"/>
  <c r="AL64" i="92"/>
  <c r="AK64" i="92"/>
  <c r="AJ64" i="92"/>
  <c r="AI64" i="92"/>
  <c r="AO63" i="92"/>
  <c r="AN63" i="92"/>
  <c r="AM63" i="92"/>
  <c r="AL63" i="92"/>
  <c r="AK63" i="92"/>
  <c r="AJ63" i="92"/>
  <c r="AI63" i="92"/>
  <c r="AO62" i="92"/>
  <c r="AN62" i="92"/>
  <c r="AM62" i="92"/>
  <c r="AL62" i="92"/>
  <c r="AK62" i="92"/>
  <c r="AJ62" i="92"/>
  <c r="AI62" i="92"/>
  <c r="AO61" i="92"/>
  <c r="AN61" i="92"/>
  <c r="AM61" i="92"/>
  <c r="AL61" i="92"/>
  <c r="AK61" i="92"/>
  <c r="AJ61" i="92"/>
  <c r="AI61" i="92"/>
  <c r="AO60" i="92"/>
  <c r="AN60" i="92"/>
  <c r="AM60" i="92"/>
  <c r="AL60" i="92"/>
  <c r="AK60" i="92"/>
  <c r="AJ60" i="92"/>
  <c r="AI60" i="92"/>
  <c r="AO59" i="92"/>
  <c r="AN59" i="92"/>
  <c r="AM59" i="92"/>
  <c r="AL59" i="92"/>
  <c r="AK59" i="92"/>
  <c r="AJ59" i="92"/>
  <c r="AI59" i="92"/>
  <c r="AO58" i="92"/>
  <c r="AN58" i="92"/>
  <c r="AM58" i="92"/>
  <c r="AL58" i="92"/>
  <c r="AK58" i="92"/>
  <c r="AJ58" i="92"/>
  <c r="AI58" i="92"/>
  <c r="AO57" i="92"/>
  <c r="AN57" i="92"/>
  <c r="AM57" i="92"/>
  <c r="AL57" i="92"/>
  <c r="AK57" i="92"/>
  <c r="AJ57" i="92"/>
  <c r="AI57" i="92"/>
  <c r="AO56" i="92"/>
  <c r="AN56" i="92"/>
  <c r="AM56" i="92"/>
  <c r="AL56" i="92"/>
  <c r="AK56" i="92"/>
  <c r="AJ56" i="92"/>
  <c r="AI56" i="92"/>
  <c r="AO55" i="92"/>
  <c r="AN55" i="92"/>
  <c r="AM55" i="92"/>
  <c r="AL55" i="92"/>
  <c r="AK55" i="92"/>
  <c r="AJ55" i="92"/>
  <c r="AI55" i="92"/>
  <c r="AO54" i="92"/>
  <c r="AN54" i="92"/>
  <c r="AM54" i="92"/>
  <c r="AL54" i="92"/>
  <c r="AK54" i="92"/>
  <c r="AJ54" i="92"/>
  <c r="AI54" i="92"/>
  <c r="AO53" i="92"/>
  <c r="AN53" i="92"/>
  <c r="AM53" i="92"/>
  <c r="AL53" i="92"/>
  <c r="AK53" i="92"/>
  <c r="AJ53" i="92"/>
  <c r="AI53" i="92"/>
  <c r="AO52" i="92"/>
  <c r="AN52" i="92"/>
  <c r="AM52" i="92"/>
  <c r="AL52" i="92"/>
  <c r="AK52" i="92"/>
  <c r="AJ52" i="92"/>
  <c r="AI52" i="92"/>
  <c r="AO51" i="92"/>
  <c r="AN51" i="92"/>
  <c r="AM51" i="92"/>
  <c r="AL51" i="92"/>
  <c r="AK51" i="92"/>
  <c r="AJ51" i="92"/>
  <c r="AI51" i="92"/>
  <c r="AO50" i="92"/>
  <c r="AN50" i="92"/>
  <c r="AM50" i="92"/>
  <c r="AL50" i="92"/>
  <c r="AK50" i="92"/>
  <c r="AJ50" i="92"/>
  <c r="AI50" i="92"/>
  <c r="AO49" i="92"/>
  <c r="AN49" i="92"/>
  <c r="AM49" i="92"/>
  <c r="AL49" i="92"/>
  <c r="AK49" i="92"/>
  <c r="AJ49" i="92"/>
  <c r="AI49" i="92"/>
  <c r="AO48" i="92"/>
  <c r="AN48" i="92"/>
  <c r="AM48" i="92"/>
  <c r="AL48" i="92"/>
  <c r="AK48" i="92"/>
  <c r="AJ48" i="92"/>
  <c r="AI48" i="92"/>
  <c r="AO47" i="92"/>
  <c r="AN47" i="92"/>
  <c r="AM47" i="92"/>
  <c r="AL47" i="92"/>
  <c r="AK47" i="92"/>
  <c r="AJ47" i="92"/>
  <c r="AI47" i="92"/>
  <c r="AO46" i="92"/>
  <c r="AN46" i="92"/>
  <c r="AM46" i="92"/>
  <c r="AL46" i="92"/>
  <c r="AK46" i="92"/>
  <c r="AJ46" i="92"/>
  <c r="AI46" i="92"/>
  <c r="AO45" i="92"/>
  <c r="AN45" i="92"/>
  <c r="AM45" i="92"/>
  <c r="AL45" i="92"/>
  <c r="AK45" i="92"/>
  <c r="AJ45" i="92"/>
  <c r="AI45" i="92"/>
  <c r="AO44" i="92"/>
  <c r="AN44" i="92"/>
  <c r="AM44" i="92"/>
  <c r="AL44" i="92"/>
  <c r="AK44" i="92"/>
  <c r="AJ44" i="92"/>
  <c r="AI44" i="92"/>
  <c r="AO43" i="92"/>
  <c r="AN43" i="92"/>
  <c r="AM43" i="92"/>
  <c r="AL43" i="92"/>
  <c r="AK43" i="92"/>
  <c r="AJ43" i="92"/>
  <c r="AI43" i="92"/>
  <c r="AO42" i="92"/>
  <c r="AN42" i="92"/>
  <c r="AM42" i="92"/>
  <c r="AL42" i="92"/>
  <c r="AK42" i="92"/>
  <c r="AJ42" i="92"/>
  <c r="AI42" i="92"/>
  <c r="AO41" i="92"/>
  <c r="AN41" i="92"/>
  <c r="AM41" i="92"/>
  <c r="AL41" i="92"/>
  <c r="AK41" i="92"/>
  <c r="AJ41" i="92"/>
  <c r="AI41" i="92"/>
  <c r="AO40" i="92"/>
  <c r="AN40" i="92"/>
  <c r="AM40" i="92"/>
  <c r="AL40" i="92"/>
  <c r="AK40" i="92"/>
  <c r="AJ40" i="92"/>
  <c r="AI40" i="92"/>
  <c r="AO39" i="92"/>
  <c r="AN39" i="92"/>
  <c r="AM39" i="92"/>
  <c r="AL39" i="92"/>
  <c r="AK39" i="92"/>
  <c r="AJ39" i="92"/>
  <c r="AI39" i="92"/>
  <c r="AO38" i="92"/>
  <c r="AN38" i="92"/>
  <c r="AM38" i="92"/>
  <c r="AL38" i="92"/>
  <c r="AK38" i="92"/>
  <c r="AJ38" i="92"/>
  <c r="AI38" i="92"/>
  <c r="AO37" i="92"/>
  <c r="AN37" i="92"/>
  <c r="AM37" i="92"/>
  <c r="AL37" i="92"/>
  <c r="AK37" i="92"/>
  <c r="AJ37" i="92"/>
  <c r="AI37" i="92"/>
  <c r="AO36" i="92"/>
  <c r="AN36" i="92"/>
  <c r="AM36" i="92"/>
  <c r="AL36" i="92"/>
  <c r="AK36" i="92"/>
  <c r="AJ36" i="92"/>
  <c r="AI36" i="92"/>
  <c r="AO35" i="92"/>
  <c r="AN35" i="92"/>
  <c r="AM35" i="92"/>
  <c r="AL35" i="92"/>
  <c r="AK35" i="92"/>
  <c r="AJ35" i="92"/>
  <c r="AI35" i="92"/>
  <c r="AO34" i="92"/>
  <c r="AN34" i="92"/>
  <c r="AM34" i="92"/>
  <c r="AL34" i="92"/>
  <c r="AK34" i="92"/>
  <c r="AJ34" i="92"/>
  <c r="AI34" i="92"/>
  <c r="AO33" i="92"/>
  <c r="AN33" i="92"/>
  <c r="AM33" i="92"/>
  <c r="AL33" i="92"/>
  <c r="AK33" i="92"/>
  <c r="AJ33" i="92"/>
  <c r="AI33" i="92"/>
  <c r="AO32" i="92"/>
  <c r="AN32" i="92"/>
  <c r="AM32" i="92"/>
  <c r="AL32" i="92"/>
  <c r="AK32" i="92"/>
  <c r="AJ32" i="92"/>
  <c r="AI32" i="92"/>
  <c r="AO31" i="92"/>
  <c r="AN31" i="92"/>
  <c r="AM31" i="92"/>
  <c r="AL31" i="92"/>
  <c r="AK31" i="92"/>
  <c r="AJ31" i="92"/>
  <c r="AI31" i="92"/>
  <c r="AO30" i="92"/>
  <c r="AN30" i="92"/>
  <c r="AM30" i="92"/>
  <c r="AL30" i="92"/>
  <c r="AK30" i="92"/>
  <c r="AJ30" i="92"/>
  <c r="AI30" i="92"/>
  <c r="AO29" i="92"/>
  <c r="AN29" i="92"/>
  <c r="AM29" i="92"/>
  <c r="AL29" i="92"/>
  <c r="AK29" i="92"/>
  <c r="AJ29" i="92"/>
  <c r="AI29" i="92"/>
  <c r="AO28" i="92"/>
  <c r="AN28" i="92"/>
  <c r="AM28" i="92"/>
  <c r="AL28" i="92"/>
  <c r="AK28" i="92"/>
  <c r="AJ28" i="92"/>
  <c r="AI28" i="92"/>
  <c r="AO27" i="92"/>
  <c r="AN27" i="92"/>
  <c r="AM27" i="92"/>
  <c r="AL27" i="92"/>
  <c r="AK27" i="92"/>
  <c r="AJ27" i="92"/>
  <c r="AI27" i="92"/>
  <c r="AO26" i="92"/>
  <c r="AN26" i="92"/>
  <c r="AM26" i="92"/>
  <c r="AL26" i="92"/>
  <c r="AK26" i="92"/>
  <c r="AJ26" i="92"/>
  <c r="AI26" i="92"/>
  <c r="AO25" i="92"/>
  <c r="AN25" i="92"/>
  <c r="AM25" i="92"/>
  <c r="AL25" i="92"/>
  <c r="AK25" i="92"/>
  <c r="AJ25" i="92"/>
  <c r="AI25" i="92"/>
  <c r="AO24" i="92"/>
  <c r="AN24" i="92"/>
  <c r="AM24" i="92"/>
  <c r="AL24" i="92"/>
  <c r="AK24" i="92"/>
  <c r="AJ24" i="92"/>
  <c r="AI24" i="92"/>
  <c r="AO23" i="92"/>
  <c r="AN23" i="92"/>
  <c r="AM23" i="92"/>
  <c r="AL23" i="92"/>
  <c r="AK23" i="92"/>
  <c r="AJ23" i="92"/>
  <c r="AI23" i="92"/>
  <c r="AO22" i="92"/>
  <c r="AN22" i="92"/>
  <c r="AM22" i="92"/>
  <c r="AL22" i="92"/>
  <c r="AK22" i="92"/>
  <c r="AJ22" i="92"/>
  <c r="AI22" i="92"/>
  <c r="AO21" i="92"/>
  <c r="AN21" i="92"/>
  <c r="AM21" i="92"/>
  <c r="AL21" i="92"/>
  <c r="AK21" i="92"/>
  <c r="AJ21" i="92"/>
  <c r="AI21" i="92"/>
  <c r="AO20" i="92"/>
  <c r="AN20" i="92"/>
  <c r="AM20" i="92"/>
  <c r="AL20" i="92"/>
  <c r="AK20" i="92"/>
  <c r="AJ20" i="92"/>
  <c r="AI20" i="92"/>
  <c r="AO19" i="92"/>
  <c r="AN19" i="92"/>
  <c r="AM19" i="92"/>
  <c r="AL19" i="92"/>
  <c r="AK19" i="92"/>
  <c r="AJ19" i="92"/>
  <c r="AI19" i="92"/>
  <c r="AO18" i="92"/>
  <c r="AN18" i="92"/>
  <c r="AM18" i="92"/>
  <c r="AL18" i="92"/>
  <c r="AK18" i="92"/>
  <c r="AJ18" i="92"/>
  <c r="AI18" i="92"/>
  <c r="AO17" i="92"/>
  <c r="AN17" i="92"/>
  <c r="AM17" i="92"/>
  <c r="AL17" i="92"/>
  <c r="AK17" i="92"/>
  <c r="AJ17" i="92"/>
  <c r="AI17" i="92"/>
  <c r="AO16" i="92"/>
  <c r="AN16" i="92"/>
  <c r="AM16" i="92"/>
  <c r="AL16" i="92"/>
  <c r="AK16" i="92"/>
  <c r="AJ16" i="92"/>
  <c r="AI16" i="92"/>
  <c r="AO15" i="92"/>
  <c r="AN15" i="92"/>
  <c r="AM15" i="92"/>
  <c r="AL15" i="92"/>
  <c r="AK15" i="92"/>
  <c r="AJ15" i="92"/>
  <c r="AI15" i="92"/>
  <c r="AO14" i="92"/>
  <c r="AN14" i="92"/>
  <c r="AM14" i="92"/>
  <c r="AL14" i="92"/>
  <c r="AK14" i="92"/>
  <c r="AJ14" i="92"/>
  <c r="AI14" i="92"/>
  <c r="AO13" i="92"/>
  <c r="AN13" i="92"/>
  <c r="AM13" i="92"/>
  <c r="AL13" i="92"/>
  <c r="AK13" i="92"/>
  <c r="AJ13" i="92"/>
  <c r="AI13" i="92"/>
  <c r="AO12" i="92"/>
  <c r="AN12" i="92"/>
  <c r="AM12" i="92"/>
  <c r="AL12" i="92"/>
  <c r="AK12" i="92"/>
  <c r="AJ12" i="92"/>
  <c r="AI12" i="92"/>
  <c r="AO11" i="92"/>
  <c r="AN11" i="92"/>
  <c r="AM11" i="92"/>
  <c r="AL11" i="92"/>
  <c r="AK11" i="92"/>
  <c r="AJ11" i="92"/>
  <c r="AI11" i="92"/>
  <c r="AO10" i="92"/>
  <c r="AN10" i="92"/>
  <c r="AM10" i="92"/>
  <c r="AL10" i="92"/>
  <c r="AK10" i="92"/>
  <c r="AJ10" i="92"/>
  <c r="AI10" i="92"/>
  <c r="AO9" i="92"/>
  <c r="AN9" i="92"/>
  <c r="AM9" i="92"/>
  <c r="AL9" i="92"/>
  <c r="AK9" i="92"/>
  <c r="AJ9" i="92"/>
  <c r="AI9" i="92"/>
  <c r="AO8" i="92"/>
  <c r="AN8" i="92"/>
  <c r="AM8" i="92"/>
  <c r="AL8" i="92"/>
  <c r="AK8" i="92"/>
  <c r="AJ8" i="92"/>
  <c r="AI8" i="92"/>
  <c r="AO7" i="92"/>
  <c r="AN7" i="92"/>
  <c r="AM7" i="92"/>
  <c r="AL7" i="92"/>
  <c r="AK7" i="92"/>
  <c r="AJ7" i="92"/>
  <c r="AI7" i="92"/>
  <c r="AO6" i="92"/>
  <c r="AN6" i="92"/>
  <c r="AM6" i="92"/>
  <c r="AL6" i="92"/>
  <c r="AK6" i="92"/>
  <c r="AJ6" i="92"/>
  <c r="AI6" i="92"/>
  <c r="AO5" i="92"/>
  <c r="AN5" i="92"/>
  <c r="AM5" i="92"/>
  <c r="AL5" i="92"/>
  <c r="AK5" i="92"/>
  <c r="AJ5" i="92"/>
  <c r="AI5" i="92"/>
  <c r="AO4" i="92"/>
  <c r="AN4" i="92"/>
  <c r="AM4" i="92"/>
  <c r="AL4" i="92"/>
  <c r="AK4" i="92"/>
  <c r="AJ4" i="92"/>
  <c r="AI4" i="92"/>
  <c r="AO3" i="92"/>
  <c r="AN3" i="92"/>
  <c r="AM3" i="92"/>
  <c r="AL3" i="92"/>
  <c r="AK3" i="92"/>
  <c r="AJ3" i="92"/>
  <c r="AI3" i="92"/>
  <c r="AO2" i="92"/>
  <c r="AN2" i="92"/>
  <c r="AM2" i="92"/>
  <c r="AL2" i="92"/>
  <c r="AK2" i="92"/>
  <c r="AJ2" i="92"/>
  <c r="AI2" i="92"/>
  <c r="AO168" i="91"/>
  <c r="AN168" i="91"/>
  <c r="AM168" i="91"/>
  <c r="AL168" i="91"/>
  <c r="AK168" i="91"/>
  <c r="AJ168" i="91"/>
  <c r="AI168" i="91"/>
  <c r="AO167" i="91"/>
  <c r="AN167" i="91"/>
  <c r="AM167" i="91"/>
  <c r="AL167" i="91"/>
  <c r="AK167" i="91"/>
  <c r="AJ167" i="91"/>
  <c r="AI167" i="91"/>
  <c r="AO166" i="91"/>
  <c r="AN166" i="91"/>
  <c r="AM166" i="91"/>
  <c r="AL166" i="91"/>
  <c r="AK166" i="91"/>
  <c r="AJ166" i="91"/>
  <c r="AI166" i="91"/>
  <c r="AO165" i="91"/>
  <c r="AN165" i="91"/>
  <c r="AM165" i="91"/>
  <c r="AL165" i="91"/>
  <c r="AK165" i="91"/>
  <c r="AJ165" i="91"/>
  <c r="AI165" i="91"/>
  <c r="AO164" i="91"/>
  <c r="AN164" i="91"/>
  <c r="AM164" i="91"/>
  <c r="AL164" i="91"/>
  <c r="AK164" i="91"/>
  <c r="AJ164" i="91"/>
  <c r="AI164" i="91"/>
  <c r="AO163" i="91"/>
  <c r="AN163" i="91"/>
  <c r="AM163" i="91"/>
  <c r="AL163" i="91"/>
  <c r="AK163" i="91"/>
  <c r="AJ163" i="91"/>
  <c r="AI163" i="91"/>
  <c r="AO162" i="91"/>
  <c r="AN162" i="91"/>
  <c r="AM162" i="91"/>
  <c r="AL162" i="91"/>
  <c r="AK162" i="91"/>
  <c r="AJ162" i="91"/>
  <c r="AI162" i="91"/>
  <c r="AO161" i="91"/>
  <c r="AN161" i="91"/>
  <c r="AM161" i="91"/>
  <c r="AL161" i="91"/>
  <c r="AK161" i="91"/>
  <c r="AJ161" i="91"/>
  <c r="AI161" i="91"/>
  <c r="AO160" i="91"/>
  <c r="AN160" i="91"/>
  <c r="AM160" i="91"/>
  <c r="AL160" i="91"/>
  <c r="AK160" i="91"/>
  <c r="AJ160" i="91"/>
  <c r="AI160" i="91"/>
  <c r="AO159" i="91"/>
  <c r="AN159" i="91"/>
  <c r="AM159" i="91"/>
  <c r="AL159" i="91"/>
  <c r="AK159" i="91"/>
  <c r="AJ159" i="91"/>
  <c r="AI159" i="91"/>
  <c r="AO158" i="91"/>
  <c r="AN158" i="91"/>
  <c r="AM158" i="91"/>
  <c r="AL158" i="91"/>
  <c r="AK158" i="91"/>
  <c r="AJ158" i="91"/>
  <c r="AI158" i="91"/>
  <c r="AO157" i="91"/>
  <c r="AN157" i="91"/>
  <c r="AM157" i="91"/>
  <c r="AL157" i="91"/>
  <c r="AK157" i="91"/>
  <c r="AJ157" i="91"/>
  <c r="AI157" i="91"/>
  <c r="AO156" i="91"/>
  <c r="AN156" i="91"/>
  <c r="AM156" i="91"/>
  <c r="AL156" i="91"/>
  <c r="AK156" i="91"/>
  <c r="AJ156" i="91"/>
  <c r="AI156" i="91"/>
  <c r="AO155" i="91"/>
  <c r="AN155" i="91"/>
  <c r="AM155" i="91"/>
  <c r="AL155" i="91"/>
  <c r="AK155" i="91"/>
  <c r="AJ155" i="91"/>
  <c r="AI155" i="91"/>
  <c r="AO154" i="91"/>
  <c r="AN154" i="91"/>
  <c r="AM154" i="91"/>
  <c r="AL154" i="91"/>
  <c r="AK154" i="91"/>
  <c r="AJ154" i="91"/>
  <c r="AI154" i="91"/>
  <c r="AO153" i="91"/>
  <c r="AN153" i="91"/>
  <c r="AM153" i="91"/>
  <c r="AL153" i="91"/>
  <c r="AK153" i="91"/>
  <c r="AJ153" i="91"/>
  <c r="AI153" i="91"/>
  <c r="AO152" i="91"/>
  <c r="AN152" i="91"/>
  <c r="AM152" i="91"/>
  <c r="AL152" i="91"/>
  <c r="AK152" i="91"/>
  <c r="AJ152" i="91"/>
  <c r="AI152" i="91"/>
  <c r="AO151" i="91"/>
  <c r="AN151" i="91"/>
  <c r="AM151" i="91"/>
  <c r="AL151" i="91"/>
  <c r="AK151" i="91"/>
  <c r="AJ151" i="91"/>
  <c r="AI151" i="91"/>
  <c r="AO150" i="91"/>
  <c r="AN150" i="91"/>
  <c r="AM150" i="91"/>
  <c r="AL150" i="91"/>
  <c r="AK150" i="91"/>
  <c r="AJ150" i="91"/>
  <c r="AI150" i="91"/>
  <c r="AO149" i="91"/>
  <c r="AN149" i="91"/>
  <c r="AM149" i="91"/>
  <c r="AL149" i="91"/>
  <c r="AK149" i="91"/>
  <c r="AJ149" i="91"/>
  <c r="AI149" i="91"/>
  <c r="AO148" i="91"/>
  <c r="AN148" i="91"/>
  <c r="AM148" i="91"/>
  <c r="AL148" i="91"/>
  <c r="AK148" i="91"/>
  <c r="AJ148" i="91"/>
  <c r="AI148" i="91"/>
  <c r="AO147" i="91"/>
  <c r="AN147" i="91"/>
  <c r="AM147" i="91"/>
  <c r="AL147" i="91"/>
  <c r="AK147" i="91"/>
  <c r="AJ147" i="91"/>
  <c r="AI147" i="91"/>
  <c r="AO146" i="91"/>
  <c r="AN146" i="91"/>
  <c r="AM146" i="91"/>
  <c r="AL146" i="91"/>
  <c r="AK146" i="91"/>
  <c r="AJ146" i="91"/>
  <c r="AI146" i="91"/>
  <c r="AO145" i="91"/>
  <c r="AN145" i="91"/>
  <c r="AM145" i="91"/>
  <c r="AL145" i="91"/>
  <c r="AK145" i="91"/>
  <c r="AJ145" i="91"/>
  <c r="AI145" i="91"/>
  <c r="AO144" i="91"/>
  <c r="AN144" i="91"/>
  <c r="AM144" i="91"/>
  <c r="AL144" i="91"/>
  <c r="AK144" i="91"/>
  <c r="AJ144" i="91"/>
  <c r="AI144" i="91"/>
  <c r="AO143" i="91"/>
  <c r="AN143" i="91"/>
  <c r="AM143" i="91"/>
  <c r="AL143" i="91"/>
  <c r="AK143" i="91"/>
  <c r="AJ143" i="91"/>
  <c r="AI143" i="91"/>
  <c r="AO142" i="91"/>
  <c r="AN142" i="91"/>
  <c r="AM142" i="91"/>
  <c r="AL142" i="91"/>
  <c r="AK142" i="91"/>
  <c r="AJ142" i="91"/>
  <c r="AI142" i="91"/>
  <c r="AO141" i="91"/>
  <c r="AN141" i="91"/>
  <c r="AM141" i="91"/>
  <c r="AL141" i="91"/>
  <c r="AK141" i="91"/>
  <c r="AJ141" i="91"/>
  <c r="AI141" i="91"/>
  <c r="AO140" i="91"/>
  <c r="AN140" i="91"/>
  <c r="AM140" i="91"/>
  <c r="AL140" i="91"/>
  <c r="AK140" i="91"/>
  <c r="AJ140" i="91"/>
  <c r="AI140" i="91"/>
  <c r="AO139" i="91"/>
  <c r="AN139" i="91"/>
  <c r="AM139" i="91"/>
  <c r="AL139" i="91"/>
  <c r="AK139" i="91"/>
  <c r="AJ139" i="91"/>
  <c r="AI139" i="91"/>
  <c r="AO138" i="91"/>
  <c r="AN138" i="91"/>
  <c r="AM138" i="91"/>
  <c r="AL138" i="91"/>
  <c r="AK138" i="91"/>
  <c r="AJ138" i="91"/>
  <c r="AI138" i="91"/>
  <c r="AO137" i="91"/>
  <c r="AN137" i="91"/>
  <c r="AM137" i="91"/>
  <c r="AL137" i="91"/>
  <c r="AK137" i="91"/>
  <c r="AJ137" i="91"/>
  <c r="AI137" i="91"/>
  <c r="AO136" i="91"/>
  <c r="AN136" i="91"/>
  <c r="AM136" i="91"/>
  <c r="AL136" i="91"/>
  <c r="AK136" i="91"/>
  <c r="AJ136" i="91"/>
  <c r="AI136" i="91"/>
  <c r="AO135" i="91"/>
  <c r="AN135" i="91"/>
  <c r="AM135" i="91"/>
  <c r="AL135" i="91"/>
  <c r="AK135" i="91"/>
  <c r="AJ135" i="91"/>
  <c r="AI135" i="91"/>
  <c r="AO134" i="91"/>
  <c r="AN134" i="91"/>
  <c r="AM134" i="91"/>
  <c r="AL134" i="91"/>
  <c r="AK134" i="91"/>
  <c r="AJ134" i="91"/>
  <c r="AI134" i="91"/>
  <c r="AO133" i="91"/>
  <c r="AN133" i="91"/>
  <c r="AM133" i="91"/>
  <c r="AL133" i="91"/>
  <c r="AK133" i="91"/>
  <c r="AJ133" i="91"/>
  <c r="AI133" i="91"/>
  <c r="AO132" i="91"/>
  <c r="AN132" i="91"/>
  <c r="AM132" i="91"/>
  <c r="AL132" i="91"/>
  <c r="AK132" i="91"/>
  <c r="AJ132" i="91"/>
  <c r="AI132" i="91"/>
  <c r="AO131" i="91"/>
  <c r="AN131" i="91"/>
  <c r="AM131" i="91"/>
  <c r="AL131" i="91"/>
  <c r="AK131" i="91"/>
  <c r="AJ131" i="91"/>
  <c r="AI131" i="91"/>
  <c r="AO130" i="91"/>
  <c r="AN130" i="91"/>
  <c r="AM130" i="91"/>
  <c r="AL130" i="91"/>
  <c r="AK130" i="91"/>
  <c r="AJ130" i="91"/>
  <c r="AI130" i="91"/>
  <c r="AO129" i="91"/>
  <c r="AN129" i="91"/>
  <c r="AM129" i="91"/>
  <c r="AL129" i="91"/>
  <c r="AK129" i="91"/>
  <c r="AJ129" i="91"/>
  <c r="AI129" i="91"/>
  <c r="AO128" i="91"/>
  <c r="AN128" i="91"/>
  <c r="AM128" i="91"/>
  <c r="AL128" i="91"/>
  <c r="AK128" i="91"/>
  <c r="AJ128" i="91"/>
  <c r="AI128" i="91"/>
  <c r="AO127" i="91"/>
  <c r="AN127" i="91"/>
  <c r="AM127" i="91"/>
  <c r="AL127" i="91"/>
  <c r="AK127" i="91"/>
  <c r="AJ127" i="91"/>
  <c r="AI127" i="91"/>
  <c r="AO126" i="91"/>
  <c r="AN126" i="91"/>
  <c r="AM126" i="91"/>
  <c r="AL126" i="91"/>
  <c r="AK126" i="91"/>
  <c r="AJ126" i="91"/>
  <c r="AI126" i="91"/>
  <c r="AO125" i="91"/>
  <c r="AN125" i="91"/>
  <c r="AM125" i="91"/>
  <c r="AL125" i="91"/>
  <c r="AK125" i="91"/>
  <c r="AJ125" i="91"/>
  <c r="AI125" i="91"/>
  <c r="AO124" i="91"/>
  <c r="AN124" i="91"/>
  <c r="AM124" i="91"/>
  <c r="AL124" i="91"/>
  <c r="AK124" i="91"/>
  <c r="AJ124" i="91"/>
  <c r="AI124" i="91"/>
  <c r="AO123" i="91"/>
  <c r="AN123" i="91"/>
  <c r="AM123" i="91"/>
  <c r="AL123" i="91"/>
  <c r="AK123" i="91"/>
  <c r="AJ123" i="91"/>
  <c r="AI123" i="91"/>
  <c r="AO122" i="91"/>
  <c r="AN122" i="91"/>
  <c r="AM122" i="91"/>
  <c r="AL122" i="91"/>
  <c r="AK122" i="91"/>
  <c r="AJ122" i="91"/>
  <c r="AI122" i="91"/>
  <c r="AO121" i="91"/>
  <c r="AN121" i="91"/>
  <c r="AM121" i="91"/>
  <c r="AL121" i="91"/>
  <c r="AK121" i="91"/>
  <c r="AJ121" i="91"/>
  <c r="AI121" i="91"/>
  <c r="AO120" i="91"/>
  <c r="AN120" i="91"/>
  <c r="AM120" i="91"/>
  <c r="AL120" i="91"/>
  <c r="AK120" i="91"/>
  <c r="AJ120" i="91"/>
  <c r="AI120" i="91"/>
  <c r="AO119" i="91"/>
  <c r="AN119" i="91"/>
  <c r="AM119" i="91"/>
  <c r="AL119" i="91"/>
  <c r="AK119" i="91"/>
  <c r="AJ119" i="91"/>
  <c r="AI119" i="91"/>
  <c r="AO118" i="91"/>
  <c r="AN118" i="91"/>
  <c r="AM118" i="91"/>
  <c r="AL118" i="91"/>
  <c r="AK118" i="91"/>
  <c r="AJ118" i="91"/>
  <c r="AI118" i="91"/>
  <c r="AO117" i="91"/>
  <c r="AN117" i="91"/>
  <c r="AM117" i="91"/>
  <c r="AL117" i="91"/>
  <c r="AK117" i="91"/>
  <c r="AJ117" i="91"/>
  <c r="AI117" i="91"/>
  <c r="AO116" i="91"/>
  <c r="AN116" i="91"/>
  <c r="AM116" i="91"/>
  <c r="AL116" i="91"/>
  <c r="AK116" i="91"/>
  <c r="AJ116" i="91"/>
  <c r="AI116" i="91"/>
  <c r="AO115" i="91"/>
  <c r="AN115" i="91"/>
  <c r="AM115" i="91"/>
  <c r="AL115" i="91"/>
  <c r="AK115" i="91"/>
  <c r="AJ115" i="91"/>
  <c r="AI115" i="91"/>
  <c r="AO114" i="91"/>
  <c r="AN114" i="91"/>
  <c r="AM114" i="91"/>
  <c r="AL114" i="91"/>
  <c r="AK114" i="91"/>
  <c r="AJ114" i="91"/>
  <c r="AI114" i="91"/>
  <c r="AO113" i="91"/>
  <c r="AN113" i="91"/>
  <c r="AM113" i="91"/>
  <c r="AL113" i="91"/>
  <c r="AK113" i="91"/>
  <c r="AJ113" i="91"/>
  <c r="AI113" i="91"/>
  <c r="AO112" i="91"/>
  <c r="AN112" i="91"/>
  <c r="AM112" i="91"/>
  <c r="AL112" i="91"/>
  <c r="AK112" i="91"/>
  <c r="AJ112" i="91"/>
  <c r="AI112" i="91"/>
  <c r="AO111" i="91"/>
  <c r="AN111" i="91"/>
  <c r="AM111" i="91"/>
  <c r="AL111" i="91"/>
  <c r="AK111" i="91"/>
  <c r="AJ111" i="91"/>
  <c r="AI111" i="91"/>
  <c r="AO110" i="91"/>
  <c r="AN110" i="91"/>
  <c r="AM110" i="91"/>
  <c r="AL110" i="91"/>
  <c r="AK110" i="91"/>
  <c r="AJ110" i="91"/>
  <c r="AI110" i="91"/>
  <c r="AO109" i="91"/>
  <c r="AN109" i="91"/>
  <c r="AM109" i="91"/>
  <c r="AL109" i="91"/>
  <c r="AK109" i="91"/>
  <c r="AJ109" i="91"/>
  <c r="AI109" i="91"/>
  <c r="AO108" i="91"/>
  <c r="AN108" i="91"/>
  <c r="AM108" i="91"/>
  <c r="AL108" i="91"/>
  <c r="AK108" i="91"/>
  <c r="AJ108" i="91"/>
  <c r="AI108" i="91"/>
  <c r="AO107" i="91"/>
  <c r="AN107" i="91"/>
  <c r="AM107" i="91"/>
  <c r="AL107" i="91"/>
  <c r="AK107" i="91"/>
  <c r="AJ107" i="91"/>
  <c r="AI107" i="91"/>
  <c r="AO106" i="91"/>
  <c r="AN106" i="91"/>
  <c r="AM106" i="91"/>
  <c r="AL106" i="91"/>
  <c r="AK106" i="91"/>
  <c r="AJ106" i="91"/>
  <c r="AI106" i="91"/>
  <c r="AO105" i="91"/>
  <c r="AN105" i="91"/>
  <c r="AM105" i="91"/>
  <c r="AL105" i="91"/>
  <c r="AK105" i="91"/>
  <c r="AJ105" i="91"/>
  <c r="AI105" i="91"/>
  <c r="AO104" i="91"/>
  <c r="AN104" i="91"/>
  <c r="AM104" i="91"/>
  <c r="AL104" i="91"/>
  <c r="AK104" i="91"/>
  <c r="AJ104" i="91"/>
  <c r="AI104" i="91"/>
  <c r="AO103" i="91"/>
  <c r="AN103" i="91"/>
  <c r="AM103" i="91"/>
  <c r="AL103" i="91"/>
  <c r="AK103" i="91"/>
  <c r="AJ103" i="91"/>
  <c r="AI103" i="91"/>
  <c r="AO102" i="91"/>
  <c r="AN102" i="91"/>
  <c r="AM102" i="91"/>
  <c r="AL102" i="91"/>
  <c r="AK102" i="91"/>
  <c r="AJ102" i="91"/>
  <c r="AI102" i="91"/>
  <c r="AO101" i="91"/>
  <c r="AN101" i="91"/>
  <c r="AM101" i="91"/>
  <c r="AL101" i="91"/>
  <c r="AK101" i="91"/>
  <c r="AJ101" i="91"/>
  <c r="AI101" i="91"/>
  <c r="AO100" i="91"/>
  <c r="AN100" i="91"/>
  <c r="AM100" i="91"/>
  <c r="AL100" i="91"/>
  <c r="AK100" i="91"/>
  <c r="AJ100" i="91"/>
  <c r="AI100" i="91"/>
  <c r="AO99" i="91"/>
  <c r="AN99" i="91"/>
  <c r="AM99" i="91"/>
  <c r="AL99" i="91"/>
  <c r="AK99" i="91"/>
  <c r="AJ99" i="91"/>
  <c r="AI99" i="91"/>
  <c r="AO98" i="91"/>
  <c r="AN98" i="91"/>
  <c r="AM98" i="91"/>
  <c r="AL98" i="91"/>
  <c r="AK98" i="91"/>
  <c r="AJ98" i="91"/>
  <c r="AI98" i="91"/>
  <c r="AO97" i="91"/>
  <c r="AN97" i="91"/>
  <c r="AM97" i="91"/>
  <c r="AL97" i="91"/>
  <c r="AK97" i="91"/>
  <c r="AJ97" i="91"/>
  <c r="AI97" i="91"/>
  <c r="AO96" i="91"/>
  <c r="AN96" i="91"/>
  <c r="AM96" i="91"/>
  <c r="AL96" i="91"/>
  <c r="AK96" i="91"/>
  <c r="AJ96" i="91"/>
  <c r="AI96" i="91"/>
  <c r="AO95" i="91"/>
  <c r="AN95" i="91"/>
  <c r="AM95" i="91"/>
  <c r="AL95" i="91"/>
  <c r="AK95" i="91"/>
  <c r="AJ95" i="91"/>
  <c r="AI95" i="91"/>
  <c r="AO94" i="91"/>
  <c r="AN94" i="91"/>
  <c r="AM94" i="91"/>
  <c r="AL94" i="91"/>
  <c r="AK94" i="91"/>
  <c r="AJ94" i="91"/>
  <c r="AI94" i="91"/>
  <c r="AO93" i="91"/>
  <c r="AN93" i="91"/>
  <c r="AM93" i="91"/>
  <c r="AL93" i="91"/>
  <c r="AK93" i="91"/>
  <c r="AJ93" i="91"/>
  <c r="AI93" i="91"/>
  <c r="AO92" i="91"/>
  <c r="AN92" i="91"/>
  <c r="AM92" i="91"/>
  <c r="AL92" i="91"/>
  <c r="AK92" i="91"/>
  <c r="AJ92" i="91"/>
  <c r="AI92" i="91"/>
  <c r="AO91" i="91"/>
  <c r="AN91" i="91"/>
  <c r="AM91" i="91"/>
  <c r="AL91" i="91"/>
  <c r="AK91" i="91"/>
  <c r="AJ91" i="91"/>
  <c r="AI91" i="91"/>
  <c r="AO90" i="91"/>
  <c r="AN90" i="91"/>
  <c r="AM90" i="91"/>
  <c r="AL90" i="91"/>
  <c r="AK90" i="91"/>
  <c r="AJ90" i="91"/>
  <c r="AI90" i="91"/>
  <c r="AO89" i="91"/>
  <c r="AN89" i="91"/>
  <c r="AM89" i="91"/>
  <c r="AL89" i="91"/>
  <c r="AK89" i="91"/>
  <c r="AJ89" i="91"/>
  <c r="AI89" i="91"/>
  <c r="AO88" i="91"/>
  <c r="AN88" i="91"/>
  <c r="AM88" i="91"/>
  <c r="AL88" i="91"/>
  <c r="AK88" i="91"/>
  <c r="AJ88" i="91"/>
  <c r="AI88" i="91"/>
  <c r="AO87" i="91"/>
  <c r="AN87" i="91"/>
  <c r="AM87" i="91"/>
  <c r="AL87" i="91"/>
  <c r="AK87" i="91"/>
  <c r="AJ87" i="91"/>
  <c r="AI87" i="91"/>
  <c r="AO86" i="91"/>
  <c r="AN86" i="91"/>
  <c r="AM86" i="91"/>
  <c r="AL86" i="91"/>
  <c r="AK86" i="91"/>
  <c r="AJ86" i="91"/>
  <c r="AI86" i="91"/>
  <c r="AO85" i="91"/>
  <c r="AN85" i="91"/>
  <c r="AM85" i="91"/>
  <c r="AL85" i="91"/>
  <c r="AK85" i="91"/>
  <c r="AJ85" i="91"/>
  <c r="AI85" i="91"/>
  <c r="AO84" i="91"/>
  <c r="AN84" i="91"/>
  <c r="AM84" i="91"/>
  <c r="AL84" i="91"/>
  <c r="AK84" i="91"/>
  <c r="AJ84" i="91"/>
  <c r="AI84" i="91"/>
  <c r="AO83" i="91"/>
  <c r="AN83" i="91"/>
  <c r="AM83" i="91"/>
  <c r="AL83" i="91"/>
  <c r="AK83" i="91"/>
  <c r="AJ83" i="91"/>
  <c r="AI83" i="91"/>
  <c r="AO82" i="91"/>
  <c r="AN82" i="91"/>
  <c r="AM82" i="91"/>
  <c r="AL82" i="91"/>
  <c r="AK82" i="91"/>
  <c r="AJ82" i="91"/>
  <c r="AI82" i="91"/>
  <c r="AO81" i="91"/>
  <c r="AN81" i="91"/>
  <c r="AM81" i="91"/>
  <c r="AL81" i="91"/>
  <c r="AK81" i="91"/>
  <c r="AJ81" i="91"/>
  <c r="AI81" i="91"/>
  <c r="AO80" i="91"/>
  <c r="AN80" i="91"/>
  <c r="AM80" i="91"/>
  <c r="AL80" i="91"/>
  <c r="AK80" i="91"/>
  <c r="AJ80" i="91"/>
  <c r="AI80" i="91"/>
  <c r="AO79" i="91"/>
  <c r="AN79" i="91"/>
  <c r="AM79" i="91"/>
  <c r="AL79" i="91"/>
  <c r="AK79" i="91"/>
  <c r="AJ79" i="91"/>
  <c r="AI79" i="91"/>
  <c r="AO78" i="91"/>
  <c r="AN78" i="91"/>
  <c r="AM78" i="91"/>
  <c r="AL78" i="91"/>
  <c r="AK78" i="91"/>
  <c r="AJ78" i="91"/>
  <c r="AI78" i="91"/>
  <c r="AO77" i="91"/>
  <c r="AN77" i="91"/>
  <c r="AM77" i="91"/>
  <c r="AL77" i="91"/>
  <c r="AK77" i="91"/>
  <c r="AJ77" i="91"/>
  <c r="AI77" i="91"/>
  <c r="AO76" i="91"/>
  <c r="AN76" i="91"/>
  <c r="AM76" i="91"/>
  <c r="AL76" i="91"/>
  <c r="AK76" i="91"/>
  <c r="AJ76" i="91"/>
  <c r="AI76" i="91"/>
  <c r="AO75" i="91"/>
  <c r="AN75" i="91"/>
  <c r="AM75" i="91"/>
  <c r="AL75" i="91"/>
  <c r="AK75" i="91"/>
  <c r="AJ75" i="91"/>
  <c r="AI75" i="91"/>
  <c r="AO74" i="91"/>
  <c r="AN74" i="91"/>
  <c r="AM74" i="91"/>
  <c r="AL74" i="91"/>
  <c r="AK74" i="91"/>
  <c r="AJ74" i="91"/>
  <c r="AI74" i="91"/>
  <c r="AO73" i="91"/>
  <c r="AN73" i="91"/>
  <c r="AM73" i="91"/>
  <c r="AL73" i="91"/>
  <c r="AK73" i="91"/>
  <c r="AJ73" i="91"/>
  <c r="AI73" i="91"/>
  <c r="AO72" i="91"/>
  <c r="AN72" i="91"/>
  <c r="AM72" i="91"/>
  <c r="AL72" i="91"/>
  <c r="AK72" i="91"/>
  <c r="AJ72" i="91"/>
  <c r="AI72" i="91"/>
  <c r="AO71" i="91"/>
  <c r="AN71" i="91"/>
  <c r="AM71" i="91"/>
  <c r="AL71" i="91"/>
  <c r="AK71" i="91"/>
  <c r="AJ71" i="91"/>
  <c r="AI71" i="91"/>
  <c r="AO70" i="91"/>
  <c r="AN70" i="91"/>
  <c r="AM70" i="91"/>
  <c r="AL70" i="91"/>
  <c r="AK70" i="91"/>
  <c r="AJ70" i="91"/>
  <c r="AI70" i="91"/>
  <c r="AO69" i="91"/>
  <c r="AN69" i="91"/>
  <c r="AM69" i="91"/>
  <c r="AL69" i="91"/>
  <c r="AK69" i="91"/>
  <c r="AJ69" i="91"/>
  <c r="AI69" i="91"/>
  <c r="AO68" i="91"/>
  <c r="AN68" i="91"/>
  <c r="AM68" i="91"/>
  <c r="AL68" i="91"/>
  <c r="AK68" i="91"/>
  <c r="AJ68" i="91"/>
  <c r="AI68" i="91"/>
  <c r="AO67" i="91"/>
  <c r="AN67" i="91"/>
  <c r="AM67" i="91"/>
  <c r="AL67" i="91"/>
  <c r="AK67" i="91"/>
  <c r="AJ67" i="91"/>
  <c r="AI67" i="91"/>
  <c r="AO66" i="91"/>
  <c r="AN66" i="91"/>
  <c r="AM66" i="91"/>
  <c r="AL66" i="91"/>
  <c r="AK66" i="91"/>
  <c r="AJ66" i="91"/>
  <c r="AI66" i="91"/>
  <c r="AO65" i="91"/>
  <c r="AN65" i="91"/>
  <c r="AM65" i="91"/>
  <c r="AL65" i="91"/>
  <c r="AK65" i="91"/>
  <c r="AJ65" i="91"/>
  <c r="AI65" i="91"/>
  <c r="AO64" i="91"/>
  <c r="AN64" i="91"/>
  <c r="AM64" i="91"/>
  <c r="AL64" i="91"/>
  <c r="AK64" i="91"/>
  <c r="AJ64" i="91"/>
  <c r="AI64" i="91"/>
  <c r="AO63" i="91"/>
  <c r="AN63" i="91"/>
  <c r="AM63" i="91"/>
  <c r="AL63" i="91"/>
  <c r="AK63" i="91"/>
  <c r="AJ63" i="91"/>
  <c r="AI63" i="91"/>
  <c r="AO62" i="91"/>
  <c r="AN62" i="91"/>
  <c r="AM62" i="91"/>
  <c r="AL62" i="91"/>
  <c r="AK62" i="91"/>
  <c r="AJ62" i="91"/>
  <c r="AI62" i="91"/>
  <c r="AO61" i="91"/>
  <c r="AN61" i="91"/>
  <c r="AM61" i="91"/>
  <c r="AL61" i="91"/>
  <c r="AK61" i="91"/>
  <c r="AJ61" i="91"/>
  <c r="AI61" i="91"/>
  <c r="AO60" i="91"/>
  <c r="AN60" i="91"/>
  <c r="AM60" i="91"/>
  <c r="AL60" i="91"/>
  <c r="AK60" i="91"/>
  <c r="AJ60" i="91"/>
  <c r="AI60" i="91"/>
  <c r="AO59" i="91"/>
  <c r="AN59" i="91"/>
  <c r="AM59" i="91"/>
  <c r="AL59" i="91"/>
  <c r="AK59" i="91"/>
  <c r="AJ59" i="91"/>
  <c r="AI59" i="91"/>
  <c r="AO58" i="91"/>
  <c r="AN58" i="91"/>
  <c r="AM58" i="91"/>
  <c r="AL58" i="91"/>
  <c r="AK58" i="91"/>
  <c r="AJ58" i="91"/>
  <c r="AI58" i="91"/>
  <c r="AO57" i="91"/>
  <c r="AN57" i="91"/>
  <c r="AM57" i="91"/>
  <c r="AL57" i="91"/>
  <c r="AK57" i="91"/>
  <c r="AJ57" i="91"/>
  <c r="AI57" i="91"/>
  <c r="AO56" i="91"/>
  <c r="AN56" i="91"/>
  <c r="AM56" i="91"/>
  <c r="AL56" i="91"/>
  <c r="AK56" i="91"/>
  <c r="AJ56" i="91"/>
  <c r="AI56" i="91"/>
  <c r="AO55" i="91"/>
  <c r="AN55" i="91"/>
  <c r="AM55" i="91"/>
  <c r="AL55" i="91"/>
  <c r="AK55" i="91"/>
  <c r="AJ55" i="91"/>
  <c r="AI55" i="91"/>
  <c r="AO54" i="91"/>
  <c r="AN54" i="91"/>
  <c r="AM54" i="91"/>
  <c r="AL54" i="91"/>
  <c r="AK54" i="91"/>
  <c r="AJ54" i="91"/>
  <c r="AI54" i="91"/>
  <c r="AO53" i="91"/>
  <c r="AN53" i="91"/>
  <c r="AM53" i="91"/>
  <c r="AL53" i="91"/>
  <c r="AK53" i="91"/>
  <c r="AJ53" i="91"/>
  <c r="AI53" i="91"/>
  <c r="AO52" i="91"/>
  <c r="AN52" i="91"/>
  <c r="AM52" i="91"/>
  <c r="AL52" i="91"/>
  <c r="AK52" i="91"/>
  <c r="AJ52" i="91"/>
  <c r="AI52" i="91"/>
  <c r="AO51" i="91"/>
  <c r="AN51" i="91"/>
  <c r="AM51" i="91"/>
  <c r="AL51" i="91"/>
  <c r="AK51" i="91"/>
  <c r="AJ51" i="91"/>
  <c r="AI51" i="91"/>
  <c r="AO50" i="91"/>
  <c r="AN50" i="91"/>
  <c r="AM50" i="91"/>
  <c r="AL50" i="91"/>
  <c r="AK50" i="91"/>
  <c r="AJ50" i="91"/>
  <c r="AI50" i="91"/>
  <c r="AO49" i="91"/>
  <c r="AN49" i="91"/>
  <c r="AM49" i="91"/>
  <c r="AL49" i="91"/>
  <c r="AK49" i="91"/>
  <c r="AJ49" i="91"/>
  <c r="AI49" i="91"/>
  <c r="AO48" i="91"/>
  <c r="AN48" i="91"/>
  <c r="AM48" i="91"/>
  <c r="AL48" i="91"/>
  <c r="AK48" i="91"/>
  <c r="AJ48" i="91"/>
  <c r="AI48" i="91"/>
  <c r="AO47" i="91"/>
  <c r="AN47" i="91"/>
  <c r="AM47" i="91"/>
  <c r="AL47" i="91"/>
  <c r="AK47" i="91"/>
  <c r="AJ47" i="91"/>
  <c r="AI47" i="91"/>
  <c r="AO46" i="91"/>
  <c r="AN46" i="91"/>
  <c r="AM46" i="91"/>
  <c r="AL46" i="91"/>
  <c r="AK46" i="91"/>
  <c r="AJ46" i="91"/>
  <c r="AI46" i="91"/>
  <c r="AO45" i="91"/>
  <c r="AN45" i="91"/>
  <c r="AM45" i="91"/>
  <c r="AL45" i="91"/>
  <c r="AK45" i="91"/>
  <c r="AJ45" i="91"/>
  <c r="AI45" i="91"/>
  <c r="AO44" i="91"/>
  <c r="AN44" i="91"/>
  <c r="AM44" i="91"/>
  <c r="AL44" i="91"/>
  <c r="AK44" i="91"/>
  <c r="AJ44" i="91"/>
  <c r="AI44" i="91"/>
  <c r="AO43" i="91"/>
  <c r="AN43" i="91"/>
  <c r="AM43" i="91"/>
  <c r="AL43" i="91"/>
  <c r="AK43" i="91"/>
  <c r="AJ43" i="91"/>
  <c r="AI43" i="91"/>
  <c r="AO42" i="91"/>
  <c r="AN42" i="91"/>
  <c r="AM42" i="91"/>
  <c r="AL42" i="91"/>
  <c r="AK42" i="91"/>
  <c r="AJ42" i="91"/>
  <c r="AI42" i="91"/>
  <c r="AO41" i="91"/>
  <c r="AN41" i="91"/>
  <c r="AM41" i="91"/>
  <c r="AL41" i="91"/>
  <c r="AK41" i="91"/>
  <c r="AJ41" i="91"/>
  <c r="AI41" i="91"/>
  <c r="AO40" i="91"/>
  <c r="AN40" i="91"/>
  <c r="AM40" i="91"/>
  <c r="AL40" i="91"/>
  <c r="AK40" i="91"/>
  <c r="AJ40" i="91"/>
  <c r="AI40" i="91"/>
  <c r="AO39" i="91"/>
  <c r="AN39" i="91"/>
  <c r="AM39" i="91"/>
  <c r="AL39" i="91"/>
  <c r="AK39" i="91"/>
  <c r="AJ39" i="91"/>
  <c r="AI39" i="91"/>
  <c r="AO38" i="91"/>
  <c r="AN38" i="91"/>
  <c r="AM38" i="91"/>
  <c r="AL38" i="91"/>
  <c r="AK38" i="91"/>
  <c r="AJ38" i="91"/>
  <c r="AI38" i="91"/>
  <c r="AO37" i="91"/>
  <c r="AN37" i="91"/>
  <c r="AM37" i="91"/>
  <c r="AL37" i="91"/>
  <c r="AK37" i="91"/>
  <c r="AJ37" i="91"/>
  <c r="AI37" i="91"/>
  <c r="AO36" i="91"/>
  <c r="AN36" i="91"/>
  <c r="AM36" i="91"/>
  <c r="AL36" i="91"/>
  <c r="AK36" i="91"/>
  <c r="AJ36" i="91"/>
  <c r="AI36" i="91"/>
  <c r="AO35" i="91"/>
  <c r="AN35" i="91"/>
  <c r="AM35" i="91"/>
  <c r="AL35" i="91"/>
  <c r="AK35" i="91"/>
  <c r="AJ35" i="91"/>
  <c r="AI35" i="91"/>
  <c r="AO34" i="91"/>
  <c r="AN34" i="91"/>
  <c r="AM34" i="91"/>
  <c r="AL34" i="91"/>
  <c r="AK34" i="91"/>
  <c r="AJ34" i="91"/>
  <c r="AI34" i="91"/>
  <c r="AO33" i="91"/>
  <c r="AN33" i="91"/>
  <c r="AM33" i="91"/>
  <c r="AL33" i="91"/>
  <c r="AK33" i="91"/>
  <c r="AJ33" i="91"/>
  <c r="AI33" i="91"/>
  <c r="AO32" i="91"/>
  <c r="AN32" i="91"/>
  <c r="AM32" i="91"/>
  <c r="AL32" i="91"/>
  <c r="AK32" i="91"/>
  <c r="AJ32" i="91"/>
  <c r="AI32" i="91"/>
  <c r="AO31" i="91"/>
  <c r="AN31" i="91"/>
  <c r="AM31" i="91"/>
  <c r="AL31" i="91"/>
  <c r="AK31" i="91"/>
  <c r="AJ31" i="91"/>
  <c r="AI31" i="91"/>
  <c r="AO30" i="91"/>
  <c r="AN30" i="91"/>
  <c r="AM30" i="91"/>
  <c r="AL30" i="91"/>
  <c r="AK30" i="91"/>
  <c r="AJ30" i="91"/>
  <c r="AI30" i="91"/>
  <c r="AO29" i="91"/>
  <c r="AN29" i="91"/>
  <c r="AM29" i="91"/>
  <c r="AL29" i="91"/>
  <c r="AK29" i="91"/>
  <c r="AJ29" i="91"/>
  <c r="AI29" i="91"/>
  <c r="AO28" i="91"/>
  <c r="AN28" i="91"/>
  <c r="AM28" i="91"/>
  <c r="AL28" i="91"/>
  <c r="AK28" i="91"/>
  <c r="AJ28" i="91"/>
  <c r="AI28" i="91"/>
  <c r="AO27" i="91"/>
  <c r="AN27" i="91"/>
  <c r="AM27" i="91"/>
  <c r="AL27" i="91"/>
  <c r="AK27" i="91"/>
  <c r="AJ27" i="91"/>
  <c r="AI27" i="91"/>
  <c r="AO26" i="91"/>
  <c r="AN26" i="91"/>
  <c r="AM26" i="91"/>
  <c r="AL26" i="91"/>
  <c r="AK26" i="91"/>
  <c r="AJ26" i="91"/>
  <c r="AI26" i="91"/>
  <c r="AO25" i="91"/>
  <c r="AN25" i="91"/>
  <c r="AM25" i="91"/>
  <c r="AL25" i="91"/>
  <c r="AK25" i="91"/>
  <c r="AJ25" i="91"/>
  <c r="AI25" i="91"/>
  <c r="AO24" i="91"/>
  <c r="AN24" i="91"/>
  <c r="AM24" i="91"/>
  <c r="AL24" i="91"/>
  <c r="AK24" i="91"/>
  <c r="AJ24" i="91"/>
  <c r="AI24" i="91"/>
  <c r="AO23" i="91"/>
  <c r="AN23" i="91"/>
  <c r="AM23" i="91"/>
  <c r="AL23" i="91"/>
  <c r="AK23" i="91"/>
  <c r="AJ23" i="91"/>
  <c r="AI23" i="91"/>
  <c r="AO22" i="91"/>
  <c r="AN22" i="91"/>
  <c r="AM22" i="91"/>
  <c r="AL22" i="91"/>
  <c r="AK22" i="91"/>
  <c r="AJ22" i="91"/>
  <c r="AI22" i="91"/>
  <c r="AO21" i="91"/>
  <c r="AN21" i="91"/>
  <c r="AM21" i="91"/>
  <c r="AL21" i="91"/>
  <c r="AK21" i="91"/>
  <c r="AJ21" i="91"/>
  <c r="AI21" i="91"/>
  <c r="AO20" i="91"/>
  <c r="AN20" i="91"/>
  <c r="AM20" i="91"/>
  <c r="AL20" i="91"/>
  <c r="AK20" i="91"/>
  <c r="AJ20" i="91"/>
  <c r="AI20" i="91"/>
  <c r="AO19" i="91"/>
  <c r="AN19" i="91"/>
  <c r="AM19" i="91"/>
  <c r="AL19" i="91"/>
  <c r="AK19" i="91"/>
  <c r="AJ19" i="91"/>
  <c r="AI19" i="91"/>
  <c r="AO18" i="91"/>
  <c r="AN18" i="91"/>
  <c r="AM18" i="91"/>
  <c r="AL18" i="91"/>
  <c r="AK18" i="91"/>
  <c r="AJ18" i="91"/>
  <c r="AI18" i="91"/>
  <c r="AO17" i="91"/>
  <c r="AN17" i="91"/>
  <c r="AM17" i="91"/>
  <c r="AL17" i="91"/>
  <c r="AK17" i="91"/>
  <c r="AJ17" i="91"/>
  <c r="AI17" i="91"/>
  <c r="AO16" i="91"/>
  <c r="AN16" i="91"/>
  <c r="AM16" i="91"/>
  <c r="AL16" i="91"/>
  <c r="AK16" i="91"/>
  <c r="AJ16" i="91"/>
  <c r="AI16" i="91"/>
  <c r="AO15" i="91"/>
  <c r="AN15" i="91"/>
  <c r="AM15" i="91"/>
  <c r="AL15" i="91"/>
  <c r="AK15" i="91"/>
  <c r="AJ15" i="91"/>
  <c r="AI15" i="91"/>
  <c r="AO14" i="91"/>
  <c r="AN14" i="91"/>
  <c r="AM14" i="91"/>
  <c r="AL14" i="91"/>
  <c r="AK14" i="91"/>
  <c r="AJ14" i="91"/>
  <c r="AI14" i="91"/>
  <c r="AO13" i="91"/>
  <c r="AN13" i="91"/>
  <c r="AM13" i="91"/>
  <c r="AL13" i="91"/>
  <c r="AK13" i="91"/>
  <c r="AJ13" i="91"/>
  <c r="AI13" i="91"/>
  <c r="AO12" i="91"/>
  <c r="AN12" i="91"/>
  <c r="AM12" i="91"/>
  <c r="AL12" i="91"/>
  <c r="AK12" i="91"/>
  <c r="AJ12" i="91"/>
  <c r="AI12" i="91"/>
  <c r="AO11" i="91"/>
  <c r="AN11" i="91"/>
  <c r="AM11" i="91"/>
  <c r="AL11" i="91"/>
  <c r="AK11" i="91"/>
  <c r="AJ11" i="91"/>
  <c r="AI11" i="91"/>
  <c r="AO10" i="91"/>
  <c r="AN10" i="91"/>
  <c r="AM10" i="91"/>
  <c r="AL10" i="91"/>
  <c r="AK10" i="91"/>
  <c r="AJ10" i="91"/>
  <c r="AI10" i="91"/>
  <c r="AO9" i="91"/>
  <c r="AN9" i="91"/>
  <c r="AM9" i="91"/>
  <c r="AL9" i="91"/>
  <c r="AK9" i="91"/>
  <c r="AJ9" i="91"/>
  <c r="AI9" i="91"/>
  <c r="AO8" i="91"/>
  <c r="AN8" i="91"/>
  <c r="AM8" i="91"/>
  <c r="AL8" i="91"/>
  <c r="AK8" i="91"/>
  <c r="AJ8" i="91"/>
  <c r="AI8" i="91"/>
  <c r="AO7" i="91"/>
  <c r="AN7" i="91"/>
  <c r="AM7" i="91"/>
  <c r="AL7" i="91"/>
  <c r="AK7" i="91"/>
  <c r="AJ7" i="91"/>
  <c r="AI7" i="91"/>
  <c r="AO6" i="91"/>
  <c r="AN6" i="91"/>
  <c r="AM6" i="91"/>
  <c r="AL6" i="91"/>
  <c r="AK6" i="91"/>
  <c r="AJ6" i="91"/>
  <c r="AI6" i="91"/>
  <c r="AO5" i="91"/>
  <c r="AN5" i="91"/>
  <c r="AM5" i="91"/>
  <c r="AL5" i="91"/>
  <c r="AK5" i="91"/>
  <c r="AJ5" i="91"/>
  <c r="AI5" i="91"/>
  <c r="AO4" i="91"/>
  <c r="AN4" i="91"/>
  <c r="AM4" i="91"/>
  <c r="AL4" i="91"/>
  <c r="AK4" i="91"/>
  <c r="AJ4" i="91"/>
  <c r="AI4" i="91"/>
  <c r="AO3" i="91"/>
  <c r="AN3" i="91"/>
  <c r="AM3" i="91"/>
  <c r="AL3" i="91"/>
  <c r="AK3" i="91"/>
  <c r="AJ3" i="91"/>
  <c r="AI3" i="91"/>
  <c r="AO2" i="91"/>
  <c r="AN2" i="91"/>
  <c r="AM2" i="91"/>
  <c r="AL2" i="91"/>
  <c r="AK2" i="91"/>
  <c r="AJ2" i="91"/>
  <c r="AI2" i="91"/>
  <c r="AA168" i="92"/>
  <c r="Z168" i="92"/>
  <c r="Y168" i="92"/>
  <c r="X168" i="92"/>
  <c r="W168" i="92"/>
  <c r="V168" i="92"/>
  <c r="U168" i="92"/>
  <c r="T168" i="92"/>
  <c r="S168" i="92"/>
  <c r="R168" i="92"/>
  <c r="Q168" i="92"/>
  <c r="P168" i="92"/>
  <c r="O168" i="92"/>
  <c r="N168" i="92"/>
  <c r="M168" i="92"/>
  <c r="L168" i="92"/>
  <c r="K168" i="92"/>
  <c r="J168" i="92"/>
  <c r="I168" i="92"/>
  <c r="H168" i="92"/>
  <c r="G168" i="92"/>
  <c r="F168" i="92"/>
  <c r="E168" i="92"/>
  <c r="D168" i="92"/>
  <c r="AA167" i="92"/>
  <c r="Z167" i="92"/>
  <c r="Y167" i="92"/>
  <c r="X167" i="92"/>
  <c r="W167" i="92"/>
  <c r="V167" i="92"/>
  <c r="U167" i="92"/>
  <c r="T167" i="92"/>
  <c r="S167" i="92"/>
  <c r="R167" i="92"/>
  <c r="Q167" i="92"/>
  <c r="P167" i="92"/>
  <c r="O167" i="92"/>
  <c r="N167" i="92"/>
  <c r="M167" i="92"/>
  <c r="L167" i="92"/>
  <c r="K167" i="92"/>
  <c r="J167" i="92"/>
  <c r="I167" i="92"/>
  <c r="H167" i="92"/>
  <c r="G167" i="92"/>
  <c r="F167" i="92"/>
  <c r="E167" i="92"/>
  <c r="D167" i="92"/>
  <c r="AA166" i="92"/>
  <c r="Z166" i="92"/>
  <c r="Y166" i="92"/>
  <c r="X166" i="92"/>
  <c r="W166" i="92"/>
  <c r="V166" i="92"/>
  <c r="U166" i="92"/>
  <c r="T166" i="92"/>
  <c r="S166" i="92"/>
  <c r="R166" i="92"/>
  <c r="Q166" i="92"/>
  <c r="P166" i="92"/>
  <c r="O166" i="92"/>
  <c r="N166" i="92"/>
  <c r="M166" i="92"/>
  <c r="L166" i="92"/>
  <c r="K166" i="92"/>
  <c r="J166" i="92"/>
  <c r="I166" i="92"/>
  <c r="H166" i="92"/>
  <c r="G166" i="92"/>
  <c r="F166" i="92"/>
  <c r="E166" i="92"/>
  <c r="D166" i="92"/>
  <c r="AA165" i="92"/>
  <c r="Z165" i="92"/>
  <c r="Y165" i="92"/>
  <c r="X165" i="92"/>
  <c r="W165" i="92"/>
  <c r="V165" i="92"/>
  <c r="U165" i="92"/>
  <c r="T165" i="92"/>
  <c r="S165" i="92"/>
  <c r="R165" i="92"/>
  <c r="Q165" i="92"/>
  <c r="P165" i="92"/>
  <c r="O165" i="92"/>
  <c r="N165" i="92"/>
  <c r="M165" i="92"/>
  <c r="L165" i="92"/>
  <c r="K165" i="92"/>
  <c r="J165" i="92"/>
  <c r="I165" i="92"/>
  <c r="H165" i="92"/>
  <c r="G165" i="92"/>
  <c r="F165" i="92"/>
  <c r="E165" i="92"/>
  <c r="D165" i="92"/>
  <c r="AA164" i="92"/>
  <c r="Z164" i="92"/>
  <c r="Y164" i="92"/>
  <c r="X164" i="92"/>
  <c r="W164" i="92"/>
  <c r="V164" i="92"/>
  <c r="U164" i="92"/>
  <c r="T164" i="92"/>
  <c r="S164" i="92"/>
  <c r="R164" i="92"/>
  <c r="Q164" i="92"/>
  <c r="P164" i="92"/>
  <c r="O164" i="92"/>
  <c r="N164" i="92"/>
  <c r="M164" i="92"/>
  <c r="L164" i="92"/>
  <c r="K164" i="92"/>
  <c r="J164" i="92"/>
  <c r="I164" i="92"/>
  <c r="H164" i="92"/>
  <c r="G164" i="92"/>
  <c r="F164" i="92"/>
  <c r="E164" i="92"/>
  <c r="D164" i="92"/>
  <c r="AA163" i="92"/>
  <c r="Z163" i="92"/>
  <c r="Y163" i="92"/>
  <c r="X163" i="92"/>
  <c r="W163" i="92"/>
  <c r="V163" i="92"/>
  <c r="U163" i="92"/>
  <c r="T163" i="92"/>
  <c r="S163" i="92"/>
  <c r="R163" i="92"/>
  <c r="Q163" i="92"/>
  <c r="P163" i="92"/>
  <c r="O163" i="92"/>
  <c r="N163" i="92"/>
  <c r="M163" i="92"/>
  <c r="L163" i="92"/>
  <c r="K163" i="92"/>
  <c r="J163" i="92"/>
  <c r="I163" i="92"/>
  <c r="H163" i="92"/>
  <c r="G163" i="92"/>
  <c r="F163" i="92"/>
  <c r="E163" i="92"/>
  <c r="D163" i="92"/>
  <c r="AA162" i="92"/>
  <c r="Z162" i="92"/>
  <c r="Y162" i="92"/>
  <c r="X162" i="92"/>
  <c r="W162" i="92"/>
  <c r="V162" i="92"/>
  <c r="U162" i="92"/>
  <c r="T162" i="92"/>
  <c r="S162" i="92"/>
  <c r="R162" i="92"/>
  <c r="Q162" i="92"/>
  <c r="P162" i="92"/>
  <c r="O162" i="92"/>
  <c r="N162" i="92"/>
  <c r="M162" i="92"/>
  <c r="L162" i="92"/>
  <c r="K162" i="92"/>
  <c r="J162" i="92"/>
  <c r="I162" i="92"/>
  <c r="H162" i="92"/>
  <c r="G162" i="92"/>
  <c r="F162" i="92"/>
  <c r="E162" i="92"/>
  <c r="D162" i="92"/>
  <c r="AA161" i="92"/>
  <c r="Z161" i="92"/>
  <c r="Y161" i="92"/>
  <c r="X161" i="92"/>
  <c r="W161" i="92"/>
  <c r="V161" i="92"/>
  <c r="U161" i="92"/>
  <c r="T161" i="92"/>
  <c r="S161" i="92"/>
  <c r="R161" i="92"/>
  <c r="Q161" i="92"/>
  <c r="P161" i="92"/>
  <c r="O161" i="92"/>
  <c r="N161" i="92"/>
  <c r="M161" i="92"/>
  <c r="L161" i="92"/>
  <c r="K161" i="92"/>
  <c r="J161" i="92"/>
  <c r="I161" i="92"/>
  <c r="H161" i="92"/>
  <c r="G161" i="92"/>
  <c r="F161" i="92"/>
  <c r="E161" i="92"/>
  <c r="D161" i="92"/>
  <c r="AA160" i="92"/>
  <c r="Z160" i="92"/>
  <c r="Y160" i="92"/>
  <c r="X160" i="92"/>
  <c r="W160" i="92"/>
  <c r="V160" i="92"/>
  <c r="U160" i="92"/>
  <c r="T160" i="92"/>
  <c r="S160" i="92"/>
  <c r="R160" i="92"/>
  <c r="Q160" i="92"/>
  <c r="P160" i="92"/>
  <c r="O160" i="92"/>
  <c r="N160" i="92"/>
  <c r="M160" i="92"/>
  <c r="L160" i="92"/>
  <c r="K160" i="92"/>
  <c r="J160" i="92"/>
  <c r="I160" i="92"/>
  <c r="H160" i="92"/>
  <c r="G160" i="92"/>
  <c r="F160" i="92"/>
  <c r="E160" i="92"/>
  <c r="D160" i="92"/>
  <c r="AA159" i="92"/>
  <c r="Z159" i="92"/>
  <c r="Y159" i="92"/>
  <c r="X159" i="92"/>
  <c r="W159" i="92"/>
  <c r="V159" i="92"/>
  <c r="U159" i="92"/>
  <c r="T159" i="92"/>
  <c r="S159" i="92"/>
  <c r="R159" i="92"/>
  <c r="Q159" i="92"/>
  <c r="P159" i="92"/>
  <c r="O159" i="92"/>
  <c r="N159" i="92"/>
  <c r="M159" i="92"/>
  <c r="L159" i="92"/>
  <c r="K159" i="92"/>
  <c r="J159" i="92"/>
  <c r="I159" i="92"/>
  <c r="H159" i="92"/>
  <c r="G159" i="92"/>
  <c r="F159" i="92"/>
  <c r="E159" i="92"/>
  <c r="D159" i="92"/>
  <c r="AA158" i="92"/>
  <c r="Z158" i="92"/>
  <c r="Y158" i="92"/>
  <c r="X158" i="92"/>
  <c r="W158" i="92"/>
  <c r="V158" i="92"/>
  <c r="U158" i="92"/>
  <c r="T158" i="92"/>
  <c r="S158" i="92"/>
  <c r="R158" i="92"/>
  <c r="Q158" i="92"/>
  <c r="P158" i="92"/>
  <c r="O158" i="92"/>
  <c r="N158" i="92"/>
  <c r="M158" i="92"/>
  <c r="L158" i="92"/>
  <c r="K158" i="92"/>
  <c r="J158" i="92"/>
  <c r="I158" i="92"/>
  <c r="H158" i="92"/>
  <c r="G158" i="92"/>
  <c r="F158" i="92"/>
  <c r="E158" i="92"/>
  <c r="D158" i="92"/>
  <c r="AA157" i="92"/>
  <c r="Z157" i="92"/>
  <c r="Y157" i="92"/>
  <c r="X157" i="92"/>
  <c r="W157" i="92"/>
  <c r="V157" i="92"/>
  <c r="U157" i="92"/>
  <c r="T157" i="92"/>
  <c r="S157" i="92"/>
  <c r="R157" i="92"/>
  <c r="Q157" i="92"/>
  <c r="P157" i="92"/>
  <c r="O157" i="92"/>
  <c r="N157" i="92"/>
  <c r="M157" i="92"/>
  <c r="L157" i="92"/>
  <c r="K157" i="92"/>
  <c r="J157" i="92"/>
  <c r="I157" i="92"/>
  <c r="H157" i="92"/>
  <c r="G157" i="92"/>
  <c r="F157" i="92"/>
  <c r="E157" i="92"/>
  <c r="D157" i="92"/>
  <c r="AA156" i="92"/>
  <c r="Z156" i="92"/>
  <c r="Y156" i="92"/>
  <c r="X156" i="92"/>
  <c r="W156" i="92"/>
  <c r="V156" i="92"/>
  <c r="U156" i="92"/>
  <c r="T156" i="92"/>
  <c r="S156" i="92"/>
  <c r="R156" i="92"/>
  <c r="Q156" i="92"/>
  <c r="P156" i="92"/>
  <c r="O156" i="92"/>
  <c r="N156" i="92"/>
  <c r="M156" i="92"/>
  <c r="L156" i="92"/>
  <c r="K156" i="92"/>
  <c r="J156" i="92"/>
  <c r="I156" i="92"/>
  <c r="H156" i="92"/>
  <c r="G156" i="92"/>
  <c r="F156" i="92"/>
  <c r="E156" i="92"/>
  <c r="D156" i="92"/>
  <c r="AA155" i="92"/>
  <c r="Z155" i="92"/>
  <c r="Y155" i="92"/>
  <c r="X155" i="92"/>
  <c r="W155" i="92"/>
  <c r="V155" i="92"/>
  <c r="U155" i="92"/>
  <c r="T155" i="92"/>
  <c r="S155" i="92"/>
  <c r="R155" i="92"/>
  <c r="Q155" i="92"/>
  <c r="P155" i="92"/>
  <c r="O155" i="92"/>
  <c r="N155" i="92"/>
  <c r="M155" i="92"/>
  <c r="L155" i="92"/>
  <c r="K155" i="92"/>
  <c r="J155" i="92"/>
  <c r="I155" i="92"/>
  <c r="H155" i="92"/>
  <c r="G155" i="92"/>
  <c r="F155" i="92"/>
  <c r="E155" i="92"/>
  <c r="D155" i="92"/>
  <c r="AA154" i="92"/>
  <c r="Z154" i="92"/>
  <c r="Y154" i="92"/>
  <c r="X154" i="92"/>
  <c r="W154" i="92"/>
  <c r="V154" i="92"/>
  <c r="U154" i="92"/>
  <c r="T154" i="92"/>
  <c r="S154" i="92"/>
  <c r="R154" i="92"/>
  <c r="Q154" i="92"/>
  <c r="P154" i="92"/>
  <c r="O154" i="92"/>
  <c r="N154" i="92"/>
  <c r="M154" i="92"/>
  <c r="L154" i="92"/>
  <c r="K154" i="92"/>
  <c r="J154" i="92"/>
  <c r="I154" i="92"/>
  <c r="H154" i="92"/>
  <c r="G154" i="92"/>
  <c r="F154" i="92"/>
  <c r="E154" i="92"/>
  <c r="D154" i="92"/>
  <c r="AA153" i="92"/>
  <c r="Z153" i="92"/>
  <c r="Y153" i="92"/>
  <c r="X153" i="92"/>
  <c r="W153" i="92"/>
  <c r="V153" i="92"/>
  <c r="U153" i="92"/>
  <c r="T153" i="92"/>
  <c r="S153" i="92"/>
  <c r="R153" i="92"/>
  <c r="Q153" i="92"/>
  <c r="P153" i="92"/>
  <c r="O153" i="92"/>
  <c r="N153" i="92"/>
  <c r="M153" i="92"/>
  <c r="L153" i="92"/>
  <c r="K153" i="92"/>
  <c r="J153" i="92"/>
  <c r="I153" i="92"/>
  <c r="H153" i="92"/>
  <c r="G153" i="92"/>
  <c r="F153" i="92"/>
  <c r="E153" i="92"/>
  <c r="D153" i="92"/>
  <c r="AA152" i="92"/>
  <c r="Z152" i="92"/>
  <c r="Y152" i="92"/>
  <c r="X152" i="92"/>
  <c r="W152" i="92"/>
  <c r="V152" i="92"/>
  <c r="U152" i="92"/>
  <c r="T152" i="92"/>
  <c r="S152" i="92"/>
  <c r="R152" i="92"/>
  <c r="Q152" i="92"/>
  <c r="P152" i="92"/>
  <c r="O152" i="92"/>
  <c r="N152" i="92"/>
  <c r="M152" i="92"/>
  <c r="L152" i="92"/>
  <c r="K152" i="92"/>
  <c r="J152" i="92"/>
  <c r="I152" i="92"/>
  <c r="H152" i="92"/>
  <c r="G152" i="92"/>
  <c r="F152" i="92"/>
  <c r="E152" i="92"/>
  <c r="D152" i="92"/>
  <c r="AA151" i="92"/>
  <c r="Z151" i="92"/>
  <c r="Y151" i="92"/>
  <c r="X151" i="92"/>
  <c r="W151" i="92"/>
  <c r="V151" i="92"/>
  <c r="U151" i="92"/>
  <c r="T151" i="92"/>
  <c r="S151" i="92"/>
  <c r="R151" i="92"/>
  <c r="Q151" i="92"/>
  <c r="P151" i="92"/>
  <c r="O151" i="92"/>
  <c r="N151" i="92"/>
  <c r="M151" i="92"/>
  <c r="L151" i="92"/>
  <c r="K151" i="92"/>
  <c r="J151" i="92"/>
  <c r="I151" i="92"/>
  <c r="H151" i="92"/>
  <c r="G151" i="92"/>
  <c r="F151" i="92"/>
  <c r="E151" i="92"/>
  <c r="D151" i="92"/>
  <c r="AA150" i="92"/>
  <c r="Z150" i="92"/>
  <c r="Y150" i="92"/>
  <c r="X150" i="92"/>
  <c r="W150" i="92"/>
  <c r="V150" i="92"/>
  <c r="U150" i="92"/>
  <c r="T150" i="92"/>
  <c r="S150" i="92"/>
  <c r="R150" i="92"/>
  <c r="Q150" i="92"/>
  <c r="P150" i="92"/>
  <c r="O150" i="92"/>
  <c r="N150" i="92"/>
  <c r="M150" i="92"/>
  <c r="L150" i="92"/>
  <c r="K150" i="92"/>
  <c r="J150" i="92"/>
  <c r="I150" i="92"/>
  <c r="H150" i="92"/>
  <c r="G150" i="92"/>
  <c r="F150" i="92"/>
  <c r="E150" i="92"/>
  <c r="D150" i="92"/>
  <c r="AA149" i="92"/>
  <c r="Z149" i="92"/>
  <c r="Y149" i="92"/>
  <c r="X149" i="92"/>
  <c r="W149" i="92"/>
  <c r="V149" i="92"/>
  <c r="U149" i="92"/>
  <c r="T149" i="92"/>
  <c r="S149" i="92"/>
  <c r="R149" i="92"/>
  <c r="Q149" i="92"/>
  <c r="P149" i="92"/>
  <c r="O149" i="92"/>
  <c r="N149" i="92"/>
  <c r="M149" i="92"/>
  <c r="L149" i="92"/>
  <c r="K149" i="92"/>
  <c r="J149" i="92"/>
  <c r="I149" i="92"/>
  <c r="H149" i="92"/>
  <c r="G149" i="92"/>
  <c r="F149" i="92"/>
  <c r="E149" i="92"/>
  <c r="D149" i="92"/>
  <c r="AA148" i="92"/>
  <c r="Z148" i="92"/>
  <c r="Y148" i="92"/>
  <c r="X148" i="92"/>
  <c r="W148" i="92"/>
  <c r="V148" i="92"/>
  <c r="U148" i="92"/>
  <c r="T148" i="92"/>
  <c r="S148" i="92"/>
  <c r="R148" i="92"/>
  <c r="Q148" i="92"/>
  <c r="P148" i="92"/>
  <c r="O148" i="92"/>
  <c r="N148" i="92"/>
  <c r="M148" i="92"/>
  <c r="L148" i="92"/>
  <c r="K148" i="92"/>
  <c r="J148" i="92"/>
  <c r="I148" i="92"/>
  <c r="H148" i="92"/>
  <c r="G148" i="92"/>
  <c r="F148" i="92"/>
  <c r="E148" i="92"/>
  <c r="D148" i="92"/>
  <c r="AA147" i="92"/>
  <c r="Z147" i="92"/>
  <c r="Y147" i="92"/>
  <c r="X147" i="92"/>
  <c r="W147" i="92"/>
  <c r="V147" i="92"/>
  <c r="U147" i="92"/>
  <c r="T147" i="92"/>
  <c r="S147" i="92"/>
  <c r="R147" i="92"/>
  <c r="Q147" i="92"/>
  <c r="P147" i="92"/>
  <c r="O147" i="92"/>
  <c r="N147" i="92"/>
  <c r="M147" i="92"/>
  <c r="L147" i="92"/>
  <c r="K147" i="92"/>
  <c r="J147" i="92"/>
  <c r="I147" i="92"/>
  <c r="H147" i="92"/>
  <c r="G147" i="92"/>
  <c r="F147" i="92"/>
  <c r="E147" i="92"/>
  <c r="D147" i="92"/>
  <c r="AA146" i="92"/>
  <c r="Z146" i="92"/>
  <c r="Y146" i="92"/>
  <c r="X146" i="92"/>
  <c r="W146" i="92"/>
  <c r="V146" i="92"/>
  <c r="U146" i="92"/>
  <c r="T146" i="92"/>
  <c r="S146" i="92"/>
  <c r="R146" i="92"/>
  <c r="Q146" i="92"/>
  <c r="P146" i="92"/>
  <c r="O146" i="92"/>
  <c r="N146" i="92"/>
  <c r="M146" i="92"/>
  <c r="L146" i="92"/>
  <c r="K146" i="92"/>
  <c r="J146" i="92"/>
  <c r="I146" i="92"/>
  <c r="H146" i="92"/>
  <c r="G146" i="92"/>
  <c r="F146" i="92"/>
  <c r="E146" i="92"/>
  <c r="D146" i="92"/>
  <c r="AA145" i="92"/>
  <c r="Z145" i="92"/>
  <c r="Y145" i="92"/>
  <c r="X145" i="92"/>
  <c r="W145" i="92"/>
  <c r="V145" i="92"/>
  <c r="U145" i="92"/>
  <c r="T145" i="92"/>
  <c r="S145" i="92"/>
  <c r="R145" i="92"/>
  <c r="Q145" i="92"/>
  <c r="P145" i="92"/>
  <c r="O145" i="92"/>
  <c r="N145" i="92"/>
  <c r="M145" i="92"/>
  <c r="L145" i="92"/>
  <c r="K145" i="92"/>
  <c r="J145" i="92"/>
  <c r="I145" i="92"/>
  <c r="H145" i="92"/>
  <c r="G145" i="92"/>
  <c r="F145" i="92"/>
  <c r="E145" i="92"/>
  <c r="D145" i="92"/>
  <c r="AA144" i="92"/>
  <c r="Z144" i="92"/>
  <c r="Y144" i="92"/>
  <c r="X144" i="92"/>
  <c r="W144" i="92"/>
  <c r="V144" i="92"/>
  <c r="U144" i="92"/>
  <c r="T144" i="92"/>
  <c r="S144" i="92"/>
  <c r="R144" i="92"/>
  <c r="Q144" i="92"/>
  <c r="P144" i="92"/>
  <c r="O144" i="92"/>
  <c r="N144" i="92"/>
  <c r="M144" i="92"/>
  <c r="L144" i="92"/>
  <c r="K144" i="92"/>
  <c r="J144" i="92"/>
  <c r="I144" i="92"/>
  <c r="H144" i="92"/>
  <c r="G144" i="92"/>
  <c r="F144" i="92"/>
  <c r="E144" i="92"/>
  <c r="D144" i="92"/>
  <c r="AA143" i="92"/>
  <c r="Z143" i="92"/>
  <c r="Y143" i="92"/>
  <c r="X143" i="92"/>
  <c r="W143" i="92"/>
  <c r="V143" i="92"/>
  <c r="U143" i="92"/>
  <c r="T143" i="92"/>
  <c r="S143" i="92"/>
  <c r="R143" i="92"/>
  <c r="Q143" i="92"/>
  <c r="P143" i="92"/>
  <c r="O143" i="92"/>
  <c r="N143" i="92"/>
  <c r="M143" i="92"/>
  <c r="L143" i="92"/>
  <c r="K143" i="92"/>
  <c r="J143" i="92"/>
  <c r="I143" i="92"/>
  <c r="H143" i="92"/>
  <c r="G143" i="92"/>
  <c r="F143" i="92"/>
  <c r="E143" i="92"/>
  <c r="D143" i="92"/>
  <c r="AA142" i="92"/>
  <c r="Z142" i="92"/>
  <c r="Y142" i="92"/>
  <c r="X142" i="92"/>
  <c r="W142" i="92"/>
  <c r="V142" i="92"/>
  <c r="U142" i="92"/>
  <c r="T142" i="92"/>
  <c r="S142" i="92"/>
  <c r="R142" i="92"/>
  <c r="Q142" i="92"/>
  <c r="P142" i="92"/>
  <c r="O142" i="92"/>
  <c r="N142" i="92"/>
  <c r="M142" i="92"/>
  <c r="L142" i="92"/>
  <c r="K142" i="92"/>
  <c r="J142" i="92"/>
  <c r="I142" i="92"/>
  <c r="H142" i="92"/>
  <c r="G142" i="92"/>
  <c r="F142" i="92"/>
  <c r="E142" i="92"/>
  <c r="D142" i="92"/>
  <c r="AA141" i="92"/>
  <c r="Z141" i="92"/>
  <c r="Y141" i="92"/>
  <c r="X141" i="92"/>
  <c r="W141" i="92"/>
  <c r="V141" i="92"/>
  <c r="U141" i="92"/>
  <c r="T141" i="92"/>
  <c r="S141" i="92"/>
  <c r="R141" i="92"/>
  <c r="Q141" i="92"/>
  <c r="P141" i="92"/>
  <c r="O141" i="92"/>
  <c r="N141" i="92"/>
  <c r="M141" i="92"/>
  <c r="L141" i="92"/>
  <c r="K141" i="92"/>
  <c r="J141" i="92"/>
  <c r="I141" i="92"/>
  <c r="H141" i="92"/>
  <c r="G141" i="92"/>
  <c r="F141" i="92"/>
  <c r="E141" i="92"/>
  <c r="D141" i="92"/>
  <c r="AA140" i="92"/>
  <c r="Z140" i="92"/>
  <c r="Y140" i="92"/>
  <c r="X140" i="92"/>
  <c r="W140" i="92"/>
  <c r="V140" i="92"/>
  <c r="U140" i="92"/>
  <c r="T140" i="92"/>
  <c r="S140" i="92"/>
  <c r="R140" i="92"/>
  <c r="Q140" i="92"/>
  <c r="P140" i="92"/>
  <c r="O140" i="92"/>
  <c r="N140" i="92"/>
  <c r="M140" i="92"/>
  <c r="L140" i="92"/>
  <c r="K140" i="92"/>
  <c r="J140" i="92"/>
  <c r="I140" i="92"/>
  <c r="H140" i="92"/>
  <c r="G140" i="92"/>
  <c r="F140" i="92"/>
  <c r="E140" i="92"/>
  <c r="D140" i="92"/>
  <c r="AA139" i="92"/>
  <c r="Z139" i="92"/>
  <c r="Y139" i="92"/>
  <c r="X139" i="92"/>
  <c r="W139" i="92"/>
  <c r="V139" i="92"/>
  <c r="U139" i="92"/>
  <c r="T139" i="92"/>
  <c r="S139" i="92"/>
  <c r="R139" i="92"/>
  <c r="Q139" i="92"/>
  <c r="P139" i="92"/>
  <c r="O139" i="92"/>
  <c r="N139" i="92"/>
  <c r="M139" i="92"/>
  <c r="L139" i="92"/>
  <c r="K139" i="92"/>
  <c r="J139" i="92"/>
  <c r="I139" i="92"/>
  <c r="H139" i="92"/>
  <c r="G139" i="92"/>
  <c r="F139" i="92"/>
  <c r="E139" i="92"/>
  <c r="D139" i="92"/>
  <c r="AA138" i="92"/>
  <c r="Z138" i="92"/>
  <c r="Y138" i="92"/>
  <c r="X138" i="92"/>
  <c r="W138" i="92"/>
  <c r="V138" i="92"/>
  <c r="U138" i="92"/>
  <c r="T138" i="92"/>
  <c r="S138" i="92"/>
  <c r="R138" i="92"/>
  <c r="Q138" i="92"/>
  <c r="P138" i="92"/>
  <c r="O138" i="92"/>
  <c r="N138" i="92"/>
  <c r="M138" i="92"/>
  <c r="L138" i="92"/>
  <c r="K138" i="92"/>
  <c r="J138" i="92"/>
  <c r="I138" i="92"/>
  <c r="H138" i="92"/>
  <c r="G138" i="92"/>
  <c r="F138" i="92"/>
  <c r="E138" i="92"/>
  <c r="D138" i="92"/>
  <c r="AA137" i="92"/>
  <c r="Z137" i="92"/>
  <c r="Y137" i="92"/>
  <c r="X137" i="92"/>
  <c r="W137" i="92"/>
  <c r="V137" i="92"/>
  <c r="U137" i="92"/>
  <c r="T137" i="92"/>
  <c r="S137" i="92"/>
  <c r="R137" i="92"/>
  <c r="Q137" i="92"/>
  <c r="P137" i="92"/>
  <c r="O137" i="92"/>
  <c r="N137" i="92"/>
  <c r="M137" i="92"/>
  <c r="L137" i="92"/>
  <c r="K137" i="92"/>
  <c r="J137" i="92"/>
  <c r="I137" i="92"/>
  <c r="H137" i="92"/>
  <c r="G137" i="92"/>
  <c r="F137" i="92"/>
  <c r="E137" i="92"/>
  <c r="D137" i="92"/>
  <c r="AA136" i="92"/>
  <c r="Z136" i="92"/>
  <c r="Y136" i="92"/>
  <c r="X136" i="92"/>
  <c r="W136" i="92"/>
  <c r="V136" i="92"/>
  <c r="U136" i="92"/>
  <c r="T136" i="92"/>
  <c r="S136" i="92"/>
  <c r="R136" i="92"/>
  <c r="Q136" i="92"/>
  <c r="P136" i="92"/>
  <c r="O136" i="92"/>
  <c r="N136" i="92"/>
  <c r="M136" i="92"/>
  <c r="L136" i="92"/>
  <c r="K136" i="92"/>
  <c r="J136" i="92"/>
  <c r="I136" i="92"/>
  <c r="H136" i="92"/>
  <c r="G136" i="92"/>
  <c r="F136" i="92"/>
  <c r="E136" i="92"/>
  <c r="D136" i="92"/>
  <c r="AA135" i="92"/>
  <c r="Z135" i="92"/>
  <c r="Y135" i="92"/>
  <c r="X135" i="92"/>
  <c r="W135" i="92"/>
  <c r="V135" i="92"/>
  <c r="U135" i="92"/>
  <c r="T135" i="92"/>
  <c r="S135" i="92"/>
  <c r="R135" i="92"/>
  <c r="Q135" i="92"/>
  <c r="P135" i="92"/>
  <c r="O135" i="92"/>
  <c r="N135" i="92"/>
  <c r="M135" i="92"/>
  <c r="L135" i="92"/>
  <c r="K135" i="92"/>
  <c r="J135" i="92"/>
  <c r="I135" i="92"/>
  <c r="H135" i="92"/>
  <c r="G135" i="92"/>
  <c r="F135" i="92"/>
  <c r="E135" i="92"/>
  <c r="D135" i="92"/>
  <c r="AA134" i="92"/>
  <c r="Z134" i="92"/>
  <c r="Y134" i="92"/>
  <c r="X134" i="92"/>
  <c r="W134" i="92"/>
  <c r="V134" i="92"/>
  <c r="U134" i="92"/>
  <c r="T134" i="92"/>
  <c r="S134" i="92"/>
  <c r="R134" i="92"/>
  <c r="Q134" i="92"/>
  <c r="P134" i="92"/>
  <c r="O134" i="92"/>
  <c r="N134" i="92"/>
  <c r="M134" i="92"/>
  <c r="L134" i="92"/>
  <c r="K134" i="92"/>
  <c r="J134" i="92"/>
  <c r="I134" i="92"/>
  <c r="H134" i="92"/>
  <c r="G134" i="92"/>
  <c r="F134" i="92"/>
  <c r="E134" i="92"/>
  <c r="D134" i="92"/>
  <c r="AA133" i="92"/>
  <c r="Z133" i="92"/>
  <c r="Y133" i="92"/>
  <c r="X133" i="92"/>
  <c r="W133" i="92"/>
  <c r="V133" i="92"/>
  <c r="U133" i="92"/>
  <c r="T133" i="92"/>
  <c r="S133" i="92"/>
  <c r="R133" i="92"/>
  <c r="Q133" i="92"/>
  <c r="P133" i="92"/>
  <c r="O133" i="92"/>
  <c r="N133" i="92"/>
  <c r="M133" i="92"/>
  <c r="L133" i="92"/>
  <c r="K133" i="92"/>
  <c r="J133" i="92"/>
  <c r="I133" i="92"/>
  <c r="H133" i="92"/>
  <c r="G133" i="92"/>
  <c r="F133" i="92"/>
  <c r="E133" i="92"/>
  <c r="D133" i="92"/>
  <c r="AA132" i="92"/>
  <c r="Z132" i="92"/>
  <c r="Y132" i="92"/>
  <c r="X132" i="92"/>
  <c r="W132" i="92"/>
  <c r="V132" i="92"/>
  <c r="U132" i="92"/>
  <c r="T132" i="92"/>
  <c r="S132" i="92"/>
  <c r="R132" i="92"/>
  <c r="Q132" i="92"/>
  <c r="P132" i="92"/>
  <c r="O132" i="92"/>
  <c r="N132" i="92"/>
  <c r="M132" i="92"/>
  <c r="L132" i="92"/>
  <c r="K132" i="92"/>
  <c r="J132" i="92"/>
  <c r="I132" i="92"/>
  <c r="H132" i="92"/>
  <c r="G132" i="92"/>
  <c r="F132" i="92"/>
  <c r="E132" i="92"/>
  <c r="D132" i="92"/>
  <c r="AA131" i="92"/>
  <c r="Z131" i="92"/>
  <c r="Y131" i="92"/>
  <c r="X131" i="92"/>
  <c r="W131" i="92"/>
  <c r="V131" i="92"/>
  <c r="U131" i="92"/>
  <c r="T131" i="92"/>
  <c r="S131" i="92"/>
  <c r="R131" i="92"/>
  <c r="Q131" i="92"/>
  <c r="P131" i="92"/>
  <c r="O131" i="92"/>
  <c r="N131" i="92"/>
  <c r="M131" i="92"/>
  <c r="L131" i="92"/>
  <c r="K131" i="92"/>
  <c r="J131" i="92"/>
  <c r="I131" i="92"/>
  <c r="H131" i="92"/>
  <c r="G131" i="92"/>
  <c r="F131" i="92"/>
  <c r="E131" i="92"/>
  <c r="D131" i="92"/>
  <c r="AA130" i="92"/>
  <c r="Z130" i="92"/>
  <c r="Y130" i="92"/>
  <c r="X130" i="92"/>
  <c r="W130" i="92"/>
  <c r="V130" i="92"/>
  <c r="U130" i="92"/>
  <c r="T130" i="92"/>
  <c r="S130" i="92"/>
  <c r="R130" i="92"/>
  <c r="Q130" i="92"/>
  <c r="P130" i="92"/>
  <c r="O130" i="92"/>
  <c r="N130" i="92"/>
  <c r="M130" i="92"/>
  <c r="L130" i="92"/>
  <c r="K130" i="92"/>
  <c r="J130" i="92"/>
  <c r="I130" i="92"/>
  <c r="H130" i="92"/>
  <c r="G130" i="92"/>
  <c r="F130" i="92"/>
  <c r="E130" i="92"/>
  <c r="D130" i="92"/>
  <c r="AA129" i="92"/>
  <c r="Z129" i="92"/>
  <c r="Y129" i="92"/>
  <c r="X129" i="92"/>
  <c r="W129" i="92"/>
  <c r="V129" i="92"/>
  <c r="U129" i="92"/>
  <c r="T129" i="92"/>
  <c r="S129" i="92"/>
  <c r="R129" i="92"/>
  <c r="Q129" i="92"/>
  <c r="P129" i="92"/>
  <c r="O129" i="92"/>
  <c r="N129" i="92"/>
  <c r="M129" i="92"/>
  <c r="L129" i="92"/>
  <c r="K129" i="92"/>
  <c r="J129" i="92"/>
  <c r="I129" i="92"/>
  <c r="H129" i="92"/>
  <c r="G129" i="92"/>
  <c r="F129" i="92"/>
  <c r="E129" i="92"/>
  <c r="D129" i="92"/>
  <c r="AA128" i="92"/>
  <c r="Z128" i="92"/>
  <c r="Y128" i="92"/>
  <c r="X128" i="92"/>
  <c r="W128" i="92"/>
  <c r="V128" i="92"/>
  <c r="U128" i="92"/>
  <c r="T128" i="92"/>
  <c r="S128" i="92"/>
  <c r="R128" i="92"/>
  <c r="Q128" i="92"/>
  <c r="P128" i="92"/>
  <c r="O128" i="92"/>
  <c r="N128" i="92"/>
  <c r="M128" i="92"/>
  <c r="L128" i="92"/>
  <c r="K128" i="92"/>
  <c r="J128" i="92"/>
  <c r="I128" i="92"/>
  <c r="H128" i="92"/>
  <c r="G128" i="92"/>
  <c r="F128" i="92"/>
  <c r="E128" i="92"/>
  <c r="D128" i="92"/>
  <c r="AA127" i="92"/>
  <c r="Z127" i="92"/>
  <c r="Y127" i="92"/>
  <c r="X127" i="92"/>
  <c r="W127" i="92"/>
  <c r="V127" i="92"/>
  <c r="U127" i="92"/>
  <c r="T127" i="92"/>
  <c r="S127" i="92"/>
  <c r="R127" i="92"/>
  <c r="Q127" i="92"/>
  <c r="P127" i="92"/>
  <c r="O127" i="92"/>
  <c r="N127" i="92"/>
  <c r="M127" i="92"/>
  <c r="L127" i="92"/>
  <c r="K127" i="92"/>
  <c r="J127" i="92"/>
  <c r="I127" i="92"/>
  <c r="H127" i="92"/>
  <c r="G127" i="92"/>
  <c r="F127" i="92"/>
  <c r="E127" i="92"/>
  <c r="D127" i="92"/>
  <c r="AA126" i="92"/>
  <c r="Z126" i="92"/>
  <c r="Y126" i="92"/>
  <c r="X126" i="92"/>
  <c r="W126" i="92"/>
  <c r="V126" i="92"/>
  <c r="U126" i="92"/>
  <c r="T126" i="92"/>
  <c r="S126" i="92"/>
  <c r="R126" i="92"/>
  <c r="Q126" i="92"/>
  <c r="P126" i="92"/>
  <c r="O126" i="92"/>
  <c r="N126" i="92"/>
  <c r="M126" i="92"/>
  <c r="L126" i="92"/>
  <c r="K126" i="92"/>
  <c r="J126" i="92"/>
  <c r="I126" i="92"/>
  <c r="H126" i="92"/>
  <c r="G126" i="92"/>
  <c r="F126" i="92"/>
  <c r="E126" i="92"/>
  <c r="D126" i="92"/>
  <c r="AA125" i="92"/>
  <c r="Z125" i="92"/>
  <c r="Y125" i="92"/>
  <c r="X125" i="92"/>
  <c r="W125" i="92"/>
  <c r="V125" i="92"/>
  <c r="U125" i="92"/>
  <c r="T125" i="92"/>
  <c r="S125" i="92"/>
  <c r="R125" i="92"/>
  <c r="Q125" i="92"/>
  <c r="P125" i="92"/>
  <c r="O125" i="92"/>
  <c r="N125" i="92"/>
  <c r="M125" i="92"/>
  <c r="L125" i="92"/>
  <c r="K125" i="92"/>
  <c r="J125" i="92"/>
  <c r="I125" i="92"/>
  <c r="H125" i="92"/>
  <c r="G125" i="92"/>
  <c r="F125" i="92"/>
  <c r="E125" i="92"/>
  <c r="D125" i="92"/>
  <c r="AA124" i="92"/>
  <c r="Z124" i="92"/>
  <c r="Y124" i="92"/>
  <c r="X124" i="92"/>
  <c r="W124" i="92"/>
  <c r="V124" i="92"/>
  <c r="U124" i="92"/>
  <c r="T124" i="92"/>
  <c r="S124" i="92"/>
  <c r="R124" i="92"/>
  <c r="Q124" i="92"/>
  <c r="P124" i="92"/>
  <c r="O124" i="92"/>
  <c r="N124" i="92"/>
  <c r="M124" i="92"/>
  <c r="L124" i="92"/>
  <c r="K124" i="92"/>
  <c r="J124" i="92"/>
  <c r="I124" i="92"/>
  <c r="H124" i="92"/>
  <c r="G124" i="92"/>
  <c r="F124" i="92"/>
  <c r="E124" i="92"/>
  <c r="D124" i="92"/>
  <c r="AA123" i="92"/>
  <c r="Z123" i="92"/>
  <c r="Y123" i="92"/>
  <c r="X123" i="92"/>
  <c r="W123" i="92"/>
  <c r="V123" i="92"/>
  <c r="U123" i="92"/>
  <c r="T123" i="92"/>
  <c r="S123" i="92"/>
  <c r="R123" i="92"/>
  <c r="Q123" i="92"/>
  <c r="P123" i="92"/>
  <c r="O123" i="92"/>
  <c r="N123" i="92"/>
  <c r="M123" i="92"/>
  <c r="L123" i="92"/>
  <c r="K123" i="92"/>
  <c r="J123" i="92"/>
  <c r="I123" i="92"/>
  <c r="H123" i="92"/>
  <c r="G123" i="92"/>
  <c r="F123" i="92"/>
  <c r="E123" i="92"/>
  <c r="D123" i="92"/>
  <c r="AA122" i="92"/>
  <c r="Z122" i="92"/>
  <c r="Y122" i="92"/>
  <c r="X122" i="92"/>
  <c r="W122" i="92"/>
  <c r="V122" i="92"/>
  <c r="U122" i="92"/>
  <c r="T122" i="92"/>
  <c r="S122" i="92"/>
  <c r="R122" i="92"/>
  <c r="Q122" i="92"/>
  <c r="P122" i="92"/>
  <c r="O122" i="92"/>
  <c r="N122" i="92"/>
  <c r="M122" i="92"/>
  <c r="L122" i="92"/>
  <c r="K122" i="92"/>
  <c r="J122" i="92"/>
  <c r="I122" i="92"/>
  <c r="H122" i="92"/>
  <c r="G122" i="92"/>
  <c r="F122" i="92"/>
  <c r="E122" i="92"/>
  <c r="D122" i="92"/>
  <c r="AA121" i="92"/>
  <c r="Z121" i="92"/>
  <c r="Y121" i="92"/>
  <c r="X121" i="92"/>
  <c r="W121" i="92"/>
  <c r="V121" i="92"/>
  <c r="U121" i="92"/>
  <c r="T121" i="92"/>
  <c r="S121" i="92"/>
  <c r="R121" i="92"/>
  <c r="Q121" i="92"/>
  <c r="P121" i="92"/>
  <c r="O121" i="92"/>
  <c r="N121" i="92"/>
  <c r="M121" i="92"/>
  <c r="L121" i="92"/>
  <c r="K121" i="92"/>
  <c r="J121" i="92"/>
  <c r="I121" i="92"/>
  <c r="H121" i="92"/>
  <c r="G121" i="92"/>
  <c r="F121" i="92"/>
  <c r="E121" i="92"/>
  <c r="D121" i="92"/>
  <c r="AA120" i="92"/>
  <c r="Z120" i="92"/>
  <c r="Y120" i="92"/>
  <c r="X120" i="92"/>
  <c r="W120" i="92"/>
  <c r="V120" i="92"/>
  <c r="U120" i="92"/>
  <c r="T120" i="92"/>
  <c r="S120" i="92"/>
  <c r="R120" i="92"/>
  <c r="Q120" i="92"/>
  <c r="P120" i="92"/>
  <c r="O120" i="92"/>
  <c r="N120" i="92"/>
  <c r="M120" i="92"/>
  <c r="L120" i="92"/>
  <c r="K120" i="92"/>
  <c r="J120" i="92"/>
  <c r="I120" i="92"/>
  <c r="H120" i="92"/>
  <c r="G120" i="92"/>
  <c r="F120" i="92"/>
  <c r="E120" i="92"/>
  <c r="D120" i="92"/>
  <c r="AA119" i="92"/>
  <c r="Z119" i="92"/>
  <c r="Y119" i="92"/>
  <c r="X119" i="92"/>
  <c r="W119" i="92"/>
  <c r="V119" i="92"/>
  <c r="U119" i="92"/>
  <c r="T119" i="92"/>
  <c r="S119" i="92"/>
  <c r="R119" i="92"/>
  <c r="Q119" i="92"/>
  <c r="P119" i="92"/>
  <c r="O119" i="92"/>
  <c r="N119" i="92"/>
  <c r="M119" i="92"/>
  <c r="L119" i="92"/>
  <c r="K119" i="92"/>
  <c r="J119" i="92"/>
  <c r="I119" i="92"/>
  <c r="H119" i="92"/>
  <c r="G119" i="92"/>
  <c r="F119" i="92"/>
  <c r="E119" i="92"/>
  <c r="D119" i="92"/>
  <c r="AA118" i="92"/>
  <c r="Z118" i="92"/>
  <c r="Y118" i="92"/>
  <c r="X118" i="92"/>
  <c r="W118" i="92"/>
  <c r="V118" i="92"/>
  <c r="U118" i="92"/>
  <c r="T118" i="92"/>
  <c r="S118" i="92"/>
  <c r="R118" i="92"/>
  <c r="Q118" i="92"/>
  <c r="P118" i="92"/>
  <c r="O118" i="92"/>
  <c r="N118" i="92"/>
  <c r="M118" i="92"/>
  <c r="L118" i="92"/>
  <c r="K118" i="92"/>
  <c r="J118" i="92"/>
  <c r="I118" i="92"/>
  <c r="H118" i="92"/>
  <c r="G118" i="92"/>
  <c r="F118" i="92"/>
  <c r="E118" i="92"/>
  <c r="D118" i="92"/>
  <c r="AA117" i="92"/>
  <c r="Z117" i="92"/>
  <c r="Y117" i="92"/>
  <c r="X117" i="92"/>
  <c r="W117" i="92"/>
  <c r="V117" i="92"/>
  <c r="U117" i="92"/>
  <c r="T117" i="92"/>
  <c r="S117" i="92"/>
  <c r="R117" i="92"/>
  <c r="Q117" i="92"/>
  <c r="P117" i="92"/>
  <c r="O117" i="92"/>
  <c r="N117" i="92"/>
  <c r="M117" i="92"/>
  <c r="L117" i="92"/>
  <c r="K117" i="92"/>
  <c r="J117" i="92"/>
  <c r="I117" i="92"/>
  <c r="H117" i="92"/>
  <c r="G117" i="92"/>
  <c r="F117" i="92"/>
  <c r="E117" i="92"/>
  <c r="D117" i="92"/>
  <c r="AA116" i="92"/>
  <c r="Z116" i="92"/>
  <c r="Y116" i="92"/>
  <c r="X116" i="92"/>
  <c r="W116" i="92"/>
  <c r="V116" i="92"/>
  <c r="U116" i="92"/>
  <c r="T116" i="92"/>
  <c r="S116" i="92"/>
  <c r="R116" i="92"/>
  <c r="Q116" i="92"/>
  <c r="P116" i="92"/>
  <c r="O116" i="92"/>
  <c r="N116" i="92"/>
  <c r="M116" i="92"/>
  <c r="L116" i="92"/>
  <c r="K116" i="92"/>
  <c r="J116" i="92"/>
  <c r="I116" i="92"/>
  <c r="H116" i="92"/>
  <c r="G116" i="92"/>
  <c r="F116" i="92"/>
  <c r="E116" i="92"/>
  <c r="D116" i="92"/>
  <c r="AA115" i="92"/>
  <c r="Z115" i="92"/>
  <c r="Y115" i="92"/>
  <c r="X115" i="92"/>
  <c r="W115" i="92"/>
  <c r="V115" i="92"/>
  <c r="U115" i="92"/>
  <c r="T115" i="92"/>
  <c r="S115" i="92"/>
  <c r="R115" i="92"/>
  <c r="Q115" i="92"/>
  <c r="P115" i="92"/>
  <c r="O115" i="92"/>
  <c r="N115" i="92"/>
  <c r="M115" i="92"/>
  <c r="L115" i="92"/>
  <c r="K115" i="92"/>
  <c r="J115" i="92"/>
  <c r="I115" i="92"/>
  <c r="H115" i="92"/>
  <c r="G115" i="92"/>
  <c r="F115" i="92"/>
  <c r="E115" i="92"/>
  <c r="D115" i="92"/>
  <c r="AA114" i="92"/>
  <c r="Z114" i="92"/>
  <c r="Y114" i="92"/>
  <c r="X114" i="92"/>
  <c r="W114" i="92"/>
  <c r="V114" i="92"/>
  <c r="U114" i="92"/>
  <c r="T114" i="92"/>
  <c r="S114" i="92"/>
  <c r="R114" i="92"/>
  <c r="Q114" i="92"/>
  <c r="P114" i="92"/>
  <c r="O114" i="92"/>
  <c r="N114" i="92"/>
  <c r="M114" i="92"/>
  <c r="L114" i="92"/>
  <c r="K114" i="92"/>
  <c r="J114" i="92"/>
  <c r="I114" i="92"/>
  <c r="H114" i="92"/>
  <c r="G114" i="92"/>
  <c r="F114" i="92"/>
  <c r="E114" i="92"/>
  <c r="D114" i="92"/>
  <c r="AA113" i="92"/>
  <c r="Z113" i="92"/>
  <c r="Y113" i="92"/>
  <c r="X113" i="92"/>
  <c r="W113" i="92"/>
  <c r="V113" i="92"/>
  <c r="U113" i="92"/>
  <c r="T113" i="92"/>
  <c r="S113" i="92"/>
  <c r="R113" i="92"/>
  <c r="Q113" i="92"/>
  <c r="P113" i="92"/>
  <c r="O113" i="92"/>
  <c r="N113" i="92"/>
  <c r="M113" i="92"/>
  <c r="L113" i="92"/>
  <c r="K113" i="92"/>
  <c r="J113" i="92"/>
  <c r="I113" i="92"/>
  <c r="H113" i="92"/>
  <c r="G113" i="92"/>
  <c r="F113" i="92"/>
  <c r="E113" i="92"/>
  <c r="D113" i="92"/>
  <c r="AA112" i="92"/>
  <c r="Z112" i="92"/>
  <c r="Y112" i="92"/>
  <c r="X112" i="92"/>
  <c r="W112" i="92"/>
  <c r="V112" i="92"/>
  <c r="U112" i="92"/>
  <c r="T112" i="92"/>
  <c r="S112" i="92"/>
  <c r="R112" i="92"/>
  <c r="Q112" i="92"/>
  <c r="P112" i="92"/>
  <c r="O112" i="92"/>
  <c r="N112" i="92"/>
  <c r="M112" i="92"/>
  <c r="L112" i="92"/>
  <c r="K112" i="92"/>
  <c r="J112" i="92"/>
  <c r="I112" i="92"/>
  <c r="H112" i="92"/>
  <c r="G112" i="92"/>
  <c r="F112" i="92"/>
  <c r="E112" i="92"/>
  <c r="D112" i="92"/>
  <c r="AA111" i="92"/>
  <c r="Z111" i="92"/>
  <c r="Y111" i="92"/>
  <c r="X111" i="92"/>
  <c r="W111" i="92"/>
  <c r="V111" i="92"/>
  <c r="U111" i="92"/>
  <c r="T111" i="92"/>
  <c r="S111" i="92"/>
  <c r="R111" i="92"/>
  <c r="Q111" i="92"/>
  <c r="P111" i="92"/>
  <c r="O111" i="92"/>
  <c r="N111" i="92"/>
  <c r="M111" i="92"/>
  <c r="L111" i="92"/>
  <c r="K111" i="92"/>
  <c r="J111" i="92"/>
  <c r="I111" i="92"/>
  <c r="H111" i="92"/>
  <c r="G111" i="92"/>
  <c r="F111" i="92"/>
  <c r="E111" i="92"/>
  <c r="D111" i="92"/>
  <c r="AA110" i="92"/>
  <c r="Z110" i="92"/>
  <c r="Y110" i="92"/>
  <c r="X110" i="92"/>
  <c r="W110" i="92"/>
  <c r="V110" i="92"/>
  <c r="U110" i="92"/>
  <c r="T110" i="92"/>
  <c r="S110" i="92"/>
  <c r="R110" i="92"/>
  <c r="Q110" i="92"/>
  <c r="P110" i="92"/>
  <c r="O110" i="92"/>
  <c r="N110" i="92"/>
  <c r="M110" i="92"/>
  <c r="L110" i="92"/>
  <c r="K110" i="92"/>
  <c r="J110" i="92"/>
  <c r="I110" i="92"/>
  <c r="H110" i="92"/>
  <c r="G110" i="92"/>
  <c r="F110" i="92"/>
  <c r="E110" i="92"/>
  <c r="D110" i="92"/>
  <c r="AA109" i="92"/>
  <c r="Z109" i="92"/>
  <c r="Y109" i="92"/>
  <c r="X109" i="92"/>
  <c r="W109" i="92"/>
  <c r="V109" i="92"/>
  <c r="U109" i="92"/>
  <c r="T109" i="92"/>
  <c r="S109" i="92"/>
  <c r="R109" i="92"/>
  <c r="Q109" i="92"/>
  <c r="P109" i="92"/>
  <c r="O109" i="92"/>
  <c r="N109" i="92"/>
  <c r="M109" i="92"/>
  <c r="L109" i="92"/>
  <c r="K109" i="92"/>
  <c r="J109" i="92"/>
  <c r="I109" i="92"/>
  <c r="H109" i="92"/>
  <c r="G109" i="92"/>
  <c r="F109" i="92"/>
  <c r="E109" i="92"/>
  <c r="D109" i="92"/>
  <c r="AA108" i="92"/>
  <c r="Z108" i="92"/>
  <c r="Y108" i="92"/>
  <c r="X108" i="92"/>
  <c r="W108" i="92"/>
  <c r="V108" i="92"/>
  <c r="U108" i="92"/>
  <c r="T108" i="92"/>
  <c r="S108" i="92"/>
  <c r="R108" i="92"/>
  <c r="Q108" i="92"/>
  <c r="P108" i="92"/>
  <c r="O108" i="92"/>
  <c r="N108" i="92"/>
  <c r="M108" i="92"/>
  <c r="L108" i="92"/>
  <c r="K108" i="92"/>
  <c r="J108" i="92"/>
  <c r="I108" i="92"/>
  <c r="H108" i="92"/>
  <c r="G108" i="92"/>
  <c r="F108" i="92"/>
  <c r="E108" i="92"/>
  <c r="D108" i="92"/>
  <c r="AA107" i="92"/>
  <c r="Z107" i="92"/>
  <c r="Y107" i="92"/>
  <c r="X107" i="92"/>
  <c r="W107" i="92"/>
  <c r="V107" i="92"/>
  <c r="U107" i="92"/>
  <c r="T107" i="92"/>
  <c r="S107" i="92"/>
  <c r="R107" i="92"/>
  <c r="Q107" i="92"/>
  <c r="P107" i="92"/>
  <c r="O107" i="92"/>
  <c r="N107" i="92"/>
  <c r="M107" i="92"/>
  <c r="L107" i="92"/>
  <c r="K107" i="92"/>
  <c r="J107" i="92"/>
  <c r="I107" i="92"/>
  <c r="H107" i="92"/>
  <c r="G107" i="92"/>
  <c r="F107" i="92"/>
  <c r="E107" i="92"/>
  <c r="D107" i="92"/>
  <c r="AA106" i="92"/>
  <c r="Z106" i="92"/>
  <c r="Y106" i="92"/>
  <c r="X106" i="92"/>
  <c r="W106" i="92"/>
  <c r="V106" i="92"/>
  <c r="U106" i="92"/>
  <c r="T106" i="92"/>
  <c r="S106" i="92"/>
  <c r="R106" i="92"/>
  <c r="Q106" i="92"/>
  <c r="P106" i="92"/>
  <c r="O106" i="92"/>
  <c r="N106" i="92"/>
  <c r="M106" i="92"/>
  <c r="L106" i="92"/>
  <c r="K106" i="92"/>
  <c r="J106" i="92"/>
  <c r="I106" i="92"/>
  <c r="H106" i="92"/>
  <c r="G106" i="92"/>
  <c r="F106" i="92"/>
  <c r="E106" i="92"/>
  <c r="D106" i="92"/>
  <c r="AA105" i="92"/>
  <c r="Z105" i="92"/>
  <c r="Y105" i="92"/>
  <c r="X105" i="92"/>
  <c r="W105" i="92"/>
  <c r="V105" i="92"/>
  <c r="U105" i="92"/>
  <c r="T105" i="92"/>
  <c r="S105" i="92"/>
  <c r="R105" i="92"/>
  <c r="Q105" i="92"/>
  <c r="P105" i="92"/>
  <c r="O105" i="92"/>
  <c r="N105" i="92"/>
  <c r="M105" i="92"/>
  <c r="L105" i="92"/>
  <c r="K105" i="92"/>
  <c r="J105" i="92"/>
  <c r="I105" i="92"/>
  <c r="H105" i="92"/>
  <c r="G105" i="92"/>
  <c r="F105" i="92"/>
  <c r="E105" i="92"/>
  <c r="D105" i="92"/>
  <c r="AA104" i="92"/>
  <c r="Z104" i="92"/>
  <c r="Y104" i="92"/>
  <c r="X104" i="92"/>
  <c r="W104" i="92"/>
  <c r="V104" i="92"/>
  <c r="U104" i="92"/>
  <c r="T104" i="92"/>
  <c r="S104" i="92"/>
  <c r="R104" i="92"/>
  <c r="Q104" i="92"/>
  <c r="P104" i="92"/>
  <c r="O104" i="92"/>
  <c r="N104" i="92"/>
  <c r="M104" i="92"/>
  <c r="L104" i="92"/>
  <c r="K104" i="92"/>
  <c r="J104" i="92"/>
  <c r="I104" i="92"/>
  <c r="H104" i="92"/>
  <c r="G104" i="92"/>
  <c r="F104" i="92"/>
  <c r="E104" i="92"/>
  <c r="D104" i="92"/>
  <c r="AA103" i="92"/>
  <c r="Z103" i="92"/>
  <c r="Y103" i="92"/>
  <c r="X103" i="92"/>
  <c r="W103" i="92"/>
  <c r="V103" i="92"/>
  <c r="U103" i="92"/>
  <c r="T103" i="92"/>
  <c r="S103" i="92"/>
  <c r="R103" i="92"/>
  <c r="Q103" i="92"/>
  <c r="P103" i="92"/>
  <c r="O103" i="92"/>
  <c r="N103" i="92"/>
  <c r="M103" i="92"/>
  <c r="L103" i="92"/>
  <c r="K103" i="92"/>
  <c r="J103" i="92"/>
  <c r="I103" i="92"/>
  <c r="H103" i="92"/>
  <c r="G103" i="92"/>
  <c r="F103" i="92"/>
  <c r="E103" i="92"/>
  <c r="D103" i="92"/>
  <c r="AA102" i="92"/>
  <c r="Z102" i="92"/>
  <c r="Y102" i="92"/>
  <c r="X102" i="92"/>
  <c r="W102" i="92"/>
  <c r="V102" i="92"/>
  <c r="U102" i="92"/>
  <c r="T102" i="92"/>
  <c r="S102" i="92"/>
  <c r="R102" i="92"/>
  <c r="Q102" i="92"/>
  <c r="P102" i="92"/>
  <c r="O102" i="92"/>
  <c r="N102" i="92"/>
  <c r="M102" i="92"/>
  <c r="L102" i="92"/>
  <c r="K102" i="92"/>
  <c r="J102" i="92"/>
  <c r="I102" i="92"/>
  <c r="H102" i="92"/>
  <c r="G102" i="92"/>
  <c r="F102" i="92"/>
  <c r="E102" i="92"/>
  <c r="D102" i="92"/>
  <c r="AA101" i="92"/>
  <c r="Z101" i="92"/>
  <c r="Y101" i="92"/>
  <c r="X101" i="92"/>
  <c r="W101" i="92"/>
  <c r="V101" i="92"/>
  <c r="U101" i="92"/>
  <c r="T101" i="92"/>
  <c r="S101" i="92"/>
  <c r="R101" i="92"/>
  <c r="Q101" i="92"/>
  <c r="P101" i="92"/>
  <c r="O101" i="92"/>
  <c r="N101" i="92"/>
  <c r="M101" i="92"/>
  <c r="L101" i="92"/>
  <c r="K101" i="92"/>
  <c r="J101" i="92"/>
  <c r="I101" i="92"/>
  <c r="H101" i="92"/>
  <c r="G101" i="92"/>
  <c r="F101" i="92"/>
  <c r="E101" i="92"/>
  <c r="D101" i="92"/>
  <c r="AA100" i="92"/>
  <c r="Z100" i="92"/>
  <c r="Y100" i="92"/>
  <c r="X100" i="92"/>
  <c r="W100" i="92"/>
  <c r="V100" i="92"/>
  <c r="U100" i="92"/>
  <c r="T100" i="92"/>
  <c r="S100" i="92"/>
  <c r="R100" i="92"/>
  <c r="Q100" i="92"/>
  <c r="P100" i="92"/>
  <c r="O100" i="92"/>
  <c r="N100" i="92"/>
  <c r="M100" i="92"/>
  <c r="L100" i="92"/>
  <c r="K100" i="92"/>
  <c r="J100" i="92"/>
  <c r="I100" i="92"/>
  <c r="H100" i="92"/>
  <c r="G100" i="92"/>
  <c r="F100" i="92"/>
  <c r="E100" i="92"/>
  <c r="D100" i="92"/>
  <c r="AA99" i="92"/>
  <c r="Z99" i="92"/>
  <c r="Y99" i="92"/>
  <c r="X99" i="92"/>
  <c r="W99" i="92"/>
  <c r="V99" i="92"/>
  <c r="U99" i="92"/>
  <c r="T99" i="92"/>
  <c r="S99" i="92"/>
  <c r="R99" i="92"/>
  <c r="Q99" i="92"/>
  <c r="P99" i="92"/>
  <c r="O99" i="92"/>
  <c r="N99" i="92"/>
  <c r="M99" i="92"/>
  <c r="L99" i="92"/>
  <c r="K99" i="92"/>
  <c r="J99" i="92"/>
  <c r="I99" i="92"/>
  <c r="H99" i="92"/>
  <c r="G99" i="92"/>
  <c r="F99" i="92"/>
  <c r="E99" i="92"/>
  <c r="D99" i="92"/>
  <c r="AA98" i="92"/>
  <c r="Z98" i="92"/>
  <c r="Y98" i="92"/>
  <c r="X98" i="92"/>
  <c r="W98" i="92"/>
  <c r="V98" i="92"/>
  <c r="U98" i="92"/>
  <c r="T98" i="92"/>
  <c r="S98" i="92"/>
  <c r="R98" i="92"/>
  <c r="Q98" i="92"/>
  <c r="P98" i="92"/>
  <c r="O98" i="92"/>
  <c r="N98" i="92"/>
  <c r="M98" i="92"/>
  <c r="L98" i="92"/>
  <c r="K98" i="92"/>
  <c r="J98" i="92"/>
  <c r="I98" i="92"/>
  <c r="H98" i="92"/>
  <c r="G98" i="92"/>
  <c r="F98" i="92"/>
  <c r="E98" i="92"/>
  <c r="D98" i="92"/>
  <c r="AA97" i="92"/>
  <c r="Z97" i="92"/>
  <c r="Y97" i="92"/>
  <c r="X97" i="92"/>
  <c r="W97" i="92"/>
  <c r="V97" i="92"/>
  <c r="U97" i="92"/>
  <c r="T97" i="92"/>
  <c r="S97" i="92"/>
  <c r="R97" i="92"/>
  <c r="Q97" i="92"/>
  <c r="P97" i="92"/>
  <c r="O97" i="92"/>
  <c r="N97" i="92"/>
  <c r="M97" i="92"/>
  <c r="L97" i="92"/>
  <c r="K97" i="92"/>
  <c r="J97" i="92"/>
  <c r="I97" i="92"/>
  <c r="H97" i="92"/>
  <c r="G97" i="92"/>
  <c r="F97" i="92"/>
  <c r="E97" i="92"/>
  <c r="D97" i="92"/>
  <c r="AA96" i="92"/>
  <c r="Z96" i="92"/>
  <c r="Y96" i="92"/>
  <c r="X96" i="92"/>
  <c r="W96" i="92"/>
  <c r="V96" i="92"/>
  <c r="U96" i="92"/>
  <c r="T96" i="92"/>
  <c r="S96" i="92"/>
  <c r="R96" i="92"/>
  <c r="Q96" i="92"/>
  <c r="P96" i="92"/>
  <c r="O96" i="92"/>
  <c r="N96" i="92"/>
  <c r="M96" i="92"/>
  <c r="L96" i="92"/>
  <c r="K96" i="92"/>
  <c r="J96" i="92"/>
  <c r="I96" i="92"/>
  <c r="H96" i="92"/>
  <c r="G96" i="92"/>
  <c r="F96" i="92"/>
  <c r="E96" i="92"/>
  <c r="D96" i="92"/>
  <c r="AA95" i="92"/>
  <c r="Z95" i="92"/>
  <c r="Y95" i="92"/>
  <c r="X95" i="92"/>
  <c r="W95" i="92"/>
  <c r="V95" i="92"/>
  <c r="U95" i="92"/>
  <c r="T95" i="92"/>
  <c r="S95" i="92"/>
  <c r="R95" i="92"/>
  <c r="Q95" i="92"/>
  <c r="P95" i="92"/>
  <c r="O95" i="92"/>
  <c r="N95" i="92"/>
  <c r="M95" i="92"/>
  <c r="L95" i="92"/>
  <c r="K95" i="92"/>
  <c r="J95" i="92"/>
  <c r="I95" i="92"/>
  <c r="H95" i="92"/>
  <c r="G95" i="92"/>
  <c r="F95" i="92"/>
  <c r="E95" i="92"/>
  <c r="D95" i="92"/>
  <c r="AA94" i="92"/>
  <c r="Z94" i="92"/>
  <c r="Y94" i="92"/>
  <c r="X94" i="92"/>
  <c r="W94" i="92"/>
  <c r="V94" i="92"/>
  <c r="U94" i="92"/>
  <c r="T94" i="92"/>
  <c r="S94" i="92"/>
  <c r="R94" i="92"/>
  <c r="Q94" i="92"/>
  <c r="P94" i="92"/>
  <c r="O94" i="92"/>
  <c r="N94" i="92"/>
  <c r="M94" i="92"/>
  <c r="L94" i="92"/>
  <c r="K94" i="92"/>
  <c r="J94" i="92"/>
  <c r="I94" i="92"/>
  <c r="H94" i="92"/>
  <c r="G94" i="92"/>
  <c r="F94" i="92"/>
  <c r="E94" i="92"/>
  <c r="D94" i="92"/>
  <c r="AA93" i="92"/>
  <c r="Z93" i="92"/>
  <c r="Y93" i="92"/>
  <c r="X93" i="92"/>
  <c r="W93" i="92"/>
  <c r="V93" i="92"/>
  <c r="U93" i="92"/>
  <c r="T93" i="92"/>
  <c r="S93" i="92"/>
  <c r="R93" i="92"/>
  <c r="Q93" i="92"/>
  <c r="P93" i="92"/>
  <c r="O93" i="92"/>
  <c r="N93" i="92"/>
  <c r="M93" i="92"/>
  <c r="L93" i="92"/>
  <c r="K93" i="92"/>
  <c r="J93" i="92"/>
  <c r="I93" i="92"/>
  <c r="H93" i="92"/>
  <c r="G93" i="92"/>
  <c r="F93" i="92"/>
  <c r="E93" i="92"/>
  <c r="D93" i="92"/>
  <c r="AA92" i="92"/>
  <c r="Z92" i="92"/>
  <c r="Y92" i="92"/>
  <c r="X92" i="92"/>
  <c r="W92" i="92"/>
  <c r="V92" i="92"/>
  <c r="U92" i="92"/>
  <c r="T92" i="92"/>
  <c r="S92" i="92"/>
  <c r="R92" i="92"/>
  <c r="Q92" i="92"/>
  <c r="P92" i="92"/>
  <c r="O92" i="92"/>
  <c r="N92" i="92"/>
  <c r="M92" i="92"/>
  <c r="L92" i="92"/>
  <c r="K92" i="92"/>
  <c r="J92" i="92"/>
  <c r="I92" i="92"/>
  <c r="H92" i="92"/>
  <c r="G92" i="92"/>
  <c r="F92" i="92"/>
  <c r="E92" i="92"/>
  <c r="D92" i="92"/>
  <c r="AA91" i="92"/>
  <c r="Z91" i="92"/>
  <c r="Y91" i="92"/>
  <c r="X91" i="92"/>
  <c r="W91" i="92"/>
  <c r="V91" i="92"/>
  <c r="U91" i="92"/>
  <c r="T91" i="92"/>
  <c r="S91" i="92"/>
  <c r="R91" i="92"/>
  <c r="Q91" i="92"/>
  <c r="P91" i="92"/>
  <c r="O91" i="92"/>
  <c r="N91" i="92"/>
  <c r="M91" i="92"/>
  <c r="L91" i="92"/>
  <c r="K91" i="92"/>
  <c r="J91" i="92"/>
  <c r="I91" i="92"/>
  <c r="H91" i="92"/>
  <c r="G91" i="92"/>
  <c r="F91" i="92"/>
  <c r="E91" i="92"/>
  <c r="D91" i="92"/>
  <c r="AA90" i="92"/>
  <c r="Z90" i="92"/>
  <c r="Y90" i="92"/>
  <c r="X90" i="92"/>
  <c r="W90" i="92"/>
  <c r="V90" i="92"/>
  <c r="U90" i="92"/>
  <c r="T90" i="92"/>
  <c r="S90" i="92"/>
  <c r="R90" i="92"/>
  <c r="Q90" i="92"/>
  <c r="P90" i="92"/>
  <c r="O90" i="92"/>
  <c r="N90" i="92"/>
  <c r="M90" i="92"/>
  <c r="L90" i="92"/>
  <c r="K90" i="92"/>
  <c r="J90" i="92"/>
  <c r="I90" i="92"/>
  <c r="H90" i="92"/>
  <c r="G90" i="92"/>
  <c r="F90" i="92"/>
  <c r="E90" i="92"/>
  <c r="D90" i="92"/>
  <c r="AA89" i="92"/>
  <c r="Z89" i="92"/>
  <c r="Y89" i="92"/>
  <c r="X89" i="92"/>
  <c r="W89" i="92"/>
  <c r="V89" i="92"/>
  <c r="U89" i="92"/>
  <c r="T89" i="92"/>
  <c r="S89" i="92"/>
  <c r="R89" i="92"/>
  <c r="Q89" i="92"/>
  <c r="P89" i="92"/>
  <c r="O89" i="92"/>
  <c r="N89" i="92"/>
  <c r="M89" i="92"/>
  <c r="L89" i="92"/>
  <c r="K89" i="92"/>
  <c r="J89" i="92"/>
  <c r="I89" i="92"/>
  <c r="H89" i="92"/>
  <c r="G89" i="92"/>
  <c r="F89" i="92"/>
  <c r="E89" i="92"/>
  <c r="D89" i="92"/>
  <c r="AA88" i="92"/>
  <c r="Z88" i="92"/>
  <c r="Y88" i="92"/>
  <c r="X88" i="92"/>
  <c r="W88" i="92"/>
  <c r="V88" i="92"/>
  <c r="U88" i="92"/>
  <c r="T88" i="92"/>
  <c r="S88" i="92"/>
  <c r="R88" i="92"/>
  <c r="Q88" i="92"/>
  <c r="P88" i="92"/>
  <c r="O88" i="92"/>
  <c r="N88" i="92"/>
  <c r="M88" i="92"/>
  <c r="L88" i="92"/>
  <c r="K88" i="92"/>
  <c r="J88" i="92"/>
  <c r="I88" i="92"/>
  <c r="H88" i="92"/>
  <c r="G88" i="92"/>
  <c r="F88" i="92"/>
  <c r="E88" i="92"/>
  <c r="D88" i="92"/>
  <c r="AA87" i="92"/>
  <c r="Z87" i="92"/>
  <c r="Y87" i="92"/>
  <c r="X87" i="92"/>
  <c r="W87" i="92"/>
  <c r="V87" i="92"/>
  <c r="U87" i="92"/>
  <c r="T87" i="92"/>
  <c r="S87" i="92"/>
  <c r="R87" i="92"/>
  <c r="Q87" i="92"/>
  <c r="P87" i="92"/>
  <c r="O87" i="92"/>
  <c r="N87" i="92"/>
  <c r="M87" i="92"/>
  <c r="L87" i="92"/>
  <c r="K87" i="92"/>
  <c r="J87" i="92"/>
  <c r="I87" i="92"/>
  <c r="H87" i="92"/>
  <c r="G87" i="92"/>
  <c r="F87" i="92"/>
  <c r="E87" i="92"/>
  <c r="D87" i="92"/>
  <c r="AA86" i="92"/>
  <c r="Z86" i="92"/>
  <c r="Y86" i="92"/>
  <c r="X86" i="92"/>
  <c r="W86" i="92"/>
  <c r="V86" i="92"/>
  <c r="U86" i="92"/>
  <c r="T86" i="92"/>
  <c r="S86" i="92"/>
  <c r="R86" i="92"/>
  <c r="Q86" i="92"/>
  <c r="P86" i="92"/>
  <c r="O86" i="92"/>
  <c r="N86" i="92"/>
  <c r="M86" i="92"/>
  <c r="L86" i="92"/>
  <c r="K86" i="92"/>
  <c r="J86" i="92"/>
  <c r="I86" i="92"/>
  <c r="H86" i="92"/>
  <c r="G86" i="92"/>
  <c r="F86" i="92"/>
  <c r="E86" i="92"/>
  <c r="D86" i="92"/>
  <c r="AA85" i="92"/>
  <c r="Z85" i="92"/>
  <c r="Y85" i="92"/>
  <c r="X85" i="92"/>
  <c r="W85" i="92"/>
  <c r="V85" i="92"/>
  <c r="U85" i="92"/>
  <c r="T85" i="92"/>
  <c r="S85" i="92"/>
  <c r="R85" i="92"/>
  <c r="Q85" i="92"/>
  <c r="P85" i="92"/>
  <c r="O85" i="92"/>
  <c r="N85" i="92"/>
  <c r="M85" i="92"/>
  <c r="L85" i="92"/>
  <c r="K85" i="92"/>
  <c r="J85" i="92"/>
  <c r="I85" i="92"/>
  <c r="H85" i="92"/>
  <c r="G85" i="92"/>
  <c r="F85" i="92"/>
  <c r="E85" i="92"/>
  <c r="D85" i="92"/>
  <c r="AA84" i="92"/>
  <c r="Z84" i="92"/>
  <c r="Y84" i="92"/>
  <c r="X84" i="92"/>
  <c r="W84" i="92"/>
  <c r="V84" i="92"/>
  <c r="U84" i="92"/>
  <c r="T84" i="92"/>
  <c r="S84" i="92"/>
  <c r="R84" i="92"/>
  <c r="Q84" i="92"/>
  <c r="P84" i="92"/>
  <c r="O84" i="92"/>
  <c r="N84" i="92"/>
  <c r="M84" i="92"/>
  <c r="L84" i="92"/>
  <c r="K84" i="92"/>
  <c r="J84" i="92"/>
  <c r="I84" i="92"/>
  <c r="H84" i="92"/>
  <c r="G84" i="92"/>
  <c r="F84" i="92"/>
  <c r="E84" i="92"/>
  <c r="D84" i="92"/>
  <c r="AA83" i="92"/>
  <c r="Z83" i="92"/>
  <c r="Y83" i="92"/>
  <c r="X83" i="92"/>
  <c r="W83" i="92"/>
  <c r="V83" i="92"/>
  <c r="U83" i="92"/>
  <c r="T83" i="92"/>
  <c r="S83" i="92"/>
  <c r="R83" i="92"/>
  <c r="Q83" i="92"/>
  <c r="P83" i="92"/>
  <c r="O83" i="92"/>
  <c r="N83" i="92"/>
  <c r="M83" i="92"/>
  <c r="L83" i="92"/>
  <c r="K83" i="92"/>
  <c r="J83" i="92"/>
  <c r="I83" i="92"/>
  <c r="H83" i="92"/>
  <c r="G83" i="92"/>
  <c r="F83" i="92"/>
  <c r="E83" i="92"/>
  <c r="D83" i="92"/>
  <c r="AA82" i="92"/>
  <c r="Z82" i="92"/>
  <c r="Y82" i="92"/>
  <c r="X82" i="92"/>
  <c r="W82" i="92"/>
  <c r="V82" i="92"/>
  <c r="U82" i="92"/>
  <c r="T82" i="92"/>
  <c r="S82" i="92"/>
  <c r="R82" i="92"/>
  <c r="Q82" i="92"/>
  <c r="P82" i="92"/>
  <c r="O82" i="92"/>
  <c r="N82" i="92"/>
  <c r="M82" i="92"/>
  <c r="L82" i="92"/>
  <c r="K82" i="92"/>
  <c r="J82" i="92"/>
  <c r="I82" i="92"/>
  <c r="H82" i="92"/>
  <c r="G82" i="92"/>
  <c r="F82" i="92"/>
  <c r="E82" i="92"/>
  <c r="D82" i="92"/>
  <c r="AA81" i="92"/>
  <c r="Z81" i="92"/>
  <c r="Y81" i="92"/>
  <c r="X81" i="92"/>
  <c r="W81" i="92"/>
  <c r="V81" i="92"/>
  <c r="U81" i="92"/>
  <c r="T81" i="92"/>
  <c r="S81" i="92"/>
  <c r="R81" i="92"/>
  <c r="Q81" i="92"/>
  <c r="P81" i="92"/>
  <c r="O81" i="92"/>
  <c r="N81" i="92"/>
  <c r="M81" i="92"/>
  <c r="L81" i="92"/>
  <c r="K81" i="92"/>
  <c r="J81" i="92"/>
  <c r="I81" i="92"/>
  <c r="H81" i="92"/>
  <c r="G81" i="92"/>
  <c r="F81" i="92"/>
  <c r="E81" i="92"/>
  <c r="D81" i="92"/>
  <c r="AA80" i="92"/>
  <c r="Z80" i="92"/>
  <c r="Y80" i="92"/>
  <c r="X80" i="92"/>
  <c r="W80" i="92"/>
  <c r="V80" i="92"/>
  <c r="U80" i="92"/>
  <c r="T80" i="92"/>
  <c r="S80" i="92"/>
  <c r="R80" i="92"/>
  <c r="Q80" i="92"/>
  <c r="P80" i="92"/>
  <c r="O80" i="92"/>
  <c r="N80" i="92"/>
  <c r="M80" i="92"/>
  <c r="L80" i="92"/>
  <c r="K80" i="92"/>
  <c r="J80" i="92"/>
  <c r="I80" i="92"/>
  <c r="H80" i="92"/>
  <c r="G80" i="92"/>
  <c r="F80" i="92"/>
  <c r="E80" i="92"/>
  <c r="D80" i="92"/>
  <c r="AA79" i="92"/>
  <c r="Z79" i="92"/>
  <c r="Y79" i="92"/>
  <c r="X79" i="92"/>
  <c r="W79" i="92"/>
  <c r="V79" i="92"/>
  <c r="U79" i="92"/>
  <c r="T79" i="92"/>
  <c r="S79" i="92"/>
  <c r="R79" i="92"/>
  <c r="Q79" i="92"/>
  <c r="P79" i="92"/>
  <c r="O79" i="92"/>
  <c r="N79" i="92"/>
  <c r="M79" i="92"/>
  <c r="L79" i="92"/>
  <c r="K79" i="92"/>
  <c r="J79" i="92"/>
  <c r="I79" i="92"/>
  <c r="H79" i="92"/>
  <c r="G79" i="92"/>
  <c r="F79" i="92"/>
  <c r="E79" i="92"/>
  <c r="D79" i="92"/>
  <c r="AA78" i="92"/>
  <c r="Z78" i="92"/>
  <c r="Y78" i="92"/>
  <c r="X78" i="92"/>
  <c r="W78" i="92"/>
  <c r="V78" i="92"/>
  <c r="U78" i="92"/>
  <c r="T78" i="92"/>
  <c r="S78" i="92"/>
  <c r="R78" i="92"/>
  <c r="Q78" i="92"/>
  <c r="P78" i="92"/>
  <c r="O78" i="92"/>
  <c r="N78" i="92"/>
  <c r="M78" i="92"/>
  <c r="L78" i="92"/>
  <c r="K78" i="92"/>
  <c r="J78" i="92"/>
  <c r="I78" i="92"/>
  <c r="H78" i="92"/>
  <c r="G78" i="92"/>
  <c r="F78" i="92"/>
  <c r="E78" i="92"/>
  <c r="D78" i="92"/>
  <c r="AA77" i="92"/>
  <c r="Z77" i="92"/>
  <c r="Y77" i="92"/>
  <c r="X77" i="92"/>
  <c r="W77" i="92"/>
  <c r="V77" i="92"/>
  <c r="U77" i="92"/>
  <c r="T77" i="92"/>
  <c r="S77" i="92"/>
  <c r="R77" i="92"/>
  <c r="Q77" i="92"/>
  <c r="P77" i="92"/>
  <c r="O77" i="92"/>
  <c r="N77" i="92"/>
  <c r="M77" i="92"/>
  <c r="L77" i="92"/>
  <c r="K77" i="92"/>
  <c r="J77" i="92"/>
  <c r="I77" i="92"/>
  <c r="H77" i="92"/>
  <c r="G77" i="92"/>
  <c r="F77" i="92"/>
  <c r="E77" i="92"/>
  <c r="D77" i="92"/>
  <c r="AA76" i="92"/>
  <c r="Z76" i="92"/>
  <c r="Y76" i="92"/>
  <c r="X76" i="92"/>
  <c r="W76" i="92"/>
  <c r="V76" i="92"/>
  <c r="U76" i="92"/>
  <c r="T76" i="92"/>
  <c r="S76" i="92"/>
  <c r="R76" i="92"/>
  <c r="Q76" i="92"/>
  <c r="P76" i="92"/>
  <c r="O76" i="92"/>
  <c r="N76" i="92"/>
  <c r="M76" i="92"/>
  <c r="L76" i="92"/>
  <c r="K76" i="92"/>
  <c r="J76" i="92"/>
  <c r="I76" i="92"/>
  <c r="H76" i="92"/>
  <c r="G76" i="92"/>
  <c r="F76" i="92"/>
  <c r="E76" i="92"/>
  <c r="D76" i="92"/>
  <c r="AA75" i="92"/>
  <c r="Z75" i="92"/>
  <c r="Y75" i="92"/>
  <c r="X75" i="92"/>
  <c r="W75" i="92"/>
  <c r="V75" i="92"/>
  <c r="U75" i="92"/>
  <c r="T75" i="92"/>
  <c r="S75" i="92"/>
  <c r="R75" i="92"/>
  <c r="Q75" i="92"/>
  <c r="P75" i="92"/>
  <c r="O75" i="92"/>
  <c r="N75" i="92"/>
  <c r="M75" i="92"/>
  <c r="L75" i="92"/>
  <c r="K75" i="92"/>
  <c r="J75" i="92"/>
  <c r="I75" i="92"/>
  <c r="H75" i="92"/>
  <c r="G75" i="92"/>
  <c r="F75" i="92"/>
  <c r="E75" i="92"/>
  <c r="D75" i="92"/>
  <c r="AA74" i="92"/>
  <c r="Z74" i="92"/>
  <c r="Y74" i="92"/>
  <c r="X74" i="92"/>
  <c r="W74" i="92"/>
  <c r="V74" i="92"/>
  <c r="U74" i="92"/>
  <c r="T74" i="92"/>
  <c r="S74" i="92"/>
  <c r="R74" i="92"/>
  <c r="Q74" i="92"/>
  <c r="P74" i="92"/>
  <c r="O74" i="92"/>
  <c r="N74" i="92"/>
  <c r="M74" i="92"/>
  <c r="L74" i="92"/>
  <c r="K74" i="92"/>
  <c r="J74" i="92"/>
  <c r="I74" i="92"/>
  <c r="H74" i="92"/>
  <c r="G74" i="92"/>
  <c r="F74" i="92"/>
  <c r="E74" i="92"/>
  <c r="D74" i="92"/>
  <c r="AA73" i="92"/>
  <c r="Z73" i="92"/>
  <c r="Y73" i="92"/>
  <c r="X73" i="92"/>
  <c r="W73" i="92"/>
  <c r="V73" i="92"/>
  <c r="U73" i="92"/>
  <c r="T73" i="92"/>
  <c r="S73" i="92"/>
  <c r="R73" i="92"/>
  <c r="Q73" i="92"/>
  <c r="P73" i="92"/>
  <c r="O73" i="92"/>
  <c r="N73" i="92"/>
  <c r="M73" i="92"/>
  <c r="L73" i="92"/>
  <c r="K73" i="92"/>
  <c r="J73" i="92"/>
  <c r="I73" i="92"/>
  <c r="H73" i="92"/>
  <c r="G73" i="92"/>
  <c r="F73" i="92"/>
  <c r="E73" i="92"/>
  <c r="D73" i="92"/>
  <c r="AA72" i="92"/>
  <c r="Z72" i="92"/>
  <c r="Y72" i="92"/>
  <c r="X72" i="92"/>
  <c r="W72" i="92"/>
  <c r="V72" i="92"/>
  <c r="U72" i="92"/>
  <c r="T72" i="92"/>
  <c r="S72" i="92"/>
  <c r="R72" i="92"/>
  <c r="Q72" i="92"/>
  <c r="P72" i="92"/>
  <c r="O72" i="92"/>
  <c r="N72" i="92"/>
  <c r="M72" i="92"/>
  <c r="L72" i="92"/>
  <c r="K72" i="92"/>
  <c r="J72" i="92"/>
  <c r="I72" i="92"/>
  <c r="H72" i="92"/>
  <c r="G72" i="92"/>
  <c r="F72" i="92"/>
  <c r="E72" i="92"/>
  <c r="D72" i="92"/>
  <c r="AA71" i="92"/>
  <c r="Z71" i="92"/>
  <c r="Y71" i="92"/>
  <c r="X71" i="92"/>
  <c r="W71" i="92"/>
  <c r="V71" i="92"/>
  <c r="U71" i="92"/>
  <c r="T71" i="92"/>
  <c r="S71" i="92"/>
  <c r="R71" i="92"/>
  <c r="Q71" i="92"/>
  <c r="P71" i="92"/>
  <c r="O71" i="92"/>
  <c r="N71" i="92"/>
  <c r="M71" i="92"/>
  <c r="L71" i="92"/>
  <c r="K71" i="92"/>
  <c r="J71" i="92"/>
  <c r="I71" i="92"/>
  <c r="H71" i="92"/>
  <c r="G71" i="92"/>
  <c r="F71" i="92"/>
  <c r="E71" i="92"/>
  <c r="D71" i="92"/>
  <c r="AA70" i="92"/>
  <c r="Z70" i="92"/>
  <c r="Y70" i="92"/>
  <c r="X70" i="92"/>
  <c r="W70" i="92"/>
  <c r="V70" i="92"/>
  <c r="U70" i="92"/>
  <c r="T70" i="92"/>
  <c r="S70" i="92"/>
  <c r="R70" i="92"/>
  <c r="Q70" i="92"/>
  <c r="P70" i="92"/>
  <c r="O70" i="92"/>
  <c r="N70" i="92"/>
  <c r="M70" i="92"/>
  <c r="L70" i="92"/>
  <c r="K70" i="92"/>
  <c r="J70" i="92"/>
  <c r="I70" i="92"/>
  <c r="H70" i="92"/>
  <c r="G70" i="92"/>
  <c r="F70" i="92"/>
  <c r="E70" i="92"/>
  <c r="D70" i="92"/>
  <c r="AA69" i="92"/>
  <c r="Z69" i="92"/>
  <c r="Y69" i="92"/>
  <c r="X69" i="92"/>
  <c r="W69" i="92"/>
  <c r="V69" i="92"/>
  <c r="U69" i="92"/>
  <c r="T69" i="92"/>
  <c r="S69" i="92"/>
  <c r="R69" i="92"/>
  <c r="Q69" i="92"/>
  <c r="P69" i="92"/>
  <c r="O69" i="92"/>
  <c r="N69" i="92"/>
  <c r="M69" i="92"/>
  <c r="L69" i="92"/>
  <c r="K69" i="92"/>
  <c r="J69" i="92"/>
  <c r="I69" i="92"/>
  <c r="H69" i="92"/>
  <c r="G69" i="92"/>
  <c r="F69" i="92"/>
  <c r="E69" i="92"/>
  <c r="D69" i="92"/>
  <c r="AA68" i="92"/>
  <c r="Z68" i="92"/>
  <c r="Y68" i="92"/>
  <c r="X68" i="92"/>
  <c r="W68" i="92"/>
  <c r="V68" i="92"/>
  <c r="U68" i="92"/>
  <c r="T68" i="92"/>
  <c r="S68" i="92"/>
  <c r="R68" i="92"/>
  <c r="Q68" i="92"/>
  <c r="P68" i="92"/>
  <c r="O68" i="92"/>
  <c r="N68" i="92"/>
  <c r="M68" i="92"/>
  <c r="L68" i="92"/>
  <c r="K68" i="92"/>
  <c r="J68" i="92"/>
  <c r="I68" i="92"/>
  <c r="H68" i="92"/>
  <c r="G68" i="92"/>
  <c r="F68" i="92"/>
  <c r="E68" i="92"/>
  <c r="D68" i="92"/>
  <c r="AA67" i="92"/>
  <c r="Z67" i="92"/>
  <c r="Y67" i="92"/>
  <c r="X67" i="92"/>
  <c r="W67" i="92"/>
  <c r="V67" i="92"/>
  <c r="U67" i="92"/>
  <c r="T67" i="92"/>
  <c r="S67" i="92"/>
  <c r="R67" i="92"/>
  <c r="Q67" i="92"/>
  <c r="P67" i="92"/>
  <c r="O67" i="92"/>
  <c r="N67" i="92"/>
  <c r="M67" i="92"/>
  <c r="L67" i="92"/>
  <c r="K67" i="92"/>
  <c r="J67" i="92"/>
  <c r="I67" i="92"/>
  <c r="H67" i="92"/>
  <c r="G67" i="92"/>
  <c r="F67" i="92"/>
  <c r="E67" i="92"/>
  <c r="D67" i="92"/>
  <c r="AA66" i="92"/>
  <c r="Z66" i="92"/>
  <c r="Y66" i="92"/>
  <c r="X66" i="92"/>
  <c r="W66" i="92"/>
  <c r="V66" i="92"/>
  <c r="U66" i="92"/>
  <c r="T66" i="92"/>
  <c r="S66" i="92"/>
  <c r="R66" i="92"/>
  <c r="Q66" i="92"/>
  <c r="P66" i="92"/>
  <c r="O66" i="92"/>
  <c r="N66" i="92"/>
  <c r="M66" i="92"/>
  <c r="L66" i="92"/>
  <c r="K66" i="92"/>
  <c r="J66" i="92"/>
  <c r="I66" i="92"/>
  <c r="H66" i="92"/>
  <c r="G66" i="92"/>
  <c r="F66" i="92"/>
  <c r="E66" i="92"/>
  <c r="D66" i="92"/>
  <c r="AA65" i="92"/>
  <c r="Z65" i="92"/>
  <c r="Y65" i="92"/>
  <c r="X65" i="92"/>
  <c r="W65" i="92"/>
  <c r="V65" i="92"/>
  <c r="U65" i="92"/>
  <c r="T65" i="92"/>
  <c r="S65" i="92"/>
  <c r="R65" i="92"/>
  <c r="Q65" i="92"/>
  <c r="P65" i="92"/>
  <c r="O65" i="92"/>
  <c r="N65" i="92"/>
  <c r="M65" i="92"/>
  <c r="L65" i="92"/>
  <c r="K65" i="92"/>
  <c r="J65" i="92"/>
  <c r="I65" i="92"/>
  <c r="H65" i="92"/>
  <c r="G65" i="92"/>
  <c r="F65" i="92"/>
  <c r="E65" i="92"/>
  <c r="D65" i="92"/>
  <c r="AA64" i="92"/>
  <c r="Z64" i="92"/>
  <c r="Y64" i="92"/>
  <c r="X64" i="92"/>
  <c r="W64" i="92"/>
  <c r="V64" i="92"/>
  <c r="U64" i="92"/>
  <c r="T64" i="92"/>
  <c r="S64" i="92"/>
  <c r="R64" i="92"/>
  <c r="Q64" i="92"/>
  <c r="P64" i="92"/>
  <c r="O64" i="92"/>
  <c r="N64" i="92"/>
  <c r="M64" i="92"/>
  <c r="L64" i="92"/>
  <c r="K64" i="92"/>
  <c r="J64" i="92"/>
  <c r="I64" i="92"/>
  <c r="H64" i="92"/>
  <c r="G64" i="92"/>
  <c r="F64" i="92"/>
  <c r="E64" i="92"/>
  <c r="D64" i="92"/>
  <c r="AA63" i="92"/>
  <c r="Z63" i="92"/>
  <c r="Y63" i="92"/>
  <c r="X63" i="92"/>
  <c r="W63" i="92"/>
  <c r="V63" i="92"/>
  <c r="U63" i="92"/>
  <c r="T63" i="92"/>
  <c r="S63" i="92"/>
  <c r="R63" i="92"/>
  <c r="Q63" i="92"/>
  <c r="P63" i="92"/>
  <c r="O63" i="92"/>
  <c r="N63" i="92"/>
  <c r="M63" i="92"/>
  <c r="L63" i="92"/>
  <c r="K63" i="92"/>
  <c r="J63" i="92"/>
  <c r="I63" i="92"/>
  <c r="H63" i="92"/>
  <c r="G63" i="92"/>
  <c r="F63" i="92"/>
  <c r="E63" i="92"/>
  <c r="D63" i="92"/>
  <c r="AA62" i="92"/>
  <c r="Z62" i="92"/>
  <c r="Y62" i="92"/>
  <c r="X62" i="92"/>
  <c r="W62" i="92"/>
  <c r="V62" i="92"/>
  <c r="U62" i="92"/>
  <c r="T62" i="92"/>
  <c r="S62" i="92"/>
  <c r="R62" i="92"/>
  <c r="Q62" i="92"/>
  <c r="P62" i="92"/>
  <c r="O62" i="92"/>
  <c r="N62" i="92"/>
  <c r="M62" i="92"/>
  <c r="L62" i="92"/>
  <c r="K62" i="92"/>
  <c r="J62" i="92"/>
  <c r="I62" i="92"/>
  <c r="H62" i="92"/>
  <c r="G62" i="92"/>
  <c r="F62" i="92"/>
  <c r="E62" i="92"/>
  <c r="D62" i="92"/>
  <c r="AA61" i="92"/>
  <c r="Z61" i="92"/>
  <c r="Y61" i="92"/>
  <c r="X61" i="92"/>
  <c r="W61" i="92"/>
  <c r="V61" i="92"/>
  <c r="U61" i="92"/>
  <c r="T61" i="92"/>
  <c r="S61" i="92"/>
  <c r="R61" i="92"/>
  <c r="Q61" i="92"/>
  <c r="P61" i="92"/>
  <c r="O61" i="92"/>
  <c r="N61" i="92"/>
  <c r="M61" i="92"/>
  <c r="L61" i="92"/>
  <c r="K61" i="92"/>
  <c r="J61" i="92"/>
  <c r="I61" i="92"/>
  <c r="H61" i="92"/>
  <c r="G61" i="92"/>
  <c r="F61" i="92"/>
  <c r="E61" i="92"/>
  <c r="D61" i="92"/>
  <c r="AA60" i="92"/>
  <c r="Z60" i="92"/>
  <c r="Y60" i="92"/>
  <c r="X60" i="92"/>
  <c r="W60" i="92"/>
  <c r="V60" i="92"/>
  <c r="U60" i="92"/>
  <c r="T60" i="92"/>
  <c r="S60" i="92"/>
  <c r="R60" i="92"/>
  <c r="Q60" i="92"/>
  <c r="P60" i="92"/>
  <c r="O60" i="92"/>
  <c r="N60" i="92"/>
  <c r="M60" i="92"/>
  <c r="L60" i="92"/>
  <c r="K60" i="92"/>
  <c r="J60" i="92"/>
  <c r="I60" i="92"/>
  <c r="H60" i="92"/>
  <c r="G60" i="92"/>
  <c r="F60" i="92"/>
  <c r="E60" i="92"/>
  <c r="D60" i="92"/>
  <c r="AA59" i="92"/>
  <c r="Z59" i="92"/>
  <c r="Y59" i="92"/>
  <c r="X59" i="92"/>
  <c r="W59" i="92"/>
  <c r="V59" i="92"/>
  <c r="U59" i="92"/>
  <c r="T59" i="92"/>
  <c r="S59" i="92"/>
  <c r="R59" i="92"/>
  <c r="Q59" i="92"/>
  <c r="P59" i="92"/>
  <c r="O59" i="92"/>
  <c r="N59" i="92"/>
  <c r="M59" i="92"/>
  <c r="L59" i="92"/>
  <c r="K59" i="92"/>
  <c r="J59" i="92"/>
  <c r="I59" i="92"/>
  <c r="H59" i="92"/>
  <c r="G59" i="92"/>
  <c r="F59" i="92"/>
  <c r="E59" i="92"/>
  <c r="D59" i="92"/>
  <c r="AA58" i="92"/>
  <c r="Z58" i="92"/>
  <c r="Y58" i="92"/>
  <c r="X58" i="92"/>
  <c r="W58" i="92"/>
  <c r="V58" i="92"/>
  <c r="U58" i="92"/>
  <c r="T58" i="92"/>
  <c r="S58" i="92"/>
  <c r="R58" i="92"/>
  <c r="Q58" i="92"/>
  <c r="P58" i="92"/>
  <c r="O58" i="92"/>
  <c r="N58" i="92"/>
  <c r="M58" i="92"/>
  <c r="L58" i="92"/>
  <c r="K58" i="92"/>
  <c r="J58" i="92"/>
  <c r="I58" i="92"/>
  <c r="H58" i="92"/>
  <c r="G58" i="92"/>
  <c r="F58" i="92"/>
  <c r="E58" i="92"/>
  <c r="D58" i="92"/>
  <c r="AA57" i="92"/>
  <c r="Z57" i="92"/>
  <c r="Y57" i="92"/>
  <c r="X57" i="92"/>
  <c r="W57" i="92"/>
  <c r="V57" i="92"/>
  <c r="U57" i="92"/>
  <c r="T57" i="92"/>
  <c r="S57" i="92"/>
  <c r="R57" i="92"/>
  <c r="Q57" i="92"/>
  <c r="P57" i="92"/>
  <c r="O57" i="92"/>
  <c r="N57" i="92"/>
  <c r="M57" i="92"/>
  <c r="L57" i="92"/>
  <c r="K57" i="92"/>
  <c r="J57" i="92"/>
  <c r="I57" i="92"/>
  <c r="H57" i="92"/>
  <c r="G57" i="92"/>
  <c r="F57" i="92"/>
  <c r="E57" i="92"/>
  <c r="D57" i="92"/>
  <c r="AA56" i="92"/>
  <c r="Z56" i="92"/>
  <c r="Y56" i="92"/>
  <c r="X56" i="92"/>
  <c r="W56" i="92"/>
  <c r="V56" i="92"/>
  <c r="U56" i="92"/>
  <c r="T56" i="92"/>
  <c r="S56" i="92"/>
  <c r="R56" i="92"/>
  <c r="Q56" i="92"/>
  <c r="P56" i="92"/>
  <c r="O56" i="92"/>
  <c r="N56" i="92"/>
  <c r="M56" i="92"/>
  <c r="L56" i="92"/>
  <c r="K56" i="92"/>
  <c r="J56" i="92"/>
  <c r="I56" i="92"/>
  <c r="H56" i="92"/>
  <c r="G56" i="92"/>
  <c r="F56" i="92"/>
  <c r="E56" i="92"/>
  <c r="D56" i="92"/>
  <c r="AA55" i="92"/>
  <c r="Z55" i="92"/>
  <c r="Y55" i="92"/>
  <c r="X55" i="92"/>
  <c r="W55" i="92"/>
  <c r="V55" i="92"/>
  <c r="U55" i="92"/>
  <c r="T55" i="92"/>
  <c r="S55" i="92"/>
  <c r="R55" i="92"/>
  <c r="Q55" i="92"/>
  <c r="P55" i="92"/>
  <c r="O55" i="92"/>
  <c r="N55" i="92"/>
  <c r="M55" i="92"/>
  <c r="L55" i="92"/>
  <c r="K55" i="92"/>
  <c r="J55" i="92"/>
  <c r="I55" i="92"/>
  <c r="H55" i="92"/>
  <c r="G55" i="92"/>
  <c r="F55" i="92"/>
  <c r="E55" i="92"/>
  <c r="D55" i="92"/>
  <c r="AA54" i="92"/>
  <c r="Z54" i="92"/>
  <c r="Y54" i="92"/>
  <c r="X54" i="92"/>
  <c r="W54" i="92"/>
  <c r="V54" i="92"/>
  <c r="U54" i="92"/>
  <c r="T54" i="92"/>
  <c r="S54" i="92"/>
  <c r="R54" i="92"/>
  <c r="Q54" i="92"/>
  <c r="P54" i="92"/>
  <c r="O54" i="92"/>
  <c r="N54" i="92"/>
  <c r="M54" i="92"/>
  <c r="L54" i="92"/>
  <c r="K54" i="92"/>
  <c r="J54" i="92"/>
  <c r="I54" i="92"/>
  <c r="H54" i="92"/>
  <c r="G54" i="92"/>
  <c r="F54" i="92"/>
  <c r="E54" i="92"/>
  <c r="D54" i="92"/>
  <c r="AA53" i="92"/>
  <c r="Z53" i="92"/>
  <c r="Y53" i="92"/>
  <c r="X53" i="92"/>
  <c r="W53" i="92"/>
  <c r="V53" i="92"/>
  <c r="U53" i="92"/>
  <c r="T53" i="92"/>
  <c r="S53" i="92"/>
  <c r="R53" i="92"/>
  <c r="Q53" i="92"/>
  <c r="P53" i="92"/>
  <c r="O53" i="92"/>
  <c r="N53" i="92"/>
  <c r="M53" i="92"/>
  <c r="L53" i="92"/>
  <c r="K53" i="92"/>
  <c r="J53" i="92"/>
  <c r="I53" i="92"/>
  <c r="H53" i="92"/>
  <c r="G53" i="92"/>
  <c r="F53" i="92"/>
  <c r="E53" i="92"/>
  <c r="D53" i="92"/>
  <c r="AA52" i="92"/>
  <c r="Z52" i="92"/>
  <c r="Y52" i="92"/>
  <c r="X52" i="92"/>
  <c r="W52" i="92"/>
  <c r="V52" i="92"/>
  <c r="U52" i="92"/>
  <c r="T52" i="92"/>
  <c r="S52" i="92"/>
  <c r="R52" i="92"/>
  <c r="Q52" i="92"/>
  <c r="P52" i="92"/>
  <c r="O52" i="92"/>
  <c r="N52" i="92"/>
  <c r="M52" i="92"/>
  <c r="L52" i="92"/>
  <c r="K52" i="92"/>
  <c r="J52" i="92"/>
  <c r="I52" i="92"/>
  <c r="H52" i="92"/>
  <c r="G52" i="92"/>
  <c r="F52" i="92"/>
  <c r="E52" i="92"/>
  <c r="D52" i="92"/>
  <c r="AA51" i="92"/>
  <c r="Z51" i="92"/>
  <c r="Y51" i="92"/>
  <c r="X51" i="92"/>
  <c r="W51" i="92"/>
  <c r="V51" i="92"/>
  <c r="U51" i="92"/>
  <c r="T51" i="92"/>
  <c r="S51" i="92"/>
  <c r="R51" i="92"/>
  <c r="Q51" i="92"/>
  <c r="P51" i="92"/>
  <c r="O51" i="92"/>
  <c r="N51" i="92"/>
  <c r="M51" i="92"/>
  <c r="L51" i="92"/>
  <c r="K51" i="92"/>
  <c r="J51" i="92"/>
  <c r="I51" i="92"/>
  <c r="H51" i="92"/>
  <c r="G51" i="92"/>
  <c r="F51" i="92"/>
  <c r="E51" i="92"/>
  <c r="D51" i="92"/>
  <c r="AA50" i="92"/>
  <c r="Z50" i="92"/>
  <c r="Y50" i="92"/>
  <c r="X50" i="92"/>
  <c r="W50" i="92"/>
  <c r="V50" i="92"/>
  <c r="U50" i="92"/>
  <c r="T50" i="92"/>
  <c r="S50" i="92"/>
  <c r="R50" i="92"/>
  <c r="Q50" i="92"/>
  <c r="P50" i="92"/>
  <c r="O50" i="92"/>
  <c r="N50" i="92"/>
  <c r="M50" i="92"/>
  <c r="L50" i="92"/>
  <c r="K50" i="92"/>
  <c r="J50" i="92"/>
  <c r="I50" i="92"/>
  <c r="H50" i="92"/>
  <c r="G50" i="92"/>
  <c r="F50" i="92"/>
  <c r="E50" i="92"/>
  <c r="D50" i="92"/>
  <c r="AA49" i="92"/>
  <c r="Z49" i="92"/>
  <c r="Y49" i="92"/>
  <c r="X49" i="92"/>
  <c r="W49" i="92"/>
  <c r="V49" i="92"/>
  <c r="U49" i="92"/>
  <c r="T49" i="92"/>
  <c r="S49" i="92"/>
  <c r="R49" i="92"/>
  <c r="Q49" i="92"/>
  <c r="P49" i="92"/>
  <c r="O49" i="92"/>
  <c r="N49" i="92"/>
  <c r="M49" i="92"/>
  <c r="L49" i="92"/>
  <c r="K49" i="92"/>
  <c r="J49" i="92"/>
  <c r="I49" i="92"/>
  <c r="H49" i="92"/>
  <c r="G49" i="92"/>
  <c r="F49" i="92"/>
  <c r="E49" i="92"/>
  <c r="D49" i="92"/>
  <c r="AA48" i="92"/>
  <c r="Z48" i="92"/>
  <c r="Y48" i="92"/>
  <c r="X48" i="92"/>
  <c r="W48" i="92"/>
  <c r="V48" i="92"/>
  <c r="U48" i="92"/>
  <c r="T48" i="92"/>
  <c r="S48" i="92"/>
  <c r="R48" i="92"/>
  <c r="Q48" i="92"/>
  <c r="P48" i="92"/>
  <c r="O48" i="92"/>
  <c r="N48" i="92"/>
  <c r="M48" i="92"/>
  <c r="L48" i="92"/>
  <c r="K48" i="92"/>
  <c r="J48" i="92"/>
  <c r="I48" i="92"/>
  <c r="H48" i="92"/>
  <c r="G48" i="92"/>
  <c r="F48" i="92"/>
  <c r="E48" i="92"/>
  <c r="D48" i="92"/>
  <c r="AA47" i="92"/>
  <c r="Z47" i="92"/>
  <c r="Y47" i="92"/>
  <c r="X47" i="92"/>
  <c r="W47" i="92"/>
  <c r="V47" i="92"/>
  <c r="U47" i="92"/>
  <c r="T47" i="92"/>
  <c r="S47" i="92"/>
  <c r="R47" i="92"/>
  <c r="Q47" i="92"/>
  <c r="P47" i="92"/>
  <c r="O47" i="92"/>
  <c r="N47" i="92"/>
  <c r="M47" i="92"/>
  <c r="L47" i="92"/>
  <c r="K47" i="92"/>
  <c r="J47" i="92"/>
  <c r="I47" i="92"/>
  <c r="H47" i="92"/>
  <c r="G47" i="92"/>
  <c r="F47" i="92"/>
  <c r="E47" i="92"/>
  <c r="D47" i="92"/>
  <c r="AA46" i="92"/>
  <c r="Z46" i="92"/>
  <c r="Y46" i="92"/>
  <c r="X46" i="92"/>
  <c r="W46" i="92"/>
  <c r="V46" i="92"/>
  <c r="U46" i="92"/>
  <c r="T46" i="92"/>
  <c r="S46" i="92"/>
  <c r="R46" i="92"/>
  <c r="Q46" i="92"/>
  <c r="P46" i="92"/>
  <c r="O46" i="92"/>
  <c r="N46" i="92"/>
  <c r="M46" i="92"/>
  <c r="L46" i="92"/>
  <c r="K46" i="92"/>
  <c r="J46" i="92"/>
  <c r="I46" i="92"/>
  <c r="H46" i="92"/>
  <c r="G46" i="92"/>
  <c r="F46" i="92"/>
  <c r="E46" i="92"/>
  <c r="D46" i="92"/>
  <c r="AA45" i="92"/>
  <c r="Z45" i="92"/>
  <c r="Y45" i="92"/>
  <c r="X45" i="92"/>
  <c r="W45" i="92"/>
  <c r="V45" i="92"/>
  <c r="U45" i="92"/>
  <c r="T45" i="92"/>
  <c r="S45" i="92"/>
  <c r="R45" i="92"/>
  <c r="Q45" i="92"/>
  <c r="P45" i="92"/>
  <c r="O45" i="92"/>
  <c r="N45" i="92"/>
  <c r="M45" i="92"/>
  <c r="L45" i="92"/>
  <c r="K45" i="92"/>
  <c r="J45" i="92"/>
  <c r="I45" i="92"/>
  <c r="H45" i="92"/>
  <c r="G45" i="92"/>
  <c r="F45" i="92"/>
  <c r="E45" i="92"/>
  <c r="D45" i="92"/>
  <c r="AA44" i="92"/>
  <c r="Z44" i="92"/>
  <c r="Y44" i="92"/>
  <c r="X44" i="92"/>
  <c r="W44" i="92"/>
  <c r="V44" i="92"/>
  <c r="U44" i="92"/>
  <c r="T44" i="92"/>
  <c r="S44" i="92"/>
  <c r="R44" i="92"/>
  <c r="Q44" i="92"/>
  <c r="P44" i="92"/>
  <c r="O44" i="92"/>
  <c r="N44" i="92"/>
  <c r="M44" i="92"/>
  <c r="L44" i="92"/>
  <c r="K44" i="92"/>
  <c r="J44" i="92"/>
  <c r="I44" i="92"/>
  <c r="H44" i="92"/>
  <c r="G44" i="92"/>
  <c r="F44" i="92"/>
  <c r="E44" i="92"/>
  <c r="D44" i="92"/>
  <c r="AA43" i="92"/>
  <c r="Z43" i="92"/>
  <c r="Y43" i="92"/>
  <c r="X43" i="92"/>
  <c r="W43" i="92"/>
  <c r="V43" i="92"/>
  <c r="U43" i="92"/>
  <c r="T43" i="92"/>
  <c r="S43" i="92"/>
  <c r="R43" i="92"/>
  <c r="Q43" i="92"/>
  <c r="P43" i="92"/>
  <c r="O43" i="92"/>
  <c r="N43" i="92"/>
  <c r="M43" i="92"/>
  <c r="L43" i="92"/>
  <c r="K43" i="92"/>
  <c r="J43" i="92"/>
  <c r="I43" i="92"/>
  <c r="H43" i="92"/>
  <c r="G43" i="92"/>
  <c r="F43" i="92"/>
  <c r="E43" i="92"/>
  <c r="D43" i="92"/>
  <c r="AA42" i="92"/>
  <c r="Z42" i="92"/>
  <c r="Y42" i="92"/>
  <c r="X42" i="92"/>
  <c r="W42" i="92"/>
  <c r="V42" i="92"/>
  <c r="U42" i="92"/>
  <c r="T42" i="92"/>
  <c r="S42" i="92"/>
  <c r="R42" i="92"/>
  <c r="Q42" i="92"/>
  <c r="P42" i="92"/>
  <c r="O42" i="92"/>
  <c r="N42" i="92"/>
  <c r="M42" i="92"/>
  <c r="L42" i="92"/>
  <c r="K42" i="92"/>
  <c r="J42" i="92"/>
  <c r="I42" i="92"/>
  <c r="H42" i="92"/>
  <c r="G42" i="92"/>
  <c r="F42" i="92"/>
  <c r="E42" i="92"/>
  <c r="D42" i="92"/>
  <c r="AA41" i="92"/>
  <c r="Z41" i="92"/>
  <c r="Y41" i="92"/>
  <c r="X41" i="92"/>
  <c r="W41" i="92"/>
  <c r="V41" i="92"/>
  <c r="U41" i="92"/>
  <c r="T41" i="92"/>
  <c r="S41" i="92"/>
  <c r="R41" i="92"/>
  <c r="Q41" i="92"/>
  <c r="P41" i="92"/>
  <c r="O41" i="92"/>
  <c r="N41" i="92"/>
  <c r="M41" i="92"/>
  <c r="L41" i="92"/>
  <c r="K41" i="92"/>
  <c r="J41" i="92"/>
  <c r="I41" i="92"/>
  <c r="H41" i="92"/>
  <c r="G41" i="92"/>
  <c r="F41" i="92"/>
  <c r="E41" i="92"/>
  <c r="D41" i="92"/>
  <c r="AA40" i="92"/>
  <c r="Z40" i="92"/>
  <c r="Y40" i="92"/>
  <c r="X40" i="92"/>
  <c r="W40" i="92"/>
  <c r="V40" i="92"/>
  <c r="U40" i="92"/>
  <c r="T40" i="92"/>
  <c r="S40" i="92"/>
  <c r="R40" i="92"/>
  <c r="Q40" i="92"/>
  <c r="P40" i="92"/>
  <c r="O40" i="92"/>
  <c r="N40" i="92"/>
  <c r="M40" i="92"/>
  <c r="L40" i="92"/>
  <c r="K40" i="92"/>
  <c r="J40" i="92"/>
  <c r="I40" i="92"/>
  <c r="H40" i="92"/>
  <c r="G40" i="92"/>
  <c r="F40" i="92"/>
  <c r="E40" i="92"/>
  <c r="D40" i="92"/>
  <c r="AA39" i="92"/>
  <c r="Z39" i="92"/>
  <c r="Y39" i="92"/>
  <c r="X39" i="92"/>
  <c r="W39" i="92"/>
  <c r="V39" i="92"/>
  <c r="U39" i="92"/>
  <c r="T39" i="92"/>
  <c r="S39" i="92"/>
  <c r="R39" i="92"/>
  <c r="Q39" i="92"/>
  <c r="P39" i="92"/>
  <c r="O39" i="92"/>
  <c r="N39" i="92"/>
  <c r="M39" i="92"/>
  <c r="L39" i="92"/>
  <c r="K39" i="92"/>
  <c r="J39" i="92"/>
  <c r="I39" i="92"/>
  <c r="H39" i="92"/>
  <c r="G39" i="92"/>
  <c r="F39" i="92"/>
  <c r="E39" i="92"/>
  <c r="D39" i="92"/>
  <c r="AA38" i="92"/>
  <c r="Z38" i="92"/>
  <c r="Y38" i="92"/>
  <c r="X38" i="92"/>
  <c r="W38" i="92"/>
  <c r="V38" i="92"/>
  <c r="U38" i="92"/>
  <c r="T38" i="92"/>
  <c r="S38" i="92"/>
  <c r="R38" i="92"/>
  <c r="Q38" i="92"/>
  <c r="P38" i="92"/>
  <c r="O38" i="92"/>
  <c r="N38" i="92"/>
  <c r="M38" i="92"/>
  <c r="L38" i="92"/>
  <c r="K38" i="92"/>
  <c r="J38" i="92"/>
  <c r="I38" i="92"/>
  <c r="H38" i="92"/>
  <c r="G38" i="92"/>
  <c r="F38" i="92"/>
  <c r="E38" i="92"/>
  <c r="D38" i="92"/>
  <c r="AA37" i="92"/>
  <c r="Z37" i="92"/>
  <c r="Y37" i="92"/>
  <c r="X37" i="92"/>
  <c r="W37" i="92"/>
  <c r="V37" i="92"/>
  <c r="U37" i="92"/>
  <c r="T37" i="92"/>
  <c r="S37" i="92"/>
  <c r="R37" i="92"/>
  <c r="Q37" i="92"/>
  <c r="P37" i="92"/>
  <c r="O37" i="92"/>
  <c r="N37" i="92"/>
  <c r="M37" i="92"/>
  <c r="L37" i="92"/>
  <c r="K37" i="92"/>
  <c r="J37" i="92"/>
  <c r="I37" i="92"/>
  <c r="H37" i="92"/>
  <c r="G37" i="92"/>
  <c r="F37" i="92"/>
  <c r="E37" i="92"/>
  <c r="D37" i="92"/>
  <c r="AA36" i="92"/>
  <c r="Z36" i="92"/>
  <c r="Y36" i="92"/>
  <c r="X36" i="92"/>
  <c r="W36" i="92"/>
  <c r="V36" i="92"/>
  <c r="U36" i="92"/>
  <c r="T36" i="92"/>
  <c r="S36" i="92"/>
  <c r="R36" i="92"/>
  <c r="Q36" i="92"/>
  <c r="P36" i="92"/>
  <c r="O36" i="92"/>
  <c r="N36" i="92"/>
  <c r="M36" i="92"/>
  <c r="L36" i="92"/>
  <c r="K36" i="92"/>
  <c r="J36" i="92"/>
  <c r="I36" i="92"/>
  <c r="H36" i="92"/>
  <c r="G36" i="92"/>
  <c r="F36" i="92"/>
  <c r="E36" i="92"/>
  <c r="D36" i="92"/>
  <c r="AA35" i="92"/>
  <c r="Z35" i="92"/>
  <c r="Y35" i="92"/>
  <c r="X35" i="92"/>
  <c r="W35" i="92"/>
  <c r="V35" i="92"/>
  <c r="U35" i="92"/>
  <c r="T35" i="92"/>
  <c r="S35" i="92"/>
  <c r="R35" i="92"/>
  <c r="Q35" i="92"/>
  <c r="P35" i="92"/>
  <c r="O35" i="92"/>
  <c r="N35" i="92"/>
  <c r="M35" i="92"/>
  <c r="L35" i="92"/>
  <c r="K35" i="92"/>
  <c r="J35" i="92"/>
  <c r="I35" i="92"/>
  <c r="H35" i="92"/>
  <c r="G35" i="92"/>
  <c r="F35" i="92"/>
  <c r="E35" i="92"/>
  <c r="D35" i="92"/>
  <c r="AA34" i="92"/>
  <c r="Z34" i="92"/>
  <c r="Y34" i="92"/>
  <c r="X34" i="92"/>
  <c r="W34" i="92"/>
  <c r="V34" i="92"/>
  <c r="U34" i="92"/>
  <c r="T34" i="92"/>
  <c r="S34" i="92"/>
  <c r="R34" i="92"/>
  <c r="Q34" i="92"/>
  <c r="P34" i="92"/>
  <c r="O34" i="92"/>
  <c r="N34" i="92"/>
  <c r="M34" i="92"/>
  <c r="L34" i="92"/>
  <c r="K34" i="92"/>
  <c r="J34" i="92"/>
  <c r="I34" i="92"/>
  <c r="H34" i="92"/>
  <c r="G34" i="92"/>
  <c r="F34" i="92"/>
  <c r="E34" i="92"/>
  <c r="D34" i="92"/>
  <c r="AA33" i="92"/>
  <c r="Z33" i="92"/>
  <c r="Y33" i="92"/>
  <c r="X33" i="92"/>
  <c r="W33" i="92"/>
  <c r="V33" i="92"/>
  <c r="U33" i="92"/>
  <c r="T33" i="92"/>
  <c r="S33" i="92"/>
  <c r="R33" i="92"/>
  <c r="Q33" i="92"/>
  <c r="P33" i="92"/>
  <c r="O33" i="92"/>
  <c r="N33" i="92"/>
  <c r="M33" i="92"/>
  <c r="L33" i="92"/>
  <c r="K33" i="92"/>
  <c r="J33" i="92"/>
  <c r="I33" i="92"/>
  <c r="H33" i="92"/>
  <c r="G33" i="92"/>
  <c r="F33" i="92"/>
  <c r="E33" i="92"/>
  <c r="D33" i="92"/>
  <c r="AA32" i="92"/>
  <c r="Z32" i="92"/>
  <c r="Y32" i="92"/>
  <c r="X32" i="92"/>
  <c r="W32" i="92"/>
  <c r="V32" i="92"/>
  <c r="U32" i="92"/>
  <c r="T32" i="92"/>
  <c r="S32" i="92"/>
  <c r="R32" i="92"/>
  <c r="Q32" i="92"/>
  <c r="P32" i="92"/>
  <c r="O32" i="92"/>
  <c r="N32" i="92"/>
  <c r="M32" i="92"/>
  <c r="L32" i="92"/>
  <c r="K32" i="92"/>
  <c r="J32" i="92"/>
  <c r="I32" i="92"/>
  <c r="H32" i="92"/>
  <c r="G32" i="92"/>
  <c r="F32" i="92"/>
  <c r="E32" i="92"/>
  <c r="D32" i="92"/>
  <c r="AA31" i="92"/>
  <c r="Z31" i="92"/>
  <c r="Y31" i="92"/>
  <c r="X31" i="92"/>
  <c r="W31" i="92"/>
  <c r="V31" i="92"/>
  <c r="U31" i="92"/>
  <c r="T31" i="92"/>
  <c r="S31" i="92"/>
  <c r="R31" i="92"/>
  <c r="Q31" i="92"/>
  <c r="P31" i="92"/>
  <c r="O31" i="92"/>
  <c r="N31" i="92"/>
  <c r="M31" i="92"/>
  <c r="L31" i="92"/>
  <c r="K31" i="92"/>
  <c r="J31" i="92"/>
  <c r="I31" i="92"/>
  <c r="H31" i="92"/>
  <c r="G31" i="92"/>
  <c r="F31" i="92"/>
  <c r="E31" i="92"/>
  <c r="D31" i="92"/>
  <c r="AA30" i="92"/>
  <c r="Z30" i="92"/>
  <c r="Y30" i="92"/>
  <c r="X30" i="92"/>
  <c r="W30" i="92"/>
  <c r="V30" i="92"/>
  <c r="U30" i="92"/>
  <c r="T30" i="92"/>
  <c r="S30" i="92"/>
  <c r="R30" i="92"/>
  <c r="Q30" i="92"/>
  <c r="P30" i="92"/>
  <c r="O30" i="92"/>
  <c r="N30" i="92"/>
  <c r="M30" i="92"/>
  <c r="L30" i="92"/>
  <c r="K30" i="92"/>
  <c r="J30" i="92"/>
  <c r="I30" i="92"/>
  <c r="H30" i="92"/>
  <c r="G30" i="92"/>
  <c r="F30" i="92"/>
  <c r="E30" i="92"/>
  <c r="D30" i="92"/>
  <c r="AA29" i="92"/>
  <c r="Z29" i="92"/>
  <c r="Y29" i="92"/>
  <c r="X29" i="92"/>
  <c r="W29" i="92"/>
  <c r="V29" i="92"/>
  <c r="U29" i="92"/>
  <c r="T29" i="92"/>
  <c r="S29" i="92"/>
  <c r="R29" i="92"/>
  <c r="Q29" i="92"/>
  <c r="P29" i="92"/>
  <c r="O29" i="92"/>
  <c r="N29" i="92"/>
  <c r="M29" i="92"/>
  <c r="L29" i="92"/>
  <c r="K29" i="92"/>
  <c r="J29" i="92"/>
  <c r="I29" i="92"/>
  <c r="H29" i="92"/>
  <c r="G29" i="92"/>
  <c r="F29" i="92"/>
  <c r="E29" i="92"/>
  <c r="D29" i="92"/>
  <c r="AA28" i="92"/>
  <c r="Z28" i="92"/>
  <c r="Y28" i="92"/>
  <c r="X28" i="92"/>
  <c r="W28" i="92"/>
  <c r="V28" i="92"/>
  <c r="U28" i="92"/>
  <c r="T28" i="92"/>
  <c r="S28" i="92"/>
  <c r="R28" i="92"/>
  <c r="Q28" i="92"/>
  <c r="P28" i="92"/>
  <c r="O28" i="92"/>
  <c r="N28" i="92"/>
  <c r="M28" i="92"/>
  <c r="L28" i="92"/>
  <c r="K28" i="92"/>
  <c r="J28" i="92"/>
  <c r="I28" i="92"/>
  <c r="H28" i="92"/>
  <c r="G28" i="92"/>
  <c r="F28" i="92"/>
  <c r="E28" i="92"/>
  <c r="D28" i="92"/>
  <c r="AA27" i="92"/>
  <c r="Z27" i="92"/>
  <c r="Y27" i="92"/>
  <c r="X27" i="92"/>
  <c r="W27" i="92"/>
  <c r="V27" i="92"/>
  <c r="U27" i="92"/>
  <c r="T27" i="92"/>
  <c r="S27" i="92"/>
  <c r="R27" i="92"/>
  <c r="Q27" i="92"/>
  <c r="P27" i="92"/>
  <c r="O27" i="92"/>
  <c r="N27" i="92"/>
  <c r="M27" i="92"/>
  <c r="L27" i="92"/>
  <c r="K27" i="92"/>
  <c r="J27" i="92"/>
  <c r="I27" i="92"/>
  <c r="H27" i="92"/>
  <c r="G27" i="92"/>
  <c r="F27" i="92"/>
  <c r="E27" i="92"/>
  <c r="D27" i="92"/>
  <c r="AA26" i="92"/>
  <c r="Z26" i="92"/>
  <c r="Y26" i="92"/>
  <c r="X26" i="92"/>
  <c r="W26" i="92"/>
  <c r="V26" i="92"/>
  <c r="U26" i="92"/>
  <c r="T26" i="92"/>
  <c r="S26" i="92"/>
  <c r="R26" i="92"/>
  <c r="Q26" i="92"/>
  <c r="P26" i="92"/>
  <c r="O26" i="92"/>
  <c r="N26" i="92"/>
  <c r="M26" i="92"/>
  <c r="L26" i="92"/>
  <c r="K26" i="92"/>
  <c r="J26" i="92"/>
  <c r="I26" i="92"/>
  <c r="H26" i="92"/>
  <c r="G26" i="92"/>
  <c r="F26" i="92"/>
  <c r="E26" i="92"/>
  <c r="D26" i="92"/>
  <c r="AA25" i="92"/>
  <c r="Z25" i="92"/>
  <c r="Y25" i="92"/>
  <c r="X25" i="92"/>
  <c r="W25" i="92"/>
  <c r="V25" i="92"/>
  <c r="U25" i="92"/>
  <c r="T25" i="92"/>
  <c r="S25" i="92"/>
  <c r="R25" i="92"/>
  <c r="Q25" i="92"/>
  <c r="P25" i="92"/>
  <c r="O25" i="92"/>
  <c r="N25" i="92"/>
  <c r="M25" i="92"/>
  <c r="L25" i="92"/>
  <c r="K25" i="92"/>
  <c r="J25" i="92"/>
  <c r="I25" i="92"/>
  <c r="H25" i="92"/>
  <c r="G25" i="92"/>
  <c r="F25" i="92"/>
  <c r="E25" i="92"/>
  <c r="D25" i="92"/>
  <c r="AA24" i="92"/>
  <c r="Z24" i="92"/>
  <c r="Y24" i="92"/>
  <c r="X24" i="92"/>
  <c r="W24" i="92"/>
  <c r="V24" i="92"/>
  <c r="U24" i="92"/>
  <c r="T24" i="92"/>
  <c r="S24" i="92"/>
  <c r="R24" i="92"/>
  <c r="Q24" i="92"/>
  <c r="P24" i="92"/>
  <c r="O24" i="92"/>
  <c r="N24" i="92"/>
  <c r="M24" i="92"/>
  <c r="L24" i="92"/>
  <c r="K24" i="92"/>
  <c r="J24" i="92"/>
  <c r="I24" i="92"/>
  <c r="H24" i="92"/>
  <c r="G24" i="92"/>
  <c r="F24" i="92"/>
  <c r="E24" i="92"/>
  <c r="D24" i="92"/>
  <c r="AA23" i="92"/>
  <c r="Z23" i="92"/>
  <c r="Y23" i="92"/>
  <c r="X23" i="92"/>
  <c r="W23" i="92"/>
  <c r="V23" i="92"/>
  <c r="U23" i="92"/>
  <c r="T23" i="92"/>
  <c r="S23" i="92"/>
  <c r="R23" i="92"/>
  <c r="Q23" i="92"/>
  <c r="P23" i="92"/>
  <c r="O23" i="92"/>
  <c r="N23" i="92"/>
  <c r="M23" i="92"/>
  <c r="L23" i="92"/>
  <c r="K23" i="92"/>
  <c r="J23" i="92"/>
  <c r="I23" i="92"/>
  <c r="H23" i="92"/>
  <c r="G23" i="92"/>
  <c r="F23" i="92"/>
  <c r="E23" i="92"/>
  <c r="D23" i="92"/>
  <c r="AA22" i="92"/>
  <c r="Z22" i="92"/>
  <c r="Y22" i="92"/>
  <c r="X22" i="92"/>
  <c r="W22" i="92"/>
  <c r="V22" i="92"/>
  <c r="U22" i="92"/>
  <c r="T22" i="92"/>
  <c r="S22" i="92"/>
  <c r="R22" i="92"/>
  <c r="Q22" i="92"/>
  <c r="P22" i="92"/>
  <c r="O22" i="92"/>
  <c r="N22" i="92"/>
  <c r="M22" i="92"/>
  <c r="L22" i="92"/>
  <c r="K22" i="92"/>
  <c r="J22" i="92"/>
  <c r="I22" i="92"/>
  <c r="H22" i="92"/>
  <c r="G22" i="92"/>
  <c r="F22" i="92"/>
  <c r="E22" i="92"/>
  <c r="D22" i="92"/>
  <c r="AA21" i="92"/>
  <c r="Z21" i="92"/>
  <c r="Y21" i="92"/>
  <c r="X21" i="92"/>
  <c r="W21" i="92"/>
  <c r="V21" i="92"/>
  <c r="U21" i="92"/>
  <c r="T21" i="92"/>
  <c r="S21" i="92"/>
  <c r="R21" i="92"/>
  <c r="Q21" i="92"/>
  <c r="P21" i="92"/>
  <c r="O21" i="92"/>
  <c r="N21" i="92"/>
  <c r="M21" i="92"/>
  <c r="L21" i="92"/>
  <c r="K21" i="92"/>
  <c r="J21" i="92"/>
  <c r="I21" i="92"/>
  <c r="H21" i="92"/>
  <c r="G21" i="92"/>
  <c r="F21" i="92"/>
  <c r="E21" i="92"/>
  <c r="D21" i="92"/>
  <c r="AA20" i="92"/>
  <c r="Z20" i="92"/>
  <c r="Y20" i="92"/>
  <c r="X20" i="92"/>
  <c r="W20" i="92"/>
  <c r="V20" i="92"/>
  <c r="U20" i="92"/>
  <c r="T20" i="92"/>
  <c r="S20" i="92"/>
  <c r="R20" i="92"/>
  <c r="Q20" i="92"/>
  <c r="P20" i="92"/>
  <c r="O20" i="92"/>
  <c r="N20" i="92"/>
  <c r="M20" i="92"/>
  <c r="L20" i="92"/>
  <c r="K20" i="92"/>
  <c r="J20" i="92"/>
  <c r="I20" i="92"/>
  <c r="H20" i="92"/>
  <c r="G20" i="92"/>
  <c r="F20" i="92"/>
  <c r="E20" i="92"/>
  <c r="D20" i="92"/>
  <c r="AA19" i="92"/>
  <c r="Z19" i="92"/>
  <c r="Y19" i="92"/>
  <c r="X19" i="92"/>
  <c r="W19" i="92"/>
  <c r="V19" i="92"/>
  <c r="U19" i="92"/>
  <c r="T19" i="92"/>
  <c r="S19" i="92"/>
  <c r="R19" i="92"/>
  <c r="Q19" i="92"/>
  <c r="P19" i="92"/>
  <c r="O19" i="92"/>
  <c r="N19" i="92"/>
  <c r="M19" i="92"/>
  <c r="L19" i="92"/>
  <c r="K19" i="92"/>
  <c r="J19" i="92"/>
  <c r="I19" i="92"/>
  <c r="H19" i="92"/>
  <c r="G19" i="92"/>
  <c r="F19" i="92"/>
  <c r="E19" i="92"/>
  <c r="D19" i="92"/>
  <c r="AA18" i="92"/>
  <c r="Z18" i="92"/>
  <c r="Y18" i="92"/>
  <c r="X18" i="92"/>
  <c r="W18" i="92"/>
  <c r="V18" i="92"/>
  <c r="U18" i="92"/>
  <c r="T18" i="92"/>
  <c r="S18" i="92"/>
  <c r="R18" i="92"/>
  <c r="Q18" i="92"/>
  <c r="P18" i="92"/>
  <c r="O18" i="92"/>
  <c r="N18" i="92"/>
  <c r="M18" i="92"/>
  <c r="L18" i="92"/>
  <c r="K18" i="92"/>
  <c r="J18" i="92"/>
  <c r="I18" i="92"/>
  <c r="H18" i="92"/>
  <c r="G18" i="92"/>
  <c r="F18" i="92"/>
  <c r="E18" i="92"/>
  <c r="D18" i="92"/>
  <c r="AA17" i="92"/>
  <c r="Z17" i="92"/>
  <c r="Y17" i="92"/>
  <c r="X17" i="92"/>
  <c r="W17" i="92"/>
  <c r="V17" i="92"/>
  <c r="U17" i="92"/>
  <c r="T17" i="92"/>
  <c r="S17" i="92"/>
  <c r="R17" i="92"/>
  <c r="Q17" i="92"/>
  <c r="P17" i="92"/>
  <c r="O17" i="92"/>
  <c r="N17" i="92"/>
  <c r="M17" i="92"/>
  <c r="L17" i="92"/>
  <c r="K17" i="92"/>
  <c r="J17" i="92"/>
  <c r="I17" i="92"/>
  <c r="H17" i="92"/>
  <c r="G17" i="92"/>
  <c r="F17" i="92"/>
  <c r="E17" i="92"/>
  <c r="D17" i="92"/>
  <c r="AA16" i="92"/>
  <c r="Z16" i="92"/>
  <c r="Y16" i="92"/>
  <c r="X16" i="92"/>
  <c r="W16" i="92"/>
  <c r="V16" i="92"/>
  <c r="U16" i="92"/>
  <c r="T16" i="92"/>
  <c r="S16" i="92"/>
  <c r="R16" i="92"/>
  <c r="Q16" i="92"/>
  <c r="P16" i="92"/>
  <c r="O16" i="92"/>
  <c r="N16" i="92"/>
  <c r="M16" i="92"/>
  <c r="L16" i="92"/>
  <c r="K16" i="92"/>
  <c r="J16" i="92"/>
  <c r="I16" i="92"/>
  <c r="H16" i="92"/>
  <c r="G16" i="92"/>
  <c r="F16" i="92"/>
  <c r="E16" i="92"/>
  <c r="D16" i="92"/>
  <c r="AA15" i="92"/>
  <c r="Z15" i="92"/>
  <c r="Y15" i="92"/>
  <c r="X15" i="92"/>
  <c r="W15" i="92"/>
  <c r="V15" i="92"/>
  <c r="U15" i="92"/>
  <c r="T15" i="92"/>
  <c r="S15" i="92"/>
  <c r="R15" i="92"/>
  <c r="Q15" i="92"/>
  <c r="P15" i="92"/>
  <c r="O15" i="92"/>
  <c r="N15" i="92"/>
  <c r="M15" i="92"/>
  <c r="L15" i="92"/>
  <c r="K15" i="92"/>
  <c r="J15" i="92"/>
  <c r="I15" i="92"/>
  <c r="H15" i="92"/>
  <c r="G15" i="92"/>
  <c r="F15" i="92"/>
  <c r="E15" i="92"/>
  <c r="D15" i="92"/>
  <c r="AA14" i="92"/>
  <c r="Z14" i="92"/>
  <c r="Y14" i="92"/>
  <c r="X14" i="92"/>
  <c r="W14" i="92"/>
  <c r="V14" i="92"/>
  <c r="U14" i="92"/>
  <c r="T14" i="92"/>
  <c r="S14" i="92"/>
  <c r="R14" i="92"/>
  <c r="Q14" i="92"/>
  <c r="P14" i="92"/>
  <c r="O14" i="92"/>
  <c r="N14" i="92"/>
  <c r="M14" i="92"/>
  <c r="L14" i="92"/>
  <c r="K14" i="92"/>
  <c r="J14" i="92"/>
  <c r="I14" i="92"/>
  <c r="H14" i="92"/>
  <c r="G14" i="92"/>
  <c r="F14" i="92"/>
  <c r="E14" i="92"/>
  <c r="D14" i="92"/>
  <c r="AA13" i="92"/>
  <c r="Z13" i="92"/>
  <c r="Y13" i="92"/>
  <c r="X13" i="92"/>
  <c r="W13" i="92"/>
  <c r="V13" i="92"/>
  <c r="U13" i="92"/>
  <c r="T13" i="92"/>
  <c r="S13" i="92"/>
  <c r="R13" i="92"/>
  <c r="Q13" i="92"/>
  <c r="P13" i="92"/>
  <c r="O13" i="92"/>
  <c r="N13" i="92"/>
  <c r="M13" i="92"/>
  <c r="L13" i="92"/>
  <c r="K13" i="92"/>
  <c r="J13" i="92"/>
  <c r="I13" i="92"/>
  <c r="H13" i="92"/>
  <c r="G13" i="92"/>
  <c r="F13" i="92"/>
  <c r="E13" i="92"/>
  <c r="D13" i="92"/>
  <c r="AA12" i="92"/>
  <c r="Z12" i="92"/>
  <c r="Y12" i="92"/>
  <c r="X12" i="92"/>
  <c r="W12" i="92"/>
  <c r="V12" i="92"/>
  <c r="U12" i="92"/>
  <c r="T12" i="92"/>
  <c r="S12" i="92"/>
  <c r="R12" i="92"/>
  <c r="Q12" i="92"/>
  <c r="P12" i="92"/>
  <c r="O12" i="92"/>
  <c r="N12" i="92"/>
  <c r="M12" i="92"/>
  <c r="L12" i="92"/>
  <c r="K12" i="92"/>
  <c r="J12" i="92"/>
  <c r="I12" i="92"/>
  <c r="H12" i="92"/>
  <c r="G12" i="92"/>
  <c r="F12" i="92"/>
  <c r="E12" i="92"/>
  <c r="D12" i="92"/>
  <c r="AA11" i="92"/>
  <c r="Z11" i="92"/>
  <c r="Y11" i="92"/>
  <c r="X11" i="92"/>
  <c r="W11" i="92"/>
  <c r="V11" i="92"/>
  <c r="U11" i="92"/>
  <c r="T11" i="92"/>
  <c r="S11" i="92"/>
  <c r="R11" i="92"/>
  <c r="Q11" i="92"/>
  <c r="P11" i="92"/>
  <c r="O11" i="92"/>
  <c r="N11" i="92"/>
  <c r="M11" i="92"/>
  <c r="L11" i="92"/>
  <c r="K11" i="92"/>
  <c r="J11" i="92"/>
  <c r="I11" i="92"/>
  <c r="H11" i="92"/>
  <c r="G11" i="92"/>
  <c r="F11" i="92"/>
  <c r="E11" i="92"/>
  <c r="D11" i="92"/>
  <c r="AA10" i="92"/>
  <c r="Z10" i="92"/>
  <c r="Y10" i="92"/>
  <c r="X10" i="92"/>
  <c r="W10" i="92"/>
  <c r="V10" i="92"/>
  <c r="U10" i="92"/>
  <c r="T10" i="92"/>
  <c r="S10" i="92"/>
  <c r="R10" i="92"/>
  <c r="Q10" i="92"/>
  <c r="P10" i="92"/>
  <c r="O10" i="92"/>
  <c r="N10" i="92"/>
  <c r="M10" i="92"/>
  <c r="L10" i="92"/>
  <c r="K10" i="92"/>
  <c r="J10" i="92"/>
  <c r="I10" i="92"/>
  <c r="H10" i="92"/>
  <c r="G10" i="92"/>
  <c r="F10" i="92"/>
  <c r="E10" i="92"/>
  <c r="D10" i="92"/>
  <c r="AA9" i="92"/>
  <c r="Z9" i="92"/>
  <c r="Y9" i="92"/>
  <c r="X9" i="92"/>
  <c r="W9" i="92"/>
  <c r="V9" i="92"/>
  <c r="U9" i="92"/>
  <c r="T9" i="92"/>
  <c r="S9" i="92"/>
  <c r="R9" i="92"/>
  <c r="Q9" i="92"/>
  <c r="P9" i="92"/>
  <c r="O9" i="92"/>
  <c r="N9" i="92"/>
  <c r="M9" i="92"/>
  <c r="L9" i="92"/>
  <c r="K9" i="92"/>
  <c r="J9" i="92"/>
  <c r="I9" i="92"/>
  <c r="H9" i="92"/>
  <c r="G9" i="92"/>
  <c r="F9" i="92"/>
  <c r="E9" i="92"/>
  <c r="D9" i="92"/>
  <c r="AA8" i="92"/>
  <c r="Z8" i="92"/>
  <c r="Y8" i="92"/>
  <c r="X8" i="92"/>
  <c r="W8" i="92"/>
  <c r="V8" i="92"/>
  <c r="U8" i="92"/>
  <c r="T8" i="92"/>
  <c r="S8" i="92"/>
  <c r="R8" i="92"/>
  <c r="Q8" i="92"/>
  <c r="P8" i="92"/>
  <c r="O8" i="92"/>
  <c r="N8" i="92"/>
  <c r="M8" i="92"/>
  <c r="L8" i="92"/>
  <c r="K8" i="92"/>
  <c r="J8" i="92"/>
  <c r="I8" i="92"/>
  <c r="H8" i="92"/>
  <c r="G8" i="92"/>
  <c r="F8" i="92"/>
  <c r="E8" i="92"/>
  <c r="D8" i="92"/>
  <c r="AA7" i="92"/>
  <c r="Z7" i="92"/>
  <c r="Y7" i="92"/>
  <c r="X7" i="92"/>
  <c r="W7" i="92"/>
  <c r="V7" i="92"/>
  <c r="U7" i="92"/>
  <c r="T7" i="92"/>
  <c r="S7" i="92"/>
  <c r="R7" i="92"/>
  <c r="Q7" i="92"/>
  <c r="P7" i="92"/>
  <c r="O7" i="92"/>
  <c r="N7" i="92"/>
  <c r="M7" i="92"/>
  <c r="L7" i="92"/>
  <c r="K7" i="92"/>
  <c r="J7" i="92"/>
  <c r="I7" i="92"/>
  <c r="H7" i="92"/>
  <c r="G7" i="92"/>
  <c r="F7" i="92"/>
  <c r="E7" i="92"/>
  <c r="D7" i="92"/>
  <c r="AA6" i="92"/>
  <c r="Z6" i="92"/>
  <c r="Y6" i="92"/>
  <c r="X6" i="92"/>
  <c r="W6" i="92"/>
  <c r="V6" i="92"/>
  <c r="U6" i="92"/>
  <c r="T6" i="92"/>
  <c r="S6" i="92"/>
  <c r="R6" i="92"/>
  <c r="Q6" i="92"/>
  <c r="P6" i="92"/>
  <c r="O6" i="92"/>
  <c r="N6" i="92"/>
  <c r="M6" i="92"/>
  <c r="L6" i="92"/>
  <c r="K6" i="92"/>
  <c r="J6" i="92"/>
  <c r="I6" i="92"/>
  <c r="H6" i="92"/>
  <c r="G6" i="92"/>
  <c r="F6" i="92"/>
  <c r="E6" i="92"/>
  <c r="D6" i="92"/>
  <c r="AA5" i="92"/>
  <c r="Z5" i="92"/>
  <c r="Y5" i="92"/>
  <c r="X5" i="92"/>
  <c r="W5" i="92"/>
  <c r="V5" i="92"/>
  <c r="U5" i="92"/>
  <c r="T5" i="92"/>
  <c r="S5" i="92"/>
  <c r="R5" i="92"/>
  <c r="Q5" i="92"/>
  <c r="P5" i="92"/>
  <c r="O5" i="92"/>
  <c r="N5" i="92"/>
  <c r="M5" i="92"/>
  <c r="L5" i="92"/>
  <c r="K5" i="92"/>
  <c r="J5" i="92"/>
  <c r="I5" i="92"/>
  <c r="H5" i="92"/>
  <c r="G5" i="92"/>
  <c r="F5" i="92"/>
  <c r="E5" i="92"/>
  <c r="D5" i="92"/>
  <c r="AA4" i="92"/>
  <c r="Z4" i="92"/>
  <c r="Y4" i="92"/>
  <c r="X4" i="92"/>
  <c r="W4" i="92"/>
  <c r="V4" i="92"/>
  <c r="U4" i="92"/>
  <c r="T4" i="92"/>
  <c r="S4" i="92"/>
  <c r="R4" i="92"/>
  <c r="Q4" i="92"/>
  <c r="P4" i="92"/>
  <c r="O4" i="92"/>
  <c r="N4" i="92"/>
  <c r="M4" i="92"/>
  <c r="L4" i="92"/>
  <c r="K4" i="92"/>
  <c r="J4" i="92"/>
  <c r="I4" i="92"/>
  <c r="H4" i="92"/>
  <c r="G4" i="92"/>
  <c r="F4" i="92"/>
  <c r="E4" i="92"/>
  <c r="D4" i="92"/>
  <c r="AA3" i="92"/>
  <c r="Z3" i="92"/>
  <c r="Y3" i="92"/>
  <c r="X3" i="92"/>
  <c r="W3" i="92"/>
  <c r="V3" i="92"/>
  <c r="U3" i="92"/>
  <c r="T3" i="92"/>
  <c r="S3" i="92"/>
  <c r="R3" i="92"/>
  <c r="Q3" i="92"/>
  <c r="P3" i="92"/>
  <c r="O3" i="92"/>
  <c r="N3" i="92"/>
  <c r="M3" i="92"/>
  <c r="L3" i="92"/>
  <c r="K3" i="92"/>
  <c r="J3" i="92"/>
  <c r="I3" i="92"/>
  <c r="H3" i="92"/>
  <c r="G3" i="92"/>
  <c r="F3" i="92"/>
  <c r="E3" i="92"/>
  <c r="D3" i="92"/>
  <c r="AA2" i="92"/>
  <c r="Z2" i="92"/>
  <c r="Y2" i="92"/>
  <c r="X2" i="92"/>
  <c r="W2" i="92"/>
  <c r="V2" i="92"/>
  <c r="U2" i="92"/>
  <c r="T2" i="92"/>
  <c r="S2" i="92"/>
  <c r="R2" i="92"/>
  <c r="Q2" i="92"/>
  <c r="P2" i="92"/>
  <c r="O2" i="92"/>
  <c r="N2" i="92"/>
  <c r="M2" i="92"/>
  <c r="L2" i="92"/>
  <c r="K2" i="92"/>
  <c r="J2" i="92"/>
  <c r="I2" i="92"/>
  <c r="H2" i="92"/>
  <c r="G2" i="92"/>
  <c r="F2" i="92"/>
  <c r="E2" i="92"/>
  <c r="D2" i="92"/>
  <c r="AA168" i="91"/>
  <c r="Z168" i="91"/>
  <c r="Y168" i="91"/>
  <c r="X168" i="91"/>
  <c r="W168" i="91"/>
  <c r="V168" i="91"/>
  <c r="U168" i="91"/>
  <c r="T168" i="91"/>
  <c r="S168" i="91"/>
  <c r="R168" i="91"/>
  <c r="Q168" i="91"/>
  <c r="P168" i="91"/>
  <c r="O168" i="91"/>
  <c r="N168" i="91"/>
  <c r="M168" i="91"/>
  <c r="L168" i="91"/>
  <c r="K168" i="91"/>
  <c r="J168" i="91"/>
  <c r="I168" i="91"/>
  <c r="H168" i="91"/>
  <c r="G168" i="91"/>
  <c r="F168" i="91"/>
  <c r="E168" i="91"/>
  <c r="D168" i="91"/>
  <c r="AA167" i="91"/>
  <c r="Z167" i="91"/>
  <c r="Y167" i="91"/>
  <c r="X167" i="91"/>
  <c r="W167" i="91"/>
  <c r="V167" i="91"/>
  <c r="U167" i="91"/>
  <c r="T167" i="91"/>
  <c r="S167" i="91"/>
  <c r="R167" i="91"/>
  <c r="Q167" i="91"/>
  <c r="P167" i="91"/>
  <c r="O167" i="91"/>
  <c r="N167" i="91"/>
  <c r="M167" i="91"/>
  <c r="L167" i="91"/>
  <c r="K167" i="91"/>
  <c r="J167" i="91"/>
  <c r="I167" i="91"/>
  <c r="H167" i="91"/>
  <c r="G167" i="91"/>
  <c r="F167" i="91"/>
  <c r="E167" i="91"/>
  <c r="D167" i="91"/>
  <c r="AA166" i="91"/>
  <c r="Z166" i="91"/>
  <c r="Y166" i="91"/>
  <c r="X166" i="91"/>
  <c r="W166" i="91"/>
  <c r="V166" i="91"/>
  <c r="U166" i="91"/>
  <c r="T166" i="91"/>
  <c r="S166" i="91"/>
  <c r="R166" i="91"/>
  <c r="Q166" i="91"/>
  <c r="P166" i="91"/>
  <c r="O166" i="91"/>
  <c r="N166" i="91"/>
  <c r="M166" i="91"/>
  <c r="L166" i="91"/>
  <c r="K166" i="91"/>
  <c r="J166" i="91"/>
  <c r="I166" i="91"/>
  <c r="H166" i="91"/>
  <c r="G166" i="91"/>
  <c r="F166" i="91"/>
  <c r="E166" i="91"/>
  <c r="D166" i="91"/>
  <c r="AA165" i="91"/>
  <c r="Z165" i="91"/>
  <c r="Y165" i="91"/>
  <c r="X165" i="91"/>
  <c r="W165" i="91"/>
  <c r="V165" i="91"/>
  <c r="U165" i="91"/>
  <c r="T165" i="91"/>
  <c r="S165" i="91"/>
  <c r="R165" i="91"/>
  <c r="Q165" i="91"/>
  <c r="P165" i="91"/>
  <c r="O165" i="91"/>
  <c r="N165" i="91"/>
  <c r="M165" i="91"/>
  <c r="L165" i="91"/>
  <c r="K165" i="91"/>
  <c r="J165" i="91"/>
  <c r="I165" i="91"/>
  <c r="H165" i="91"/>
  <c r="G165" i="91"/>
  <c r="F165" i="91"/>
  <c r="E165" i="91"/>
  <c r="D165" i="91"/>
  <c r="AA164" i="91"/>
  <c r="Z164" i="91"/>
  <c r="Y164" i="91"/>
  <c r="X164" i="91"/>
  <c r="W164" i="91"/>
  <c r="V164" i="91"/>
  <c r="U164" i="91"/>
  <c r="T164" i="91"/>
  <c r="S164" i="91"/>
  <c r="R164" i="91"/>
  <c r="Q164" i="91"/>
  <c r="P164" i="91"/>
  <c r="O164" i="91"/>
  <c r="N164" i="91"/>
  <c r="M164" i="91"/>
  <c r="L164" i="91"/>
  <c r="K164" i="91"/>
  <c r="J164" i="91"/>
  <c r="I164" i="91"/>
  <c r="H164" i="91"/>
  <c r="G164" i="91"/>
  <c r="F164" i="91"/>
  <c r="E164" i="91"/>
  <c r="D164" i="91"/>
  <c r="AA163" i="91"/>
  <c r="Z163" i="91"/>
  <c r="Y163" i="91"/>
  <c r="X163" i="91"/>
  <c r="W163" i="91"/>
  <c r="V163" i="91"/>
  <c r="U163" i="91"/>
  <c r="T163" i="91"/>
  <c r="S163" i="91"/>
  <c r="R163" i="91"/>
  <c r="Q163" i="91"/>
  <c r="P163" i="91"/>
  <c r="O163" i="91"/>
  <c r="N163" i="91"/>
  <c r="M163" i="91"/>
  <c r="L163" i="91"/>
  <c r="K163" i="91"/>
  <c r="J163" i="91"/>
  <c r="I163" i="91"/>
  <c r="H163" i="91"/>
  <c r="G163" i="91"/>
  <c r="F163" i="91"/>
  <c r="E163" i="91"/>
  <c r="D163" i="91"/>
  <c r="AA162" i="91"/>
  <c r="Z162" i="91"/>
  <c r="Y162" i="91"/>
  <c r="X162" i="91"/>
  <c r="W162" i="91"/>
  <c r="V162" i="91"/>
  <c r="U162" i="91"/>
  <c r="T162" i="91"/>
  <c r="S162" i="91"/>
  <c r="R162" i="91"/>
  <c r="Q162" i="91"/>
  <c r="P162" i="91"/>
  <c r="O162" i="91"/>
  <c r="N162" i="91"/>
  <c r="M162" i="91"/>
  <c r="L162" i="91"/>
  <c r="K162" i="91"/>
  <c r="J162" i="91"/>
  <c r="I162" i="91"/>
  <c r="H162" i="91"/>
  <c r="G162" i="91"/>
  <c r="F162" i="91"/>
  <c r="E162" i="91"/>
  <c r="D162" i="91"/>
  <c r="AA161" i="91"/>
  <c r="Z161" i="91"/>
  <c r="Y161" i="91"/>
  <c r="X161" i="91"/>
  <c r="W161" i="91"/>
  <c r="V161" i="91"/>
  <c r="U161" i="91"/>
  <c r="T161" i="91"/>
  <c r="S161" i="91"/>
  <c r="R161" i="91"/>
  <c r="Q161" i="91"/>
  <c r="P161" i="91"/>
  <c r="O161" i="91"/>
  <c r="N161" i="91"/>
  <c r="M161" i="91"/>
  <c r="L161" i="91"/>
  <c r="K161" i="91"/>
  <c r="J161" i="91"/>
  <c r="I161" i="91"/>
  <c r="H161" i="91"/>
  <c r="G161" i="91"/>
  <c r="F161" i="91"/>
  <c r="E161" i="91"/>
  <c r="D161" i="91"/>
  <c r="AA160" i="91"/>
  <c r="Z160" i="91"/>
  <c r="Y160" i="91"/>
  <c r="X160" i="91"/>
  <c r="W160" i="91"/>
  <c r="V160" i="91"/>
  <c r="U160" i="91"/>
  <c r="T160" i="91"/>
  <c r="S160" i="91"/>
  <c r="R160" i="91"/>
  <c r="Q160" i="91"/>
  <c r="P160" i="91"/>
  <c r="O160" i="91"/>
  <c r="N160" i="91"/>
  <c r="M160" i="91"/>
  <c r="L160" i="91"/>
  <c r="K160" i="91"/>
  <c r="J160" i="91"/>
  <c r="I160" i="91"/>
  <c r="H160" i="91"/>
  <c r="G160" i="91"/>
  <c r="F160" i="91"/>
  <c r="E160" i="91"/>
  <c r="D160" i="91"/>
  <c r="AA159" i="91"/>
  <c r="Z159" i="91"/>
  <c r="Y159" i="91"/>
  <c r="X159" i="91"/>
  <c r="W159" i="91"/>
  <c r="V159" i="91"/>
  <c r="U159" i="91"/>
  <c r="T159" i="91"/>
  <c r="S159" i="91"/>
  <c r="R159" i="91"/>
  <c r="Q159" i="91"/>
  <c r="P159" i="91"/>
  <c r="O159" i="91"/>
  <c r="N159" i="91"/>
  <c r="M159" i="91"/>
  <c r="L159" i="91"/>
  <c r="K159" i="91"/>
  <c r="J159" i="91"/>
  <c r="I159" i="91"/>
  <c r="H159" i="91"/>
  <c r="G159" i="91"/>
  <c r="F159" i="91"/>
  <c r="E159" i="91"/>
  <c r="D159" i="91"/>
  <c r="AA158" i="91"/>
  <c r="Z158" i="91"/>
  <c r="Y158" i="91"/>
  <c r="X158" i="91"/>
  <c r="W158" i="91"/>
  <c r="V158" i="91"/>
  <c r="U158" i="91"/>
  <c r="T158" i="91"/>
  <c r="S158" i="91"/>
  <c r="R158" i="91"/>
  <c r="Q158" i="91"/>
  <c r="P158" i="91"/>
  <c r="O158" i="91"/>
  <c r="N158" i="91"/>
  <c r="M158" i="91"/>
  <c r="L158" i="91"/>
  <c r="K158" i="91"/>
  <c r="J158" i="91"/>
  <c r="I158" i="91"/>
  <c r="H158" i="91"/>
  <c r="G158" i="91"/>
  <c r="F158" i="91"/>
  <c r="E158" i="91"/>
  <c r="D158" i="91"/>
  <c r="AA157" i="91"/>
  <c r="Z157" i="91"/>
  <c r="Y157" i="91"/>
  <c r="X157" i="91"/>
  <c r="W157" i="91"/>
  <c r="V157" i="91"/>
  <c r="U157" i="91"/>
  <c r="T157" i="91"/>
  <c r="S157" i="91"/>
  <c r="R157" i="91"/>
  <c r="Q157" i="91"/>
  <c r="P157" i="91"/>
  <c r="O157" i="91"/>
  <c r="N157" i="91"/>
  <c r="M157" i="91"/>
  <c r="L157" i="91"/>
  <c r="K157" i="91"/>
  <c r="J157" i="91"/>
  <c r="I157" i="91"/>
  <c r="H157" i="91"/>
  <c r="G157" i="91"/>
  <c r="F157" i="91"/>
  <c r="E157" i="91"/>
  <c r="D157" i="91"/>
  <c r="AA156" i="91"/>
  <c r="Z156" i="91"/>
  <c r="Y156" i="91"/>
  <c r="X156" i="91"/>
  <c r="W156" i="91"/>
  <c r="V156" i="91"/>
  <c r="U156" i="91"/>
  <c r="T156" i="91"/>
  <c r="S156" i="91"/>
  <c r="R156" i="91"/>
  <c r="Q156" i="91"/>
  <c r="P156" i="91"/>
  <c r="O156" i="91"/>
  <c r="N156" i="91"/>
  <c r="M156" i="91"/>
  <c r="L156" i="91"/>
  <c r="K156" i="91"/>
  <c r="J156" i="91"/>
  <c r="I156" i="91"/>
  <c r="H156" i="91"/>
  <c r="G156" i="91"/>
  <c r="F156" i="91"/>
  <c r="E156" i="91"/>
  <c r="D156" i="91"/>
  <c r="AA155" i="91"/>
  <c r="Z155" i="91"/>
  <c r="Y155" i="91"/>
  <c r="X155" i="91"/>
  <c r="W155" i="91"/>
  <c r="V155" i="91"/>
  <c r="U155" i="91"/>
  <c r="T155" i="91"/>
  <c r="S155" i="91"/>
  <c r="R155" i="91"/>
  <c r="Q155" i="91"/>
  <c r="P155" i="91"/>
  <c r="O155" i="91"/>
  <c r="N155" i="91"/>
  <c r="M155" i="91"/>
  <c r="L155" i="91"/>
  <c r="K155" i="91"/>
  <c r="J155" i="91"/>
  <c r="I155" i="91"/>
  <c r="H155" i="91"/>
  <c r="G155" i="91"/>
  <c r="F155" i="91"/>
  <c r="E155" i="91"/>
  <c r="D155" i="91"/>
  <c r="AA154" i="91"/>
  <c r="Z154" i="91"/>
  <c r="Y154" i="91"/>
  <c r="X154" i="91"/>
  <c r="W154" i="91"/>
  <c r="V154" i="91"/>
  <c r="U154" i="91"/>
  <c r="T154" i="91"/>
  <c r="S154" i="91"/>
  <c r="R154" i="91"/>
  <c r="Q154" i="91"/>
  <c r="P154" i="91"/>
  <c r="O154" i="91"/>
  <c r="N154" i="91"/>
  <c r="M154" i="91"/>
  <c r="L154" i="91"/>
  <c r="K154" i="91"/>
  <c r="J154" i="91"/>
  <c r="I154" i="91"/>
  <c r="H154" i="91"/>
  <c r="G154" i="91"/>
  <c r="F154" i="91"/>
  <c r="E154" i="91"/>
  <c r="D154" i="91"/>
  <c r="AA153" i="91"/>
  <c r="Z153" i="91"/>
  <c r="Y153" i="91"/>
  <c r="X153" i="91"/>
  <c r="W153" i="91"/>
  <c r="V153" i="91"/>
  <c r="U153" i="91"/>
  <c r="T153" i="91"/>
  <c r="S153" i="91"/>
  <c r="R153" i="91"/>
  <c r="Q153" i="91"/>
  <c r="P153" i="91"/>
  <c r="O153" i="91"/>
  <c r="N153" i="91"/>
  <c r="M153" i="91"/>
  <c r="L153" i="91"/>
  <c r="K153" i="91"/>
  <c r="J153" i="91"/>
  <c r="I153" i="91"/>
  <c r="H153" i="91"/>
  <c r="G153" i="91"/>
  <c r="F153" i="91"/>
  <c r="E153" i="91"/>
  <c r="D153" i="91"/>
  <c r="AA152" i="91"/>
  <c r="Z152" i="91"/>
  <c r="Y152" i="91"/>
  <c r="X152" i="91"/>
  <c r="W152" i="91"/>
  <c r="V152" i="91"/>
  <c r="U152" i="91"/>
  <c r="T152" i="91"/>
  <c r="S152" i="91"/>
  <c r="R152" i="91"/>
  <c r="Q152" i="91"/>
  <c r="P152" i="91"/>
  <c r="O152" i="91"/>
  <c r="N152" i="91"/>
  <c r="M152" i="91"/>
  <c r="L152" i="91"/>
  <c r="K152" i="91"/>
  <c r="J152" i="91"/>
  <c r="I152" i="91"/>
  <c r="H152" i="91"/>
  <c r="G152" i="91"/>
  <c r="F152" i="91"/>
  <c r="E152" i="91"/>
  <c r="D152" i="91"/>
  <c r="AA151" i="91"/>
  <c r="Z151" i="91"/>
  <c r="Y151" i="91"/>
  <c r="X151" i="91"/>
  <c r="W151" i="91"/>
  <c r="V151" i="91"/>
  <c r="U151" i="91"/>
  <c r="T151" i="91"/>
  <c r="S151" i="91"/>
  <c r="R151" i="91"/>
  <c r="Q151" i="91"/>
  <c r="P151" i="91"/>
  <c r="O151" i="91"/>
  <c r="N151" i="91"/>
  <c r="M151" i="91"/>
  <c r="L151" i="91"/>
  <c r="K151" i="91"/>
  <c r="J151" i="91"/>
  <c r="I151" i="91"/>
  <c r="H151" i="91"/>
  <c r="G151" i="91"/>
  <c r="F151" i="91"/>
  <c r="E151" i="91"/>
  <c r="D151" i="91"/>
  <c r="AA150" i="91"/>
  <c r="Z150" i="91"/>
  <c r="Y150" i="91"/>
  <c r="X150" i="91"/>
  <c r="W150" i="91"/>
  <c r="V150" i="91"/>
  <c r="U150" i="91"/>
  <c r="T150" i="91"/>
  <c r="S150" i="91"/>
  <c r="R150" i="91"/>
  <c r="Q150" i="91"/>
  <c r="P150" i="91"/>
  <c r="O150" i="91"/>
  <c r="N150" i="91"/>
  <c r="M150" i="91"/>
  <c r="L150" i="91"/>
  <c r="K150" i="91"/>
  <c r="J150" i="91"/>
  <c r="I150" i="91"/>
  <c r="H150" i="91"/>
  <c r="G150" i="91"/>
  <c r="F150" i="91"/>
  <c r="E150" i="91"/>
  <c r="D150" i="91"/>
  <c r="AA149" i="91"/>
  <c r="Z149" i="91"/>
  <c r="Y149" i="91"/>
  <c r="X149" i="91"/>
  <c r="W149" i="91"/>
  <c r="V149" i="91"/>
  <c r="U149" i="91"/>
  <c r="T149" i="91"/>
  <c r="S149" i="91"/>
  <c r="R149" i="91"/>
  <c r="Q149" i="91"/>
  <c r="P149" i="91"/>
  <c r="O149" i="91"/>
  <c r="N149" i="91"/>
  <c r="M149" i="91"/>
  <c r="L149" i="91"/>
  <c r="K149" i="91"/>
  <c r="J149" i="91"/>
  <c r="I149" i="91"/>
  <c r="H149" i="91"/>
  <c r="G149" i="91"/>
  <c r="F149" i="91"/>
  <c r="E149" i="91"/>
  <c r="D149" i="91"/>
  <c r="AA148" i="91"/>
  <c r="Z148" i="91"/>
  <c r="Y148" i="91"/>
  <c r="X148" i="91"/>
  <c r="W148" i="91"/>
  <c r="V148" i="91"/>
  <c r="U148" i="91"/>
  <c r="T148" i="91"/>
  <c r="S148" i="91"/>
  <c r="R148" i="91"/>
  <c r="Q148" i="91"/>
  <c r="P148" i="91"/>
  <c r="O148" i="91"/>
  <c r="N148" i="91"/>
  <c r="M148" i="91"/>
  <c r="L148" i="91"/>
  <c r="K148" i="91"/>
  <c r="J148" i="91"/>
  <c r="I148" i="91"/>
  <c r="H148" i="91"/>
  <c r="G148" i="91"/>
  <c r="F148" i="91"/>
  <c r="E148" i="91"/>
  <c r="D148" i="91"/>
  <c r="AA147" i="91"/>
  <c r="Z147" i="91"/>
  <c r="Y147" i="91"/>
  <c r="X147" i="91"/>
  <c r="W147" i="91"/>
  <c r="V147" i="91"/>
  <c r="U147" i="91"/>
  <c r="T147" i="91"/>
  <c r="S147" i="91"/>
  <c r="R147" i="91"/>
  <c r="Q147" i="91"/>
  <c r="P147" i="91"/>
  <c r="O147" i="91"/>
  <c r="N147" i="91"/>
  <c r="M147" i="91"/>
  <c r="L147" i="91"/>
  <c r="K147" i="91"/>
  <c r="J147" i="91"/>
  <c r="I147" i="91"/>
  <c r="H147" i="91"/>
  <c r="G147" i="91"/>
  <c r="F147" i="91"/>
  <c r="E147" i="91"/>
  <c r="D147" i="91"/>
  <c r="AA146" i="91"/>
  <c r="Z146" i="91"/>
  <c r="Y146" i="91"/>
  <c r="X146" i="91"/>
  <c r="W146" i="91"/>
  <c r="V146" i="91"/>
  <c r="U146" i="91"/>
  <c r="T146" i="91"/>
  <c r="S146" i="91"/>
  <c r="R146" i="91"/>
  <c r="Q146" i="91"/>
  <c r="P146" i="91"/>
  <c r="O146" i="91"/>
  <c r="N146" i="91"/>
  <c r="M146" i="91"/>
  <c r="L146" i="91"/>
  <c r="K146" i="91"/>
  <c r="J146" i="91"/>
  <c r="I146" i="91"/>
  <c r="H146" i="91"/>
  <c r="G146" i="91"/>
  <c r="F146" i="91"/>
  <c r="E146" i="91"/>
  <c r="D146" i="91"/>
  <c r="AA145" i="91"/>
  <c r="Z145" i="91"/>
  <c r="Y145" i="91"/>
  <c r="X145" i="91"/>
  <c r="W145" i="91"/>
  <c r="V145" i="91"/>
  <c r="U145" i="91"/>
  <c r="T145" i="91"/>
  <c r="S145" i="91"/>
  <c r="R145" i="91"/>
  <c r="Q145" i="91"/>
  <c r="P145" i="91"/>
  <c r="O145" i="91"/>
  <c r="N145" i="91"/>
  <c r="M145" i="91"/>
  <c r="L145" i="91"/>
  <c r="K145" i="91"/>
  <c r="J145" i="91"/>
  <c r="I145" i="91"/>
  <c r="H145" i="91"/>
  <c r="G145" i="91"/>
  <c r="F145" i="91"/>
  <c r="E145" i="91"/>
  <c r="D145" i="91"/>
  <c r="AA144" i="91"/>
  <c r="Z144" i="91"/>
  <c r="Y144" i="91"/>
  <c r="X144" i="91"/>
  <c r="W144" i="91"/>
  <c r="V144" i="91"/>
  <c r="U144" i="91"/>
  <c r="T144" i="91"/>
  <c r="S144" i="91"/>
  <c r="R144" i="91"/>
  <c r="Q144" i="91"/>
  <c r="P144" i="91"/>
  <c r="O144" i="91"/>
  <c r="N144" i="91"/>
  <c r="M144" i="91"/>
  <c r="L144" i="91"/>
  <c r="K144" i="91"/>
  <c r="J144" i="91"/>
  <c r="I144" i="91"/>
  <c r="H144" i="91"/>
  <c r="G144" i="91"/>
  <c r="F144" i="91"/>
  <c r="E144" i="91"/>
  <c r="D144" i="91"/>
  <c r="AA143" i="91"/>
  <c r="Z143" i="91"/>
  <c r="Y143" i="91"/>
  <c r="X143" i="91"/>
  <c r="W143" i="91"/>
  <c r="V143" i="91"/>
  <c r="U143" i="91"/>
  <c r="T143" i="91"/>
  <c r="S143" i="91"/>
  <c r="R143" i="91"/>
  <c r="Q143" i="91"/>
  <c r="P143" i="91"/>
  <c r="O143" i="91"/>
  <c r="N143" i="91"/>
  <c r="M143" i="91"/>
  <c r="L143" i="91"/>
  <c r="K143" i="91"/>
  <c r="J143" i="91"/>
  <c r="I143" i="91"/>
  <c r="H143" i="91"/>
  <c r="G143" i="91"/>
  <c r="F143" i="91"/>
  <c r="E143" i="91"/>
  <c r="D143" i="91"/>
  <c r="AA142" i="91"/>
  <c r="Z142" i="91"/>
  <c r="Y142" i="91"/>
  <c r="X142" i="91"/>
  <c r="W142" i="91"/>
  <c r="V142" i="91"/>
  <c r="U142" i="91"/>
  <c r="T142" i="91"/>
  <c r="S142" i="91"/>
  <c r="R142" i="91"/>
  <c r="Q142" i="91"/>
  <c r="P142" i="91"/>
  <c r="O142" i="91"/>
  <c r="N142" i="91"/>
  <c r="M142" i="91"/>
  <c r="L142" i="91"/>
  <c r="K142" i="91"/>
  <c r="J142" i="91"/>
  <c r="I142" i="91"/>
  <c r="H142" i="91"/>
  <c r="G142" i="91"/>
  <c r="F142" i="91"/>
  <c r="E142" i="91"/>
  <c r="D142" i="91"/>
  <c r="AA141" i="91"/>
  <c r="Z141" i="91"/>
  <c r="Y141" i="91"/>
  <c r="X141" i="91"/>
  <c r="W141" i="91"/>
  <c r="V141" i="91"/>
  <c r="U141" i="91"/>
  <c r="T141" i="91"/>
  <c r="S141" i="91"/>
  <c r="R141" i="91"/>
  <c r="Q141" i="91"/>
  <c r="P141" i="91"/>
  <c r="O141" i="91"/>
  <c r="N141" i="91"/>
  <c r="M141" i="91"/>
  <c r="L141" i="91"/>
  <c r="K141" i="91"/>
  <c r="J141" i="91"/>
  <c r="I141" i="91"/>
  <c r="H141" i="91"/>
  <c r="G141" i="91"/>
  <c r="F141" i="91"/>
  <c r="E141" i="91"/>
  <c r="D141" i="91"/>
  <c r="AA140" i="91"/>
  <c r="Z140" i="91"/>
  <c r="Y140" i="91"/>
  <c r="X140" i="91"/>
  <c r="W140" i="91"/>
  <c r="V140" i="91"/>
  <c r="U140" i="91"/>
  <c r="T140" i="91"/>
  <c r="S140" i="91"/>
  <c r="R140" i="91"/>
  <c r="Q140" i="91"/>
  <c r="P140" i="91"/>
  <c r="O140" i="91"/>
  <c r="N140" i="91"/>
  <c r="M140" i="91"/>
  <c r="L140" i="91"/>
  <c r="K140" i="91"/>
  <c r="J140" i="91"/>
  <c r="I140" i="91"/>
  <c r="H140" i="91"/>
  <c r="G140" i="91"/>
  <c r="F140" i="91"/>
  <c r="E140" i="91"/>
  <c r="D140" i="91"/>
  <c r="AA139" i="91"/>
  <c r="Z139" i="91"/>
  <c r="Y139" i="91"/>
  <c r="X139" i="91"/>
  <c r="W139" i="91"/>
  <c r="V139" i="91"/>
  <c r="U139" i="91"/>
  <c r="T139" i="91"/>
  <c r="S139" i="91"/>
  <c r="R139" i="91"/>
  <c r="Q139" i="91"/>
  <c r="P139" i="91"/>
  <c r="O139" i="91"/>
  <c r="N139" i="91"/>
  <c r="M139" i="91"/>
  <c r="L139" i="91"/>
  <c r="K139" i="91"/>
  <c r="J139" i="91"/>
  <c r="I139" i="91"/>
  <c r="H139" i="91"/>
  <c r="G139" i="91"/>
  <c r="F139" i="91"/>
  <c r="E139" i="91"/>
  <c r="D139" i="91"/>
  <c r="AA138" i="91"/>
  <c r="Z138" i="91"/>
  <c r="Y138" i="91"/>
  <c r="X138" i="91"/>
  <c r="W138" i="91"/>
  <c r="V138" i="91"/>
  <c r="U138" i="91"/>
  <c r="T138" i="91"/>
  <c r="S138" i="91"/>
  <c r="R138" i="91"/>
  <c r="Q138" i="91"/>
  <c r="P138" i="91"/>
  <c r="O138" i="91"/>
  <c r="N138" i="91"/>
  <c r="M138" i="91"/>
  <c r="L138" i="91"/>
  <c r="K138" i="91"/>
  <c r="J138" i="91"/>
  <c r="I138" i="91"/>
  <c r="H138" i="91"/>
  <c r="G138" i="91"/>
  <c r="F138" i="91"/>
  <c r="E138" i="91"/>
  <c r="D138" i="91"/>
  <c r="AA137" i="91"/>
  <c r="Z137" i="91"/>
  <c r="Y137" i="91"/>
  <c r="X137" i="91"/>
  <c r="W137" i="91"/>
  <c r="V137" i="91"/>
  <c r="U137" i="91"/>
  <c r="T137" i="91"/>
  <c r="S137" i="91"/>
  <c r="R137" i="91"/>
  <c r="Q137" i="91"/>
  <c r="P137" i="91"/>
  <c r="O137" i="91"/>
  <c r="N137" i="91"/>
  <c r="M137" i="91"/>
  <c r="L137" i="91"/>
  <c r="K137" i="91"/>
  <c r="J137" i="91"/>
  <c r="I137" i="91"/>
  <c r="H137" i="91"/>
  <c r="G137" i="91"/>
  <c r="F137" i="91"/>
  <c r="E137" i="91"/>
  <c r="D137" i="91"/>
  <c r="AA136" i="91"/>
  <c r="Z136" i="91"/>
  <c r="Y136" i="91"/>
  <c r="X136" i="91"/>
  <c r="W136" i="91"/>
  <c r="V136" i="91"/>
  <c r="U136" i="91"/>
  <c r="T136" i="91"/>
  <c r="S136" i="91"/>
  <c r="R136" i="91"/>
  <c r="Q136" i="91"/>
  <c r="P136" i="91"/>
  <c r="O136" i="91"/>
  <c r="N136" i="91"/>
  <c r="M136" i="91"/>
  <c r="L136" i="91"/>
  <c r="K136" i="91"/>
  <c r="J136" i="91"/>
  <c r="I136" i="91"/>
  <c r="H136" i="91"/>
  <c r="G136" i="91"/>
  <c r="F136" i="91"/>
  <c r="E136" i="91"/>
  <c r="D136" i="91"/>
  <c r="AA135" i="91"/>
  <c r="Z135" i="91"/>
  <c r="Y135" i="91"/>
  <c r="X135" i="91"/>
  <c r="W135" i="91"/>
  <c r="V135" i="91"/>
  <c r="U135" i="91"/>
  <c r="T135" i="91"/>
  <c r="S135" i="91"/>
  <c r="R135" i="91"/>
  <c r="Q135" i="91"/>
  <c r="P135" i="91"/>
  <c r="O135" i="91"/>
  <c r="N135" i="91"/>
  <c r="M135" i="91"/>
  <c r="L135" i="91"/>
  <c r="K135" i="91"/>
  <c r="J135" i="91"/>
  <c r="I135" i="91"/>
  <c r="H135" i="91"/>
  <c r="G135" i="91"/>
  <c r="F135" i="91"/>
  <c r="E135" i="91"/>
  <c r="D135" i="91"/>
  <c r="AA134" i="91"/>
  <c r="Z134" i="91"/>
  <c r="Y134" i="91"/>
  <c r="X134" i="91"/>
  <c r="W134" i="91"/>
  <c r="V134" i="91"/>
  <c r="U134" i="91"/>
  <c r="T134" i="91"/>
  <c r="S134" i="91"/>
  <c r="R134" i="91"/>
  <c r="Q134" i="91"/>
  <c r="P134" i="91"/>
  <c r="O134" i="91"/>
  <c r="N134" i="91"/>
  <c r="M134" i="91"/>
  <c r="L134" i="91"/>
  <c r="K134" i="91"/>
  <c r="J134" i="91"/>
  <c r="I134" i="91"/>
  <c r="H134" i="91"/>
  <c r="G134" i="91"/>
  <c r="F134" i="91"/>
  <c r="E134" i="91"/>
  <c r="D134" i="91"/>
  <c r="AA133" i="91"/>
  <c r="Z133" i="91"/>
  <c r="Y133" i="91"/>
  <c r="X133" i="91"/>
  <c r="W133" i="91"/>
  <c r="V133" i="91"/>
  <c r="U133" i="91"/>
  <c r="T133" i="91"/>
  <c r="S133" i="91"/>
  <c r="R133" i="91"/>
  <c r="Q133" i="91"/>
  <c r="P133" i="91"/>
  <c r="O133" i="91"/>
  <c r="N133" i="91"/>
  <c r="M133" i="91"/>
  <c r="L133" i="91"/>
  <c r="K133" i="91"/>
  <c r="J133" i="91"/>
  <c r="I133" i="91"/>
  <c r="H133" i="91"/>
  <c r="G133" i="91"/>
  <c r="F133" i="91"/>
  <c r="E133" i="91"/>
  <c r="D133" i="91"/>
  <c r="AA132" i="91"/>
  <c r="Z132" i="91"/>
  <c r="Y132" i="91"/>
  <c r="X132" i="91"/>
  <c r="W132" i="91"/>
  <c r="V132" i="91"/>
  <c r="U132" i="91"/>
  <c r="T132" i="91"/>
  <c r="S132" i="91"/>
  <c r="R132" i="91"/>
  <c r="Q132" i="91"/>
  <c r="P132" i="91"/>
  <c r="O132" i="91"/>
  <c r="N132" i="91"/>
  <c r="M132" i="91"/>
  <c r="L132" i="91"/>
  <c r="K132" i="91"/>
  <c r="J132" i="91"/>
  <c r="I132" i="91"/>
  <c r="H132" i="91"/>
  <c r="G132" i="91"/>
  <c r="F132" i="91"/>
  <c r="E132" i="91"/>
  <c r="D132" i="91"/>
  <c r="AA131" i="91"/>
  <c r="Z131" i="91"/>
  <c r="Y131" i="91"/>
  <c r="X131" i="91"/>
  <c r="W131" i="91"/>
  <c r="V131" i="91"/>
  <c r="U131" i="91"/>
  <c r="T131" i="91"/>
  <c r="S131" i="91"/>
  <c r="R131" i="91"/>
  <c r="Q131" i="91"/>
  <c r="P131" i="91"/>
  <c r="O131" i="91"/>
  <c r="N131" i="91"/>
  <c r="M131" i="91"/>
  <c r="L131" i="91"/>
  <c r="K131" i="91"/>
  <c r="J131" i="91"/>
  <c r="I131" i="91"/>
  <c r="H131" i="91"/>
  <c r="G131" i="91"/>
  <c r="F131" i="91"/>
  <c r="E131" i="91"/>
  <c r="D131" i="91"/>
  <c r="AA130" i="91"/>
  <c r="Z130" i="91"/>
  <c r="Y130" i="91"/>
  <c r="X130" i="91"/>
  <c r="W130" i="91"/>
  <c r="V130" i="91"/>
  <c r="U130" i="91"/>
  <c r="T130" i="91"/>
  <c r="S130" i="91"/>
  <c r="R130" i="91"/>
  <c r="Q130" i="91"/>
  <c r="P130" i="91"/>
  <c r="O130" i="91"/>
  <c r="N130" i="91"/>
  <c r="M130" i="91"/>
  <c r="L130" i="91"/>
  <c r="K130" i="91"/>
  <c r="J130" i="91"/>
  <c r="I130" i="91"/>
  <c r="H130" i="91"/>
  <c r="G130" i="91"/>
  <c r="F130" i="91"/>
  <c r="E130" i="91"/>
  <c r="D130" i="91"/>
  <c r="AA129" i="91"/>
  <c r="Z129" i="91"/>
  <c r="Y129" i="91"/>
  <c r="X129" i="91"/>
  <c r="W129" i="91"/>
  <c r="V129" i="91"/>
  <c r="U129" i="91"/>
  <c r="T129" i="91"/>
  <c r="S129" i="91"/>
  <c r="R129" i="91"/>
  <c r="Q129" i="91"/>
  <c r="P129" i="91"/>
  <c r="O129" i="91"/>
  <c r="N129" i="91"/>
  <c r="M129" i="91"/>
  <c r="L129" i="91"/>
  <c r="K129" i="91"/>
  <c r="J129" i="91"/>
  <c r="I129" i="91"/>
  <c r="H129" i="91"/>
  <c r="G129" i="91"/>
  <c r="F129" i="91"/>
  <c r="E129" i="91"/>
  <c r="D129" i="91"/>
  <c r="AA128" i="91"/>
  <c r="Z128" i="91"/>
  <c r="Y128" i="91"/>
  <c r="X128" i="91"/>
  <c r="W128" i="91"/>
  <c r="V128" i="91"/>
  <c r="U128" i="91"/>
  <c r="T128" i="91"/>
  <c r="S128" i="91"/>
  <c r="R128" i="91"/>
  <c r="Q128" i="91"/>
  <c r="P128" i="91"/>
  <c r="O128" i="91"/>
  <c r="N128" i="91"/>
  <c r="M128" i="91"/>
  <c r="L128" i="91"/>
  <c r="K128" i="91"/>
  <c r="J128" i="91"/>
  <c r="I128" i="91"/>
  <c r="H128" i="91"/>
  <c r="G128" i="91"/>
  <c r="F128" i="91"/>
  <c r="E128" i="91"/>
  <c r="D128" i="91"/>
  <c r="AA127" i="91"/>
  <c r="Z127" i="91"/>
  <c r="Y127" i="91"/>
  <c r="X127" i="91"/>
  <c r="W127" i="91"/>
  <c r="V127" i="91"/>
  <c r="U127" i="91"/>
  <c r="T127" i="91"/>
  <c r="S127" i="91"/>
  <c r="R127" i="91"/>
  <c r="Q127" i="91"/>
  <c r="P127" i="91"/>
  <c r="O127" i="91"/>
  <c r="N127" i="91"/>
  <c r="M127" i="91"/>
  <c r="L127" i="91"/>
  <c r="K127" i="91"/>
  <c r="J127" i="91"/>
  <c r="I127" i="91"/>
  <c r="H127" i="91"/>
  <c r="G127" i="91"/>
  <c r="F127" i="91"/>
  <c r="E127" i="91"/>
  <c r="D127" i="91"/>
  <c r="AA126" i="91"/>
  <c r="Z126" i="91"/>
  <c r="Y126" i="91"/>
  <c r="X126" i="91"/>
  <c r="W126" i="91"/>
  <c r="V126" i="91"/>
  <c r="U126" i="91"/>
  <c r="T126" i="91"/>
  <c r="S126" i="91"/>
  <c r="R126" i="91"/>
  <c r="Q126" i="91"/>
  <c r="P126" i="91"/>
  <c r="O126" i="91"/>
  <c r="N126" i="91"/>
  <c r="M126" i="91"/>
  <c r="L126" i="91"/>
  <c r="K126" i="91"/>
  <c r="J126" i="91"/>
  <c r="I126" i="91"/>
  <c r="H126" i="91"/>
  <c r="G126" i="91"/>
  <c r="F126" i="91"/>
  <c r="E126" i="91"/>
  <c r="D126" i="91"/>
  <c r="AA125" i="91"/>
  <c r="Z125" i="91"/>
  <c r="Y125" i="91"/>
  <c r="X125" i="91"/>
  <c r="W125" i="91"/>
  <c r="V125" i="91"/>
  <c r="U125" i="91"/>
  <c r="T125" i="91"/>
  <c r="S125" i="91"/>
  <c r="R125" i="91"/>
  <c r="Q125" i="91"/>
  <c r="P125" i="91"/>
  <c r="O125" i="91"/>
  <c r="N125" i="91"/>
  <c r="M125" i="91"/>
  <c r="L125" i="91"/>
  <c r="K125" i="91"/>
  <c r="J125" i="91"/>
  <c r="I125" i="91"/>
  <c r="H125" i="91"/>
  <c r="G125" i="91"/>
  <c r="F125" i="91"/>
  <c r="E125" i="91"/>
  <c r="D125" i="91"/>
  <c r="AA124" i="91"/>
  <c r="Z124" i="91"/>
  <c r="Y124" i="91"/>
  <c r="X124" i="91"/>
  <c r="W124" i="91"/>
  <c r="V124" i="91"/>
  <c r="U124" i="91"/>
  <c r="T124" i="91"/>
  <c r="S124" i="91"/>
  <c r="R124" i="91"/>
  <c r="Q124" i="91"/>
  <c r="P124" i="91"/>
  <c r="O124" i="91"/>
  <c r="N124" i="91"/>
  <c r="M124" i="91"/>
  <c r="L124" i="91"/>
  <c r="K124" i="91"/>
  <c r="J124" i="91"/>
  <c r="I124" i="91"/>
  <c r="H124" i="91"/>
  <c r="G124" i="91"/>
  <c r="F124" i="91"/>
  <c r="E124" i="91"/>
  <c r="D124" i="91"/>
  <c r="AA123" i="91"/>
  <c r="Z123" i="91"/>
  <c r="Y123" i="91"/>
  <c r="X123" i="91"/>
  <c r="W123" i="91"/>
  <c r="V123" i="91"/>
  <c r="U123" i="91"/>
  <c r="T123" i="91"/>
  <c r="S123" i="91"/>
  <c r="R123" i="91"/>
  <c r="Q123" i="91"/>
  <c r="P123" i="91"/>
  <c r="O123" i="91"/>
  <c r="N123" i="91"/>
  <c r="M123" i="91"/>
  <c r="L123" i="91"/>
  <c r="K123" i="91"/>
  <c r="J123" i="91"/>
  <c r="I123" i="91"/>
  <c r="H123" i="91"/>
  <c r="G123" i="91"/>
  <c r="F123" i="91"/>
  <c r="E123" i="91"/>
  <c r="D123" i="91"/>
  <c r="AA122" i="91"/>
  <c r="Z122" i="91"/>
  <c r="Y122" i="91"/>
  <c r="X122" i="91"/>
  <c r="W122" i="91"/>
  <c r="V122" i="91"/>
  <c r="U122" i="91"/>
  <c r="T122" i="91"/>
  <c r="S122" i="91"/>
  <c r="R122" i="91"/>
  <c r="Q122" i="91"/>
  <c r="P122" i="91"/>
  <c r="O122" i="91"/>
  <c r="N122" i="91"/>
  <c r="M122" i="91"/>
  <c r="L122" i="91"/>
  <c r="K122" i="91"/>
  <c r="J122" i="91"/>
  <c r="I122" i="91"/>
  <c r="H122" i="91"/>
  <c r="G122" i="91"/>
  <c r="F122" i="91"/>
  <c r="E122" i="91"/>
  <c r="D122" i="91"/>
  <c r="AA121" i="91"/>
  <c r="Z121" i="91"/>
  <c r="Y121" i="91"/>
  <c r="X121" i="91"/>
  <c r="W121" i="91"/>
  <c r="V121" i="91"/>
  <c r="U121" i="91"/>
  <c r="T121" i="91"/>
  <c r="S121" i="91"/>
  <c r="R121" i="91"/>
  <c r="Q121" i="91"/>
  <c r="P121" i="91"/>
  <c r="O121" i="91"/>
  <c r="N121" i="91"/>
  <c r="M121" i="91"/>
  <c r="L121" i="91"/>
  <c r="K121" i="91"/>
  <c r="J121" i="91"/>
  <c r="I121" i="91"/>
  <c r="H121" i="91"/>
  <c r="G121" i="91"/>
  <c r="F121" i="91"/>
  <c r="E121" i="91"/>
  <c r="D121" i="91"/>
  <c r="AA120" i="91"/>
  <c r="Z120" i="91"/>
  <c r="Y120" i="91"/>
  <c r="X120" i="91"/>
  <c r="W120" i="91"/>
  <c r="V120" i="91"/>
  <c r="U120" i="91"/>
  <c r="T120" i="91"/>
  <c r="S120" i="91"/>
  <c r="R120" i="91"/>
  <c r="Q120" i="91"/>
  <c r="P120" i="91"/>
  <c r="O120" i="91"/>
  <c r="N120" i="91"/>
  <c r="M120" i="91"/>
  <c r="L120" i="91"/>
  <c r="K120" i="91"/>
  <c r="J120" i="91"/>
  <c r="I120" i="91"/>
  <c r="H120" i="91"/>
  <c r="G120" i="91"/>
  <c r="F120" i="91"/>
  <c r="E120" i="91"/>
  <c r="D120" i="91"/>
  <c r="AA119" i="91"/>
  <c r="Z119" i="91"/>
  <c r="Y119" i="91"/>
  <c r="X119" i="91"/>
  <c r="W119" i="91"/>
  <c r="V119" i="91"/>
  <c r="U119" i="91"/>
  <c r="T119" i="91"/>
  <c r="S119" i="91"/>
  <c r="R119" i="91"/>
  <c r="Q119" i="91"/>
  <c r="P119" i="91"/>
  <c r="O119" i="91"/>
  <c r="N119" i="91"/>
  <c r="M119" i="91"/>
  <c r="L119" i="91"/>
  <c r="K119" i="91"/>
  <c r="J119" i="91"/>
  <c r="I119" i="91"/>
  <c r="H119" i="91"/>
  <c r="G119" i="91"/>
  <c r="F119" i="91"/>
  <c r="E119" i="91"/>
  <c r="D119" i="91"/>
  <c r="AA118" i="91"/>
  <c r="Z118" i="91"/>
  <c r="Y118" i="91"/>
  <c r="X118" i="91"/>
  <c r="W118" i="91"/>
  <c r="V118" i="91"/>
  <c r="U118" i="91"/>
  <c r="T118" i="91"/>
  <c r="S118" i="91"/>
  <c r="R118" i="91"/>
  <c r="Q118" i="91"/>
  <c r="P118" i="91"/>
  <c r="O118" i="91"/>
  <c r="N118" i="91"/>
  <c r="M118" i="91"/>
  <c r="L118" i="91"/>
  <c r="K118" i="91"/>
  <c r="J118" i="91"/>
  <c r="I118" i="91"/>
  <c r="H118" i="91"/>
  <c r="G118" i="91"/>
  <c r="F118" i="91"/>
  <c r="E118" i="91"/>
  <c r="D118" i="91"/>
  <c r="AA117" i="91"/>
  <c r="Z117" i="91"/>
  <c r="Y117" i="91"/>
  <c r="X117" i="91"/>
  <c r="W117" i="91"/>
  <c r="V117" i="91"/>
  <c r="U117" i="91"/>
  <c r="T117" i="91"/>
  <c r="S117" i="91"/>
  <c r="R117" i="91"/>
  <c r="Q117" i="91"/>
  <c r="P117" i="91"/>
  <c r="O117" i="91"/>
  <c r="N117" i="91"/>
  <c r="M117" i="91"/>
  <c r="L117" i="91"/>
  <c r="K117" i="91"/>
  <c r="J117" i="91"/>
  <c r="I117" i="91"/>
  <c r="H117" i="91"/>
  <c r="G117" i="91"/>
  <c r="F117" i="91"/>
  <c r="E117" i="91"/>
  <c r="D117" i="91"/>
  <c r="AA116" i="91"/>
  <c r="Z116" i="91"/>
  <c r="Y116" i="91"/>
  <c r="X116" i="91"/>
  <c r="W116" i="91"/>
  <c r="V116" i="91"/>
  <c r="U116" i="91"/>
  <c r="T116" i="91"/>
  <c r="S116" i="91"/>
  <c r="R116" i="91"/>
  <c r="Q116" i="91"/>
  <c r="P116" i="91"/>
  <c r="O116" i="91"/>
  <c r="N116" i="91"/>
  <c r="M116" i="91"/>
  <c r="L116" i="91"/>
  <c r="K116" i="91"/>
  <c r="J116" i="91"/>
  <c r="I116" i="91"/>
  <c r="H116" i="91"/>
  <c r="G116" i="91"/>
  <c r="F116" i="91"/>
  <c r="E116" i="91"/>
  <c r="D116" i="91"/>
  <c r="AA115" i="91"/>
  <c r="Z115" i="91"/>
  <c r="Y115" i="91"/>
  <c r="X115" i="91"/>
  <c r="W115" i="91"/>
  <c r="V115" i="91"/>
  <c r="U115" i="91"/>
  <c r="T115" i="91"/>
  <c r="S115" i="91"/>
  <c r="R115" i="91"/>
  <c r="Q115" i="91"/>
  <c r="P115" i="91"/>
  <c r="O115" i="91"/>
  <c r="N115" i="91"/>
  <c r="M115" i="91"/>
  <c r="L115" i="91"/>
  <c r="K115" i="91"/>
  <c r="J115" i="91"/>
  <c r="I115" i="91"/>
  <c r="H115" i="91"/>
  <c r="G115" i="91"/>
  <c r="F115" i="91"/>
  <c r="E115" i="91"/>
  <c r="D115" i="91"/>
  <c r="AA114" i="91"/>
  <c r="Z114" i="91"/>
  <c r="Y114" i="91"/>
  <c r="X114" i="91"/>
  <c r="W114" i="91"/>
  <c r="V114" i="91"/>
  <c r="U114" i="91"/>
  <c r="T114" i="91"/>
  <c r="S114" i="91"/>
  <c r="R114" i="91"/>
  <c r="Q114" i="91"/>
  <c r="P114" i="91"/>
  <c r="O114" i="91"/>
  <c r="N114" i="91"/>
  <c r="M114" i="91"/>
  <c r="L114" i="91"/>
  <c r="K114" i="91"/>
  <c r="J114" i="91"/>
  <c r="I114" i="91"/>
  <c r="H114" i="91"/>
  <c r="G114" i="91"/>
  <c r="F114" i="91"/>
  <c r="E114" i="91"/>
  <c r="D114" i="91"/>
  <c r="AA113" i="91"/>
  <c r="Z113" i="91"/>
  <c r="Y113" i="91"/>
  <c r="X113" i="91"/>
  <c r="W113" i="91"/>
  <c r="V113" i="91"/>
  <c r="U113" i="91"/>
  <c r="T113" i="91"/>
  <c r="S113" i="91"/>
  <c r="R113" i="91"/>
  <c r="Q113" i="91"/>
  <c r="P113" i="91"/>
  <c r="O113" i="91"/>
  <c r="N113" i="91"/>
  <c r="M113" i="91"/>
  <c r="L113" i="91"/>
  <c r="K113" i="91"/>
  <c r="J113" i="91"/>
  <c r="I113" i="91"/>
  <c r="H113" i="91"/>
  <c r="G113" i="91"/>
  <c r="F113" i="91"/>
  <c r="E113" i="91"/>
  <c r="D113" i="91"/>
  <c r="AA112" i="91"/>
  <c r="Z112" i="91"/>
  <c r="Y112" i="91"/>
  <c r="X112" i="91"/>
  <c r="W112" i="91"/>
  <c r="V112" i="91"/>
  <c r="U112" i="91"/>
  <c r="T112" i="91"/>
  <c r="S112" i="91"/>
  <c r="R112" i="91"/>
  <c r="Q112" i="91"/>
  <c r="P112" i="91"/>
  <c r="O112" i="91"/>
  <c r="N112" i="91"/>
  <c r="M112" i="91"/>
  <c r="L112" i="91"/>
  <c r="K112" i="91"/>
  <c r="J112" i="91"/>
  <c r="I112" i="91"/>
  <c r="H112" i="91"/>
  <c r="G112" i="91"/>
  <c r="F112" i="91"/>
  <c r="E112" i="91"/>
  <c r="D112" i="91"/>
  <c r="AA111" i="91"/>
  <c r="Z111" i="91"/>
  <c r="Y111" i="91"/>
  <c r="X111" i="91"/>
  <c r="W111" i="91"/>
  <c r="V111" i="91"/>
  <c r="U111" i="91"/>
  <c r="T111" i="91"/>
  <c r="S111" i="91"/>
  <c r="R111" i="91"/>
  <c r="Q111" i="91"/>
  <c r="P111" i="91"/>
  <c r="O111" i="91"/>
  <c r="N111" i="91"/>
  <c r="M111" i="91"/>
  <c r="L111" i="91"/>
  <c r="K111" i="91"/>
  <c r="J111" i="91"/>
  <c r="I111" i="91"/>
  <c r="H111" i="91"/>
  <c r="G111" i="91"/>
  <c r="F111" i="91"/>
  <c r="E111" i="91"/>
  <c r="D111" i="91"/>
  <c r="AA110" i="91"/>
  <c r="Z110" i="91"/>
  <c r="Y110" i="91"/>
  <c r="X110" i="91"/>
  <c r="W110" i="91"/>
  <c r="V110" i="91"/>
  <c r="U110" i="91"/>
  <c r="T110" i="91"/>
  <c r="S110" i="91"/>
  <c r="R110" i="91"/>
  <c r="Q110" i="91"/>
  <c r="P110" i="91"/>
  <c r="O110" i="91"/>
  <c r="N110" i="91"/>
  <c r="M110" i="91"/>
  <c r="L110" i="91"/>
  <c r="K110" i="91"/>
  <c r="J110" i="91"/>
  <c r="I110" i="91"/>
  <c r="H110" i="91"/>
  <c r="G110" i="91"/>
  <c r="F110" i="91"/>
  <c r="E110" i="91"/>
  <c r="D110" i="91"/>
  <c r="AA109" i="91"/>
  <c r="Z109" i="91"/>
  <c r="Y109" i="91"/>
  <c r="X109" i="91"/>
  <c r="W109" i="91"/>
  <c r="V109" i="91"/>
  <c r="U109" i="91"/>
  <c r="T109" i="91"/>
  <c r="S109" i="91"/>
  <c r="R109" i="91"/>
  <c r="Q109" i="91"/>
  <c r="P109" i="91"/>
  <c r="O109" i="91"/>
  <c r="N109" i="91"/>
  <c r="M109" i="91"/>
  <c r="L109" i="91"/>
  <c r="K109" i="91"/>
  <c r="J109" i="91"/>
  <c r="I109" i="91"/>
  <c r="H109" i="91"/>
  <c r="G109" i="91"/>
  <c r="F109" i="91"/>
  <c r="E109" i="91"/>
  <c r="D109" i="91"/>
  <c r="AA108" i="91"/>
  <c r="Z108" i="91"/>
  <c r="Y108" i="91"/>
  <c r="X108" i="91"/>
  <c r="W108" i="91"/>
  <c r="V108" i="91"/>
  <c r="U108" i="91"/>
  <c r="T108" i="91"/>
  <c r="S108" i="91"/>
  <c r="R108" i="91"/>
  <c r="Q108" i="91"/>
  <c r="P108" i="91"/>
  <c r="O108" i="91"/>
  <c r="N108" i="91"/>
  <c r="M108" i="91"/>
  <c r="L108" i="91"/>
  <c r="K108" i="91"/>
  <c r="J108" i="91"/>
  <c r="I108" i="91"/>
  <c r="H108" i="91"/>
  <c r="G108" i="91"/>
  <c r="F108" i="91"/>
  <c r="E108" i="91"/>
  <c r="D108" i="91"/>
  <c r="AA107" i="91"/>
  <c r="Z107" i="91"/>
  <c r="Y107" i="91"/>
  <c r="X107" i="91"/>
  <c r="W107" i="91"/>
  <c r="V107" i="91"/>
  <c r="U107" i="91"/>
  <c r="T107" i="91"/>
  <c r="S107" i="91"/>
  <c r="R107" i="91"/>
  <c r="Q107" i="91"/>
  <c r="P107" i="91"/>
  <c r="O107" i="91"/>
  <c r="N107" i="91"/>
  <c r="M107" i="91"/>
  <c r="L107" i="91"/>
  <c r="K107" i="91"/>
  <c r="J107" i="91"/>
  <c r="I107" i="91"/>
  <c r="H107" i="91"/>
  <c r="G107" i="91"/>
  <c r="F107" i="91"/>
  <c r="E107" i="91"/>
  <c r="D107" i="91"/>
  <c r="AA106" i="91"/>
  <c r="Z106" i="91"/>
  <c r="Y106" i="91"/>
  <c r="X106" i="91"/>
  <c r="W106" i="91"/>
  <c r="V106" i="91"/>
  <c r="U106" i="91"/>
  <c r="T106" i="91"/>
  <c r="S106" i="91"/>
  <c r="R106" i="91"/>
  <c r="Q106" i="91"/>
  <c r="P106" i="91"/>
  <c r="O106" i="91"/>
  <c r="N106" i="91"/>
  <c r="M106" i="91"/>
  <c r="L106" i="91"/>
  <c r="K106" i="91"/>
  <c r="J106" i="91"/>
  <c r="I106" i="91"/>
  <c r="H106" i="91"/>
  <c r="G106" i="91"/>
  <c r="F106" i="91"/>
  <c r="E106" i="91"/>
  <c r="D106" i="91"/>
  <c r="AA105" i="91"/>
  <c r="Z105" i="91"/>
  <c r="Y105" i="91"/>
  <c r="X105" i="91"/>
  <c r="W105" i="91"/>
  <c r="V105" i="91"/>
  <c r="U105" i="91"/>
  <c r="T105" i="91"/>
  <c r="S105" i="91"/>
  <c r="R105" i="91"/>
  <c r="Q105" i="91"/>
  <c r="P105" i="91"/>
  <c r="O105" i="91"/>
  <c r="N105" i="91"/>
  <c r="M105" i="91"/>
  <c r="L105" i="91"/>
  <c r="K105" i="91"/>
  <c r="J105" i="91"/>
  <c r="I105" i="91"/>
  <c r="H105" i="91"/>
  <c r="G105" i="91"/>
  <c r="F105" i="91"/>
  <c r="E105" i="91"/>
  <c r="D105" i="91"/>
  <c r="AA104" i="91"/>
  <c r="Z104" i="91"/>
  <c r="Y104" i="91"/>
  <c r="X104" i="91"/>
  <c r="W104" i="91"/>
  <c r="V104" i="91"/>
  <c r="U104" i="91"/>
  <c r="T104" i="91"/>
  <c r="S104" i="91"/>
  <c r="R104" i="91"/>
  <c r="Q104" i="91"/>
  <c r="P104" i="91"/>
  <c r="O104" i="91"/>
  <c r="N104" i="91"/>
  <c r="M104" i="91"/>
  <c r="L104" i="91"/>
  <c r="K104" i="91"/>
  <c r="J104" i="91"/>
  <c r="I104" i="91"/>
  <c r="H104" i="91"/>
  <c r="G104" i="91"/>
  <c r="F104" i="91"/>
  <c r="E104" i="91"/>
  <c r="D104" i="91"/>
  <c r="AA103" i="91"/>
  <c r="Z103" i="91"/>
  <c r="Y103" i="91"/>
  <c r="X103" i="91"/>
  <c r="W103" i="91"/>
  <c r="V103" i="91"/>
  <c r="U103" i="91"/>
  <c r="T103" i="91"/>
  <c r="S103" i="91"/>
  <c r="R103" i="91"/>
  <c r="Q103" i="91"/>
  <c r="P103" i="91"/>
  <c r="O103" i="91"/>
  <c r="N103" i="91"/>
  <c r="M103" i="91"/>
  <c r="L103" i="91"/>
  <c r="K103" i="91"/>
  <c r="J103" i="91"/>
  <c r="I103" i="91"/>
  <c r="H103" i="91"/>
  <c r="G103" i="91"/>
  <c r="F103" i="91"/>
  <c r="E103" i="91"/>
  <c r="D103" i="91"/>
  <c r="AA102" i="91"/>
  <c r="Z102" i="91"/>
  <c r="Y102" i="91"/>
  <c r="X102" i="91"/>
  <c r="W102" i="91"/>
  <c r="V102" i="91"/>
  <c r="U102" i="91"/>
  <c r="T102" i="91"/>
  <c r="S102" i="91"/>
  <c r="R102" i="91"/>
  <c r="Q102" i="91"/>
  <c r="P102" i="91"/>
  <c r="O102" i="91"/>
  <c r="N102" i="91"/>
  <c r="M102" i="91"/>
  <c r="L102" i="91"/>
  <c r="K102" i="91"/>
  <c r="J102" i="91"/>
  <c r="I102" i="91"/>
  <c r="H102" i="91"/>
  <c r="G102" i="91"/>
  <c r="F102" i="91"/>
  <c r="E102" i="91"/>
  <c r="D102" i="91"/>
  <c r="AA101" i="91"/>
  <c r="Z101" i="91"/>
  <c r="Y101" i="91"/>
  <c r="X101" i="91"/>
  <c r="W101" i="91"/>
  <c r="V101" i="91"/>
  <c r="U101" i="91"/>
  <c r="T101" i="91"/>
  <c r="S101" i="91"/>
  <c r="R101" i="91"/>
  <c r="Q101" i="91"/>
  <c r="P101" i="91"/>
  <c r="O101" i="91"/>
  <c r="N101" i="91"/>
  <c r="M101" i="91"/>
  <c r="L101" i="91"/>
  <c r="K101" i="91"/>
  <c r="J101" i="91"/>
  <c r="I101" i="91"/>
  <c r="H101" i="91"/>
  <c r="G101" i="91"/>
  <c r="F101" i="91"/>
  <c r="E101" i="91"/>
  <c r="D101" i="91"/>
  <c r="AA100" i="91"/>
  <c r="Z100" i="91"/>
  <c r="Y100" i="91"/>
  <c r="X100" i="91"/>
  <c r="W100" i="91"/>
  <c r="V100" i="91"/>
  <c r="U100" i="91"/>
  <c r="T100" i="91"/>
  <c r="S100" i="91"/>
  <c r="R100" i="91"/>
  <c r="Q100" i="91"/>
  <c r="P100" i="91"/>
  <c r="O100" i="91"/>
  <c r="N100" i="91"/>
  <c r="M100" i="91"/>
  <c r="L100" i="91"/>
  <c r="K100" i="91"/>
  <c r="J100" i="91"/>
  <c r="I100" i="91"/>
  <c r="H100" i="91"/>
  <c r="G100" i="91"/>
  <c r="F100" i="91"/>
  <c r="E100" i="91"/>
  <c r="D100" i="91"/>
  <c r="AA99" i="91"/>
  <c r="Z99" i="91"/>
  <c r="Y99" i="91"/>
  <c r="X99" i="91"/>
  <c r="W99" i="91"/>
  <c r="V99" i="91"/>
  <c r="U99" i="91"/>
  <c r="T99" i="91"/>
  <c r="S99" i="91"/>
  <c r="R99" i="91"/>
  <c r="Q99" i="91"/>
  <c r="P99" i="91"/>
  <c r="O99" i="91"/>
  <c r="N99" i="91"/>
  <c r="M99" i="91"/>
  <c r="L99" i="91"/>
  <c r="K99" i="91"/>
  <c r="J99" i="91"/>
  <c r="I99" i="91"/>
  <c r="H99" i="91"/>
  <c r="G99" i="91"/>
  <c r="F99" i="91"/>
  <c r="E99" i="91"/>
  <c r="D99" i="91"/>
  <c r="AA98" i="91"/>
  <c r="Z98" i="91"/>
  <c r="Y98" i="91"/>
  <c r="X98" i="91"/>
  <c r="W98" i="91"/>
  <c r="V98" i="91"/>
  <c r="U98" i="91"/>
  <c r="T98" i="91"/>
  <c r="S98" i="91"/>
  <c r="R98" i="91"/>
  <c r="Q98" i="91"/>
  <c r="P98" i="91"/>
  <c r="O98" i="91"/>
  <c r="N98" i="91"/>
  <c r="M98" i="91"/>
  <c r="L98" i="91"/>
  <c r="K98" i="91"/>
  <c r="J98" i="91"/>
  <c r="I98" i="91"/>
  <c r="H98" i="91"/>
  <c r="G98" i="91"/>
  <c r="F98" i="91"/>
  <c r="E98" i="91"/>
  <c r="D98" i="91"/>
  <c r="AA97" i="91"/>
  <c r="Z97" i="91"/>
  <c r="Y97" i="91"/>
  <c r="X97" i="91"/>
  <c r="W97" i="91"/>
  <c r="V97" i="91"/>
  <c r="U97" i="91"/>
  <c r="T97" i="91"/>
  <c r="S97" i="91"/>
  <c r="R97" i="91"/>
  <c r="Q97" i="91"/>
  <c r="P97" i="91"/>
  <c r="O97" i="91"/>
  <c r="N97" i="91"/>
  <c r="M97" i="91"/>
  <c r="L97" i="91"/>
  <c r="K97" i="91"/>
  <c r="J97" i="91"/>
  <c r="I97" i="91"/>
  <c r="H97" i="91"/>
  <c r="G97" i="91"/>
  <c r="F97" i="91"/>
  <c r="E97" i="91"/>
  <c r="D97" i="91"/>
  <c r="AA96" i="91"/>
  <c r="Z96" i="91"/>
  <c r="Y96" i="91"/>
  <c r="X96" i="91"/>
  <c r="W96" i="91"/>
  <c r="V96" i="91"/>
  <c r="U96" i="91"/>
  <c r="T96" i="91"/>
  <c r="S96" i="91"/>
  <c r="R96" i="91"/>
  <c r="Q96" i="91"/>
  <c r="P96" i="91"/>
  <c r="O96" i="91"/>
  <c r="N96" i="91"/>
  <c r="M96" i="91"/>
  <c r="L96" i="91"/>
  <c r="K96" i="91"/>
  <c r="J96" i="91"/>
  <c r="I96" i="91"/>
  <c r="H96" i="91"/>
  <c r="G96" i="91"/>
  <c r="F96" i="91"/>
  <c r="E96" i="91"/>
  <c r="D96" i="91"/>
  <c r="AA95" i="91"/>
  <c r="Z95" i="91"/>
  <c r="Y95" i="91"/>
  <c r="X95" i="91"/>
  <c r="W95" i="91"/>
  <c r="V95" i="91"/>
  <c r="U95" i="91"/>
  <c r="T95" i="91"/>
  <c r="S95" i="91"/>
  <c r="R95" i="91"/>
  <c r="Q95" i="91"/>
  <c r="P95" i="91"/>
  <c r="O95" i="91"/>
  <c r="N95" i="91"/>
  <c r="M95" i="91"/>
  <c r="L95" i="91"/>
  <c r="K95" i="91"/>
  <c r="J95" i="91"/>
  <c r="I95" i="91"/>
  <c r="H95" i="91"/>
  <c r="G95" i="91"/>
  <c r="F95" i="91"/>
  <c r="E95" i="91"/>
  <c r="D95" i="91"/>
  <c r="AA94" i="91"/>
  <c r="Z94" i="91"/>
  <c r="Y94" i="91"/>
  <c r="X94" i="91"/>
  <c r="W94" i="91"/>
  <c r="V94" i="91"/>
  <c r="U94" i="91"/>
  <c r="T94" i="91"/>
  <c r="S94" i="91"/>
  <c r="R94" i="91"/>
  <c r="Q94" i="91"/>
  <c r="P94" i="91"/>
  <c r="O94" i="91"/>
  <c r="N94" i="91"/>
  <c r="M94" i="91"/>
  <c r="L94" i="91"/>
  <c r="K94" i="91"/>
  <c r="J94" i="91"/>
  <c r="I94" i="91"/>
  <c r="H94" i="91"/>
  <c r="G94" i="91"/>
  <c r="F94" i="91"/>
  <c r="E94" i="91"/>
  <c r="D94" i="91"/>
  <c r="AA93" i="91"/>
  <c r="Z93" i="91"/>
  <c r="Y93" i="91"/>
  <c r="X93" i="91"/>
  <c r="W93" i="91"/>
  <c r="V93" i="91"/>
  <c r="U93" i="91"/>
  <c r="T93" i="91"/>
  <c r="S93" i="91"/>
  <c r="R93" i="91"/>
  <c r="Q93" i="91"/>
  <c r="P93" i="91"/>
  <c r="O93" i="91"/>
  <c r="N93" i="91"/>
  <c r="M93" i="91"/>
  <c r="L93" i="91"/>
  <c r="K93" i="91"/>
  <c r="J93" i="91"/>
  <c r="I93" i="91"/>
  <c r="H93" i="91"/>
  <c r="G93" i="91"/>
  <c r="F93" i="91"/>
  <c r="E93" i="91"/>
  <c r="D93" i="91"/>
  <c r="AA92" i="91"/>
  <c r="Z92" i="91"/>
  <c r="Y92" i="91"/>
  <c r="X92" i="91"/>
  <c r="W92" i="91"/>
  <c r="V92" i="91"/>
  <c r="U92" i="91"/>
  <c r="T92" i="91"/>
  <c r="S92" i="91"/>
  <c r="R92" i="91"/>
  <c r="Q92" i="91"/>
  <c r="P92" i="91"/>
  <c r="O92" i="91"/>
  <c r="N92" i="91"/>
  <c r="M92" i="91"/>
  <c r="L92" i="91"/>
  <c r="K92" i="91"/>
  <c r="J92" i="91"/>
  <c r="I92" i="91"/>
  <c r="H92" i="91"/>
  <c r="G92" i="91"/>
  <c r="F92" i="91"/>
  <c r="E92" i="91"/>
  <c r="D92" i="91"/>
  <c r="AA91" i="91"/>
  <c r="Z91" i="91"/>
  <c r="Y91" i="91"/>
  <c r="X91" i="91"/>
  <c r="W91" i="91"/>
  <c r="V91" i="91"/>
  <c r="U91" i="91"/>
  <c r="T91" i="91"/>
  <c r="S91" i="91"/>
  <c r="R91" i="91"/>
  <c r="Q91" i="91"/>
  <c r="P91" i="91"/>
  <c r="O91" i="91"/>
  <c r="N91" i="91"/>
  <c r="M91" i="91"/>
  <c r="L91" i="91"/>
  <c r="K91" i="91"/>
  <c r="J91" i="91"/>
  <c r="I91" i="91"/>
  <c r="H91" i="91"/>
  <c r="G91" i="91"/>
  <c r="F91" i="91"/>
  <c r="E91" i="91"/>
  <c r="D91" i="91"/>
  <c r="AA90" i="91"/>
  <c r="Z90" i="91"/>
  <c r="Y90" i="91"/>
  <c r="X90" i="91"/>
  <c r="W90" i="91"/>
  <c r="V90" i="91"/>
  <c r="U90" i="91"/>
  <c r="T90" i="91"/>
  <c r="S90" i="91"/>
  <c r="R90" i="91"/>
  <c r="Q90" i="91"/>
  <c r="P90" i="91"/>
  <c r="O90" i="91"/>
  <c r="N90" i="91"/>
  <c r="M90" i="91"/>
  <c r="L90" i="91"/>
  <c r="K90" i="91"/>
  <c r="J90" i="91"/>
  <c r="I90" i="91"/>
  <c r="H90" i="91"/>
  <c r="G90" i="91"/>
  <c r="F90" i="91"/>
  <c r="E90" i="91"/>
  <c r="D90" i="91"/>
  <c r="AA89" i="91"/>
  <c r="Z89" i="91"/>
  <c r="Y89" i="91"/>
  <c r="X89" i="91"/>
  <c r="W89" i="91"/>
  <c r="V89" i="91"/>
  <c r="U89" i="91"/>
  <c r="T89" i="91"/>
  <c r="S89" i="91"/>
  <c r="R89" i="91"/>
  <c r="Q89" i="91"/>
  <c r="P89" i="91"/>
  <c r="O89" i="91"/>
  <c r="N89" i="91"/>
  <c r="M89" i="91"/>
  <c r="L89" i="91"/>
  <c r="K89" i="91"/>
  <c r="J89" i="91"/>
  <c r="I89" i="91"/>
  <c r="H89" i="91"/>
  <c r="G89" i="91"/>
  <c r="F89" i="91"/>
  <c r="E89" i="91"/>
  <c r="D89" i="91"/>
  <c r="AA88" i="91"/>
  <c r="Z88" i="91"/>
  <c r="Y88" i="91"/>
  <c r="X88" i="91"/>
  <c r="W88" i="91"/>
  <c r="V88" i="91"/>
  <c r="U88" i="91"/>
  <c r="T88" i="91"/>
  <c r="S88" i="91"/>
  <c r="R88" i="91"/>
  <c r="Q88" i="91"/>
  <c r="P88" i="91"/>
  <c r="O88" i="91"/>
  <c r="N88" i="91"/>
  <c r="M88" i="91"/>
  <c r="L88" i="91"/>
  <c r="K88" i="91"/>
  <c r="J88" i="91"/>
  <c r="I88" i="91"/>
  <c r="H88" i="91"/>
  <c r="G88" i="91"/>
  <c r="F88" i="91"/>
  <c r="E88" i="91"/>
  <c r="D88" i="91"/>
  <c r="AA87" i="91"/>
  <c r="Z87" i="91"/>
  <c r="Y87" i="91"/>
  <c r="X87" i="91"/>
  <c r="W87" i="91"/>
  <c r="V87" i="91"/>
  <c r="U87" i="91"/>
  <c r="T87" i="91"/>
  <c r="S87" i="91"/>
  <c r="R87" i="91"/>
  <c r="Q87" i="91"/>
  <c r="P87" i="91"/>
  <c r="O87" i="91"/>
  <c r="N87" i="91"/>
  <c r="M87" i="91"/>
  <c r="L87" i="91"/>
  <c r="K87" i="91"/>
  <c r="J87" i="91"/>
  <c r="I87" i="91"/>
  <c r="H87" i="91"/>
  <c r="G87" i="91"/>
  <c r="F87" i="91"/>
  <c r="E87" i="91"/>
  <c r="D87" i="91"/>
  <c r="AA86" i="91"/>
  <c r="Z86" i="91"/>
  <c r="Y86" i="91"/>
  <c r="X86" i="91"/>
  <c r="W86" i="91"/>
  <c r="V86" i="91"/>
  <c r="U86" i="91"/>
  <c r="T86" i="91"/>
  <c r="S86" i="91"/>
  <c r="R86" i="91"/>
  <c r="Q86" i="91"/>
  <c r="P86" i="91"/>
  <c r="O86" i="91"/>
  <c r="N86" i="91"/>
  <c r="M86" i="91"/>
  <c r="L86" i="91"/>
  <c r="K86" i="91"/>
  <c r="J86" i="91"/>
  <c r="I86" i="91"/>
  <c r="H86" i="91"/>
  <c r="G86" i="91"/>
  <c r="F86" i="91"/>
  <c r="E86" i="91"/>
  <c r="D86" i="91"/>
  <c r="AA85" i="91"/>
  <c r="Z85" i="91"/>
  <c r="Y85" i="91"/>
  <c r="X85" i="91"/>
  <c r="W85" i="91"/>
  <c r="V85" i="91"/>
  <c r="U85" i="91"/>
  <c r="T85" i="91"/>
  <c r="S85" i="91"/>
  <c r="R85" i="91"/>
  <c r="Q85" i="91"/>
  <c r="P85" i="91"/>
  <c r="O85" i="91"/>
  <c r="N85" i="91"/>
  <c r="M85" i="91"/>
  <c r="L85" i="91"/>
  <c r="K85" i="91"/>
  <c r="J85" i="91"/>
  <c r="I85" i="91"/>
  <c r="H85" i="91"/>
  <c r="G85" i="91"/>
  <c r="F85" i="91"/>
  <c r="E85" i="91"/>
  <c r="D85" i="91"/>
  <c r="AA84" i="91"/>
  <c r="Z84" i="91"/>
  <c r="Y84" i="91"/>
  <c r="X84" i="91"/>
  <c r="W84" i="91"/>
  <c r="V84" i="91"/>
  <c r="U84" i="91"/>
  <c r="T84" i="91"/>
  <c r="S84" i="91"/>
  <c r="R84" i="91"/>
  <c r="Q84" i="91"/>
  <c r="P84" i="91"/>
  <c r="O84" i="91"/>
  <c r="N84" i="91"/>
  <c r="M84" i="91"/>
  <c r="L84" i="91"/>
  <c r="K84" i="91"/>
  <c r="J84" i="91"/>
  <c r="I84" i="91"/>
  <c r="H84" i="91"/>
  <c r="G84" i="91"/>
  <c r="F84" i="91"/>
  <c r="E84" i="91"/>
  <c r="D84" i="91"/>
  <c r="AA83" i="91"/>
  <c r="Z83" i="91"/>
  <c r="Y83" i="91"/>
  <c r="X83" i="91"/>
  <c r="W83" i="91"/>
  <c r="V83" i="91"/>
  <c r="U83" i="91"/>
  <c r="T83" i="91"/>
  <c r="S83" i="91"/>
  <c r="R83" i="91"/>
  <c r="Q83" i="91"/>
  <c r="P83" i="91"/>
  <c r="O83" i="91"/>
  <c r="N83" i="91"/>
  <c r="M83" i="91"/>
  <c r="L83" i="91"/>
  <c r="K83" i="91"/>
  <c r="J83" i="91"/>
  <c r="I83" i="91"/>
  <c r="H83" i="91"/>
  <c r="G83" i="91"/>
  <c r="F83" i="91"/>
  <c r="E83" i="91"/>
  <c r="D83" i="91"/>
  <c r="AA82" i="91"/>
  <c r="Z82" i="91"/>
  <c r="Y82" i="91"/>
  <c r="X82" i="91"/>
  <c r="W82" i="91"/>
  <c r="V82" i="91"/>
  <c r="U82" i="91"/>
  <c r="T82" i="91"/>
  <c r="S82" i="91"/>
  <c r="R82" i="91"/>
  <c r="Q82" i="91"/>
  <c r="P82" i="91"/>
  <c r="O82" i="91"/>
  <c r="N82" i="91"/>
  <c r="M82" i="91"/>
  <c r="L82" i="91"/>
  <c r="K82" i="91"/>
  <c r="J82" i="91"/>
  <c r="I82" i="91"/>
  <c r="H82" i="91"/>
  <c r="G82" i="91"/>
  <c r="F82" i="91"/>
  <c r="E82" i="91"/>
  <c r="D82" i="91"/>
  <c r="AA81" i="91"/>
  <c r="Z81" i="91"/>
  <c r="Y81" i="91"/>
  <c r="X81" i="91"/>
  <c r="W81" i="91"/>
  <c r="V81" i="91"/>
  <c r="U81" i="91"/>
  <c r="T81" i="91"/>
  <c r="S81" i="91"/>
  <c r="R81" i="91"/>
  <c r="Q81" i="91"/>
  <c r="P81" i="91"/>
  <c r="O81" i="91"/>
  <c r="N81" i="91"/>
  <c r="M81" i="91"/>
  <c r="L81" i="91"/>
  <c r="K81" i="91"/>
  <c r="J81" i="91"/>
  <c r="I81" i="91"/>
  <c r="H81" i="91"/>
  <c r="G81" i="91"/>
  <c r="F81" i="91"/>
  <c r="E81" i="91"/>
  <c r="D81" i="91"/>
  <c r="AA80" i="91"/>
  <c r="Z80" i="91"/>
  <c r="Y80" i="91"/>
  <c r="X80" i="91"/>
  <c r="W80" i="91"/>
  <c r="V80" i="91"/>
  <c r="U80" i="91"/>
  <c r="T80" i="91"/>
  <c r="S80" i="91"/>
  <c r="R80" i="91"/>
  <c r="Q80" i="91"/>
  <c r="P80" i="91"/>
  <c r="O80" i="91"/>
  <c r="N80" i="91"/>
  <c r="M80" i="91"/>
  <c r="L80" i="91"/>
  <c r="K80" i="91"/>
  <c r="J80" i="91"/>
  <c r="I80" i="91"/>
  <c r="H80" i="91"/>
  <c r="G80" i="91"/>
  <c r="F80" i="91"/>
  <c r="E80" i="91"/>
  <c r="D80" i="91"/>
  <c r="AA79" i="91"/>
  <c r="Z79" i="91"/>
  <c r="Y79" i="91"/>
  <c r="X79" i="91"/>
  <c r="W79" i="91"/>
  <c r="V79" i="91"/>
  <c r="U79" i="91"/>
  <c r="T79" i="91"/>
  <c r="S79" i="91"/>
  <c r="R79" i="91"/>
  <c r="Q79" i="91"/>
  <c r="P79" i="91"/>
  <c r="O79" i="91"/>
  <c r="N79" i="91"/>
  <c r="M79" i="91"/>
  <c r="L79" i="91"/>
  <c r="K79" i="91"/>
  <c r="J79" i="91"/>
  <c r="I79" i="91"/>
  <c r="H79" i="91"/>
  <c r="G79" i="91"/>
  <c r="F79" i="91"/>
  <c r="E79" i="91"/>
  <c r="D79" i="91"/>
  <c r="AA78" i="91"/>
  <c r="Z78" i="91"/>
  <c r="Y78" i="91"/>
  <c r="X78" i="91"/>
  <c r="W78" i="91"/>
  <c r="V78" i="91"/>
  <c r="U78" i="91"/>
  <c r="T78" i="91"/>
  <c r="S78" i="91"/>
  <c r="R78" i="91"/>
  <c r="Q78" i="91"/>
  <c r="P78" i="91"/>
  <c r="O78" i="91"/>
  <c r="N78" i="91"/>
  <c r="M78" i="91"/>
  <c r="L78" i="91"/>
  <c r="K78" i="91"/>
  <c r="J78" i="91"/>
  <c r="I78" i="91"/>
  <c r="H78" i="91"/>
  <c r="G78" i="91"/>
  <c r="F78" i="91"/>
  <c r="E78" i="91"/>
  <c r="D78" i="91"/>
  <c r="AA77" i="91"/>
  <c r="Z77" i="91"/>
  <c r="Y77" i="91"/>
  <c r="X77" i="91"/>
  <c r="W77" i="91"/>
  <c r="V77" i="91"/>
  <c r="U77" i="91"/>
  <c r="T77" i="91"/>
  <c r="S77" i="91"/>
  <c r="R77" i="91"/>
  <c r="Q77" i="91"/>
  <c r="P77" i="91"/>
  <c r="O77" i="91"/>
  <c r="N77" i="91"/>
  <c r="M77" i="91"/>
  <c r="L77" i="91"/>
  <c r="K77" i="91"/>
  <c r="J77" i="91"/>
  <c r="I77" i="91"/>
  <c r="H77" i="91"/>
  <c r="G77" i="91"/>
  <c r="F77" i="91"/>
  <c r="E77" i="91"/>
  <c r="D77" i="91"/>
  <c r="AA76" i="91"/>
  <c r="Z76" i="91"/>
  <c r="Y76" i="91"/>
  <c r="X76" i="91"/>
  <c r="W76" i="91"/>
  <c r="V76" i="91"/>
  <c r="U76" i="91"/>
  <c r="T76" i="91"/>
  <c r="S76" i="91"/>
  <c r="R76" i="91"/>
  <c r="Q76" i="91"/>
  <c r="P76" i="91"/>
  <c r="O76" i="91"/>
  <c r="N76" i="91"/>
  <c r="M76" i="91"/>
  <c r="L76" i="91"/>
  <c r="K76" i="91"/>
  <c r="J76" i="91"/>
  <c r="I76" i="91"/>
  <c r="H76" i="91"/>
  <c r="G76" i="91"/>
  <c r="F76" i="91"/>
  <c r="E76" i="91"/>
  <c r="D76" i="91"/>
  <c r="AA75" i="91"/>
  <c r="Z75" i="91"/>
  <c r="Y75" i="91"/>
  <c r="X75" i="91"/>
  <c r="W75" i="91"/>
  <c r="V75" i="91"/>
  <c r="U75" i="91"/>
  <c r="T75" i="91"/>
  <c r="S75" i="91"/>
  <c r="R75" i="91"/>
  <c r="Q75" i="91"/>
  <c r="P75" i="91"/>
  <c r="O75" i="91"/>
  <c r="N75" i="91"/>
  <c r="M75" i="91"/>
  <c r="L75" i="91"/>
  <c r="K75" i="91"/>
  <c r="J75" i="91"/>
  <c r="I75" i="91"/>
  <c r="H75" i="91"/>
  <c r="G75" i="91"/>
  <c r="F75" i="91"/>
  <c r="E75" i="91"/>
  <c r="D75" i="91"/>
  <c r="AA74" i="91"/>
  <c r="Z74" i="91"/>
  <c r="Y74" i="91"/>
  <c r="X74" i="91"/>
  <c r="W74" i="91"/>
  <c r="V74" i="91"/>
  <c r="U74" i="91"/>
  <c r="T74" i="91"/>
  <c r="S74" i="91"/>
  <c r="R74" i="91"/>
  <c r="Q74" i="91"/>
  <c r="P74" i="91"/>
  <c r="O74" i="91"/>
  <c r="N74" i="91"/>
  <c r="M74" i="91"/>
  <c r="L74" i="91"/>
  <c r="K74" i="91"/>
  <c r="J74" i="91"/>
  <c r="I74" i="91"/>
  <c r="H74" i="91"/>
  <c r="G74" i="91"/>
  <c r="F74" i="91"/>
  <c r="E74" i="91"/>
  <c r="D74" i="91"/>
  <c r="AA73" i="91"/>
  <c r="Z73" i="91"/>
  <c r="Y73" i="91"/>
  <c r="X73" i="91"/>
  <c r="W73" i="91"/>
  <c r="V73" i="91"/>
  <c r="U73" i="91"/>
  <c r="T73" i="91"/>
  <c r="S73" i="91"/>
  <c r="R73" i="91"/>
  <c r="Q73" i="91"/>
  <c r="P73" i="91"/>
  <c r="O73" i="91"/>
  <c r="N73" i="91"/>
  <c r="M73" i="91"/>
  <c r="L73" i="91"/>
  <c r="K73" i="91"/>
  <c r="J73" i="91"/>
  <c r="I73" i="91"/>
  <c r="H73" i="91"/>
  <c r="G73" i="91"/>
  <c r="F73" i="91"/>
  <c r="E73" i="91"/>
  <c r="D73" i="91"/>
  <c r="AA72" i="91"/>
  <c r="Z72" i="91"/>
  <c r="Y72" i="91"/>
  <c r="X72" i="91"/>
  <c r="W72" i="91"/>
  <c r="V72" i="91"/>
  <c r="U72" i="91"/>
  <c r="T72" i="91"/>
  <c r="S72" i="91"/>
  <c r="R72" i="91"/>
  <c r="Q72" i="91"/>
  <c r="P72" i="91"/>
  <c r="O72" i="91"/>
  <c r="N72" i="91"/>
  <c r="M72" i="91"/>
  <c r="L72" i="91"/>
  <c r="K72" i="91"/>
  <c r="J72" i="91"/>
  <c r="I72" i="91"/>
  <c r="H72" i="91"/>
  <c r="G72" i="91"/>
  <c r="F72" i="91"/>
  <c r="E72" i="91"/>
  <c r="D72" i="91"/>
  <c r="AA71" i="91"/>
  <c r="Z71" i="91"/>
  <c r="Y71" i="91"/>
  <c r="X71" i="91"/>
  <c r="W71" i="91"/>
  <c r="V71" i="91"/>
  <c r="U71" i="91"/>
  <c r="T71" i="91"/>
  <c r="S71" i="91"/>
  <c r="R71" i="91"/>
  <c r="Q71" i="91"/>
  <c r="P71" i="91"/>
  <c r="O71" i="91"/>
  <c r="N71" i="91"/>
  <c r="M71" i="91"/>
  <c r="L71" i="91"/>
  <c r="K71" i="91"/>
  <c r="J71" i="91"/>
  <c r="I71" i="91"/>
  <c r="H71" i="91"/>
  <c r="G71" i="91"/>
  <c r="F71" i="91"/>
  <c r="E71" i="91"/>
  <c r="D71" i="91"/>
  <c r="AA70" i="91"/>
  <c r="Z70" i="91"/>
  <c r="Y70" i="91"/>
  <c r="X70" i="91"/>
  <c r="W70" i="91"/>
  <c r="V70" i="91"/>
  <c r="U70" i="91"/>
  <c r="T70" i="91"/>
  <c r="S70" i="91"/>
  <c r="R70" i="91"/>
  <c r="Q70" i="91"/>
  <c r="P70" i="91"/>
  <c r="O70" i="91"/>
  <c r="N70" i="91"/>
  <c r="M70" i="91"/>
  <c r="L70" i="91"/>
  <c r="K70" i="91"/>
  <c r="J70" i="91"/>
  <c r="I70" i="91"/>
  <c r="H70" i="91"/>
  <c r="G70" i="91"/>
  <c r="F70" i="91"/>
  <c r="E70" i="91"/>
  <c r="D70" i="91"/>
  <c r="AA69" i="91"/>
  <c r="Z69" i="91"/>
  <c r="Y69" i="91"/>
  <c r="X69" i="91"/>
  <c r="W69" i="91"/>
  <c r="V69" i="91"/>
  <c r="U69" i="91"/>
  <c r="T69" i="91"/>
  <c r="S69" i="91"/>
  <c r="R69" i="91"/>
  <c r="Q69" i="91"/>
  <c r="P69" i="91"/>
  <c r="O69" i="91"/>
  <c r="N69" i="91"/>
  <c r="M69" i="91"/>
  <c r="L69" i="91"/>
  <c r="K69" i="91"/>
  <c r="J69" i="91"/>
  <c r="I69" i="91"/>
  <c r="H69" i="91"/>
  <c r="G69" i="91"/>
  <c r="F69" i="91"/>
  <c r="E69" i="91"/>
  <c r="D69" i="91"/>
  <c r="AA68" i="91"/>
  <c r="Z68" i="91"/>
  <c r="Y68" i="91"/>
  <c r="X68" i="91"/>
  <c r="W68" i="91"/>
  <c r="V68" i="91"/>
  <c r="U68" i="91"/>
  <c r="T68" i="91"/>
  <c r="S68" i="91"/>
  <c r="R68" i="91"/>
  <c r="Q68" i="91"/>
  <c r="P68" i="91"/>
  <c r="O68" i="91"/>
  <c r="N68" i="91"/>
  <c r="M68" i="91"/>
  <c r="L68" i="91"/>
  <c r="K68" i="91"/>
  <c r="J68" i="91"/>
  <c r="I68" i="91"/>
  <c r="H68" i="91"/>
  <c r="G68" i="91"/>
  <c r="F68" i="91"/>
  <c r="E68" i="91"/>
  <c r="D68" i="91"/>
  <c r="AA67" i="91"/>
  <c r="Z67" i="91"/>
  <c r="Y67" i="91"/>
  <c r="X67" i="91"/>
  <c r="W67" i="91"/>
  <c r="V67" i="91"/>
  <c r="U67" i="91"/>
  <c r="T67" i="91"/>
  <c r="S67" i="91"/>
  <c r="R67" i="91"/>
  <c r="Q67" i="91"/>
  <c r="P67" i="91"/>
  <c r="O67" i="91"/>
  <c r="N67" i="91"/>
  <c r="M67" i="91"/>
  <c r="L67" i="91"/>
  <c r="K67" i="91"/>
  <c r="J67" i="91"/>
  <c r="I67" i="91"/>
  <c r="H67" i="91"/>
  <c r="G67" i="91"/>
  <c r="F67" i="91"/>
  <c r="E67" i="91"/>
  <c r="D67" i="91"/>
  <c r="AA66" i="91"/>
  <c r="Z66" i="91"/>
  <c r="Y66" i="91"/>
  <c r="X66" i="91"/>
  <c r="W66" i="91"/>
  <c r="V66" i="91"/>
  <c r="U66" i="91"/>
  <c r="T66" i="91"/>
  <c r="S66" i="91"/>
  <c r="R66" i="91"/>
  <c r="Q66" i="91"/>
  <c r="P66" i="91"/>
  <c r="O66" i="91"/>
  <c r="N66" i="91"/>
  <c r="M66" i="91"/>
  <c r="L66" i="91"/>
  <c r="K66" i="91"/>
  <c r="J66" i="91"/>
  <c r="I66" i="91"/>
  <c r="H66" i="91"/>
  <c r="G66" i="91"/>
  <c r="F66" i="91"/>
  <c r="E66" i="91"/>
  <c r="D66" i="91"/>
  <c r="AA65" i="91"/>
  <c r="Z65" i="91"/>
  <c r="Y65" i="91"/>
  <c r="X65" i="91"/>
  <c r="W65" i="91"/>
  <c r="V65" i="91"/>
  <c r="U65" i="91"/>
  <c r="T65" i="91"/>
  <c r="S65" i="91"/>
  <c r="R65" i="91"/>
  <c r="Q65" i="91"/>
  <c r="P65" i="91"/>
  <c r="O65" i="91"/>
  <c r="N65" i="91"/>
  <c r="M65" i="91"/>
  <c r="L65" i="91"/>
  <c r="K65" i="91"/>
  <c r="J65" i="91"/>
  <c r="I65" i="91"/>
  <c r="H65" i="91"/>
  <c r="G65" i="91"/>
  <c r="F65" i="91"/>
  <c r="E65" i="91"/>
  <c r="D65" i="91"/>
  <c r="AA64" i="91"/>
  <c r="Z64" i="91"/>
  <c r="Y64" i="91"/>
  <c r="X64" i="91"/>
  <c r="W64" i="91"/>
  <c r="V64" i="91"/>
  <c r="U64" i="91"/>
  <c r="T64" i="91"/>
  <c r="S64" i="91"/>
  <c r="R64" i="91"/>
  <c r="Q64" i="91"/>
  <c r="P64" i="91"/>
  <c r="O64" i="91"/>
  <c r="N64" i="91"/>
  <c r="M64" i="91"/>
  <c r="L64" i="91"/>
  <c r="K64" i="91"/>
  <c r="J64" i="91"/>
  <c r="I64" i="91"/>
  <c r="H64" i="91"/>
  <c r="G64" i="91"/>
  <c r="F64" i="91"/>
  <c r="E64" i="91"/>
  <c r="D64" i="91"/>
  <c r="AA63" i="91"/>
  <c r="Z63" i="91"/>
  <c r="Y63" i="91"/>
  <c r="X63" i="91"/>
  <c r="W63" i="91"/>
  <c r="V63" i="91"/>
  <c r="U63" i="91"/>
  <c r="T63" i="91"/>
  <c r="S63" i="91"/>
  <c r="R63" i="91"/>
  <c r="Q63" i="91"/>
  <c r="P63" i="91"/>
  <c r="O63" i="91"/>
  <c r="N63" i="91"/>
  <c r="M63" i="91"/>
  <c r="L63" i="91"/>
  <c r="K63" i="91"/>
  <c r="J63" i="91"/>
  <c r="I63" i="91"/>
  <c r="H63" i="91"/>
  <c r="G63" i="91"/>
  <c r="F63" i="91"/>
  <c r="E63" i="91"/>
  <c r="D63" i="91"/>
  <c r="AA62" i="91"/>
  <c r="Z62" i="91"/>
  <c r="Y62" i="91"/>
  <c r="X62" i="91"/>
  <c r="W62" i="91"/>
  <c r="V62" i="91"/>
  <c r="U62" i="91"/>
  <c r="T62" i="91"/>
  <c r="S62" i="91"/>
  <c r="R62" i="91"/>
  <c r="Q62" i="91"/>
  <c r="P62" i="91"/>
  <c r="O62" i="91"/>
  <c r="N62" i="91"/>
  <c r="M62" i="91"/>
  <c r="L62" i="91"/>
  <c r="K62" i="91"/>
  <c r="J62" i="91"/>
  <c r="I62" i="91"/>
  <c r="H62" i="91"/>
  <c r="G62" i="91"/>
  <c r="F62" i="91"/>
  <c r="E62" i="91"/>
  <c r="D62" i="91"/>
  <c r="AA61" i="91"/>
  <c r="Z61" i="91"/>
  <c r="Y61" i="91"/>
  <c r="X61" i="91"/>
  <c r="W61" i="91"/>
  <c r="V61" i="91"/>
  <c r="U61" i="91"/>
  <c r="T61" i="91"/>
  <c r="S61" i="91"/>
  <c r="R61" i="91"/>
  <c r="Q61" i="91"/>
  <c r="P61" i="91"/>
  <c r="O61" i="91"/>
  <c r="N61" i="91"/>
  <c r="M61" i="91"/>
  <c r="L61" i="91"/>
  <c r="K61" i="91"/>
  <c r="J61" i="91"/>
  <c r="I61" i="91"/>
  <c r="H61" i="91"/>
  <c r="G61" i="91"/>
  <c r="F61" i="91"/>
  <c r="E61" i="91"/>
  <c r="D61" i="91"/>
  <c r="AA60" i="91"/>
  <c r="Z60" i="91"/>
  <c r="Y60" i="91"/>
  <c r="X60" i="91"/>
  <c r="W60" i="91"/>
  <c r="V60" i="91"/>
  <c r="U60" i="91"/>
  <c r="T60" i="91"/>
  <c r="S60" i="91"/>
  <c r="R60" i="91"/>
  <c r="Q60" i="91"/>
  <c r="P60" i="91"/>
  <c r="O60" i="91"/>
  <c r="N60" i="91"/>
  <c r="M60" i="91"/>
  <c r="L60" i="91"/>
  <c r="K60" i="91"/>
  <c r="J60" i="91"/>
  <c r="I60" i="91"/>
  <c r="H60" i="91"/>
  <c r="G60" i="91"/>
  <c r="F60" i="91"/>
  <c r="E60" i="91"/>
  <c r="D60" i="91"/>
  <c r="AA59" i="91"/>
  <c r="Z59" i="91"/>
  <c r="Y59" i="91"/>
  <c r="X59" i="91"/>
  <c r="W59" i="91"/>
  <c r="V59" i="91"/>
  <c r="U59" i="91"/>
  <c r="T59" i="91"/>
  <c r="S59" i="91"/>
  <c r="R59" i="91"/>
  <c r="Q59" i="91"/>
  <c r="P59" i="91"/>
  <c r="O59" i="91"/>
  <c r="N59" i="91"/>
  <c r="M59" i="91"/>
  <c r="L59" i="91"/>
  <c r="K59" i="91"/>
  <c r="J59" i="91"/>
  <c r="I59" i="91"/>
  <c r="H59" i="91"/>
  <c r="G59" i="91"/>
  <c r="F59" i="91"/>
  <c r="E59" i="91"/>
  <c r="D59" i="91"/>
  <c r="AA58" i="91"/>
  <c r="Z58" i="91"/>
  <c r="Y58" i="91"/>
  <c r="X58" i="91"/>
  <c r="W58" i="91"/>
  <c r="V58" i="91"/>
  <c r="U58" i="91"/>
  <c r="T58" i="91"/>
  <c r="S58" i="91"/>
  <c r="R58" i="91"/>
  <c r="Q58" i="91"/>
  <c r="P58" i="91"/>
  <c r="O58" i="91"/>
  <c r="N58" i="91"/>
  <c r="M58" i="91"/>
  <c r="L58" i="91"/>
  <c r="K58" i="91"/>
  <c r="J58" i="91"/>
  <c r="I58" i="91"/>
  <c r="H58" i="91"/>
  <c r="G58" i="91"/>
  <c r="F58" i="91"/>
  <c r="E58" i="91"/>
  <c r="D58" i="91"/>
  <c r="AA57" i="91"/>
  <c r="Z57" i="91"/>
  <c r="Y57" i="91"/>
  <c r="X57" i="91"/>
  <c r="W57" i="91"/>
  <c r="V57" i="91"/>
  <c r="U57" i="91"/>
  <c r="T57" i="91"/>
  <c r="S57" i="91"/>
  <c r="R57" i="91"/>
  <c r="Q57" i="91"/>
  <c r="P57" i="91"/>
  <c r="O57" i="91"/>
  <c r="N57" i="91"/>
  <c r="M57" i="91"/>
  <c r="L57" i="91"/>
  <c r="K57" i="91"/>
  <c r="J57" i="91"/>
  <c r="I57" i="91"/>
  <c r="H57" i="91"/>
  <c r="G57" i="91"/>
  <c r="F57" i="91"/>
  <c r="E57" i="91"/>
  <c r="D57" i="91"/>
  <c r="AA56" i="91"/>
  <c r="Z56" i="91"/>
  <c r="Y56" i="91"/>
  <c r="X56" i="91"/>
  <c r="W56" i="91"/>
  <c r="V56" i="91"/>
  <c r="U56" i="91"/>
  <c r="T56" i="91"/>
  <c r="S56" i="91"/>
  <c r="R56" i="91"/>
  <c r="Q56" i="91"/>
  <c r="P56" i="91"/>
  <c r="O56" i="91"/>
  <c r="N56" i="91"/>
  <c r="M56" i="91"/>
  <c r="L56" i="91"/>
  <c r="K56" i="91"/>
  <c r="J56" i="91"/>
  <c r="I56" i="91"/>
  <c r="H56" i="91"/>
  <c r="G56" i="91"/>
  <c r="F56" i="91"/>
  <c r="E56" i="91"/>
  <c r="D56" i="91"/>
  <c r="AA55" i="91"/>
  <c r="Z55" i="91"/>
  <c r="Y55" i="91"/>
  <c r="X55" i="91"/>
  <c r="W55" i="91"/>
  <c r="V55" i="91"/>
  <c r="U55" i="91"/>
  <c r="T55" i="91"/>
  <c r="S55" i="91"/>
  <c r="R55" i="91"/>
  <c r="Q55" i="91"/>
  <c r="P55" i="91"/>
  <c r="O55" i="91"/>
  <c r="N55" i="91"/>
  <c r="M55" i="91"/>
  <c r="L55" i="91"/>
  <c r="K55" i="91"/>
  <c r="J55" i="91"/>
  <c r="I55" i="91"/>
  <c r="H55" i="91"/>
  <c r="G55" i="91"/>
  <c r="F55" i="91"/>
  <c r="E55" i="91"/>
  <c r="D55" i="91"/>
  <c r="AA54" i="91"/>
  <c r="Z54" i="91"/>
  <c r="Y54" i="91"/>
  <c r="X54" i="91"/>
  <c r="W54" i="91"/>
  <c r="V54" i="91"/>
  <c r="U54" i="91"/>
  <c r="T54" i="91"/>
  <c r="S54" i="91"/>
  <c r="R54" i="91"/>
  <c r="Q54" i="91"/>
  <c r="P54" i="91"/>
  <c r="O54" i="91"/>
  <c r="N54" i="91"/>
  <c r="M54" i="91"/>
  <c r="L54" i="91"/>
  <c r="K54" i="91"/>
  <c r="J54" i="91"/>
  <c r="I54" i="91"/>
  <c r="H54" i="91"/>
  <c r="G54" i="91"/>
  <c r="F54" i="91"/>
  <c r="E54" i="91"/>
  <c r="D54" i="91"/>
  <c r="AA53" i="91"/>
  <c r="Z53" i="91"/>
  <c r="Y53" i="91"/>
  <c r="X53" i="91"/>
  <c r="W53" i="91"/>
  <c r="V53" i="91"/>
  <c r="U53" i="91"/>
  <c r="T53" i="91"/>
  <c r="S53" i="91"/>
  <c r="R53" i="91"/>
  <c r="Q53" i="91"/>
  <c r="P53" i="91"/>
  <c r="O53" i="91"/>
  <c r="N53" i="91"/>
  <c r="M53" i="91"/>
  <c r="L53" i="91"/>
  <c r="K53" i="91"/>
  <c r="J53" i="91"/>
  <c r="I53" i="91"/>
  <c r="H53" i="91"/>
  <c r="G53" i="91"/>
  <c r="F53" i="91"/>
  <c r="E53" i="91"/>
  <c r="D53" i="91"/>
  <c r="AA52" i="91"/>
  <c r="Z52" i="91"/>
  <c r="Y52" i="91"/>
  <c r="X52" i="91"/>
  <c r="W52" i="91"/>
  <c r="V52" i="91"/>
  <c r="U52" i="91"/>
  <c r="T52" i="91"/>
  <c r="S52" i="91"/>
  <c r="R52" i="91"/>
  <c r="Q52" i="91"/>
  <c r="P52" i="91"/>
  <c r="O52" i="91"/>
  <c r="N52" i="91"/>
  <c r="M52" i="91"/>
  <c r="L52" i="91"/>
  <c r="K52" i="91"/>
  <c r="J52" i="91"/>
  <c r="I52" i="91"/>
  <c r="H52" i="91"/>
  <c r="G52" i="91"/>
  <c r="F52" i="91"/>
  <c r="E52" i="91"/>
  <c r="D52" i="91"/>
  <c r="AA51" i="91"/>
  <c r="Z51" i="91"/>
  <c r="Y51" i="91"/>
  <c r="X51" i="91"/>
  <c r="W51" i="91"/>
  <c r="V51" i="91"/>
  <c r="U51" i="91"/>
  <c r="T51" i="91"/>
  <c r="S51" i="91"/>
  <c r="R51" i="91"/>
  <c r="Q51" i="91"/>
  <c r="P51" i="91"/>
  <c r="O51" i="91"/>
  <c r="N51" i="91"/>
  <c r="M51" i="91"/>
  <c r="L51" i="91"/>
  <c r="K51" i="91"/>
  <c r="J51" i="91"/>
  <c r="I51" i="91"/>
  <c r="H51" i="91"/>
  <c r="G51" i="91"/>
  <c r="F51" i="91"/>
  <c r="E51" i="91"/>
  <c r="D51" i="91"/>
  <c r="AA50" i="91"/>
  <c r="Z50" i="91"/>
  <c r="Y50" i="91"/>
  <c r="X50" i="91"/>
  <c r="W50" i="91"/>
  <c r="V50" i="91"/>
  <c r="U50" i="91"/>
  <c r="T50" i="91"/>
  <c r="S50" i="91"/>
  <c r="R50" i="91"/>
  <c r="Q50" i="91"/>
  <c r="P50" i="91"/>
  <c r="O50" i="91"/>
  <c r="N50" i="91"/>
  <c r="M50" i="91"/>
  <c r="L50" i="91"/>
  <c r="K50" i="91"/>
  <c r="J50" i="91"/>
  <c r="I50" i="91"/>
  <c r="H50" i="91"/>
  <c r="G50" i="91"/>
  <c r="F50" i="91"/>
  <c r="E50" i="91"/>
  <c r="D50" i="91"/>
  <c r="AA49" i="91"/>
  <c r="Z49" i="91"/>
  <c r="Y49" i="91"/>
  <c r="X49" i="91"/>
  <c r="W49" i="91"/>
  <c r="V49" i="91"/>
  <c r="U49" i="91"/>
  <c r="T49" i="91"/>
  <c r="S49" i="91"/>
  <c r="R49" i="91"/>
  <c r="Q49" i="91"/>
  <c r="P49" i="91"/>
  <c r="O49" i="91"/>
  <c r="N49" i="91"/>
  <c r="M49" i="91"/>
  <c r="L49" i="91"/>
  <c r="K49" i="91"/>
  <c r="J49" i="91"/>
  <c r="I49" i="91"/>
  <c r="H49" i="91"/>
  <c r="G49" i="91"/>
  <c r="F49" i="91"/>
  <c r="E49" i="91"/>
  <c r="D49" i="91"/>
  <c r="AA48" i="91"/>
  <c r="Z48" i="91"/>
  <c r="Y48" i="91"/>
  <c r="X48" i="91"/>
  <c r="W48" i="91"/>
  <c r="V48" i="91"/>
  <c r="U48" i="91"/>
  <c r="T48" i="91"/>
  <c r="S48" i="91"/>
  <c r="R48" i="91"/>
  <c r="Q48" i="91"/>
  <c r="P48" i="91"/>
  <c r="O48" i="91"/>
  <c r="N48" i="91"/>
  <c r="M48" i="91"/>
  <c r="L48" i="91"/>
  <c r="K48" i="91"/>
  <c r="J48" i="91"/>
  <c r="I48" i="91"/>
  <c r="H48" i="91"/>
  <c r="G48" i="91"/>
  <c r="F48" i="91"/>
  <c r="E48" i="91"/>
  <c r="D48" i="91"/>
  <c r="AA47" i="91"/>
  <c r="Z47" i="91"/>
  <c r="Y47" i="91"/>
  <c r="X47" i="91"/>
  <c r="W47" i="91"/>
  <c r="V47" i="91"/>
  <c r="U47" i="91"/>
  <c r="T47" i="91"/>
  <c r="S47" i="91"/>
  <c r="R47" i="91"/>
  <c r="Q47" i="91"/>
  <c r="P47" i="91"/>
  <c r="O47" i="91"/>
  <c r="N47" i="91"/>
  <c r="M47" i="91"/>
  <c r="L47" i="91"/>
  <c r="K47" i="91"/>
  <c r="J47" i="91"/>
  <c r="I47" i="91"/>
  <c r="H47" i="91"/>
  <c r="G47" i="91"/>
  <c r="F47" i="91"/>
  <c r="E47" i="91"/>
  <c r="D47" i="91"/>
  <c r="AA46" i="91"/>
  <c r="Z46" i="91"/>
  <c r="Y46" i="91"/>
  <c r="X46" i="91"/>
  <c r="W46" i="91"/>
  <c r="V46" i="91"/>
  <c r="U46" i="91"/>
  <c r="T46" i="91"/>
  <c r="S46" i="91"/>
  <c r="R46" i="91"/>
  <c r="Q46" i="91"/>
  <c r="P46" i="91"/>
  <c r="O46" i="91"/>
  <c r="N46" i="91"/>
  <c r="M46" i="91"/>
  <c r="L46" i="91"/>
  <c r="K46" i="91"/>
  <c r="J46" i="91"/>
  <c r="I46" i="91"/>
  <c r="H46" i="91"/>
  <c r="G46" i="91"/>
  <c r="F46" i="91"/>
  <c r="E46" i="91"/>
  <c r="D46" i="91"/>
  <c r="AA45" i="91"/>
  <c r="Z45" i="91"/>
  <c r="Y45" i="91"/>
  <c r="X45" i="91"/>
  <c r="W45" i="91"/>
  <c r="V45" i="91"/>
  <c r="U45" i="91"/>
  <c r="T45" i="91"/>
  <c r="S45" i="91"/>
  <c r="R45" i="91"/>
  <c r="Q45" i="91"/>
  <c r="P45" i="91"/>
  <c r="O45" i="91"/>
  <c r="N45" i="91"/>
  <c r="M45" i="91"/>
  <c r="L45" i="91"/>
  <c r="K45" i="91"/>
  <c r="J45" i="91"/>
  <c r="I45" i="91"/>
  <c r="H45" i="91"/>
  <c r="G45" i="91"/>
  <c r="F45" i="91"/>
  <c r="E45" i="91"/>
  <c r="D45" i="91"/>
  <c r="AA44" i="91"/>
  <c r="Z44" i="91"/>
  <c r="Y44" i="91"/>
  <c r="X44" i="91"/>
  <c r="W44" i="91"/>
  <c r="V44" i="91"/>
  <c r="U44" i="91"/>
  <c r="T44" i="91"/>
  <c r="S44" i="91"/>
  <c r="R44" i="91"/>
  <c r="Q44" i="91"/>
  <c r="P44" i="91"/>
  <c r="O44" i="91"/>
  <c r="N44" i="91"/>
  <c r="M44" i="91"/>
  <c r="L44" i="91"/>
  <c r="K44" i="91"/>
  <c r="J44" i="91"/>
  <c r="I44" i="91"/>
  <c r="H44" i="91"/>
  <c r="G44" i="91"/>
  <c r="F44" i="91"/>
  <c r="E44" i="91"/>
  <c r="D44" i="91"/>
  <c r="AA43" i="91"/>
  <c r="Z43" i="91"/>
  <c r="Y43" i="91"/>
  <c r="X43" i="91"/>
  <c r="W43" i="91"/>
  <c r="V43" i="91"/>
  <c r="U43" i="91"/>
  <c r="T43" i="91"/>
  <c r="S43" i="91"/>
  <c r="R43" i="91"/>
  <c r="Q43" i="91"/>
  <c r="P43" i="91"/>
  <c r="O43" i="91"/>
  <c r="N43" i="91"/>
  <c r="M43" i="91"/>
  <c r="L43" i="91"/>
  <c r="K43" i="91"/>
  <c r="J43" i="91"/>
  <c r="I43" i="91"/>
  <c r="H43" i="91"/>
  <c r="G43" i="91"/>
  <c r="F43" i="91"/>
  <c r="E43" i="91"/>
  <c r="D43" i="91"/>
  <c r="AA42" i="91"/>
  <c r="Z42" i="91"/>
  <c r="Y42" i="91"/>
  <c r="X42" i="91"/>
  <c r="W42" i="91"/>
  <c r="V42" i="91"/>
  <c r="U42" i="91"/>
  <c r="T42" i="91"/>
  <c r="S42" i="91"/>
  <c r="R42" i="91"/>
  <c r="Q42" i="91"/>
  <c r="P42" i="91"/>
  <c r="O42" i="91"/>
  <c r="N42" i="91"/>
  <c r="M42" i="91"/>
  <c r="L42" i="91"/>
  <c r="K42" i="91"/>
  <c r="J42" i="91"/>
  <c r="I42" i="91"/>
  <c r="H42" i="91"/>
  <c r="G42" i="91"/>
  <c r="F42" i="91"/>
  <c r="E42" i="91"/>
  <c r="D42" i="91"/>
  <c r="AA41" i="91"/>
  <c r="Z41" i="91"/>
  <c r="Y41" i="91"/>
  <c r="X41" i="91"/>
  <c r="W41" i="91"/>
  <c r="V41" i="91"/>
  <c r="U41" i="91"/>
  <c r="T41" i="91"/>
  <c r="S41" i="91"/>
  <c r="R41" i="91"/>
  <c r="Q41" i="91"/>
  <c r="P41" i="91"/>
  <c r="O41" i="91"/>
  <c r="N41" i="91"/>
  <c r="M41" i="91"/>
  <c r="L41" i="91"/>
  <c r="K41" i="91"/>
  <c r="J41" i="91"/>
  <c r="I41" i="91"/>
  <c r="H41" i="91"/>
  <c r="G41" i="91"/>
  <c r="F41" i="91"/>
  <c r="E41" i="91"/>
  <c r="D41" i="91"/>
  <c r="AA40" i="91"/>
  <c r="Z40" i="91"/>
  <c r="Y40" i="91"/>
  <c r="X40" i="91"/>
  <c r="W40" i="91"/>
  <c r="V40" i="91"/>
  <c r="U40" i="91"/>
  <c r="T40" i="91"/>
  <c r="S40" i="91"/>
  <c r="R40" i="91"/>
  <c r="Q40" i="91"/>
  <c r="P40" i="91"/>
  <c r="O40" i="91"/>
  <c r="N40" i="91"/>
  <c r="M40" i="91"/>
  <c r="L40" i="91"/>
  <c r="K40" i="91"/>
  <c r="J40" i="91"/>
  <c r="I40" i="91"/>
  <c r="H40" i="91"/>
  <c r="G40" i="91"/>
  <c r="F40" i="91"/>
  <c r="E40" i="91"/>
  <c r="D40" i="91"/>
  <c r="AA39" i="91"/>
  <c r="Z39" i="91"/>
  <c r="Y39" i="91"/>
  <c r="X39" i="91"/>
  <c r="W39" i="91"/>
  <c r="V39" i="91"/>
  <c r="U39" i="91"/>
  <c r="T39" i="91"/>
  <c r="S39" i="91"/>
  <c r="R39" i="91"/>
  <c r="Q39" i="91"/>
  <c r="P39" i="91"/>
  <c r="O39" i="91"/>
  <c r="N39" i="91"/>
  <c r="M39" i="91"/>
  <c r="L39" i="91"/>
  <c r="K39" i="91"/>
  <c r="J39" i="91"/>
  <c r="I39" i="91"/>
  <c r="H39" i="91"/>
  <c r="G39" i="91"/>
  <c r="F39" i="91"/>
  <c r="E39" i="91"/>
  <c r="D39" i="91"/>
  <c r="AA38" i="91"/>
  <c r="Z38" i="91"/>
  <c r="Y38" i="91"/>
  <c r="X38" i="91"/>
  <c r="W38" i="91"/>
  <c r="V38" i="91"/>
  <c r="U38" i="91"/>
  <c r="T38" i="91"/>
  <c r="S38" i="91"/>
  <c r="R38" i="91"/>
  <c r="Q38" i="91"/>
  <c r="P38" i="91"/>
  <c r="O38" i="91"/>
  <c r="N38" i="91"/>
  <c r="M38" i="91"/>
  <c r="L38" i="91"/>
  <c r="K38" i="91"/>
  <c r="J38" i="91"/>
  <c r="I38" i="91"/>
  <c r="H38" i="91"/>
  <c r="G38" i="91"/>
  <c r="F38" i="91"/>
  <c r="E38" i="91"/>
  <c r="D38" i="91"/>
  <c r="AA37" i="91"/>
  <c r="Z37" i="91"/>
  <c r="Y37" i="91"/>
  <c r="X37" i="91"/>
  <c r="W37" i="91"/>
  <c r="V37" i="91"/>
  <c r="U37" i="91"/>
  <c r="T37" i="91"/>
  <c r="S37" i="91"/>
  <c r="R37" i="91"/>
  <c r="Q37" i="91"/>
  <c r="P37" i="91"/>
  <c r="O37" i="91"/>
  <c r="N37" i="91"/>
  <c r="M37" i="91"/>
  <c r="L37" i="91"/>
  <c r="K37" i="91"/>
  <c r="J37" i="91"/>
  <c r="I37" i="91"/>
  <c r="H37" i="91"/>
  <c r="G37" i="91"/>
  <c r="F37" i="91"/>
  <c r="E37" i="91"/>
  <c r="D37" i="91"/>
  <c r="AA36" i="91"/>
  <c r="Z36" i="91"/>
  <c r="Y36" i="91"/>
  <c r="X36" i="91"/>
  <c r="W36" i="91"/>
  <c r="V36" i="91"/>
  <c r="U36" i="91"/>
  <c r="T36" i="91"/>
  <c r="S36" i="91"/>
  <c r="R36" i="91"/>
  <c r="Q36" i="91"/>
  <c r="P36" i="91"/>
  <c r="O36" i="91"/>
  <c r="N36" i="91"/>
  <c r="M36" i="91"/>
  <c r="L36" i="91"/>
  <c r="K36" i="91"/>
  <c r="J36" i="91"/>
  <c r="I36" i="91"/>
  <c r="H36" i="91"/>
  <c r="G36" i="91"/>
  <c r="F36" i="91"/>
  <c r="E36" i="91"/>
  <c r="D36" i="91"/>
  <c r="AA35" i="91"/>
  <c r="Z35" i="91"/>
  <c r="Y35" i="91"/>
  <c r="X35" i="91"/>
  <c r="W35" i="91"/>
  <c r="V35" i="91"/>
  <c r="U35" i="91"/>
  <c r="T35" i="91"/>
  <c r="S35" i="91"/>
  <c r="R35" i="91"/>
  <c r="Q35" i="91"/>
  <c r="P35" i="91"/>
  <c r="O35" i="91"/>
  <c r="N35" i="91"/>
  <c r="M35" i="91"/>
  <c r="L35" i="91"/>
  <c r="K35" i="91"/>
  <c r="J35" i="91"/>
  <c r="I35" i="91"/>
  <c r="H35" i="91"/>
  <c r="G35" i="91"/>
  <c r="F35" i="91"/>
  <c r="E35" i="91"/>
  <c r="D35" i="91"/>
  <c r="AA34" i="91"/>
  <c r="Z34" i="91"/>
  <c r="Y34" i="91"/>
  <c r="X34" i="91"/>
  <c r="W34" i="91"/>
  <c r="V34" i="91"/>
  <c r="U34" i="91"/>
  <c r="T34" i="91"/>
  <c r="S34" i="91"/>
  <c r="R34" i="91"/>
  <c r="Q34" i="91"/>
  <c r="P34" i="91"/>
  <c r="O34" i="91"/>
  <c r="N34" i="91"/>
  <c r="M34" i="91"/>
  <c r="L34" i="91"/>
  <c r="K34" i="91"/>
  <c r="J34" i="91"/>
  <c r="I34" i="91"/>
  <c r="H34" i="91"/>
  <c r="G34" i="91"/>
  <c r="F34" i="91"/>
  <c r="E34" i="91"/>
  <c r="D34" i="91"/>
  <c r="AA33" i="91"/>
  <c r="Z33" i="91"/>
  <c r="Y33" i="91"/>
  <c r="X33" i="91"/>
  <c r="W33" i="91"/>
  <c r="V33" i="91"/>
  <c r="U33" i="91"/>
  <c r="T33" i="91"/>
  <c r="S33" i="91"/>
  <c r="R33" i="91"/>
  <c r="Q33" i="91"/>
  <c r="P33" i="91"/>
  <c r="O33" i="91"/>
  <c r="N33" i="91"/>
  <c r="M33" i="91"/>
  <c r="L33" i="91"/>
  <c r="K33" i="91"/>
  <c r="J33" i="91"/>
  <c r="I33" i="91"/>
  <c r="H33" i="91"/>
  <c r="G33" i="91"/>
  <c r="F33" i="91"/>
  <c r="E33" i="91"/>
  <c r="D33" i="91"/>
  <c r="AA32" i="91"/>
  <c r="Z32" i="91"/>
  <c r="Y32" i="91"/>
  <c r="X32" i="91"/>
  <c r="W32" i="91"/>
  <c r="V32" i="91"/>
  <c r="U32" i="91"/>
  <c r="T32" i="91"/>
  <c r="S32" i="91"/>
  <c r="R32" i="91"/>
  <c r="Q32" i="91"/>
  <c r="P32" i="91"/>
  <c r="O32" i="91"/>
  <c r="N32" i="91"/>
  <c r="M32" i="91"/>
  <c r="L32" i="91"/>
  <c r="K32" i="91"/>
  <c r="J32" i="91"/>
  <c r="I32" i="91"/>
  <c r="H32" i="91"/>
  <c r="G32" i="91"/>
  <c r="F32" i="91"/>
  <c r="E32" i="91"/>
  <c r="D32" i="91"/>
  <c r="AA31" i="91"/>
  <c r="Z31" i="91"/>
  <c r="Y31" i="91"/>
  <c r="X31" i="91"/>
  <c r="W31" i="91"/>
  <c r="V31" i="91"/>
  <c r="U31" i="91"/>
  <c r="T31" i="91"/>
  <c r="S31" i="91"/>
  <c r="R31" i="91"/>
  <c r="Q31" i="91"/>
  <c r="P31" i="91"/>
  <c r="O31" i="91"/>
  <c r="N31" i="91"/>
  <c r="M31" i="91"/>
  <c r="L31" i="91"/>
  <c r="K31" i="91"/>
  <c r="J31" i="91"/>
  <c r="I31" i="91"/>
  <c r="H31" i="91"/>
  <c r="G31" i="91"/>
  <c r="F31" i="91"/>
  <c r="E31" i="91"/>
  <c r="D31" i="91"/>
  <c r="AA30" i="91"/>
  <c r="Z30" i="91"/>
  <c r="Y30" i="91"/>
  <c r="X30" i="91"/>
  <c r="W30" i="91"/>
  <c r="V30" i="91"/>
  <c r="U30" i="91"/>
  <c r="T30" i="91"/>
  <c r="S30" i="91"/>
  <c r="R30" i="91"/>
  <c r="Q30" i="91"/>
  <c r="P30" i="91"/>
  <c r="O30" i="91"/>
  <c r="N30" i="91"/>
  <c r="M30" i="91"/>
  <c r="L30" i="91"/>
  <c r="K30" i="91"/>
  <c r="J30" i="91"/>
  <c r="I30" i="91"/>
  <c r="H30" i="91"/>
  <c r="G30" i="91"/>
  <c r="F30" i="91"/>
  <c r="E30" i="91"/>
  <c r="D30" i="91"/>
  <c r="AA29" i="91"/>
  <c r="Z29" i="91"/>
  <c r="Y29" i="91"/>
  <c r="X29" i="91"/>
  <c r="W29" i="91"/>
  <c r="V29" i="91"/>
  <c r="U29" i="91"/>
  <c r="T29" i="91"/>
  <c r="S29" i="91"/>
  <c r="R29" i="91"/>
  <c r="Q29" i="91"/>
  <c r="P29" i="91"/>
  <c r="O29" i="91"/>
  <c r="N29" i="91"/>
  <c r="M29" i="91"/>
  <c r="L29" i="91"/>
  <c r="K29" i="91"/>
  <c r="J29" i="91"/>
  <c r="I29" i="91"/>
  <c r="H29" i="91"/>
  <c r="G29" i="91"/>
  <c r="F29" i="91"/>
  <c r="E29" i="91"/>
  <c r="D29" i="91"/>
  <c r="AA28" i="91"/>
  <c r="Z28" i="91"/>
  <c r="Y28" i="91"/>
  <c r="X28" i="91"/>
  <c r="W28" i="91"/>
  <c r="V28" i="91"/>
  <c r="U28" i="91"/>
  <c r="T28" i="91"/>
  <c r="S28" i="91"/>
  <c r="R28" i="91"/>
  <c r="Q28" i="91"/>
  <c r="P28" i="91"/>
  <c r="O28" i="91"/>
  <c r="N28" i="91"/>
  <c r="M28" i="91"/>
  <c r="L28" i="91"/>
  <c r="K28" i="91"/>
  <c r="J28" i="91"/>
  <c r="I28" i="91"/>
  <c r="H28" i="91"/>
  <c r="G28" i="91"/>
  <c r="F28" i="91"/>
  <c r="E28" i="91"/>
  <c r="D28" i="91"/>
  <c r="AA27" i="91"/>
  <c r="Z27" i="91"/>
  <c r="Y27" i="91"/>
  <c r="X27" i="91"/>
  <c r="W27" i="91"/>
  <c r="V27" i="91"/>
  <c r="U27" i="91"/>
  <c r="T27" i="91"/>
  <c r="S27" i="91"/>
  <c r="R27" i="91"/>
  <c r="Q27" i="91"/>
  <c r="P27" i="91"/>
  <c r="O27" i="91"/>
  <c r="N27" i="91"/>
  <c r="M27" i="91"/>
  <c r="L27" i="91"/>
  <c r="K27" i="91"/>
  <c r="J27" i="91"/>
  <c r="I27" i="91"/>
  <c r="H27" i="91"/>
  <c r="G27" i="91"/>
  <c r="F27" i="91"/>
  <c r="E27" i="91"/>
  <c r="D27" i="91"/>
  <c r="AA26" i="91"/>
  <c r="Z26" i="91"/>
  <c r="Y26" i="91"/>
  <c r="X26" i="91"/>
  <c r="W26" i="91"/>
  <c r="V26" i="91"/>
  <c r="U26" i="91"/>
  <c r="T26" i="91"/>
  <c r="S26" i="91"/>
  <c r="R26" i="91"/>
  <c r="Q26" i="91"/>
  <c r="P26" i="91"/>
  <c r="O26" i="91"/>
  <c r="N26" i="91"/>
  <c r="M26" i="91"/>
  <c r="L26" i="91"/>
  <c r="K26" i="91"/>
  <c r="J26" i="91"/>
  <c r="I26" i="91"/>
  <c r="H26" i="91"/>
  <c r="G26" i="91"/>
  <c r="F26" i="91"/>
  <c r="E26" i="91"/>
  <c r="D26" i="91"/>
  <c r="AA25" i="91"/>
  <c r="Z25" i="91"/>
  <c r="Y25" i="91"/>
  <c r="X25" i="91"/>
  <c r="W25" i="91"/>
  <c r="V25" i="91"/>
  <c r="U25" i="91"/>
  <c r="T25" i="91"/>
  <c r="S25" i="91"/>
  <c r="R25" i="91"/>
  <c r="Q25" i="91"/>
  <c r="P25" i="91"/>
  <c r="O25" i="91"/>
  <c r="N25" i="91"/>
  <c r="M25" i="91"/>
  <c r="L25" i="91"/>
  <c r="K25" i="91"/>
  <c r="J25" i="91"/>
  <c r="I25" i="91"/>
  <c r="H25" i="91"/>
  <c r="G25" i="91"/>
  <c r="F25" i="91"/>
  <c r="E25" i="91"/>
  <c r="D25" i="91"/>
  <c r="AA24" i="91"/>
  <c r="Z24" i="91"/>
  <c r="Y24" i="91"/>
  <c r="X24" i="91"/>
  <c r="W24" i="91"/>
  <c r="V24" i="91"/>
  <c r="U24" i="91"/>
  <c r="T24" i="91"/>
  <c r="S24" i="91"/>
  <c r="R24" i="91"/>
  <c r="Q24" i="91"/>
  <c r="P24" i="91"/>
  <c r="O24" i="91"/>
  <c r="N24" i="91"/>
  <c r="M24" i="91"/>
  <c r="L24" i="91"/>
  <c r="K24" i="91"/>
  <c r="J24" i="91"/>
  <c r="I24" i="91"/>
  <c r="H24" i="91"/>
  <c r="G24" i="91"/>
  <c r="F24" i="91"/>
  <c r="E24" i="91"/>
  <c r="D24" i="91"/>
  <c r="AA23" i="91"/>
  <c r="Z23" i="91"/>
  <c r="Y23" i="91"/>
  <c r="X23" i="91"/>
  <c r="W23" i="91"/>
  <c r="V23" i="91"/>
  <c r="U23" i="91"/>
  <c r="T23" i="91"/>
  <c r="S23" i="91"/>
  <c r="R23" i="91"/>
  <c r="Q23" i="91"/>
  <c r="P23" i="91"/>
  <c r="O23" i="91"/>
  <c r="N23" i="91"/>
  <c r="M23" i="91"/>
  <c r="L23" i="91"/>
  <c r="K23" i="91"/>
  <c r="J23" i="91"/>
  <c r="I23" i="91"/>
  <c r="H23" i="91"/>
  <c r="G23" i="91"/>
  <c r="F23" i="91"/>
  <c r="E23" i="91"/>
  <c r="D23" i="91"/>
  <c r="AA22" i="91"/>
  <c r="Z22" i="91"/>
  <c r="Y22" i="91"/>
  <c r="X22" i="91"/>
  <c r="W22" i="91"/>
  <c r="V22" i="91"/>
  <c r="U22" i="91"/>
  <c r="T22" i="91"/>
  <c r="S22" i="91"/>
  <c r="R22" i="91"/>
  <c r="Q22" i="91"/>
  <c r="P22" i="91"/>
  <c r="O22" i="91"/>
  <c r="N22" i="91"/>
  <c r="M22" i="91"/>
  <c r="L22" i="91"/>
  <c r="K22" i="91"/>
  <c r="J22" i="91"/>
  <c r="I22" i="91"/>
  <c r="H22" i="91"/>
  <c r="G22" i="91"/>
  <c r="F22" i="91"/>
  <c r="E22" i="91"/>
  <c r="D22" i="91"/>
  <c r="AA21" i="91"/>
  <c r="Z21" i="91"/>
  <c r="Y21" i="91"/>
  <c r="X21" i="91"/>
  <c r="W21" i="91"/>
  <c r="V21" i="91"/>
  <c r="U21" i="91"/>
  <c r="T21" i="91"/>
  <c r="S21" i="91"/>
  <c r="R21" i="91"/>
  <c r="Q21" i="91"/>
  <c r="P21" i="91"/>
  <c r="O21" i="91"/>
  <c r="N21" i="91"/>
  <c r="M21" i="91"/>
  <c r="L21" i="91"/>
  <c r="K21" i="91"/>
  <c r="J21" i="91"/>
  <c r="I21" i="91"/>
  <c r="H21" i="91"/>
  <c r="G21" i="91"/>
  <c r="F21" i="91"/>
  <c r="E21" i="91"/>
  <c r="D21" i="91"/>
  <c r="AA20" i="91"/>
  <c r="Z20" i="91"/>
  <c r="Y20" i="91"/>
  <c r="X20" i="91"/>
  <c r="W20" i="91"/>
  <c r="V20" i="91"/>
  <c r="U20" i="91"/>
  <c r="T20" i="91"/>
  <c r="S20" i="91"/>
  <c r="R20" i="91"/>
  <c r="Q20" i="91"/>
  <c r="P20" i="91"/>
  <c r="O20" i="91"/>
  <c r="N20" i="91"/>
  <c r="M20" i="91"/>
  <c r="L20" i="91"/>
  <c r="K20" i="91"/>
  <c r="J20" i="91"/>
  <c r="I20" i="91"/>
  <c r="H20" i="91"/>
  <c r="G20" i="91"/>
  <c r="F20" i="91"/>
  <c r="E20" i="91"/>
  <c r="D20" i="91"/>
  <c r="AA19" i="91"/>
  <c r="Z19" i="91"/>
  <c r="Y19" i="91"/>
  <c r="X19" i="91"/>
  <c r="W19" i="91"/>
  <c r="V19" i="91"/>
  <c r="U19" i="91"/>
  <c r="T19" i="91"/>
  <c r="S19" i="91"/>
  <c r="R19" i="91"/>
  <c r="Q19" i="91"/>
  <c r="P19" i="91"/>
  <c r="O19" i="91"/>
  <c r="N19" i="91"/>
  <c r="M19" i="91"/>
  <c r="L19" i="91"/>
  <c r="K19" i="91"/>
  <c r="J19" i="91"/>
  <c r="I19" i="91"/>
  <c r="H19" i="91"/>
  <c r="G19" i="91"/>
  <c r="F19" i="91"/>
  <c r="E19" i="91"/>
  <c r="D19" i="91"/>
  <c r="AA18" i="91"/>
  <c r="Z18" i="91"/>
  <c r="Y18" i="91"/>
  <c r="X18" i="91"/>
  <c r="W18" i="91"/>
  <c r="V18" i="91"/>
  <c r="U18" i="91"/>
  <c r="T18" i="91"/>
  <c r="S18" i="91"/>
  <c r="R18" i="91"/>
  <c r="Q18" i="91"/>
  <c r="P18" i="91"/>
  <c r="O18" i="91"/>
  <c r="N18" i="91"/>
  <c r="M18" i="91"/>
  <c r="L18" i="91"/>
  <c r="K18" i="91"/>
  <c r="J18" i="91"/>
  <c r="I18" i="91"/>
  <c r="H18" i="91"/>
  <c r="G18" i="91"/>
  <c r="F18" i="91"/>
  <c r="E18" i="91"/>
  <c r="D18" i="91"/>
  <c r="AA17" i="91"/>
  <c r="Z17" i="91"/>
  <c r="Y17" i="91"/>
  <c r="X17" i="91"/>
  <c r="W17" i="91"/>
  <c r="V17" i="91"/>
  <c r="U17" i="91"/>
  <c r="T17" i="91"/>
  <c r="S17" i="91"/>
  <c r="R17" i="91"/>
  <c r="Q17" i="91"/>
  <c r="P17" i="91"/>
  <c r="O17" i="91"/>
  <c r="N17" i="91"/>
  <c r="M17" i="91"/>
  <c r="L17" i="91"/>
  <c r="K17" i="91"/>
  <c r="J17" i="91"/>
  <c r="I17" i="91"/>
  <c r="H17" i="91"/>
  <c r="G17" i="91"/>
  <c r="F17" i="91"/>
  <c r="E17" i="91"/>
  <c r="D17" i="91"/>
  <c r="AA16" i="91"/>
  <c r="Z16" i="91"/>
  <c r="Y16" i="91"/>
  <c r="X16" i="91"/>
  <c r="W16" i="91"/>
  <c r="V16" i="91"/>
  <c r="U16" i="91"/>
  <c r="T16" i="91"/>
  <c r="S16" i="91"/>
  <c r="R16" i="91"/>
  <c r="Q16" i="91"/>
  <c r="P16" i="91"/>
  <c r="O16" i="91"/>
  <c r="N16" i="91"/>
  <c r="M16" i="91"/>
  <c r="L16" i="91"/>
  <c r="K16" i="91"/>
  <c r="J16" i="91"/>
  <c r="I16" i="91"/>
  <c r="H16" i="91"/>
  <c r="G16" i="91"/>
  <c r="F16" i="91"/>
  <c r="E16" i="91"/>
  <c r="D16" i="91"/>
  <c r="AA15" i="91"/>
  <c r="Z15" i="91"/>
  <c r="Y15" i="91"/>
  <c r="X15" i="91"/>
  <c r="W15" i="91"/>
  <c r="V15" i="91"/>
  <c r="U15" i="91"/>
  <c r="T15" i="91"/>
  <c r="S15" i="91"/>
  <c r="R15" i="91"/>
  <c r="Q15" i="91"/>
  <c r="P15" i="91"/>
  <c r="O15" i="91"/>
  <c r="N15" i="91"/>
  <c r="M15" i="91"/>
  <c r="L15" i="91"/>
  <c r="K15" i="91"/>
  <c r="J15" i="91"/>
  <c r="I15" i="91"/>
  <c r="H15" i="91"/>
  <c r="G15" i="91"/>
  <c r="F15" i="91"/>
  <c r="E15" i="91"/>
  <c r="D15" i="91"/>
  <c r="AA14" i="91"/>
  <c r="Z14" i="91"/>
  <c r="Y14" i="91"/>
  <c r="X14" i="91"/>
  <c r="W14" i="91"/>
  <c r="V14" i="91"/>
  <c r="U14" i="91"/>
  <c r="T14" i="91"/>
  <c r="S14" i="91"/>
  <c r="R14" i="91"/>
  <c r="Q14" i="91"/>
  <c r="P14" i="91"/>
  <c r="O14" i="91"/>
  <c r="N14" i="91"/>
  <c r="M14" i="91"/>
  <c r="L14" i="91"/>
  <c r="K14" i="91"/>
  <c r="J14" i="91"/>
  <c r="I14" i="91"/>
  <c r="H14" i="91"/>
  <c r="G14" i="91"/>
  <c r="F14" i="91"/>
  <c r="E14" i="91"/>
  <c r="D14" i="91"/>
  <c r="AA13" i="91"/>
  <c r="Z13" i="91"/>
  <c r="Y13" i="91"/>
  <c r="X13" i="91"/>
  <c r="W13" i="91"/>
  <c r="V13" i="91"/>
  <c r="U13" i="91"/>
  <c r="T13" i="91"/>
  <c r="S13" i="91"/>
  <c r="R13" i="91"/>
  <c r="Q13" i="91"/>
  <c r="P13" i="91"/>
  <c r="O13" i="91"/>
  <c r="N13" i="91"/>
  <c r="M13" i="91"/>
  <c r="L13" i="91"/>
  <c r="K13" i="91"/>
  <c r="J13" i="91"/>
  <c r="I13" i="91"/>
  <c r="H13" i="91"/>
  <c r="G13" i="91"/>
  <c r="F13" i="91"/>
  <c r="E13" i="91"/>
  <c r="D13" i="91"/>
  <c r="AA12" i="91"/>
  <c r="Z12" i="91"/>
  <c r="Y12" i="91"/>
  <c r="X12" i="91"/>
  <c r="W12" i="91"/>
  <c r="V12" i="91"/>
  <c r="U12" i="91"/>
  <c r="T12" i="91"/>
  <c r="S12" i="91"/>
  <c r="R12" i="91"/>
  <c r="Q12" i="91"/>
  <c r="P12" i="91"/>
  <c r="O12" i="91"/>
  <c r="N12" i="91"/>
  <c r="M12" i="91"/>
  <c r="L12" i="91"/>
  <c r="K12" i="91"/>
  <c r="J12" i="91"/>
  <c r="I12" i="91"/>
  <c r="H12" i="91"/>
  <c r="G12" i="91"/>
  <c r="F12" i="91"/>
  <c r="E12" i="91"/>
  <c r="D12" i="91"/>
  <c r="AA11" i="91"/>
  <c r="Z11" i="91"/>
  <c r="Y11" i="91"/>
  <c r="X11" i="91"/>
  <c r="W11" i="91"/>
  <c r="V11" i="91"/>
  <c r="U11" i="91"/>
  <c r="T11" i="91"/>
  <c r="S11" i="91"/>
  <c r="R11" i="91"/>
  <c r="Q11" i="91"/>
  <c r="P11" i="91"/>
  <c r="O11" i="91"/>
  <c r="N11" i="91"/>
  <c r="M11" i="91"/>
  <c r="L11" i="91"/>
  <c r="K11" i="91"/>
  <c r="J11" i="91"/>
  <c r="I11" i="91"/>
  <c r="H11" i="91"/>
  <c r="G11" i="91"/>
  <c r="F11" i="91"/>
  <c r="E11" i="91"/>
  <c r="D11" i="91"/>
  <c r="AA10" i="91"/>
  <c r="Z10" i="91"/>
  <c r="Y10" i="91"/>
  <c r="X10" i="91"/>
  <c r="W10" i="91"/>
  <c r="V10" i="91"/>
  <c r="U10" i="91"/>
  <c r="T10" i="91"/>
  <c r="S10" i="91"/>
  <c r="R10" i="91"/>
  <c r="Q10" i="91"/>
  <c r="P10" i="91"/>
  <c r="O10" i="91"/>
  <c r="N10" i="91"/>
  <c r="M10" i="91"/>
  <c r="L10" i="91"/>
  <c r="K10" i="91"/>
  <c r="J10" i="91"/>
  <c r="I10" i="91"/>
  <c r="H10" i="91"/>
  <c r="G10" i="91"/>
  <c r="F10" i="91"/>
  <c r="E10" i="91"/>
  <c r="D10" i="91"/>
  <c r="AA9" i="91"/>
  <c r="Z9" i="91"/>
  <c r="Y9" i="91"/>
  <c r="X9" i="91"/>
  <c r="W9" i="91"/>
  <c r="V9" i="91"/>
  <c r="U9" i="91"/>
  <c r="T9" i="91"/>
  <c r="S9" i="91"/>
  <c r="R9" i="91"/>
  <c r="Q9" i="91"/>
  <c r="P9" i="91"/>
  <c r="O9" i="91"/>
  <c r="N9" i="91"/>
  <c r="M9" i="91"/>
  <c r="L9" i="91"/>
  <c r="K9" i="91"/>
  <c r="J9" i="91"/>
  <c r="I9" i="91"/>
  <c r="H9" i="91"/>
  <c r="G9" i="91"/>
  <c r="F9" i="91"/>
  <c r="E9" i="91"/>
  <c r="D9" i="91"/>
  <c r="AA8" i="91"/>
  <c r="Z8" i="91"/>
  <c r="Y8" i="91"/>
  <c r="X8" i="91"/>
  <c r="W8" i="91"/>
  <c r="V8" i="91"/>
  <c r="U8" i="91"/>
  <c r="T8" i="91"/>
  <c r="S8" i="91"/>
  <c r="R8" i="91"/>
  <c r="Q8" i="91"/>
  <c r="P8" i="91"/>
  <c r="O8" i="91"/>
  <c r="N8" i="91"/>
  <c r="M8" i="91"/>
  <c r="L8" i="91"/>
  <c r="K8" i="91"/>
  <c r="J8" i="91"/>
  <c r="I8" i="91"/>
  <c r="H8" i="91"/>
  <c r="G8" i="91"/>
  <c r="F8" i="91"/>
  <c r="E8" i="91"/>
  <c r="D8" i="91"/>
  <c r="AA7" i="91"/>
  <c r="Z7" i="91"/>
  <c r="Y7" i="91"/>
  <c r="X7" i="91"/>
  <c r="W7" i="91"/>
  <c r="V7" i="91"/>
  <c r="U7" i="91"/>
  <c r="T7" i="91"/>
  <c r="S7" i="91"/>
  <c r="R7" i="91"/>
  <c r="Q7" i="91"/>
  <c r="P7" i="91"/>
  <c r="O7" i="91"/>
  <c r="N7" i="91"/>
  <c r="M7" i="91"/>
  <c r="L7" i="91"/>
  <c r="K7" i="91"/>
  <c r="J7" i="91"/>
  <c r="I7" i="91"/>
  <c r="H7" i="91"/>
  <c r="G7" i="91"/>
  <c r="F7" i="91"/>
  <c r="E7" i="91"/>
  <c r="D7" i="91"/>
  <c r="AA6" i="91"/>
  <c r="Z6" i="91"/>
  <c r="Y6" i="91"/>
  <c r="X6" i="91"/>
  <c r="W6" i="91"/>
  <c r="V6" i="91"/>
  <c r="U6" i="91"/>
  <c r="T6" i="91"/>
  <c r="S6" i="91"/>
  <c r="R6" i="91"/>
  <c r="Q6" i="91"/>
  <c r="P6" i="91"/>
  <c r="O6" i="91"/>
  <c r="N6" i="91"/>
  <c r="M6" i="91"/>
  <c r="L6" i="91"/>
  <c r="K6" i="91"/>
  <c r="J6" i="91"/>
  <c r="I6" i="91"/>
  <c r="H6" i="91"/>
  <c r="G6" i="91"/>
  <c r="F6" i="91"/>
  <c r="E6" i="91"/>
  <c r="D6" i="91"/>
  <c r="AA5" i="91"/>
  <c r="Z5" i="91"/>
  <c r="Y5" i="91"/>
  <c r="X5" i="91"/>
  <c r="W5" i="91"/>
  <c r="V5" i="91"/>
  <c r="U5" i="91"/>
  <c r="T5" i="91"/>
  <c r="S5" i="91"/>
  <c r="R5" i="91"/>
  <c r="Q5" i="91"/>
  <c r="P5" i="91"/>
  <c r="O5" i="91"/>
  <c r="N5" i="91"/>
  <c r="M5" i="91"/>
  <c r="L5" i="91"/>
  <c r="K5" i="91"/>
  <c r="J5" i="91"/>
  <c r="I5" i="91"/>
  <c r="H5" i="91"/>
  <c r="G5" i="91"/>
  <c r="F5" i="91"/>
  <c r="E5" i="91"/>
  <c r="D5" i="91"/>
  <c r="AA4" i="91"/>
  <c r="Z4" i="91"/>
  <c r="Y4" i="91"/>
  <c r="X4" i="91"/>
  <c r="W4" i="91"/>
  <c r="V4" i="91"/>
  <c r="U4" i="91"/>
  <c r="T4" i="91"/>
  <c r="S4" i="91"/>
  <c r="R4" i="91"/>
  <c r="Q4" i="91"/>
  <c r="P4" i="91"/>
  <c r="O4" i="91"/>
  <c r="N4" i="91"/>
  <c r="M4" i="91"/>
  <c r="L4" i="91"/>
  <c r="K4" i="91"/>
  <c r="J4" i="91"/>
  <c r="I4" i="91"/>
  <c r="H4" i="91"/>
  <c r="G4" i="91"/>
  <c r="F4" i="91"/>
  <c r="E4" i="91"/>
  <c r="D4" i="91"/>
  <c r="AA3" i="91"/>
  <c r="Z3" i="91"/>
  <c r="Y3" i="91"/>
  <c r="X3" i="91"/>
  <c r="W3" i="91"/>
  <c r="V3" i="91"/>
  <c r="U3" i="91"/>
  <c r="T3" i="91"/>
  <c r="S3" i="91"/>
  <c r="R3" i="91"/>
  <c r="Q3" i="91"/>
  <c r="P3" i="91"/>
  <c r="O3" i="91"/>
  <c r="N3" i="91"/>
  <c r="M3" i="91"/>
  <c r="L3" i="91"/>
  <c r="K3" i="91"/>
  <c r="J3" i="91"/>
  <c r="I3" i="91"/>
  <c r="H3" i="91"/>
  <c r="G3" i="91"/>
  <c r="F3" i="91"/>
  <c r="E3" i="91"/>
  <c r="D3" i="91"/>
  <c r="AA2" i="91"/>
  <c r="Z2" i="91"/>
  <c r="Y2" i="91"/>
  <c r="X2" i="91"/>
  <c r="W2" i="91"/>
  <c r="V2" i="91"/>
  <c r="U2" i="91"/>
  <c r="T2" i="91"/>
  <c r="S2" i="91"/>
  <c r="R2" i="91"/>
  <c r="Q2" i="91"/>
  <c r="P2" i="91"/>
  <c r="O2" i="91"/>
  <c r="N2" i="91"/>
  <c r="M2" i="91"/>
  <c r="L2" i="91"/>
  <c r="K2" i="91"/>
  <c r="J2" i="91"/>
  <c r="I2" i="91"/>
  <c r="H2" i="91"/>
  <c r="G2" i="91"/>
  <c r="F2" i="91"/>
  <c r="E2" i="91"/>
  <c r="D2" i="91"/>
  <c r="CP168" i="92"/>
  <c r="CO168" i="92"/>
  <c r="CN168" i="92"/>
  <c r="CM168" i="92"/>
  <c r="CL168" i="92"/>
  <c r="CK168" i="92"/>
  <c r="CJ168" i="92"/>
  <c r="CI168" i="92"/>
  <c r="CP167" i="92"/>
  <c r="CO167" i="92"/>
  <c r="CN167" i="92"/>
  <c r="CM167" i="92"/>
  <c r="CL167" i="92"/>
  <c r="CK167" i="92"/>
  <c r="CJ167" i="92"/>
  <c r="CI167" i="92"/>
  <c r="CP166" i="92"/>
  <c r="CO166" i="92"/>
  <c r="CN166" i="92"/>
  <c r="CM166" i="92"/>
  <c r="CL166" i="92"/>
  <c r="CK166" i="92"/>
  <c r="CJ166" i="92"/>
  <c r="CI166" i="92"/>
  <c r="CP165" i="92"/>
  <c r="CO165" i="92"/>
  <c r="CN165" i="92"/>
  <c r="CM165" i="92"/>
  <c r="CL165" i="92"/>
  <c r="CK165" i="92"/>
  <c r="CJ165" i="92"/>
  <c r="CI165" i="92"/>
  <c r="CP164" i="92"/>
  <c r="CO164" i="92"/>
  <c r="CN164" i="92"/>
  <c r="CM164" i="92"/>
  <c r="CL164" i="92"/>
  <c r="CK164" i="92"/>
  <c r="CJ164" i="92"/>
  <c r="CI164" i="92"/>
  <c r="CP163" i="92"/>
  <c r="CO163" i="92"/>
  <c r="CN163" i="92"/>
  <c r="CM163" i="92"/>
  <c r="CL163" i="92"/>
  <c r="CK163" i="92"/>
  <c r="CJ163" i="92"/>
  <c r="CI163" i="92"/>
  <c r="CP162" i="92"/>
  <c r="CO162" i="92"/>
  <c r="CN162" i="92"/>
  <c r="CM162" i="92"/>
  <c r="CL162" i="92"/>
  <c r="CK162" i="92"/>
  <c r="CJ162" i="92"/>
  <c r="CI162" i="92"/>
  <c r="CP161" i="92"/>
  <c r="CO161" i="92"/>
  <c r="CN161" i="92"/>
  <c r="CM161" i="92"/>
  <c r="CL161" i="92"/>
  <c r="CK161" i="92"/>
  <c r="CJ161" i="92"/>
  <c r="CI161" i="92"/>
  <c r="CP160" i="92"/>
  <c r="CO160" i="92"/>
  <c r="CN160" i="92"/>
  <c r="CM160" i="92"/>
  <c r="CL160" i="92"/>
  <c r="CK160" i="92"/>
  <c r="CJ160" i="92"/>
  <c r="CI160" i="92"/>
  <c r="CP159" i="92"/>
  <c r="CO159" i="92"/>
  <c r="CN159" i="92"/>
  <c r="CM159" i="92"/>
  <c r="CL159" i="92"/>
  <c r="CK159" i="92"/>
  <c r="CJ159" i="92"/>
  <c r="CI159" i="92"/>
  <c r="CP158" i="92"/>
  <c r="CO158" i="92"/>
  <c r="CN158" i="92"/>
  <c r="CM158" i="92"/>
  <c r="CL158" i="92"/>
  <c r="CK158" i="92"/>
  <c r="CJ158" i="92"/>
  <c r="CI158" i="92"/>
  <c r="CP157" i="92"/>
  <c r="CO157" i="92"/>
  <c r="CN157" i="92"/>
  <c r="CM157" i="92"/>
  <c r="CL157" i="92"/>
  <c r="CK157" i="92"/>
  <c r="CJ157" i="92"/>
  <c r="CI157" i="92"/>
  <c r="CP156" i="92"/>
  <c r="CO156" i="92"/>
  <c r="CN156" i="92"/>
  <c r="CM156" i="92"/>
  <c r="CL156" i="92"/>
  <c r="CK156" i="92"/>
  <c r="CJ156" i="92"/>
  <c r="CI156" i="92"/>
  <c r="CP155" i="92"/>
  <c r="CO155" i="92"/>
  <c r="CN155" i="92"/>
  <c r="CM155" i="92"/>
  <c r="CL155" i="92"/>
  <c r="CK155" i="92"/>
  <c r="CJ155" i="92"/>
  <c r="CI155" i="92"/>
  <c r="CP154" i="92"/>
  <c r="CO154" i="92"/>
  <c r="CN154" i="92"/>
  <c r="CM154" i="92"/>
  <c r="CL154" i="92"/>
  <c r="CK154" i="92"/>
  <c r="CJ154" i="92"/>
  <c r="CI154" i="92"/>
  <c r="CP153" i="92"/>
  <c r="CO153" i="92"/>
  <c r="CN153" i="92"/>
  <c r="CM153" i="92"/>
  <c r="CL153" i="92"/>
  <c r="CK153" i="92"/>
  <c r="CJ153" i="92"/>
  <c r="CI153" i="92"/>
  <c r="CP152" i="92"/>
  <c r="CO152" i="92"/>
  <c r="CN152" i="92"/>
  <c r="CM152" i="92"/>
  <c r="CL152" i="92"/>
  <c r="CK152" i="92"/>
  <c r="CJ152" i="92"/>
  <c r="CI152" i="92"/>
  <c r="CP151" i="92"/>
  <c r="CO151" i="92"/>
  <c r="CN151" i="92"/>
  <c r="CM151" i="92"/>
  <c r="CL151" i="92"/>
  <c r="CK151" i="92"/>
  <c r="CJ151" i="92"/>
  <c r="CI151" i="92"/>
  <c r="CP150" i="92"/>
  <c r="CO150" i="92"/>
  <c r="CN150" i="92"/>
  <c r="CM150" i="92"/>
  <c r="CL150" i="92"/>
  <c r="CK150" i="92"/>
  <c r="CJ150" i="92"/>
  <c r="CI150" i="92"/>
  <c r="CP149" i="92"/>
  <c r="CO149" i="92"/>
  <c r="CN149" i="92"/>
  <c r="CM149" i="92"/>
  <c r="CL149" i="92"/>
  <c r="CK149" i="92"/>
  <c r="CJ149" i="92"/>
  <c r="CI149" i="92"/>
  <c r="CP148" i="92"/>
  <c r="CO148" i="92"/>
  <c r="CN148" i="92"/>
  <c r="CM148" i="92"/>
  <c r="CL148" i="92"/>
  <c r="CK148" i="92"/>
  <c r="CJ148" i="92"/>
  <c r="CI148" i="92"/>
  <c r="CP147" i="92"/>
  <c r="CO147" i="92"/>
  <c r="CN147" i="92"/>
  <c r="CM147" i="92"/>
  <c r="CL147" i="92"/>
  <c r="CK147" i="92"/>
  <c r="CJ147" i="92"/>
  <c r="CI147" i="92"/>
  <c r="CP146" i="92"/>
  <c r="CO146" i="92"/>
  <c r="CN146" i="92"/>
  <c r="CM146" i="92"/>
  <c r="CL146" i="92"/>
  <c r="CK146" i="92"/>
  <c r="CJ146" i="92"/>
  <c r="CI146" i="92"/>
  <c r="CP145" i="92"/>
  <c r="CO145" i="92"/>
  <c r="CN145" i="92"/>
  <c r="CM145" i="92"/>
  <c r="CL145" i="92"/>
  <c r="CK145" i="92"/>
  <c r="CJ145" i="92"/>
  <c r="CI145" i="92"/>
  <c r="CP144" i="92"/>
  <c r="CO144" i="92"/>
  <c r="CN144" i="92"/>
  <c r="CM144" i="92"/>
  <c r="CL144" i="92"/>
  <c r="CK144" i="92"/>
  <c r="CJ144" i="92"/>
  <c r="CI144" i="92"/>
  <c r="CP143" i="92"/>
  <c r="CO143" i="92"/>
  <c r="CN143" i="92"/>
  <c r="CM143" i="92"/>
  <c r="CL143" i="92"/>
  <c r="CK143" i="92"/>
  <c r="CJ143" i="92"/>
  <c r="CI143" i="92"/>
  <c r="CP142" i="92"/>
  <c r="CO142" i="92"/>
  <c r="CN142" i="92"/>
  <c r="CM142" i="92"/>
  <c r="CL142" i="92"/>
  <c r="CK142" i="92"/>
  <c r="CJ142" i="92"/>
  <c r="CI142" i="92"/>
  <c r="CP141" i="92"/>
  <c r="CO141" i="92"/>
  <c r="CN141" i="92"/>
  <c r="CM141" i="92"/>
  <c r="CL141" i="92"/>
  <c r="CK141" i="92"/>
  <c r="CJ141" i="92"/>
  <c r="CI141" i="92"/>
  <c r="CP140" i="92"/>
  <c r="CO140" i="92"/>
  <c r="CN140" i="92"/>
  <c r="CM140" i="92"/>
  <c r="CL140" i="92"/>
  <c r="CK140" i="92"/>
  <c r="CJ140" i="92"/>
  <c r="CI140" i="92"/>
  <c r="CP139" i="92"/>
  <c r="CO139" i="92"/>
  <c r="CN139" i="92"/>
  <c r="CM139" i="92"/>
  <c r="CL139" i="92"/>
  <c r="CK139" i="92"/>
  <c r="CJ139" i="92"/>
  <c r="CI139" i="92"/>
  <c r="CP138" i="92"/>
  <c r="CO138" i="92"/>
  <c r="CN138" i="92"/>
  <c r="CM138" i="92"/>
  <c r="CL138" i="92"/>
  <c r="CK138" i="92"/>
  <c r="CJ138" i="92"/>
  <c r="CI138" i="92"/>
  <c r="CP137" i="92"/>
  <c r="CO137" i="92"/>
  <c r="CN137" i="92"/>
  <c r="CM137" i="92"/>
  <c r="CL137" i="92"/>
  <c r="CK137" i="92"/>
  <c r="CJ137" i="92"/>
  <c r="CI137" i="92"/>
  <c r="CP136" i="92"/>
  <c r="CO136" i="92"/>
  <c r="CN136" i="92"/>
  <c r="CM136" i="92"/>
  <c r="CL136" i="92"/>
  <c r="CK136" i="92"/>
  <c r="CJ136" i="92"/>
  <c r="CI136" i="92"/>
  <c r="CP135" i="92"/>
  <c r="CO135" i="92"/>
  <c r="CN135" i="92"/>
  <c r="CM135" i="92"/>
  <c r="CL135" i="92"/>
  <c r="CK135" i="92"/>
  <c r="CJ135" i="92"/>
  <c r="CI135" i="92"/>
  <c r="CP134" i="92"/>
  <c r="CO134" i="92"/>
  <c r="CN134" i="92"/>
  <c r="CM134" i="92"/>
  <c r="CL134" i="92"/>
  <c r="CK134" i="92"/>
  <c r="CJ134" i="92"/>
  <c r="CI134" i="92"/>
  <c r="CP133" i="92"/>
  <c r="CO133" i="92"/>
  <c r="CN133" i="92"/>
  <c r="CM133" i="92"/>
  <c r="CL133" i="92"/>
  <c r="CK133" i="92"/>
  <c r="CJ133" i="92"/>
  <c r="CI133" i="92"/>
  <c r="CP132" i="92"/>
  <c r="CO132" i="92"/>
  <c r="CN132" i="92"/>
  <c r="CM132" i="92"/>
  <c r="CL132" i="92"/>
  <c r="CK132" i="92"/>
  <c r="CJ132" i="92"/>
  <c r="CI132" i="92"/>
  <c r="CP131" i="92"/>
  <c r="CO131" i="92"/>
  <c r="CN131" i="92"/>
  <c r="CM131" i="92"/>
  <c r="CL131" i="92"/>
  <c r="CK131" i="92"/>
  <c r="CJ131" i="92"/>
  <c r="CI131" i="92"/>
  <c r="CP130" i="92"/>
  <c r="CO130" i="92"/>
  <c r="CN130" i="92"/>
  <c r="CM130" i="92"/>
  <c r="CL130" i="92"/>
  <c r="CK130" i="92"/>
  <c r="CJ130" i="92"/>
  <c r="CI130" i="92"/>
  <c r="CP129" i="92"/>
  <c r="CO129" i="92"/>
  <c r="CN129" i="92"/>
  <c r="CM129" i="92"/>
  <c r="CL129" i="92"/>
  <c r="CK129" i="92"/>
  <c r="CJ129" i="92"/>
  <c r="CI129" i="92"/>
  <c r="CP128" i="92"/>
  <c r="CO128" i="92"/>
  <c r="CN128" i="92"/>
  <c r="CM128" i="92"/>
  <c r="CL128" i="92"/>
  <c r="CK128" i="92"/>
  <c r="CJ128" i="92"/>
  <c r="CI128" i="92"/>
  <c r="CP127" i="92"/>
  <c r="CO127" i="92"/>
  <c r="CN127" i="92"/>
  <c r="CM127" i="92"/>
  <c r="CL127" i="92"/>
  <c r="CK127" i="92"/>
  <c r="CJ127" i="92"/>
  <c r="CI127" i="92"/>
  <c r="CP126" i="92"/>
  <c r="CO126" i="92"/>
  <c r="CN126" i="92"/>
  <c r="CM126" i="92"/>
  <c r="CL126" i="92"/>
  <c r="CK126" i="92"/>
  <c r="CJ126" i="92"/>
  <c r="CI126" i="92"/>
  <c r="CP125" i="92"/>
  <c r="CO125" i="92"/>
  <c r="CN125" i="92"/>
  <c r="CM125" i="92"/>
  <c r="CL125" i="92"/>
  <c r="CK125" i="92"/>
  <c r="CJ125" i="92"/>
  <c r="CI125" i="92"/>
  <c r="CP124" i="92"/>
  <c r="CO124" i="92"/>
  <c r="CN124" i="92"/>
  <c r="CM124" i="92"/>
  <c r="CL124" i="92"/>
  <c r="CK124" i="92"/>
  <c r="CJ124" i="92"/>
  <c r="CI124" i="92"/>
  <c r="CP123" i="92"/>
  <c r="CO123" i="92"/>
  <c r="CN123" i="92"/>
  <c r="CM123" i="92"/>
  <c r="CL123" i="92"/>
  <c r="CK123" i="92"/>
  <c r="CJ123" i="92"/>
  <c r="CI123" i="92"/>
  <c r="CP122" i="92"/>
  <c r="CO122" i="92"/>
  <c r="CN122" i="92"/>
  <c r="CM122" i="92"/>
  <c r="CL122" i="92"/>
  <c r="CK122" i="92"/>
  <c r="CJ122" i="92"/>
  <c r="CI122" i="92"/>
  <c r="CP121" i="92"/>
  <c r="CO121" i="92"/>
  <c r="CN121" i="92"/>
  <c r="CM121" i="92"/>
  <c r="CL121" i="92"/>
  <c r="CK121" i="92"/>
  <c r="CJ121" i="92"/>
  <c r="CI121" i="92"/>
  <c r="CP120" i="92"/>
  <c r="CO120" i="92"/>
  <c r="CN120" i="92"/>
  <c r="CM120" i="92"/>
  <c r="CL120" i="92"/>
  <c r="CK120" i="92"/>
  <c r="CJ120" i="92"/>
  <c r="CI120" i="92"/>
  <c r="CP119" i="92"/>
  <c r="CO119" i="92"/>
  <c r="CN119" i="92"/>
  <c r="CM119" i="92"/>
  <c r="CL119" i="92"/>
  <c r="CK119" i="92"/>
  <c r="CJ119" i="92"/>
  <c r="CI119" i="92"/>
  <c r="CP118" i="92"/>
  <c r="CO118" i="92"/>
  <c r="CN118" i="92"/>
  <c r="CM118" i="92"/>
  <c r="CL118" i="92"/>
  <c r="CK118" i="92"/>
  <c r="CJ118" i="92"/>
  <c r="CI118" i="92"/>
  <c r="CP117" i="92"/>
  <c r="CO117" i="92"/>
  <c r="CN117" i="92"/>
  <c r="CM117" i="92"/>
  <c r="CL117" i="92"/>
  <c r="CK117" i="92"/>
  <c r="CJ117" i="92"/>
  <c r="CI117" i="92"/>
  <c r="CP116" i="92"/>
  <c r="CO116" i="92"/>
  <c r="CN116" i="92"/>
  <c r="CM116" i="92"/>
  <c r="CL116" i="92"/>
  <c r="CK116" i="92"/>
  <c r="CJ116" i="92"/>
  <c r="CI116" i="92"/>
  <c r="CP115" i="92"/>
  <c r="CO115" i="92"/>
  <c r="CN115" i="92"/>
  <c r="CM115" i="92"/>
  <c r="CL115" i="92"/>
  <c r="CK115" i="92"/>
  <c r="CJ115" i="92"/>
  <c r="CI115" i="92"/>
  <c r="CP114" i="92"/>
  <c r="CO114" i="92"/>
  <c r="CN114" i="92"/>
  <c r="CM114" i="92"/>
  <c r="CL114" i="92"/>
  <c r="CK114" i="92"/>
  <c r="CJ114" i="92"/>
  <c r="CI114" i="92"/>
  <c r="CP113" i="92"/>
  <c r="CO113" i="92"/>
  <c r="CN113" i="92"/>
  <c r="CM113" i="92"/>
  <c r="CL113" i="92"/>
  <c r="CK113" i="92"/>
  <c r="CJ113" i="92"/>
  <c r="CI113" i="92"/>
  <c r="CP112" i="92"/>
  <c r="CO112" i="92"/>
  <c r="CN112" i="92"/>
  <c r="CM112" i="92"/>
  <c r="CL112" i="92"/>
  <c r="CK112" i="92"/>
  <c r="CJ112" i="92"/>
  <c r="CI112" i="92"/>
  <c r="CP111" i="92"/>
  <c r="CO111" i="92"/>
  <c r="CN111" i="92"/>
  <c r="CM111" i="92"/>
  <c r="CL111" i="92"/>
  <c r="CK111" i="92"/>
  <c r="CJ111" i="92"/>
  <c r="CI111" i="92"/>
  <c r="CP110" i="92"/>
  <c r="CO110" i="92"/>
  <c r="CN110" i="92"/>
  <c r="CM110" i="92"/>
  <c r="CL110" i="92"/>
  <c r="CK110" i="92"/>
  <c r="CJ110" i="92"/>
  <c r="CI110" i="92"/>
  <c r="CP109" i="92"/>
  <c r="CO109" i="92"/>
  <c r="CN109" i="92"/>
  <c r="CM109" i="92"/>
  <c r="CL109" i="92"/>
  <c r="CK109" i="92"/>
  <c r="CJ109" i="92"/>
  <c r="CI109" i="92"/>
  <c r="CP108" i="92"/>
  <c r="CO108" i="92"/>
  <c r="CN108" i="92"/>
  <c r="CM108" i="92"/>
  <c r="CL108" i="92"/>
  <c r="CK108" i="92"/>
  <c r="CJ108" i="92"/>
  <c r="CI108" i="92"/>
  <c r="CP107" i="92"/>
  <c r="CO107" i="92"/>
  <c r="CN107" i="92"/>
  <c r="CM107" i="92"/>
  <c r="CL107" i="92"/>
  <c r="CK107" i="92"/>
  <c r="CJ107" i="92"/>
  <c r="CI107" i="92"/>
  <c r="CP106" i="92"/>
  <c r="CO106" i="92"/>
  <c r="CN106" i="92"/>
  <c r="CM106" i="92"/>
  <c r="CL106" i="92"/>
  <c r="CK106" i="92"/>
  <c r="CJ106" i="92"/>
  <c r="CI106" i="92"/>
  <c r="CP105" i="92"/>
  <c r="CO105" i="92"/>
  <c r="CN105" i="92"/>
  <c r="CM105" i="92"/>
  <c r="CL105" i="92"/>
  <c r="CK105" i="92"/>
  <c r="CJ105" i="92"/>
  <c r="CI105" i="92"/>
  <c r="CP104" i="92"/>
  <c r="CO104" i="92"/>
  <c r="CN104" i="92"/>
  <c r="CM104" i="92"/>
  <c r="CL104" i="92"/>
  <c r="CK104" i="92"/>
  <c r="CJ104" i="92"/>
  <c r="CI104" i="92"/>
  <c r="CP103" i="92"/>
  <c r="CO103" i="92"/>
  <c r="CN103" i="92"/>
  <c r="CM103" i="92"/>
  <c r="CL103" i="92"/>
  <c r="CK103" i="92"/>
  <c r="CJ103" i="92"/>
  <c r="CI103" i="92"/>
  <c r="CP102" i="92"/>
  <c r="CO102" i="92"/>
  <c r="CN102" i="92"/>
  <c r="CM102" i="92"/>
  <c r="CL102" i="92"/>
  <c r="CK102" i="92"/>
  <c r="CJ102" i="92"/>
  <c r="CI102" i="92"/>
  <c r="CP101" i="92"/>
  <c r="CO101" i="92"/>
  <c r="CN101" i="92"/>
  <c r="CM101" i="92"/>
  <c r="CL101" i="92"/>
  <c r="CK101" i="92"/>
  <c r="CJ101" i="92"/>
  <c r="CI101" i="92"/>
  <c r="CP100" i="92"/>
  <c r="CO100" i="92"/>
  <c r="CN100" i="92"/>
  <c r="CM100" i="92"/>
  <c r="CL100" i="92"/>
  <c r="CK100" i="92"/>
  <c r="CJ100" i="92"/>
  <c r="CI100" i="92"/>
  <c r="CP99" i="92"/>
  <c r="CO99" i="92"/>
  <c r="CN99" i="92"/>
  <c r="CM99" i="92"/>
  <c r="CL99" i="92"/>
  <c r="CK99" i="92"/>
  <c r="CJ99" i="92"/>
  <c r="CI99" i="92"/>
  <c r="CP98" i="92"/>
  <c r="CO98" i="92"/>
  <c r="CN98" i="92"/>
  <c r="CM98" i="92"/>
  <c r="CL98" i="92"/>
  <c r="CK98" i="92"/>
  <c r="CJ98" i="92"/>
  <c r="CI98" i="92"/>
  <c r="CP97" i="92"/>
  <c r="CO97" i="92"/>
  <c r="CN97" i="92"/>
  <c r="CM97" i="92"/>
  <c r="CL97" i="92"/>
  <c r="CK97" i="92"/>
  <c r="CJ97" i="92"/>
  <c r="CI97" i="92"/>
  <c r="CP96" i="92"/>
  <c r="CO96" i="92"/>
  <c r="CN96" i="92"/>
  <c r="CM96" i="92"/>
  <c r="CL96" i="92"/>
  <c r="CK96" i="92"/>
  <c r="CJ96" i="92"/>
  <c r="CI96" i="92"/>
  <c r="CP95" i="92"/>
  <c r="CO95" i="92"/>
  <c r="CN95" i="92"/>
  <c r="CM95" i="92"/>
  <c r="CL95" i="92"/>
  <c r="CK95" i="92"/>
  <c r="CJ95" i="92"/>
  <c r="CI95" i="92"/>
  <c r="CP94" i="92"/>
  <c r="CO94" i="92"/>
  <c r="CN94" i="92"/>
  <c r="CM94" i="92"/>
  <c r="CL94" i="92"/>
  <c r="CK94" i="92"/>
  <c r="CJ94" i="92"/>
  <c r="CI94" i="92"/>
  <c r="CP93" i="92"/>
  <c r="CO93" i="92"/>
  <c r="CN93" i="92"/>
  <c r="CM93" i="92"/>
  <c r="CL93" i="92"/>
  <c r="CK93" i="92"/>
  <c r="CJ93" i="92"/>
  <c r="CI93" i="92"/>
  <c r="CP92" i="92"/>
  <c r="CO92" i="92"/>
  <c r="CN92" i="92"/>
  <c r="CM92" i="92"/>
  <c r="CL92" i="92"/>
  <c r="CK92" i="92"/>
  <c r="CJ92" i="92"/>
  <c r="CI92" i="92"/>
  <c r="CP91" i="92"/>
  <c r="CO91" i="92"/>
  <c r="CN91" i="92"/>
  <c r="CM91" i="92"/>
  <c r="CL91" i="92"/>
  <c r="CK91" i="92"/>
  <c r="CJ91" i="92"/>
  <c r="CI91" i="92"/>
  <c r="CP90" i="92"/>
  <c r="CO90" i="92"/>
  <c r="CN90" i="92"/>
  <c r="CM90" i="92"/>
  <c r="CL90" i="92"/>
  <c r="CK90" i="92"/>
  <c r="CJ90" i="92"/>
  <c r="CI90" i="92"/>
  <c r="CP89" i="92"/>
  <c r="CO89" i="92"/>
  <c r="CN89" i="92"/>
  <c r="CM89" i="92"/>
  <c r="CL89" i="92"/>
  <c r="CK89" i="92"/>
  <c r="CJ89" i="92"/>
  <c r="CI89" i="92"/>
  <c r="CP88" i="92"/>
  <c r="CO88" i="92"/>
  <c r="CN88" i="92"/>
  <c r="CM88" i="92"/>
  <c r="CL88" i="92"/>
  <c r="CK88" i="92"/>
  <c r="CJ88" i="92"/>
  <c r="CI88" i="92"/>
  <c r="CP87" i="92"/>
  <c r="CO87" i="92"/>
  <c r="CN87" i="92"/>
  <c r="CM87" i="92"/>
  <c r="CL87" i="92"/>
  <c r="CK87" i="92"/>
  <c r="CJ87" i="92"/>
  <c r="CI87" i="92"/>
  <c r="CP86" i="92"/>
  <c r="CO86" i="92"/>
  <c r="CN86" i="92"/>
  <c r="CM86" i="92"/>
  <c r="CL86" i="92"/>
  <c r="CK86" i="92"/>
  <c r="CJ86" i="92"/>
  <c r="CI86" i="92"/>
  <c r="CP85" i="92"/>
  <c r="CO85" i="92"/>
  <c r="CN85" i="92"/>
  <c r="CM85" i="92"/>
  <c r="CL85" i="92"/>
  <c r="CK85" i="92"/>
  <c r="CJ85" i="92"/>
  <c r="CI85" i="92"/>
  <c r="CP84" i="92"/>
  <c r="CO84" i="92"/>
  <c r="CN84" i="92"/>
  <c r="CM84" i="92"/>
  <c r="CL84" i="92"/>
  <c r="CK84" i="92"/>
  <c r="CJ84" i="92"/>
  <c r="CI84" i="92"/>
  <c r="CP83" i="92"/>
  <c r="CO83" i="92"/>
  <c r="CN83" i="92"/>
  <c r="CM83" i="92"/>
  <c r="CL83" i="92"/>
  <c r="CK83" i="92"/>
  <c r="CJ83" i="92"/>
  <c r="CI83" i="92"/>
  <c r="CP82" i="92"/>
  <c r="CO82" i="92"/>
  <c r="CN82" i="92"/>
  <c r="CM82" i="92"/>
  <c r="CL82" i="92"/>
  <c r="CK82" i="92"/>
  <c r="CJ82" i="92"/>
  <c r="CI82" i="92"/>
  <c r="CP81" i="92"/>
  <c r="CO81" i="92"/>
  <c r="CN81" i="92"/>
  <c r="CM81" i="92"/>
  <c r="CL81" i="92"/>
  <c r="CK81" i="92"/>
  <c r="CJ81" i="92"/>
  <c r="CI81" i="92"/>
  <c r="CP80" i="92"/>
  <c r="CO80" i="92"/>
  <c r="CN80" i="92"/>
  <c r="CM80" i="92"/>
  <c r="CL80" i="92"/>
  <c r="CK80" i="92"/>
  <c r="CJ80" i="92"/>
  <c r="CI80" i="92"/>
  <c r="CP79" i="92"/>
  <c r="CO79" i="92"/>
  <c r="CN79" i="92"/>
  <c r="CM79" i="92"/>
  <c r="CL79" i="92"/>
  <c r="CK79" i="92"/>
  <c r="CJ79" i="92"/>
  <c r="CI79" i="92"/>
  <c r="CP78" i="92"/>
  <c r="CO78" i="92"/>
  <c r="CN78" i="92"/>
  <c r="CM78" i="92"/>
  <c r="CL78" i="92"/>
  <c r="CK78" i="92"/>
  <c r="CJ78" i="92"/>
  <c r="CI78" i="92"/>
  <c r="CP77" i="92"/>
  <c r="CO77" i="92"/>
  <c r="CN77" i="92"/>
  <c r="CM77" i="92"/>
  <c r="CL77" i="92"/>
  <c r="CK77" i="92"/>
  <c r="CJ77" i="92"/>
  <c r="CI77" i="92"/>
  <c r="CP76" i="92"/>
  <c r="CO76" i="92"/>
  <c r="CN76" i="92"/>
  <c r="CM76" i="92"/>
  <c r="CL76" i="92"/>
  <c r="CK76" i="92"/>
  <c r="CJ76" i="92"/>
  <c r="CI76" i="92"/>
  <c r="CP75" i="92"/>
  <c r="CO75" i="92"/>
  <c r="CN75" i="92"/>
  <c r="CM75" i="92"/>
  <c r="CL75" i="92"/>
  <c r="CK75" i="92"/>
  <c r="CJ75" i="92"/>
  <c r="CI75" i="92"/>
  <c r="CP74" i="92"/>
  <c r="CO74" i="92"/>
  <c r="CN74" i="92"/>
  <c r="CM74" i="92"/>
  <c r="CL74" i="92"/>
  <c r="CK74" i="92"/>
  <c r="CJ74" i="92"/>
  <c r="CI74" i="92"/>
  <c r="CP73" i="92"/>
  <c r="CO73" i="92"/>
  <c r="CN73" i="92"/>
  <c r="CM73" i="92"/>
  <c r="CL73" i="92"/>
  <c r="CK73" i="92"/>
  <c r="CJ73" i="92"/>
  <c r="CI73" i="92"/>
  <c r="CP72" i="92"/>
  <c r="CO72" i="92"/>
  <c r="CN72" i="92"/>
  <c r="CM72" i="92"/>
  <c r="CL72" i="92"/>
  <c r="CK72" i="92"/>
  <c r="CJ72" i="92"/>
  <c r="CI72" i="92"/>
  <c r="CP71" i="92"/>
  <c r="CO71" i="92"/>
  <c r="CN71" i="92"/>
  <c r="CM71" i="92"/>
  <c r="CL71" i="92"/>
  <c r="CK71" i="92"/>
  <c r="CJ71" i="92"/>
  <c r="CI71" i="92"/>
  <c r="CP70" i="92"/>
  <c r="CO70" i="92"/>
  <c r="CN70" i="92"/>
  <c r="CM70" i="92"/>
  <c r="CL70" i="92"/>
  <c r="CK70" i="92"/>
  <c r="CJ70" i="92"/>
  <c r="CI70" i="92"/>
  <c r="CP69" i="92"/>
  <c r="CO69" i="92"/>
  <c r="CN69" i="92"/>
  <c r="CM69" i="92"/>
  <c r="CL69" i="92"/>
  <c r="CK69" i="92"/>
  <c r="CJ69" i="92"/>
  <c r="CI69" i="92"/>
  <c r="CP68" i="92"/>
  <c r="CO68" i="92"/>
  <c r="CN68" i="92"/>
  <c r="CM68" i="92"/>
  <c r="CL68" i="92"/>
  <c r="CK68" i="92"/>
  <c r="CJ68" i="92"/>
  <c r="CI68" i="92"/>
  <c r="CP67" i="92"/>
  <c r="CO67" i="92"/>
  <c r="CN67" i="92"/>
  <c r="CM67" i="92"/>
  <c r="CL67" i="92"/>
  <c r="CK67" i="92"/>
  <c r="CJ67" i="92"/>
  <c r="CI67" i="92"/>
  <c r="CP66" i="92"/>
  <c r="CO66" i="92"/>
  <c r="CN66" i="92"/>
  <c r="CM66" i="92"/>
  <c r="CL66" i="92"/>
  <c r="CK66" i="92"/>
  <c r="CJ66" i="92"/>
  <c r="CI66" i="92"/>
  <c r="CP65" i="92"/>
  <c r="CO65" i="92"/>
  <c r="CN65" i="92"/>
  <c r="CM65" i="92"/>
  <c r="CL65" i="92"/>
  <c r="CK65" i="92"/>
  <c r="CJ65" i="92"/>
  <c r="CI65" i="92"/>
  <c r="CP64" i="92"/>
  <c r="CO64" i="92"/>
  <c r="CN64" i="92"/>
  <c r="CM64" i="92"/>
  <c r="CL64" i="92"/>
  <c r="CK64" i="92"/>
  <c r="CJ64" i="92"/>
  <c r="CI64" i="92"/>
  <c r="CP63" i="92"/>
  <c r="CO63" i="92"/>
  <c r="CN63" i="92"/>
  <c r="CM63" i="92"/>
  <c r="CL63" i="92"/>
  <c r="CK63" i="92"/>
  <c r="CJ63" i="92"/>
  <c r="CI63" i="92"/>
  <c r="CP62" i="92"/>
  <c r="CO62" i="92"/>
  <c r="CN62" i="92"/>
  <c r="CM62" i="92"/>
  <c r="CL62" i="92"/>
  <c r="CK62" i="92"/>
  <c r="CJ62" i="92"/>
  <c r="CI62" i="92"/>
  <c r="CP61" i="92"/>
  <c r="CO61" i="92"/>
  <c r="CN61" i="92"/>
  <c r="CM61" i="92"/>
  <c r="CL61" i="92"/>
  <c r="CK61" i="92"/>
  <c r="CJ61" i="92"/>
  <c r="CI61" i="92"/>
  <c r="CP60" i="92"/>
  <c r="CO60" i="92"/>
  <c r="CN60" i="92"/>
  <c r="CM60" i="92"/>
  <c r="CL60" i="92"/>
  <c r="CK60" i="92"/>
  <c r="CJ60" i="92"/>
  <c r="CI60" i="92"/>
  <c r="CP59" i="92"/>
  <c r="CO59" i="92"/>
  <c r="CN59" i="92"/>
  <c r="CM59" i="92"/>
  <c r="CL59" i="92"/>
  <c r="CK59" i="92"/>
  <c r="CJ59" i="92"/>
  <c r="CI59" i="92"/>
  <c r="CP58" i="92"/>
  <c r="CO58" i="92"/>
  <c r="CN58" i="92"/>
  <c r="CM58" i="92"/>
  <c r="CL58" i="92"/>
  <c r="CK58" i="92"/>
  <c r="CJ58" i="92"/>
  <c r="CI58" i="92"/>
  <c r="CP57" i="92"/>
  <c r="CO57" i="92"/>
  <c r="CN57" i="92"/>
  <c r="CM57" i="92"/>
  <c r="CL57" i="92"/>
  <c r="CK57" i="92"/>
  <c r="CJ57" i="92"/>
  <c r="CI57" i="92"/>
  <c r="CP56" i="92"/>
  <c r="CO56" i="92"/>
  <c r="CN56" i="92"/>
  <c r="CM56" i="92"/>
  <c r="CL56" i="92"/>
  <c r="CK56" i="92"/>
  <c r="CJ56" i="92"/>
  <c r="CI56" i="92"/>
  <c r="CP55" i="92"/>
  <c r="CO55" i="92"/>
  <c r="CN55" i="92"/>
  <c r="CM55" i="92"/>
  <c r="CL55" i="92"/>
  <c r="CK55" i="92"/>
  <c r="CJ55" i="92"/>
  <c r="CI55" i="92"/>
  <c r="CP54" i="92"/>
  <c r="CO54" i="92"/>
  <c r="CN54" i="92"/>
  <c r="CM54" i="92"/>
  <c r="CL54" i="92"/>
  <c r="CK54" i="92"/>
  <c r="CJ54" i="92"/>
  <c r="CI54" i="92"/>
  <c r="CP53" i="92"/>
  <c r="CO53" i="92"/>
  <c r="CN53" i="92"/>
  <c r="CM53" i="92"/>
  <c r="CL53" i="92"/>
  <c r="CK53" i="92"/>
  <c r="CJ53" i="92"/>
  <c r="CI53" i="92"/>
  <c r="CP52" i="92"/>
  <c r="CO52" i="92"/>
  <c r="CN52" i="92"/>
  <c r="CM52" i="92"/>
  <c r="CL52" i="92"/>
  <c r="CK52" i="92"/>
  <c r="CJ52" i="92"/>
  <c r="CI52" i="92"/>
  <c r="CP51" i="92"/>
  <c r="CO51" i="92"/>
  <c r="CN51" i="92"/>
  <c r="CM51" i="92"/>
  <c r="CL51" i="92"/>
  <c r="CK51" i="92"/>
  <c r="CJ51" i="92"/>
  <c r="CI51" i="92"/>
  <c r="CP50" i="92"/>
  <c r="CO50" i="92"/>
  <c r="CN50" i="92"/>
  <c r="CM50" i="92"/>
  <c r="CL50" i="92"/>
  <c r="CK50" i="92"/>
  <c r="CJ50" i="92"/>
  <c r="CI50" i="92"/>
  <c r="CP49" i="92"/>
  <c r="CO49" i="92"/>
  <c r="CN49" i="92"/>
  <c r="CM49" i="92"/>
  <c r="CL49" i="92"/>
  <c r="CK49" i="92"/>
  <c r="CJ49" i="92"/>
  <c r="CI49" i="92"/>
  <c r="CP48" i="92"/>
  <c r="CO48" i="92"/>
  <c r="CN48" i="92"/>
  <c r="CM48" i="92"/>
  <c r="CL48" i="92"/>
  <c r="CK48" i="92"/>
  <c r="CJ48" i="92"/>
  <c r="CI48" i="92"/>
  <c r="CP47" i="92"/>
  <c r="CO47" i="92"/>
  <c r="CN47" i="92"/>
  <c r="CM47" i="92"/>
  <c r="CL47" i="92"/>
  <c r="CK47" i="92"/>
  <c r="CJ47" i="92"/>
  <c r="CI47" i="92"/>
  <c r="CP46" i="92"/>
  <c r="CO46" i="92"/>
  <c r="CN46" i="92"/>
  <c r="CM46" i="92"/>
  <c r="CL46" i="92"/>
  <c r="CK46" i="92"/>
  <c r="CJ46" i="92"/>
  <c r="CI46" i="92"/>
  <c r="CP45" i="92"/>
  <c r="CO45" i="92"/>
  <c r="CN45" i="92"/>
  <c r="CM45" i="92"/>
  <c r="CL45" i="92"/>
  <c r="CK45" i="92"/>
  <c r="CJ45" i="92"/>
  <c r="CI45" i="92"/>
  <c r="CP44" i="92"/>
  <c r="CO44" i="92"/>
  <c r="CN44" i="92"/>
  <c r="CM44" i="92"/>
  <c r="CL44" i="92"/>
  <c r="CK44" i="92"/>
  <c r="CJ44" i="92"/>
  <c r="CI44" i="92"/>
  <c r="CP43" i="92"/>
  <c r="CO43" i="92"/>
  <c r="CN43" i="92"/>
  <c r="CM43" i="92"/>
  <c r="CL43" i="92"/>
  <c r="CK43" i="92"/>
  <c r="CJ43" i="92"/>
  <c r="CI43" i="92"/>
  <c r="CP42" i="92"/>
  <c r="CO42" i="92"/>
  <c r="CN42" i="92"/>
  <c r="CM42" i="92"/>
  <c r="CL42" i="92"/>
  <c r="CK42" i="92"/>
  <c r="CJ42" i="92"/>
  <c r="CI42" i="92"/>
  <c r="CP41" i="92"/>
  <c r="CO41" i="92"/>
  <c r="CN41" i="92"/>
  <c r="CM41" i="92"/>
  <c r="CL41" i="92"/>
  <c r="CK41" i="92"/>
  <c r="CJ41" i="92"/>
  <c r="CI41" i="92"/>
  <c r="CP40" i="92"/>
  <c r="CO40" i="92"/>
  <c r="CN40" i="92"/>
  <c r="CM40" i="92"/>
  <c r="CL40" i="92"/>
  <c r="CK40" i="92"/>
  <c r="CJ40" i="92"/>
  <c r="CI40" i="92"/>
  <c r="CP39" i="92"/>
  <c r="CO39" i="92"/>
  <c r="CN39" i="92"/>
  <c r="CM39" i="92"/>
  <c r="CL39" i="92"/>
  <c r="CK39" i="92"/>
  <c r="CJ39" i="92"/>
  <c r="CI39" i="92"/>
  <c r="CP38" i="92"/>
  <c r="CO38" i="92"/>
  <c r="CN38" i="92"/>
  <c r="CM38" i="92"/>
  <c r="CL38" i="92"/>
  <c r="CK38" i="92"/>
  <c r="CJ38" i="92"/>
  <c r="CI38" i="92"/>
  <c r="CP37" i="92"/>
  <c r="CO37" i="92"/>
  <c r="CN37" i="92"/>
  <c r="CM37" i="92"/>
  <c r="CL37" i="92"/>
  <c r="CK37" i="92"/>
  <c r="CJ37" i="92"/>
  <c r="CI37" i="92"/>
  <c r="CP36" i="92"/>
  <c r="CO36" i="92"/>
  <c r="CN36" i="92"/>
  <c r="CM36" i="92"/>
  <c r="CL36" i="92"/>
  <c r="CK36" i="92"/>
  <c r="CJ36" i="92"/>
  <c r="CI36" i="92"/>
  <c r="CP35" i="92"/>
  <c r="CO35" i="92"/>
  <c r="CN35" i="92"/>
  <c r="CM35" i="92"/>
  <c r="CL35" i="92"/>
  <c r="CK35" i="92"/>
  <c r="CJ35" i="92"/>
  <c r="CI35" i="92"/>
  <c r="CP34" i="92"/>
  <c r="CO34" i="92"/>
  <c r="CN34" i="92"/>
  <c r="CM34" i="92"/>
  <c r="CL34" i="92"/>
  <c r="CK34" i="92"/>
  <c r="CJ34" i="92"/>
  <c r="CI34" i="92"/>
  <c r="CP33" i="92"/>
  <c r="CO33" i="92"/>
  <c r="CN33" i="92"/>
  <c r="CM33" i="92"/>
  <c r="CL33" i="92"/>
  <c r="CK33" i="92"/>
  <c r="CJ33" i="92"/>
  <c r="CI33" i="92"/>
  <c r="CP32" i="92"/>
  <c r="CO32" i="92"/>
  <c r="CN32" i="92"/>
  <c r="CM32" i="92"/>
  <c r="CL32" i="92"/>
  <c r="CK32" i="92"/>
  <c r="CJ32" i="92"/>
  <c r="CI32" i="92"/>
  <c r="CP31" i="92"/>
  <c r="CO31" i="92"/>
  <c r="CN31" i="92"/>
  <c r="CM31" i="92"/>
  <c r="CL31" i="92"/>
  <c r="CK31" i="92"/>
  <c r="CJ31" i="92"/>
  <c r="CI31" i="92"/>
  <c r="CP30" i="92"/>
  <c r="CO30" i="92"/>
  <c r="CN30" i="92"/>
  <c r="CM30" i="92"/>
  <c r="CL30" i="92"/>
  <c r="CK30" i="92"/>
  <c r="CJ30" i="92"/>
  <c r="CI30" i="92"/>
  <c r="CP29" i="92"/>
  <c r="CO29" i="92"/>
  <c r="CN29" i="92"/>
  <c r="CM29" i="92"/>
  <c r="CL29" i="92"/>
  <c r="CK29" i="92"/>
  <c r="CJ29" i="92"/>
  <c r="CI29" i="92"/>
  <c r="CP28" i="92"/>
  <c r="CO28" i="92"/>
  <c r="CN28" i="92"/>
  <c r="CM28" i="92"/>
  <c r="CL28" i="92"/>
  <c r="CK28" i="92"/>
  <c r="CJ28" i="92"/>
  <c r="CI28" i="92"/>
  <c r="CP27" i="92"/>
  <c r="CO27" i="92"/>
  <c r="CN27" i="92"/>
  <c r="CM27" i="92"/>
  <c r="CL27" i="92"/>
  <c r="CK27" i="92"/>
  <c r="CJ27" i="92"/>
  <c r="CI27" i="92"/>
  <c r="CP26" i="92"/>
  <c r="CO26" i="92"/>
  <c r="CN26" i="92"/>
  <c r="CM26" i="92"/>
  <c r="CL26" i="92"/>
  <c r="CK26" i="92"/>
  <c r="CJ26" i="92"/>
  <c r="CI26" i="92"/>
  <c r="CP25" i="92"/>
  <c r="CO25" i="92"/>
  <c r="CN25" i="92"/>
  <c r="CM25" i="92"/>
  <c r="CL25" i="92"/>
  <c r="CK25" i="92"/>
  <c r="CJ25" i="92"/>
  <c r="CI25" i="92"/>
  <c r="CP24" i="92"/>
  <c r="CO24" i="92"/>
  <c r="CN24" i="92"/>
  <c r="CM24" i="92"/>
  <c r="CL24" i="92"/>
  <c r="CK24" i="92"/>
  <c r="CJ24" i="92"/>
  <c r="CI24" i="92"/>
  <c r="CP23" i="92"/>
  <c r="CO23" i="92"/>
  <c r="CN23" i="92"/>
  <c r="CM23" i="92"/>
  <c r="CL23" i="92"/>
  <c r="CK23" i="92"/>
  <c r="CJ23" i="92"/>
  <c r="CI23" i="92"/>
  <c r="CP22" i="92"/>
  <c r="CO22" i="92"/>
  <c r="CN22" i="92"/>
  <c r="CM22" i="92"/>
  <c r="CL22" i="92"/>
  <c r="CK22" i="92"/>
  <c r="CJ22" i="92"/>
  <c r="CI22" i="92"/>
  <c r="CP21" i="92"/>
  <c r="CO21" i="92"/>
  <c r="CN21" i="92"/>
  <c r="CM21" i="92"/>
  <c r="CL21" i="92"/>
  <c r="CK21" i="92"/>
  <c r="CJ21" i="92"/>
  <c r="CI21" i="92"/>
  <c r="CP20" i="92"/>
  <c r="CO20" i="92"/>
  <c r="CN20" i="92"/>
  <c r="CM20" i="92"/>
  <c r="CL20" i="92"/>
  <c r="CK20" i="92"/>
  <c r="CJ20" i="92"/>
  <c r="CI20" i="92"/>
  <c r="CP19" i="92"/>
  <c r="CO19" i="92"/>
  <c r="CN19" i="92"/>
  <c r="CM19" i="92"/>
  <c r="CL19" i="92"/>
  <c r="CK19" i="92"/>
  <c r="CJ19" i="92"/>
  <c r="CI19" i="92"/>
  <c r="CP18" i="92"/>
  <c r="CO18" i="92"/>
  <c r="CN18" i="92"/>
  <c r="CM18" i="92"/>
  <c r="CL18" i="92"/>
  <c r="CK18" i="92"/>
  <c r="CJ18" i="92"/>
  <c r="CI18" i="92"/>
  <c r="CP17" i="92"/>
  <c r="CO17" i="92"/>
  <c r="CN17" i="92"/>
  <c r="CM17" i="92"/>
  <c r="CL17" i="92"/>
  <c r="CK17" i="92"/>
  <c r="CJ17" i="92"/>
  <c r="CI17" i="92"/>
  <c r="CP16" i="92"/>
  <c r="CO16" i="92"/>
  <c r="CN16" i="92"/>
  <c r="CM16" i="92"/>
  <c r="CL16" i="92"/>
  <c r="CK16" i="92"/>
  <c r="CJ16" i="92"/>
  <c r="CI16" i="92"/>
  <c r="CP15" i="92"/>
  <c r="CO15" i="92"/>
  <c r="CN15" i="92"/>
  <c r="CM15" i="92"/>
  <c r="CL15" i="92"/>
  <c r="CK15" i="92"/>
  <c r="CJ15" i="92"/>
  <c r="CI15" i="92"/>
  <c r="CP14" i="92"/>
  <c r="CO14" i="92"/>
  <c r="CN14" i="92"/>
  <c r="CM14" i="92"/>
  <c r="CL14" i="92"/>
  <c r="CK14" i="92"/>
  <c r="CJ14" i="92"/>
  <c r="CI14" i="92"/>
  <c r="CP13" i="92"/>
  <c r="CO13" i="92"/>
  <c r="CN13" i="92"/>
  <c r="CM13" i="92"/>
  <c r="CL13" i="92"/>
  <c r="CK13" i="92"/>
  <c r="CJ13" i="92"/>
  <c r="CI13" i="92"/>
  <c r="CP12" i="92"/>
  <c r="CO12" i="92"/>
  <c r="CN12" i="92"/>
  <c r="CM12" i="92"/>
  <c r="CL12" i="92"/>
  <c r="CK12" i="92"/>
  <c r="CJ12" i="92"/>
  <c r="CI12" i="92"/>
  <c r="CP11" i="92"/>
  <c r="CO11" i="92"/>
  <c r="CN11" i="92"/>
  <c r="CM11" i="92"/>
  <c r="CL11" i="92"/>
  <c r="CK11" i="92"/>
  <c r="CJ11" i="92"/>
  <c r="CI11" i="92"/>
  <c r="CP10" i="92"/>
  <c r="CO10" i="92"/>
  <c r="CN10" i="92"/>
  <c r="CM10" i="92"/>
  <c r="CL10" i="92"/>
  <c r="CK10" i="92"/>
  <c r="CJ10" i="92"/>
  <c r="CI10" i="92"/>
  <c r="CP9" i="92"/>
  <c r="CO9" i="92"/>
  <c r="CN9" i="92"/>
  <c r="CM9" i="92"/>
  <c r="CL9" i="92"/>
  <c r="CK9" i="92"/>
  <c r="CJ9" i="92"/>
  <c r="CI9" i="92"/>
  <c r="CP8" i="92"/>
  <c r="CO8" i="92"/>
  <c r="CN8" i="92"/>
  <c r="CM8" i="92"/>
  <c r="CL8" i="92"/>
  <c r="CK8" i="92"/>
  <c r="CJ8" i="92"/>
  <c r="CI8" i="92"/>
  <c r="CP7" i="92"/>
  <c r="CO7" i="92"/>
  <c r="CN7" i="92"/>
  <c r="CM7" i="92"/>
  <c r="CL7" i="92"/>
  <c r="CK7" i="92"/>
  <c r="CJ7" i="92"/>
  <c r="CI7" i="92"/>
  <c r="CP6" i="92"/>
  <c r="CO6" i="92"/>
  <c r="CN6" i="92"/>
  <c r="CM6" i="92"/>
  <c r="CL6" i="92"/>
  <c r="CK6" i="92"/>
  <c r="CJ6" i="92"/>
  <c r="CI6" i="92"/>
  <c r="CP5" i="92"/>
  <c r="CO5" i="92"/>
  <c r="CN5" i="92"/>
  <c r="CM5" i="92"/>
  <c r="CL5" i="92"/>
  <c r="CK5" i="92"/>
  <c r="CJ5" i="92"/>
  <c r="CI5" i="92"/>
  <c r="CP4" i="92"/>
  <c r="CO4" i="92"/>
  <c r="CN4" i="92"/>
  <c r="CM4" i="92"/>
  <c r="CL4" i="92"/>
  <c r="CK4" i="92"/>
  <c r="CJ4" i="92"/>
  <c r="CI4" i="92"/>
  <c r="CP3" i="92"/>
  <c r="CO3" i="92"/>
  <c r="CN3" i="92"/>
  <c r="CM3" i="92"/>
  <c r="CL3" i="92"/>
  <c r="CK3" i="92"/>
  <c r="CJ3" i="92"/>
  <c r="CI3" i="92"/>
  <c r="CP2" i="92"/>
  <c r="CO2" i="92"/>
  <c r="CN2" i="92"/>
  <c r="CM2" i="92"/>
  <c r="CL2" i="92"/>
  <c r="CK2" i="92"/>
  <c r="CJ2" i="92"/>
  <c r="CI2" i="92"/>
  <c r="CP168" i="91"/>
  <c r="CO168" i="91"/>
  <c r="CN168" i="91"/>
  <c r="CM168" i="91"/>
  <c r="CL168" i="91"/>
  <c r="CK168" i="91"/>
  <c r="CJ168" i="91"/>
  <c r="CI168" i="91"/>
  <c r="CP167" i="91"/>
  <c r="CO167" i="91"/>
  <c r="CN167" i="91"/>
  <c r="CM167" i="91"/>
  <c r="CL167" i="91"/>
  <c r="CK167" i="91"/>
  <c r="CJ167" i="91"/>
  <c r="CI167" i="91"/>
  <c r="CP166" i="91"/>
  <c r="CO166" i="91"/>
  <c r="CN166" i="91"/>
  <c r="CM166" i="91"/>
  <c r="CL166" i="91"/>
  <c r="CK166" i="91"/>
  <c r="CJ166" i="91"/>
  <c r="CI166" i="91"/>
  <c r="CP165" i="91"/>
  <c r="CO165" i="91"/>
  <c r="CN165" i="91"/>
  <c r="CM165" i="91"/>
  <c r="CL165" i="91"/>
  <c r="CK165" i="91"/>
  <c r="CJ165" i="91"/>
  <c r="CI165" i="91"/>
  <c r="CP164" i="91"/>
  <c r="CO164" i="91"/>
  <c r="CN164" i="91"/>
  <c r="CM164" i="91"/>
  <c r="CL164" i="91"/>
  <c r="CK164" i="91"/>
  <c r="CJ164" i="91"/>
  <c r="CI164" i="91"/>
  <c r="CP163" i="91"/>
  <c r="CO163" i="91"/>
  <c r="CN163" i="91"/>
  <c r="CM163" i="91"/>
  <c r="CL163" i="91"/>
  <c r="CK163" i="91"/>
  <c r="CJ163" i="91"/>
  <c r="CI163" i="91"/>
  <c r="CP162" i="91"/>
  <c r="CO162" i="91"/>
  <c r="CN162" i="91"/>
  <c r="CM162" i="91"/>
  <c r="CL162" i="91"/>
  <c r="CK162" i="91"/>
  <c r="CJ162" i="91"/>
  <c r="CI162" i="91"/>
  <c r="CP161" i="91"/>
  <c r="CO161" i="91"/>
  <c r="CN161" i="91"/>
  <c r="CM161" i="91"/>
  <c r="CL161" i="91"/>
  <c r="CK161" i="91"/>
  <c r="CJ161" i="91"/>
  <c r="CI161" i="91"/>
  <c r="CP160" i="91"/>
  <c r="CO160" i="91"/>
  <c r="CN160" i="91"/>
  <c r="CM160" i="91"/>
  <c r="CL160" i="91"/>
  <c r="CK160" i="91"/>
  <c r="CJ160" i="91"/>
  <c r="CI160" i="91"/>
  <c r="CP159" i="91"/>
  <c r="CO159" i="91"/>
  <c r="CN159" i="91"/>
  <c r="CM159" i="91"/>
  <c r="CL159" i="91"/>
  <c r="CK159" i="91"/>
  <c r="CJ159" i="91"/>
  <c r="CI159" i="91"/>
  <c r="CP158" i="91"/>
  <c r="CO158" i="91"/>
  <c r="CN158" i="91"/>
  <c r="CM158" i="91"/>
  <c r="CL158" i="91"/>
  <c r="CK158" i="91"/>
  <c r="CJ158" i="91"/>
  <c r="CI158" i="91"/>
  <c r="CP157" i="91"/>
  <c r="CO157" i="91"/>
  <c r="CN157" i="91"/>
  <c r="CM157" i="91"/>
  <c r="CL157" i="91"/>
  <c r="CK157" i="91"/>
  <c r="CJ157" i="91"/>
  <c r="CI157" i="91"/>
  <c r="CP156" i="91"/>
  <c r="CO156" i="91"/>
  <c r="CN156" i="91"/>
  <c r="CM156" i="91"/>
  <c r="CL156" i="91"/>
  <c r="CK156" i="91"/>
  <c r="CJ156" i="91"/>
  <c r="CI156" i="91"/>
  <c r="CP155" i="91"/>
  <c r="CO155" i="91"/>
  <c r="CN155" i="91"/>
  <c r="CM155" i="91"/>
  <c r="CL155" i="91"/>
  <c r="CK155" i="91"/>
  <c r="CJ155" i="91"/>
  <c r="CI155" i="91"/>
  <c r="CP154" i="91"/>
  <c r="CO154" i="91"/>
  <c r="CN154" i="91"/>
  <c r="CM154" i="91"/>
  <c r="CL154" i="91"/>
  <c r="CK154" i="91"/>
  <c r="CJ154" i="91"/>
  <c r="CI154" i="91"/>
  <c r="CP153" i="91"/>
  <c r="CO153" i="91"/>
  <c r="CN153" i="91"/>
  <c r="CM153" i="91"/>
  <c r="CL153" i="91"/>
  <c r="CK153" i="91"/>
  <c r="CJ153" i="91"/>
  <c r="CI153" i="91"/>
  <c r="CP152" i="91"/>
  <c r="CO152" i="91"/>
  <c r="CN152" i="91"/>
  <c r="CM152" i="91"/>
  <c r="CL152" i="91"/>
  <c r="CK152" i="91"/>
  <c r="CJ152" i="91"/>
  <c r="CI152" i="91"/>
  <c r="CP151" i="91"/>
  <c r="CO151" i="91"/>
  <c r="CN151" i="91"/>
  <c r="CM151" i="91"/>
  <c r="CL151" i="91"/>
  <c r="CK151" i="91"/>
  <c r="CJ151" i="91"/>
  <c r="CI151" i="91"/>
  <c r="CP150" i="91"/>
  <c r="CO150" i="91"/>
  <c r="CN150" i="91"/>
  <c r="CM150" i="91"/>
  <c r="CL150" i="91"/>
  <c r="CK150" i="91"/>
  <c r="CJ150" i="91"/>
  <c r="CI150" i="91"/>
  <c r="CP149" i="91"/>
  <c r="CO149" i="91"/>
  <c r="CN149" i="91"/>
  <c r="CM149" i="91"/>
  <c r="CL149" i="91"/>
  <c r="CK149" i="91"/>
  <c r="CJ149" i="91"/>
  <c r="CI149" i="91"/>
  <c r="CP148" i="91"/>
  <c r="CO148" i="91"/>
  <c r="CN148" i="91"/>
  <c r="CM148" i="91"/>
  <c r="CL148" i="91"/>
  <c r="CK148" i="91"/>
  <c r="CJ148" i="91"/>
  <c r="CI148" i="91"/>
  <c r="CP147" i="91"/>
  <c r="CO147" i="91"/>
  <c r="CN147" i="91"/>
  <c r="CM147" i="91"/>
  <c r="CL147" i="91"/>
  <c r="CK147" i="91"/>
  <c r="CJ147" i="91"/>
  <c r="CI147" i="91"/>
  <c r="CP146" i="91"/>
  <c r="CO146" i="91"/>
  <c r="CN146" i="91"/>
  <c r="CM146" i="91"/>
  <c r="CL146" i="91"/>
  <c r="CK146" i="91"/>
  <c r="CJ146" i="91"/>
  <c r="CI146" i="91"/>
  <c r="CP145" i="91"/>
  <c r="CO145" i="91"/>
  <c r="CN145" i="91"/>
  <c r="CM145" i="91"/>
  <c r="CL145" i="91"/>
  <c r="CK145" i="91"/>
  <c r="CJ145" i="91"/>
  <c r="CI145" i="91"/>
  <c r="CP144" i="91"/>
  <c r="CO144" i="91"/>
  <c r="CN144" i="91"/>
  <c r="CM144" i="91"/>
  <c r="CL144" i="91"/>
  <c r="CK144" i="91"/>
  <c r="CJ144" i="91"/>
  <c r="CI144" i="91"/>
  <c r="CP143" i="91"/>
  <c r="CO143" i="91"/>
  <c r="CN143" i="91"/>
  <c r="CM143" i="91"/>
  <c r="CL143" i="91"/>
  <c r="CK143" i="91"/>
  <c r="CJ143" i="91"/>
  <c r="CI143" i="91"/>
  <c r="CP142" i="91"/>
  <c r="CO142" i="91"/>
  <c r="CN142" i="91"/>
  <c r="CM142" i="91"/>
  <c r="CL142" i="91"/>
  <c r="CK142" i="91"/>
  <c r="CJ142" i="91"/>
  <c r="CI142" i="91"/>
  <c r="CP141" i="91"/>
  <c r="CO141" i="91"/>
  <c r="CN141" i="91"/>
  <c r="CM141" i="91"/>
  <c r="CL141" i="91"/>
  <c r="CK141" i="91"/>
  <c r="CJ141" i="91"/>
  <c r="CI141" i="91"/>
  <c r="CP140" i="91"/>
  <c r="CO140" i="91"/>
  <c r="CN140" i="91"/>
  <c r="CM140" i="91"/>
  <c r="CL140" i="91"/>
  <c r="CK140" i="91"/>
  <c r="CJ140" i="91"/>
  <c r="CI140" i="91"/>
  <c r="CP139" i="91"/>
  <c r="CO139" i="91"/>
  <c r="CN139" i="91"/>
  <c r="CM139" i="91"/>
  <c r="CL139" i="91"/>
  <c r="CK139" i="91"/>
  <c r="CJ139" i="91"/>
  <c r="CI139" i="91"/>
  <c r="CP138" i="91"/>
  <c r="CO138" i="91"/>
  <c r="CN138" i="91"/>
  <c r="CM138" i="91"/>
  <c r="CL138" i="91"/>
  <c r="CK138" i="91"/>
  <c r="CJ138" i="91"/>
  <c r="CI138" i="91"/>
  <c r="CP137" i="91"/>
  <c r="CO137" i="91"/>
  <c r="CN137" i="91"/>
  <c r="CM137" i="91"/>
  <c r="CL137" i="91"/>
  <c r="CK137" i="91"/>
  <c r="CJ137" i="91"/>
  <c r="CI137" i="91"/>
  <c r="CP136" i="91"/>
  <c r="CO136" i="91"/>
  <c r="CN136" i="91"/>
  <c r="CM136" i="91"/>
  <c r="CL136" i="91"/>
  <c r="CK136" i="91"/>
  <c r="CJ136" i="91"/>
  <c r="CI136" i="91"/>
  <c r="CP135" i="91"/>
  <c r="CO135" i="91"/>
  <c r="CN135" i="91"/>
  <c r="CM135" i="91"/>
  <c r="CL135" i="91"/>
  <c r="CK135" i="91"/>
  <c r="CJ135" i="91"/>
  <c r="CI135" i="91"/>
  <c r="CP134" i="91"/>
  <c r="CO134" i="91"/>
  <c r="CN134" i="91"/>
  <c r="CM134" i="91"/>
  <c r="CL134" i="91"/>
  <c r="CK134" i="91"/>
  <c r="CJ134" i="91"/>
  <c r="CI134" i="91"/>
  <c r="CP133" i="91"/>
  <c r="CO133" i="91"/>
  <c r="CN133" i="91"/>
  <c r="CM133" i="91"/>
  <c r="CL133" i="91"/>
  <c r="CK133" i="91"/>
  <c r="CJ133" i="91"/>
  <c r="CI133" i="91"/>
  <c r="CP132" i="91"/>
  <c r="CO132" i="91"/>
  <c r="CN132" i="91"/>
  <c r="CM132" i="91"/>
  <c r="CL132" i="91"/>
  <c r="CK132" i="91"/>
  <c r="CJ132" i="91"/>
  <c r="CI132" i="91"/>
  <c r="CP131" i="91"/>
  <c r="CO131" i="91"/>
  <c r="CN131" i="91"/>
  <c r="CM131" i="91"/>
  <c r="CL131" i="91"/>
  <c r="CK131" i="91"/>
  <c r="CJ131" i="91"/>
  <c r="CI131" i="91"/>
  <c r="CP130" i="91"/>
  <c r="CO130" i="91"/>
  <c r="CN130" i="91"/>
  <c r="CM130" i="91"/>
  <c r="CL130" i="91"/>
  <c r="CK130" i="91"/>
  <c r="CJ130" i="91"/>
  <c r="CI130" i="91"/>
  <c r="CP129" i="91"/>
  <c r="CO129" i="91"/>
  <c r="CN129" i="91"/>
  <c r="CM129" i="91"/>
  <c r="CL129" i="91"/>
  <c r="CK129" i="91"/>
  <c r="CJ129" i="91"/>
  <c r="CI129" i="91"/>
  <c r="CP128" i="91"/>
  <c r="CO128" i="91"/>
  <c r="CN128" i="91"/>
  <c r="CM128" i="91"/>
  <c r="CL128" i="91"/>
  <c r="CK128" i="91"/>
  <c r="CJ128" i="91"/>
  <c r="CI128" i="91"/>
  <c r="CP127" i="91"/>
  <c r="CO127" i="91"/>
  <c r="CN127" i="91"/>
  <c r="CM127" i="91"/>
  <c r="CL127" i="91"/>
  <c r="CK127" i="91"/>
  <c r="CJ127" i="91"/>
  <c r="CI127" i="91"/>
  <c r="CP126" i="91"/>
  <c r="CO126" i="91"/>
  <c r="CN126" i="91"/>
  <c r="CM126" i="91"/>
  <c r="CL126" i="91"/>
  <c r="CK126" i="91"/>
  <c r="CJ126" i="91"/>
  <c r="CI126" i="91"/>
  <c r="CP125" i="91"/>
  <c r="CO125" i="91"/>
  <c r="CN125" i="91"/>
  <c r="CM125" i="91"/>
  <c r="CL125" i="91"/>
  <c r="CK125" i="91"/>
  <c r="CJ125" i="91"/>
  <c r="CI125" i="91"/>
  <c r="CP124" i="91"/>
  <c r="CO124" i="91"/>
  <c r="CN124" i="91"/>
  <c r="CM124" i="91"/>
  <c r="CL124" i="91"/>
  <c r="CK124" i="91"/>
  <c r="CJ124" i="91"/>
  <c r="CI124" i="91"/>
  <c r="CP123" i="91"/>
  <c r="CO123" i="91"/>
  <c r="CN123" i="91"/>
  <c r="CM123" i="91"/>
  <c r="CL123" i="91"/>
  <c r="CK123" i="91"/>
  <c r="CJ123" i="91"/>
  <c r="CI123" i="91"/>
  <c r="CP122" i="91"/>
  <c r="CO122" i="91"/>
  <c r="CN122" i="91"/>
  <c r="CM122" i="91"/>
  <c r="CL122" i="91"/>
  <c r="CK122" i="91"/>
  <c r="CJ122" i="91"/>
  <c r="CI122" i="91"/>
  <c r="CP121" i="91"/>
  <c r="CO121" i="91"/>
  <c r="CN121" i="91"/>
  <c r="CM121" i="91"/>
  <c r="CL121" i="91"/>
  <c r="CK121" i="91"/>
  <c r="CJ121" i="91"/>
  <c r="CI121" i="91"/>
  <c r="CP120" i="91"/>
  <c r="CO120" i="91"/>
  <c r="CN120" i="91"/>
  <c r="CM120" i="91"/>
  <c r="CL120" i="91"/>
  <c r="CK120" i="91"/>
  <c r="CJ120" i="91"/>
  <c r="CI120" i="91"/>
  <c r="CP119" i="91"/>
  <c r="CO119" i="91"/>
  <c r="CN119" i="91"/>
  <c r="CM119" i="91"/>
  <c r="CL119" i="91"/>
  <c r="CK119" i="91"/>
  <c r="CJ119" i="91"/>
  <c r="CI119" i="91"/>
  <c r="CP118" i="91"/>
  <c r="CO118" i="91"/>
  <c r="CN118" i="91"/>
  <c r="CM118" i="91"/>
  <c r="CL118" i="91"/>
  <c r="CK118" i="91"/>
  <c r="CJ118" i="91"/>
  <c r="CI118" i="91"/>
  <c r="CP117" i="91"/>
  <c r="CO117" i="91"/>
  <c r="CN117" i="91"/>
  <c r="CM117" i="91"/>
  <c r="CL117" i="91"/>
  <c r="CK117" i="91"/>
  <c r="CJ117" i="91"/>
  <c r="CI117" i="91"/>
  <c r="CP116" i="91"/>
  <c r="CO116" i="91"/>
  <c r="CN116" i="91"/>
  <c r="CM116" i="91"/>
  <c r="CL116" i="91"/>
  <c r="CK116" i="91"/>
  <c r="CJ116" i="91"/>
  <c r="CI116" i="91"/>
  <c r="CP115" i="91"/>
  <c r="CO115" i="91"/>
  <c r="CN115" i="91"/>
  <c r="CM115" i="91"/>
  <c r="CL115" i="91"/>
  <c r="CK115" i="91"/>
  <c r="CJ115" i="91"/>
  <c r="CI115" i="91"/>
  <c r="CP114" i="91"/>
  <c r="CO114" i="91"/>
  <c r="CN114" i="91"/>
  <c r="CM114" i="91"/>
  <c r="CL114" i="91"/>
  <c r="CK114" i="91"/>
  <c r="CJ114" i="91"/>
  <c r="CI114" i="91"/>
  <c r="CP113" i="91"/>
  <c r="CO113" i="91"/>
  <c r="CN113" i="91"/>
  <c r="CM113" i="91"/>
  <c r="CL113" i="91"/>
  <c r="CK113" i="91"/>
  <c r="CJ113" i="91"/>
  <c r="CI113" i="91"/>
  <c r="CP112" i="91"/>
  <c r="CO112" i="91"/>
  <c r="CN112" i="91"/>
  <c r="CM112" i="91"/>
  <c r="CL112" i="91"/>
  <c r="CK112" i="91"/>
  <c r="CJ112" i="91"/>
  <c r="CI112" i="91"/>
  <c r="CP111" i="91"/>
  <c r="CO111" i="91"/>
  <c r="CN111" i="91"/>
  <c r="CM111" i="91"/>
  <c r="CL111" i="91"/>
  <c r="CK111" i="91"/>
  <c r="CJ111" i="91"/>
  <c r="CI111" i="91"/>
  <c r="CP110" i="91"/>
  <c r="CO110" i="91"/>
  <c r="CN110" i="91"/>
  <c r="CM110" i="91"/>
  <c r="CL110" i="91"/>
  <c r="CK110" i="91"/>
  <c r="CJ110" i="91"/>
  <c r="CI110" i="91"/>
  <c r="CP109" i="91"/>
  <c r="CO109" i="91"/>
  <c r="CN109" i="91"/>
  <c r="CM109" i="91"/>
  <c r="CL109" i="91"/>
  <c r="CK109" i="91"/>
  <c r="CJ109" i="91"/>
  <c r="CI109" i="91"/>
  <c r="CP108" i="91"/>
  <c r="CO108" i="91"/>
  <c r="CN108" i="91"/>
  <c r="CM108" i="91"/>
  <c r="CL108" i="91"/>
  <c r="CK108" i="91"/>
  <c r="CJ108" i="91"/>
  <c r="CI108" i="91"/>
  <c r="CP107" i="91"/>
  <c r="CO107" i="91"/>
  <c r="CN107" i="91"/>
  <c r="CM107" i="91"/>
  <c r="CL107" i="91"/>
  <c r="CK107" i="91"/>
  <c r="CJ107" i="91"/>
  <c r="CI107" i="91"/>
  <c r="CP106" i="91"/>
  <c r="CO106" i="91"/>
  <c r="CN106" i="91"/>
  <c r="CM106" i="91"/>
  <c r="CL106" i="91"/>
  <c r="CK106" i="91"/>
  <c r="CJ106" i="91"/>
  <c r="CI106" i="91"/>
  <c r="CP105" i="91"/>
  <c r="CO105" i="91"/>
  <c r="CN105" i="91"/>
  <c r="CM105" i="91"/>
  <c r="CL105" i="91"/>
  <c r="CK105" i="91"/>
  <c r="CJ105" i="91"/>
  <c r="CI105" i="91"/>
  <c r="CP104" i="91"/>
  <c r="CO104" i="91"/>
  <c r="CN104" i="91"/>
  <c r="CM104" i="91"/>
  <c r="CL104" i="91"/>
  <c r="CK104" i="91"/>
  <c r="CJ104" i="91"/>
  <c r="CI104" i="91"/>
  <c r="CP103" i="91"/>
  <c r="CO103" i="91"/>
  <c r="CN103" i="91"/>
  <c r="CM103" i="91"/>
  <c r="CL103" i="91"/>
  <c r="CK103" i="91"/>
  <c r="CJ103" i="91"/>
  <c r="CI103" i="91"/>
  <c r="CP102" i="91"/>
  <c r="CO102" i="91"/>
  <c r="CN102" i="91"/>
  <c r="CM102" i="91"/>
  <c r="CL102" i="91"/>
  <c r="CK102" i="91"/>
  <c r="CJ102" i="91"/>
  <c r="CI102" i="91"/>
  <c r="CP101" i="91"/>
  <c r="CO101" i="91"/>
  <c r="CN101" i="91"/>
  <c r="CM101" i="91"/>
  <c r="CL101" i="91"/>
  <c r="CK101" i="91"/>
  <c r="CJ101" i="91"/>
  <c r="CI101" i="91"/>
  <c r="CP100" i="91"/>
  <c r="CO100" i="91"/>
  <c r="CN100" i="91"/>
  <c r="CM100" i="91"/>
  <c r="CL100" i="91"/>
  <c r="CK100" i="91"/>
  <c r="CJ100" i="91"/>
  <c r="CI100" i="91"/>
  <c r="CP99" i="91"/>
  <c r="CO99" i="91"/>
  <c r="CN99" i="91"/>
  <c r="CM99" i="91"/>
  <c r="CL99" i="91"/>
  <c r="CK99" i="91"/>
  <c r="CJ99" i="91"/>
  <c r="CI99" i="91"/>
  <c r="CP98" i="91"/>
  <c r="CO98" i="91"/>
  <c r="CN98" i="91"/>
  <c r="CM98" i="91"/>
  <c r="CL98" i="91"/>
  <c r="CK98" i="91"/>
  <c r="CJ98" i="91"/>
  <c r="CI98" i="91"/>
  <c r="CP97" i="91"/>
  <c r="CO97" i="91"/>
  <c r="CN97" i="91"/>
  <c r="CM97" i="91"/>
  <c r="CL97" i="91"/>
  <c r="CK97" i="91"/>
  <c r="CJ97" i="91"/>
  <c r="CI97" i="91"/>
  <c r="CP96" i="91"/>
  <c r="CO96" i="91"/>
  <c r="CN96" i="91"/>
  <c r="CM96" i="91"/>
  <c r="CL96" i="91"/>
  <c r="CK96" i="91"/>
  <c r="CJ96" i="91"/>
  <c r="CI96" i="91"/>
  <c r="CP95" i="91"/>
  <c r="CO95" i="91"/>
  <c r="CN95" i="91"/>
  <c r="CM95" i="91"/>
  <c r="CL95" i="91"/>
  <c r="CK95" i="91"/>
  <c r="CJ95" i="91"/>
  <c r="CI95" i="91"/>
  <c r="CP94" i="91"/>
  <c r="CO94" i="91"/>
  <c r="CN94" i="91"/>
  <c r="CM94" i="91"/>
  <c r="CL94" i="91"/>
  <c r="CK94" i="91"/>
  <c r="CJ94" i="91"/>
  <c r="CI94" i="91"/>
  <c r="CP93" i="91"/>
  <c r="CO93" i="91"/>
  <c r="CN93" i="91"/>
  <c r="CM93" i="91"/>
  <c r="CL93" i="91"/>
  <c r="CK93" i="91"/>
  <c r="CJ93" i="91"/>
  <c r="CI93" i="91"/>
  <c r="CP92" i="91"/>
  <c r="CO92" i="91"/>
  <c r="CN92" i="91"/>
  <c r="CM92" i="91"/>
  <c r="CL92" i="91"/>
  <c r="CK92" i="91"/>
  <c r="CJ92" i="91"/>
  <c r="CI92" i="91"/>
  <c r="CP91" i="91"/>
  <c r="CO91" i="91"/>
  <c r="CN91" i="91"/>
  <c r="CM91" i="91"/>
  <c r="CL91" i="91"/>
  <c r="CK91" i="91"/>
  <c r="CJ91" i="91"/>
  <c r="CI91" i="91"/>
  <c r="CP90" i="91"/>
  <c r="CO90" i="91"/>
  <c r="CN90" i="91"/>
  <c r="CM90" i="91"/>
  <c r="CL90" i="91"/>
  <c r="CK90" i="91"/>
  <c r="CJ90" i="91"/>
  <c r="CI90" i="91"/>
  <c r="CP89" i="91"/>
  <c r="CO89" i="91"/>
  <c r="CN89" i="91"/>
  <c r="CM89" i="91"/>
  <c r="CL89" i="91"/>
  <c r="CK89" i="91"/>
  <c r="CJ89" i="91"/>
  <c r="CI89" i="91"/>
  <c r="CP88" i="91"/>
  <c r="CO88" i="91"/>
  <c r="CN88" i="91"/>
  <c r="CM88" i="91"/>
  <c r="CL88" i="91"/>
  <c r="CK88" i="91"/>
  <c r="CJ88" i="91"/>
  <c r="CI88" i="91"/>
  <c r="CP87" i="91"/>
  <c r="CO87" i="91"/>
  <c r="CN87" i="91"/>
  <c r="CM87" i="91"/>
  <c r="CL87" i="91"/>
  <c r="CK87" i="91"/>
  <c r="CJ87" i="91"/>
  <c r="CI87" i="91"/>
  <c r="CP86" i="91"/>
  <c r="CO86" i="91"/>
  <c r="CN86" i="91"/>
  <c r="CM86" i="91"/>
  <c r="CL86" i="91"/>
  <c r="CK86" i="91"/>
  <c r="CJ86" i="91"/>
  <c r="CI86" i="91"/>
  <c r="CP85" i="91"/>
  <c r="CO85" i="91"/>
  <c r="CN85" i="91"/>
  <c r="CM85" i="91"/>
  <c r="CL85" i="91"/>
  <c r="CK85" i="91"/>
  <c r="CJ85" i="91"/>
  <c r="CI85" i="91"/>
  <c r="CP84" i="91"/>
  <c r="CO84" i="91"/>
  <c r="CN84" i="91"/>
  <c r="CM84" i="91"/>
  <c r="CL84" i="91"/>
  <c r="CK84" i="91"/>
  <c r="CJ84" i="91"/>
  <c r="CI84" i="91"/>
  <c r="CP83" i="91"/>
  <c r="CO83" i="91"/>
  <c r="CN83" i="91"/>
  <c r="CM83" i="91"/>
  <c r="CL83" i="91"/>
  <c r="CK83" i="91"/>
  <c r="CJ83" i="91"/>
  <c r="CI83" i="91"/>
  <c r="CP82" i="91"/>
  <c r="CO82" i="91"/>
  <c r="CN82" i="91"/>
  <c r="CM82" i="91"/>
  <c r="CL82" i="91"/>
  <c r="CK82" i="91"/>
  <c r="CJ82" i="91"/>
  <c r="CI82" i="91"/>
  <c r="CP81" i="91"/>
  <c r="CO81" i="91"/>
  <c r="CN81" i="91"/>
  <c r="CM81" i="91"/>
  <c r="CL81" i="91"/>
  <c r="CK81" i="91"/>
  <c r="CJ81" i="91"/>
  <c r="CI81" i="91"/>
  <c r="CP80" i="91"/>
  <c r="CO80" i="91"/>
  <c r="CN80" i="91"/>
  <c r="CM80" i="91"/>
  <c r="CL80" i="91"/>
  <c r="CK80" i="91"/>
  <c r="CJ80" i="91"/>
  <c r="CI80" i="91"/>
  <c r="CP79" i="91"/>
  <c r="CO79" i="91"/>
  <c r="CN79" i="91"/>
  <c r="CM79" i="91"/>
  <c r="CL79" i="91"/>
  <c r="CK79" i="91"/>
  <c r="CJ79" i="91"/>
  <c r="CI79" i="91"/>
  <c r="CP78" i="91"/>
  <c r="CO78" i="91"/>
  <c r="CN78" i="91"/>
  <c r="CM78" i="91"/>
  <c r="CL78" i="91"/>
  <c r="CK78" i="91"/>
  <c r="CJ78" i="91"/>
  <c r="CI78" i="91"/>
  <c r="CP77" i="91"/>
  <c r="CO77" i="91"/>
  <c r="CN77" i="91"/>
  <c r="CM77" i="91"/>
  <c r="CL77" i="91"/>
  <c r="CK77" i="91"/>
  <c r="CJ77" i="91"/>
  <c r="CI77" i="91"/>
  <c r="CP76" i="91"/>
  <c r="CO76" i="91"/>
  <c r="CN76" i="91"/>
  <c r="CM76" i="91"/>
  <c r="CL76" i="91"/>
  <c r="CK76" i="91"/>
  <c r="CJ76" i="91"/>
  <c r="CI76" i="91"/>
  <c r="CP75" i="91"/>
  <c r="CO75" i="91"/>
  <c r="CN75" i="91"/>
  <c r="CM75" i="91"/>
  <c r="CL75" i="91"/>
  <c r="CK75" i="91"/>
  <c r="CJ75" i="91"/>
  <c r="CI75" i="91"/>
  <c r="CP74" i="91"/>
  <c r="CO74" i="91"/>
  <c r="CN74" i="91"/>
  <c r="CM74" i="91"/>
  <c r="CL74" i="91"/>
  <c r="CK74" i="91"/>
  <c r="CJ74" i="91"/>
  <c r="CI74" i="91"/>
  <c r="CP73" i="91"/>
  <c r="CO73" i="91"/>
  <c r="CN73" i="91"/>
  <c r="CM73" i="91"/>
  <c r="CL73" i="91"/>
  <c r="CK73" i="91"/>
  <c r="CJ73" i="91"/>
  <c r="CI73" i="91"/>
  <c r="CP72" i="91"/>
  <c r="CO72" i="91"/>
  <c r="CN72" i="91"/>
  <c r="CM72" i="91"/>
  <c r="CL72" i="91"/>
  <c r="CK72" i="91"/>
  <c r="CJ72" i="91"/>
  <c r="CI72" i="91"/>
  <c r="CP71" i="91"/>
  <c r="CO71" i="91"/>
  <c r="CN71" i="91"/>
  <c r="CM71" i="91"/>
  <c r="CL71" i="91"/>
  <c r="CK71" i="91"/>
  <c r="CJ71" i="91"/>
  <c r="CI71" i="91"/>
  <c r="CP70" i="91"/>
  <c r="CO70" i="91"/>
  <c r="CN70" i="91"/>
  <c r="CM70" i="91"/>
  <c r="CL70" i="91"/>
  <c r="CK70" i="91"/>
  <c r="CJ70" i="91"/>
  <c r="CI70" i="91"/>
  <c r="CP69" i="91"/>
  <c r="CO69" i="91"/>
  <c r="CN69" i="91"/>
  <c r="CM69" i="91"/>
  <c r="CL69" i="91"/>
  <c r="CK69" i="91"/>
  <c r="CJ69" i="91"/>
  <c r="CI69" i="91"/>
  <c r="CP68" i="91"/>
  <c r="CO68" i="91"/>
  <c r="CN68" i="91"/>
  <c r="CM68" i="91"/>
  <c r="CL68" i="91"/>
  <c r="CK68" i="91"/>
  <c r="CJ68" i="91"/>
  <c r="CI68" i="91"/>
  <c r="CP67" i="91"/>
  <c r="CO67" i="91"/>
  <c r="CN67" i="91"/>
  <c r="CM67" i="91"/>
  <c r="CL67" i="91"/>
  <c r="CK67" i="91"/>
  <c r="CJ67" i="91"/>
  <c r="CI67" i="91"/>
  <c r="CP66" i="91"/>
  <c r="CO66" i="91"/>
  <c r="CN66" i="91"/>
  <c r="CM66" i="91"/>
  <c r="CL66" i="91"/>
  <c r="CK66" i="91"/>
  <c r="CJ66" i="91"/>
  <c r="CI66" i="91"/>
  <c r="CP65" i="91"/>
  <c r="CO65" i="91"/>
  <c r="CN65" i="91"/>
  <c r="CM65" i="91"/>
  <c r="CL65" i="91"/>
  <c r="CK65" i="91"/>
  <c r="CJ65" i="91"/>
  <c r="CI65" i="91"/>
  <c r="CP64" i="91"/>
  <c r="CO64" i="91"/>
  <c r="CN64" i="91"/>
  <c r="CM64" i="91"/>
  <c r="CL64" i="91"/>
  <c r="CK64" i="91"/>
  <c r="CJ64" i="91"/>
  <c r="CI64" i="91"/>
  <c r="CP63" i="91"/>
  <c r="CO63" i="91"/>
  <c r="CN63" i="91"/>
  <c r="CM63" i="91"/>
  <c r="CL63" i="91"/>
  <c r="CK63" i="91"/>
  <c r="CJ63" i="91"/>
  <c r="CI63" i="91"/>
  <c r="CP62" i="91"/>
  <c r="CO62" i="91"/>
  <c r="CN62" i="91"/>
  <c r="CM62" i="91"/>
  <c r="CL62" i="91"/>
  <c r="CK62" i="91"/>
  <c r="CJ62" i="91"/>
  <c r="CI62" i="91"/>
  <c r="CP61" i="91"/>
  <c r="CO61" i="91"/>
  <c r="CN61" i="91"/>
  <c r="CM61" i="91"/>
  <c r="CL61" i="91"/>
  <c r="CK61" i="91"/>
  <c r="CJ61" i="91"/>
  <c r="CI61" i="91"/>
  <c r="CP60" i="91"/>
  <c r="CO60" i="91"/>
  <c r="CN60" i="91"/>
  <c r="CM60" i="91"/>
  <c r="CL60" i="91"/>
  <c r="CK60" i="91"/>
  <c r="CJ60" i="91"/>
  <c r="CI60" i="91"/>
  <c r="CP59" i="91"/>
  <c r="CO59" i="91"/>
  <c r="CN59" i="91"/>
  <c r="CM59" i="91"/>
  <c r="CL59" i="91"/>
  <c r="CK59" i="91"/>
  <c r="CJ59" i="91"/>
  <c r="CI59" i="91"/>
  <c r="CP58" i="91"/>
  <c r="CO58" i="91"/>
  <c r="CN58" i="91"/>
  <c r="CM58" i="91"/>
  <c r="CL58" i="91"/>
  <c r="CK58" i="91"/>
  <c r="CJ58" i="91"/>
  <c r="CI58" i="91"/>
  <c r="CP57" i="91"/>
  <c r="CO57" i="91"/>
  <c r="CN57" i="91"/>
  <c r="CM57" i="91"/>
  <c r="CL57" i="91"/>
  <c r="CK57" i="91"/>
  <c r="CJ57" i="91"/>
  <c r="CI57" i="91"/>
  <c r="CP56" i="91"/>
  <c r="CO56" i="91"/>
  <c r="CN56" i="91"/>
  <c r="CM56" i="91"/>
  <c r="CL56" i="91"/>
  <c r="CK56" i="91"/>
  <c r="CJ56" i="91"/>
  <c r="CI56" i="91"/>
  <c r="CP55" i="91"/>
  <c r="CO55" i="91"/>
  <c r="CN55" i="91"/>
  <c r="CM55" i="91"/>
  <c r="CL55" i="91"/>
  <c r="CK55" i="91"/>
  <c r="CJ55" i="91"/>
  <c r="CI55" i="91"/>
  <c r="CP54" i="91"/>
  <c r="CO54" i="91"/>
  <c r="CN54" i="91"/>
  <c r="CM54" i="91"/>
  <c r="CL54" i="91"/>
  <c r="CK54" i="91"/>
  <c r="CJ54" i="91"/>
  <c r="CI54" i="91"/>
  <c r="CP53" i="91"/>
  <c r="CO53" i="91"/>
  <c r="CN53" i="91"/>
  <c r="CM53" i="91"/>
  <c r="CL53" i="91"/>
  <c r="CK53" i="91"/>
  <c r="CJ53" i="91"/>
  <c r="CI53" i="91"/>
  <c r="CP52" i="91"/>
  <c r="CO52" i="91"/>
  <c r="CN52" i="91"/>
  <c r="CM52" i="91"/>
  <c r="CL52" i="91"/>
  <c r="CK52" i="91"/>
  <c r="CJ52" i="91"/>
  <c r="CI52" i="91"/>
  <c r="CP51" i="91"/>
  <c r="CO51" i="91"/>
  <c r="CN51" i="91"/>
  <c r="CM51" i="91"/>
  <c r="CL51" i="91"/>
  <c r="CK51" i="91"/>
  <c r="CJ51" i="91"/>
  <c r="CI51" i="91"/>
  <c r="CP50" i="91"/>
  <c r="CO50" i="91"/>
  <c r="CN50" i="91"/>
  <c r="CM50" i="91"/>
  <c r="CL50" i="91"/>
  <c r="CK50" i="91"/>
  <c r="CJ50" i="91"/>
  <c r="CI50" i="91"/>
  <c r="CP49" i="91"/>
  <c r="CO49" i="91"/>
  <c r="CN49" i="91"/>
  <c r="CM49" i="91"/>
  <c r="CL49" i="91"/>
  <c r="CK49" i="91"/>
  <c r="CJ49" i="91"/>
  <c r="CI49" i="91"/>
  <c r="CP48" i="91"/>
  <c r="CO48" i="91"/>
  <c r="CN48" i="91"/>
  <c r="CM48" i="91"/>
  <c r="CL48" i="91"/>
  <c r="CK48" i="91"/>
  <c r="CJ48" i="91"/>
  <c r="CI48" i="91"/>
  <c r="CP47" i="91"/>
  <c r="CO47" i="91"/>
  <c r="CN47" i="91"/>
  <c r="CM47" i="91"/>
  <c r="CL47" i="91"/>
  <c r="CK47" i="91"/>
  <c r="CJ47" i="91"/>
  <c r="CI47" i="91"/>
  <c r="CP46" i="91"/>
  <c r="CO46" i="91"/>
  <c r="CN46" i="91"/>
  <c r="CM46" i="91"/>
  <c r="CL46" i="91"/>
  <c r="CK46" i="91"/>
  <c r="CJ46" i="91"/>
  <c r="CI46" i="91"/>
  <c r="CP45" i="91"/>
  <c r="CO45" i="91"/>
  <c r="CN45" i="91"/>
  <c r="CM45" i="91"/>
  <c r="CL45" i="91"/>
  <c r="CK45" i="91"/>
  <c r="CJ45" i="91"/>
  <c r="CI45" i="91"/>
  <c r="CP44" i="91"/>
  <c r="CO44" i="91"/>
  <c r="CN44" i="91"/>
  <c r="CM44" i="91"/>
  <c r="CL44" i="91"/>
  <c r="CK44" i="91"/>
  <c r="CJ44" i="91"/>
  <c r="CI44" i="91"/>
  <c r="CP43" i="91"/>
  <c r="CO43" i="91"/>
  <c r="CN43" i="91"/>
  <c r="CM43" i="91"/>
  <c r="CL43" i="91"/>
  <c r="CK43" i="91"/>
  <c r="CJ43" i="91"/>
  <c r="CI43" i="91"/>
  <c r="CP42" i="91"/>
  <c r="CO42" i="91"/>
  <c r="CN42" i="91"/>
  <c r="CM42" i="91"/>
  <c r="CL42" i="91"/>
  <c r="CK42" i="91"/>
  <c r="CJ42" i="91"/>
  <c r="CI42" i="91"/>
  <c r="CP41" i="91"/>
  <c r="CO41" i="91"/>
  <c r="CN41" i="91"/>
  <c r="CM41" i="91"/>
  <c r="CL41" i="91"/>
  <c r="CK41" i="91"/>
  <c r="CJ41" i="91"/>
  <c r="CI41" i="91"/>
  <c r="CP40" i="91"/>
  <c r="CO40" i="91"/>
  <c r="CN40" i="91"/>
  <c r="CM40" i="91"/>
  <c r="CL40" i="91"/>
  <c r="CK40" i="91"/>
  <c r="CJ40" i="91"/>
  <c r="CI40" i="91"/>
  <c r="CP39" i="91"/>
  <c r="CO39" i="91"/>
  <c r="CN39" i="91"/>
  <c r="CM39" i="91"/>
  <c r="CL39" i="91"/>
  <c r="CK39" i="91"/>
  <c r="CJ39" i="91"/>
  <c r="CI39" i="91"/>
  <c r="CP38" i="91"/>
  <c r="CO38" i="91"/>
  <c r="CN38" i="91"/>
  <c r="CM38" i="91"/>
  <c r="CL38" i="91"/>
  <c r="CK38" i="91"/>
  <c r="CJ38" i="91"/>
  <c r="CI38" i="91"/>
  <c r="CP37" i="91"/>
  <c r="CO37" i="91"/>
  <c r="CN37" i="91"/>
  <c r="CM37" i="91"/>
  <c r="CL37" i="91"/>
  <c r="CK37" i="91"/>
  <c r="CJ37" i="91"/>
  <c r="CI37" i="91"/>
  <c r="CP36" i="91"/>
  <c r="CO36" i="91"/>
  <c r="CN36" i="91"/>
  <c r="CM36" i="91"/>
  <c r="CL36" i="91"/>
  <c r="CK36" i="91"/>
  <c r="CJ36" i="91"/>
  <c r="CI36" i="91"/>
  <c r="CP35" i="91"/>
  <c r="CO35" i="91"/>
  <c r="CN35" i="91"/>
  <c r="CM35" i="91"/>
  <c r="CL35" i="91"/>
  <c r="CK35" i="91"/>
  <c r="CJ35" i="91"/>
  <c r="CI35" i="91"/>
  <c r="CP34" i="91"/>
  <c r="CO34" i="91"/>
  <c r="CN34" i="91"/>
  <c r="CM34" i="91"/>
  <c r="CL34" i="91"/>
  <c r="CK34" i="91"/>
  <c r="CJ34" i="91"/>
  <c r="CI34" i="91"/>
  <c r="CP33" i="91"/>
  <c r="CO33" i="91"/>
  <c r="CN33" i="91"/>
  <c r="CM33" i="91"/>
  <c r="CL33" i="91"/>
  <c r="CK33" i="91"/>
  <c r="CJ33" i="91"/>
  <c r="CI33" i="91"/>
  <c r="CP32" i="91"/>
  <c r="CO32" i="91"/>
  <c r="CN32" i="91"/>
  <c r="CM32" i="91"/>
  <c r="CL32" i="91"/>
  <c r="CK32" i="91"/>
  <c r="CJ32" i="91"/>
  <c r="CI32" i="91"/>
  <c r="CP31" i="91"/>
  <c r="CO31" i="91"/>
  <c r="CN31" i="91"/>
  <c r="CM31" i="91"/>
  <c r="CL31" i="91"/>
  <c r="CK31" i="91"/>
  <c r="CJ31" i="91"/>
  <c r="CI31" i="91"/>
  <c r="CP30" i="91"/>
  <c r="CO30" i="91"/>
  <c r="CN30" i="91"/>
  <c r="CM30" i="91"/>
  <c r="CL30" i="91"/>
  <c r="CK30" i="91"/>
  <c r="CJ30" i="91"/>
  <c r="CI30" i="91"/>
  <c r="CP29" i="91"/>
  <c r="CO29" i="91"/>
  <c r="CN29" i="91"/>
  <c r="CM29" i="91"/>
  <c r="CL29" i="91"/>
  <c r="CK29" i="91"/>
  <c r="CJ29" i="91"/>
  <c r="CI29" i="91"/>
  <c r="CP28" i="91"/>
  <c r="CO28" i="91"/>
  <c r="CN28" i="91"/>
  <c r="CM28" i="91"/>
  <c r="CL28" i="91"/>
  <c r="CK28" i="91"/>
  <c r="CJ28" i="91"/>
  <c r="CI28" i="91"/>
  <c r="CP27" i="91"/>
  <c r="CO27" i="91"/>
  <c r="CN27" i="91"/>
  <c r="CM27" i="91"/>
  <c r="CL27" i="91"/>
  <c r="CK27" i="91"/>
  <c r="CJ27" i="91"/>
  <c r="CI27" i="91"/>
  <c r="CP26" i="91"/>
  <c r="CO26" i="91"/>
  <c r="CN26" i="91"/>
  <c r="CM26" i="91"/>
  <c r="CL26" i="91"/>
  <c r="CK26" i="91"/>
  <c r="CJ26" i="91"/>
  <c r="CI26" i="91"/>
  <c r="CP25" i="91"/>
  <c r="CO25" i="91"/>
  <c r="CN25" i="91"/>
  <c r="CM25" i="91"/>
  <c r="CL25" i="91"/>
  <c r="CK25" i="91"/>
  <c r="CJ25" i="91"/>
  <c r="CI25" i="91"/>
  <c r="CP24" i="91"/>
  <c r="CO24" i="91"/>
  <c r="CN24" i="91"/>
  <c r="CM24" i="91"/>
  <c r="CL24" i="91"/>
  <c r="CK24" i="91"/>
  <c r="CJ24" i="91"/>
  <c r="CI24" i="91"/>
  <c r="CP23" i="91"/>
  <c r="CO23" i="91"/>
  <c r="CN23" i="91"/>
  <c r="CM23" i="91"/>
  <c r="CL23" i="91"/>
  <c r="CK23" i="91"/>
  <c r="CJ23" i="91"/>
  <c r="CI23" i="91"/>
  <c r="CP22" i="91"/>
  <c r="CO22" i="91"/>
  <c r="CN22" i="91"/>
  <c r="CM22" i="91"/>
  <c r="CL22" i="91"/>
  <c r="CK22" i="91"/>
  <c r="CJ22" i="91"/>
  <c r="CI22" i="91"/>
  <c r="CP21" i="91"/>
  <c r="CO21" i="91"/>
  <c r="CN21" i="91"/>
  <c r="CM21" i="91"/>
  <c r="CL21" i="91"/>
  <c r="CK21" i="91"/>
  <c r="CJ21" i="91"/>
  <c r="CI21" i="91"/>
  <c r="CP20" i="91"/>
  <c r="CO20" i="91"/>
  <c r="CN20" i="91"/>
  <c r="CM20" i="91"/>
  <c r="CL20" i="91"/>
  <c r="CK20" i="91"/>
  <c r="CJ20" i="91"/>
  <c r="CI20" i="91"/>
  <c r="CP19" i="91"/>
  <c r="CO19" i="91"/>
  <c r="CN19" i="91"/>
  <c r="CM19" i="91"/>
  <c r="CL19" i="91"/>
  <c r="CK19" i="91"/>
  <c r="CJ19" i="91"/>
  <c r="CI19" i="91"/>
  <c r="CP18" i="91"/>
  <c r="CO18" i="91"/>
  <c r="CN18" i="91"/>
  <c r="CM18" i="91"/>
  <c r="CL18" i="91"/>
  <c r="CK18" i="91"/>
  <c r="CJ18" i="91"/>
  <c r="CI18" i="91"/>
  <c r="CP17" i="91"/>
  <c r="CO17" i="91"/>
  <c r="CN17" i="91"/>
  <c r="CM17" i="91"/>
  <c r="CL17" i="91"/>
  <c r="CK17" i="91"/>
  <c r="CJ17" i="91"/>
  <c r="CI17" i="91"/>
  <c r="CP16" i="91"/>
  <c r="CO16" i="91"/>
  <c r="CN16" i="91"/>
  <c r="CM16" i="91"/>
  <c r="CL16" i="91"/>
  <c r="CK16" i="91"/>
  <c r="CJ16" i="91"/>
  <c r="CI16" i="91"/>
  <c r="CP15" i="91"/>
  <c r="CO15" i="91"/>
  <c r="CN15" i="91"/>
  <c r="CM15" i="91"/>
  <c r="CL15" i="91"/>
  <c r="CK15" i="91"/>
  <c r="CJ15" i="91"/>
  <c r="CI15" i="91"/>
  <c r="CP14" i="91"/>
  <c r="CO14" i="91"/>
  <c r="CN14" i="91"/>
  <c r="CM14" i="91"/>
  <c r="CL14" i="91"/>
  <c r="CK14" i="91"/>
  <c r="CJ14" i="91"/>
  <c r="CI14" i="91"/>
  <c r="CP13" i="91"/>
  <c r="CO13" i="91"/>
  <c r="CN13" i="91"/>
  <c r="CM13" i="91"/>
  <c r="CL13" i="91"/>
  <c r="CK13" i="91"/>
  <c r="CJ13" i="91"/>
  <c r="CI13" i="91"/>
  <c r="CP12" i="91"/>
  <c r="CO12" i="91"/>
  <c r="CN12" i="91"/>
  <c r="CM12" i="91"/>
  <c r="CL12" i="91"/>
  <c r="CK12" i="91"/>
  <c r="CJ12" i="91"/>
  <c r="CI12" i="91"/>
  <c r="CP11" i="91"/>
  <c r="CO11" i="91"/>
  <c r="CN11" i="91"/>
  <c r="CM11" i="91"/>
  <c r="CL11" i="91"/>
  <c r="CK11" i="91"/>
  <c r="CJ11" i="91"/>
  <c r="CI11" i="91"/>
  <c r="CP10" i="91"/>
  <c r="CO10" i="91"/>
  <c r="CN10" i="91"/>
  <c r="CM10" i="91"/>
  <c r="CL10" i="91"/>
  <c r="CK10" i="91"/>
  <c r="CJ10" i="91"/>
  <c r="CI10" i="91"/>
  <c r="CP9" i="91"/>
  <c r="CO9" i="91"/>
  <c r="CN9" i="91"/>
  <c r="CM9" i="91"/>
  <c r="CL9" i="91"/>
  <c r="CK9" i="91"/>
  <c r="CJ9" i="91"/>
  <c r="CI9" i="91"/>
  <c r="CP8" i="91"/>
  <c r="CO8" i="91"/>
  <c r="CN8" i="91"/>
  <c r="CM8" i="91"/>
  <c r="CL8" i="91"/>
  <c r="CK8" i="91"/>
  <c r="CJ8" i="91"/>
  <c r="CI8" i="91"/>
  <c r="CP7" i="91"/>
  <c r="CO7" i="91"/>
  <c r="CN7" i="91"/>
  <c r="CM7" i="91"/>
  <c r="CL7" i="91"/>
  <c r="CK7" i="91"/>
  <c r="CJ7" i="91"/>
  <c r="CI7" i="91"/>
  <c r="CP6" i="91"/>
  <c r="CO6" i="91"/>
  <c r="CN6" i="91"/>
  <c r="CM6" i="91"/>
  <c r="CL6" i="91"/>
  <c r="CK6" i="91"/>
  <c r="CJ6" i="91"/>
  <c r="CI6" i="91"/>
  <c r="CP5" i="91"/>
  <c r="CO5" i="91"/>
  <c r="CN5" i="91"/>
  <c r="CM5" i="91"/>
  <c r="CL5" i="91"/>
  <c r="CK5" i="91"/>
  <c r="CJ5" i="91"/>
  <c r="CI5" i="91"/>
  <c r="CP4" i="91"/>
  <c r="CO4" i="91"/>
  <c r="CN4" i="91"/>
  <c r="CM4" i="91"/>
  <c r="CL4" i="91"/>
  <c r="CK4" i="91"/>
  <c r="CJ4" i="91"/>
  <c r="CI4" i="91"/>
  <c r="CP3" i="91"/>
  <c r="CO3" i="91"/>
  <c r="CN3" i="91"/>
  <c r="CM3" i="91"/>
  <c r="CL3" i="91"/>
  <c r="CK3" i="91"/>
  <c r="CJ3" i="91"/>
  <c r="CI3" i="91"/>
  <c r="CP2" i="91"/>
  <c r="CO2" i="91"/>
  <c r="CN2" i="91"/>
  <c r="CM2" i="91"/>
  <c r="CL2" i="91"/>
  <c r="CK2" i="91"/>
  <c r="CJ2" i="91"/>
  <c r="CI2" i="91"/>
  <c r="CP175" i="79"/>
  <c r="CO175" i="79"/>
  <c r="CN175" i="79"/>
  <c r="CM175" i="79"/>
  <c r="CL175" i="79"/>
  <c r="CK175" i="79"/>
  <c r="CJ175" i="79"/>
  <c r="CI175" i="79"/>
  <c r="CP174" i="79"/>
  <c r="CO174" i="79"/>
  <c r="CN174" i="79"/>
  <c r="CM174" i="79"/>
  <c r="CL174" i="79"/>
  <c r="CK174" i="79"/>
  <c r="CJ174" i="79"/>
  <c r="CI174" i="79"/>
  <c r="CP173" i="79"/>
  <c r="CO173" i="79"/>
  <c r="CN173" i="79"/>
  <c r="CM173" i="79"/>
  <c r="CL173" i="79"/>
  <c r="CK173" i="79"/>
  <c r="CJ173" i="79"/>
  <c r="CI173" i="79"/>
  <c r="CP168" i="79"/>
  <c r="CO168" i="79"/>
  <c r="CN168" i="79"/>
  <c r="CM168" i="79"/>
  <c r="CL168" i="79"/>
  <c r="CK168" i="79"/>
  <c r="CJ168" i="79"/>
  <c r="CI168" i="79"/>
  <c r="CP167" i="79"/>
  <c r="CO167" i="79"/>
  <c r="CN167" i="79"/>
  <c r="CM167" i="79"/>
  <c r="CL167" i="79"/>
  <c r="CK167" i="79"/>
  <c r="CJ167" i="79"/>
  <c r="CI167" i="79"/>
  <c r="CP166" i="79"/>
  <c r="CO166" i="79"/>
  <c r="CN166" i="79"/>
  <c r="CM166" i="79"/>
  <c r="CL166" i="79"/>
  <c r="CK166" i="79"/>
  <c r="CJ166" i="79"/>
  <c r="CI166" i="79"/>
  <c r="CP165" i="79"/>
  <c r="CO165" i="79"/>
  <c r="CN165" i="79"/>
  <c r="CM165" i="79"/>
  <c r="CL165" i="79"/>
  <c r="CK165" i="79"/>
  <c r="CJ165" i="79"/>
  <c r="CI165" i="79"/>
  <c r="CP164" i="79"/>
  <c r="CO164" i="79"/>
  <c r="CN164" i="79"/>
  <c r="CM164" i="79"/>
  <c r="CL164" i="79"/>
  <c r="CK164" i="79"/>
  <c r="CJ164" i="79"/>
  <c r="CI164" i="79"/>
  <c r="CP163" i="79"/>
  <c r="CO163" i="79"/>
  <c r="CN163" i="79"/>
  <c r="CM163" i="79"/>
  <c r="CL163" i="79"/>
  <c r="CK163" i="79"/>
  <c r="CJ163" i="79"/>
  <c r="CI163" i="79"/>
  <c r="CP162" i="79"/>
  <c r="CO162" i="79"/>
  <c r="CN162" i="79"/>
  <c r="CM162" i="79"/>
  <c r="CL162" i="79"/>
  <c r="CK162" i="79"/>
  <c r="CJ162" i="79"/>
  <c r="CI162" i="79"/>
  <c r="CP161" i="79"/>
  <c r="CO161" i="79"/>
  <c r="CN161" i="79"/>
  <c r="CM161" i="79"/>
  <c r="CL161" i="79"/>
  <c r="CK161" i="79"/>
  <c r="CJ161" i="79"/>
  <c r="CI161" i="79"/>
  <c r="CP160" i="79"/>
  <c r="CO160" i="79"/>
  <c r="CN160" i="79"/>
  <c r="CM160" i="79"/>
  <c r="CL160" i="79"/>
  <c r="CK160" i="79"/>
  <c r="CJ160" i="79"/>
  <c r="CI160" i="79"/>
  <c r="CP159" i="79"/>
  <c r="CO159" i="79"/>
  <c r="CN159" i="79"/>
  <c r="CM159" i="79"/>
  <c r="CL159" i="79"/>
  <c r="CK159" i="79"/>
  <c r="CJ159" i="79"/>
  <c r="CI159" i="79"/>
  <c r="CP158" i="79"/>
  <c r="CO158" i="79"/>
  <c r="CN158" i="79"/>
  <c r="CM158" i="79"/>
  <c r="CL158" i="79"/>
  <c r="CK158" i="79"/>
  <c r="CJ158" i="79"/>
  <c r="CI158" i="79"/>
  <c r="CP157" i="79"/>
  <c r="CO157" i="79"/>
  <c r="CN157" i="79"/>
  <c r="CM157" i="79"/>
  <c r="CL157" i="79"/>
  <c r="CK157" i="79"/>
  <c r="CJ157" i="79"/>
  <c r="CI157" i="79"/>
  <c r="CP156" i="79"/>
  <c r="CO156" i="79"/>
  <c r="CN156" i="79"/>
  <c r="CM156" i="79"/>
  <c r="CL156" i="79"/>
  <c r="CK156" i="79"/>
  <c r="CJ156" i="79"/>
  <c r="CI156" i="79"/>
  <c r="CP155" i="79"/>
  <c r="CO155" i="79"/>
  <c r="CN155" i="79"/>
  <c r="CM155" i="79"/>
  <c r="CL155" i="79"/>
  <c r="CK155" i="79"/>
  <c r="CJ155" i="79"/>
  <c r="CI155" i="79"/>
  <c r="CP154" i="79"/>
  <c r="CO154" i="79"/>
  <c r="CN154" i="79"/>
  <c r="CM154" i="79"/>
  <c r="CL154" i="79"/>
  <c r="CK154" i="79"/>
  <c r="CJ154" i="79"/>
  <c r="CI154" i="79"/>
  <c r="CP153" i="79"/>
  <c r="CO153" i="79"/>
  <c r="CN153" i="79"/>
  <c r="CM153" i="79"/>
  <c r="CL153" i="79"/>
  <c r="CK153" i="79"/>
  <c r="CJ153" i="79"/>
  <c r="CI153" i="79"/>
  <c r="CP152" i="79"/>
  <c r="CO152" i="79"/>
  <c r="CN152" i="79"/>
  <c r="CM152" i="79"/>
  <c r="CL152" i="79"/>
  <c r="CK152" i="79"/>
  <c r="CJ152" i="79"/>
  <c r="CI152" i="79"/>
  <c r="CP151" i="79"/>
  <c r="CO151" i="79"/>
  <c r="CN151" i="79"/>
  <c r="CM151" i="79"/>
  <c r="CL151" i="79"/>
  <c r="CK151" i="79"/>
  <c r="CJ151" i="79"/>
  <c r="CI151" i="79"/>
  <c r="CP150" i="79"/>
  <c r="CO150" i="79"/>
  <c r="CN150" i="79"/>
  <c r="CM150" i="79"/>
  <c r="CL150" i="79"/>
  <c r="CK150" i="79"/>
  <c r="CJ150" i="79"/>
  <c r="CI150" i="79"/>
  <c r="CP149" i="79"/>
  <c r="CO149" i="79"/>
  <c r="CN149" i="79"/>
  <c r="CM149" i="79"/>
  <c r="CL149" i="79"/>
  <c r="CK149" i="79"/>
  <c r="CJ149" i="79"/>
  <c r="CI149" i="79"/>
  <c r="CP148" i="79"/>
  <c r="CO148" i="79"/>
  <c r="CN148" i="79"/>
  <c r="CM148" i="79"/>
  <c r="CL148" i="79"/>
  <c r="CK148" i="79"/>
  <c r="CJ148" i="79"/>
  <c r="CI148" i="79"/>
  <c r="CP147" i="79"/>
  <c r="CO147" i="79"/>
  <c r="CN147" i="79"/>
  <c r="CM147" i="79"/>
  <c r="CL147" i="79"/>
  <c r="CK147" i="79"/>
  <c r="CJ147" i="79"/>
  <c r="CI147" i="79"/>
  <c r="CP146" i="79"/>
  <c r="CO146" i="79"/>
  <c r="CN146" i="79"/>
  <c r="CM146" i="79"/>
  <c r="CL146" i="79"/>
  <c r="CK146" i="79"/>
  <c r="CJ146" i="79"/>
  <c r="CI146" i="79"/>
  <c r="CP145" i="79"/>
  <c r="CO145" i="79"/>
  <c r="CN145" i="79"/>
  <c r="CM145" i="79"/>
  <c r="CL145" i="79"/>
  <c r="CK145" i="79"/>
  <c r="CJ145" i="79"/>
  <c r="CI145" i="79"/>
  <c r="CP144" i="79"/>
  <c r="CO144" i="79"/>
  <c r="CN144" i="79"/>
  <c r="CM144" i="79"/>
  <c r="CL144" i="79"/>
  <c r="CK144" i="79"/>
  <c r="CJ144" i="79"/>
  <c r="CI144" i="79"/>
  <c r="CP143" i="79"/>
  <c r="CO143" i="79"/>
  <c r="CN143" i="79"/>
  <c r="CM143" i="79"/>
  <c r="CL143" i="79"/>
  <c r="CK143" i="79"/>
  <c r="CJ143" i="79"/>
  <c r="CI143" i="79"/>
  <c r="CP142" i="79"/>
  <c r="CO142" i="79"/>
  <c r="CN142" i="79"/>
  <c r="CM142" i="79"/>
  <c r="CL142" i="79"/>
  <c r="CK142" i="79"/>
  <c r="CJ142" i="79"/>
  <c r="CI142" i="79"/>
  <c r="CP141" i="79"/>
  <c r="CO141" i="79"/>
  <c r="CN141" i="79"/>
  <c r="CM141" i="79"/>
  <c r="CL141" i="79"/>
  <c r="CK141" i="79"/>
  <c r="CJ141" i="79"/>
  <c r="CI141" i="79"/>
  <c r="CP140" i="79"/>
  <c r="CO140" i="79"/>
  <c r="CN140" i="79"/>
  <c r="CM140" i="79"/>
  <c r="CL140" i="79"/>
  <c r="CK140" i="79"/>
  <c r="CJ140" i="79"/>
  <c r="CI140" i="79"/>
  <c r="CP139" i="79"/>
  <c r="CO139" i="79"/>
  <c r="CN139" i="79"/>
  <c r="CM139" i="79"/>
  <c r="CL139" i="79"/>
  <c r="CK139" i="79"/>
  <c r="CJ139" i="79"/>
  <c r="CI139" i="79"/>
  <c r="CP138" i="79"/>
  <c r="CO138" i="79"/>
  <c r="CN138" i="79"/>
  <c r="CM138" i="79"/>
  <c r="CL138" i="79"/>
  <c r="CK138" i="79"/>
  <c r="CJ138" i="79"/>
  <c r="CI138" i="79"/>
  <c r="CP137" i="79"/>
  <c r="CO137" i="79"/>
  <c r="CN137" i="79"/>
  <c r="CM137" i="79"/>
  <c r="CL137" i="79"/>
  <c r="CK137" i="79"/>
  <c r="CJ137" i="79"/>
  <c r="CI137" i="79"/>
  <c r="CP136" i="79"/>
  <c r="CO136" i="79"/>
  <c r="CN136" i="79"/>
  <c r="CM136" i="79"/>
  <c r="CL136" i="79"/>
  <c r="CK136" i="79"/>
  <c r="CJ136" i="79"/>
  <c r="CI136" i="79"/>
  <c r="CP135" i="79"/>
  <c r="CO135" i="79"/>
  <c r="CN135" i="79"/>
  <c r="CM135" i="79"/>
  <c r="CL135" i="79"/>
  <c r="CK135" i="79"/>
  <c r="CJ135" i="79"/>
  <c r="CI135" i="79"/>
  <c r="CP134" i="79"/>
  <c r="CO134" i="79"/>
  <c r="CN134" i="79"/>
  <c r="CM134" i="79"/>
  <c r="CL134" i="79"/>
  <c r="CK134" i="79"/>
  <c r="CJ134" i="79"/>
  <c r="CI134" i="79"/>
  <c r="CP133" i="79"/>
  <c r="CO133" i="79"/>
  <c r="CN133" i="79"/>
  <c r="CM133" i="79"/>
  <c r="CL133" i="79"/>
  <c r="CK133" i="79"/>
  <c r="CJ133" i="79"/>
  <c r="CI133" i="79"/>
  <c r="CP132" i="79"/>
  <c r="CO132" i="79"/>
  <c r="CN132" i="79"/>
  <c r="CM132" i="79"/>
  <c r="CL132" i="79"/>
  <c r="CK132" i="79"/>
  <c r="CJ132" i="79"/>
  <c r="CI132" i="79"/>
  <c r="CP131" i="79"/>
  <c r="CO131" i="79"/>
  <c r="CN131" i="79"/>
  <c r="CM131" i="79"/>
  <c r="CL131" i="79"/>
  <c r="CK131" i="79"/>
  <c r="CJ131" i="79"/>
  <c r="CI131" i="79"/>
  <c r="CP130" i="79"/>
  <c r="CO130" i="79"/>
  <c r="CN130" i="79"/>
  <c r="CM130" i="79"/>
  <c r="CL130" i="79"/>
  <c r="CK130" i="79"/>
  <c r="CJ130" i="79"/>
  <c r="CI130" i="79"/>
  <c r="CP129" i="79"/>
  <c r="CO129" i="79"/>
  <c r="CN129" i="79"/>
  <c r="CM129" i="79"/>
  <c r="CL129" i="79"/>
  <c r="CK129" i="79"/>
  <c r="CJ129" i="79"/>
  <c r="CI129" i="79"/>
  <c r="CP128" i="79"/>
  <c r="CO128" i="79"/>
  <c r="CN128" i="79"/>
  <c r="CM128" i="79"/>
  <c r="CL128" i="79"/>
  <c r="CK128" i="79"/>
  <c r="CJ128" i="79"/>
  <c r="CI128" i="79"/>
  <c r="CP127" i="79"/>
  <c r="CO127" i="79"/>
  <c r="CN127" i="79"/>
  <c r="CM127" i="79"/>
  <c r="CL127" i="79"/>
  <c r="CK127" i="79"/>
  <c r="CJ127" i="79"/>
  <c r="CI127" i="79"/>
  <c r="CP126" i="79"/>
  <c r="CO126" i="79"/>
  <c r="CN126" i="79"/>
  <c r="CM126" i="79"/>
  <c r="CL126" i="79"/>
  <c r="CK126" i="79"/>
  <c r="CJ126" i="79"/>
  <c r="CI126" i="79"/>
  <c r="CP125" i="79"/>
  <c r="CO125" i="79"/>
  <c r="CN125" i="79"/>
  <c r="CM125" i="79"/>
  <c r="CL125" i="79"/>
  <c r="CK125" i="79"/>
  <c r="CJ125" i="79"/>
  <c r="CI125" i="79"/>
  <c r="CP124" i="79"/>
  <c r="CO124" i="79"/>
  <c r="CN124" i="79"/>
  <c r="CM124" i="79"/>
  <c r="CL124" i="79"/>
  <c r="CK124" i="79"/>
  <c r="CJ124" i="79"/>
  <c r="CI124" i="79"/>
  <c r="CP123" i="79"/>
  <c r="CO123" i="79"/>
  <c r="CN123" i="79"/>
  <c r="CM123" i="79"/>
  <c r="CL123" i="79"/>
  <c r="CK123" i="79"/>
  <c r="CJ123" i="79"/>
  <c r="CI123" i="79"/>
  <c r="CP122" i="79"/>
  <c r="CO122" i="79"/>
  <c r="CN122" i="79"/>
  <c r="CM122" i="79"/>
  <c r="CL122" i="79"/>
  <c r="CK122" i="79"/>
  <c r="CJ122" i="79"/>
  <c r="CI122" i="79"/>
  <c r="CP121" i="79"/>
  <c r="CO121" i="79"/>
  <c r="CN121" i="79"/>
  <c r="CM121" i="79"/>
  <c r="CL121" i="79"/>
  <c r="CK121" i="79"/>
  <c r="CJ121" i="79"/>
  <c r="CI121" i="79"/>
  <c r="CP120" i="79"/>
  <c r="CO120" i="79"/>
  <c r="CN120" i="79"/>
  <c r="CM120" i="79"/>
  <c r="CL120" i="79"/>
  <c r="CK120" i="79"/>
  <c r="CJ120" i="79"/>
  <c r="CI120" i="79"/>
  <c r="CP119" i="79"/>
  <c r="CO119" i="79"/>
  <c r="CN119" i="79"/>
  <c r="CM119" i="79"/>
  <c r="CL119" i="79"/>
  <c r="CK119" i="79"/>
  <c r="CJ119" i="79"/>
  <c r="CI119" i="79"/>
  <c r="CP118" i="79"/>
  <c r="CO118" i="79"/>
  <c r="CN118" i="79"/>
  <c r="CM118" i="79"/>
  <c r="CL118" i="79"/>
  <c r="CK118" i="79"/>
  <c r="CJ118" i="79"/>
  <c r="CI118" i="79"/>
  <c r="CP117" i="79"/>
  <c r="CO117" i="79"/>
  <c r="CN117" i="79"/>
  <c r="CM117" i="79"/>
  <c r="CL117" i="79"/>
  <c r="CK117" i="79"/>
  <c r="CJ117" i="79"/>
  <c r="CI117" i="79"/>
  <c r="CP116" i="79"/>
  <c r="CO116" i="79"/>
  <c r="CN116" i="79"/>
  <c r="CM116" i="79"/>
  <c r="CL116" i="79"/>
  <c r="CK116" i="79"/>
  <c r="CJ116" i="79"/>
  <c r="CI116" i="79"/>
  <c r="CP115" i="79"/>
  <c r="CO115" i="79"/>
  <c r="CN115" i="79"/>
  <c r="CM115" i="79"/>
  <c r="CL115" i="79"/>
  <c r="CK115" i="79"/>
  <c r="CJ115" i="79"/>
  <c r="CI115" i="79"/>
  <c r="CP114" i="79"/>
  <c r="CO114" i="79"/>
  <c r="CN114" i="79"/>
  <c r="CM114" i="79"/>
  <c r="CL114" i="79"/>
  <c r="CK114" i="79"/>
  <c r="CJ114" i="79"/>
  <c r="CI114" i="79"/>
  <c r="CP113" i="79"/>
  <c r="CO113" i="79"/>
  <c r="CN113" i="79"/>
  <c r="CM113" i="79"/>
  <c r="CL113" i="79"/>
  <c r="CK113" i="79"/>
  <c r="CJ113" i="79"/>
  <c r="CI113" i="79"/>
  <c r="CP112" i="79"/>
  <c r="CO112" i="79"/>
  <c r="CN112" i="79"/>
  <c r="CM112" i="79"/>
  <c r="CL112" i="79"/>
  <c r="CK112" i="79"/>
  <c r="CJ112" i="79"/>
  <c r="CI112" i="79"/>
  <c r="CP111" i="79"/>
  <c r="CO111" i="79"/>
  <c r="CN111" i="79"/>
  <c r="CM111" i="79"/>
  <c r="CL111" i="79"/>
  <c r="CK111" i="79"/>
  <c r="CJ111" i="79"/>
  <c r="CI111" i="79"/>
  <c r="CP110" i="79"/>
  <c r="CO110" i="79"/>
  <c r="CN110" i="79"/>
  <c r="CM110" i="79"/>
  <c r="CL110" i="79"/>
  <c r="CK110" i="79"/>
  <c r="CJ110" i="79"/>
  <c r="CI110" i="79"/>
  <c r="CP109" i="79"/>
  <c r="CO109" i="79"/>
  <c r="CN109" i="79"/>
  <c r="CM109" i="79"/>
  <c r="CL109" i="79"/>
  <c r="CK109" i="79"/>
  <c r="CJ109" i="79"/>
  <c r="CI109" i="79"/>
  <c r="CP108" i="79"/>
  <c r="CO108" i="79"/>
  <c r="CN108" i="79"/>
  <c r="CM108" i="79"/>
  <c r="CL108" i="79"/>
  <c r="CK108" i="79"/>
  <c r="CJ108" i="79"/>
  <c r="CI108" i="79"/>
  <c r="CP107" i="79"/>
  <c r="CO107" i="79"/>
  <c r="CN107" i="79"/>
  <c r="CM107" i="79"/>
  <c r="CL107" i="79"/>
  <c r="CK107" i="79"/>
  <c r="CJ107" i="79"/>
  <c r="CI107" i="79"/>
  <c r="CP106" i="79"/>
  <c r="CO106" i="79"/>
  <c r="CN106" i="79"/>
  <c r="CM106" i="79"/>
  <c r="CL106" i="79"/>
  <c r="CK106" i="79"/>
  <c r="CJ106" i="79"/>
  <c r="CI106" i="79"/>
  <c r="CP105" i="79"/>
  <c r="CO105" i="79"/>
  <c r="CN105" i="79"/>
  <c r="CM105" i="79"/>
  <c r="CL105" i="79"/>
  <c r="CK105" i="79"/>
  <c r="CJ105" i="79"/>
  <c r="CI105" i="79"/>
  <c r="CP104" i="79"/>
  <c r="CO104" i="79"/>
  <c r="CN104" i="79"/>
  <c r="CM104" i="79"/>
  <c r="CL104" i="79"/>
  <c r="CK104" i="79"/>
  <c r="CJ104" i="79"/>
  <c r="CI104" i="79"/>
  <c r="CP103" i="79"/>
  <c r="CO103" i="79"/>
  <c r="CN103" i="79"/>
  <c r="CM103" i="79"/>
  <c r="CL103" i="79"/>
  <c r="CK103" i="79"/>
  <c r="CJ103" i="79"/>
  <c r="CI103" i="79"/>
  <c r="CP102" i="79"/>
  <c r="CO102" i="79"/>
  <c r="CN102" i="79"/>
  <c r="CM102" i="79"/>
  <c r="CL102" i="79"/>
  <c r="CK102" i="79"/>
  <c r="CJ102" i="79"/>
  <c r="CI102" i="79"/>
  <c r="CP101" i="79"/>
  <c r="CO101" i="79"/>
  <c r="CN101" i="79"/>
  <c r="CM101" i="79"/>
  <c r="CL101" i="79"/>
  <c r="CK101" i="79"/>
  <c r="CJ101" i="79"/>
  <c r="CI101" i="79"/>
  <c r="CP100" i="79"/>
  <c r="CO100" i="79"/>
  <c r="CN100" i="79"/>
  <c r="CM100" i="79"/>
  <c r="CL100" i="79"/>
  <c r="CK100" i="79"/>
  <c r="CJ100" i="79"/>
  <c r="CI100" i="79"/>
  <c r="CP99" i="79"/>
  <c r="CO99" i="79"/>
  <c r="CN99" i="79"/>
  <c r="CM99" i="79"/>
  <c r="CL99" i="79"/>
  <c r="CK99" i="79"/>
  <c r="CJ99" i="79"/>
  <c r="CI99" i="79"/>
  <c r="CP98" i="79"/>
  <c r="CO98" i="79"/>
  <c r="CN98" i="79"/>
  <c r="CM98" i="79"/>
  <c r="CL98" i="79"/>
  <c r="CK98" i="79"/>
  <c r="CJ98" i="79"/>
  <c r="CI98" i="79"/>
  <c r="CP97" i="79"/>
  <c r="CO97" i="79"/>
  <c r="CN97" i="79"/>
  <c r="CM97" i="79"/>
  <c r="CL97" i="79"/>
  <c r="CK97" i="79"/>
  <c r="CJ97" i="79"/>
  <c r="CI97" i="79"/>
  <c r="CP96" i="79"/>
  <c r="CO96" i="79"/>
  <c r="CN96" i="79"/>
  <c r="CM96" i="79"/>
  <c r="CL96" i="79"/>
  <c r="CK96" i="79"/>
  <c r="CJ96" i="79"/>
  <c r="CI96" i="79"/>
  <c r="CP95" i="79"/>
  <c r="CO95" i="79"/>
  <c r="CN95" i="79"/>
  <c r="CM95" i="79"/>
  <c r="CL95" i="79"/>
  <c r="CK95" i="79"/>
  <c r="CJ95" i="79"/>
  <c r="CI95" i="79"/>
  <c r="CP94" i="79"/>
  <c r="CO94" i="79"/>
  <c r="CN94" i="79"/>
  <c r="CM94" i="79"/>
  <c r="CL94" i="79"/>
  <c r="CK94" i="79"/>
  <c r="CJ94" i="79"/>
  <c r="CI94" i="79"/>
  <c r="CP93" i="79"/>
  <c r="CO93" i="79"/>
  <c r="CN93" i="79"/>
  <c r="CM93" i="79"/>
  <c r="CL93" i="79"/>
  <c r="CK93" i="79"/>
  <c r="CJ93" i="79"/>
  <c r="CI93" i="79"/>
  <c r="CP92" i="79"/>
  <c r="CO92" i="79"/>
  <c r="CN92" i="79"/>
  <c r="CM92" i="79"/>
  <c r="CL92" i="79"/>
  <c r="CK92" i="79"/>
  <c r="CJ92" i="79"/>
  <c r="CI92" i="79"/>
  <c r="CP91" i="79"/>
  <c r="CO91" i="79"/>
  <c r="CN91" i="79"/>
  <c r="CM91" i="79"/>
  <c r="CL91" i="79"/>
  <c r="CK91" i="79"/>
  <c r="CJ91" i="79"/>
  <c r="CI91" i="79"/>
  <c r="CP90" i="79"/>
  <c r="CO90" i="79"/>
  <c r="CN90" i="79"/>
  <c r="CM90" i="79"/>
  <c r="CL90" i="79"/>
  <c r="CK90" i="79"/>
  <c r="CJ90" i="79"/>
  <c r="CI90" i="79"/>
  <c r="CP89" i="79"/>
  <c r="CO89" i="79"/>
  <c r="CN89" i="79"/>
  <c r="CM89" i="79"/>
  <c r="CL89" i="79"/>
  <c r="CK89" i="79"/>
  <c r="CJ89" i="79"/>
  <c r="CI89" i="79"/>
  <c r="CP88" i="79"/>
  <c r="CO88" i="79"/>
  <c r="CN88" i="79"/>
  <c r="CM88" i="79"/>
  <c r="CL88" i="79"/>
  <c r="CK88" i="79"/>
  <c r="CJ88" i="79"/>
  <c r="CI88" i="79"/>
  <c r="CP87" i="79"/>
  <c r="CO87" i="79"/>
  <c r="CN87" i="79"/>
  <c r="CM87" i="79"/>
  <c r="CL87" i="79"/>
  <c r="CK87" i="79"/>
  <c r="CJ87" i="79"/>
  <c r="CI87" i="79"/>
  <c r="CP86" i="79"/>
  <c r="CO86" i="79"/>
  <c r="CN86" i="79"/>
  <c r="CM86" i="79"/>
  <c r="CL86" i="79"/>
  <c r="CK86" i="79"/>
  <c r="CJ86" i="79"/>
  <c r="CI86" i="79"/>
  <c r="CP85" i="79"/>
  <c r="CO85" i="79"/>
  <c r="CN85" i="79"/>
  <c r="CM85" i="79"/>
  <c r="CL85" i="79"/>
  <c r="CK85" i="79"/>
  <c r="CJ85" i="79"/>
  <c r="CI85" i="79"/>
  <c r="CP84" i="79"/>
  <c r="CO84" i="79"/>
  <c r="CN84" i="79"/>
  <c r="CM84" i="79"/>
  <c r="CL84" i="79"/>
  <c r="CK84" i="79"/>
  <c r="CJ84" i="79"/>
  <c r="CI84" i="79"/>
  <c r="CP83" i="79"/>
  <c r="CO83" i="79"/>
  <c r="CN83" i="79"/>
  <c r="CM83" i="79"/>
  <c r="CL83" i="79"/>
  <c r="CK83" i="79"/>
  <c r="CJ83" i="79"/>
  <c r="CI83" i="79"/>
  <c r="CP82" i="79"/>
  <c r="CO82" i="79"/>
  <c r="CN82" i="79"/>
  <c r="CM82" i="79"/>
  <c r="CL82" i="79"/>
  <c r="CK82" i="79"/>
  <c r="CJ82" i="79"/>
  <c r="CI82" i="79"/>
  <c r="CP81" i="79"/>
  <c r="CO81" i="79"/>
  <c r="CN81" i="79"/>
  <c r="CM81" i="79"/>
  <c r="CL81" i="79"/>
  <c r="CK81" i="79"/>
  <c r="CJ81" i="79"/>
  <c r="CI81" i="79"/>
  <c r="CP80" i="79"/>
  <c r="CO80" i="79"/>
  <c r="CN80" i="79"/>
  <c r="CM80" i="79"/>
  <c r="CL80" i="79"/>
  <c r="CK80" i="79"/>
  <c r="CJ80" i="79"/>
  <c r="CI80" i="79"/>
  <c r="CP79" i="79"/>
  <c r="CO79" i="79"/>
  <c r="CN79" i="79"/>
  <c r="CM79" i="79"/>
  <c r="CL79" i="79"/>
  <c r="CK79" i="79"/>
  <c r="CJ79" i="79"/>
  <c r="CI79" i="79"/>
  <c r="CP78" i="79"/>
  <c r="CO78" i="79"/>
  <c r="CN78" i="79"/>
  <c r="CM78" i="79"/>
  <c r="CL78" i="79"/>
  <c r="CK78" i="79"/>
  <c r="CJ78" i="79"/>
  <c r="CI78" i="79"/>
  <c r="CP77" i="79"/>
  <c r="CO77" i="79"/>
  <c r="CN77" i="79"/>
  <c r="CM77" i="79"/>
  <c r="CL77" i="79"/>
  <c r="CK77" i="79"/>
  <c r="CJ77" i="79"/>
  <c r="CI77" i="79"/>
  <c r="CP76" i="79"/>
  <c r="CO76" i="79"/>
  <c r="CN76" i="79"/>
  <c r="CM76" i="79"/>
  <c r="CL76" i="79"/>
  <c r="CK76" i="79"/>
  <c r="CJ76" i="79"/>
  <c r="CI76" i="79"/>
  <c r="CP75" i="79"/>
  <c r="CO75" i="79"/>
  <c r="CN75" i="79"/>
  <c r="CM75" i="79"/>
  <c r="CL75" i="79"/>
  <c r="CK75" i="79"/>
  <c r="CJ75" i="79"/>
  <c r="CI75" i="79"/>
  <c r="CP74" i="79"/>
  <c r="CO74" i="79"/>
  <c r="CN74" i="79"/>
  <c r="CM74" i="79"/>
  <c r="CL74" i="79"/>
  <c r="CK74" i="79"/>
  <c r="CJ74" i="79"/>
  <c r="CI74" i="79"/>
  <c r="CP73" i="79"/>
  <c r="CO73" i="79"/>
  <c r="CN73" i="79"/>
  <c r="CM73" i="79"/>
  <c r="CL73" i="79"/>
  <c r="CK73" i="79"/>
  <c r="CJ73" i="79"/>
  <c r="CI73" i="79"/>
  <c r="CP72" i="79"/>
  <c r="CO72" i="79"/>
  <c r="CN72" i="79"/>
  <c r="CM72" i="79"/>
  <c r="CL72" i="79"/>
  <c r="CK72" i="79"/>
  <c r="CJ72" i="79"/>
  <c r="CI72" i="79"/>
  <c r="CP71" i="79"/>
  <c r="CO71" i="79"/>
  <c r="CN71" i="79"/>
  <c r="CM71" i="79"/>
  <c r="CL71" i="79"/>
  <c r="CK71" i="79"/>
  <c r="CJ71" i="79"/>
  <c r="CI71" i="79"/>
  <c r="CP70" i="79"/>
  <c r="CO70" i="79"/>
  <c r="CN70" i="79"/>
  <c r="CM70" i="79"/>
  <c r="CL70" i="79"/>
  <c r="CK70" i="79"/>
  <c r="CJ70" i="79"/>
  <c r="CI70" i="79"/>
  <c r="CP69" i="79"/>
  <c r="CO69" i="79"/>
  <c r="CN69" i="79"/>
  <c r="CM69" i="79"/>
  <c r="CL69" i="79"/>
  <c r="CK69" i="79"/>
  <c r="CJ69" i="79"/>
  <c r="CI69" i="79"/>
  <c r="CP68" i="79"/>
  <c r="CO68" i="79"/>
  <c r="CN68" i="79"/>
  <c r="CM68" i="79"/>
  <c r="CL68" i="79"/>
  <c r="CK68" i="79"/>
  <c r="CJ68" i="79"/>
  <c r="CI68" i="79"/>
  <c r="CP67" i="79"/>
  <c r="CO67" i="79"/>
  <c r="CN67" i="79"/>
  <c r="CM67" i="79"/>
  <c r="CL67" i="79"/>
  <c r="CK67" i="79"/>
  <c r="CJ67" i="79"/>
  <c r="CI67" i="79"/>
  <c r="CP66" i="79"/>
  <c r="CO66" i="79"/>
  <c r="CN66" i="79"/>
  <c r="CM66" i="79"/>
  <c r="CL66" i="79"/>
  <c r="CK66" i="79"/>
  <c r="CJ66" i="79"/>
  <c r="CI66" i="79"/>
  <c r="CP65" i="79"/>
  <c r="CO65" i="79"/>
  <c r="CN65" i="79"/>
  <c r="CM65" i="79"/>
  <c r="CL65" i="79"/>
  <c r="CK65" i="79"/>
  <c r="CJ65" i="79"/>
  <c r="CI65" i="79"/>
  <c r="CP64" i="79"/>
  <c r="CO64" i="79"/>
  <c r="CN64" i="79"/>
  <c r="CM64" i="79"/>
  <c r="CL64" i="79"/>
  <c r="CK64" i="79"/>
  <c r="CJ64" i="79"/>
  <c r="CI64" i="79"/>
  <c r="CP63" i="79"/>
  <c r="CO63" i="79"/>
  <c r="CN63" i="79"/>
  <c r="CM63" i="79"/>
  <c r="CL63" i="79"/>
  <c r="CK63" i="79"/>
  <c r="CJ63" i="79"/>
  <c r="CI63" i="79"/>
  <c r="CP62" i="79"/>
  <c r="CO62" i="79"/>
  <c r="CN62" i="79"/>
  <c r="CM62" i="79"/>
  <c r="CL62" i="79"/>
  <c r="CK62" i="79"/>
  <c r="CJ62" i="79"/>
  <c r="CI62" i="79"/>
  <c r="CP61" i="79"/>
  <c r="CO61" i="79"/>
  <c r="CN61" i="79"/>
  <c r="CM61" i="79"/>
  <c r="CL61" i="79"/>
  <c r="CK61" i="79"/>
  <c r="CJ61" i="79"/>
  <c r="CI61" i="79"/>
  <c r="CP60" i="79"/>
  <c r="CO60" i="79"/>
  <c r="CN60" i="79"/>
  <c r="CM60" i="79"/>
  <c r="CL60" i="79"/>
  <c r="CK60" i="79"/>
  <c r="CJ60" i="79"/>
  <c r="CI60" i="79"/>
  <c r="CP59" i="79"/>
  <c r="CO59" i="79"/>
  <c r="CN59" i="79"/>
  <c r="CM59" i="79"/>
  <c r="CL59" i="79"/>
  <c r="CK59" i="79"/>
  <c r="CJ59" i="79"/>
  <c r="CI59" i="79"/>
  <c r="CP58" i="79"/>
  <c r="CO58" i="79"/>
  <c r="CN58" i="79"/>
  <c r="CM58" i="79"/>
  <c r="CL58" i="79"/>
  <c r="CK58" i="79"/>
  <c r="CJ58" i="79"/>
  <c r="CI58" i="79"/>
  <c r="CP57" i="79"/>
  <c r="CO57" i="79"/>
  <c r="CN57" i="79"/>
  <c r="CM57" i="79"/>
  <c r="CL57" i="79"/>
  <c r="CK57" i="79"/>
  <c r="CJ57" i="79"/>
  <c r="CI57" i="79"/>
  <c r="CP56" i="79"/>
  <c r="CO56" i="79"/>
  <c r="CN56" i="79"/>
  <c r="CM56" i="79"/>
  <c r="CL56" i="79"/>
  <c r="CK56" i="79"/>
  <c r="CJ56" i="79"/>
  <c r="CI56" i="79"/>
  <c r="CP55" i="79"/>
  <c r="CO55" i="79"/>
  <c r="CN55" i="79"/>
  <c r="CM55" i="79"/>
  <c r="CL55" i="79"/>
  <c r="CK55" i="79"/>
  <c r="CJ55" i="79"/>
  <c r="CI55" i="79"/>
  <c r="CP54" i="79"/>
  <c r="CO54" i="79"/>
  <c r="CN54" i="79"/>
  <c r="CM54" i="79"/>
  <c r="CL54" i="79"/>
  <c r="CK54" i="79"/>
  <c r="CJ54" i="79"/>
  <c r="CI54" i="79"/>
  <c r="CP53" i="79"/>
  <c r="CO53" i="79"/>
  <c r="CN53" i="79"/>
  <c r="CM53" i="79"/>
  <c r="CL53" i="79"/>
  <c r="CK53" i="79"/>
  <c r="CJ53" i="79"/>
  <c r="CI53" i="79"/>
  <c r="CP52" i="79"/>
  <c r="CO52" i="79"/>
  <c r="CN52" i="79"/>
  <c r="CM52" i="79"/>
  <c r="CL52" i="79"/>
  <c r="CK52" i="79"/>
  <c r="CJ52" i="79"/>
  <c r="CI52" i="79"/>
  <c r="CP51" i="79"/>
  <c r="CO51" i="79"/>
  <c r="CN51" i="79"/>
  <c r="CM51" i="79"/>
  <c r="CL51" i="79"/>
  <c r="CK51" i="79"/>
  <c r="CJ51" i="79"/>
  <c r="CI51" i="79"/>
  <c r="CP50" i="79"/>
  <c r="CO50" i="79"/>
  <c r="CN50" i="79"/>
  <c r="CM50" i="79"/>
  <c r="CL50" i="79"/>
  <c r="CK50" i="79"/>
  <c r="CJ50" i="79"/>
  <c r="CI50" i="79"/>
  <c r="CP49" i="79"/>
  <c r="CO49" i="79"/>
  <c r="CN49" i="79"/>
  <c r="CM49" i="79"/>
  <c r="CL49" i="79"/>
  <c r="CK49" i="79"/>
  <c r="CJ49" i="79"/>
  <c r="CI49" i="79"/>
  <c r="CP48" i="79"/>
  <c r="CO48" i="79"/>
  <c r="CN48" i="79"/>
  <c r="CM48" i="79"/>
  <c r="CL48" i="79"/>
  <c r="CK48" i="79"/>
  <c r="CJ48" i="79"/>
  <c r="CI48" i="79"/>
  <c r="CP47" i="79"/>
  <c r="CO47" i="79"/>
  <c r="CN47" i="79"/>
  <c r="CM47" i="79"/>
  <c r="CL47" i="79"/>
  <c r="CK47" i="79"/>
  <c r="CJ47" i="79"/>
  <c r="CI47" i="79"/>
  <c r="CP46" i="79"/>
  <c r="CO46" i="79"/>
  <c r="CN46" i="79"/>
  <c r="CM46" i="79"/>
  <c r="CL46" i="79"/>
  <c r="CK46" i="79"/>
  <c r="CJ46" i="79"/>
  <c r="CI46" i="79"/>
  <c r="CP45" i="79"/>
  <c r="CO45" i="79"/>
  <c r="CN45" i="79"/>
  <c r="CM45" i="79"/>
  <c r="CL45" i="79"/>
  <c r="CK45" i="79"/>
  <c r="CJ45" i="79"/>
  <c r="CI45" i="79"/>
  <c r="CP44" i="79"/>
  <c r="CO44" i="79"/>
  <c r="CN44" i="79"/>
  <c r="CM44" i="79"/>
  <c r="CL44" i="79"/>
  <c r="CK44" i="79"/>
  <c r="CJ44" i="79"/>
  <c r="CI44" i="79"/>
  <c r="CP43" i="79"/>
  <c r="CO43" i="79"/>
  <c r="CN43" i="79"/>
  <c r="CM43" i="79"/>
  <c r="CL43" i="79"/>
  <c r="CK43" i="79"/>
  <c r="CJ43" i="79"/>
  <c r="CI43" i="79"/>
  <c r="CP42" i="79"/>
  <c r="CO42" i="79"/>
  <c r="CN42" i="79"/>
  <c r="CM42" i="79"/>
  <c r="CL42" i="79"/>
  <c r="CK42" i="79"/>
  <c r="CJ42" i="79"/>
  <c r="CI42" i="79"/>
  <c r="CP41" i="79"/>
  <c r="CO41" i="79"/>
  <c r="CN41" i="79"/>
  <c r="CM41" i="79"/>
  <c r="CL41" i="79"/>
  <c r="CK41" i="79"/>
  <c r="CJ41" i="79"/>
  <c r="CI41" i="79"/>
  <c r="CP40" i="79"/>
  <c r="CO40" i="79"/>
  <c r="CN40" i="79"/>
  <c r="CM40" i="79"/>
  <c r="CL40" i="79"/>
  <c r="CK40" i="79"/>
  <c r="CJ40" i="79"/>
  <c r="CI40" i="79"/>
  <c r="CP39" i="79"/>
  <c r="CO39" i="79"/>
  <c r="CN39" i="79"/>
  <c r="CM39" i="79"/>
  <c r="CL39" i="79"/>
  <c r="CK39" i="79"/>
  <c r="CJ39" i="79"/>
  <c r="CI39" i="79"/>
  <c r="CP38" i="79"/>
  <c r="CO38" i="79"/>
  <c r="CN38" i="79"/>
  <c r="CM38" i="79"/>
  <c r="CL38" i="79"/>
  <c r="CK38" i="79"/>
  <c r="CJ38" i="79"/>
  <c r="CI38" i="79"/>
  <c r="CP37" i="79"/>
  <c r="CO37" i="79"/>
  <c r="CN37" i="79"/>
  <c r="CM37" i="79"/>
  <c r="CL37" i="79"/>
  <c r="CK37" i="79"/>
  <c r="CJ37" i="79"/>
  <c r="CI37" i="79"/>
  <c r="CP36" i="79"/>
  <c r="CO36" i="79"/>
  <c r="CN36" i="79"/>
  <c r="CM36" i="79"/>
  <c r="CL36" i="79"/>
  <c r="CK36" i="79"/>
  <c r="CJ36" i="79"/>
  <c r="CI36" i="79"/>
  <c r="CP35" i="79"/>
  <c r="CO35" i="79"/>
  <c r="CN35" i="79"/>
  <c r="CM35" i="79"/>
  <c r="CL35" i="79"/>
  <c r="CK35" i="79"/>
  <c r="CJ35" i="79"/>
  <c r="CI35" i="79"/>
  <c r="CP34" i="79"/>
  <c r="CO34" i="79"/>
  <c r="CN34" i="79"/>
  <c r="CM34" i="79"/>
  <c r="CL34" i="79"/>
  <c r="CK34" i="79"/>
  <c r="CJ34" i="79"/>
  <c r="CI34" i="79"/>
  <c r="CP33" i="79"/>
  <c r="CO33" i="79"/>
  <c r="CN33" i="79"/>
  <c r="CM33" i="79"/>
  <c r="CL33" i="79"/>
  <c r="CK33" i="79"/>
  <c r="CJ33" i="79"/>
  <c r="CI33" i="79"/>
  <c r="CP32" i="79"/>
  <c r="CO32" i="79"/>
  <c r="CN32" i="79"/>
  <c r="CM32" i="79"/>
  <c r="CL32" i="79"/>
  <c r="CK32" i="79"/>
  <c r="CJ32" i="79"/>
  <c r="CI32" i="79"/>
  <c r="CP31" i="79"/>
  <c r="CO31" i="79"/>
  <c r="CN31" i="79"/>
  <c r="CM31" i="79"/>
  <c r="CL31" i="79"/>
  <c r="CK31" i="79"/>
  <c r="CJ31" i="79"/>
  <c r="CI31" i="79"/>
  <c r="CP30" i="79"/>
  <c r="CO30" i="79"/>
  <c r="CN30" i="79"/>
  <c r="CM30" i="79"/>
  <c r="CL30" i="79"/>
  <c r="CK30" i="79"/>
  <c r="CJ30" i="79"/>
  <c r="CI30" i="79"/>
  <c r="CP29" i="79"/>
  <c r="CO29" i="79"/>
  <c r="CN29" i="79"/>
  <c r="CM29" i="79"/>
  <c r="CL29" i="79"/>
  <c r="CK29" i="79"/>
  <c r="CJ29" i="79"/>
  <c r="CI29" i="79"/>
  <c r="CP28" i="79"/>
  <c r="CO28" i="79"/>
  <c r="CN28" i="79"/>
  <c r="CM28" i="79"/>
  <c r="CL28" i="79"/>
  <c r="CK28" i="79"/>
  <c r="CJ28" i="79"/>
  <c r="CI28" i="79"/>
  <c r="CP27" i="79"/>
  <c r="CO27" i="79"/>
  <c r="CN27" i="79"/>
  <c r="CM27" i="79"/>
  <c r="CL27" i="79"/>
  <c r="CK27" i="79"/>
  <c r="CJ27" i="79"/>
  <c r="CI27" i="79"/>
  <c r="CP26" i="79"/>
  <c r="CO26" i="79"/>
  <c r="CN26" i="79"/>
  <c r="CM26" i="79"/>
  <c r="CL26" i="79"/>
  <c r="CK26" i="79"/>
  <c r="CJ26" i="79"/>
  <c r="CI26" i="79"/>
  <c r="CP25" i="79"/>
  <c r="CO25" i="79"/>
  <c r="CN25" i="79"/>
  <c r="CM25" i="79"/>
  <c r="CL25" i="79"/>
  <c r="CK25" i="79"/>
  <c r="CJ25" i="79"/>
  <c r="CI25" i="79"/>
  <c r="CP24" i="79"/>
  <c r="CO24" i="79"/>
  <c r="CN24" i="79"/>
  <c r="CM24" i="79"/>
  <c r="CL24" i="79"/>
  <c r="CK24" i="79"/>
  <c r="CJ24" i="79"/>
  <c r="CI24" i="79"/>
  <c r="CP23" i="79"/>
  <c r="CO23" i="79"/>
  <c r="CN23" i="79"/>
  <c r="CM23" i="79"/>
  <c r="CL23" i="79"/>
  <c r="CK23" i="79"/>
  <c r="CJ23" i="79"/>
  <c r="CI23" i="79"/>
  <c r="CP22" i="79"/>
  <c r="CO22" i="79"/>
  <c r="CN22" i="79"/>
  <c r="CM22" i="79"/>
  <c r="CL22" i="79"/>
  <c r="CK22" i="79"/>
  <c r="CJ22" i="79"/>
  <c r="CI22" i="79"/>
  <c r="CP21" i="79"/>
  <c r="CO21" i="79"/>
  <c r="CN21" i="79"/>
  <c r="CM21" i="79"/>
  <c r="CL21" i="79"/>
  <c r="CK21" i="79"/>
  <c r="CJ21" i="79"/>
  <c r="CI21" i="79"/>
  <c r="CP20" i="79"/>
  <c r="CO20" i="79"/>
  <c r="CN20" i="79"/>
  <c r="CM20" i="79"/>
  <c r="CL20" i="79"/>
  <c r="CK20" i="79"/>
  <c r="CJ20" i="79"/>
  <c r="CI20" i="79"/>
  <c r="CP19" i="79"/>
  <c r="CO19" i="79"/>
  <c r="CN19" i="79"/>
  <c r="CM19" i="79"/>
  <c r="CL19" i="79"/>
  <c r="CK19" i="79"/>
  <c r="CJ19" i="79"/>
  <c r="CI19" i="79"/>
  <c r="CP18" i="79"/>
  <c r="CO18" i="79"/>
  <c r="CN18" i="79"/>
  <c r="CM18" i="79"/>
  <c r="CL18" i="79"/>
  <c r="CK18" i="79"/>
  <c r="CJ18" i="79"/>
  <c r="CI18" i="79"/>
  <c r="CP17" i="79"/>
  <c r="CO17" i="79"/>
  <c r="CN17" i="79"/>
  <c r="CM17" i="79"/>
  <c r="CL17" i="79"/>
  <c r="CK17" i="79"/>
  <c r="CJ17" i="79"/>
  <c r="CI17" i="79"/>
  <c r="CP16" i="79"/>
  <c r="CO16" i="79"/>
  <c r="CN16" i="79"/>
  <c r="CM16" i="79"/>
  <c r="CL16" i="79"/>
  <c r="CK16" i="79"/>
  <c r="CJ16" i="79"/>
  <c r="CI16" i="79"/>
  <c r="CP15" i="79"/>
  <c r="CO15" i="79"/>
  <c r="CN15" i="79"/>
  <c r="CM15" i="79"/>
  <c r="CL15" i="79"/>
  <c r="CK15" i="79"/>
  <c r="CJ15" i="79"/>
  <c r="CI15" i="79"/>
  <c r="CP14" i="79"/>
  <c r="CO14" i="79"/>
  <c r="CN14" i="79"/>
  <c r="CM14" i="79"/>
  <c r="CL14" i="79"/>
  <c r="CK14" i="79"/>
  <c r="CJ14" i="79"/>
  <c r="CI14" i="79"/>
  <c r="CP13" i="79"/>
  <c r="CO13" i="79"/>
  <c r="CN13" i="79"/>
  <c r="CM13" i="79"/>
  <c r="CL13" i="79"/>
  <c r="CK13" i="79"/>
  <c r="CJ13" i="79"/>
  <c r="CI13" i="79"/>
  <c r="CP12" i="79"/>
  <c r="CO12" i="79"/>
  <c r="CN12" i="79"/>
  <c r="CM12" i="79"/>
  <c r="CL12" i="79"/>
  <c r="CK12" i="79"/>
  <c r="CJ12" i="79"/>
  <c r="CI12" i="79"/>
  <c r="CP11" i="79"/>
  <c r="CO11" i="79"/>
  <c r="CN11" i="79"/>
  <c r="CM11" i="79"/>
  <c r="CL11" i="79"/>
  <c r="CK11" i="79"/>
  <c r="CJ11" i="79"/>
  <c r="CI11" i="79"/>
  <c r="CP10" i="79"/>
  <c r="CO10" i="79"/>
  <c r="CN10" i="79"/>
  <c r="CM10" i="79"/>
  <c r="CL10" i="79"/>
  <c r="CK10" i="79"/>
  <c r="CJ10" i="79"/>
  <c r="CI10" i="79"/>
  <c r="CP9" i="79"/>
  <c r="CO9" i="79"/>
  <c r="CN9" i="79"/>
  <c r="CM9" i="79"/>
  <c r="CL9" i="79"/>
  <c r="CK9" i="79"/>
  <c r="CJ9" i="79"/>
  <c r="CI9" i="79"/>
  <c r="CP8" i="79"/>
  <c r="CO8" i="79"/>
  <c r="CN8" i="79"/>
  <c r="CM8" i="79"/>
  <c r="CL8" i="79"/>
  <c r="CK8" i="79"/>
  <c r="CJ8" i="79"/>
  <c r="CI8" i="79"/>
  <c r="CP7" i="79"/>
  <c r="CO7" i="79"/>
  <c r="CN7" i="79"/>
  <c r="CM7" i="79"/>
  <c r="CL7" i="79"/>
  <c r="CK7" i="79"/>
  <c r="CJ7" i="79"/>
  <c r="CI7" i="79"/>
  <c r="CP6" i="79"/>
  <c r="CO6" i="79"/>
  <c r="CN6" i="79"/>
  <c r="CM6" i="79"/>
  <c r="CL6" i="79"/>
  <c r="CK6" i="79"/>
  <c r="CJ6" i="79"/>
  <c r="CI6" i="79"/>
  <c r="CP5" i="79"/>
  <c r="CO5" i="79"/>
  <c r="CN5" i="79"/>
  <c r="CM5" i="79"/>
  <c r="CL5" i="79"/>
  <c r="CK5" i="79"/>
  <c r="CJ5" i="79"/>
  <c r="CI5" i="79"/>
  <c r="CP4" i="79"/>
  <c r="CO4" i="79"/>
  <c r="CN4" i="79"/>
  <c r="CM4" i="79"/>
  <c r="CL4" i="79"/>
  <c r="CK4" i="79"/>
  <c r="CJ4" i="79"/>
  <c r="CI4" i="79"/>
  <c r="CP3" i="79"/>
  <c r="CO3" i="79"/>
  <c r="CN3" i="79"/>
  <c r="CM3" i="79"/>
  <c r="CL3" i="79"/>
  <c r="CK3" i="79"/>
  <c r="CJ3" i="79"/>
  <c r="CI3" i="79"/>
  <c r="CP2" i="79"/>
  <c r="CO2" i="79"/>
  <c r="CN2" i="79"/>
  <c r="CM2" i="79"/>
  <c r="CL2" i="79"/>
  <c r="CK2" i="79"/>
  <c r="CJ2" i="79"/>
  <c r="CI2" i="79"/>
  <c r="BU175" i="79"/>
  <c r="BT175" i="79"/>
  <c r="BS175" i="79"/>
  <c r="BR175" i="79"/>
  <c r="BU174" i="79"/>
  <c r="BT174" i="79"/>
  <c r="BS174" i="79"/>
  <c r="BR174" i="79"/>
  <c r="BU173" i="79"/>
  <c r="BT173" i="79"/>
  <c r="BS173" i="79"/>
  <c r="BR173" i="79"/>
  <c r="BU168" i="79"/>
  <c r="BT168" i="79"/>
  <c r="BS168" i="79"/>
  <c r="BR168" i="79"/>
  <c r="BU167" i="79"/>
  <c r="BT167" i="79"/>
  <c r="BS167" i="79"/>
  <c r="BR167" i="79"/>
  <c r="BU166" i="79"/>
  <c r="BT166" i="79"/>
  <c r="BS166" i="79"/>
  <c r="BR166" i="79"/>
  <c r="BU165" i="79"/>
  <c r="BT165" i="79"/>
  <c r="BS165" i="79"/>
  <c r="BR165" i="79"/>
  <c r="BU164" i="79"/>
  <c r="BT164" i="79"/>
  <c r="BS164" i="79"/>
  <c r="BR164" i="79"/>
  <c r="BU163" i="79"/>
  <c r="BT163" i="79"/>
  <c r="BS163" i="79"/>
  <c r="BR163" i="79"/>
  <c r="BU162" i="79"/>
  <c r="BT162" i="79"/>
  <c r="BS162" i="79"/>
  <c r="BR162" i="79"/>
  <c r="BU161" i="79"/>
  <c r="BT161" i="79"/>
  <c r="BS161" i="79"/>
  <c r="BR161" i="79"/>
  <c r="BU160" i="79"/>
  <c r="BT160" i="79"/>
  <c r="BS160" i="79"/>
  <c r="BR160" i="79"/>
  <c r="BU159" i="79"/>
  <c r="BT159" i="79"/>
  <c r="BS159" i="79"/>
  <c r="BR159" i="79"/>
  <c r="BU158" i="79"/>
  <c r="BT158" i="79"/>
  <c r="BS158" i="79"/>
  <c r="BR158" i="79"/>
  <c r="BU157" i="79"/>
  <c r="BT157" i="79"/>
  <c r="BS157" i="79"/>
  <c r="BR157" i="79"/>
  <c r="BU156" i="79"/>
  <c r="BT156" i="79"/>
  <c r="BS156" i="79"/>
  <c r="BR156" i="79"/>
  <c r="BU155" i="79"/>
  <c r="BT155" i="79"/>
  <c r="BS155" i="79"/>
  <c r="BR155" i="79"/>
  <c r="BU154" i="79"/>
  <c r="BT154" i="79"/>
  <c r="BS154" i="79"/>
  <c r="BR154" i="79"/>
  <c r="BU153" i="79"/>
  <c r="BT153" i="79"/>
  <c r="BS153" i="79"/>
  <c r="BR153" i="79"/>
  <c r="BU152" i="79"/>
  <c r="BT152" i="79"/>
  <c r="BS152" i="79"/>
  <c r="BR152" i="79"/>
  <c r="BU151" i="79"/>
  <c r="BT151" i="79"/>
  <c r="BS151" i="79"/>
  <c r="BR151" i="79"/>
  <c r="BU150" i="79"/>
  <c r="BT150" i="79"/>
  <c r="BS150" i="79"/>
  <c r="BR150" i="79"/>
  <c r="BU149" i="79"/>
  <c r="BT149" i="79"/>
  <c r="BS149" i="79"/>
  <c r="BR149" i="79"/>
  <c r="BU148" i="79"/>
  <c r="BT148" i="79"/>
  <c r="BS148" i="79"/>
  <c r="BR148" i="79"/>
  <c r="BU147" i="79"/>
  <c r="BT147" i="79"/>
  <c r="BS147" i="79"/>
  <c r="BR147" i="79"/>
  <c r="BU146" i="79"/>
  <c r="BT146" i="79"/>
  <c r="BS146" i="79"/>
  <c r="BR146" i="79"/>
  <c r="BU145" i="79"/>
  <c r="BT145" i="79"/>
  <c r="BS145" i="79"/>
  <c r="BR145" i="79"/>
  <c r="BU144" i="79"/>
  <c r="BT144" i="79"/>
  <c r="BS144" i="79"/>
  <c r="BR144" i="79"/>
  <c r="BU143" i="79"/>
  <c r="BT143" i="79"/>
  <c r="BS143" i="79"/>
  <c r="BR143" i="79"/>
  <c r="BU142" i="79"/>
  <c r="BT142" i="79"/>
  <c r="BS142" i="79"/>
  <c r="BR142" i="79"/>
  <c r="BU141" i="79"/>
  <c r="BT141" i="79"/>
  <c r="BS141" i="79"/>
  <c r="BR141" i="79"/>
  <c r="BU140" i="79"/>
  <c r="BT140" i="79"/>
  <c r="BS140" i="79"/>
  <c r="BR140" i="79"/>
  <c r="BU139" i="79"/>
  <c r="BT139" i="79"/>
  <c r="BS139" i="79"/>
  <c r="BR139" i="79"/>
  <c r="BU138" i="79"/>
  <c r="BT138" i="79"/>
  <c r="BS138" i="79"/>
  <c r="BR138" i="79"/>
  <c r="BU137" i="79"/>
  <c r="BT137" i="79"/>
  <c r="BS137" i="79"/>
  <c r="BR137" i="79"/>
  <c r="BU136" i="79"/>
  <c r="BT136" i="79"/>
  <c r="BS136" i="79"/>
  <c r="BR136" i="79"/>
  <c r="BU135" i="79"/>
  <c r="BT135" i="79"/>
  <c r="BS135" i="79"/>
  <c r="BR135" i="79"/>
  <c r="BU134" i="79"/>
  <c r="BT134" i="79"/>
  <c r="BS134" i="79"/>
  <c r="BR134" i="79"/>
  <c r="BU133" i="79"/>
  <c r="BT133" i="79"/>
  <c r="BS133" i="79"/>
  <c r="BR133" i="79"/>
  <c r="BU132" i="79"/>
  <c r="BT132" i="79"/>
  <c r="BS132" i="79"/>
  <c r="BR132" i="79"/>
  <c r="BU131" i="79"/>
  <c r="BT131" i="79"/>
  <c r="BS131" i="79"/>
  <c r="BR131" i="79"/>
  <c r="BU130" i="79"/>
  <c r="BT130" i="79"/>
  <c r="BS130" i="79"/>
  <c r="BR130" i="79"/>
  <c r="BU129" i="79"/>
  <c r="BT129" i="79"/>
  <c r="BS129" i="79"/>
  <c r="BR129" i="79"/>
  <c r="BU128" i="79"/>
  <c r="BT128" i="79"/>
  <c r="BS128" i="79"/>
  <c r="BR128" i="79"/>
  <c r="BU127" i="79"/>
  <c r="BT127" i="79"/>
  <c r="BS127" i="79"/>
  <c r="BR127" i="79"/>
  <c r="BU126" i="79"/>
  <c r="BT126" i="79"/>
  <c r="BS126" i="79"/>
  <c r="BR126" i="79"/>
  <c r="BU125" i="79"/>
  <c r="BT125" i="79"/>
  <c r="BS125" i="79"/>
  <c r="BR125" i="79"/>
  <c r="BU124" i="79"/>
  <c r="BT124" i="79"/>
  <c r="BS124" i="79"/>
  <c r="BR124" i="79"/>
  <c r="BU123" i="79"/>
  <c r="BT123" i="79"/>
  <c r="BS123" i="79"/>
  <c r="BR123" i="79"/>
  <c r="BU122" i="79"/>
  <c r="BT122" i="79"/>
  <c r="BS122" i="79"/>
  <c r="BR122" i="79"/>
  <c r="BU121" i="79"/>
  <c r="BT121" i="79"/>
  <c r="BS121" i="79"/>
  <c r="BR121" i="79"/>
  <c r="BU120" i="79"/>
  <c r="BT120" i="79"/>
  <c r="BS120" i="79"/>
  <c r="BR120" i="79"/>
  <c r="BU119" i="79"/>
  <c r="BT119" i="79"/>
  <c r="BS119" i="79"/>
  <c r="BR119" i="79"/>
  <c r="BU118" i="79"/>
  <c r="BT118" i="79"/>
  <c r="BS118" i="79"/>
  <c r="BR118" i="79"/>
  <c r="BU117" i="79"/>
  <c r="BT117" i="79"/>
  <c r="BS117" i="79"/>
  <c r="BR117" i="79"/>
  <c r="BU116" i="79"/>
  <c r="BT116" i="79"/>
  <c r="BS116" i="79"/>
  <c r="BR116" i="79"/>
  <c r="BU115" i="79"/>
  <c r="BT115" i="79"/>
  <c r="BS115" i="79"/>
  <c r="BR115" i="79"/>
  <c r="BU114" i="79"/>
  <c r="BT114" i="79"/>
  <c r="BS114" i="79"/>
  <c r="BR114" i="79"/>
  <c r="BU113" i="79"/>
  <c r="BT113" i="79"/>
  <c r="BS113" i="79"/>
  <c r="BR113" i="79"/>
  <c r="BU112" i="79"/>
  <c r="BT112" i="79"/>
  <c r="BS112" i="79"/>
  <c r="BR112" i="79"/>
  <c r="BU111" i="79"/>
  <c r="BT111" i="79"/>
  <c r="BS111" i="79"/>
  <c r="BR111" i="79"/>
  <c r="BU110" i="79"/>
  <c r="BT110" i="79"/>
  <c r="BS110" i="79"/>
  <c r="BR110" i="79"/>
  <c r="BU109" i="79"/>
  <c r="BT109" i="79"/>
  <c r="BS109" i="79"/>
  <c r="BR109" i="79"/>
  <c r="BU108" i="79"/>
  <c r="BT108" i="79"/>
  <c r="BS108" i="79"/>
  <c r="BR108" i="79"/>
  <c r="BU107" i="79"/>
  <c r="BT107" i="79"/>
  <c r="BS107" i="79"/>
  <c r="BR107" i="79"/>
  <c r="BU106" i="79"/>
  <c r="BT106" i="79"/>
  <c r="BS106" i="79"/>
  <c r="BR106" i="79"/>
  <c r="BU105" i="79"/>
  <c r="BT105" i="79"/>
  <c r="BS105" i="79"/>
  <c r="BR105" i="79"/>
  <c r="BU104" i="79"/>
  <c r="BT104" i="79"/>
  <c r="BS104" i="79"/>
  <c r="BR104" i="79"/>
  <c r="BU103" i="79"/>
  <c r="BT103" i="79"/>
  <c r="BS103" i="79"/>
  <c r="BR103" i="79"/>
  <c r="BU102" i="79"/>
  <c r="BT102" i="79"/>
  <c r="BS102" i="79"/>
  <c r="BR102" i="79"/>
  <c r="BU101" i="79"/>
  <c r="BT101" i="79"/>
  <c r="BS101" i="79"/>
  <c r="BR101" i="79"/>
  <c r="BU100" i="79"/>
  <c r="BT100" i="79"/>
  <c r="BS100" i="79"/>
  <c r="BR100" i="79"/>
  <c r="BU99" i="79"/>
  <c r="BT99" i="79"/>
  <c r="BS99" i="79"/>
  <c r="BR99" i="79"/>
  <c r="BU98" i="79"/>
  <c r="BT98" i="79"/>
  <c r="BS98" i="79"/>
  <c r="BR98" i="79"/>
  <c r="BU97" i="79"/>
  <c r="BT97" i="79"/>
  <c r="BS97" i="79"/>
  <c r="BR97" i="79"/>
  <c r="BU96" i="79"/>
  <c r="BT96" i="79"/>
  <c r="BS96" i="79"/>
  <c r="BR96" i="79"/>
  <c r="BU95" i="79"/>
  <c r="BT95" i="79"/>
  <c r="BS95" i="79"/>
  <c r="BR95" i="79"/>
  <c r="BU94" i="79"/>
  <c r="BT94" i="79"/>
  <c r="BS94" i="79"/>
  <c r="BR94" i="79"/>
  <c r="BU93" i="79"/>
  <c r="BT93" i="79"/>
  <c r="BS93" i="79"/>
  <c r="BR93" i="79"/>
  <c r="BU92" i="79"/>
  <c r="BT92" i="79"/>
  <c r="BS92" i="79"/>
  <c r="BR92" i="79"/>
  <c r="BU91" i="79"/>
  <c r="BT91" i="79"/>
  <c r="BS91" i="79"/>
  <c r="BR91" i="79"/>
  <c r="BU90" i="79"/>
  <c r="BT90" i="79"/>
  <c r="BS90" i="79"/>
  <c r="BR90" i="79"/>
  <c r="BU89" i="79"/>
  <c r="BT89" i="79"/>
  <c r="BS89" i="79"/>
  <c r="BR89" i="79"/>
  <c r="BU88" i="79"/>
  <c r="BT88" i="79"/>
  <c r="BS88" i="79"/>
  <c r="BR88" i="79"/>
  <c r="BU87" i="79"/>
  <c r="BT87" i="79"/>
  <c r="BS87" i="79"/>
  <c r="BR87" i="79"/>
  <c r="BU86" i="79"/>
  <c r="BT86" i="79"/>
  <c r="BS86" i="79"/>
  <c r="BR86" i="79"/>
  <c r="BU85" i="79"/>
  <c r="BT85" i="79"/>
  <c r="BS85" i="79"/>
  <c r="BR85" i="79"/>
  <c r="BU84" i="79"/>
  <c r="BT84" i="79"/>
  <c r="BS84" i="79"/>
  <c r="BR84" i="79"/>
  <c r="BU83" i="79"/>
  <c r="BT83" i="79"/>
  <c r="BS83" i="79"/>
  <c r="BR83" i="79"/>
  <c r="BU82" i="79"/>
  <c r="BT82" i="79"/>
  <c r="BS82" i="79"/>
  <c r="BR82" i="79"/>
  <c r="BU81" i="79"/>
  <c r="BT81" i="79"/>
  <c r="BS81" i="79"/>
  <c r="BR81" i="79"/>
  <c r="BU80" i="79"/>
  <c r="BT80" i="79"/>
  <c r="BS80" i="79"/>
  <c r="BR80" i="79"/>
  <c r="BU79" i="79"/>
  <c r="BT79" i="79"/>
  <c r="BS79" i="79"/>
  <c r="BR79" i="79"/>
  <c r="BU78" i="79"/>
  <c r="BT78" i="79"/>
  <c r="BS78" i="79"/>
  <c r="BR78" i="79"/>
  <c r="BU77" i="79"/>
  <c r="BT77" i="79"/>
  <c r="BS77" i="79"/>
  <c r="BR77" i="79"/>
  <c r="BU76" i="79"/>
  <c r="BT76" i="79"/>
  <c r="BS76" i="79"/>
  <c r="BR76" i="79"/>
  <c r="BU75" i="79"/>
  <c r="BT75" i="79"/>
  <c r="BS75" i="79"/>
  <c r="BR75" i="79"/>
  <c r="BU74" i="79"/>
  <c r="BT74" i="79"/>
  <c r="BS74" i="79"/>
  <c r="BR74" i="79"/>
  <c r="BU73" i="79"/>
  <c r="BT73" i="79"/>
  <c r="BS73" i="79"/>
  <c r="BR73" i="79"/>
  <c r="BU72" i="79"/>
  <c r="BT72" i="79"/>
  <c r="BS72" i="79"/>
  <c r="BR72" i="79"/>
  <c r="BU71" i="79"/>
  <c r="BT71" i="79"/>
  <c r="BS71" i="79"/>
  <c r="BR71" i="79"/>
  <c r="BU70" i="79"/>
  <c r="BT70" i="79"/>
  <c r="BS70" i="79"/>
  <c r="BR70" i="79"/>
  <c r="BU69" i="79"/>
  <c r="BT69" i="79"/>
  <c r="BS69" i="79"/>
  <c r="BR69" i="79"/>
  <c r="BU68" i="79"/>
  <c r="BT68" i="79"/>
  <c r="BS68" i="79"/>
  <c r="BR68" i="79"/>
  <c r="BU67" i="79"/>
  <c r="BT67" i="79"/>
  <c r="BS67" i="79"/>
  <c r="BR67" i="79"/>
  <c r="BU66" i="79"/>
  <c r="BT66" i="79"/>
  <c r="BS66" i="79"/>
  <c r="BR66" i="79"/>
  <c r="BU65" i="79"/>
  <c r="BT65" i="79"/>
  <c r="BS65" i="79"/>
  <c r="BR65" i="79"/>
  <c r="BU64" i="79"/>
  <c r="BT64" i="79"/>
  <c r="BS64" i="79"/>
  <c r="BR64" i="79"/>
  <c r="BU63" i="79"/>
  <c r="BT63" i="79"/>
  <c r="BS63" i="79"/>
  <c r="BR63" i="79"/>
  <c r="BU62" i="79"/>
  <c r="BT62" i="79"/>
  <c r="BS62" i="79"/>
  <c r="BR62" i="79"/>
  <c r="BU61" i="79"/>
  <c r="BT61" i="79"/>
  <c r="BS61" i="79"/>
  <c r="BR61" i="79"/>
  <c r="BU60" i="79"/>
  <c r="BT60" i="79"/>
  <c r="BS60" i="79"/>
  <c r="BR60" i="79"/>
  <c r="BU59" i="79"/>
  <c r="BT59" i="79"/>
  <c r="BS59" i="79"/>
  <c r="BR59" i="79"/>
  <c r="BU58" i="79"/>
  <c r="BT58" i="79"/>
  <c r="BS58" i="79"/>
  <c r="BR58" i="79"/>
  <c r="BU57" i="79"/>
  <c r="BT57" i="79"/>
  <c r="BS57" i="79"/>
  <c r="BR57" i="79"/>
  <c r="BU56" i="79"/>
  <c r="BT56" i="79"/>
  <c r="BS56" i="79"/>
  <c r="BR56" i="79"/>
  <c r="BU55" i="79"/>
  <c r="BT55" i="79"/>
  <c r="BS55" i="79"/>
  <c r="BR55" i="79"/>
  <c r="BU54" i="79"/>
  <c r="BT54" i="79"/>
  <c r="BS54" i="79"/>
  <c r="BR54" i="79"/>
  <c r="BU53" i="79"/>
  <c r="BT53" i="79"/>
  <c r="BS53" i="79"/>
  <c r="BR53" i="79"/>
  <c r="BU52" i="79"/>
  <c r="BT52" i="79"/>
  <c r="BS52" i="79"/>
  <c r="BR52" i="79"/>
  <c r="BU51" i="79"/>
  <c r="BT51" i="79"/>
  <c r="BS51" i="79"/>
  <c r="BR51" i="79"/>
  <c r="BU50" i="79"/>
  <c r="BT50" i="79"/>
  <c r="BS50" i="79"/>
  <c r="BR50" i="79"/>
  <c r="BU49" i="79"/>
  <c r="BT49" i="79"/>
  <c r="BS49" i="79"/>
  <c r="BR49" i="79"/>
  <c r="BU48" i="79"/>
  <c r="BT48" i="79"/>
  <c r="BS48" i="79"/>
  <c r="BR48" i="79"/>
  <c r="BU47" i="79"/>
  <c r="BT47" i="79"/>
  <c r="BS47" i="79"/>
  <c r="BR47" i="79"/>
  <c r="BU46" i="79"/>
  <c r="BT46" i="79"/>
  <c r="BS46" i="79"/>
  <c r="BR46" i="79"/>
  <c r="BU45" i="79"/>
  <c r="BT45" i="79"/>
  <c r="BS45" i="79"/>
  <c r="BR45" i="79"/>
  <c r="BU44" i="79"/>
  <c r="BT44" i="79"/>
  <c r="BS44" i="79"/>
  <c r="BR44" i="79"/>
  <c r="BU43" i="79"/>
  <c r="BT43" i="79"/>
  <c r="BS43" i="79"/>
  <c r="BR43" i="79"/>
  <c r="BU42" i="79"/>
  <c r="BT42" i="79"/>
  <c r="BS42" i="79"/>
  <c r="BR42" i="79"/>
  <c r="BU41" i="79"/>
  <c r="BT41" i="79"/>
  <c r="BS41" i="79"/>
  <c r="BR41" i="79"/>
  <c r="BU40" i="79"/>
  <c r="BT40" i="79"/>
  <c r="BS40" i="79"/>
  <c r="BR40" i="79"/>
  <c r="BU39" i="79"/>
  <c r="BT39" i="79"/>
  <c r="BS39" i="79"/>
  <c r="BR39" i="79"/>
  <c r="BU38" i="79"/>
  <c r="BT38" i="79"/>
  <c r="BS38" i="79"/>
  <c r="BR38" i="79"/>
  <c r="BU37" i="79"/>
  <c r="BT37" i="79"/>
  <c r="BS37" i="79"/>
  <c r="BR37" i="79"/>
  <c r="BU36" i="79"/>
  <c r="BT36" i="79"/>
  <c r="BS36" i="79"/>
  <c r="BR36" i="79"/>
  <c r="BU35" i="79"/>
  <c r="BT35" i="79"/>
  <c r="BS35" i="79"/>
  <c r="BR35" i="79"/>
  <c r="BU34" i="79"/>
  <c r="BT34" i="79"/>
  <c r="BS34" i="79"/>
  <c r="BR34" i="79"/>
  <c r="BU33" i="79"/>
  <c r="BT33" i="79"/>
  <c r="BS33" i="79"/>
  <c r="BR33" i="79"/>
  <c r="BU32" i="79"/>
  <c r="BT32" i="79"/>
  <c r="BS32" i="79"/>
  <c r="BR32" i="79"/>
  <c r="BU31" i="79"/>
  <c r="BT31" i="79"/>
  <c r="BS31" i="79"/>
  <c r="BR31" i="79"/>
  <c r="BU30" i="79"/>
  <c r="BT30" i="79"/>
  <c r="BS30" i="79"/>
  <c r="BR30" i="79"/>
  <c r="BU29" i="79"/>
  <c r="BT29" i="79"/>
  <c r="BS29" i="79"/>
  <c r="BR29" i="79"/>
  <c r="BU28" i="79"/>
  <c r="BT28" i="79"/>
  <c r="BS28" i="79"/>
  <c r="BR28" i="79"/>
  <c r="BU27" i="79"/>
  <c r="BT27" i="79"/>
  <c r="BS27" i="79"/>
  <c r="BR27" i="79"/>
  <c r="BU26" i="79"/>
  <c r="BT26" i="79"/>
  <c r="BS26" i="79"/>
  <c r="BR26" i="79"/>
  <c r="BU25" i="79"/>
  <c r="BT25" i="79"/>
  <c r="BS25" i="79"/>
  <c r="BR25" i="79"/>
  <c r="BU24" i="79"/>
  <c r="BT24" i="79"/>
  <c r="BS24" i="79"/>
  <c r="BR24" i="79"/>
  <c r="BU23" i="79"/>
  <c r="BT23" i="79"/>
  <c r="BS23" i="79"/>
  <c r="BR23" i="79"/>
  <c r="BU22" i="79"/>
  <c r="BT22" i="79"/>
  <c r="BS22" i="79"/>
  <c r="BR22" i="79"/>
  <c r="BU21" i="79"/>
  <c r="BT21" i="79"/>
  <c r="BS21" i="79"/>
  <c r="BR21" i="79"/>
  <c r="BU20" i="79"/>
  <c r="BT20" i="79"/>
  <c r="BS20" i="79"/>
  <c r="BR20" i="79"/>
  <c r="BU19" i="79"/>
  <c r="BT19" i="79"/>
  <c r="BS19" i="79"/>
  <c r="BR19" i="79"/>
  <c r="BU18" i="79"/>
  <c r="BT18" i="79"/>
  <c r="BS18" i="79"/>
  <c r="BR18" i="79"/>
  <c r="BU17" i="79"/>
  <c r="BT17" i="79"/>
  <c r="BS17" i="79"/>
  <c r="BR17" i="79"/>
  <c r="BU16" i="79"/>
  <c r="BT16" i="79"/>
  <c r="BS16" i="79"/>
  <c r="BR16" i="79"/>
  <c r="BU15" i="79"/>
  <c r="BT15" i="79"/>
  <c r="BS15" i="79"/>
  <c r="BR15" i="79"/>
  <c r="BU14" i="79"/>
  <c r="BT14" i="79"/>
  <c r="BS14" i="79"/>
  <c r="BR14" i="79"/>
  <c r="BU13" i="79"/>
  <c r="BT13" i="79"/>
  <c r="BS13" i="79"/>
  <c r="BR13" i="79"/>
  <c r="BU12" i="79"/>
  <c r="BT12" i="79"/>
  <c r="BS12" i="79"/>
  <c r="BR12" i="79"/>
  <c r="BU11" i="79"/>
  <c r="BT11" i="79"/>
  <c r="BS11" i="79"/>
  <c r="BR11" i="79"/>
  <c r="BU10" i="79"/>
  <c r="BT10" i="79"/>
  <c r="BS10" i="79"/>
  <c r="BR10" i="79"/>
  <c r="BU9" i="79"/>
  <c r="BT9" i="79"/>
  <c r="BS9" i="79"/>
  <c r="BR9" i="79"/>
  <c r="BU8" i="79"/>
  <c r="BT8" i="79"/>
  <c r="BS8" i="79"/>
  <c r="BR8" i="79"/>
  <c r="BU7" i="79"/>
  <c r="BT7" i="79"/>
  <c r="BS7" i="79"/>
  <c r="BR7" i="79"/>
  <c r="BU6" i="79"/>
  <c r="BT6" i="79"/>
  <c r="BS6" i="79"/>
  <c r="BR6" i="79"/>
  <c r="BU5" i="79"/>
  <c r="BT5" i="79"/>
  <c r="BS5" i="79"/>
  <c r="BR5" i="79"/>
  <c r="BU4" i="79"/>
  <c r="BT4" i="79"/>
  <c r="BS4" i="79"/>
  <c r="BR4" i="79"/>
  <c r="BU3" i="79"/>
  <c r="BT3" i="79"/>
  <c r="BS3" i="79"/>
  <c r="BR3" i="79"/>
  <c r="BU2" i="79"/>
  <c r="BT2" i="79"/>
  <c r="BS2" i="79"/>
  <c r="BR2" i="79"/>
  <c r="BO175" i="79"/>
  <c r="BN175" i="79"/>
  <c r="BM175" i="79"/>
  <c r="BL175" i="79"/>
  <c r="BK175" i="79"/>
  <c r="BJ175" i="79"/>
  <c r="BI175" i="79"/>
  <c r="BH175" i="79"/>
  <c r="BG175" i="79"/>
  <c r="BF175" i="79"/>
  <c r="BE175" i="79"/>
  <c r="BD175" i="79"/>
  <c r="BC175" i="79"/>
  <c r="BB175" i="79"/>
  <c r="BA175" i="79"/>
  <c r="AZ175" i="79"/>
  <c r="AY175" i="79"/>
  <c r="BO174" i="79"/>
  <c r="BN174" i="79"/>
  <c r="BM174" i="79"/>
  <c r="BL174" i="79"/>
  <c r="BK174" i="79"/>
  <c r="BJ174" i="79"/>
  <c r="BI174" i="79"/>
  <c r="BH174" i="79"/>
  <c r="BG174" i="79"/>
  <c r="BF174" i="79"/>
  <c r="BE174" i="79"/>
  <c r="BD174" i="79"/>
  <c r="BC174" i="79"/>
  <c r="BB174" i="79"/>
  <c r="BA174" i="79"/>
  <c r="AZ174" i="79"/>
  <c r="AY174" i="79"/>
  <c r="BO173" i="79"/>
  <c r="BN173" i="79"/>
  <c r="BM173" i="79"/>
  <c r="BL173" i="79"/>
  <c r="BK173" i="79"/>
  <c r="BJ173" i="79"/>
  <c r="BI173" i="79"/>
  <c r="BH173" i="79"/>
  <c r="BG173" i="79"/>
  <c r="BF173" i="79"/>
  <c r="BE173" i="79"/>
  <c r="BD173" i="79"/>
  <c r="BC173" i="79"/>
  <c r="BB173" i="79"/>
  <c r="BA173" i="79"/>
  <c r="AZ173" i="79"/>
  <c r="AY173" i="79"/>
  <c r="BO168" i="79"/>
  <c r="BN168" i="79"/>
  <c r="BM168" i="79"/>
  <c r="BL168" i="79"/>
  <c r="BK168" i="79"/>
  <c r="BJ168" i="79"/>
  <c r="BI168" i="79"/>
  <c r="BH168" i="79"/>
  <c r="BG168" i="79"/>
  <c r="BF168" i="79"/>
  <c r="BE168" i="79"/>
  <c r="BD168" i="79"/>
  <c r="BC168" i="79"/>
  <c r="BB168" i="79"/>
  <c r="BA168" i="79"/>
  <c r="AZ168" i="79"/>
  <c r="AY168" i="79"/>
  <c r="BO167" i="79"/>
  <c r="BN167" i="79"/>
  <c r="BM167" i="79"/>
  <c r="BL167" i="79"/>
  <c r="BK167" i="79"/>
  <c r="BJ167" i="79"/>
  <c r="BI167" i="79"/>
  <c r="BH167" i="79"/>
  <c r="BG167" i="79"/>
  <c r="BF167" i="79"/>
  <c r="BE167" i="79"/>
  <c r="BD167" i="79"/>
  <c r="BC167" i="79"/>
  <c r="BB167" i="79"/>
  <c r="BA167" i="79"/>
  <c r="AZ167" i="79"/>
  <c r="AY167" i="79"/>
  <c r="BO166" i="79"/>
  <c r="BN166" i="79"/>
  <c r="BM166" i="79"/>
  <c r="BL166" i="79"/>
  <c r="BK166" i="79"/>
  <c r="BJ166" i="79"/>
  <c r="BI166" i="79"/>
  <c r="BH166" i="79"/>
  <c r="BG166" i="79"/>
  <c r="BF166" i="79"/>
  <c r="BE166" i="79"/>
  <c r="BD166" i="79"/>
  <c r="BC166" i="79"/>
  <c r="BB166" i="79"/>
  <c r="BA166" i="79"/>
  <c r="AZ166" i="79"/>
  <c r="AY166" i="79"/>
  <c r="BO165" i="79"/>
  <c r="BN165" i="79"/>
  <c r="BM165" i="79"/>
  <c r="BL165" i="79"/>
  <c r="BK165" i="79"/>
  <c r="BJ165" i="79"/>
  <c r="BI165" i="79"/>
  <c r="BH165" i="79"/>
  <c r="BG165" i="79"/>
  <c r="BF165" i="79"/>
  <c r="BE165" i="79"/>
  <c r="BD165" i="79"/>
  <c r="BC165" i="79"/>
  <c r="BB165" i="79"/>
  <c r="BA165" i="79"/>
  <c r="AZ165" i="79"/>
  <c r="AY165" i="79"/>
  <c r="BO164" i="79"/>
  <c r="BN164" i="79"/>
  <c r="BM164" i="79"/>
  <c r="BL164" i="79"/>
  <c r="BK164" i="79"/>
  <c r="BJ164" i="79"/>
  <c r="BI164" i="79"/>
  <c r="BH164" i="79"/>
  <c r="BG164" i="79"/>
  <c r="BF164" i="79"/>
  <c r="BE164" i="79"/>
  <c r="BD164" i="79"/>
  <c r="BC164" i="79"/>
  <c r="BB164" i="79"/>
  <c r="BA164" i="79"/>
  <c r="AZ164" i="79"/>
  <c r="AY164" i="79"/>
  <c r="BO163" i="79"/>
  <c r="BN163" i="79"/>
  <c r="BM163" i="79"/>
  <c r="BL163" i="79"/>
  <c r="BK163" i="79"/>
  <c r="BJ163" i="79"/>
  <c r="BI163" i="79"/>
  <c r="BH163" i="79"/>
  <c r="BG163" i="79"/>
  <c r="BF163" i="79"/>
  <c r="BE163" i="79"/>
  <c r="BD163" i="79"/>
  <c r="BC163" i="79"/>
  <c r="BB163" i="79"/>
  <c r="BA163" i="79"/>
  <c r="AZ163" i="79"/>
  <c r="AY163" i="79"/>
  <c r="BO162" i="79"/>
  <c r="BN162" i="79"/>
  <c r="BM162" i="79"/>
  <c r="BL162" i="79"/>
  <c r="BK162" i="79"/>
  <c r="BJ162" i="79"/>
  <c r="BI162" i="79"/>
  <c r="BH162" i="79"/>
  <c r="BG162" i="79"/>
  <c r="BF162" i="79"/>
  <c r="BE162" i="79"/>
  <c r="BD162" i="79"/>
  <c r="BC162" i="79"/>
  <c r="BB162" i="79"/>
  <c r="BA162" i="79"/>
  <c r="AZ162" i="79"/>
  <c r="AY162" i="79"/>
  <c r="BO161" i="79"/>
  <c r="BN161" i="79"/>
  <c r="BM161" i="79"/>
  <c r="BL161" i="79"/>
  <c r="BK161" i="79"/>
  <c r="BJ161" i="79"/>
  <c r="BI161" i="79"/>
  <c r="BH161" i="79"/>
  <c r="BG161" i="79"/>
  <c r="BF161" i="79"/>
  <c r="BE161" i="79"/>
  <c r="BD161" i="79"/>
  <c r="BC161" i="79"/>
  <c r="BB161" i="79"/>
  <c r="BA161" i="79"/>
  <c r="AZ161" i="79"/>
  <c r="AY161" i="79"/>
  <c r="BO160" i="79"/>
  <c r="BN160" i="79"/>
  <c r="BM160" i="79"/>
  <c r="BL160" i="79"/>
  <c r="BK160" i="79"/>
  <c r="BJ160" i="79"/>
  <c r="BI160" i="79"/>
  <c r="BH160" i="79"/>
  <c r="BG160" i="79"/>
  <c r="BF160" i="79"/>
  <c r="BE160" i="79"/>
  <c r="BD160" i="79"/>
  <c r="BC160" i="79"/>
  <c r="BB160" i="79"/>
  <c r="BA160" i="79"/>
  <c r="AZ160" i="79"/>
  <c r="AY160" i="79"/>
  <c r="BO159" i="79"/>
  <c r="BN159" i="79"/>
  <c r="BM159" i="79"/>
  <c r="BL159" i="79"/>
  <c r="BK159" i="79"/>
  <c r="BJ159" i="79"/>
  <c r="BI159" i="79"/>
  <c r="BH159" i="79"/>
  <c r="BG159" i="79"/>
  <c r="BF159" i="79"/>
  <c r="BE159" i="79"/>
  <c r="BD159" i="79"/>
  <c r="BC159" i="79"/>
  <c r="BB159" i="79"/>
  <c r="BA159" i="79"/>
  <c r="AZ159" i="79"/>
  <c r="AY159" i="79"/>
  <c r="BO158" i="79"/>
  <c r="BN158" i="79"/>
  <c r="BM158" i="79"/>
  <c r="BL158" i="79"/>
  <c r="BK158" i="79"/>
  <c r="BJ158" i="79"/>
  <c r="BI158" i="79"/>
  <c r="BH158" i="79"/>
  <c r="BG158" i="79"/>
  <c r="BF158" i="79"/>
  <c r="BE158" i="79"/>
  <c r="BD158" i="79"/>
  <c r="BC158" i="79"/>
  <c r="BB158" i="79"/>
  <c r="BA158" i="79"/>
  <c r="AZ158" i="79"/>
  <c r="AY158" i="79"/>
  <c r="BO157" i="79"/>
  <c r="BN157" i="79"/>
  <c r="BM157" i="79"/>
  <c r="BL157" i="79"/>
  <c r="BK157" i="79"/>
  <c r="BJ157" i="79"/>
  <c r="BI157" i="79"/>
  <c r="BH157" i="79"/>
  <c r="BG157" i="79"/>
  <c r="BF157" i="79"/>
  <c r="BE157" i="79"/>
  <c r="BD157" i="79"/>
  <c r="BC157" i="79"/>
  <c r="BB157" i="79"/>
  <c r="BA157" i="79"/>
  <c r="AZ157" i="79"/>
  <c r="AY157" i="79"/>
  <c r="BO156" i="79"/>
  <c r="BN156" i="79"/>
  <c r="BM156" i="79"/>
  <c r="BL156" i="79"/>
  <c r="BK156" i="79"/>
  <c r="BJ156" i="79"/>
  <c r="BI156" i="79"/>
  <c r="BH156" i="79"/>
  <c r="BG156" i="79"/>
  <c r="BF156" i="79"/>
  <c r="BE156" i="79"/>
  <c r="BD156" i="79"/>
  <c r="BC156" i="79"/>
  <c r="BB156" i="79"/>
  <c r="BA156" i="79"/>
  <c r="AZ156" i="79"/>
  <c r="AY156" i="79"/>
  <c r="BO155" i="79"/>
  <c r="BN155" i="79"/>
  <c r="BM155" i="79"/>
  <c r="BL155" i="79"/>
  <c r="BK155" i="79"/>
  <c r="BJ155" i="79"/>
  <c r="BI155" i="79"/>
  <c r="BH155" i="79"/>
  <c r="BG155" i="79"/>
  <c r="BF155" i="79"/>
  <c r="BE155" i="79"/>
  <c r="BD155" i="79"/>
  <c r="BC155" i="79"/>
  <c r="BB155" i="79"/>
  <c r="BA155" i="79"/>
  <c r="AZ155" i="79"/>
  <c r="AY155" i="79"/>
  <c r="BO154" i="79"/>
  <c r="BN154" i="79"/>
  <c r="BM154" i="79"/>
  <c r="BL154" i="79"/>
  <c r="BK154" i="79"/>
  <c r="BJ154" i="79"/>
  <c r="BI154" i="79"/>
  <c r="BH154" i="79"/>
  <c r="BG154" i="79"/>
  <c r="BF154" i="79"/>
  <c r="BE154" i="79"/>
  <c r="BD154" i="79"/>
  <c r="BC154" i="79"/>
  <c r="BB154" i="79"/>
  <c r="BA154" i="79"/>
  <c r="AZ154" i="79"/>
  <c r="AY154" i="79"/>
  <c r="BO153" i="79"/>
  <c r="BN153" i="79"/>
  <c r="BM153" i="79"/>
  <c r="BL153" i="79"/>
  <c r="BK153" i="79"/>
  <c r="BJ153" i="79"/>
  <c r="BI153" i="79"/>
  <c r="BH153" i="79"/>
  <c r="BG153" i="79"/>
  <c r="BF153" i="79"/>
  <c r="BE153" i="79"/>
  <c r="BD153" i="79"/>
  <c r="BC153" i="79"/>
  <c r="BB153" i="79"/>
  <c r="BA153" i="79"/>
  <c r="AZ153" i="79"/>
  <c r="AY153" i="79"/>
  <c r="BO152" i="79"/>
  <c r="BN152" i="79"/>
  <c r="BM152" i="79"/>
  <c r="BL152" i="79"/>
  <c r="BK152" i="79"/>
  <c r="BJ152" i="79"/>
  <c r="BI152" i="79"/>
  <c r="BH152" i="79"/>
  <c r="BG152" i="79"/>
  <c r="BF152" i="79"/>
  <c r="BE152" i="79"/>
  <c r="BD152" i="79"/>
  <c r="BC152" i="79"/>
  <c r="BB152" i="79"/>
  <c r="BA152" i="79"/>
  <c r="AZ152" i="79"/>
  <c r="AY152" i="79"/>
  <c r="BO151" i="79"/>
  <c r="BN151" i="79"/>
  <c r="BM151" i="79"/>
  <c r="BL151" i="79"/>
  <c r="BK151" i="79"/>
  <c r="BJ151" i="79"/>
  <c r="BI151" i="79"/>
  <c r="BH151" i="79"/>
  <c r="BG151" i="79"/>
  <c r="BF151" i="79"/>
  <c r="BE151" i="79"/>
  <c r="BD151" i="79"/>
  <c r="BC151" i="79"/>
  <c r="BB151" i="79"/>
  <c r="BA151" i="79"/>
  <c r="AZ151" i="79"/>
  <c r="AY151" i="79"/>
  <c r="BO150" i="79"/>
  <c r="BN150" i="79"/>
  <c r="BM150" i="79"/>
  <c r="BL150" i="79"/>
  <c r="BK150" i="79"/>
  <c r="BJ150" i="79"/>
  <c r="BI150" i="79"/>
  <c r="BH150" i="79"/>
  <c r="BG150" i="79"/>
  <c r="BF150" i="79"/>
  <c r="BE150" i="79"/>
  <c r="BD150" i="79"/>
  <c r="BC150" i="79"/>
  <c r="BB150" i="79"/>
  <c r="BA150" i="79"/>
  <c r="AZ150" i="79"/>
  <c r="AY150" i="79"/>
  <c r="BO149" i="79"/>
  <c r="BN149" i="79"/>
  <c r="BM149" i="79"/>
  <c r="BL149" i="79"/>
  <c r="BK149" i="79"/>
  <c r="BJ149" i="79"/>
  <c r="BI149" i="79"/>
  <c r="BH149" i="79"/>
  <c r="BG149" i="79"/>
  <c r="BF149" i="79"/>
  <c r="BE149" i="79"/>
  <c r="BD149" i="79"/>
  <c r="BC149" i="79"/>
  <c r="BB149" i="79"/>
  <c r="BA149" i="79"/>
  <c r="AZ149" i="79"/>
  <c r="AY149" i="79"/>
  <c r="BO148" i="79"/>
  <c r="BN148" i="79"/>
  <c r="BM148" i="79"/>
  <c r="BL148" i="79"/>
  <c r="BK148" i="79"/>
  <c r="BJ148" i="79"/>
  <c r="BI148" i="79"/>
  <c r="BH148" i="79"/>
  <c r="BG148" i="79"/>
  <c r="BF148" i="79"/>
  <c r="BE148" i="79"/>
  <c r="BD148" i="79"/>
  <c r="BC148" i="79"/>
  <c r="BB148" i="79"/>
  <c r="BA148" i="79"/>
  <c r="AZ148" i="79"/>
  <c r="AY148" i="79"/>
  <c r="BO147" i="79"/>
  <c r="BN147" i="79"/>
  <c r="BM147" i="79"/>
  <c r="BL147" i="79"/>
  <c r="BK147" i="79"/>
  <c r="BJ147" i="79"/>
  <c r="BI147" i="79"/>
  <c r="BH147" i="79"/>
  <c r="BG147" i="79"/>
  <c r="BF147" i="79"/>
  <c r="BE147" i="79"/>
  <c r="BD147" i="79"/>
  <c r="BC147" i="79"/>
  <c r="BB147" i="79"/>
  <c r="BA147" i="79"/>
  <c r="AZ147" i="79"/>
  <c r="AY147" i="79"/>
  <c r="BO146" i="79"/>
  <c r="BN146" i="79"/>
  <c r="BM146" i="79"/>
  <c r="BL146" i="79"/>
  <c r="BK146" i="79"/>
  <c r="BJ146" i="79"/>
  <c r="BI146" i="79"/>
  <c r="BH146" i="79"/>
  <c r="BG146" i="79"/>
  <c r="BF146" i="79"/>
  <c r="BE146" i="79"/>
  <c r="BD146" i="79"/>
  <c r="BC146" i="79"/>
  <c r="BB146" i="79"/>
  <c r="BA146" i="79"/>
  <c r="AZ146" i="79"/>
  <c r="AY146" i="79"/>
  <c r="BO145" i="79"/>
  <c r="BN145" i="79"/>
  <c r="BM145" i="79"/>
  <c r="BL145" i="79"/>
  <c r="BK145" i="79"/>
  <c r="BJ145" i="79"/>
  <c r="BI145" i="79"/>
  <c r="BH145" i="79"/>
  <c r="BG145" i="79"/>
  <c r="BF145" i="79"/>
  <c r="BE145" i="79"/>
  <c r="BD145" i="79"/>
  <c r="BC145" i="79"/>
  <c r="BB145" i="79"/>
  <c r="BA145" i="79"/>
  <c r="AZ145" i="79"/>
  <c r="AY145" i="79"/>
  <c r="BO144" i="79"/>
  <c r="BN144" i="79"/>
  <c r="BM144" i="79"/>
  <c r="BL144" i="79"/>
  <c r="BK144" i="79"/>
  <c r="BJ144" i="79"/>
  <c r="BI144" i="79"/>
  <c r="BH144" i="79"/>
  <c r="BG144" i="79"/>
  <c r="BF144" i="79"/>
  <c r="BE144" i="79"/>
  <c r="BD144" i="79"/>
  <c r="BC144" i="79"/>
  <c r="BB144" i="79"/>
  <c r="BA144" i="79"/>
  <c r="AZ144" i="79"/>
  <c r="AY144" i="79"/>
  <c r="BO143" i="79"/>
  <c r="BN143" i="79"/>
  <c r="BM143" i="79"/>
  <c r="BL143" i="79"/>
  <c r="BK143" i="79"/>
  <c r="BJ143" i="79"/>
  <c r="BI143" i="79"/>
  <c r="BH143" i="79"/>
  <c r="BG143" i="79"/>
  <c r="BF143" i="79"/>
  <c r="BE143" i="79"/>
  <c r="BD143" i="79"/>
  <c r="BC143" i="79"/>
  <c r="BB143" i="79"/>
  <c r="BA143" i="79"/>
  <c r="AZ143" i="79"/>
  <c r="AY143" i="79"/>
  <c r="BO142" i="79"/>
  <c r="BN142" i="79"/>
  <c r="BM142" i="79"/>
  <c r="BL142" i="79"/>
  <c r="BK142" i="79"/>
  <c r="BJ142" i="79"/>
  <c r="BI142" i="79"/>
  <c r="BH142" i="79"/>
  <c r="BG142" i="79"/>
  <c r="BF142" i="79"/>
  <c r="BE142" i="79"/>
  <c r="BD142" i="79"/>
  <c r="BC142" i="79"/>
  <c r="BB142" i="79"/>
  <c r="BA142" i="79"/>
  <c r="AZ142" i="79"/>
  <c r="AY142" i="79"/>
  <c r="BO141" i="79"/>
  <c r="BN141" i="79"/>
  <c r="BM141" i="79"/>
  <c r="BL141" i="79"/>
  <c r="BK141" i="79"/>
  <c r="BJ141" i="79"/>
  <c r="BI141" i="79"/>
  <c r="BH141" i="79"/>
  <c r="BG141" i="79"/>
  <c r="BF141" i="79"/>
  <c r="BE141" i="79"/>
  <c r="BD141" i="79"/>
  <c r="BC141" i="79"/>
  <c r="BB141" i="79"/>
  <c r="BA141" i="79"/>
  <c r="AZ141" i="79"/>
  <c r="AY141" i="79"/>
  <c r="BO140" i="79"/>
  <c r="BN140" i="79"/>
  <c r="BM140" i="79"/>
  <c r="BL140" i="79"/>
  <c r="BK140" i="79"/>
  <c r="BJ140" i="79"/>
  <c r="BI140" i="79"/>
  <c r="BH140" i="79"/>
  <c r="BG140" i="79"/>
  <c r="BF140" i="79"/>
  <c r="BE140" i="79"/>
  <c r="BD140" i="79"/>
  <c r="BC140" i="79"/>
  <c r="BB140" i="79"/>
  <c r="BA140" i="79"/>
  <c r="AZ140" i="79"/>
  <c r="AY140" i="79"/>
  <c r="BO139" i="79"/>
  <c r="BN139" i="79"/>
  <c r="BM139" i="79"/>
  <c r="BL139" i="79"/>
  <c r="BK139" i="79"/>
  <c r="BJ139" i="79"/>
  <c r="BI139" i="79"/>
  <c r="BH139" i="79"/>
  <c r="BG139" i="79"/>
  <c r="BF139" i="79"/>
  <c r="BE139" i="79"/>
  <c r="BD139" i="79"/>
  <c r="BC139" i="79"/>
  <c r="BB139" i="79"/>
  <c r="BA139" i="79"/>
  <c r="AZ139" i="79"/>
  <c r="AY139" i="79"/>
  <c r="BO138" i="79"/>
  <c r="BN138" i="79"/>
  <c r="BM138" i="79"/>
  <c r="BL138" i="79"/>
  <c r="BK138" i="79"/>
  <c r="BJ138" i="79"/>
  <c r="BI138" i="79"/>
  <c r="BH138" i="79"/>
  <c r="BG138" i="79"/>
  <c r="BF138" i="79"/>
  <c r="BE138" i="79"/>
  <c r="BD138" i="79"/>
  <c r="BC138" i="79"/>
  <c r="BB138" i="79"/>
  <c r="BA138" i="79"/>
  <c r="AZ138" i="79"/>
  <c r="AY138" i="79"/>
  <c r="BO137" i="79"/>
  <c r="BN137" i="79"/>
  <c r="BM137" i="79"/>
  <c r="BL137" i="79"/>
  <c r="BK137" i="79"/>
  <c r="BJ137" i="79"/>
  <c r="BI137" i="79"/>
  <c r="BH137" i="79"/>
  <c r="BG137" i="79"/>
  <c r="BF137" i="79"/>
  <c r="BE137" i="79"/>
  <c r="BD137" i="79"/>
  <c r="BC137" i="79"/>
  <c r="BB137" i="79"/>
  <c r="BA137" i="79"/>
  <c r="AZ137" i="79"/>
  <c r="AY137" i="79"/>
  <c r="BO136" i="79"/>
  <c r="BN136" i="79"/>
  <c r="BM136" i="79"/>
  <c r="BL136" i="79"/>
  <c r="BK136" i="79"/>
  <c r="BJ136" i="79"/>
  <c r="BI136" i="79"/>
  <c r="BH136" i="79"/>
  <c r="BG136" i="79"/>
  <c r="BF136" i="79"/>
  <c r="BE136" i="79"/>
  <c r="BD136" i="79"/>
  <c r="BC136" i="79"/>
  <c r="BB136" i="79"/>
  <c r="BA136" i="79"/>
  <c r="AZ136" i="79"/>
  <c r="AY136" i="79"/>
  <c r="BO135" i="79"/>
  <c r="BN135" i="79"/>
  <c r="BM135" i="79"/>
  <c r="BL135" i="79"/>
  <c r="BK135" i="79"/>
  <c r="BJ135" i="79"/>
  <c r="BI135" i="79"/>
  <c r="BH135" i="79"/>
  <c r="BG135" i="79"/>
  <c r="BF135" i="79"/>
  <c r="BE135" i="79"/>
  <c r="BD135" i="79"/>
  <c r="BC135" i="79"/>
  <c r="BB135" i="79"/>
  <c r="BA135" i="79"/>
  <c r="AZ135" i="79"/>
  <c r="AY135" i="79"/>
  <c r="BO134" i="79"/>
  <c r="BN134" i="79"/>
  <c r="BM134" i="79"/>
  <c r="BL134" i="79"/>
  <c r="BK134" i="79"/>
  <c r="BJ134" i="79"/>
  <c r="BI134" i="79"/>
  <c r="BH134" i="79"/>
  <c r="BG134" i="79"/>
  <c r="BF134" i="79"/>
  <c r="BE134" i="79"/>
  <c r="BD134" i="79"/>
  <c r="BC134" i="79"/>
  <c r="BB134" i="79"/>
  <c r="BA134" i="79"/>
  <c r="AZ134" i="79"/>
  <c r="AY134" i="79"/>
  <c r="BO133" i="79"/>
  <c r="BN133" i="79"/>
  <c r="BM133" i="79"/>
  <c r="BL133" i="79"/>
  <c r="BK133" i="79"/>
  <c r="BJ133" i="79"/>
  <c r="BI133" i="79"/>
  <c r="BH133" i="79"/>
  <c r="BG133" i="79"/>
  <c r="BF133" i="79"/>
  <c r="BE133" i="79"/>
  <c r="BD133" i="79"/>
  <c r="BC133" i="79"/>
  <c r="BB133" i="79"/>
  <c r="BA133" i="79"/>
  <c r="AZ133" i="79"/>
  <c r="AY133" i="79"/>
  <c r="BO132" i="79"/>
  <c r="BN132" i="79"/>
  <c r="BM132" i="79"/>
  <c r="BL132" i="79"/>
  <c r="BK132" i="79"/>
  <c r="BJ132" i="79"/>
  <c r="BI132" i="79"/>
  <c r="BH132" i="79"/>
  <c r="BG132" i="79"/>
  <c r="BF132" i="79"/>
  <c r="BE132" i="79"/>
  <c r="BD132" i="79"/>
  <c r="BC132" i="79"/>
  <c r="BB132" i="79"/>
  <c r="BA132" i="79"/>
  <c r="AZ132" i="79"/>
  <c r="AY132" i="79"/>
  <c r="BO131" i="79"/>
  <c r="BN131" i="79"/>
  <c r="BM131" i="79"/>
  <c r="BL131" i="79"/>
  <c r="BK131" i="79"/>
  <c r="BJ131" i="79"/>
  <c r="BI131" i="79"/>
  <c r="BH131" i="79"/>
  <c r="BG131" i="79"/>
  <c r="BF131" i="79"/>
  <c r="BE131" i="79"/>
  <c r="BD131" i="79"/>
  <c r="BC131" i="79"/>
  <c r="BB131" i="79"/>
  <c r="BA131" i="79"/>
  <c r="AZ131" i="79"/>
  <c r="AY131" i="79"/>
  <c r="BO130" i="79"/>
  <c r="BN130" i="79"/>
  <c r="BM130" i="79"/>
  <c r="BL130" i="79"/>
  <c r="BK130" i="79"/>
  <c r="BJ130" i="79"/>
  <c r="BI130" i="79"/>
  <c r="BH130" i="79"/>
  <c r="BG130" i="79"/>
  <c r="BF130" i="79"/>
  <c r="BE130" i="79"/>
  <c r="BD130" i="79"/>
  <c r="BC130" i="79"/>
  <c r="BB130" i="79"/>
  <c r="BA130" i="79"/>
  <c r="AZ130" i="79"/>
  <c r="AY130" i="79"/>
  <c r="BO129" i="79"/>
  <c r="BN129" i="79"/>
  <c r="BM129" i="79"/>
  <c r="BL129" i="79"/>
  <c r="BK129" i="79"/>
  <c r="BJ129" i="79"/>
  <c r="BI129" i="79"/>
  <c r="BH129" i="79"/>
  <c r="BG129" i="79"/>
  <c r="BF129" i="79"/>
  <c r="BE129" i="79"/>
  <c r="BD129" i="79"/>
  <c r="BC129" i="79"/>
  <c r="BB129" i="79"/>
  <c r="BA129" i="79"/>
  <c r="AZ129" i="79"/>
  <c r="AY129" i="79"/>
  <c r="BO128" i="79"/>
  <c r="BN128" i="79"/>
  <c r="BM128" i="79"/>
  <c r="BL128" i="79"/>
  <c r="BK128" i="79"/>
  <c r="BJ128" i="79"/>
  <c r="BI128" i="79"/>
  <c r="BH128" i="79"/>
  <c r="BG128" i="79"/>
  <c r="BF128" i="79"/>
  <c r="BE128" i="79"/>
  <c r="BD128" i="79"/>
  <c r="BC128" i="79"/>
  <c r="BB128" i="79"/>
  <c r="BA128" i="79"/>
  <c r="AZ128" i="79"/>
  <c r="AY128" i="79"/>
  <c r="BO127" i="79"/>
  <c r="BN127" i="79"/>
  <c r="BM127" i="79"/>
  <c r="BL127" i="79"/>
  <c r="BK127" i="79"/>
  <c r="BJ127" i="79"/>
  <c r="BI127" i="79"/>
  <c r="BH127" i="79"/>
  <c r="BG127" i="79"/>
  <c r="BF127" i="79"/>
  <c r="BE127" i="79"/>
  <c r="BD127" i="79"/>
  <c r="BC127" i="79"/>
  <c r="BB127" i="79"/>
  <c r="BA127" i="79"/>
  <c r="AZ127" i="79"/>
  <c r="AY127" i="79"/>
  <c r="BO126" i="79"/>
  <c r="BN126" i="79"/>
  <c r="BM126" i="79"/>
  <c r="BL126" i="79"/>
  <c r="BK126" i="79"/>
  <c r="BJ126" i="79"/>
  <c r="BI126" i="79"/>
  <c r="BH126" i="79"/>
  <c r="BG126" i="79"/>
  <c r="BF126" i="79"/>
  <c r="BE126" i="79"/>
  <c r="BD126" i="79"/>
  <c r="BC126" i="79"/>
  <c r="BB126" i="79"/>
  <c r="BA126" i="79"/>
  <c r="AZ126" i="79"/>
  <c r="AY126" i="79"/>
  <c r="BO125" i="79"/>
  <c r="BN125" i="79"/>
  <c r="BM125" i="79"/>
  <c r="BL125" i="79"/>
  <c r="BK125" i="79"/>
  <c r="BJ125" i="79"/>
  <c r="BI125" i="79"/>
  <c r="BH125" i="79"/>
  <c r="BG125" i="79"/>
  <c r="BF125" i="79"/>
  <c r="BE125" i="79"/>
  <c r="BD125" i="79"/>
  <c r="BC125" i="79"/>
  <c r="BB125" i="79"/>
  <c r="BA125" i="79"/>
  <c r="AZ125" i="79"/>
  <c r="AY125" i="79"/>
  <c r="BO124" i="79"/>
  <c r="BN124" i="79"/>
  <c r="BM124" i="79"/>
  <c r="BL124" i="79"/>
  <c r="BK124" i="79"/>
  <c r="BJ124" i="79"/>
  <c r="BI124" i="79"/>
  <c r="BH124" i="79"/>
  <c r="BG124" i="79"/>
  <c r="BF124" i="79"/>
  <c r="BE124" i="79"/>
  <c r="BD124" i="79"/>
  <c r="BC124" i="79"/>
  <c r="BB124" i="79"/>
  <c r="BA124" i="79"/>
  <c r="AZ124" i="79"/>
  <c r="AY124" i="79"/>
  <c r="BO123" i="79"/>
  <c r="BN123" i="79"/>
  <c r="BM123" i="79"/>
  <c r="BL123" i="79"/>
  <c r="BK123" i="79"/>
  <c r="BJ123" i="79"/>
  <c r="BI123" i="79"/>
  <c r="BH123" i="79"/>
  <c r="BG123" i="79"/>
  <c r="BF123" i="79"/>
  <c r="BE123" i="79"/>
  <c r="BD123" i="79"/>
  <c r="BC123" i="79"/>
  <c r="BB123" i="79"/>
  <c r="BA123" i="79"/>
  <c r="AZ123" i="79"/>
  <c r="AY123" i="79"/>
  <c r="BO122" i="79"/>
  <c r="BN122" i="79"/>
  <c r="BM122" i="79"/>
  <c r="BL122" i="79"/>
  <c r="BK122" i="79"/>
  <c r="BJ122" i="79"/>
  <c r="BI122" i="79"/>
  <c r="BH122" i="79"/>
  <c r="BG122" i="79"/>
  <c r="BF122" i="79"/>
  <c r="BE122" i="79"/>
  <c r="BD122" i="79"/>
  <c r="BC122" i="79"/>
  <c r="BB122" i="79"/>
  <c r="BA122" i="79"/>
  <c r="AZ122" i="79"/>
  <c r="AY122" i="79"/>
  <c r="BO121" i="79"/>
  <c r="BN121" i="79"/>
  <c r="BM121" i="79"/>
  <c r="BL121" i="79"/>
  <c r="BK121" i="79"/>
  <c r="BJ121" i="79"/>
  <c r="BI121" i="79"/>
  <c r="BH121" i="79"/>
  <c r="BG121" i="79"/>
  <c r="BF121" i="79"/>
  <c r="BE121" i="79"/>
  <c r="BD121" i="79"/>
  <c r="BC121" i="79"/>
  <c r="BB121" i="79"/>
  <c r="BA121" i="79"/>
  <c r="AZ121" i="79"/>
  <c r="AY121" i="79"/>
  <c r="BO120" i="79"/>
  <c r="BN120" i="79"/>
  <c r="BM120" i="79"/>
  <c r="BL120" i="79"/>
  <c r="BK120" i="79"/>
  <c r="BJ120" i="79"/>
  <c r="BI120" i="79"/>
  <c r="BH120" i="79"/>
  <c r="BG120" i="79"/>
  <c r="BF120" i="79"/>
  <c r="BE120" i="79"/>
  <c r="BD120" i="79"/>
  <c r="BC120" i="79"/>
  <c r="BB120" i="79"/>
  <c r="BA120" i="79"/>
  <c r="AZ120" i="79"/>
  <c r="AY120" i="79"/>
  <c r="BO119" i="79"/>
  <c r="BN119" i="79"/>
  <c r="BM119" i="79"/>
  <c r="BL119" i="79"/>
  <c r="BK119" i="79"/>
  <c r="BJ119" i="79"/>
  <c r="BI119" i="79"/>
  <c r="BH119" i="79"/>
  <c r="BG119" i="79"/>
  <c r="BF119" i="79"/>
  <c r="BE119" i="79"/>
  <c r="BD119" i="79"/>
  <c r="BC119" i="79"/>
  <c r="BB119" i="79"/>
  <c r="BA119" i="79"/>
  <c r="AZ119" i="79"/>
  <c r="AY119" i="79"/>
  <c r="BO118" i="79"/>
  <c r="BN118" i="79"/>
  <c r="BM118" i="79"/>
  <c r="BL118" i="79"/>
  <c r="BK118" i="79"/>
  <c r="BJ118" i="79"/>
  <c r="BI118" i="79"/>
  <c r="BH118" i="79"/>
  <c r="BG118" i="79"/>
  <c r="BF118" i="79"/>
  <c r="BE118" i="79"/>
  <c r="BD118" i="79"/>
  <c r="BC118" i="79"/>
  <c r="BB118" i="79"/>
  <c r="BA118" i="79"/>
  <c r="AZ118" i="79"/>
  <c r="AY118" i="79"/>
  <c r="BO117" i="79"/>
  <c r="BN117" i="79"/>
  <c r="BM117" i="79"/>
  <c r="BL117" i="79"/>
  <c r="BK117" i="79"/>
  <c r="BJ117" i="79"/>
  <c r="BI117" i="79"/>
  <c r="BH117" i="79"/>
  <c r="BG117" i="79"/>
  <c r="BF117" i="79"/>
  <c r="BE117" i="79"/>
  <c r="BD117" i="79"/>
  <c r="BC117" i="79"/>
  <c r="BB117" i="79"/>
  <c r="BA117" i="79"/>
  <c r="AZ117" i="79"/>
  <c r="AY117" i="79"/>
  <c r="BO116" i="79"/>
  <c r="BN116" i="79"/>
  <c r="BM116" i="79"/>
  <c r="BL116" i="79"/>
  <c r="BK116" i="79"/>
  <c r="BJ116" i="79"/>
  <c r="BI116" i="79"/>
  <c r="BH116" i="79"/>
  <c r="BG116" i="79"/>
  <c r="BF116" i="79"/>
  <c r="BE116" i="79"/>
  <c r="BD116" i="79"/>
  <c r="BC116" i="79"/>
  <c r="BB116" i="79"/>
  <c r="BA116" i="79"/>
  <c r="AZ116" i="79"/>
  <c r="AY116" i="79"/>
  <c r="BO115" i="79"/>
  <c r="BN115" i="79"/>
  <c r="BM115" i="79"/>
  <c r="BL115" i="79"/>
  <c r="BK115" i="79"/>
  <c r="BJ115" i="79"/>
  <c r="BI115" i="79"/>
  <c r="BH115" i="79"/>
  <c r="BG115" i="79"/>
  <c r="BF115" i="79"/>
  <c r="BE115" i="79"/>
  <c r="BD115" i="79"/>
  <c r="BC115" i="79"/>
  <c r="BB115" i="79"/>
  <c r="BA115" i="79"/>
  <c r="AZ115" i="79"/>
  <c r="AY115" i="79"/>
  <c r="BO114" i="79"/>
  <c r="BN114" i="79"/>
  <c r="BM114" i="79"/>
  <c r="BL114" i="79"/>
  <c r="BK114" i="79"/>
  <c r="BJ114" i="79"/>
  <c r="BI114" i="79"/>
  <c r="BH114" i="79"/>
  <c r="BG114" i="79"/>
  <c r="BF114" i="79"/>
  <c r="BE114" i="79"/>
  <c r="BD114" i="79"/>
  <c r="BC114" i="79"/>
  <c r="BB114" i="79"/>
  <c r="BA114" i="79"/>
  <c r="AZ114" i="79"/>
  <c r="AY114" i="79"/>
  <c r="BO113" i="79"/>
  <c r="BN113" i="79"/>
  <c r="BM113" i="79"/>
  <c r="BL113" i="79"/>
  <c r="BK113" i="79"/>
  <c r="BJ113" i="79"/>
  <c r="BI113" i="79"/>
  <c r="BH113" i="79"/>
  <c r="BG113" i="79"/>
  <c r="BF113" i="79"/>
  <c r="BE113" i="79"/>
  <c r="BD113" i="79"/>
  <c r="BC113" i="79"/>
  <c r="BB113" i="79"/>
  <c r="BA113" i="79"/>
  <c r="AZ113" i="79"/>
  <c r="AY113" i="79"/>
  <c r="BO112" i="79"/>
  <c r="BN112" i="79"/>
  <c r="BM112" i="79"/>
  <c r="BL112" i="79"/>
  <c r="BK112" i="79"/>
  <c r="BJ112" i="79"/>
  <c r="BI112" i="79"/>
  <c r="BH112" i="79"/>
  <c r="BG112" i="79"/>
  <c r="BF112" i="79"/>
  <c r="BE112" i="79"/>
  <c r="BD112" i="79"/>
  <c r="BC112" i="79"/>
  <c r="BB112" i="79"/>
  <c r="BA112" i="79"/>
  <c r="AZ112" i="79"/>
  <c r="AY112" i="79"/>
  <c r="BO111" i="79"/>
  <c r="BN111" i="79"/>
  <c r="BM111" i="79"/>
  <c r="BL111" i="79"/>
  <c r="BK111" i="79"/>
  <c r="BJ111" i="79"/>
  <c r="BI111" i="79"/>
  <c r="BH111" i="79"/>
  <c r="BG111" i="79"/>
  <c r="BF111" i="79"/>
  <c r="BE111" i="79"/>
  <c r="BD111" i="79"/>
  <c r="BC111" i="79"/>
  <c r="BB111" i="79"/>
  <c r="BA111" i="79"/>
  <c r="AZ111" i="79"/>
  <c r="AY111" i="79"/>
  <c r="BO110" i="79"/>
  <c r="BN110" i="79"/>
  <c r="BM110" i="79"/>
  <c r="BL110" i="79"/>
  <c r="BK110" i="79"/>
  <c r="BJ110" i="79"/>
  <c r="BI110" i="79"/>
  <c r="BH110" i="79"/>
  <c r="BG110" i="79"/>
  <c r="BF110" i="79"/>
  <c r="BE110" i="79"/>
  <c r="BD110" i="79"/>
  <c r="BC110" i="79"/>
  <c r="BB110" i="79"/>
  <c r="BA110" i="79"/>
  <c r="AZ110" i="79"/>
  <c r="AY110" i="79"/>
  <c r="BO109" i="79"/>
  <c r="BN109" i="79"/>
  <c r="BM109" i="79"/>
  <c r="BL109" i="79"/>
  <c r="BK109" i="79"/>
  <c r="BJ109" i="79"/>
  <c r="BI109" i="79"/>
  <c r="BH109" i="79"/>
  <c r="BG109" i="79"/>
  <c r="BF109" i="79"/>
  <c r="BE109" i="79"/>
  <c r="BD109" i="79"/>
  <c r="BC109" i="79"/>
  <c r="BB109" i="79"/>
  <c r="BA109" i="79"/>
  <c r="AZ109" i="79"/>
  <c r="AY109" i="79"/>
  <c r="BO108" i="79"/>
  <c r="BN108" i="79"/>
  <c r="BM108" i="79"/>
  <c r="BL108" i="79"/>
  <c r="BK108" i="79"/>
  <c r="BJ108" i="79"/>
  <c r="BI108" i="79"/>
  <c r="BH108" i="79"/>
  <c r="BG108" i="79"/>
  <c r="BF108" i="79"/>
  <c r="BE108" i="79"/>
  <c r="BD108" i="79"/>
  <c r="BC108" i="79"/>
  <c r="BB108" i="79"/>
  <c r="BA108" i="79"/>
  <c r="AZ108" i="79"/>
  <c r="AY108" i="79"/>
  <c r="BO107" i="79"/>
  <c r="BN107" i="79"/>
  <c r="BM107" i="79"/>
  <c r="BL107" i="79"/>
  <c r="BK107" i="79"/>
  <c r="BJ107" i="79"/>
  <c r="BI107" i="79"/>
  <c r="BH107" i="79"/>
  <c r="BG107" i="79"/>
  <c r="BF107" i="79"/>
  <c r="BE107" i="79"/>
  <c r="BD107" i="79"/>
  <c r="BC107" i="79"/>
  <c r="BB107" i="79"/>
  <c r="BA107" i="79"/>
  <c r="AZ107" i="79"/>
  <c r="AY107" i="79"/>
  <c r="BO106" i="79"/>
  <c r="BN106" i="79"/>
  <c r="BM106" i="79"/>
  <c r="BL106" i="79"/>
  <c r="BK106" i="79"/>
  <c r="BJ106" i="79"/>
  <c r="BI106" i="79"/>
  <c r="BH106" i="79"/>
  <c r="BG106" i="79"/>
  <c r="BF106" i="79"/>
  <c r="BE106" i="79"/>
  <c r="BD106" i="79"/>
  <c r="BC106" i="79"/>
  <c r="BB106" i="79"/>
  <c r="BA106" i="79"/>
  <c r="AZ106" i="79"/>
  <c r="AY106" i="79"/>
  <c r="BO105" i="79"/>
  <c r="BN105" i="79"/>
  <c r="BM105" i="79"/>
  <c r="BL105" i="79"/>
  <c r="BK105" i="79"/>
  <c r="BJ105" i="79"/>
  <c r="BI105" i="79"/>
  <c r="BH105" i="79"/>
  <c r="BG105" i="79"/>
  <c r="BF105" i="79"/>
  <c r="BE105" i="79"/>
  <c r="BD105" i="79"/>
  <c r="BC105" i="79"/>
  <c r="BB105" i="79"/>
  <c r="BA105" i="79"/>
  <c r="AZ105" i="79"/>
  <c r="AY105" i="79"/>
  <c r="BO104" i="79"/>
  <c r="BN104" i="79"/>
  <c r="BM104" i="79"/>
  <c r="BL104" i="79"/>
  <c r="BK104" i="79"/>
  <c r="BJ104" i="79"/>
  <c r="BI104" i="79"/>
  <c r="BH104" i="79"/>
  <c r="BG104" i="79"/>
  <c r="BF104" i="79"/>
  <c r="BE104" i="79"/>
  <c r="BD104" i="79"/>
  <c r="BC104" i="79"/>
  <c r="BB104" i="79"/>
  <c r="BA104" i="79"/>
  <c r="AZ104" i="79"/>
  <c r="AY104" i="79"/>
  <c r="BO103" i="79"/>
  <c r="BN103" i="79"/>
  <c r="BM103" i="79"/>
  <c r="BL103" i="79"/>
  <c r="BK103" i="79"/>
  <c r="BJ103" i="79"/>
  <c r="BI103" i="79"/>
  <c r="BH103" i="79"/>
  <c r="BG103" i="79"/>
  <c r="BF103" i="79"/>
  <c r="BE103" i="79"/>
  <c r="BD103" i="79"/>
  <c r="BC103" i="79"/>
  <c r="BB103" i="79"/>
  <c r="BA103" i="79"/>
  <c r="AZ103" i="79"/>
  <c r="AY103" i="79"/>
  <c r="BO102" i="79"/>
  <c r="BN102" i="79"/>
  <c r="BM102" i="79"/>
  <c r="BL102" i="79"/>
  <c r="BK102" i="79"/>
  <c r="BJ102" i="79"/>
  <c r="BI102" i="79"/>
  <c r="BH102" i="79"/>
  <c r="BG102" i="79"/>
  <c r="BF102" i="79"/>
  <c r="BE102" i="79"/>
  <c r="BD102" i="79"/>
  <c r="BC102" i="79"/>
  <c r="BB102" i="79"/>
  <c r="BA102" i="79"/>
  <c r="AZ102" i="79"/>
  <c r="AY102" i="79"/>
  <c r="BO101" i="79"/>
  <c r="BN101" i="79"/>
  <c r="BM101" i="79"/>
  <c r="BL101" i="79"/>
  <c r="BK101" i="79"/>
  <c r="BJ101" i="79"/>
  <c r="BI101" i="79"/>
  <c r="BH101" i="79"/>
  <c r="BG101" i="79"/>
  <c r="BF101" i="79"/>
  <c r="BE101" i="79"/>
  <c r="BD101" i="79"/>
  <c r="BC101" i="79"/>
  <c r="BB101" i="79"/>
  <c r="BA101" i="79"/>
  <c r="AZ101" i="79"/>
  <c r="AY101" i="79"/>
  <c r="BO100" i="79"/>
  <c r="BN100" i="79"/>
  <c r="BM100" i="79"/>
  <c r="BL100" i="79"/>
  <c r="BK100" i="79"/>
  <c r="BJ100" i="79"/>
  <c r="BI100" i="79"/>
  <c r="BH100" i="79"/>
  <c r="BG100" i="79"/>
  <c r="BF100" i="79"/>
  <c r="BE100" i="79"/>
  <c r="BD100" i="79"/>
  <c r="BC100" i="79"/>
  <c r="BB100" i="79"/>
  <c r="BA100" i="79"/>
  <c r="AZ100" i="79"/>
  <c r="AY100" i="79"/>
  <c r="BO99" i="79"/>
  <c r="BN99" i="79"/>
  <c r="BM99" i="79"/>
  <c r="BL99" i="79"/>
  <c r="BK99" i="79"/>
  <c r="BJ99" i="79"/>
  <c r="BI99" i="79"/>
  <c r="BH99" i="79"/>
  <c r="BG99" i="79"/>
  <c r="BF99" i="79"/>
  <c r="BE99" i="79"/>
  <c r="BD99" i="79"/>
  <c r="BC99" i="79"/>
  <c r="BB99" i="79"/>
  <c r="BA99" i="79"/>
  <c r="AZ99" i="79"/>
  <c r="AY99" i="79"/>
  <c r="BO98" i="79"/>
  <c r="BN98" i="79"/>
  <c r="BM98" i="79"/>
  <c r="BL98" i="79"/>
  <c r="BK98" i="79"/>
  <c r="BJ98" i="79"/>
  <c r="BI98" i="79"/>
  <c r="BH98" i="79"/>
  <c r="BG98" i="79"/>
  <c r="BF98" i="79"/>
  <c r="BE98" i="79"/>
  <c r="BD98" i="79"/>
  <c r="BC98" i="79"/>
  <c r="BB98" i="79"/>
  <c r="BA98" i="79"/>
  <c r="AZ98" i="79"/>
  <c r="AY98" i="79"/>
  <c r="BO97" i="79"/>
  <c r="BN97" i="79"/>
  <c r="BM97" i="79"/>
  <c r="BL97" i="79"/>
  <c r="BK97" i="79"/>
  <c r="BJ97" i="79"/>
  <c r="BI97" i="79"/>
  <c r="BH97" i="79"/>
  <c r="BG97" i="79"/>
  <c r="BF97" i="79"/>
  <c r="BE97" i="79"/>
  <c r="BD97" i="79"/>
  <c r="BC97" i="79"/>
  <c r="BB97" i="79"/>
  <c r="BA97" i="79"/>
  <c r="AZ97" i="79"/>
  <c r="AY97" i="79"/>
  <c r="BO96" i="79"/>
  <c r="BN96" i="79"/>
  <c r="BM96" i="79"/>
  <c r="BL96" i="79"/>
  <c r="BK96" i="79"/>
  <c r="BJ96" i="79"/>
  <c r="BI96" i="79"/>
  <c r="BH96" i="79"/>
  <c r="BG96" i="79"/>
  <c r="BF96" i="79"/>
  <c r="BE96" i="79"/>
  <c r="BD96" i="79"/>
  <c r="BC96" i="79"/>
  <c r="BB96" i="79"/>
  <c r="BA96" i="79"/>
  <c r="AZ96" i="79"/>
  <c r="AY96" i="79"/>
  <c r="BO95" i="79"/>
  <c r="BN95" i="79"/>
  <c r="BM95" i="79"/>
  <c r="BL95" i="79"/>
  <c r="BK95" i="79"/>
  <c r="BJ95" i="79"/>
  <c r="BI95" i="79"/>
  <c r="BH95" i="79"/>
  <c r="BG95" i="79"/>
  <c r="BF95" i="79"/>
  <c r="BE95" i="79"/>
  <c r="BD95" i="79"/>
  <c r="BC95" i="79"/>
  <c r="BB95" i="79"/>
  <c r="BA95" i="79"/>
  <c r="AZ95" i="79"/>
  <c r="AY95" i="79"/>
  <c r="BO94" i="79"/>
  <c r="BN94" i="79"/>
  <c r="BM94" i="79"/>
  <c r="BL94" i="79"/>
  <c r="BK94" i="79"/>
  <c r="BJ94" i="79"/>
  <c r="BI94" i="79"/>
  <c r="BH94" i="79"/>
  <c r="BG94" i="79"/>
  <c r="BF94" i="79"/>
  <c r="BE94" i="79"/>
  <c r="BD94" i="79"/>
  <c r="BC94" i="79"/>
  <c r="BB94" i="79"/>
  <c r="BA94" i="79"/>
  <c r="AZ94" i="79"/>
  <c r="AY94" i="79"/>
  <c r="BO93" i="79"/>
  <c r="BN93" i="79"/>
  <c r="BM93" i="79"/>
  <c r="BL93" i="79"/>
  <c r="BK93" i="79"/>
  <c r="BJ93" i="79"/>
  <c r="BI93" i="79"/>
  <c r="BH93" i="79"/>
  <c r="BG93" i="79"/>
  <c r="BF93" i="79"/>
  <c r="BE93" i="79"/>
  <c r="BD93" i="79"/>
  <c r="BC93" i="79"/>
  <c r="BB93" i="79"/>
  <c r="BA93" i="79"/>
  <c r="AZ93" i="79"/>
  <c r="AY93" i="79"/>
  <c r="BO92" i="79"/>
  <c r="BN92" i="79"/>
  <c r="BM92" i="79"/>
  <c r="BL92" i="79"/>
  <c r="BK92" i="79"/>
  <c r="BJ92" i="79"/>
  <c r="BI92" i="79"/>
  <c r="BH92" i="79"/>
  <c r="BG92" i="79"/>
  <c r="BF92" i="79"/>
  <c r="BE92" i="79"/>
  <c r="BD92" i="79"/>
  <c r="BC92" i="79"/>
  <c r="BB92" i="79"/>
  <c r="BA92" i="79"/>
  <c r="AZ92" i="79"/>
  <c r="AY92" i="79"/>
  <c r="BO91" i="79"/>
  <c r="BN91" i="79"/>
  <c r="BM91" i="79"/>
  <c r="BL91" i="79"/>
  <c r="BK91" i="79"/>
  <c r="BJ91" i="79"/>
  <c r="BI91" i="79"/>
  <c r="BH91" i="79"/>
  <c r="BG91" i="79"/>
  <c r="BF91" i="79"/>
  <c r="BE91" i="79"/>
  <c r="BD91" i="79"/>
  <c r="BC91" i="79"/>
  <c r="BB91" i="79"/>
  <c r="BA91" i="79"/>
  <c r="AZ91" i="79"/>
  <c r="AY91" i="79"/>
  <c r="BO90" i="79"/>
  <c r="BN90" i="79"/>
  <c r="BM90" i="79"/>
  <c r="BL90" i="79"/>
  <c r="BK90" i="79"/>
  <c r="BJ90" i="79"/>
  <c r="BI90" i="79"/>
  <c r="BH90" i="79"/>
  <c r="BG90" i="79"/>
  <c r="BF90" i="79"/>
  <c r="BE90" i="79"/>
  <c r="BD90" i="79"/>
  <c r="BC90" i="79"/>
  <c r="BB90" i="79"/>
  <c r="BA90" i="79"/>
  <c r="AZ90" i="79"/>
  <c r="AY90" i="79"/>
  <c r="BO89" i="79"/>
  <c r="BN89" i="79"/>
  <c r="BM89" i="79"/>
  <c r="BL89" i="79"/>
  <c r="BK89" i="79"/>
  <c r="BJ89" i="79"/>
  <c r="BI89" i="79"/>
  <c r="BH89" i="79"/>
  <c r="BG89" i="79"/>
  <c r="BF89" i="79"/>
  <c r="BE89" i="79"/>
  <c r="BD89" i="79"/>
  <c r="BC89" i="79"/>
  <c r="BB89" i="79"/>
  <c r="BA89" i="79"/>
  <c r="AZ89" i="79"/>
  <c r="AY89" i="79"/>
  <c r="BO88" i="79"/>
  <c r="BN88" i="79"/>
  <c r="BM88" i="79"/>
  <c r="BL88" i="79"/>
  <c r="BK88" i="79"/>
  <c r="BJ88" i="79"/>
  <c r="BI88" i="79"/>
  <c r="BH88" i="79"/>
  <c r="BG88" i="79"/>
  <c r="BF88" i="79"/>
  <c r="BE88" i="79"/>
  <c r="BD88" i="79"/>
  <c r="BC88" i="79"/>
  <c r="BB88" i="79"/>
  <c r="BA88" i="79"/>
  <c r="AZ88" i="79"/>
  <c r="AY88" i="79"/>
  <c r="BO87" i="79"/>
  <c r="BN87" i="79"/>
  <c r="BM87" i="79"/>
  <c r="BL87" i="79"/>
  <c r="BK87" i="79"/>
  <c r="BJ87" i="79"/>
  <c r="BI87" i="79"/>
  <c r="BH87" i="79"/>
  <c r="BG87" i="79"/>
  <c r="BF87" i="79"/>
  <c r="BE87" i="79"/>
  <c r="BD87" i="79"/>
  <c r="BC87" i="79"/>
  <c r="BB87" i="79"/>
  <c r="BA87" i="79"/>
  <c r="AZ87" i="79"/>
  <c r="AY87" i="79"/>
  <c r="BO86" i="79"/>
  <c r="BN86" i="79"/>
  <c r="BM86" i="79"/>
  <c r="BL86" i="79"/>
  <c r="BK86" i="79"/>
  <c r="BJ86" i="79"/>
  <c r="BI86" i="79"/>
  <c r="BH86" i="79"/>
  <c r="BG86" i="79"/>
  <c r="BF86" i="79"/>
  <c r="BE86" i="79"/>
  <c r="BD86" i="79"/>
  <c r="BC86" i="79"/>
  <c r="BB86" i="79"/>
  <c r="BA86" i="79"/>
  <c r="AZ86" i="79"/>
  <c r="AY86" i="79"/>
  <c r="BO85" i="79"/>
  <c r="BN85" i="79"/>
  <c r="BM85" i="79"/>
  <c r="BL85" i="79"/>
  <c r="BK85" i="79"/>
  <c r="BJ85" i="79"/>
  <c r="BI85" i="79"/>
  <c r="BH85" i="79"/>
  <c r="BG85" i="79"/>
  <c r="BF85" i="79"/>
  <c r="BE85" i="79"/>
  <c r="BD85" i="79"/>
  <c r="BC85" i="79"/>
  <c r="BB85" i="79"/>
  <c r="BA85" i="79"/>
  <c r="AZ85" i="79"/>
  <c r="AY85" i="79"/>
  <c r="BO84" i="79"/>
  <c r="BN84" i="79"/>
  <c r="BM84" i="79"/>
  <c r="BL84" i="79"/>
  <c r="BK84" i="79"/>
  <c r="BJ84" i="79"/>
  <c r="BI84" i="79"/>
  <c r="BH84" i="79"/>
  <c r="BG84" i="79"/>
  <c r="BF84" i="79"/>
  <c r="BE84" i="79"/>
  <c r="BD84" i="79"/>
  <c r="BC84" i="79"/>
  <c r="BB84" i="79"/>
  <c r="BA84" i="79"/>
  <c r="AZ84" i="79"/>
  <c r="AY84" i="79"/>
  <c r="BO83" i="79"/>
  <c r="BN83" i="79"/>
  <c r="BM83" i="79"/>
  <c r="BL83" i="79"/>
  <c r="BK83" i="79"/>
  <c r="BJ83" i="79"/>
  <c r="BI83" i="79"/>
  <c r="BH83" i="79"/>
  <c r="BG83" i="79"/>
  <c r="BF83" i="79"/>
  <c r="BE83" i="79"/>
  <c r="BD83" i="79"/>
  <c r="BC83" i="79"/>
  <c r="BB83" i="79"/>
  <c r="BA83" i="79"/>
  <c r="AZ83" i="79"/>
  <c r="AY83" i="79"/>
  <c r="BO82" i="79"/>
  <c r="BN82" i="79"/>
  <c r="BM82" i="79"/>
  <c r="BL82" i="79"/>
  <c r="BK82" i="79"/>
  <c r="BJ82" i="79"/>
  <c r="BI82" i="79"/>
  <c r="BH82" i="79"/>
  <c r="BG82" i="79"/>
  <c r="BF82" i="79"/>
  <c r="BE82" i="79"/>
  <c r="BD82" i="79"/>
  <c r="BC82" i="79"/>
  <c r="BB82" i="79"/>
  <c r="BA82" i="79"/>
  <c r="AZ82" i="79"/>
  <c r="AY82" i="79"/>
  <c r="BO81" i="79"/>
  <c r="BN81" i="79"/>
  <c r="BM81" i="79"/>
  <c r="BL81" i="79"/>
  <c r="BK81" i="79"/>
  <c r="BJ81" i="79"/>
  <c r="BI81" i="79"/>
  <c r="BH81" i="79"/>
  <c r="BG81" i="79"/>
  <c r="BF81" i="79"/>
  <c r="BE81" i="79"/>
  <c r="BD81" i="79"/>
  <c r="BC81" i="79"/>
  <c r="BB81" i="79"/>
  <c r="BA81" i="79"/>
  <c r="AZ81" i="79"/>
  <c r="AY81" i="79"/>
  <c r="BO80" i="79"/>
  <c r="BN80" i="79"/>
  <c r="BM80" i="79"/>
  <c r="BL80" i="79"/>
  <c r="BK80" i="79"/>
  <c r="BJ80" i="79"/>
  <c r="BI80" i="79"/>
  <c r="BH80" i="79"/>
  <c r="BG80" i="79"/>
  <c r="BF80" i="79"/>
  <c r="BE80" i="79"/>
  <c r="BD80" i="79"/>
  <c r="BC80" i="79"/>
  <c r="BB80" i="79"/>
  <c r="BA80" i="79"/>
  <c r="AZ80" i="79"/>
  <c r="AY80" i="79"/>
  <c r="BO79" i="79"/>
  <c r="BN79" i="79"/>
  <c r="BM79" i="79"/>
  <c r="BL79" i="79"/>
  <c r="BK79" i="79"/>
  <c r="BJ79" i="79"/>
  <c r="BI79" i="79"/>
  <c r="BH79" i="79"/>
  <c r="BG79" i="79"/>
  <c r="BF79" i="79"/>
  <c r="BE79" i="79"/>
  <c r="BD79" i="79"/>
  <c r="BC79" i="79"/>
  <c r="BB79" i="79"/>
  <c r="BA79" i="79"/>
  <c r="AZ79" i="79"/>
  <c r="AY79" i="79"/>
  <c r="BO78" i="79"/>
  <c r="BN78" i="79"/>
  <c r="BM78" i="79"/>
  <c r="BL78" i="79"/>
  <c r="BK78" i="79"/>
  <c r="BJ78" i="79"/>
  <c r="BI78" i="79"/>
  <c r="BH78" i="79"/>
  <c r="BG78" i="79"/>
  <c r="BF78" i="79"/>
  <c r="BE78" i="79"/>
  <c r="BD78" i="79"/>
  <c r="BC78" i="79"/>
  <c r="BB78" i="79"/>
  <c r="BA78" i="79"/>
  <c r="AZ78" i="79"/>
  <c r="AY78" i="79"/>
  <c r="BO77" i="79"/>
  <c r="BN77" i="79"/>
  <c r="BM77" i="79"/>
  <c r="BL77" i="79"/>
  <c r="BK77" i="79"/>
  <c r="BJ77" i="79"/>
  <c r="BI77" i="79"/>
  <c r="BH77" i="79"/>
  <c r="BG77" i="79"/>
  <c r="BF77" i="79"/>
  <c r="BE77" i="79"/>
  <c r="BD77" i="79"/>
  <c r="BC77" i="79"/>
  <c r="BB77" i="79"/>
  <c r="BA77" i="79"/>
  <c r="AZ77" i="79"/>
  <c r="AY77" i="79"/>
  <c r="BO76" i="79"/>
  <c r="BN76" i="79"/>
  <c r="BM76" i="79"/>
  <c r="BL76" i="79"/>
  <c r="BK76" i="79"/>
  <c r="BJ76" i="79"/>
  <c r="BI76" i="79"/>
  <c r="BH76" i="79"/>
  <c r="BG76" i="79"/>
  <c r="BF76" i="79"/>
  <c r="BE76" i="79"/>
  <c r="BD76" i="79"/>
  <c r="BC76" i="79"/>
  <c r="BB76" i="79"/>
  <c r="BA76" i="79"/>
  <c r="AZ76" i="79"/>
  <c r="AY76" i="79"/>
  <c r="BO75" i="79"/>
  <c r="BN75" i="79"/>
  <c r="BM75" i="79"/>
  <c r="BL75" i="79"/>
  <c r="BK75" i="79"/>
  <c r="BJ75" i="79"/>
  <c r="BI75" i="79"/>
  <c r="BH75" i="79"/>
  <c r="BG75" i="79"/>
  <c r="BF75" i="79"/>
  <c r="BE75" i="79"/>
  <c r="BD75" i="79"/>
  <c r="BC75" i="79"/>
  <c r="BB75" i="79"/>
  <c r="BA75" i="79"/>
  <c r="AZ75" i="79"/>
  <c r="AY75" i="79"/>
  <c r="BO74" i="79"/>
  <c r="BN74" i="79"/>
  <c r="BM74" i="79"/>
  <c r="BL74" i="79"/>
  <c r="BK74" i="79"/>
  <c r="BJ74" i="79"/>
  <c r="BI74" i="79"/>
  <c r="BH74" i="79"/>
  <c r="BG74" i="79"/>
  <c r="BF74" i="79"/>
  <c r="BE74" i="79"/>
  <c r="BD74" i="79"/>
  <c r="BC74" i="79"/>
  <c r="BB74" i="79"/>
  <c r="BA74" i="79"/>
  <c r="AZ74" i="79"/>
  <c r="AY74" i="79"/>
  <c r="BO73" i="79"/>
  <c r="BN73" i="79"/>
  <c r="BM73" i="79"/>
  <c r="BL73" i="79"/>
  <c r="BK73" i="79"/>
  <c r="BJ73" i="79"/>
  <c r="BI73" i="79"/>
  <c r="BH73" i="79"/>
  <c r="BG73" i="79"/>
  <c r="BF73" i="79"/>
  <c r="BE73" i="79"/>
  <c r="BD73" i="79"/>
  <c r="BC73" i="79"/>
  <c r="BB73" i="79"/>
  <c r="BA73" i="79"/>
  <c r="AZ73" i="79"/>
  <c r="AY73" i="79"/>
  <c r="BO72" i="79"/>
  <c r="BN72" i="79"/>
  <c r="BM72" i="79"/>
  <c r="BL72" i="79"/>
  <c r="BK72" i="79"/>
  <c r="BJ72" i="79"/>
  <c r="BI72" i="79"/>
  <c r="BH72" i="79"/>
  <c r="BG72" i="79"/>
  <c r="BF72" i="79"/>
  <c r="BE72" i="79"/>
  <c r="BD72" i="79"/>
  <c r="BC72" i="79"/>
  <c r="BB72" i="79"/>
  <c r="BA72" i="79"/>
  <c r="AZ72" i="79"/>
  <c r="AY72" i="79"/>
  <c r="BO71" i="79"/>
  <c r="BN71" i="79"/>
  <c r="BM71" i="79"/>
  <c r="BL71" i="79"/>
  <c r="BK71" i="79"/>
  <c r="BJ71" i="79"/>
  <c r="BI71" i="79"/>
  <c r="BH71" i="79"/>
  <c r="BG71" i="79"/>
  <c r="BF71" i="79"/>
  <c r="BE71" i="79"/>
  <c r="BD71" i="79"/>
  <c r="BC71" i="79"/>
  <c r="BB71" i="79"/>
  <c r="BA71" i="79"/>
  <c r="AZ71" i="79"/>
  <c r="AY71" i="79"/>
  <c r="BO70" i="79"/>
  <c r="BN70" i="79"/>
  <c r="BM70" i="79"/>
  <c r="BL70" i="79"/>
  <c r="BK70" i="79"/>
  <c r="BJ70" i="79"/>
  <c r="BI70" i="79"/>
  <c r="BH70" i="79"/>
  <c r="BG70" i="79"/>
  <c r="BF70" i="79"/>
  <c r="BE70" i="79"/>
  <c r="BD70" i="79"/>
  <c r="BC70" i="79"/>
  <c r="BB70" i="79"/>
  <c r="BA70" i="79"/>
  <c r="AZ70" i="79"/>
  <c r="AY70" i="79"/>
  <c r="BO69" i="79"/>
  <c r="BN69" i="79"/>
  <c r="BM69" i="79"/>
  <c r="BL69" i="79"/>
  <c r="BK69" i="79"/>
  <c r="BJ69" i="79"/>
  <c r="BI69" i="79"/>
  <c r="BH69" i="79"/>
  <c r="BG69" i="79"/>
  <c r="BF69" i="79"/>
  <c r="BE69" i="79"/>
  <c r="BD69" i="79"/>
  <c r="BC69" i="79"/>
  <c r="BB69" i="79"/>
  <c r="BA69" i="79"/>
  <c r="AZ69" i="79"/>
  <c r="AY69" i="79"/>
  <c r="BO68" i="79"/>
  <c r="BN68" i="79"/>
  <c r="BM68" i="79"/>
  <c r="BL68" i="79"/>
  <c r="BK68" i="79"/>
  <c r="BJ68" i="79"/>
  <c r="BI68" i="79"/>
  <c r="BH68" i="79"/>
  <c r="BG68" i="79"/>
  <c r="BF68" i="79"/>
  <c r="BE68" i="79"/>
  <c r="BD68" i="79"/>
  <c r="BC68" i="79"/>
  <c r="BB68" i="79"/>
  <c r="BA68" i="79"/>
  <c r="AZ68" i="79"/>
  <c r="AY68" i="79"/>
  <c r="BO67" i="79"/>
  <c r="BN67" i="79"/>
  <c r="BM67" i="79"/>
  <c r="BL67" i="79"/>
  <c r="BK67" i="79"/>
  <c r="BJ67" i="79"/>
  <c r="BI67" i="79"/>
  <c r="BH67" i="79"/>
  <c r="BG67" i="79"/>
  <c r="BF67" i="79"/>
  <c r="BE67" i="79"/>
  <c r="BD67" i="79"/>
  <c r="BC67" i="79"/>
  <c r="BB67" i="79"/>
  <c r="BA67" i="79"/>
  <c r="AZ67" i="79"/>
  <c r="AY67" i="79"/>
  <c r="BO66" i="79"/>
  <c r="BN66" i="79"/>
  <c r="BM66" i="79"/>
  <c r="BL66" i="79"/>
  <c r="BK66" i="79"/>
  <c r="BJ66" i="79"/>
  <c r="BI66" i="79"/>
  <c r="BH66" i="79"/>
  <c r="BG66" i="79"/>
  <c r="BF66" i="79"/>
  <c r="BE66" i="79"/>
  <c r="BD66" i="79"/>
  <c r="BC66" i="79"/>
  <c r="BB66" i="79"/>
  <c r="BA66" i="79"/>
  <c r="AZ66" i="79"/>
  <c r="AY66" i="79"/>
  <c r="BO65" i="79"/>
  <c r="BN65" i="79"/>
  <c r="BM65" i="79"/>
  <c r="BL65" i="79"/>
  <c r="BK65" i="79"/>
  <c r="BJ65" i="79"/>
  <c r="BI65" i="79"/>
  <c r="BH65" i="79"/>
  <c r="BG65" i="79"/>
  <c r="BF65" i="79"/>
  <c r="BE65" i="79"/>
  <c r="BD65" i="79"/>
  <c r="BC65" i="79"/>
  <c r="BB65" i="79"/>
  <c r="BA65" i="79"/>
  <c r="AZ65" i="79"/>
  <c r="AY65" i="79"/>
  <c r="BO64" i="79"/>
  <c r="BN64" i="79"/>
  <c r="BM64" i="79"/>
  <c r="BL64" i="79"/>
  <c r="BK64" i="79"/>
  <c r="BJ64" i="79"/>
  <c r="BI64" i="79"/>
  <c r="BH64" i="79"/>
  <c r="BG64" i="79"/>
  <c r="BF64" i="79"/>
  <c r="BE64" i="79"/>
  <c r="BD64" i="79"/>
  <c r="BC64" i="79"/>
  <c r="BB64" i="79"/>
  <c r="BA64" i="79"/>
  <c r="AZ64" i="79"/>
  <c r="AY64" i="79"/>
  <c r="BO63" i="79"/>
  <c r="BN63" i="79"/>
  <c r="BM63" i="79"/>
  <c r="BL63" i="79"/>
  <c r="BK63" i="79"/>
  <c r="BJ63" i="79"/>
  <c r="BI63" i="79"/>
  <c r="BH63" i="79"/>
  <c r="BG63" i="79"/>
  <c r="BF63" i="79"/>
  <c r="BE63" i="79"/>
  <c r="BD63" i="79"/>
  <c r="BC63" i="79"/>
  <c r="BB63" i="79"/>
  <c r="BA63" i="79"/>
  <c r="AZ63" i="79"/>
  <c r="AY63" i="79"/>
  <c r="BO62" i="79"/>
  <c r="BN62" i="79"/>
  <c r="BM62" i="79"/>
  <c r="BL62" i="79"/>
  <c r="BK62" i="79"/>
  <c r="BJ62" i="79"/>
  <c r="BI62" i="79"/>
  <c r="BH62" i="79"/>
  <c r="BG62" i="79"/>
  <c r="BF62" i="79"/>
  <c r="BE62" i="79"/>
  <c r="BD62" i="79"/>
  <c r="BC62" i="79"/>
  <c r="BB62" i="79"/>
  <c r="BA62" i="79"/>
  <c r="AZ62" i="79"/>
  <c r="AY62" i="79"/>
  <c r="BO61" i="79"/>
  <c r="BN61" i="79"/>
  <c r="BM61" i="79"/>
  <c r="BL61" i="79"/>
  <c r="BK61" i="79"/>
  <c r="BJ61" i="79"/>
  <c r="BI61" i="79"/>
  <c r="BH61" i="79"/>
  <c r="BG61" i="79"/>
  <c r="BF61" i="79"/>
  <c r="BE61" i="79"/>
  <c r="BD61" i="79"/>
  <c r="BC61" i="79"/>
  <c r="BB61" i="79"/>
  <c r="BA61" i="79"/>
  <c r="AZ61" i="79"/>
  <c r="AY61" i="79"/>
  <c r="BO60" i="79"/>
  <c r="BN60" i="79"/>
  <c r="BM60" i="79"/>
  <c r="BL60" i="79"/>
  <c r="BK60" i="79"/>
  <c r="BJ60" i="79"/>
  <c r="BI60" i="79"/>
  <c r="BH60" i="79"/>
  <c r="BG60" i="79"/>
  <c r="BF60" i="79"/>
  <c r="BE60" i="79"/>
  <c r="BD60" i="79"/>
  <c r="BC60" i="79"/>
  <c r="BB60" i="79"/>
  <c r="BA60" i="79"/>
  <c r="AZ60" i="79"/>
  <c r="AY60" i="79"/>
  <c r="BO59" i="79"/>
  <c r="BN59" i="79"/>
  <c r="BM59" i="79"/>
  <c r="BL59" i="79"/>
  <c r="BK59" i="79"/>
  <c r="BJ59" i="79"/>
  <c r="BI59" i="79"/>
  <c r="BH59" i="79"/>
  <c r="BG59" i="79"/>
  <c r="BF59" i="79"/>
  <c r="BE59" i="79"/>
  <c r="BD59" i="79"/>
  <c r="BC59" i="79"/>
  <c r="BB59" i="79"/>
  <c r="BA59" i="79"/>
  <c r="AZ59" i="79"/>
  <c r="AY59" i="79"/>
  <c r="BO58" i="79"/>
  <c r="BN58" i="79"/>
  <c r="BM58" i="79"/>
  <c r="BL58" i="79"/>
  <c r="BK58" i="79"/>
  <c r="BJ58" i="79"/>
  <c r="BI58" i="79"/>
  <c r="BH58" i="79"/>
  <c r="BG58" i="79"/>
  <c r="BF58" i="79"/>
  <c r="BE58" i="79"/>
  <c r="BD58" i="79"/>
  <c r="BC58" i="79"/>
  <c r="BB58" i="79"/>
  <c r="BA58" i="79"/>
  <c r="AZ58" i="79"/>
  <c r="AY58" i="79"/>
  <c r="BO57" i="79"/>
  <c r="BN57" i="79"/>
  <c r="BM57" i="79"/>
  <c r="BL57" i="79"/>
  <c r="BK57" i="79"/>
  <c r="BJ57" i="79"/>
  <c r="BI57" i="79"/>
  <c r="BH57" i="79"/>
  <c r="BG57" i="79"/>
  <c r="BF57" i="79"/>
  <c r="BE57" i="79"/>
  <c r="BD57" i="79"/>
  <c r="BC57" i="79"/>
  <c r="BB57" i="79"/>
  <c r="BA57" i="79"/>
  <c r="AZ57" i="79"/>
  <c r="AY57" i="79"/>
  <c r="BO56" i="79"/>
  <c r="BN56" i="79"/>
  <c r="BM56" i="79"/>
  <c r="BL56" i="79"/>
  <c r="BK56" i="79"/>
  <c r="BJ56" i="79"/>
  <c r="BI56" i="79"/>
  <c r="BH56" i="79"/>
  <c r="BG56" i="79"/>
  <c r="BF56" i="79"/>
  <c r="BE56" i="79"/>
  <c r="BD56" i="79"/>
  <c r="BC56" i="79"/>
  <c r="BB56" i="79"/>
  <c r="BA56" i="79"/>
  <c r="AZ56" i="79"/>
  <c r="AY56" i="79"/>
  <c r="BO55" i="79"/>
  <c r="BN55" i="79"/>
  <c r="BM55" i="79"/>
  <c r="BL55" i="79"/>
  <c r="BK55" i="79"/>
  <c r="BJ55" i="79"/>
  <c r="BI55" i="79"/>
  <c r="BH55" i="79"/>
  <c r="BG55" i="79"/>
  <c r="BF55" i="79"/>
  <c r="BE55" i="79"/>
  <c r="BD55" i="79"/>
  <c r="BC55" i="79"/>
  <c r="BB55" i="79"/>
  <c r="BA55" i="79"/>
  <c r="AZ55" i="79"/>
  <c r="AY55" i="79"/>
  <c r="BO54" i="79"/>
  <c r="BN54" i="79"/>
  <c r="BM54" i="79"/>
  <c r="BL54" i="79"/>
  <c r="BK54" i="79"/>
  <c r="BJ54" i="79"/>
  <c r="BI54" i="79"/>
  <c r="BH54" i="79"/>
  <c r="BG54" i="79"/>
  <c r="BF54" i="79"/>
  <c r="BE54" i="79"/>
  <c r="BD54" i="79"/>
  <c r="BC54" i="79"/>
  <c r="BB54" i="79"/>
  <c r="BA54" i="79"/>
  <c r="AZ54" i="79"/>
  <c r="AY54" i="79"/>
  <c r="BO53" i="79"/>
  <c r="BN53" i="79"/>
  <c r="BM53" i="79"/>
  <c r="BL53" i="79"/>
  <c r="BK53" i="79"/>
  <c r="BJ53" i="79"/>
  <c r="BI53" i="79"/>
  <c r="BH53" i="79"/>
  <c r="BG53" i="79"/>
  <c r="BF53" i="79"/>
  <c r="BE53" i="79"/>
  <c r="BD53" i="79"/>
  <c r="BC53" i="79"/>
  <c r="BB53" i="79"/>
  <c r="BA53" i="79"/>
  <c r="AZ53" i="79"/>
  <c r="AY53" i="79"/>
  <c r="BO52" i="79"/>
  <c r="BN52" i="79"/>
  <c r="BM52" i="79"/>
  <c r="BL52" i="79"/>
  <c r="BK52" i="79"/>
  <c r="BJ52" i="79"/>
  <c r="BI52" i="79"/>
  <c r="BH52" i="79"/>
  <c r="BG52" i="79"/>
  <c r="BF52" i="79"/>
  <c r="BE52" i="79"/>
  <c r="BD52" i="79"/>
  <c r="BC52" i="79"/>
  <c r="BB52" i="79"/>
  <c r="BA52" i="79"/>
  <c r="AZ52" i="79"/>
  <c r="AY52" i="79"/>
  <c r="BO51" i="79"/>
  <c r="BN51" i="79"/>
  <c r="BM51" i="79"/>
  <c r="BL51" i="79"/>
  <c r="BK51" i="79"/>
  <c r="BJ51" i="79"/>
  <c r="BI51" i="79"/>
  <c r="BH51" i="79"/>
  <c r="BG51" i="79"/>
  <c r="BF51" i="79"/>
  <c r="BE51" i="79"/>
  <c r="BD51" i="79"/>
  <c r="BC51" i="79"/>
  <c r="BB51" i="79"/>
  <c r="BA51" i="79"/>
  <c r="AZ51" i="79"/>
  <c r="AY51" i="79"/>
  <c r="BO50" i="79"/>
  <c r="BN50" i="79"/>
  <c r="BM50" i="79"/>
  <c r="BL50" i="79"/>
  <c r="BK50" i="79"/>
  <c r="BJ50" i="79"/>
  <c r="BI50" i="79"/>
  <c r="BH50" i="79"/>
  <c r="BG50" i="79"/>
  <c r="BF50" i="79"/>
  <c r="BE50" i="79"/>
  <c r="BD50" i="79"/>
  <c r="BC50" i="79"/>
  <c r="BB50" i="79"/>
  <c r="BA50" i="79"/>
  <c r="AZ50" i="79"/>
  <c r="AY50" i="79"/>
  <c r="BO49" i="79"/>
  <c r="BN49" i="79"/>
  <c r="BM49" i="79"/>
  <c r="BL49" i="79"/>
  <c r="BK49" i="79"/>
  <c r="BJ49" i="79"/>
  <c r="BI49" i="79"/>
  <c r="BH49" i="79"/>
  <c r="BG49" i="79"/>
  <c r="BF49" i="79"/>
  <c r="BE49" i="79"/>
  <c r="BD49" i="79"/>
  <c r="BC49" i="79"/>
  <c r="BB49" i="79"/>
  <c r="BA49" i="79"/>
  <c r="AZ49" i="79"/>
  <c r="AY49" i="79"/>
  <c r="BO48" i="79"/>
  <c r="BN48" i="79"/>
  <c r="BM48" i="79"/>
  <c r="BL48" i="79"/>
  <c r="BK48" i="79"/>
  <c r="BJ48" i="79"/>
  <c r="BI48" i="79"/>
  <c r="BH48" i="79"/>
  <c r="BG48" i="79"/>
  <c r="BF48" i="79"/>
  <c r="BE48" i="79"/>
  <c r="BD48" i="79"/>
  <c r="BC48" i="79"/>
  <c r="BB48" i="79"/>
  <c r="BA48" i="79"/>
  <c r="AZ48" i="79"/>
  <c r="AY48" i="79"/>
  <c r="BO47" i="79"/>
  <c r="BN47" i="79"/>
  <c r="BM47" i="79"/>
  <c r="BL47" i="79"/>
  <c r="BK47" i="79"/>
  <c r="BJ47" i="79"/>
  <c r="BI47" i="79"/>
  <c r="BH47" i="79"/>
  <c r="BG47" i="79"/>
  <c r="BF47" i="79"/>
  <c r="BE47" i="79"/>
  <c r="BD47" i="79"/>
  <c r="BC47" i="79"/>
  <c r="BB47" i="79"/>
  <c r="BA47" i="79"/>
  <c r="AZ47" i="79"/>
  <c r="AY47" i="79"/>
  <c r="BO46" i="79"/>
  <c r="BN46" i="79"/>
  <c r="BM46" i="79"/>
  <c r="BL46" i="79"/>
  <c r="BK46" i="79"/>
  <c r="BJ46" i="79"/>
  <c r="BI46" i="79"/>
  <c r="BH46" i="79"/>
  <c r="BG46" i="79"/>
  <c r="BF46" i="79"/>
  <c r="BE46" i="79"/>
  <c r="BD46" i="79"/>
  <c r="BC46" i="79"/>
  <c r="BB46" i="79"/>
  <c r="BA46" i="79"/>
  <c r="AZ46" i="79"/>
  <c r="AY46" i="79"/>
  <c r="BO45" i="79"/>
  <c r="BN45" i="79"/>
  <c r="BM45" i="79"/>
  <c r="BL45" i="79"/>
  <c r="BK45" i="79"/>
  <c r="BJ45" i="79"/>
  <c r="BI45" i="79"/>
  <c r="BH45" i="79"/>
  <c r="BG45" i="79"/>
  <c r="BF45" i="79"/>
  <c r="BE45" i="79"/>
  <c r="BD45" i="79"/>
  <c r="BC45" i="79"/>
  <c r="BB45" i="79"/>
  <c r="BA45" i="79"/>
  <c r="AZ45" i="79"/>
  <c r="AY45" i="79"/>
  <c r="BO44" i="79"/>
  <c r="BN44" i="79"/>
  <c r="BM44" i="79"/>
  <c r="BL44" i="79"/>
  <c r="BK44" i="79"/>
  <c r="BJ44" i="79"/>
  <c r="BI44" i="79"/>
  <c r="BH44" i="79"/>
  <c r="BG44" i="79"/>
  <c r="BF44" i="79"/>
  <c r="BE44" i="79"/>
  <c r="BD44" i="79"/>
  <c r="BC44" i="79"/>
  <c r="BB44" i="79"/>
  <c r="BA44" i="79"/>
  <c r="AZ44" i="79"/>
  <c r="AY44" i="79"/>
  <c r="BO43" i="79"/>
  <c r="BN43" i="79"/>
  <c r="BM43" i="79"/>
  <c r="BL43" i="79"/>
  <c r="BK43" i="79"/>
  <c r="BJ43" i="79"/>
  <c r="BI43" i="79"/>
  <c r="BH43" i="79"/>
  <c r="BG43" i="79"/>
  <c r="BF43" i="79"/>
  <c r="BE43" i="79"/>
  <c r="BD43" i="79"/>
  <c r="BC43" i="79"/>
  <c r="BB43" i="79"/>
  <c r="BA43" i="79"/>
  <c r="AZ43" i="79"/>
  <c r="AY43" i="79"/>
  <c r="BO42" i="79"/>
  <c r="BN42" i="79"/>
  <c r="BM42" i="79"/>
  <c r="BL42" i="79"/>
  <c r="BK42" i="79"/>
  <c r="BJ42" i="79"/>
  <c r="BI42" i="79"/>
  <c r="BH42" i="79"/>
  <c r="BG42" i="79"/>
  <c r="BF42" i="79"/>
  <c r="BE42" i="79"/>
  <c r="BD42" i="79"/>
  <c r="BC42" i="79"/>
  <c r="BB42" i="79"/>
  <c r="BA42" i="79"/>
  <c r="AZ42" i="79"/>
  <c r="AY42" i="79"/>
  <c r="BO41" i="79"/>
  <c r="BN41" i="79"/>
  <c r="BM41" i="79"/>
  <c r="BL41" i="79"/>
  <c r="BK41" i="79"/>
  <c r="BJ41" i="79"/>
  <c r="BI41" i="79"/>
  <c r="BH41" i="79"/>
  <c r="BG41" i="79"/>
  <c r="BF41" i="79"/>
  <c r="BE41" i="79"/>
  <c r="BD41" i="79"/>
  <c r="BC41" i="79"/>
  <c r="BB41" i="79"/>
  <c r="BA41" i="79"/>
  <c r="AZ41" i="79"/>
  <c r="AY41" i="79"/>
  <c r="BO40" i="79"/>
  <c r="BN40" i="79"/>
  <c r="BM40" i="79"/>
  <c r="BL40" i="79"/>
  <c r="BK40" i="79"/>
  <c r="BJ40" i="79"/>
  <c r="BI40" i="79"/>
  <c r="BH40" i="79"/>
  <c r="BG40" i="79"/>
  <c r="BF40" i="79"/>
  <c r="BE40" i="79"/>
  <c r="BD40" i="79"/>
  <c r="BC40" i="79"/>
  <c r="BB40" i="79"/>
  <c r="BA40" i="79"/>
  <c r="AZ40" i="79"/>
  <c r="AY40" i="79"/>
  <c r="BO39" i="79"/>
  <c r="BN39" i="79"/>
  <c r="BM39" i="79"/>
  <c r="BL39" i="79"/>
  <c r="BK39" i="79"/>
  <c r="BJ39" i="79"/>
  <c r="BI39" i="79"/>
  <c r="BH39" i="79"/>
  <c r="BG39" i="79"/>
  <c r="BF39" i="79"/>
  <c r="BE39" i="79"/>
  <c r="BD39" i="79"/>
  <c r="BC39" i="79"/>
  <c r="BB39" i="79"/>
  <c r="BA39" i="79"/>
  <c r="AZ39" i="79"/>
  <c r="AY39" i="79"/>
  <c r="BO38" i="79"/>
  <c r="BN38" i="79"/>
  <c r="BM38" i="79"/>
  <c r="BL38" i="79"/>
  <c r="BK38" i="79"/>
  <c r="BJ38" i="79"/>
  <c r="BI38" i="79"/>
  <c r="BH38" i="79"/>
  <c r="BG38" i="79"/>
  <c r="BF38" i="79"/>
  <c r="BE38" i="79"/>
  <c r="BD38" i="79"/>
  <c r="BC38" i="79"/>
  <c r="BB38" i="79"/>
  <c r="BA38" i="79"/>
  <c r="AZ38" i="79"/>
  <c r="AY38" i="79"/>
  <c r="BO37" i="79"/>
  <c r="BN37" i="79"/>
  <c r="BM37" i="79"/>
  <c r="BL37" i="79"/>
  <c r="BK37" i="79"/>
  <c r="BJ37" i="79"/>
  <c r="BI37" i="79"/>
  <c r="BH37" i="79"/>
  <c r="BG37" i="79"/>
  <c r="BF37" i="79"/>
  <c r="BE37" i="79"/>
  <c r="BD37" i="79"/>
  <c r="BC37" i="79"/>
  <c r="BB37" i="79"/>
  <c r="BA37" i="79"/>
  <c r="AZ37" i="79"/>
  <c r="AY37" i="79"/>
  <c r="BO36" i="79"/>
  <c r="BN36" i="79"/>
  <c r="BM36" i="79"/>
  <c r="BL36" i="79"/>
  <c r="BK36" i="79"/>
  <c r="BJ36" i="79"/>
  <c r="BI36" i="79"/>
  <c r="BH36" i="79"/>
  <c r="BG36" i="79"/>
  <c r="BF36" i="79"/>
  <c r="BE36" i="79"/>
  <c r="BD36" i="79"/>
  <c r="BC36" i="79"/>
  <c r="BB36" i="79"/>
  <c r="BA36" i="79"/>
  <c r="AZ36" i="79"/>
  <c r="AY36" i="79"/>
  <c r="BO35" i="79"/>
  <c r="BN35" i="79"/>
  <c r="BM35" i="79"/>
  <c r="BL35" i="79"/>
  <c r="BK35" i="79"/>
  <c r="BJ35" i="79"/>
  <c r="BI35" i="79"/>
  <c r="BH35" i="79"/>
  <c r="BG35" i="79"/>
  <c r="BF35" i="79"/>
  <c r="BE35" i="79"/>
  <c r="BD35" i="79"/>
  <c r="BC35" i="79"/>
  <c r="BB35" i="79"/>
  <c r="BA35" i="79"/>
  <c r="AZ35" i="79"/>
  <c r="AY35" i="79"/>
  <c r="BO34" i="79"/>
  <c r="BN34" i="79"/>
  <c r="BM34" i="79"/>
  <c r="BL34" i="79"/>
  <c r="BK34" i="79"/>
  <c r="BJ34" i="79"/>
  <c r="BI34" i="79"/>
  <c r="BH34" i="79"/>
  <c r="BG34" i="79"/>
  <c r="BF34" i="79"/>
  <c r="BE34" i="79"/>
  <c r="BD34" i="79"/>
  <c r="BC34" i="79"/>
  <c r="BB34" i="79"/>
  <c r="BA34" i="79"/>
  <c r="AZ34" i="79"/>
  <c r="AY34" i="79"/>
  <c r="BO33" i="79"/>
  <c r="BN33" i="79"/>
  <c r="BM33" i="79"/>
  <c r="BL33" i="79"/>
  <c r="BK33" i="79"/>
  <c r="BJ33" i="79"/>
  <c r="BI33" i="79"/>
  <c r="BH33" i="79"/>
  <c r="BG33" i="79"/>
  <c r="BF33" i="79"/>
  <c r="BE33" i="79"/>
  <c r="BD33" i="79"/>
  <c r="BC33" i="79"/>
  <c r="BB33" i="79"/>
  <c r="BA33" i="79"/>
  <c r="AZ33" i="79"/>
  <c r="AY33" i="79"/>
  <c r="BO32" i="79"/>
  <c r="BN32" i="79"/>
  <c r="BM32" i="79"/>
  <c r="BL32" i="79"/>
  <c r="BK32" i="79"/>
  <c r="BJ32" i="79"/>
  <c r="BI32" i="79"/>
  <c r="BH32" i="79"/>
  <c r="BG32" i="79"/>
  <c r="BF32" i="79"/>
  <c r="BE32" i="79"/>
  <c r="BD32" i="79"/>
  <c r="BC32" i="79"/>
  <c r="BB32" i="79"/>
  <c r="BA32" i="79"/>
  <c r="AZ32" i="79"/>
  <c r="AY32" i="79"/>
  <c r="BO31" i="79"/>
  <c r="BN31" i="79"/>
  <c r="BM31" i="79"/>
  <c r="BL31" i="79"/>
  <c r="BK31" i="79"/>
  <c r="BJ31" i="79"/>
  <c r="BI31" i="79"/>
  <c r="BH31" i="79"/>
  <c r="BG31" i="79"/>
  <c r="BF31" i="79"/>
  <c r="BE31" i="79"/>
  <c r="BD31" i="79"/>
  <c r="BC31" i="79"/>
  <c r="BB31" i="79"/>
  <c r="BA31" i="79"/>
  <c r="AZ31" i="79"/>
  <c r="AY31" i="79"/>
  <c r="BO30" i="79"/>
  <c r="BN30" i="79"/>
  <c r="BM30" i="79"/>
  <c r="BL30" i="79"/>
  <c r="BK30" i="79"/>
  <c r="BJ30" i="79"/>
  <c r="BI30" i="79"/>
  <c r="BH30" i="79"/>
  <c r="BG30" i="79"/>
  <c r="BF30" i="79"/>
  <c r="BE30" i="79"/>
  <c r="BD30" i="79"/>
  <c r="BC30" i="79"/>
  <c r="BB30" i="79"/>
  <c r="BA30" i="79"/>
  <c r="AZ30" i="79"/>
  <c r="AY30" i="79"/>
  <c r="BO29" i="79"/>
  <c r="BN29" i="79"/>
  <c r="BM29" i="79"/>
  <c r="BL29" i="79"/>
  <c r="BK29" i="79"/>
  <c r="BJ29" i="79"/>
  <c r="BI29" i="79"/>
  <c r="BH29" i="79"/>
  <c r="BG29" i="79"/>
  <c r="BF29" i="79"/>
  <c r="BE29" i="79"/>
  <c r="BD29" i="79"/>
  <c r="BC29" i="79"/>
  <c r="BB29" i="79"/>
  <c r="BA29" i="79"/>
  <c r="AZ29" i="79"/>
  <c r="AY29" i="79"/>
  <c r="BO28" i="79"/>
  <c r="BN28" i="79"/>
  <c r="BM28" i="79"/>
  <c r="BL28" i="79"/>
  <c r="BK28" i="79"/>
  <c r="BJ28" i="79"/>
  <c r="BI28" i="79"/>
  <c r="BH28" i="79"/>
  <c r="BG28" i="79"/>
  <c r="BF28" i="79"/>
  <c r="BE28" i="79"/>
  <c r="BD28" i="79"/>
  <c r="BC28" i="79"/>
  <c r="BB28" i="79"/>
  <c r="BA28" i="79"/>
  <c r="AZ28" i="79"/>
  <c r="AY28" i="79"/>
  <c r="BO27" i="79"/>
  <c r="BN27" i="79"/>
  <c r="BM27" i="79"/>
  <c r="BL27" i="79"/>
  <c r="BK27" i="79"/>
  <c r="BJ27" i="79"/>
  <c r="BI27" i="79"/>
  <c r="BH27" i="79"/>
  <c r="BG27" i="79"/>
  <c r="BF27" i="79"/>
  <c r="BE27" i="79"/>
  <c r="BD27" i="79"/>
  <c r="BC27" i="79"/>
  <c r="BB27" i="79"/>
  <c r="BA27" i="79"/>
  <c r="AZ27" i="79"/>
  <c r="AY27" i="79"/>
  <c r="BO26" i="79"/>
  <c r="BN26" i="79"/>
  <c r="BM26" i="79"/>
  <c r="BL26" i="79"/>
  <c r="BK26" i="79"/>
  <c r="BJ26" i="79"/>
  <c r="BI26" i="79"/>
  <c r="BH26" i="79"/>
  <c r="BG26" i="79"/>
  <c r="BF26" i="79"/>
  <c r="BE26" i="79"/>
  <c r="BD26" i="79"/>
  <c r="BC26" i="79"/>
  <c r="BB26" i="79"/>
  <c r="BA26" i="79"/>
  <c r="AZ26" i="79"/>
  <c r="AY26" i="79"/>
  <c r="BO25" i="79"/>
  <c r="BN25" i="79"/>
  <c r="BM25" i="79"/>
  <c r="BL25" i="79"/>
  <c r="BK25" i="79"/>
  <c r="BJ25" i="79"/>
  <c r="BI25" i="79"/>
  <c r="BH25" i="79"/>
  <c r="BG25" i="79"/>
  <c r="BF25" i="79"/>
  <c r="BE25" i="79"/>
  <c r="BD25" i="79"/>
  <c r="BC25" i="79"/>
  <c r="BB25" i="79"/>
  <c r="BA25" i="79"/>
  <c r="AZ25" i="79"/>
  <c r="AY25" i="79"/>
  <c r="BO24" i="79"/>
  <c r="BN24" i="79"/>
  <c r="BM24" i="79"/>
  <c r="BL24" i="79"/>
  <c r="BK24" i="79"/>
  <c r="BJ24" i="79"/>
  <c r="BI24" i="79"/>
  <c r="BH24" i="79"/>
  <c r="BG24" i="79"/>
  <c r="BF24" i="79"/>
  <c r="BE24" i="79"/>
  <c r="BD24" i="79"/>
  <c r="BC24" i="79"/>
  <c r="BB24" i="79"/>
  <c r="BA24" i="79"/>
  <c r="AZ24" i="79"/>
  <c r="AY24" i="79"/>
  <c r="BO23" i="79"/>
  <c r="BN23" i="79"/>
  <c r="BM23" i="79"/>
  <c r="BL23" i="79"/>
  <c r="BK23" i="79"/>
  <c r="BJ23" i="79"/>
  <c r="BI23" i="79"/>
  <c r="BH23" i="79"/>
  <c r="BG23" i="79"/>
  <c r="BF23" i="79"/>
  <c r="BE23" i="79"/>
  <c r="BD23" i="79"/>
  <c r="BC23" i="79"/>
  <c r="BB23" i="79"/>
  <c r="BA23" i="79"/>
  <c r="AZ23" i="79"/>
  <c r="AY23" i="79"/>
  <c r="BO22" i="79"/>
  <c r="BN22" i="79"/>
  <c r="BM22" i="79"/>
  <c r="BL22" i="79"/>
  <c r="BK22" i="79"/>
  <c r="BJ22" i="79"/>
  <c r="BI22" i="79"/>
  <c r="BH22" i="79"/>
  <c r="BG22" i="79"/>
  <c r="BF22" i="79"/>
  <c r="BE22" i="79"/>
  <c r="BD22" i="79"/>
  <c r="BC22" i="79"/>
  <c r="BB22" i="79"/>
  <c r="BA22" i="79"/>
  <c r="AZ22" i="79"/>
  <c r="AY22" i="79"/>
  <c r="BO21" i="79"/>
  <c r="BN21" i="79"/>
  <c r="BM21" i="79"/>
  <c r="BL21" i="79"/>
  <c r="BK21" i="79"/>
  <c r="BJ21" i="79"/>
  <c r="BI21" i="79"/>
  <c r="BH21" i="79"/>
  <c r="BG21" i="79"/>
  <c r="BF21" i="79"/>
  <c r="BE21" i="79"/>
  <c r="BD21" i="79"/>
  <c r="BC21" i="79"/>
  <c r="BB21" i="79"/>
  <c r="BA21" i="79"/>
  <c r="AZ21" i="79"/>
  <c r="AY21" i="79"/>
  <c r="BO20" i="79"/>
  <c r="BN20" i="79"/>
  <c r="BM20" i="79"/>
  <c r="BL20" i="79"/>
  <c r="BK20" i="79"/>
  <c r="BJ20" i="79"/>
  <c r="BI20" i="79"/>
  <c r="BH20" i="79"/>
  <c r="BG20" i="79"/>
  <c r="BF20" i="79"/>
  <c r="BE20" i="79"/>
  <c r="BD20" i="79"/>
  <c r="BC20" i="79"/>
  <c r="BB20" i="79"/>
  <c r="BA20" i="79"/>
  <c r="AZ20" i="79"/>
  <c r="AY20" i="79"/>
  <c r="BO19" i="79"/>
  <c r="BN19" i="79"/>
  <c r="BM19" i="79"/>
  <c r="BL19" i="79"/>
  <c r="BK19" i="79"/>
  <c r="BJ19" i="79"/>
  <c r="BI19" i="79"/>
  <c r="BH19" i="79"/>
  <c r="BG19" i="79"/>
  <c r="BF19" i="79"/>
  <c r="BE19" i="79"/>
  <c r="BD19" i="79"/>
  <c r="BC19" i="79"/>
  <c r="BB19" i="79"/>
  <c r="BA19" i="79"/>
  <c r="AZ19" i="79"/>
  <c r="AY19" i="79"/>
  <c r="BO18" i="79"/>
  <c r="BN18" i="79"/>
  <c r="BM18" i="79"/>
  <c r="BL18" i="79"/>
  <c r="BK18" i="79"/>
  <c r="BJ18" i="79"/>
  <c r="BI18" i="79"/>
  <c r="BH18" i="79"/>
  <c r="BG18" i="79"/>
  <c r="BF18" i="79"/>
  <c r="BE18" i="79"/>
  <c r="BD18" i="79"/>
  <c r="BC18" i="79"/>
  <c r="BB18" i="79"/>
  <c r="BA18" i="79"/>
  <c r="AZ18" i="79"/>
  <c r="AY18" i="79"/>
  <c r="BO17" i="79"/>
  <c r="BN17" i="79"/>
  <c r="BM17" i="79"/>
  <c r="BL17" i="79"/>
  <c r="BK17" i="79"/>
  <c r="BJ17" i="79"/>
  <c r="BI17" i="79"/>
  <c r="BH17" i="79"/>
  <c r="BG17" i="79"/>
  <c r="BF17" i="79"/>
  <c r="BE17" i="79"/>
  <c r="BD17" i="79"/>
  <c r="BC17" i="79"/>
  <c r="BB17" i="79"/>
  <c r="BA17" i="79"/>
  <c r="AZ17" i="79"/>
  <c r="AY17" i="79"/>
  <c r="BO16" i="79"/>
  <c r="BN16" i="79"/>
  <c r="BM16" i="79"/>
  <c r="BL16" i="79"/>
  <c r="BK16" i="79"/>
  <c r="BJ16" i="79"/>
  <c r="BI16" i="79"/>
  <c r="BH16" i="79"/>
  <c r="BG16" i="79"/>
  <c r="BF16" i="79"/>
  <c r="BE16" i="79"/>
  <c r="BD16" i="79"/>
  <c r="BC16" i="79"/>
  <c r="BB16" i="79"/>
  <c r="BA16" i="79"/>
  <c r="AZ16" i="79"/>
  <c r="AY16" i="79"/>
  <c r="BO15" i="79"/>
  <c r="BN15" i="79"/>
  <c r="BM15" i="79"/>
  <c r="BL15" i="79"/>
  <c r="BK15" i="79"/>
  <c r="BJ15" i="79"/>
  <c r="BI15" i="79"/>
  <c r="BH15" i="79"/>
  <c r="BG15" i="79"/>
  <c r="BF15" i="79"/>
  <c r="BE15" i="79"/>
  <c r="BD15" i="79"/>
  <c r="BC15" i="79"/>
  <c r="BB15" i="79"/>
  <c r="BA15" i="79"/>
  <c r="AZ15" i="79"/>
  <c r="AY15" i="79"/>
  <c r="BO14" i="79"/>
  <c r="BN14" i="79"/>
  <c r="BM14" i="79"/>
  <c r="BL14" i="79"/>
  <c r="BK14" i="79"/>
  <c r="BJ14" i="79"/>
  <c r="BI14" i="79"/>
  <c r="BH14" i="79"/>
  <c r="BG14" i="79"/>
  <c r="BF14" i="79"/>
  <c r="BE14" i="79"/>
  <c r="BD14" i="79"/>
  <c r="BC14" i="79"/>
  <c r="BB14" i="79"/>
  <c r="BA14" i="79"/>
  <c r="AZ14" i="79"/>
  <c r="AY14" i="79"/>
  <c r="BO13" i="79"/>
  <c r="BN13" i="79"/>
  <c r="BM13" i="79"/>
  <c r="BL13" i="79"/>
  <c r="BK13" i="79"/>
  <c r="BJ13" i="79"/>
  <c r="BI13" i="79"/>
  <c r="BH13" i="79"/>
  <c r="BG13" i="79"/>
  <c r="BF13" i="79"/>
  <c r="BE13" i="79"/>
  <c r="BD13" i="79"/>
  <c r="BC13" i="79"/>
  <c r="BB13" i="79"/>
  <c r="BA13" i="79"/>
  <c r="AZ13" i="79"/>
  <c r="AY13" i="79"/>
  <c r="BO12" i="79"/>
  <c r="BN12" i="79"/>
  <c r="BM12" i="79"/>
  <c r="BL12" i="79"/>
  <c r="BK12" i="79"/>
  <c r="BJ12" i="79"/>
  <c r="BI12" i="79"/>
  <c r="BH12" i="79"/>
  <c r="BG12" i="79"/>
  <c r="BF12" i="79"/>
  <c r="BE12" i="79"/>
  <c r="BD12" i="79"/>
  <c r="BC12" i="79"/>
  <c r="BB12" i="79"/>
  <c r="BA12" i="79"/>
  <c r="AZ12" i="79"/>
  <c r="AY12" i="79"/>
  <c r="BO11" i="79"/>
  <c r="BN11" i="79"/>
  <c r="BM11" i="79"/>
  <c r="BL11" i="79"/>
  <c r="BK11" i="79"/>
  <c r="BJ11" i="79"/>
  <c r="BI11" i="79"/>
  <c r="BH11" i="79"/>
  <c r="BG11" i="79"/>
  <c r="BF11" i="79"/>
  <c r="BE11" i="79"/>
  <c r="BD11" i="79"/>
  <c r="BC11" i="79"/>
  <c r="BB11" i="79"/>
  <c r="BA11" i="79"/>
  <c r="AZ11" i="79"/>
  <c r="AY11" i="79"/>
  <c r="BO10" i="79"/>
  <c r="BN10" i="79"/>
  <c r="BM10" i="79"/>
  <c r="BL10" i="79"/>
  <c r="BK10" i="79"/>
  <c r="BJ10" i="79"/>
  <c r="BI10" i="79"/>
  <c r="BH10" i="79"/>
  <c r="BG10" i="79"/>
  <c r="BF10" i="79"/>
  <c r="BE10" i="79"/>
  <c r="BD10" i="79"/>
  <c r="BC10" i="79"/>
  <c r="BB10" i="79"/>
  <c r="BA10" i="79"/>
  <c r="AZ10" i="79"/>
  <c r="AY10" i="79"/>
  <c r="BO9" i="79"/>
  <c r="BN9" i="79"/>
  <c r="BM9" i="79"/>
  <c r="BL9" i="79"/>
  <c r="BK9" i="79"/>
  <c r="BJ9" i="79"/>
  <c r="BI9" i="79"/>
  <c r="BH9" i="79"/>
  <c r="BG9" i="79"/>
  <c r="BF9" i="79"/>
  <c r="BE9" i="79"/>
  <c r="BD9" i="79"/>
  <c r="BC9" i="79"/>
  <c r="BB9" i="79"/>
  <c r="BA9" i="79"/>
  <c r="AZ9" i="79"/>
  <c r="AY9" i="79"/>
  <c r="BO8" i="79"/>
  <c r="BN8" i="79"/>
  <c r="BM8" i="79"/>
  <c r="BL8" i="79"/>
  <c r="BK8" i="79"/>
  <c r="BJ8" i="79"/>
  <c r="BI8" i="79"/>
  <c r="BH8" i="79"/>
  <c r="BG8" i="79"/>
  <c r="BF8" i="79"/>
  <c r="BE8" i="79"/>
  <c r="BD8" i="79"/>
  <c r="BC8" i="79"/>
  <c r="BB8" i="79"/>
  <c r="BA8" i="79"/>
  <c r="AZ8" i="79"/>
  <c r="AY8" i="79"/>
  <c r="BO7" i="79"/>
  <c r="BN7" i="79"/>
  <c r="BM7" i="79"/>
  <c r="BL7" i="79"/>
  <c r="BK7" i="79"/>
  <c r="BJ7" i="79"/>
  <c r="BI7" i="79"/>
  <c r="BH7" i="79"/>
  <c r="BG7" i="79"/>
  <c r="BF7" i="79"/>
  <c r="BE7" i="79"/>
  <c r="BD7" i="79"/>
  <c r="BC7" i="79"/>
  <c r="BB7" i="79"/>
  <c r="BA7" i="79"/>
  <c r="AZ7" i="79"/>
  <c r="AY7" i="79"/>
  <c r="BO6" i="79"/>
  <c r="BN6" i="79"/>
  <c r="BM6" i="79"/>
  <c r="BL6" i="79"/>
  <c r="BK6" i="79"/>
  <c r="BJ6" i="79"/>
  <c r="BI6" i="79"/>
  <c r="BH6" i="79"/>
  <c r="BG6" i="79"/>
  <c r="BF6" i="79"/>
  <c r="BE6" i="79"/>
  <c r="BD6" i="79"/>
  <c r="BC6" i="79"/>
  <c r="BB6" i="79"/>
  <c r="BA6" i="79"/>
  <c r="AZ6" i="79"/>
  <c r="AY6" i="79"/>
  <c r="BO5" i="79"/>
  <c r="BN5" i="79"/>
  <c r="BM5" i="79"/>
  <c r="BL5" i="79"/>
  <c r="BK5" i="79"/>
  <c r="BJ5" i="79"/>
  <c r="BI5" i="79"/>
  <c r="BH5" i="79"/>
  <c r="BG5" i="79"/>
  <c r="BF5" i="79"/>
  <c r="BE5" i="79"/>
  <c r="BD5" i="79"/>
  <c r="BC5" i="79"/>
  <c r="BB5" i="79"/>
  <c r="BA5" i="79"/>
  <c r="AZ5" i="79"/>
  <c r="AY5" i="79"/>
  <c r="BO4" i="79"/>
  <c r="BN4" i="79"/>
  <c r="BM4" i="79"/>
  <c r="BL4" i="79"/>
  <c r="BK4" i="79"/>
  <c r="BJ4" i="79"/>
  <c r="BI4" i="79"/>
  <c r="BH4" i="79"/>
  <c r="BG4" i="79"/>
  <c r="BF4" i="79"/>
  <c r="BE4" i="79"/>
  <c r="BD4" i="79"/>
  <c r="BC4" i="79"/>
  <c r="BB4" i="79"/>
  <c r="BA4" i="79"/>
  <c r="AZ4" i="79"/>
  <c r="AY4" i="79"/>
  <c r="BO3" i="79"/>
  <c r="BN3" i="79"/>
  <c r="BM3" i="79"/>
  <c r="BL3" i="79"/>
  <c r="BK3" i="79"/>
  <c r="BJ3" i="79"/>
  <c r="BI3" i="79"/>
  <c r="BH3" i="79"/>
  <c r="BG3" i="79"/>
  <c r="BF3" i="79"/>
  <c r="BE3" i="79"/>
  <c r="BD3" i="79"/>
  <c r="BC3" i="79"/>
  <c r="BB3" i="79"/>
  <c r="BA3" i="79"/>
  <c r="AZ3" i="79"/>
  <c r="AY3" i="79"/>
  <c r="BO2" i="79"/>
  <c r="BN2" i="79"/>
  <c r="BM2" i="79"/>
  <c r="BL2" i="79"/>
  <c r="BK2" i="79"/>
  <c r="BJ2" i="79"/>
  <c r="BI2" i="79"/>
  <c r="BH2" i="79"/>
  <c r="BG2" i="79"/>
  <c r="BF2" i="79"/>
  <c r="BE2" i="79"/>
  <c r="BD2" i="79"/>
  <c r="BC2" i="79"/>
  <c r="BB2" i="79"/>
  <c r="BA2" i="79"/>
  <c r="AZ2" i="79"/>
  <c r="AY2" i="79"/>
  <c r="AT175" i="79"/>
  <c r="AT174" i="79"/>
  <c r="AT173" i="79"/>
  <c r="AT168" i="79"/>
  <c r="AT167" i="79"/>
  <c r="AT166" i="79"/>
  <c r="AT165" i="79"/>
  <c r="AT164" i="79"/>
  <c r="AT163" i="79"/>
  <c r="AT162" i="79"/>
  <c r="AT161" i="79"/>
  <c r="AT160" i="79"/>
  <c r="AT159" i="79"/>
  <c r="AT158" i="79"/>
  <c r="AT157" i="79"/>
  <c r="AT156" i="79"/>
  <c r="AT155" i="79"/>
  <c r="AT154" i="79"/>
  <c r="AT153" i="79"/>
  <c r="AT152" i="79"/>
  <c r="AT151" i="79"/>
  <c r="AT150" i="79"/>
  <c r="AT149" i="79"/>
  <c r="AT148" i="79"/>
  <c r="AT147" i="79"/>
  <c r="AT146" i="79"/>
  <c r="AT145" i="79"/>
  <c r="AT144" i="79"/>
  <c r="AT143" i="79"/>
  <c r="AT142" i="79"/>
  <c r="AT141" i="79"/>
  <c r="AT140" i="79"/>
  <c r="AT139" i="79"/>
  <c r="AT138" i="79"/>
  <c r="AT137" i="79"/>
  <c r="AT136" i="79"/>
  <c r="AT135" i="79"/>
  <c r="AT134" i="79"/>
  <c r="AT133" i="79"/>
  <c r="AT132" i="79"/>
  <c r="AT131" i="79"/>
  <c r="AT130" i="79"/>
  <c r="AT129" i="79"/>
  <c r="AT128" i="79"/>
  <c r="AT127" i="79"/>
  <c r="AT126" i="79"/>
  <c r="AT125" i="79"/>
  <c r="AT124" i="79"/>
  <c r="AT123" i="79"/>
  <c r="AT122" i="79"/>
  <c r="AT121" i="79"/>
  <c r="AT120" i="79"/>
  <c r="AT119" i="79"/>
  <c r="AT118" i="79"/>
  <c r="AT117" i="79"/>
  <c r="AT116" i="79"/>
  <c r="AT115" i="79"/>
  <c r="AT114" i="79"/>
  <c r="AT113" i="79"/>
  <c r="AT112" i="79"/>
  <c r="AT111" i="79"/>
  <c r="AT110" i="79"/>
  <c r="AT109" i="79"/>
  <c r="AT108" i="79"/>
  <c r="AT107" i="79"/>
  <c r="AT106" i="79"/>
  <c r="AT105" i="79"/>
  <c r="AT104" i="79"/>
  <c r="AT103" i="79"/>
  <c r="AT102" i="79"/>
  <c r="AT101" i="79"/>
  <c r="AT100" i="79"/>
  <c r="AT99" i="79"/>
  <c r="AT98" i="79"/>
  <c r="AT97" i="79"/>
  <c r="AT96" i="79"/>
  <c r="AT95" i="79"/>
  <c r="AT94" i="79"/>
  <c r="AT93" i="79"/>
  <c r="AT92" i="79"/>
  <c r="AT91" i="79"/>
  <c r="AT90" i="79"/>
  <c r="AT89" i="79"/>
  <c r="AT88" i="79"/>
  <c r="AT87" i="79"/>
  <c r="AT86" i="79"/>
  <c r="AT85" i="79"/>
  <c r="AT84" i="79"/>
  <c r="AT83" i="79"/>
  <c r="AT82" i="79"/>
  <c r="AT81" i="79"/>
  <c r="AT80" i="79"/>
  <c r="AT79" i="79"/>
  <c r="AT78" i="79"/>
  <c r="AT77" i="79"/>
  <c r="AT76" i="79"/>
  <c r="AT75" i="79"/>
  <c r="AT74" i="79"/>
  <c r="AT73" i="79"/>
  <c r="AT72" i="79"/>
  <c r="AT71" i="79"/>
  <c r="AT70" i="79"/>
  <c r="AT69" i="79"/>
  <c r="AT68" i="79"/>
  <c r="AT67" i="79"/>
  <c r="AT66" i="79"/>
  <c r="AT65" i="79"/>
  <c r="AT64" i="79"/>
  <c r="AT63" i="79"/>
  <c r="AT62" i="79"/>
  <c r="AT61" i="79"/>
  <c r="AT60" i="79"/>
  <c r="AT59" i="79"/>
  <c r="AT58" i="79"/>
  <c r="AT57" i="79"/>
  <c r="AT56" i="79"/>
  <c r="AT55" i="79"/>
  <c r="AT54" i="79"/>
  <c r="AT53" i="79"/>
  <c r="AT52" i="79"/>
  <c r="AT51" i="79"/>
  <c r="AT50" i="79"/>
  <c r="AT49" i="79"/>
  <c r="AT48" i="79"/>
  <c r="AT47" i="79"/>
  <c r="AT46" i="79"/>
  <c r="AT45" i="79"/>
  <c r="AT44" i="79"/>
  <c r="AT43" i="79"/>
  <c r="AT42" i="79"/>
  <c r="AT41" i="79"/>
  <c r="AT40" i="79"/>
  <c r="AT39" i="79"/>
  <c r="AT38" i="79"/>
  <c r="AT37" i="79"/>
  <c r="AT36" i="79"/>
  <c r="AT35" i="79"/>
  <c r="AT34" i="79"/>
  <c r="AT33" i="79"/>
  <c r="AT32" i="79"/>
  <c r="AT31" i="79"/>
  <c r="AT30" i="79"/>
  <c r="AT29" i="79"/>
  <c r="AT28" i="79"/>
  <c r="AT27" i="79"/>
  <c r="AT26" i="79"/>
  <c r="AT25" i="79"/>
  <c r="AT24" i="79"/>
  <c r="AT23" i="79"/>
  <c r="AT22" i="79"/>
  <c r="AT21" i="79"/>
  <c r="AT20" i="79"/>
  <c r="AT19" i="79"/>
  <c r="AT18" i="79"/>
  <c r="AT17" i="79"/>
  <c r="AT16" i="79"/>
  <c r="AT15" i="79"/>
  <c r="AT14" i="79"/>
  <c r="AT13" i="79"/>
  <c r="AT12" i="79"/>
  <c r="AT11" i="79"/>
  <c r="AT10" i="79"/>
  <c r="AT9" i="79"/>
  <c r="AT8" i="79"/>
  <c r="AT7" i="79"/>
  <c r="AT6" i="79"/>
  <c r="AT5" i="79"/>
  <c r="AT4" i="79"/>
  <c r="AT3" i="79"/>
  <c r="AT2" i="79"/>
  <c r="AO175" i="79"/>
  <c r="AN175" i="79"/>
  <c r="AM175" i="79"/>
  <c r="AL175" i="79"/>
  <c r="AK175" i="79"/>
  <c r="AJ175" i="79"/>
  <c r="AI175" i="79"/>
  <c r="AO174" i="79"/>
  <c r="AN174" i="79"/>
  <c r="AM174" i="79"/>
  <c r="AL174" i="79"/>
  <c r="AK174" i="79"/>
  <c r="AJ174" i="79"/>
  <c r="AI174" i="79"/>
  <c r="AO173" i="79"/>
  <c r="AN173" i="79"/>
  <c r="AM173" i="79"/>
  <c r="AL173" i="79"/>
  <c r="AK173" i="79"/>
  <c r="AJ173" i="79"/>
  <c r="AI173" i="79"/>
  <c r="AO168" i="79"/>
  <c r="AN168" i="79"/>
  <c r="AM168" i="79"/>
  <c r="AL168" i="79"/>
  <c r="AK168" i="79"/>
  <c r="AJ168" i="79"/>
  <c r="AI168" i="79"/>
  <c r="AO167" i="79"/>
  <c r="AN167" i="79"/>
  <c r="AM167" i="79"/>
  <c r="AL167" i="79"/>
  <c r="AK167" i="79"/>
  <c r="AJ167" i="79"/>
  <c r="AI167" i="79"/>
  <c r="AO166" i="79"/>
  <c r="AN166" i="79"/>
  <c r="AM166" i="79"/>
  <c r="AL166" i="79"/>
  <c r="AK166" i="79"/>
  <c r="AJ166" i="79"/>
  <c r="AI166" i="79"/>
  <c r="AO165" i="79"/>
  <c r="AN165" i="79"/>
  <c r="AM165" i="79"/>
  <c r="AL165" i="79"/>
  <c r="AK165" i="79"/>
  <c r="AJ165" i="79"/>
  <c r="AI165" i="79"/>
  <c r="AO164" i="79"/>
  <c r="AN164" i="79"/>
  <c r="AM164" i="79"/>
  <c r="AL164" i="79"/>
  <c r="AK164" i="79"/>
  <c r="AJ164" i="79"/>
  <c r="AI164" i="79"/>
  <c r="AO163" i="79"/>
  <c r="AN163" i="79"/>
  <c r="AM163" i="79"/>
  <c r="AL163" i="79"/>
  <c r="AK163" i="79"/>
  <c r="AJ163" i="79"/>
  <c r="AI163" i="79"/>
  <c r="AO162" i="79"/>
  <c r="AN162" i="79"/>
  <c r="AM162" i="79"/>
  <c r="AL162" i="79"/>
  <c r="AK162" i="79"/>
  <c r="AJ162" i="79"/>
  <c r="AI162" i="79"/>
  <c r="AO161" i="79"/>
  <c r="AN161" i="79"/>
  <c r="AM161" i="79"/>
  <c r="AL161" i="79"/>
  <c r="AK161" i="79"/>
  <c r="AJ161" i="79"/>
  <c r="AI161" i="79"/>
  <c r="AO160" i="79"/>
  <c r="AN160" i="79"/>
  <c r="AM160" i="79"/>
  <c r="AL160" i="79"/>
  <c r="AK160" i="79"/>
  <c r="AJ160" i="79"/>
  <c r="AI160" i="79"/>
  <c r="AO159" i="79"/>
  <c r="AN159" i="79"/>
  <c r="AM159" i="79"/>
  <c r="AL159" i="79"/>
  <c r="AK159" i="79"/>
  <c r="AJ159" i="79"/>
  <c r="AI159" i="79"/>
  <c r="AO158" i="79"/>
  <c r="AN158" i="79"/>
  <c r="AM158" i="79"/>
  <c r="AL158" i="79"/>
  <c r="AK158" i="79"/>
  <c r="AJ158" i="79"/>
  <c r="AI158" i="79"/>
  <c r="AO157" i="79"/>
  <c r="AN157" i="79"/>
  <c r="AM157" i="79"/>
  <c r="AL157" i="79"/>
  <c r="AK157" i="79"/>
  <c r="AJ157" i="79"/>
  <c r="AI157" i="79"/>
  <c r="AO156" i="79"/>
  <c r="AN156" i="79"/>
  <c r="AM156" i="79"/>
  <c r="AL156" i="79"/>
  <c r="AK156" i="79"/>
  <c r="AJ156" i="79"/>
  <c r="AI156" i="79"/>
  <c r="AO155" i="79"/>
  <c r="AN155" i="79"/>
  <c r="AM155" i="79"/>
  <c r="AL155" i="79"/>
  <c r="AK155" i="79"/>
  <c r="AJ155" i="79"/>
  <c r="AI155" i="79"/>
  <c r="AO154" i="79"/>
  <c r="AN154" i="79"/>
  <c r="AM154" i="79"/>
  <c r="AL154" i="79"/>
  <c r="AK154" i="79"/>
  <c r="AJ154" i="79"/>
  <c r="AI154" i="79"/>
  <c r="AO153" i="79"/>
  <c r="AN153" i="79"/>
  <c r="AM153" i="79"/>
  <c r="AL153" i="79"/>
  <c r="AK153" i="79"/>
  <c r="AJ153" i="79"/>
  <c r="AI153" i="79"/>
  <c r="AO152" i="79"/>
  <c r="AN152" i="79"/>
  <c r="AM152" i="79"/>
  <c r="AL152" i="79"/>
  <c r="AK152" i="79"/>
  <c r="AJ152" i="79"/>
  <c r="AI152" i="79"/>
  <c r="AO151" i="79"/>
  <c r="AN151" i="79"/>
  <c r="AM151" i="79"/>
  <c r="AL151" i="79"/>
  <c r="AK151" i="79"/>
  <c r="AJ151" i="79"/>
  <c r="AI151" i="79"/>
  <c r="AO150" i="79"/>
  <c r="AN150" i="79"/>
  <c r="AM150" i="79"/>
  <c r="AL150" i="79"/>
  <c r="AK150" i="79"/>
  <c r="AJ150" i="79"/>
  <c r="AI150" i="79"/>
  <c r="AO149" i="79"/>
  <c r="AN149" i="79"/>
  <c r="AM149" i="79"/>
  <c r="AL149" i="79"/>
  <c r="AK149" i="79"/>
  <c r="AJ149" i="79"/>
  <c r="AI149" i="79"/>
  <c r="AO148" i="79"/>
  <c r="AN148" i="79"/>
  <c r="AM148" i="79"/>
  <c r="AL148" i="79"/>
  <c r="AK148" i="79"/>
  <c r="AJ148" i="79"/>
  <c r="AI148" i="79"/>
  <c r="AO147" i="79"/>
  <c r="AN147" i="79"/>
  <c r="AM147" i="79"/>
  <c r="AL147" i="79"/>
  <c r="AK147" i="79"/>
  <c r="AJ147" i="79"/>
  <c r="AI147" i="79"/>
  <c r="AO146" i="79"/>
  <c r="AN146" i="79"/>
  <c r="AM146" i="79"/>
  <c r="AL146" i="79"/>
  <c r="AK146" i="79"/>
  <c r="AJ146" i="79"/>
  <c r="AI146" i="79"/>
  <c r="AO145" i="79"/>
  <c r="AN145" i="79"/>
  <c r="AM145" i="79"/>
  <c r="AL145" i="79"/>
  <c r="AK145" i="79"/>
  <c r="AJ145" i="79"/>
  <c r="AI145" i="79"/>
  <c r="AO144" i="79"/>
  <c r="AN144" i="79"/>
  <c r="AM144" i="79"/>
  <c r="AL144" i="79"/>
  <c r="AK144" i="79"/>
  <c r="AJ144" i="79"/>
  <c r="AI144" i="79"/>
  <c r="AO143" i="79"/>
  <c r="AN143" i="79"/>
  <c r="AM143" i="79"/>
  <c r="AL143" i="79"/>
  <c r="AK143" i="79"/>
  <c r="AJ143" i="79"/>
  <c r="AI143" i="79"/>
  <c r="AO142" i="79"/>
  <c r="AN142" i="79"/>
  <c r="AM142" i="79"/>
  <c r="AL142" i="79"/>
  <c r="AK142" i="79"/>
  <c r="AJ142" i="79"/>
  <c r="AI142" i="79"/>
  <c r="AO141" i="79"/>
  <c r="AN141" i="79"/>
  <c r="AM141" i="79"/>
  <c r="AL141" i="79"/>
  <c r="AK141" i="79"/>
  <c r="AJ141" i="79"/>
  <c r="AI141" i="79"/>
  <c r="AO140" i="79"/>
  <c r="AN140" i="79"/>
  <c r="AM140" i="79"/>
  <c r="AL140" i="79"/>
  <c r="AK140" i="79"/>
  <c r="AJ140" i="79"/>
  <c r="AI140" i="79"/>
  <c r="AO139" i="79"/>
  <c r="AN139" i="79"/>
  <c r="AM139" i="79"/>
  <c r="AL139" i="79"/>
  <c r="AK139" i="79"/>
  <c r="AJ139" i="79"/>
  <c r="AI139" i="79"/>
  <c r="AO138" i="79"/>
  <c r="AN138" i="79"/>
  <c r="AM138" i="79"/>
  <c r="AL138" i="79"/>
  <c r="AK138" i="79"/>
  <c r="AJ138" i="79"/>
  <c r="AI138" i="79"/>
  <c r="AO137" i="79"/>
  <c r="AN137" i="79"/>
  <c r="AM137" i="79"/>
  <c r="AL137" i="79"/>
  <c r="AK137" i="79"/>
  <c r="AJ137" i="79"/>
  <c r="AI137" i="79"/>
  <c r="AO136" i="79"/>
  <c r="AN136" i="79"/>
  <c r="AM136" i="79"/>
  <c r="AL136" i="79"/>
  <c r="AK136" i="79"/>
  <c r="AJ136" i="79"/>
  <c r="AI136" i="79"/>
  <c r="AO135" i="79"/>
  <c r="AN135" i="79"/>
  <c r="AM135" i="79"/>
  <c r="AL135" i="79"/>
  <c r="AK135" i="79"/>
  <c r="AJ135" i="79"/>
  <c r="AI135" i="79"/>
  <c r="AO134" i="79"/>
  <c r="AN134" i="79"/>
  <c r="AM134" i="79"/>
  <c r="AL134" i="79"/>
  <c r="AK134" i="79"/>
  <c r="AJ134" i="79"/>
  <c r="AI134" i="79"/>
  <c r="AO133" i="79"/>
  <c r="AN133" i="79"/>
  <c r="AM133" i="79"/>
  <c r="AL133" i="79"/>
  <c r="AK133" i="79"/>
  <c r="AJ133" i="79"/>
  <c r="AI133" i="79"/>
  <c r="AO132" i="79"/>
  <c r="AN132" i="79"/>
  <c r="AM132" i="79"/>
  <c r="AL132" i="79"/>
  <c r="AK132" i="79"/>
  <c r="AJ132" i="79"/>
  <c r="AI132" i="79"/>
  <c r="AO131" i="79"/>
  <c r="AN131" i="79"/>
  <c r="AM131" i="79"/>
  <c r="AL131" i="79"/>
  <c r="AK131" i="79"/>
  <c r="AJ131" i="79"/>
  <c r="AI131" i="79"/>
  <c r="AO130" i="79"/>
  <c r="AN130" i="79"/>
  <c r="AM130" i="79"/>
  <c r="AL130" i="79"/>
  <c r="AK130" i="79"/>
  <c r="AJ130" i="79"/>
  <c r="AI130" i="79"/>
  <c r="AO129" i="79"/>
  <c r="AN129" i="79"/>
  <c r="AM129" i="79"/>
  <c r="AL129" i="79"/>
  <c r="AK129" i="79"/>
  <c r="AJ129" i="79"/>
  <c r="AI129" i="79"/>
  <c r="AO128" i="79"/>
  <c r="AN128" i="79"/>
  <c r="AM128" i="79"/>
  <c r="AL128" i="79"/>
  <c r="AK128" i="79"/>
  <c r="AJ128" i="79"/>
  <c r="AI128" i="79"/>
  <c r="AO127" i="79"/>
  <c r="AN127" i="79"/>
  <c r="AM127" i="79"/>
  <c r="AL127" i="79"/>
  <c r="AK127" i="79"/>
  <c r="AJ127" i="79"/>
  <c r="AI127" i="79"/>
  <c r="AO126" i="79"/>
  <c r="AN126" i="79"/>
  <c r="AM126" i="79"/>
  <c r="AL126" i="79"/>
  <c r="AK126" i="79"/>
  <c r="AJ126" i="79"/>
  <c r="AI126" i="79"/>
  <c r="AO125" i="79"/>
  <c r="AN125" i="79"/>
  <c r="AM125" i="79"/>
  <c r="AL125" i="79"/>
  <c r="AK125" i="79"/>
  <c r="AJ125" i="79"/>
  <c r="AI125" i="79"/>
  <c r="AO124" i="79"/>
  <c r="AN124" i="79"/>
  <c r="AM124" i="79"/>
  <c r="AL124" i="79"/>
  <c r="AK124" i="79"/>
  <c r="AJ124" i="79"/>
  <c r="AI124" i="79"/>
  <c r="AO123" i="79"/>
  <c r="AN123" i="79"/>
  <c r="AM123" i="79"/>
  <c r="AL123" i="79"/>
  <c r="AK123" i="79"/>
  <c r="AJ123" i="79"/>
  <c r="AI123" i="79"/>
  <c r="AO122" i="79"/>
  <c r="AN122" i="79"/>
  <c r="AM122" i="79"/>
  <c r="AL122" i="79"/>
  <c r="AK122" i="79"/>
  <c r="AJ122" i="79"/>
  <c r="AI122" i="79"/>
  <c r="AO121" i="79"/>
  <c r="AN121" i="79"/>
  <c r="AM121" i="79"/>
  <c r="AL121" i="79"/>
  <c r="AK121" i="79"/>
  <c r="AJ121" i="79"/>
  <c r="AI121" i="79"/>
  <c r="AO120" i="79"/>
  <c r="AN120" i="79"/>
  <c r="AM120" i="79"/>
  <c r="AL120" i="79"/>
  <c r="AK120" i="79"/>
  <c r="AJ120" i="79"/>
  <c r="AI120" i="79"/>
  <c r="AO119" i="79"/>
  <c r="AN119" i="79"/>
  <c r="AM119" i="79"/>
  <c r="AL119" i="79"/>
  <c r="AK119" i="79"/>
  <c r="AJ119" i="79"/>
  <c r="AI119" i="79"/>
  <c r="AO118" i="79"/>
  <c r="AN118" i="79"/>
  <c r="AM118" i="79"/>
  <c r="AL118" i="79"/>
  <c r="AK118" i="79"/>
  <c r="AJ118" i="79"/>
  <c r="AI118" i="79"/>
  <c r="AO117" i="79"/>
  <c r="AN117" i="79"/>
  <c r="AM117" i="79"/>
  <c r="AL117" i="79"/>
  <c r="AK117" i="79"/>
  <c r="AJ117" i="79"/>
  <c r="AI117" i="79"/>
  <c r="AO116" i="79"/>
  <c r="AN116" i="79"/>
  <c r="AM116" i="79"/>
  <c r="AL116" i="79"/>
  <c r="AK116" i="79"/>
  <c r="AJ116" i="79"/>
  <c r="AI116" i="79"/>
  <c r="AO115" i="79"/>
  <c r="AN115" i="79"/>
  <c r="AM115" i="79"/>
  <c r="AL115" i="79"/>
  <c r="AK115" i="79"/>
  <c r="AJ115" i="79"/>
  <c r="AI115" i="79"/>
  <c r="AO114" i="79"/>
  <c r="AN114" i="79"/>
  <c r="AM114" i="79"/>
  <c r="AL114" i="79"/>
  <c r="AK114" i="79"/>
  <c r="AJ114" i="79"/>
  <c r="AI114" i="79"/>
  <c r="AO113" i="79"/>
  <c r="AN113" i="79"/>
  <c r="AM113" i="79"/>
  <c r="AL113" i="79"/>
  <c r="AK113" i="79"/>
  <c r="AJ113" i="79"/>
  <c r="AI113" i="79"/>
  <c r="AO112" i="79"/>
  <c r="AN112" i="79"/>
  <c r="AM112" i="79"/>
  <c r="AL112" i="79"/>
  <c r="AK112" i="79"/>
  <c r="AJ112" i="79"/>
  <c r="AI112" i="79"/>
  <c r="AO111" i="79"/>
  <c r="AN111" i="79"/>
  <c r="AM111" i="79"/>
  <c r="AL111" i="79"/>
  <c r="AK111" i="79"/>
  <c r="AJ111" i="79"/>
  <c r="AI111" i="79"/>
  <c r="AO110" i="79"/>
  <c r="AN110" i="79"/>
  <c r="AM110" i="79"/>
  <c r="AL110" i="79"/>
  <c r="AK110" i="79"/>
  <c r="AJ110" i="79"/>
  <c r="AI110" i="79"/>
  <c r="AO109" i="79"/>
  <c r="AN109" i="79"/>
  <c r="AM109" i="79"/>
  <c r="AL109" i="79"/>
  <c r="AK109" i="79"/>
  <c r="AJ109" i="79"/>
  <c r="AI109" i="79"/>
  <c r="AO108" i="79"/>
  <c r="AN108" i="79"/>
  <c r="AM108" i="79"/>
  <c r="AL108" i="79"/>
  <c r="AK108" i="79"/>
  <c r="AJ108" i="79"/>
  <c r="AI108" i="79"/>
  <c r="AO107" i="79"/>
  <c r="AN107" i="79"/>
  <c r="AM107" i="79"/>
  <c r="AL107" i="79"/>
  <c r="AK107" i="79"/>
  <c r="AJ107" i="79"/>
  <c r="AI107" i="79"/>
  <c r="AO106" i="79"/>
  <c r="AN106" i="79"/>
  <c r="AM106" i="79"/>
  <c r="AL106" i="79"/>
  <c r="AK106" i="79"/>
  <c r="AJ106" i="79"/>
  <c r="AI106" i="79"/>
  <c r="AO105" i="79"/>
  <c r="AN105" i="79"/>
  <c r="AM105" i="79"/>
  <c r="AL105" i="79"/>
  <c r="AK105" i="79"/>
  <c r="AJ105" i="79"/>
  <c r="AI105" i="79"/>
  <c r="AO104" i="79"/>
  <c r="AN104" i="79"/>
  <c r="AM104" i="79"/>
  <c r="AL104" i="79"/>
  <c r="AK104" i="79"/>
  <c r="AJ104" i="79"/>
  <c r="AI104" i="79"/>
  <c r="AO103" i="79"/>
  <c r="AN103" i="79"/>
  <c r="AM103" i="79"/>
  <c r="AL103" i="79"/>
  <c r="AK103" i="79"/>
  <c r="AJ103" i="79"/>
  <c r="AI103" i="79"/>
  <c r="AO102" i="79"/>
  <c r="AN102" i="79"/>
  <c r="AM102" i="79"/>
  <c r="AL102" i="79"/>
  <c r="AK102" i="79"/>
  <c r="AJ102" i="79"/>
  <c r="AI102" i="79"/>
  <c r="AO101" i="79"/>
  <c r="AN101" i="79"/>
  <c r="AM101" i="79"/>
  <c r="AL101" i="79"/>
  <c r="AK101" i="79"/>
  <c r="AJ101" i="79"/>
  <c r="AI101" i="79"/>
  <c r="AO100" i="79"/>
  <c r="AN100" i="79"/>
  <c r="AM100" i="79"/>
  <c r="AL100" i="79"/>
  <c r="AK100" i="79"/>
  <c r="AJ100" i="79"/>
  <c r="AI100" i="79"/>
  <c r="AO99" i="79"/>
  <c r="AN99" i="79"/>
  <c r="AM99" i="79"/>
  <c r="AL99" i="79"/>
  <c r="AK99" i="79"/>
  <c r="AJ99" i="79"/>
  <c r="AI99" i="79"/>
  <c r="AO98" i="79"/>
  <c r="AN98" i="79"/>
  <c r="AM98" i="79"/>
  <c r="AL98" i="79"/>
  <c r="AK98" i="79"/>
  <c r="AJ98" i="79"/>
  <c r="AI98" i="79"/>
  <c r="AO97" i="79"/>
  <c r="AN97" i="79"/>
  <c r="AM97" i="79"/>
  <c r="AL97" i="79"/>
  <c r="AK97" i="79"/>
  <c r="AJ97" i="79"/>
  <c r="AI97" i="79"/>
  <c r="AO96" i="79"/>
  <c r="AN96" i="79"/>
  <c r="AM96" i="79"/>
  <c r="AL96" i="79"/>
  <c r="AK96" i="79"/>
  <c r="AJ96" i="79"/>
  <c r="AI96" i="79"/>
  <c r="AO95" i="79"/>
  <c r="AN95" i="79"/>
  <c r="AM95" i="79"/>
  <c r="AL95" i="79"/>
  <c r="AK95" i="79"/>
  <c r="AJ95" i="79"/>
  <c r="AI95" i="79"/>
  <c r="AO94" i="79"/>
  <c r="AN94" i="79"/>
  <c r="AM94" i="79"/>
  <c r="AL94" i="79"/>
  <c r="AK94" i="79"/>
  <c r="AJ94" i="79"/>
  <c r="AI94" i="79"/>
  <c r="AO93" i="79"/>
  <c r="AN93" i="79"/>
  <c r="AM93" i="79"/>
  <c r="AL93" i="79"/>
  <c r="AK93" i="79"/>
  <c r="AJ93" i="79"/>
  <c r="AI93" i="79"/>
  <c r="AO92" i="79"/>
  <c r="AN92" i="79"/>
  <c r="AM92" i="79"/>
  <c r="AL92" i="79"/>
  <c r="AK92" i="79"/>
  <c r="AJ92" i="79"/>
  <c r="AI92" i="79"/>
  <c r="AO91" i="79"/>
  <c r="AN91" i="79"/>
  <c r="AM91" i="79"/>
  <c r="AL91" i="79"/>
  <c r="AK91" i="79"/>
  <c r="AJ91" i="79"/>
  <c r="AI91" i="79"/>
  <c r="AO90" i="79"/>
  <c r="AN90" i="79"/>
  <c r="AM90" i="79"/>
  <c r="AL90" i="79"/>
  <c r="AK90" i="79"/>
  <c r="AJ90" i="79"/>
  <c r="AI90" i="79"/>
  <c r="AO89" i="79"/>
  <c r="AN89" i="79"/>
  <c r="AM89" i="79"/>
  <c r="AL89" i="79"/>
  <c r="AK89" i="79"/>
  <c r="AJ89" i="79"/>
  <c r="AI89" i="79"/>
  <c r="AO88" i="79"/>
  <c r="AN88" i="79"/>
  <c r="AM88" i="79"/>
  <c r="AL88" i="79"/>
  <c r="AK88" i="79"/>
  <c r="AJ88" i="79"/>
  <c r="AI88" i="79"/>
  <c r="AO87" i="79"/>
  <c r="AN87" i="79"/>
  <c r="AM87" i="79"/>
  <c r="AL87" i="79"/>
  <c r="AK87" i="79"/>
  <c r="AJ87" i="79"/>
  <c r="AI87" i="79"/>
  <c r="AO86" i="79"/>
  <c r="AN86" i="79"/>
  <c r="AM86" i="79"/>
  <c r="AL86" i="79"/>
  <c r="AK86" i="79"/>
  <c r="AJ86" i="79"/>
  <c r="AI86" i="79"/>
  <c r="AO85" i="79"/>
  <c r="AN85" i="79"/>
  <c r="AM85" i="79"/>
  <c r="AL85" i="79"/>
  <c r="AK85" i="79"/>
  <c r="AJ85" i="79"/>
  <c r="AI85" i="79"/>
  <c r="AO84" i="79"/>
  <c r="AN84" i="79"/>
  <c r="AM84" i="79"/>
  <c r="AL84" i="79"/>
  <c r="AK84" i="79"/>
  <c r="AJ84" i="79"/>
  <c r="AI84" i="79"/>
  <c r="AO83" i="79"/>
  <c r="AN83" i="79"/>
  <c r="AM83" i="79"/>
  <c r="AL83" i="79"/>
  <c r="AK83" i="79"/>
  <c r="AJ83" i="79"/>
  <c r="AI83" i="79"/>
  <c r="AO82" i="79"/>
  <c r="AN82" i="79"/>
  <c r="AM82" i="79"/>
  <c r="AL82" i="79"/>
  <c r="AK82" i="79"/>
  <c r="AJ82" i="79"/>
  <c r="AI82" i="79"/>
  <c r="AO81" i="79"/>
  <c r="AN81" i="79"/>
  <c r="AM81" i="79"/>
  <c r="AL81" i="79"/>
  <c r="AK81" i="79"/>
  <c r="AJ81" i="79"/>
  <c r="AI81" i="79"/>
  <c r="AO80" i="79"/>
  <c r="AN80" i="79"/>
  <c r="AM80" i="79"/>
  <c r="AL80" i="79"/>
  <c r="AK80" i="79"/>
  <c r="AJ80" i="79"/>
  <c r="AI80" i="79"/>
  <c r="AO79" i="79"/>
  <c r="AN79" i="79"/>
  <c r="AM79" i="79"/>
  <c r="AL79" i="79"/>
  <c r="AK79" i="79"/>
  <c r="AJ79" i="79"/>
  <c r="AI79" i="79"/>
  <c r="AO78" i="79"/>
  <c r="AN78" i="79"/>
  <c r="AM78" i="79"/>
  <c r="AL78" i="79"/>
  <c r="AK78" i="79"/>
  <c r="AJ78" i="79"/>
  <c r="AI78" i="79"/>
  <c r="AO77" i="79"/>
  <c r="AN77" i="79"/>
  <c r="AM77" i="79"/>
  <c r="AL77" i="79"/>
  <c r="AK77" i="79"/>
  <c r="AJ77" i="79"/>
  <c r="AI77" i="79"/>
  <c r="AO76" i="79"/>
  <c r="AN76" i="79"/>
  <c r="AM76" i="79"/>
  <c r="AL76" i="79"/>
  <c r="AK76" i="79"/>
  <c r="AJ76" i="79"/>
  <c r="AI76" i="79"/>
  <c r="AO75" i="79"/>
  <c r="AN75" i="79"/>
  <c r="AM75" i="79"/>
  <c r="AL75" i="79"/>
  <c r="AK75" i="79"/>
  <c r="AJ75" i="79"/>
  <c r="AI75" i="79"/>
  <c r="AO74" i="79"/>
  <c r="AN74" i="79"/>
  <c r="AM74" i="79"/>
  <c r="AL74" i="79"/>
  <c r="AK74" i="79"/>
  <c r="AJ74" i="79"/>
  <c r="AI74" i="79"/>
  <c r="AO73" i="79"/>
  <c r="AN73" i="79"/>
  <c r="AM73" i="79"/>
  <c r="AL73" i="79"/>
  <c r="AK73" i="79"/>
  <c r="AJ73" i="79"/>
  <c r="AI73" i="79"/>
  <c r="AO72" i="79"/>
  <c r="AN72" i="79"/>
  <c r="AM72" i="79"/>
  <c r="AL72" i="79"/>
  <c r="AK72" i="79"/>
  <c r="AJ72" i="79"/>
  <c r="AI72" i="79"/>
  <c r="AO71" i="79"/>
  <c r="AN71" i="79"/>
  <c r="AM71" i="79"/>
  <c r="AL71" i="79"/>
  <c r="AK71" i="79"/>
  <c r="AJ71" i="79"/>
  <c r="AI71" i="79"/>
  <c r="AO70" i="79"/>
  <c r="AN70" i="79"/>
  <c r="AM70" i="79"/>
  <c r="AL70" i="79"/>
  <c r="AK70" i="79"/>
  <c r="AJ70" i="79"/>
  <c r="AI70" i="79"/>
  <c r="AO69" i="79"/>
  <c r="AN69" i="79"/>
  <c r="AM69" i="79"/>
  <c r="AL69" i="79"/>
  <c r="AK69" i="79"/>
  <c r="AJ69" i="79"/>
  <c r="AI69" i="79"/>
  <c r="AO68" i="79"/>
  <c r="AN68" i="79"/>
  <c r="AM68" i="79"/>
  <c r="AL68" i="79"/>
  <c r="AK68" i="79"/>
  <c r="AJ68" i="79"/>
  <c r="AI68" i="79"/>
  <c r="AO67" i="79"/>
  <c r="AN67" i="79"/>
  <c r="AM67" i="79"/>
  <c r="AL67" i="79"/>
  <c r="AK67" i="79"/>
  <c r="AJ67" i="79"/>
  <c r="AI67" i="79"/>
  <c r="AO66" i="79"/>
  <c r="AN66" i="79"/>
  <c r="AM66" i="79"/>
  <c r="AL66" i="79"/>
  <c r="AK66" i="79"/>
  <c r="AJ66" i="79"/>
  <c r="AI66" i="79"/>
  <c r="AO65" i="79"/>
  <c r="AN65" i="79"/>
  <c r="AM65" i="79"/>
  <c r="AL65" i="79"/>
  <c r="AK65" i="79"/>
  <c r="AJ65" i="79"/>
  <c r="AI65" i="79"/>
  <c r="AO64" i="79"/>
  <c r="AN64" i="79"/>
  <c r="AM64" i="79"/>
  <c r="AL64" i="79"/>
  <c r="AK64" i="79"/>
  <c r="AJ64" i="79"/>
  <c r="AI64" i="79"/>
  <c r="AO63" i="79"/>
  <c r="AN63" i="79"/>
  <c r="AM63" i="79"/>
  <c r="AL63" i="79"/>
  <c r="AK63" i="79"/>
  <c r="AJ63" i="79"/>
  <c r="AI63" i="79"/>
  <c r="AO62" i="79"/>
  <c r="AN62" i="79"/>
  <c r="AM62" i="79"/>
  <c r="AL62" i="79"/>
  <c r="AK62" i="79"/>
  <c r="AJ62" i="79"/>
  <c r="AI62" i="79"/>
  <c r="AO61" i="79"/>
  <c r="AN61" i="79"/>
  <c r="AM61" i="79"/>
  <c r="AL61" i="79"/>
  <c r="AK61" i="79"/>
  <c r="AJ61" i="79"/>
  <c r="AI61" i="79"/>
  <c r="AO60" i="79"/>
  <c r="AN60" i="79"/>
  <c r="AM60" i="79"/>
  <c r="AL60" i="79"/>
  <c r="AK60" i="79"/>
  <c r="AJ60" i="79"/>
  <c r="AI60" i="79"/>
  <c r="AO59" i="79"/>
  <c r="AN59" i="79"/>
  <c r="AM59" i="79"/>
  <c r="AL59" i="79"/>
  <c r="AK59" i="79"/>
  <c r="AJ59" i="79"/>
  <c r="AI59" i="79"/>
  <c r="AO58" i="79"/>
  <c r="AN58" i="79"/>
  <c r="AM58" i="79"/>
  <c r="AL58" i="79"/>
  <c r="AK58" i="79"/>
  <c r="AJ58" i="79"/>
  <c r="AI58" i="79"/>
  <c r="AO57" i="79"/>
  <c r="AN57" i="79"/>
  <c r="AM57" i="79"/>
  <c r="AL57" i="79"/>
  <c r="AK57" i="79"/>
  <c r="AJ57" i="79"/>
  <c r="AI57" i="79"/>
  <c r="AO56" i="79"/>
  <c r="AN56" i="79"/>
  <c r="AM56" i="79"/>
  <c r="AL56" i="79"/>
  <c r="AK56" i="79"/>
  <c r="AJ56" i="79"/>
  <c r="AI56" i="79"/>
  <c r="AO55" i="79"/>
  <c r="AN55" i="79"/>
  <c r="AM55" i="79"/>
  <c r="AL55" i="79"/>
  <c r="AK55" i="79"/>
  <c r="AJ55" i="79"/>
  <c r="AI55" i="79"/>
  <c r="AO54" i="79"/>
  <c r="AN54" i="79"/>
  <c r="AM54" i="79"/>
  <c r="AL54" i="79"/>
  <c r="AK54" i="79"/>
  <c r="AJ54" i="79"/>
  <c r="AI54" i="79"/>
  <c r="AO53" i="79"/>
  <c r="AN53" i="79"/>
  <c r="AM53" i="79"/>
  <c r="AL53" i="79"/>
  <c r="AK53" i="79"/>
  <c r="AJ53" i="79"/>
  <c r="AI53" i="79"/>
  <c r="AO52" i="79"/>
  <c r="AN52" i="79"/>
  <c r="AM52" i="79"/>
  <c r="AL52" i="79"/>
  <c r="AK52" i="79"/>
  <c r="AJ52" i="79"/>
  <c r="AI52" i="79"/>
  <c r="AO51" i="79"/>
  <c r="AN51" i="79"/>
  <c r="AM51" i="79"/>
  <c r="AL51" i="79"/>
  <c r="AK51" i="79"/>
  <c r="AJ51" i="79"/>
  <c r="AI51" i="79"/>
  <c r="AO50" i="79"/>
  <c r="AN50" i="79"/>
  <c r="AM50" i="79"/>
  <c r="AL50" i="79"/>
  <c r="AK50" i="79"/>
  <c r="AJ50" i="79"/>
  <c r="AI50" i="79"/>
  <c r="AO49" i="79"/>
  <c r="AN49" i="79"/>
  <c r="AM49" i="79"/>
  <c r="AL49" i="79"/>
  <c r="AK49" i="79"/>
  <c r="AJ49" i="79"/>
  <c r="AI49" i="79"/>
  <c r="AO48" i="79"/>
  <c r="AN48" i="79"/>
  <c r="AM48" i="79"/>
  <c r="AL48" i="79"/>
  <c r="AK48" i="79"/>
  <c r="AJ48" i="79"/>
  <c r="AI48" i="79"/>
  <c r="AO47" i="79"/>
  <c r="AN47" i="79"/>
  <c r="AM47" i="79"/>
  <c r="AL47" i="79"/>
  <c r="AK47" i="79"/>
  <c r="AJ47" i="79"/>
  <c r="AI47" i="79"/>
  <c r="AO46" i="79"/>
  <c r="AN46" i="79"/>
  <c r="AM46" i="79"/>
  <c r="AL46" i="79"/>
  <c r="AK46" i="79"/>
  <c r="AJ46" i="79"/>
  <c r="AI46" i="79"/>
  <c r="AO45" i="79"/>
  <c r="AN45" i="79"/>
  <c r="AM45" i="79"/>
  <c r="AL45" i="79"/>
  <c r="AK45" i="79"/>
  <c r="AJ45" i="79"/>
  <c r="AI45" i="79"/>
  <c r="AO44" i="79"/>
  <c r="AN44" i="79"/>
  <c r="AM44" i="79"/>
  <c r="AL44" i="79"/>
  <c r="AK44" i="79"/>
  <c r="AJ44" i="79"/>
  <c r="AI44" i="79"/>
  <c r="AO43" i="79"/>
  <c r="AN43" i="79"/>
  <c r="AM43" i="79"/>
  <c r="AL43" i="79"/>
  <c r="AK43" i="79"/>
  <c r="AJ43" i="79"/>
  <c r="AI43" i="79"/>
  <c r="AO42" i="79"/>
  <c r="AN42" i="79"/>
  <c r="AM42" i="79"/>
  <c r="AL42" i="79"/>
  <c r="AK42" i="79"/>
  <c r="AJ42" i="79"/>
  <c r="AI42" i="79"/>
  <c r="AO41" i="79"/>
  <c r="AN41" i="79"/>
  <c r="AM41" i="79"/>
  <c r="AL41" i="79"/>
  <c r="AK41" i="79"/>
  <c r="AJ41" i="79"/>
  <c r="AI41" i="79"/>
  <c r="AO40" i="79"/>
  <c r="AN40" i="79"/>
  <c r="AM40" i="79"/>
  <c r="AL40" i="79"/>
  <c r="AK40" i="79"/>
  <c r="AJ40" i="79"/>
  <c r="AI40" i="79"/>
  <c r="AO39" i="79"/>
  <c r="AN39" i="79"/>
  <c r="AM39" i="79"/>
  <c r="AL39" i="79"/>
  <c r="AK39" i="79"/>
  <c r="AJ39" i="79"/>
  <c r="AI39" i="79"/>
  <c r="AO38" i="79"/>
  <c r="AN38" i="79"/>
  <c r="AM38" i="79"/>
  <c r="AL38" i="79"/>
  <c r="AK38" i="79"/>
  <c r="AJ38" i="79"/>
  <c r="AI38" i="79"/>
  <c r="AO37" i="79"/>
  <c r="AN37" i="79"/>
  <c r="AM37" i="79"/>
  <c r="AL37" i="79"/>
  <c r="AK37" i="79"/>
  <c r="AJ37" i="79"/>
  <c r="AI37" i="79"/>
  <c r="AO36" i="79"/>
  <c r="AN36" i="79"/>
  <c r="AM36" i="79"/>
  <c r="AL36" i="79"/>
  <c r="AK36" i="79"/>
  <c r="AJ36" i="79"/>
  <c r="AI36" i="79"/>
  <c r="AO35" i="79"/>
  <c r="AN35" i="79"/>
  <c r="AM35" i="79"/>
  <c r="AL35" i="79"/>
  <c r="AK35" i="79"/>
  <c r="AJ35" i="79"/>
  <c r="AI35" i="79"/>
  <c r="AO34" i="79"/>
  <c r="AN34" i="79"/>
  <c r="AM34" i="79"/>
  <c r="AL34" i="79"/>
  <c r="AK34" i="79"/>
  <c r="AJ34" i="79"/>
  <c r="AI34" i="79"/>
  <c r="AO33" i="79"/>
  <c r="AN33" i="79"/>
  <c r="AM33" i="79"/>
  <c r="AL33" i="79"/>
  <c r="AK33" i="79"/>
  <c r="AJ33" i="79"/>
  <c r="AI33" i="79"/>
  <c r="AO32" i="79"/>
  <c r="AN32" i="79"/>
  <c r="AM32" i="79"/>
  <c r="AL32" i="79"/>
  <c r="AK32" i="79"/>
  <c r="AJ32" i="79"/>
  <c r="AI32" i="79"/>
  <c r="AO31" i="79"/>
  <c r="AN31" i="79"/>
  <c r="AM31" i="79"/>
  <c r="AL31" i="79"/>
  <c r="AK31" i="79"/>
  <c r="AJ31" i="79"/>
  <c r="AI31" i="79"/>
  <c r="AO30" i="79"/>
  <c r="AN30" i="79"/>
  <c r="AM30" i="79"/>
  <c r="AL30" i="79"/>
  <c r="AK30" i="79"/>
  <c r="AJ30" i="79"/>
  <c r="AI30" i="79"/>
  <c r="AO29" i="79"/>
  <c r="AN29" i="79"/>
  <c r="AM29" i="79"/>
  <c r="AL29" i="79"/>
  <c r="AK29" i="79"/>
  <c r="AJ29" i="79"/>
  <c r="AI29" i="79"/>
  <c r="AO28" i="79"/>
  <c r="AN28" i="79"/>
  <c r="AM28" i="79"/>
  <c r="AL28" i="79"/>
  <c r="AK28" i="79"/>
  <c r="AJ28" i="79"/>
  <c r="AI28" i="79"/>
  <c r="AO27" i="79"/>
  <c r="AN27" i="79"/>
  <c r="AM27" i="79"/>
  <c r="AL27" i="79"/>
  <c r="AK27" i="79"/>
  <c r="AJ27" i="79"/>
  <c r="AI27" i="79"/>
  <c r="AO26" i="79"/>
  <c r="AN26" i="79"/>
  <c r="AM26" i="79"/>
  <c r="AL26" i="79"/>
  <c r="AK26" i="79"/>
  <c r="AJ26" i="79"/>
  <c r="AI26" i="79"/>
  <c r="AO25" i="79"/>
  <c r="AN25" i="79"/>
  <c r="AM25" i="79"/>
  <c r="AL25" i="79"/>
  <c r="AK25" i="79"/>
  <c r="AJ25" i="79"/>
  <c r="AI25" i="79"/>
  <c r="AO24" i="79"/>
  <c r="AN24" i="79"/>
  <c r="AM24" i="79"/>
  <c r="AL24" i="79"/>
  <c r="AK24" i="79"/>
  <c r="AJ24" i="79"/>
  <c r="AI24" i="79"/>
  <c r="AO23" i="79"/>
  <c r="AN23" i="79"/>
  <c r="AM23" i="79"/>
  <c r="AL23" i="79"/>
  <c r="AK23" i="79"/>
  <c r="AJ23" i="79"/>
  <c r="AI23" i="79"/>
  <c r="AO22" i="79"/>
  <c r="AN22" i="79"/>
  <c r="AM22" i="79"/>
  <c r="AL22" i="79"/>
  <c r="AK22" i="79"/>
  <c r="AJ22" i="79"/>
  <c r="AI22" i="79"/>
  <c r="AO21" i="79"/>
  <c r="AN21" i="79"/>
  <c r="AM21" i="79"/>
  <c r="AL21" i="79"/>
  <c r="AK21" i="79"/>
  <c r="AJ21" i="79"/>
  <c r="AI21" i="79"/>
  <c r="AO20" i="79"/>
  <c r="AN20" i="79"/>
  <c r="AM20" i="79"/>
  <c r="AL20" i="79"/>
  <c r="AK20" i="79"/>
  <c r="AJ20" i="79"/>
  <c r="AI20" i="79"/>
  <c r="AO19" i="79"/>
  <c r="AN19" i="79"/>
  <c r="AM19" i="79"/>
  <c r="AL19" i="79"/>
  <c r="AK19" i="79"/>
  <c r="AJ19" i="79"/>
  <c r="AI19" i="79"/>
  <c r="AO18" i="79"/>
  <c r="AN18" i="79"/>
  <c r="AM18" i="79"/>
  <c r="AL18" i="79"/>
  <c r="AK18" i="79"/>
  <c r="AJ18" i="79"/>
  <c r="AI18" i="79"/>
  <c r="AO17" i="79"/>
  <c r="AN17" i="79"/>
  <c r="AM17" i="79"/>
  <c r="AL17" i="79"/>
  <c r="AK17" i="79"/>
  <c r="AJ17" i="79"/>
  <c r="AI17" i="79"/>
  <c r="AO16" i="79"/>
  <c r="AN16" i="79"/>
  <c r="AM16" i="79"/>
  <c r="AL16" i="79"/>
  <c r="AK16" i="79"/>
  <c r="AJ16" i="79"/>
  <c r="AI16" i="79"/>
  <c r="AO15" i="79"/>
  <c r="AN15" i="79"/>
  <c r="AM15" i="79"/>
  <c r="AL15" i="79"/>
  <c r="AK15" i="79"/>
  <c r="AJ15" i="79"/>
  <c r="AI15" i="79"/>
  <c r="AO14" i="79"/>
  <c r="AN14" i="79"/>
  <c r="AM14" i="79"/>
  <c r="AL14" i="79"/>
  <c r="AK14" i="79"/>
  <c r="AJ14" i="79"/>
  <c r="AI14" i="79"/>
  <c r="AO13" i="79"/>
  <c r="AN13" i="79"/>
  <c r="AM13" i="79"/>
  <c r="AL13" i="79"/>
  <c r="AK13" i="79"/>
  <c r="AJ13" i="79"/>
  <c r="AI13" i="79"/>
  <c r="AO12" i="79"/>
  <c r="AN12" i="79"/>
  <c r="AM12" i="79"/>
  <c r="AL12" i="79"/>
  <c r="AK12" i="79"/>
  <c r="AJ12" i="79"/>
  <c r="AI12" i="79"/>
  <c r="AO11" i="79"/>
  <c r="AN11" i="79"/>
  <c r="AM11" i="79"/>
  <c r="AL11" i="79"/>
  <c r="AK11" i="79"/>
  <c r="AJ11" i="79"/>
  <c r="AI11" i="79"/>
  <c r="AO10" i="79"/>
  <c r="AN10" i="79"/>
  <c r="AM10" i="79"/>
  <c r="AL10" i="79"/>
  <c r="AK10" i="79"/>
  <c r="AJ10" i="79"/>
  <c r="AI10" i="79"/>
  <c r="AO9" i="79"/>
  <c r="AN9" i="79"/>
  <c r="AM9" i="79"/>
  <c r="AL9" i="79"/>
  <c r="AK9" i="79"/>
  <c r="AJ9" i="79"/>
  <c r="AI9" i="79"/>
  <c r="AO8" i="79"/>
  <c r="AN8" i="79"/>
  <c r="AM8" i="79"/>
  <c r="AL8" i="79"/>
  <c r="AK8" i="79"/>
  <c r="AJ8" i="79"/>
  <c r="AI8" i="79"/>
  <c r="AO7" i="79"/>
  <c r="AN7" i="79"/>
  <c r="AM7" i="79"/>
  <c r="AL7" i="79"/>
  <c r="AK7" i="79"/>
  <c r="AJ7" i="79"/>
  <c r="AI7" i="79"/>
  <c r="AO6" i="79"/>
  <c r="AN6" i="79"/>
  <c r="AM6" i="79"/>
  <c r="AL6" i="79"/>
  <c r="AK6" i="79"/>
  <c r="AJ6" i="79"/>
  <c r="AI6" i="79"/>
  <c r="AO5" i="79"/>
  <c r="AN5" i="79"/>
  <c r="AM5" i="79"/>
  <c r="AL5" i="79"/>
  <c r="AK5" i="79"/>
  <c r="AJ5" i="79"/>
  <c r="AI5" i="79"/>
  <c r="AO4" i="79"/>
  <c r="AN4" i="79"/>
  <c r="AM4" i="79"/>
  <c r="AL4" i="79"/>
  <c r="AK4" i="79"/>
  <c r="AJ4" i="79"/>
  <c r="AI4" i="79"/>
  <c r="AO3" i="79"/>
  <c r="AN3" i="79"/>
  <c r="AM3" i="79"/>
  <c r="AL3" i="79"/>
  <c r="AK3" i="79"/>
  <c r="AJ3" i="79"/>
  <c r="AI3" i="79"/>
  <c r="AO2" i="79"/>
  <c r="AN2" i="79"/>
  <c r="AM2" i="79"/>
  <c r="AL2" i="79"/>
  <c r="AK2" i="79"/>
  <c r="AJ2" i="79"/>
  <c r="AI2" i="79"/>
  <c r="AA175" i="79"/>
  <c r="Z175" i="79"/>
  <c r="Y175" i="79"/>
  <c r="X175" i="79"/>
  <c r="W175" i="79"/>
  <c r="V175" i="79"/>
  <c r="U175" i="79"/>
  <c r="T175" i="79"/>
  <c r="S175" i="79"/>
  <c r="R175" i="79"/>
  <c r="Q175" i="79"/>
  <c r="P175" i="79"/>
  <c r="O175" i="79"/>
  <c r="N175" i="79"/>
  <c r="M175" i="79"/>
  <c r="L175" i="79"/>
  <c r="K175" i="79"/>
  <c r="J175" i="79"/>
  <c r="I175" i="79"/>
  <c r="H175" i="79"/>
  <c r="G175" i="79"/>
  <c r="F175" i="79"/>
  <c r="E175" i="79"/>
  <c r="D175" i="79"/>
  <c r="AA174" i="79"/>
  <c r="Z174" i="79"/>
  <c r="Y174" i="79"/>
  <c r="X174" i="79"/>
  <c r="W174" i="79"/>
  <c r="V174" i="79"/>
  <c r="U174" i="79"/>
  <c r="T174" i="79"/>
  <c r="S174" i="79"/>
  <c r="R174" i="79"/>
  <c r="Q174" i="79"/>
  <c r="P174" i="79"/>
  <c r="O174" i="79"/>
  <c r="N174" i="79"/>
  <c r="M174" i="79"/>
  <c r="L174" i="79"/>
  <c r="K174" i="79"/>
  <c r="J174" i="79"/>
  <c r="I174" i="79"/>
  <c r="H174" i="79"/>
  <c r="G174" i="79"/>
  <c r="F174" i="79"/>
  <c r="E174" i="79"/>
  <c r="D174" i="79"/>
  <c r="AA173" i="79"/>
  <c r="Z173" i="79"/>
  <c r="Y173" i="79"/>
  <c r="X173" i="79"/>
  <c r="W173" i="79"/>
  <c r="V173" i="79"/>
  <c r="U173" i="79"/>
  <c r="T173" i="79"/>
  <c r="S173" i="79"/>
  <c r="R173" i="79"/>
  <c r="Q173" i="79"/>
  <c r="P173" i="79"/>
  <c r="O173" i="79"/>
  <c r="N173" i="79"/>
  <c r="M173" i="79"/>
  <c r="L173" i="79"/>
  <c r="K173" i="79"/>
  <c r="J173" i="79"/>
  <c r="I173" i="79"/>
  <c r="H173" i="79"/>
  <c r="G173" i="79"/>
  <c r="F173" i="79"/>
  <c r="E173" i="79"/>
  <c r="D173" i="79"/>
  <c r="AA168" i="79"/>
  <c r="Z168" i="79"/>
  <c r="Y168" i="79"/>
  <c r="X168" i="79"/>
  <c r="W168" i="79"/>
  <c r="V168" i="79"/>
  <c r="U168" i="79"/>
  <c r="T168" i="79"/>
  <c r="S168" i="79"/>
  <c r="R168" i="79"/>
  <c r="Q168" i="79"/>
  <c r="P168" i="79"/>
  <c r="O168" i="79"/>
  <c r="N168" i="79"/>
  <c r="M168" i="79"/>
  <c r="L168" i="79"/>
  <c r="K168" i="79"/>
  <c r="J168" i="79"/>
  <c r="I168" i="79"/>
  <c r="H168" i="79"/>
  <c r="G168" i="79"/>
  <c r="F168" i="79"/>
  <c r="E168" i="79"/>
  <c r="D168" i="79"/>
  <c r="AA167" i="79"/>
  <c r="Z167" i="79"/>
  <c r="Y167" i="79"/>
  <c r="X167" i="79"/>
  <c r="W167" i="79"/>
  <c r="V167" i="79"/>
  <c r="U167" i="79"/>
  <c r="T167" i="79"/>
  <c r="S167" i="79"/>
  <c r="R167" i="79"/>
  <c r="Q167" i="79"/>
  <c r="P167" i="79"/>
  <c r="O167" i="79"/>
  <c r="N167" i="79"/>
  <c r="M167" i="79"/>
  <c r="L167" i="79"/>
  <c r="K167" i="79"/>
  <c r="J167" i="79"/>
  <c r="I167" i="79"/>
  <c r="H167" i="79"/>
  <c r="G167" i="79"/>
  <c r="F167" i="79"/>
  <c r="E167" i="79"/>
  <c r="D167" i="79"/>
  <c r="AA166" i="79"/>
  <c r="Z166" i="79"/>
  <c r="Y166" i="79"/>
  <c r="X166" i="79"/>
  <c r="W166" i="79"/>
  <c r="V166" i="79"/>
  <c r="U166" i="79"/>
  <c r="T166" i="79"/>
  <c r="S166" i="79"/>
  <c r="R166" i="79"/>
  <c r="Q166" i="79"/>
  <c r="P166" i="79"/>
  <c r="O166" i="79"/>
  <c r="N166" i="79"/>
  <c r="M166" i="79"/>
  <c r="L166" i="79"/>
  <c r="K166" i="79"/>
  <c r="J166" i="79"/>
  <c r="I166" i="79"/>
  <c r="H166" i="79"/>
  <c r="G166" i="79"/>
  <c r="F166" i="79"/>
  <c r="E166" i="79"/>
  <c r="D166" i="79"/>
  <c r="AA165" i="79"/>
  <c r="Z165" i="79"/>
  <c r="Y165" i="79"/>
  <c r="X165" i="79"/>
  <c r="W165" i="79"/>
  <c r="V165" i="79"/>
  <c r="U165" i="79"/>
  <c r="T165" i="79"/>
  <c r="S165" i="79"/>
  <c r="R165" i="79"/>
  <c r="Q165" i="79"/>
  <c r="P165" i="79"/>
  <c r="O165" i="79"/>
  <c r="N165" i="79"/>
  <c r="M165" i="79"/>
  <c r="L165" i="79"/>
  <c r="K165" i="79"/>
  <c r="J165" i="79"/>
  <c r="I165" i="79"/>
  <c r="H165" i="79"/>
  <c r="G165" i="79"/>
  <c r="F165" i="79"/>
  <c r="E165" i="79"/>
  <c r="D165" i="79"/>
  <c r="AA164" i="79"/>
  <c r="Z164" i="79"/>
  <c r="Y164" i="79"/>
  <c r="X164" i="79"/>
  <c r="W164" i="79"/>
  <c r="V164" i="79"/>
  <c r="U164" i="79"/>
  <c r="T164" i="79"/>
  <c r="S164" i="79"/>
  <c r="R164" i="79"/>
  <c r="Q164" i="79"/>
  <c r="P164" i="79"/>
  <c r="O164" i="79"/>
  <c r="N164" i="79"/>
  <c r="M164" i="79"/>
  <c r="L164" i="79"/>
  <c r="K164" i="79"/>
  <c r="J164" i="79"/>
  <c r="I164" i="79"/>
  <c r="H164" i="79"/>
  <c r="G164" i="79"/>
  <c r="F164" i="79"/>
  <c r="E164" i="79"/>
  <c r="D164" i="79"/>
  <c r="AA163" i="79"/>
  <c r="Z163" i="79"/>
  <c r="Y163" i="79"/>
  <c r="X163" i="79"/>
  <c r="W163" i="79"/>
  <c r="V163" i="79"/>
  <c r="U163" i="79"/>
  <c r="T163" i="79"/>
  <c r="S163" i="79"/>
  <c r="R163" i="79"/>
  <c r="Q163" i="79"/>
  <c r="P163" i="79"/>
  <c r="O163" i="79"/>
  <c r="N163" i="79"/>
  <c r="M163" i="79"/>
  <c r="L163" i="79"/>
  <c r="K163" i="79"/>
  <c r="J163" i="79"/>
  <c r="I163" i="79"/>
  <c r="H163" i="79"/>
  <c r="G163" i="79"/>
  <c r="F163" i="79"/>
  <c r="E163" i="79"/>
  <c r="D163" i="79"/>
  <c r="AA162" i="79"/>
  <c r="Z162" i="79"/>
  <c r="Y162" i="79"/>
  <c r="X162" i="79"/>
  <c r="W162" i="79"/>
  <c r="V162" i="79"/>
  <c r="U162" i="79"/>
  <c r="T162" i="79"/>
  <c r="S162" i="79"/>
  <c r="R162" i="79"/>
  <c r="Q162" i="79"/>
  <c r="P162" i="79"/>
  <c r="O162" i="79"/>
  <c r="N162" i="79"/>
  <c r="M162" i="79"/>
  <c r="L162" i="79"/>
  <c r="K162" i="79"/>
  <c r="J162" i="79"/>
  <c r="I162" i="79"/>
  <c r="H162" i="79"/>
  <c r="G162" i="79"/>
  <c r="F162" i="79"/>
  <c r="E162" i="79"/>
  <c r="D162" i="79"/>
  <c r="AA161" i="79"/>
  <c r="Z161" i="79"/>
  <c r="Y161" i="79"/>
  <c r="X161" i="79"/>
  <c r="W161" i="79"/>
  <c r="V161" i="79"/>
  <c r="U161" i="79"/>
  <c r="T161" i="79"/>
  <c r="S161" i="79"/>
  <c r="R161" i="79"/>
  <c r="Q161" i="79"/>
  <c r="P161" i="79"/>
  <c r="O161" i="79"/>
  <c r="N161" i="79"/>
  <c r="M161" i="79"/>
  <c r="L161" i="79"/>
  <c r="K161" i="79"/>
  <c r="J161" i="79"/>
  <c r="I161" i="79"/>
  <c r="H161" i="79"/>
  <c r="G161" i="79"/>
  <c r="F161" i="79"/>
  <c r="E161" i="79"/>
  <c r="D161" i="79"/>
  <c r="AA160" i="79"/>
  <c r="Z160" i="79"/>
  <c r="Y160" i="79"/>
  <c r="X160" i="79"/>
  <c r="W160" i="79"/>
  <c r="V160" i="79"/>
  <c r="U160" i="79"/>
  <c r="T160" i="79"/>
  <c r="S160" i="79"/>
  <c r="R160" i="79"/>
  <c r="Q160" i="79"/>
  <c r="P160" i="79"/>
  <c r="O160" i="79"/>
  <c r="N160" i="79"/>
  <c r="M160" i="79"/>
  <c r="L160" i="79"/>
  <c r="K160" i="79"/>
  <c r="J160" i="79"/>
  <c r="I160" i="79"/>
  <c r="H160" i="79"/>
  <c r="G160" i="79"/>
  <c r="F160" i="79"/>
  <c r="E160" i="79"/>
  <c r="D160" i="79"/>
  <c r="AA159" i="79"/>
  <c r="Z159" i="79"/>
  <c r="Y159" i="79"/>
  <c r="X159" i="79"/>
  <c r="W159" i="79"/>
  <c r="V159" i="79"/>
  <c r="U159" i="79"/>
  <c r="T159" i="79"/>
  <c r="S159" i="79"/>
  <c r="R159" i="79"/>
  <c r="Q159" i="79"/>
  <c r="P159" i="79"/>
  <c r="O159" i="79"/>
  <c r="N159" i="79"/>
  <c r="M159" i="79"/>
  <c r="L159" i="79"/>
  <c r="K159" i="79"/>
  <c r="J159" i="79"/>
  <c r="I159" i="79"/>
  <c r="H159" i="79"/>
  <c r="G159" i="79"/>
  <c r="F159" i="79"/>
  <c r="E159" i="79"/>
  <c r="D159" i="79"/>
  <c r="AA158" i="79"/>
  <c r="Z158" i="79"/>
  <c r="Y158" i="79"/>
  <c r="X158" i="79"/>
  <c r="W158" i="79"/>
  <c r="V158" i="79"/>
  <c r="U158" i="79"/>
  <c r="T158" i="79"/>
  <c r="S158" i="79"/>
  <c r="R158" i="79"/>
  <c r="Q158" i="79"/>
  <c r="P158" i="79"/>
  <c r="O158" i="79"/>
  <c r="N158" i="79"/>
  <c r="M158" i="79"/>
  <c r="L158" i="79"/>
  <c r="K158" i="79"/>
  <c r="J158" i="79"/>
  <c r="I158" i="79"/>
  <c r="H158" i="79"/>
  <c r="G158" i="79"/>
  <c r="F158" i="79"/>
  <c r="E158" i="79"/>
  <c r="D158" i="79"/>
  <c r="AA157" i="79"/>
  <c r="Z157" i="79"/>
  <c r="Y157" i="79"/>
  <c r="X157" i="79"/>
  <c r="W157" i="79"/>
  <c r="V157" i="79"/>
  <c r="U157" i="79"/>
  <c r="T157" i="79"/>
  <c r="S157" i="79"/>
  <c r="R157" i="79"/>
  <c r="Q157" i="79"/>
  <c r="P157" i="79"/>
  <c r="O157" i="79"/>
  <c r="N157" i="79"/>
  <c r="M157" i="79"/>
  <c r="L157" i="79"/>
  <c r="K157" i="79"/>
  <c r="J157" i="79"/>
  <c r="I157" i="79"/>
  <c r="H157" i="79"/>
  <c r="G157" i="79"/>
  <c r="F157" i="79"/>
  <c r="E157" i="79"/>
  <c r="D157" i="79"/>
  <c r="AA156" i="79"/>
  <c r="Z156" i="79"/>
  <c r="Y156" i="79"/>
  <c r="X156" i="79"/>
  <c r="W156" i="79"/>
  <c r="V156" i="79"/>
  <c r="U156" i="79"/>
  <c r="T156" i="79"/>
  <c r="S156" i="79"/>
  <c r="R156" i="79"/>
  <c r="Q156" i="79"/>
  <c r="P156" i="79"/>
  <c r="O156" i="79"/>
  <c r="N156" i="79"/>
  <c r="M156" i="79"/>
  <c r="L156" i="79"/>
  <c r="K156" i="79"/>
  <c r="J156" i="79"/>
  <c r="I156" i="79"/>
  <c r="H156" i="79"/>
  <c r="G156" i="79"/>
  <c r="F156" i="79"/>
  <c r="E156" i="79"/>
  <c r="D156" i="79"/>
  <c r="AA155" i="79"/>
  <c r="Z155" i="79"/>
  <c r="Y155" i="79"/>
  <c r="X155" i="79"/>
  <c r="W155" i="79"/>
  <c r="V155" i="79"/>
  <c r="U155" i="79"/>
  <c r="T155" i="79"/>
  <c r="S155" i="79"/>
  <c r="R155" i="79"/>
  <c r="Q155" i="79"/>
  <c r="P155" i="79"/>
  <c r="O155" i="79"/>
  <c r="N155" i="79"/>
  <c r="M155" i="79"/>
  <c r="L155" i="79"/>
  <c r="K155" i="79"/>
  <c r="J155" i="79"/>
  <c r="I155" i="79"/>
  <c r="H155" i="79"/>
  <c r="G155" i="79"/>
  <c r="F155" i="79"/>
  <c r="E155" i="79"/>
  <c r="D155" i="79"/>
  <c r="AA154" i="79"/>
  <c r="Z154" i="79"/>
  <c r="Y154" i="79"/>
  <c r="X154" i="79"/>
  <c r="W154" i="79"/>
  <c r="V154" i="79"/>
  <c r="U154" i="79"/>
  <c r="T154" i="79"/>
  <c r="S154" i="79"/>
  <c r="R154" i="79"/>
  <c r="Q154" i="79"/>
  <c r="P154" i="79"/>
  <c r="O154" i="79"/>
  <c r="N154" i="79"/>
  <c r="M154" i="79"/>
  <c r="L154" i="79"/>
  <c r="K154" i="79"/>
  <c r="J154" i="79"/>
  <c r="I154" i="79"/>
  <c r="H154" i="79"/>
  <c r="G154" i="79"/>
  <c r="F154" i="79"/>
  <c r="E154" i="79"/>
  <c r="D154" i="79"/>
  <c r="AA153" i="79"/>
  <c r="Z153" i="79"/>
  <c r="Y153" i="79"/>
  <c r="X153" i="79"/>
  <c r="W153" i="79"/>
  <c r="V153" i="79"/>
  <c r="U153" i="79"/>
  <c r="T153" i="79"/>
  <c r="S153" i="79"/>
  <c r="R153" i="79"/>
  <c r="Q153" i="79"/>
  <c r="P153" i="79"/>
  <c r="O153" i="79"/>
  <c r="N153" i="79"/>
  <c r="M153" i="79"/>
  <c r="L153" i="79"/>
  <c r="K153" i="79"/>
  <c r="J153" i="79"/>
  <c r="I153" i="79"/>
  <c r="H153" i="79"/>
  <c r="G153" i="79"/>
  <c r="F153" i="79"/>
  <c r="E153" i="79"/>
  <c r="D153" i="79"/>
  <c r="AA152" i="79"/>
  <c r="Z152" i="79"/>
  <c r="Y152" i="79"/>
  <c r="X152" i="79"/>
  <c r="W152" i="79"/>
  <c r="V152" i="79"/>
  <c r="U152" i="79"/>
  <c r="T152" i="79"/>
  <c r="S152" i="79"/>
  <c r="R152" i="79"/>
  <c r="Q152" i="79"/>
  <c r="P152" i="79"/>
  <c r="O152" i="79"/>
  <c r="N152" i="79"/>
  <c r="M152" i="79"/>
  <c r="L152" i="79"/>
  <c r="K152" i="79"/>
  <c r="J152" i="79"/>
  <c r="I152" i="79"/>
  <c r="H152" i="79"/>
  <c r="G152" i="79"/>
  <c r="F152" i="79"/>
  <c r="E152" i="79"/>
  <c r="D152" i="79"/>
  <c r="AA151" i="79"/>
  <c r="Z151" i="79"/>
  <c r="Y151" i="79"/>
  <c r="X151" i="79"/>
  <c r="W151" i="79"/>
  <c r="V151" i="79"/>
  <c r="U151" i="79"/>
  <c r="T151" i="79"/>
  <c r="S151" i="79"/>
  <c r="R151" i="79"/>
  <c r="Q151" i="79"/>
  <c r="P151" i="79"/>
  <c r="O151" i="79"/>
  <c r="N151" i="79"/>
  <c r="M151" i="79"/>
  <c r="L151" i="79"/>
  <c r="K151" i="79"/>
  <c r="J151" i="79"/>
  <c r="I151" i="79"/>
  <c r="H151" i="79"/>
  <c r="G151" i="79"/>
  <c r="F151" i="79"/>
  <c r="E151" i="79"/>
  <c r="D151" i="79"/>
  <c r="AA150" i="79"/>
  <c r="Z150" i="79"/>
  <c r="Y150" i="79"/>
  <c r="X150" i="79"/>
  <c r="W150" i="79"/>
  <c r="V150" i="79"/>
  <c r="U150" i="79"/>
  <c r="T150" i="79"/>
  <c r="S150" i="79"/>
  <c r="R150" i="79"/>
  <c r="Q150" i="79"/>
  <c r="P150" i="79"/>
  <c r="O150" i="79"/>
  <c r="N150" i="79"/>
  <c r="M150" i="79"/>
  <c r="L150" i="79"/>
  <c r="K150" i="79"/>
  <c r="J150" i="79"/>
  <c r="I150" i="79"/>
  <c r="H150" i="79"/>
  <c r="G150" i="79"/>
  <c r="F150" i="79"/>
  <c r="E150" i="79"/>
  <c r="D150" i="79"/>
  <c r="AA149" i="79"/>
  <c r="Z149" i="79"/>
  <c r="Y149" i="79"/>
  <c r="X149" i="79"/>
  <c r="W149" i="79"/>
  <c r="V149" i="79"/>
  <c r="U149" i="79"/>
  <c r="T149" i="79"/>
  <c r="S149" i="79"/>
  <c r="R149" i="79"/>
  <c r="Q149" i="79"/>
  <c r="P149" i="79"/>
  <c r="O149" i="79"/>
  <c r="N149" i="79"/>
  <c r="M149" i="79"/>
  <c r="L149" i="79"/>
  <c r="K149" i="79"/>
  <c r="J149" i="79"/>
  <c r="I149" i="79"/>
  <c r="H149" i="79"/>
  <c r="G149" i="79"/>
  <c r="F149" i="79"/>
  <c r="E149" i="79"/>
  <c r="D149" i="79"/>
  <c r="AA148" i="79"/>
  <c r="Z148" i="79"/>
  <c r="Y148" i="79"/>
  <c r="X148" i="79"/>
  <c r="W148" i="79"/>
  <c r="V148" i="79"/>
  <c r="U148" i="79"/>
  <c r="T148" i="79"/>
  <c r="S148" i="79"/>
  <c r="R148" i="79"/>
  <c r="Q148" i="79"/>
  <c r="P148" i="79"/>
  <c r="O148" i="79"/>
  <c r="N148" i="79"/>
  <c r="M148" i="79"/>
  <c r="L148" i="79"/>
  <c r="K148" i="79"/>
  <c r="J148" i="79"/>
  <c r="I148" i="79"/>
  <c r="H148" i="79"/>
  <c r="G148" i="79"/>
  <c r="F148" i="79"/>
  <c r="E148" i="79"/>
  <c r="D148" i="79"/>
  <c r="AA147" i="79"/>
  <c r="Z147" i="79"/>
  <c r="Y147" i="79"/>
  <c r="X147" i="79"/>
  <c r="W147" i="79"/>
  <c r="V147" i="79"/>
  <c r="U147" i="79"/>
  <c r="T147" i="79"/>
  <c r="S147" i="79"/>
  <c r="R147" i="79"/>
  <c r="Q147" i="79"/>
  <c r="P147" i="79"/>
  <c r="O147" i="79"/>
  <c r="N147" i="79"/>
  <c r="M147" i="79"/>
  <c r="L147" i="79"/>
  <c r="K147" i="79"/>
  <c r="J147" i="79"/>
  <c r="I147" i="79"/>
  <c r="H147" i="79"/>
  <c r="G147" i="79"/>
  <c r="F147" i="79"/>
  <c r="E147" i="79"/>
  <c r="D147" i="79"/>
  <c r="AA146" i="79"/>
  <c r="Z146" i="79"/>
  <c r="Y146" i="79"/>
  <c r="X146" i="79"/>
  <c r="W146" i="79"/>
  <c r="V146" i="79"/>
  <c r="U146" i="79"/>
  <c r="T146" i="79"/>
  <c r="S146" i="79"/>
  <c r="R146" i="79"/>
  <c r="Q146" i="79"/>
  <c r="P146" i="79"/>
  <c r="O146" i="79"/>
  <c r="N146" i="79"/>
  <c r="M146" i="79"/>
  <c r="L146" i="79"/>
  <c r="K146" i="79"/>
  <c r="J146" i="79"/>
  <c r="I146" i="79"/>
  <c r="H146" i="79"/>
  <c r="G146" i="79"/>
  <c r="F146" i="79"/>
  <c r="E146" i="79"/>
  <c r="D146" i="79"/>
  <c r="AA145" i="79"/>
  <c r="Z145" i="79"/>
  <c r="Y145" i="79"/>
  <c r="X145" i="79"/>
  <c r="W145" i="79"/>
  <c r="V145" i="79"/>
  <c r="U145" i="79"/>
  <c r="T145" i="79"/>
  <c r="S145" i="79"/>
  <c r="R145" i="79"/>
  <c r="Q145" i="79"/>
  <c r="P145" i="79"/>
  <c r="O145" i="79"/>
  <c r="N145" i="79"/>
  <c r="M145" i="79"/>
  <c r="L145" i="79"/>
  <c r="K145" i="79"/>
  <c r="J145" i="79"/>
  <c r="I145" i="79"/>
  <c r="H145" i="79"/>
  <c r="G145" i="79"/>
  <c r="F145" i="79"/>
  <c r="E145" i="79"/>
  <c r="D145" i="79"/>
  <c r="AA144" i="79"/>
  <c r="Z144" i="79"/>
  <c r="Y144" i="79"/>
  <c r="X144" i="79"/>
  <c r="W144" i="79"/>
  <c r="V144" i="79"/>
  <c r="U144" i="79"/>
  <c r="T144" i="79"/>
  <c r="S144" i="79"/>
  <c r="R144" i="79"/>
  <c r="Q144" i="79"/>
  <c r="P144" i="79"/>
  <c r="O144" i="79"/>
  <c r="N144" i="79"/>
  <c r="M144" i="79"/>
  <c r="L144" i="79"/>
  <c r="K144" i="79"/>
  <c r="J144" i="79"/>
  <c r="I144" i="79"/>
  <c r="H144" i="79"/>
  <c r="G144" i="79"/>
  <c r="F144" i="79"/>
  <c r="E144" i="79"/>
  <c r="D144" i="79"/>
  <c r="AA143" i="79"/>
  <c r="Z143" i="79"/>
  <c r="Y143" i="79"/>
  <c r="X143" i="79"/>
  <c r="W143" i="79"/>
  <c r="V143" i="79"/>
  <c r="U143" i="79"/>
  <c r="T143" i="79"/>
  <c r="S143" i="79"/>
  <c r="R143" i="79"/>
  <c r="Q143" i="79"/>
  <c r="P143" i="79"/>
  <c r="O143" i="79"/>
  <c r="N143" i="79"/>
  <c r="M143" i="79"/>
  <c r="L143" i="79"/>
  <c r="K143" i="79"/>
  <c r="J143" i="79"/>
  <c r="I143" i="79"/>
  <c r="H143" i="79"/>
  <c r="G143" i="79"/>
  <c r="F143" i="79"/>
  <c r="E143" i="79"/>
  <c r="D143" i="79"/>
  <c r="AA142" i="79"/>
  <c r="Z142" i="79"/>
  <c r="Y142" i="79"/>
  <c r="X142" i="79"/>
  <c r="W142" i="79"/>
  <c r="V142" i="79"/>
  <c r="U142" i="79"/>
  <c r="T142" i="79"/>
  <c r="S142" i="79"/>
  <c r="R142" i="79"/>
  <c r="Q142" i="79"/>
  <c r="P142" i="79"/>
  <c r="O142" i="79"/>
  <c r="N142" i="79"/>
  <c r="M142" i="79"/>
  <c r="L142" i="79"/>
  <c r="K142" i="79"/>
  <c r="J142" i="79"/>
  <c r="I142" i="79"/>
  <c r="H142" i="79"/>
  <c r="G142" i="79"/>
  <c r="F142" i="79"/>
  <c r="E142" i="79"/>
  <c r="D142" i="79"/>
  <c r="AA141" i="79"/>
  <c r="Z141" i="79"/>
  <c r="Y141" i="79"/>
  <c r="X141" i="79"/>
  <c r="W141" i="79"/>
  <c r="V141" i="79"/>
  <c r="U141" i="79"/>
  <c r="T141" i="79"/>
  <c r="S141" i="79"/>
  <c r="R141" i="79"/>
  <c r="Q141" i="79"/>
  <c r="P141" i="79"/>
  <c r="O141" i="79"/>
  <c r="N141" i="79"/>
  <c r="M141" i="79"/>
  <c r="L141" i="79"/>
  <c r="K141" i="79"/>
  <c r="J141" i="79"/>
  <c r="I141" i="79"/>
  <c r="H141" i="79"/>
  <c r="G141" i="79"/>
  <c r="F141" i="79"/>
  <c r="E141" i="79"/>
  <c r="D141" i="79"/>
  <c r="AA140" i="79"/>
  <c r="Z140" i="79"/>
  <c r="Y140" i="79"/>
  <c r="X140" i="79"/>
  <c r="W140" i="79"/>
  <c r="V140" i="79"/>
  <c r="U140" i="79"/>
  <c r="T140" i="79"/>
  <c r="S140" i="79"/>
  <c r="R140" i="79"/>
  <c r="Q140" i="79"/>
  <c r="P140" i="79"/>
  <c r="O140" i="79"/>
  <c r="N140" i="79"/>
  <c r="M140" i="79"/>
  <c r="L140" i="79"/>
  <c r="K140" i="79"/>
  <c r="J140" i="79"/>
  <c r="I140" i="79"/>
  <c r="H140" i="79"/>
  <c r="G140" i="79"/>
  <c r="F140" i="79"/>
  <c r="E140" i="79"/>
  <c r="D140" i="79"/>
  <c r="AA139" i="79"/>
  <c r="Z139" i="79"/>
  <c r="Y139" i="79"/>
  <c r="X139" i="79"/>
  <c r="W139" i="79"/>
  <c r="V139" i="79"/>
  <c r="U139" i="79"/>
  <c r="T139" i="79"/>
  <c r="S139" i="79"/>
  <c r="R139" i="79"/>
  <c r="Q139" i="79"/>
  <c r="P139" i="79"/>
  <c r="O139" i="79"/>
  <c r="N139" i="79"/>
  <c r="M139" i="79"/>
  <c r="L139" i="79"/>
  <c r="K139" i="79"/>
  <c r="J139" i="79"/>
  <c r="I139" i="79"/>
  <c r="H139" i="79"/>
  <c r="G139" i="79"/>
  <c r="F139" i="79"/>
  <c r="E139" i="79"/>
  <c r="D139" i="79"/>
  <c r="AA138" i="79"/>
  <c r="Z138" i="79"/>
  <c r="Y138" i="79"/>
  <c r="X138" i="79"/>
  <c r="W138" i="79"/>
  <c r="V138" i="79"/>
  <c r="U138" i="79"/>
  <c r="T138" i="79"/>
  <c r="S138" i="79"/>
  <c r="R138" i="79"/>
  <c r="Q138" i="79"/>
  <c r="P138" i="79"/>
  <c r="O138" i="79"/>
  <c r="N138" i="79"/>
  <c r="M138" i="79"/>
  <c r="L138" i="79"/>
  <c r="K138" i="79"/>
  <c r="J138" i="79"/>
  <c r="I138" i="79"/>
  <c r="H138" i="79"/>
  <c r="G138" i="79"/>
  <c r="F138" i="79"/>
  <c r="E138" i="79"/>
  <c r="D138" i="79"/>
  <c r="AA137" i="79"/>
  <c r="Z137" i="79"/>
  <c r="Y137" i="79"/>
  <c r="X137" i="79"/>
  <c r="W137" i="79"/>
  <c r="V137" i="79"/>
  <c r="U137" i="79"/>
  <c r="T137" i="79"/>
  <c r="S137" i="79"/>
  <c r="R137" i="79"/>
  <c r="Q137" i="79"/>
  <c r="P137" i="79"/>
  <c r="O137" i="79"/>
  <c r="N137" i="79"/>
  <c r="M137" i="79"/>
  <c r="L137" i="79"/>
  <c r="K137" i="79"/>
  <c r="J137" i="79"/>
  <c r="I137" i="79"/>
  <c r="H137" i="79"/>
  <c r="G137" i="79"/>
  <c r="F137" i="79"/>
  <c r="E137" i="79"/>
  <c r="D137" i="79"/>
  <c r="AA136" i="79"/>
  <c r="Z136" i="79"/>
  <c r="Y136" i="79"/>
  <c r="X136" i="79"/>
  <c r="W136" i="79"/>
  <c r="V136" i="79"/>
  <c r="U136" i="79"/>
  <c r="T136" i="79"/>
  <c r="S136" i="79"/>
  <c r="R136" i="79"/>
  <c r="Q136" i="79"/>
  <c r="P136" i="79"/>
  <c r="O136" i="79"/>
  <c r="N136" i="79"/>
  <c r="M136" i="79"/>
  <c r="L136" i="79"/>
  <c r="K136" i="79"/>
  <c r="J136" i="79"/>
  <c r="I136" i="79"/>
  <c r="H136" i="79"/>
  <c r="G136" i="79"/>
  <c r="F136" i="79"/>
  <c r="E136" i="79"/>
  <c r="D136" i="79"/>
  <c r="AA135" i="79"/>
  <c r="Z135" i="79"/>
  <c r="Y135" i="79"/>
  <c r="X135" i="79"/>
  <c r="W135" i="79"/>
  <c r="V135" i="79"/>
  <c r="U135" i="79"/>
  <c r="T135" i="79"/>
  <c r="S135" i="79"/>
  <c r="R135" i="79"/>
  <c r="Q135" i="79"/>
  <c r="P135" i="79"/>
  <c r="O135" i="79"/>
  <c r="N135" i="79"/>
  <c r="M135" i="79"/>
  <c r="L135" i="79"/>
  <c r="K135" i="79"/>
  <c r="J135" i="79"/>
  <c r="I135" i="79"/>
  <c r="H135" i="79"/>
  <c r="G135" i="79"/>
  <c r="F135" i="79"/>
  <c r="E135" i="79"/>
  <c r="D135" i="79"/>
  <c r="AA134" i="79"/>
  <c r="Z134" i="79"/>
  <c r="Y134" i="79"/>
  <c r="X134" i="79"/>
  <c r="W134" i="79"/>
  <c r="V134" i="79"/>
  <c r="U134" i="79"/>
  <c r="T134" i="79"/>
  <c r="S134" i="79"/>
  <c r="R134" i="79"/>
  <c r="Q134" i="79"/>
  <c r="P134" i="79"/>
  <c r="O134" i="79"/>
  <c r="N134" i="79"/>
  <c r="M134" i="79"/>
  <c r="L134" i="79"/>
  <c r="K134" i="79"/>
  <c r="J134" i="79"/>
  <c r="I134" i="79"/>
  <c r="H134" i="79"/>
  <c r="G134" i="79"/>
  <c r="F134" i="79"/>
  <c r="E134" i="79"/>
  <c r="D134" i="79"/>
  <c r="AA133" i="79"/>
  <c r="Z133" i="79"/>
  <c r="Y133" i="79"/>
  <c r="X133" i="79"/>
  <c r="W133" i="79"/>
  <c r="V133" i="79"/>
  <c r="U133" i="79"/>
  <c r="T133" i="79"/>
  <c r="S133" i="79"/>
  <c r="R133" i="79"/>
  <c r="Q133" i="79"/>
  <c r="P133" i="79"/>
  <c r="O133" i="79"/>
  <c r="N133" i="79"/>
  <c r="M133" i="79"/>
  <c r="L133" i="79"/>
  <c r="K133" i="79"/>
  <c r="J133" i="79"/>
  <c r="I133" i="79"/>
  <c r="H133" i="79"/>
  <c r="G133" i="79"/>
  <c r="F133" i="79"/>
  <c r="E133" i="79"/>
  <c r="D133" i="79"/>
  <c r="AA132" i="79"/>
  <c r="Z132" i="79"/>
  <c r="Y132" i="79"/>
  <c r="X132" i="79"/>
  <c r="W132" i="79"/>
  <c r="V132" i="79"/>
  <c r="U132" i="79"/>
  <c r="T132" i="79"/>
  <c r="S132" i="79"/>
  <c r="R132" i="79"/>
  <c r="Q132" i="79"/>
  <c r="P132" i="79"/>
  <c r="O132" i="79"/>
  <c r="N132" i="79"/>
  <c r="M132" i="79"/>
  <c r="L132" i="79"/>
  <c r="K132" i="79"/>
  <c r="J132" i="79"/>
  <c r="I132" i="79"/>
  <c r="H132" i="79"/>
  <c r="G132" i="79"/>
  <c r="F132" i="79"/>
  <c r="E132" i="79"/>
  <c r="D132" i="79"/>
  <c r="AA131" i="79"/>
  <c r="Z131" i="79"/>
  <c r="Y131" i="79"/>
  <c r="X131" i="79"/>
  <c r="W131" i="79"/>
  <c r="V131" i="79"/>
  <c r="U131" i="79"/>
  <c r="T131" i="79"/>
  <c r="S131" i="79"/>
  <c r="R131" i="79"/>
  <c r="Q131" i="79"/>
  <c r="P131" i="79"/>
  <c r="O131" i="79"/>
  <c r="N131" i="79"/>
  <c r="M131" i="79"/>
  <c r="L131" i="79"/>
  <c r="K131" i="79"/>
  <c r="J131" i="79"/>
  <c r="I131" i="79"/>
  <c r="H131" i="79"/>
  <c r="G131" i="79"/>
  <c r="F131" i="79"/>
  <c r="E131" i="79"/>
  <c r="D131" i="79"/>
  <c r="AA130" i="79"/>
  <c r="Z130" i="79"/>
  <c r="Y130" i="79"/>
  <c r="X130" i="79"/>
  <c r="W130" i="79"/>
  <c r="V130" i="79"/>
  <c r="U130" i="79"/>
  <c r="T130" i="79"/>
  <c r="S130" i="79"/>
  <c r="R130" i="79"/>
  <c r="Q130" i="79"/>
  <c r="P130" i="79"/>
  <c r="O130" i="79"/>
  <c r="N130" i="79"/>
  <c r="M130" i="79"/>
  <c r="L130" i="79"/>
  <c r="K130" i="79"/>
  <c r="J130" i="79"/>
  <c r="I130" i="79"/>
  <c r="H130" i="79"/>
  <c r="G130" i="79"/>
  <c r="F130" i="79"/>
  <c r="E130" i="79"/>
  <c r="D130" i="79"/>
  <c r="AA129" i="79"/>
  <c r="Z129" i="79"/>
  <c r="Y129" i="79"/>
  <c r="X129" i="79"/>
  <c r="W129" i="79"/>
  <c r="V129" i="79"/>
  <c r="U129" i="79"/>
  <c r="T129" i="79"/>
  <c r="S129" i="79"/>
  <c r="R129" i="79"/>
  <c r="Q129" i="79"/>
  <c r="P129" i="79"/>
  <c r="O129" i="79"/>
  <c r="N129" i="79"/>
  <c r="M129" i="79"/>
  <c r="L129" i="79"/>
  <c r="K129" i="79"/>
  <c r="J129" i="79"/>
  <c r="I129" i="79"/>
  <c r="H129" i="79"/>
  <c r="G129" i="79"/>
  <c r="F129" i="79"/>
  <c r="E129" i="79"/>
  <c r="D129" i="79"/>
  <c r="AA128" i="79"/>
  <c r="Z128" i="79"/>
  <c r="Y128" i="79"/>
  <c r="X128" i="79"/>
  <c r="W128" i="79"/>
  <c r="V128" i="79"/>
  <c r="U128" i="79"/>
  <c r="T128" i="79"/>
  <c r="S128" i="79"/>
  <c r="R128" i="79"/>
  <c r="Q128" i="79"/>
  <c r="P128" i="79"/>
  <c r="O128" i="79"/>
  <c r="N128" i="79"/>
  <c r="M128" i="79"/>
  <c r="L128" i="79"/>
  <c r="K128" i="79"/>
  <c r="J128" i="79"/>
  <c r="I128" i="79"/>
  <c r="H128" i="79"/>
  <c r="G128" i="79"/>
  <c r="F128" i="79"/>
  <c r="E128" i="79"/>
  <c r="D128" i="79"/>
  <c r="AA127" i="79"/>
  <c r="Z127" i="79"/>
  <c r="Y127" i="79"/>
  <c r="X127" i="79"/>
  <c r="W127" i="79"/>
  <c r="V127" i="79"/>
  <c r="U127" i="79"/>
  <c r="T127" i="79"/>
  <c r="S127" i="79"/>
  <c r="R127" i="79"/>
  <c r="Q127" i="79"/>
  <c r="P127" i="79"/>
  <c r="O127" i="79"/>
  <c r="N127" i="79"/>
  <c r="M127" i="79"/>
  <c r="L127" i="79"/>
  <c r="K127" i="79"/>
  <c r="J127" i="79"/>
  <c r="I127" i="79"/>
  <c r="H127" i="79"/>
  <c r="G127" i="79"/>
  <c r="F127" i="79"/>
  <c r="E127" i="79"/>
  <c r="D127" i="79"/>
  <c r="AA126" i="79"/>
  <c r="Z126" i="79"/>
  <c r="Y126" i="79"/>
  <c r="X126" i="79"/>
  <c r="W126" i="79"/>
  <c r="V126" i="79"/>
  <c r="U126" i="79"/>
  <c r="T126" i="79"/>
  <c r="S126" i="79"/>
  <c r="R126" i="79"/>
  <c r="Q126" i="79"/>
  <c r="P126" i="79"/>
  <c r="O126" i="79"/>
  <c r="N126" i="79"/>
  <c r="M126" i="79"/>
  <c r="L126" i="79"/>
  <c r="K126" i="79"/>
  <c r="J126" i="79"/>
  <c r="I126" i="79"/>
  <c r="H126" i="79"/>
  <c r="G126" i="79"/>
  <c r="F126" i="79"/>
  <c r="E126" i="79"/>
  <c r="D126" i="79"/>
  <c r="AA125" i="79"/>
  <c r="Z125" i="79"/>
  <c r="Y125" i="79"/>
  <c r="X125" i="79"/>
  <c r="W125" i="79"/>
  <c r="V125" i="79"/>
  <c r="U125" i="79"/>
  <c r="T125" i="79"/>
  <c r="S125" i="79"/>
  <c r="R125" i="79"/>
  <c r="Q125" i="79"/>
  <c r="P125" i="79"/>
  <c r="O125" i="79"/>
  <c r="N125" i="79"/>
  <c r="M125" i="79"/>
  <c r="L125" i="79"/>
  <c r="K125" i="79"/>
  <c r="J125" i="79"/>
  <c r="I125" i="79"/>
  <c r="H125" i="79"/>
  <c r="G125" i="79"/>
  <c r="F125" i="79"/>
  <c r="E125" i="79"/>
  <c r="D125" i="79"/>
  <c r="AA124" i="79"/>
  <c r="Z124" i="79"/>
  <c r="Y124" i="79"/>
  <c r="X124" i="79"/>
  <c r="W124" i="79"/>
  <c r="V124" i="79"/>
  <c r="U124" i="79"/>
  <c r="T124" i="79"/>
  <c r="S124" i="79"/>
  <c r="R124" i="79"/>
  <c r="Q124" i="79"/>
  <c r="P124" i="79"/>
  <c r="O124" i="79"/>
  <c r="N124" i="79"/>
  <c r="M124" i="79"/>
  <c r="L124" i="79"/>
  <c r="K124" i="79"/>
  <c r="J124" i="79"/>
  <c r="I124" i="79"/>
  <c r="H124" i="79"/>
  <c r="G124" i="79"/>
  <c r="F124" i="79"/>
  <c r="E124" i="79"/>
  <c r="D124" i="79"/>
  <c r="AA123" i="79"/>
  <c r="Z123" i="79"/>
  <c r="Y123" i="79"/>
  <c r="X123" i="79"/>
  <c r="W123" i="79"/>
  <c r="V123" i="79"/>
  <c r="U123" i="79"/>
  <c r="T123" i="79"/>
  <c r="S123" i="79"/>
  <c r="R123" i="79"/>
  <c r="Q123" i="79"/>
  <c r="P123" i="79"/>
  <c r="O123" i="79"/>
  <c r="N123" i="79"/>
  <c r="M123" i="79"/>
  <c r="L123" i="79"/>
  <c r="K123" i="79"/>
  <c r="J123" i="79"/>
  <c r="I123" i="79"/>
  <c r="H123" i="79"/>
  <c r="G123" i="79"/>
  <c r="F123" i="79"/>
  <c r="E123" i="79"/>
  <c r="D123" i="79"/>
  <c r="AA122" i="79"/>
  <c r="Z122" i="79"/>
  <c r="Y122" i="79"/>
  <c r="X122" i="79"/>
  <c r="W122" i="79"/>
  <c r="V122" i="79"/>
  <c r="U122" i="79"/>
  <c r="T122" i="79"/>
  <c r="S122" i="79"/>
  <c r="R122" i="79"/>
  <c r="Q122" i="79"/>
  <c r="P122" i="79"/>
  <c r="O122" i="79"/>
  <c r="N122" i="79"/>
  <c r="M122" i="79"/>
  <c r="L122" i="79"/>
  <c r="K122" i="79"/>
  <c r="J122" i="79"/>
  <c r="I122" i="79"/>
  <c r="H122" i="79"/>
  <c r="G122" i="79"/>
  <c r="F122" i="79"/>
  <c r="E122" i="79"/>
  <c r="D122" i="79"/>
  <c r="AA121" i="79"/>
  <c r="Z121" i="79"/>
  <c r="Y121" i="79"/>
  <c r="X121" i="79"/>
  <c r="W121" i="79"/>
  <c r="V121" i="79"/>
  <c r="U121" i="79"/>
  <c r="T121" i="79"/>
  <c r="S121" i="79"/>
  <c r="R121" i="79"/>
  <c r="Q121" i="79"/>
  <c r="P121" i="79"/>
  <c r="O121" i="79"/>
  <c r="N121" i="79"/>
  <c r="M121" i="79"/>
  <c r="L121" i="79"/>
  <c r="K121" i="79"/>
  <c r="J121" i="79"/>
  <c r="I121" i="79"/>
  <c r="H121" i="79"/>
  <c r="G121" i="79"/>
  <c r="F121" i="79"/>
  <c r="E121" i="79"/>
  <c r="D121" i="79"/>
  <c r="AA120" i="79"/>
  <c r="Z120" i="79"/>
  <c r="Y120" i="79"/>
  <c r="X120" i="79"/>
  <c r="W120" i="79"/>
  <c r="V120" i="79"/>
  <c r="U120" i="79"/>
  <c r="T120" i="79"/>
  <c r="S120" i="79"/>
  <c r="R120" i="79"/>
  <c r="Q120" i="79"/>
  <c r="P120" i="79"/>
  <c r="O120" i="79"/>
  <c r="N120" i="79"/>
  <c r="M120" i="79"/>
  <c r="L120" i="79"/>
  <c r="K120" i="79"/>
  <c r="J120" i="79"/>
  <c r="I120" i="79"/>
  <c r="H120" i="79"/>
  <c r="G120" i="79"/>
  <c r="F120" i="79"/>
  <c r="E120" i="79"/>
  <c r="D120" i="79"/>
  <c r="AA119" i="79"/>
  <c r="Z119" i="79"/>
  <c r="Y119" i="79"/>
  <c r="X119" i="79"/>
  <c r="W119" i="79"/>
  <c r="V119" i="79"/>
  <c r="U119" i="79"/>
  <c r="T119" i="79"/>
  <c r="S119" i="79"/>
  <c r="R119" i="79"/>
  <c r="Q119" i="79"/>
  <c r="P119" i="79"/>
  <c r="O119" i="79"/>
  <c r="N119" i="79"/>
  <c r="M119" i="79"/>
  <c r="L119" i="79"/>
  <c r="K119" i="79"/>
  <c r="J119" i="79"/>
  <c r="I119" i="79"/>
  <c r="H119" i="79"/>
  <c r="G119" i="79"/>
  <c r="F119" i="79"/>
  <c r="E119" i="79"/>
  <c r="D119" i="79"/>
  <c r="AA118" i="79"/>
  <c r="Z118" i="79"/>
  <c r="Y118" i="79"/>
  <c r="X118" i="79"/>
  <c r="W118" i="79"/>
  <c r="V118" i="79"/>
  <c r="U118" i="79"/>
  <c r="T118" i="79"/>
  <c r="S118" i="79"/>
  <c r="R118" i="79"/>
  <c r="Q118" i="79"/>
  <c r="P118" i="79"/>
  <c r="O118" i="79"/>
  <c r="N118" i="79"/>
  <c r="M118" i="79"/>
  <c r="L118" i="79"/>
  <c r="K118" i="79"/>
  <c r="J118" i="79"/>
  <c r="I118" i="79"/>
  <c r="H118" i="79"/>
  <c r="G118" i="79"/>
  <c r="F118" i="79"/>
  <c r="E118" i="79"/>
  <c r="D118" i="79"/>
  <c r="AA117" i="79"/>
  <c r="Z117" i="79"/>
  <c r="Y117" i="79"/>
  <c r="X117" i="79"/>
  <c r="W117" i="79"/>
  <c r="V117" i="79"/>
  <c r="U117" i="79"/>
  <c r="T117" i="79"/>
  <c r="S117" i="79"/>
  <c r="R117" i="79"/>
  <c r="Q117" i="79"/>
  <c r="P117" i="79"/>
  <c r="O117" i="79"/>
  <c r="N117" i="79"/>
  <c r="M117" i="79"/>
  <c r="L117" i="79"/>
  <c r="K117" i="79"/>
  <c r="J117" i="79"/>
  <c r="I117" i="79"/>
  <c r="H117" i="79"/>
  <c r="G117" i="79"/>
  <c r="F117" i="79"/>
  <c r="E117" i="79"/>
  <c r="D117" i="79"/>
  <c r="AA116" i="79"/>
  <c r="Z116" i="79"/>
  <c r="Y116" i="79"/>
  <c r="X116" i="79"/>
  <c r="W116" i="79"/>
  <c r="V116" i="79"/>
  <c r="U116" i="79"/>
  <c r="T116" i="79"/>
  <c r="S116" i="79"/>
  <c r="R116" i="79"/>
  <c r="Q116" i="79"/>
  <c r="P116" i="79"/>
  <c r="O116" i="79"/>
  <c r="N116" i="79"/>
  <c r="M116" i="79"/>
  <c r="L116" i="79"/>
  <c r="K116" i="79"/>
  <c r="J116" i="79"/>
  <c r="I116" i="79"/>
  <c r="H116" i="79"/>
  <c r="G116" i="79"/>
  <c r="F116" i="79"/>
  <c r="E116" i="79"/>
  <c r="D116" i="79"/>
  <c r="AA115" i="79"/>
  <c r="Z115" i="79"/>
  <c r="Y115" i="79"/>
  <c r="X115" i="79"/>
  <c r="W115" i="79"/>
  <c r="V115" i="79"/>
  <c r="U115" i="79"/>
  <c r="T115" i="79"/>
  <c r="S115" i="79"/>
  <c r="R115" i="79"/>
  <c r="Q115" i="79"/>
  <c r="P115" i="79"/>
  <c r="O115" i="79"/>
  <c r="N115" i="79"/>
  <c r="M115" i="79"/>
  <c r="L115" i="79"/>
  <c r="K115" i="79"/>
  <c r="J115" i="79"/>
  <c r="I115" i="79"/>
  <c r="H115" i="79"/>
  <c r="G115" i="79"/>
  <c r="F115" i="79"/>
  <c r="E115" i="79"/>
  <c r="D115" i="79"/>
  <c r="AA114" i="79"/>
  <c r="Z114" i="79"/>
  <c r="Y114" i="79"/>
  <c r="X114" i="79"/>
  <c r="W114" i="79"/>
  <c r="V114" i="79"/>
  <c r="U114" i="79"/>
  <c r="T114" i="79"/>
  <c r="S114" i="79"/>
  <c r="R114" i="79"/>
  <c r="Q114" i="79"/>
  <c r="P114" i="79"/>
  <c r="O114" i="79"/>
  <c r="N114" i="79"/>
  <c r="M114" i="79"/>
  <c r="L114" i="79"/>
  <c r="K114" i="79"/>
  <c r="J114" i="79"/>
  <c r="I114" i="79"/>
  <c r="H114" i="79"/>
  <c r="G114" i="79"/>
  <c r="F114" i="79"/>
  <c r="E114" i="79"/>
  <c r="D114" i="79"/>
  <c r="AA113" i="79"/>
  <c r="Z113" i="79"/>
  <c r="Y113" i="79"/>
  <c r="X113" i="79"/>
  <c r="W113" i="79"/>
  <c r="V113" i="79"/>
  <c r="U113" i="79"/>
  <c r="T113" i="79"/>
  <c r="S113" i="79"/>
  <c r="R113" i="79"/>
  <c r="Q113" i="79"/>
  <c r="P113" i="79"/>
  <c r="O113" i="79"/>
  <c r="N113" i="79"/>
  <c r="M113" i="79"/>
  <c r="L113" i="79"/>
  <c r="K113" i="79"/>
  <c r="J113" i="79"/>
  <c r="I113" i="79"/>
  <c r="H113" i="79"/>
  <c r="G113" i="79"/>
  <c r="F113" i="79"/>
  <c r="E113" i="79"/>
  <c r="D113" i="79"/>
  <c r="AA112" i="79"/>
  <c r="Z112" i="79"/>
  <c r="Y112" i="79"/>
  <c r="X112" i="79"/>
  <c r="W112" i="79"/>
  <c r="V112" i="79"/>
  <c r="U112" i="79"/>
  <c r="T112" i="79"/>
  <c r="S112" i="79"/>
  <c r="R112" i="79"/>
  <c r="Q112" i="79"/>
  <c r="P112" i="79"/>
  <c r="O112" i="79"/>
  <c r="N112" i="79"/>
  <c r="M112" i="79"/>
  <c r="L112" i="79"/>
  <c r="K112" i="79"/>
  <c r="J112" i="79"/>
  <c r="I112" i="79"/>
  <c r="H112" i="79"/>
  <c r="G112" i="79"/>
  <c r="F112" i="79"/>
  <c r="E112" i="79"/>
  <c r="D112" i="79"/>
  <c r="AA111" i="79"/>
  <c r="Z111" i="79"/>
  <c r="Y111" i="79"/>
  <c r="X111" i="79"/>
  <c r="W111" i="79"/>
  <c r="V111" i="79"/>
  <c r="U111" i="79"/>
  <c r="T111" i="79"/>
  <c r="S111" i="79"/>
  <c r="R111" i="79"/>
  <c r="Q111" i="79"/>
  <c r="P111" i="79"/>
  <c r="O111" i="79"/>
  <c r="N111" i="79"/>
  <c r="M111" i="79"/>
  <c r="L111" i="79"/>
  <c r="K111" i="79"/>
  <c r="J111" i="79"/>
  <c r="I111" i="79"/>
  <c r="H111" i="79"/>
  <c r="G111" i="79"/>
  <c r="F111" i="79"/>
  <c r="E111" i="79"/>
  <c r="D111" i="79"/>
  <c r="AA110" i="79"/>
  <c r="Z110" i="79"/>
  <c r="Y110" i="79"/>
  <c r="X110" i="79"/>
  <c r="W110" i="79"/>
  <c r="V110" i="79"/>
  <c r="U110" i="79"/>
  <c r="T110" i="79"/>
  <c r="S110" i="79"/>
  <c r="R110" i="79"/>
  <c r="Q110" i="79"/>
  <c r="P110" i="79"/>
  <c r="O110" i="79"/>
  <c r="N110" i="79"/>
  <c r="M110" i="79"/>
  <c r="L110" i="79"/>
  <c r="K110" i="79"/>
  <c r="J110" i="79"/>
  <c r="I110" i="79"/>
  <c r="H110" i="79"/>
  <c r="G110" i="79"/>
  <c r="F110" i="79"/>
  <c r="E110" i="79"/>
  <c r="D110" i="79"/>
  <c r="AA109" i="79"/>
  <c r="Z109" i="79"/>
  <c r="Y109" i="79"/>
  <c r="X109" i="79"/>
  <c r="W109" i="79"/>
  <c r="V109" i="79"/>
  <c r="U109" i="79"/>
  <c r="T109" i="79"/>
  <c r="S109" i="79"/>
  <c r="R109" i="79"/>
  <c r="Q109" i="79"/>
  <c r="P109" i="79"/>
  <c r="O109" i="79"/>
  <c r="N109" i="79"/>
  <c r="M109" i="79"/>
  <c r="L109" i="79"/>
  <c r="K109" i="79"/>
  <c r="J109" i="79"/>
  <c r="I109" i="79"/>
  <c r="H109" i="79"/>
  <c r="G109" i="79"/>
  <c r="F109" i="79"/>
  <c r="E109" i="79"/>
  <c r="D109" i="79"/>
  <c r="AA108" i="79"/>
  <c r="Z108" i="79"/>
  <c r="Y108" i="79"/>
  <c r="X108" i="79"/>
  <c r="W108" i="79"/>
  <c r="V108" i="79"/>
  <c r="U108" i="79"/>
  <c r="T108" i="79"/>
  <c r="S108" i="79"/>
  <c r="R108" i="79"/>
  <c r="Q108" i="79"/>
  <c r="P108" i="79"/>
  <c r="O108" i="79"/>
  <c r="N108" i="79"/>
  <c r="M108" i="79"/>
  <c r="L108" i="79"/>
  <c r="K108" i="79"/>
  <c r="J108" i="79"/>
  <c r="I108" i="79"/>
  <c r="H108" i="79"/>
  <c r="G108" i="79"/>
  <c r="F108" i="79"/>
  <c r="E108" i="79"/>
  <c r="D108" i="79"/>
  <c r="AA107" i="79"/>
  <c r="Z107" i="79"/>
  <c r="Y107" i="79"/>
  <c r="X107" i="79"/>
  <c r="W107" i="79"/>
  <c r="V107" i="79"/>
  <c r="U107" i="79"/>
  <c r="T107" i="79"/>
  <c r="S107" i="79"/>
  <c r="R107" i="79"/>
  <c r="Q107" i="79"/>
  <c r="P107" i="79"/>
  <c r="O107" i="79"/>
  <c r="N107" i="79"/>
  <c r="M107" i="79"/>
  <c r="L107" i="79"/>
  <c r="K107" i="79"/>
  <c r="J107" i="79"/>
  <c r="I107" i="79"/>
  <c r="H107" i="79"/>
  <c r="G107" i="79"/>
  <c r="F107" i="79"/>
  <c r="E107" i="79"/>
  <c r="D107" i="79"/>
  <c r="AA106" i="79"/>
  <c r="Z106" i="79"/>
  <c r="Y106" i="79"/>
  <c r="X106" i="79"/>
  <c r="W106" i="79"/>
  <c r="V106" i="79"/>
  <c r="U106" i="79"/>
  <c r="T106" i="79"/>
  <c r="S106" i="79"/>
  <c r="R106" i="79"/>
  <c r="Q106" i="79"/>
  <c r="P106" i="79"/>
  <c r="O106" i="79"/>
  <c r="N106" i="79"/>
  <c r="M106" i="79"/>
  <c r="L106" i="79"/>
  <c r="K106" i="79"/>
  <c r="J106" i="79"/>
  <c r="I106" i="79"/>
  <c r="H106" i="79"/>
  <c r="G106" i="79"/>
  <c r="F106" i="79"/>
  <c r="E106" i="79"/>
  <c r="D106" i="79"/>
  <c r="AA105" i="79"/>
  <c r="Z105" i="79"/>
  <c r="Y105" i="79"/>
  <c r="X105" i="79"/>
  <c r="W105" i="79"/>
  <c r="V105" i="79"/>
  <c r="U105" i="79"/>
  <c r="T105" i="79"/>
  <c r="S105" i="79"/>
  <c r="R105" i="79"/>
  <c r="Q105" i="79"/>
  <c r="P105" i="79"/>
  <c r="O105" i="79"/>
  <c r="N105" i="79"/>
  <c r="M105" i="79"/>
  <c r="L105" i="79"/>
  <c r="K105" i="79"/>
  <c r="J105" i="79"/>
  <c r="I105" i="79"/>
  <c r="H105" i="79"/>
  <c r="G105" i="79"/>
  <c r="F105" i="79"/>
  <c r="E105" i="79"/>
  <c r="D105" i="79"/>
  <c r="AA104" i="79"/>
  <c r="Z104" i="79"/>
  <c r="Y104" i="79"/>
  <c r="X104" i="79"/>
  <c r="W104" i="79"/>
  <c r="V104" i="79"/>
  <c r="U104" i="79"/>
  <c r="T104" i="79"/>
  <c r="S104" i="79"/>
  <c r="R104" i="79"/>
  <c r="Q104" i="79"/>
  <c r="P104" i="79"/>
  <c r="O104" i="79"/>
  <c r="N104" i="79"/>
  <c r="M104" i="79"/>
  <c r="L104" i="79"/>
  <c r="K104" i="79"/>
  <c r="J104" i="79"/>
  <c r="I104" i="79"/>
  <c r="H104" i="79"/>
  <c r="G104" i="79"/>
  <c r="F104" i="79"/>
  <c r="E104" i="79"/>
  <c r="D104" i="79"/>
  <c r="AA103" i="79"/>
  <c r="Z103" i="79"/>
  <c r="Y103" i="79"/>
  <c r="X103" i="79"/>
  <c r="W103" i="79"/>
  <c r="V103" i="79"/>
  <c r="U103" i="79"/>
  <c r="T103" i="79"/>
  <c r="S103" i="79"/>
  <c r="R103" i="79"/>
  <c r="Q103" i="79"/>
  <c r="P103" i="79"/>
  <c r="O103" i="79"/>
  <c r="N103" i="79"/>
  <c r="M103" i="79"/>
  <c r="L103" i="79"/>
  <c r="K103" i="79"/>
  <c r="J103" i="79"/>
  <c r="I103" i="79"/>
  <c r="H103" i="79"/>
  <c r="G103" i="79"/>
  <c r="F103" i="79"/>
  <c r="E103" i="79"/>
  <c r="D103" i="79"/>
  <c r="AA102" i="79"/>
  <c r="Z102" i="79"/>
  <c r="Y102" i="79"/>
  <c r="X102" i="79"/>
  <c r="W102" i="79"/>
  <c r="V102" i="79"/>
  <c r="U102" i="79"/>
  <c r="T102" i="79"/>
  <c r="S102" i="79"/>
  <c r="R102" i="79"/>
  <c r="Q102" i="79"/>
  <c r="P102" i="79"/>
  <c r="O102" i="79"/>
  <c r="N102" i="79"/>
  <c r="M102" i="79"/>
  <c r="L102" i="79"/>
  <c r="K102" i="79"/>
  <c r="J102" i="79"/>
  <c r="I102" i="79"/>
  <c r="H102" i="79"/>
  <c r="G102" i="79"/>
  <c r="F102" i="79"/>
  <c r="E102" i="79"/>
  <c r="D102" i="79"/>
  <c r="AA101" i="79"/>
  <c r="Z101" i="79"/>
  <c r="Y101" i="79"/>
  <c r="X101" i="79"/>
  <c r="W101" i="79"/>
  <c r="V101" i="79"/>
  <c r="U101" i="79"/>
  <c r="T101" i="79"/>
  <c r="S101" i="79"/>
  <c r="R101" i="79"/>
  <c r="Q101" i="79"/>
  <c r="P101" i="79"/>
  <c r="O101" i="79"/>
  <c r="N101" i="79"/>
  <c r="M101" i="79"/>
  <c r="L101" i="79"/>
  <c r="K101" i="79"/>
  <c r="J101" i="79"/>
  <c r="I101" i="79"/>
  <c r="H101" i="79"/>
  <c r="G101" i="79"/>
  <c r="F101" i="79"/>
  <c r="E101" i="79"/>
  <c r="D101" i="79"/>
  <c r="AA100" i="79"/>
  <c r="Z100" i="79"/>
  <c r="Y100" i="79"/>
  <c r="X100" i="79"/>
  <c r="W100" i="79"/>
  <c r="V100" i="79"/>
  <c r="U100" i="79"/>
  <c r="T100" i="79"/>
  <c r="S100" i="79"/>
  <c r="R100" i="79"/>
  <c r="Q100" i="79"/>
  <c r="P100" i="79"/>
  <c r="O100" i="79"/>
  <c r="N100" i="79"/>
  <c r="M100" i="79"/>
  <c r="L100" i="79"/>
  <c r="K100" i="79"/>
  <c r="J100" i="79"/>
  <c r="I100" i="79"/>
  <c r="H100" i="79"/>
  <c r="G100" i="79"/>
  <c r="F100" i="79"/>
  <c r="E100" i="79"/>
  <c r="D100" i="79"/>
  <c r="AA99" i="79"/>
  <c r="Z99" i="79"/>
  <c r="Y99" i="79"/>
  <c r="X99" i="79"/>
  <c r="W99" i="79"/>
  <c r="V99" i="79"/>
  <c r="U99" i="79"/>
  <c r="T99" i="79"/>
  <c r="S99" i="79"/>
  <c r="R99" i="79"/>
  <c r="Q99" i="79"/>
  <c r="P99" i="79"/>
  <c r="O99" i="79"/>
  <c r="N99" i="79"/>
  <c r="M99" i="79"/>
  <c r="L99" i="79"/>
  <c r="K99" i="79"/>
  <c r="J99" i="79"/>
  <c r="I99" i="79"/>
  <c r="H99" i="79"/>
  <c r="G99" i="79"/>
  <c r="F99" i="79"/>
  <c r="E99" i="79"/>
  <c r="D99" i="79"/>
  <c r="AA98" i="79"/>
  <c r="Z98" i="79"/>
  <c r="Y98" i="79"/>
  <c r="X98" i="79"/>
  <c r="W98" i="79"/>
  <c r="V98" i="79"/>
  <c r="U98" i="79"/>
  <c r="T98" i="79"/>
  <c r="S98" i="79"/>
  <c r="R98" i="79"/>
  <c r="Q98" i="79"/>
  <c r="P98" i="79"/>
  <c r="O98" i="79"/>
  <c r="N98" i="79"/>
  <c r="M98" i="79"/>
  <c r="L98" i="79"/>
  <c r="K98" i="79"/>
  <c r="J98" i="79"/>
  <c r="I98" i="79"/>
  <c r="H98" i="79"/>
  <c r="G98" i="79"/>
  <c r="F98" i="79"/>
  <c r="E98" i="79"/>
  <c r="D98" i="79"/>
  <c r="AA97" i="79"/>
  <c r="Z97" i="79"/>
  <c r="Y97" i="79"/>
  <c r="X97" i="79"/>
  <c r="W97" i="79"/>
  <c r="V97" i="79"/>
  <c r="U97" i="79"/>
  <c r="T97" i="79"/>
  <c r="S97" i="79"/>
  <c r="R97" i="79"/>
  <c r="Q97" i="79"/>
  <c r="P97" i="79"/>
  <c r="O97" i="79"/>
  <c r="N97" i="79"/>
  <c r="M97" i="79"/>
  <c r="L97" i="79"/>
  <c r="K97" i="79"/>
  <c r="J97" i="79"/>
  <c r="I97" i="79"/>
  <c r="H97" i="79"/>
  <c r="G97" i="79"/>
  <c r="F97" i="79"/>
  <c r="E97" i="79"/>
  <c r="D97" i="79"/>
  <c r="AA96" i="79"/>
  <c r="Z96" i="79"/>
  <c r="Y96" i="79"/>
  <c r="X96" i="79"/>
  <c r="W96" i="79"/>
  <c r="V96" i="79"/>
  <c r="U96" i="79"/>
  <c r="T96" i="79"/>
  <c r="S96" i="79"/>
  <c r="R96" i="79"/>
  <c r="Q96" i="79"/>
  <c r="P96" i="79"/>
  <c r="O96" i="79"/>
  <c r="N96" i="79"/>
  <c r="M96" i="79"/>
  <c r="L96" i="79"/>
  <c r="K96" i="79"/>
  <c r="J96" i="79"/>
  <c r="I96" i="79"/>
  <c r="H96" i="79"/>
  <c r="G96" i="79"/>
  <c r="F96" i="79"/>
  <c r="E96" i="79"/>
  <c r="D96" i="79"/>
  <c r="AA95" i="79"/>
  <c r="Z95" i="79"/>
  <c r="Y95" i="79"/>
  <c r="X95" i="79"/>
  <c r="W95" i="79"/>
  <c r="V95" i="79"/>
  <c r="U95" i="79"/>
  <c r="T95" i="79"/>
  <c r="S95" i="79"/>
  <c r="R95" i="79"/>
  <c r="Q95" i="79"/>
  <c r="P95" i="79"/>
  <c r="O95" i="79"/>
  <c r="N95" i="79"/>
  <c r="M95" i="79"/>
  <c r="L95" i="79"/>
  <c r="K95" i="79"/>
  <c r="J95" i="79"/>
  <c r="I95" i="79"/>
  <c r="H95" i="79"/>
  <c r="G95" i="79"/>
  <c r="F95" i="79"/>
  <c r="E95" i="79"/>
  <c r="D95" i="79"/>
  <c r="AA94" i="79"/>
  <c r="Z94" i="79"/>
  <c r="Y94" i="79"/>
  <c r="X94" i="79"/>
  <c r="W94" i="79"/>
  <c r="V94" i="79"/>
  <c r="U94" i="79"/>
  <c r="T94" i="79"/>
  <c r="S94" i="79"/>
  <c r="R94" i="79"/>
  <c r="Q94" i="79"/>
  <c r="P94" i="79"/>
  <c r="O94" i="79"/>
  <c r="N94" i="79"/>
  <c r="M94" i="79"/>
  <c r="L94" i="79"/>
  <c r="K94" i="79"/>
  <c r="J94" i="79"/>
  <c r="I94" i="79"/>
  <c r="H94" i="79"/>
  <c r="G94" i="79"/>
  <c r="F94" i="79"/>
  <c r="E94" i="79"/>
  <c r="D94" i="79"/>
  <c r="AA93" i="79"/>
  <c r="Z93" i="79"/>
  <c r="Y93" i="79"/>
  <c r="X93" i="79"/>
  <c r="W93" i="79"/>
  <c r="V93" i="79"/>
  <c r="U93" i="79"/>
  <c r="T93" i="79"/>
  <c r="S93" i="79"/>
  <c r="R93" i="79"/>
  <c r="Q93" i="79"/>
  <c r="P93" i="79"/>
  <c r="O93" i="79"/>
  <c r="N93" i="79"/>
  <c r="M93" i="79"/>
  <c r="L93" i="79"/>
  <c r="K93" i="79"/>
  <c r="J93" i="79"/>
  <c r="I93" i="79"/>
  <c r="H93" i="79"/>
  <c r="G93" i="79"/>
  <c r="F93" i="79"/>
  <c r="E93" i="79"/>
  <c r="D93" i="79"/>
  <c r="AA92" i="79"/>
  <c r="Z92" i="79"/>
  <c r="Y92" i="79"/>
  <c r="X92" i="79"/>
  <c r="W92" i="79"/>
  <c r="V92" i="79"/>
  <c r="U92" i="79"/>
  <c r="T92" i="79"/>
  <c r="S92" i="79"/>
  <c r="R92" i="79"/>
  <c r="Q92" i="79"/>
  <c r="P92" i="79"/>
  <c r="O92" i="79"/>
  <c r="N92" i="79"/>
  <c r="M92" i="79"/>
  <c r="L92" i="79"/>
  <c r="K92" i="79"/>
  <c r="J92" i="79"/>
  <c r="I92" i="79"/>
  <c r="H92" i="79"/>
  <c r="G92" i="79"/>
  <c r="F92" i="79"/>
  <c r="E92" i="79"/>
  <c r="D92" i="79"/>
  <c r="AA91" i="79"/>
  <c r="Z91" i="79"/>
  <c r="Y91" i="79"/>
  <c r="X91" i="79"/>
  <c r="W91" i="79"/>
  <c r="V91" i="79"/>
  <c r="U91" i="79"/>
  <c r="T91" i="79"/>
  <c r="S91" i="79"/>
  <c r="R91" i="79"/>
  <c r="Q91" i="79"/>
  <c r="P91" i="79"/>
  <c r="O91" i="79"/>
  <c r="N91" i="79"/>
  <c r="M91" i="79"/>
  <c r="L91" i="79"/>
  <c r="K91" i="79"/>
  <c r="J91" i="79"/>
  <c r="I91" i="79"/>
  <c r="H91" i="79"/>
  <c r="G91" i="79"/>
  <c r="F91" i="79"/>
  <c r="E91" i="79"/>
  <c r="D91" i="79"/>
  <c r="AA90" i="79"/>
  <c r="Z90" i="79"/>
  <c r="Y90" i="79"/>
  <c r="X90" i="79"/>
  <c r="W90" i="79"/>
  <c r="V90" i="79"/>
  <c r="U90" i="79"/>
  <c r="T90" i="79"/>
  <c r="S90" i="79"/>
  <c r="R90" i="79"/>
  <c r="Q90" i="79"/>
  <c r="P90" i="79"/>
  <c r="O90" i="79"/>
  <c r="N90" i="79"/>
  <c r="M90" i="79"/>
  <c r="L90" i="79"/>
  <c r="K90" i="79"/>
  <c r="J90" i="79"/>
  <c r="I90" i="79"/>
  <c r="H90" i="79"/>
  <c r="G90" i="79"/>
  <c r="F90" i="79"/>
  <c r="E90" i="79"/>
  <c r="D90" i="79"/>
  <c r="AA89" i="79"/>
  <c r="Z89" i="79"/>
  <c r="Y89" i="79"/>
  <c r="X89" i="79"/>
  <c r="W89" i="79"/>
  <c r="V89" i="79"/>
  <c r="U89" i="79"/>
  <c r="T89" i="79"/>
  <c r="S89" i="79"/>
  <c r="R89" i="79"/>
  <c r="Q89" i="79"/>
  <c r="P89" i="79"/>
  <c r="O89" i="79"/>
  <c r="N89" i="79"/>
  <c r="M89" i="79"/>
  <c r="L89" i="79"/>
  <c r="K89" i="79"/>
  <c r="J89" i="79"/>
  <c r="I89" i="79"/>
  <c r="H89" i="79"/>
  <c r="G89" i="79"/>
  <c r="F89" i="79"/>
  <c r="E89" i="79"/>
  <c r="D89" i="79"/>
  <c r="AA88" i="79"/>
  <c r="Z88" i="79"/>
  <c r="Y88" i="79"/>
  <c r="X88" i="79"/>
  <c r="W88" i="79"/>
  <c r="V88" i="79"/>
  <c r="U88" i="79"/>
  <c r="T88" i="79"/>
  <c r="S88" i="79"/>
  <c r="R88" i="79"/>
  <c r="Q88" i="79"/>
  <c r="P88" i="79"/>
  <c r="O88" i="79"/>
  <c r="N88" i="79"/>
  <c r="M88" i="79"/>
  <c r="L88" i="79"/>
  <c r="K88" i="79"/>
  <c r="J88" i="79"/>
  <c r="I88" i="79"/>
  <c r="H88" i="79"/>
  <c r="G88" i="79"/>
  <c r="F88" i="79"/>
  <c r="E88" i="79"/>
  <c r="D88" i="79"/>
  <c r="AA87" i="79"/>
  <c r="Z87" i="79"/>
  <c r="Y87" i="79"/>
  <c r="X87" i="79"/>
  <c r="W87" i="79"/>
  <c r="V87" i="79"/>
  <c r="U87" i="79"/>
  <c r="T87" i="79"/>
  <c r="S87" i="79"/>
  <c r="R87" i="79"/>
  <c r="Q87" i="79"/>
  <c r="P87" i="79"/>
  <c r="O87" i="79"/>
  <c r="N87" i="79"/>
  <c r="M87" i="79"/>
  <c r="L87" i="79"/>
  <c r="K87" i="79"/>
  <c r="J87" i="79"/>
  <c r="I87" i="79"/>
  <c r="H87" i="79"/>
  <c r="G87" i="79"/>
  <c r="F87" i="79"/>
  <c r="E87" i="79"/>
  <c r="D87" i="79"/>
  <c r="AA86" i="79"/>
  <c r="Z86" i="79"/>
  <c r="Y86" i="79"/>
  <c r="X86" i="79"/>
  <c r="W86" i="79"/>
  <c r="V86" i="79"/>
  <c r="U86" i="79"/>
  <c r="T86" i="79"/>
  <c r="S86" i="79"/>
  <c r="R86" i="79"/>
  <c r="Q86" i="79"/>
  <c r="P86" i="79"/>
  <c r="O86" i="79"/>
  <c r="N86" i="79"/>
  <c r="M86" i="79"/>
  <c r="L86" i="79"/>
  <c r="K86" i="79"/>
  <c r="J86" i="79"/>
  <c r="I86" i="79"/>
  <c r="H86" i="79"/>
  <c r="G86" i="79"/>
  <c r="F86" i="79"/>
  <c r="E86" i="79"/>
  <c r="D86" i="79"/>
  <c r="AA85" i="79"/>
  <c r="Z85" i="79"/>
  <c r="Y85" i="79"/>
  <c r="X85" i="79"/>
  <c r="W85" i="79"/>
  <c r="V85" i="79"/>
  <c r="U85" i="79"/>
  <c r="T85" i="79"/>
  <c r="S85" i="79"/>
  <c r="R85" i="79"/>
  <c r="Q85" i="79"/>
  <c r="P85" i="79"/>
  <c r="O85" i="79"/>
  <c r="N85" i="79"/>
  <c r="M85" i="79"/>
  <c r="L85" i="79"/>
  <c r="K85" i="79"/>
  <c r="J85" i="79"/>
  <c r="I85" i="79"/>
  <c r="H85" i="79"/>
  <c r="G85" i="79"/>
  <c r="F85" i="79"/>
  <c r="E85" i="79"/>
  <c r="D85" i="79"/>
  <c r="AA84" i="79"/>
  <c r="Z84" i="79"/>
  <c r="Y84" i="79"/>
  <c r="X84" i="79"/>
  <c r="W84" i="79"/>
  <c r="V84" i="79"/>
  <c r="U84" i="79"/>
  <c r="T84" i="79"/>
  <c r="S84" i="79"/>
  <c r="R84" i="79"/>
  <c r="Q84" i="79"/>
  <c r="P84" i="79"/>
  <c r="O84" i="79"/>
  <c r="N84" i="79"/>
  <c r="M84" i="79"/>
  <c r="L84" i="79"/>
  <c r="K84" i="79"/>
  <c r="J84" i="79"/>
  <c r="I84" i="79"/>
  <c r="H84" i="79"/>
  <c r="G84" i="79"/>
  <c r="F84" i="79"/>
  <c r="E84" i="79"/>
  <c r="D84" i="79"/>
  <c r="AA83" i="79"/>
  <c r="Z83" i="79"/>
  <c r="Y83" i="79"/>
  <c r="X83" i="79"/>
  <c r="W83" i="79"/>
  <c r="V83" i="79"/>
  <c r="U83" i="79"/>
  <c r="T83" i="79"/>
  <c r="S83" i="79"/>
  <c r="R83" i="79"/>
  <c r="Q83" i="79"/>
  <c r="P83" i="79"/>
  <c r="O83" i="79"/>
  <c r="N83" i="79"/>
  <c r="M83" i="79"/>
  <c r="L83" i="79"/>
  <c r="K83" i="79"/>
  <c r="J83" i="79"/>
  <c r="I83" i="79"/>
  <c r="H83" i="79"/>
  <c r="G83" i="79"/>
  <c r="F83" i="79"/>
  <c r="E83" i="79"/>
  <c r="D83" i="79"/>
  <c r="AA82" i="79"/>
  <c r="Z82" i="79"/>
  <c r="Y82" i="79"/>
  <c r="X82" i="79"/>
  <c r="W82" i="79"/>
  <c r="V82" i="79"/>
  <c r="U82" i="79"/>
  <c r="T82" i="79"/>
  <c r="S82" i="79"/>
  <c r="R82" i="79"/>
  <c r="Q82" i="79"/>
  <c r="P82" i="79"/>
  <c r="O82" i="79"/>
  <c r="N82" i="79"/>
  <c r="M82" i="79"/>
  <c r="L82" i="79"/>
  <c r="K82" i="79"/>
  <c r="J82" i="79"/>
  <c r="I82" i="79"/>
  <c r="H82" i="79"/>
  <c r="G82" i="79"/>
  <c r="F82" i="79"/>
  <c r="E82" i="79"/>
  <c r="D82" i="79"/>
  <c r="AA81" i="79"/>
  <c r="Z81" i="79"/>
  <c r="Y81" i="79"/>
  <c r="X81" i="79"/>
  <c r="W81" i="79"/>
  <c r="V81" i="79"/>
  <c r="U81" i="79"/>
  <c r="T81" i="79"/>
  <c r="S81" i="79"/>
  <c r="R81" i="79"/>
  <c r="Q81" i="79"/>
  <c r="P81" i="79"/>
  <c r="O81" i="79"/>
  <c r="N81" i="79"/>
  <c r="M81" i="79"/>
  <c r="L81" i="79"/>
  <c r="K81" i="79"/>
  <c r="J81" i="79"/>
  <c r="I81" i="79"/>
  <c r="H81" i="79"/>
  <c r="G81" i="79"/>
  <c r="F81" i="79"/>
  <c r="E81" i="79"/>
  <c r="D81" i="79"/>
  <c r="AA80" i="79"/>
  <c r="Z80" i="79"/>
  <c r="Y80" i="79"/>
  <c r="X80" i="79"/>
  <c r="W80" i="79"/>
  <c r="V80" i="79"/>
  <c r="U80" i="79"/>
  <c r="T80" i="79"/>
  <c r="S80" i="79"/>
  <c r="R80" i="79"/>
  <c r="Q80" i="79"/>
  <c r="P80" i="79"/>
  <c r="O80" i="79"/>
  <c r="N80" i="79"/>
  <c r="M80" i="79"/>
  <c r="L80" i="79"/>
  <c r="K80" i="79"/>
  <c r="J80" i="79"/>
  <c r="I80" i="79"/>
  <c r="H80" i="79"/>
  <c r="G80" i="79"/>
  <c r="F80" i="79"/>
  <c r="E80" i="79"/>
  <c r="D80" i="79"/>
  <c r="AA79" i="79"/>
  <c r="Z79" i="79"/>
  <c r="Y79" i="79"/>
  <c r="X79" i="79"/>
  <c r="W79" i="79"/>
  <c r="V79" i="79"/>
  <c r="U79" i="79"/>
  <c r="T79" i="79"/>
  <c r="S79" i="79"/>
  <c r="R79" i="79"/>
  <c r="Q79" i="79"/>
  <c r="P79" i="79"/>
  <c r="O79" i="79"/>
  <c r="N79" i="79"/>
  <c r="M79" i="79"/>
  <c r="L79" i="79"/>
  <c r="K79" i="79"/>
  <c r="J79" i="79"/>
  <c r="I79" i="79"/>
  <c r="H79" i="79"/>
  <c r="G79" i="79"/>
  <c r="F79" i="79"/>
  <c r="E79" i="79"/>
  <c r="D79" i="79"/>
  <c r="AA78" i="79"/>
  <c r="Z78" i="79"/>
  <c r="Y78" i="79"/>
  <c r="X78" i="79"/>
  <c r="W78" i="79"/>
  <c r="V78" i="79"/>
  <c r="U78" i="79"/>
  <c r="T78" i="79"/>
  <c r="S78" i="79"/>
  <c r="R78" i="79"/>
  <c r="Q78" i="79"/>
  <c r="P78" i="79"/>
  <c r="O78" i="79"/>
  <c r="N78" i="79"/>
  <c r="M78" i="79"/>
  <c r="L78" i="79"/>
  <c r="K78" i="79"/>
  <c r="J78" i="79"/>
  <c r="I78" i="79"/>
  <c r="H78" i="79"/>
  <c r="G78" i="79"/>
  <c r="F78" i="79"/>
  <c r="E78" i="79"/>
  <c r="D78" i="79"/>
  <c r="AA77" i="79"/>
  <c r="Z77" i="79"/>
  <c r="Y77" i="79"/>
  <c r="X77" i="79"/>
  <c r="W77" i="79"/>
  <c r="V77" i="79"/>
  <c r="U77" i="79"/>
  <c r="T77" i="79"/>
  <c r="S77" i="79"/>
  <c r="R77" i="79"/>
  <c r="Q77" i="79"/>
  <c r="P77" i="79"/>
  <c r="O77" i="79"/>
  <c r="N77" i="79"/>
  <c r="M77" i="79"/>
  <c r="L77" i="79"/>
  <c r="K77" i="79"/>
  <c r="J77" i="79"/>
  <c r="I77" i="79"/>
  <c r="H77" i="79"/>
  <c r="G77" i="79"/>
  <c r="F77" i="79"/>
  <c r="E77" i="79"/>
  <c r="D77" i="79"/>
  <c r="AA76" i="79"/>
  <c r="Z76" i="79"/>
  <c r="Y76" i="79"/>
  <c r="X76" i="79"/>
  <c r="W76" i="79"/>
  <c r="V76" i="79"/>
  <c r="U76" i="79"/>
  <c r="T76" i="79"/>
  <c r="S76" i="79"/>
  <c r="R76" i="79"/>
  <c r="Q76" i="79"/>
  <c r="P76" i="79"/>
  <c r="O76" i="79"/>
  <c r="N76" i="79"/>
  <c r="M76" i="79"/>
  <c r="L76" i="79"/>
  <c r="K76" i="79"/>
  <c r="J76" i="79"/>
  <c r="I76" i="79"/>
  <c r="H76" i="79"/>
  <c r="G76" i="79"/>
  <c r="F76" i="79"/>
  <c r="E76" i="79"/>
  <c r="D76" i="79"/>
  <c r="AA75" i="79"/>
  <c r="Z75" i="79"/>
  <c r="Y75" i="79"/>
  <c r="X75" i="79"/>
  <c r="W75" i="79"/>
  <c r="V75" i="79"/>
  <c r="U75" i="79"/>
  <c r="T75" i="79"/>
  <c r="S75" i="79"/>
  <c r="R75" i="79"/>
  <c r="Q75" i="79"/>
  <c r="P75" i="79"/>
  <c r="O75" i="79"/>
  <c r="N75" i="79"/>
  <c r="M75" i="79"/>
  <c r="L75" i="79"/>
  <c r="K75" i="79"/>
  <c r="J75" i="79"/>
  <c r="I75" i="79"/>
  <c r="H75" i="79"/>
  <c r="G75" i="79"/>
  <c r="F75" i="79"/>
  <c r="E75" i="79"/>
  <c r="D75" i="79"/>
  <c r="AA74" i="79"/>
  <c r="Z74" i="79"/>
  <c r="Y74" i="79"/>
  <c r="X74" i="79"/>
  <c r="W74" i="79"/>
  <c r="V74" i="79"/>
  <c r="U74" i="79"/>
  <c r="T74" i="79"/>
  <c r="S74" i="79"/>
  <c r="R74" i="79"/>
  <c r="Q74" i="79"/>
  <c r="P74" i="79"/>
  <c r="O74" i="79"/>
  <c r="N74" i="79"/>
  <c r="M74" i="79"/>
  <c r="L74" i="79"/>
  <c r="K74" i="79"/>
  <c r="J74" i="79"/>
  <c r="I74" i="79"/>
  <c r="H74" i="79"/>
  <c r="G74" i="79"/>
  <c r="F74" i="79"/>
  <c r="E74" i="79"/>
  <c r="D74" i="79"/>
  <c r="AA73" i="79"/>
  <c r="Z73" i="79"/>
  <c r="Y73" i="79"/>
  <c r="X73" i="79"/>
  <c r="W73" i="79"/>
  <c r="V73" i="79"/>
  <c r="U73" i="79"/>
  <c r="T73" i="79"/>
  <c r="S73" i="79"/>
  <c r="R73" i="79"/>
  <c r="Q73" i="79"/>
  <c r="P73" i="79"/>
  <c r="O73" i="79"/>
  <c r="N73" i="79"/>
  <c r="M73" i="79"/>
  <c r="L73" i="79"/>
  <c r="K73" i="79"/>
  <c r="J73" i="79"/>
  <c r="I73" i="79"/>
  <c r="H73" i="79"/>
  <c r="G73" i="79"/>
  <c r="F73" i="79"/>
  <c r="E73" i="79"/>
  <c r="D73" i="79"/>
  <c r="AA72" i="79"/>
  <c r="Z72" i="79"/>
  <c r="Y72" i="79"/>
  <c r="X72" i="79"/>
  <c r="W72" i="79"/>
  <c r="V72" i="79"/>
  <c r="U72" i="79"/>
  <c r="T72" i="79"/>
  <c r="S72" i="79"/>
  <c r="R72" i="79"/>
  <c r="Q72" i="79"/>
  <c r="P72" i="79"/>
  <c r="O72" i="79"/>
  <c r="N72" i="79"/>
  <c r="M72" i="79"/>
  <c r="L72" i="79"/>
  <c r="K72" i="79"/>
  <c r="J72" i="79"/>
  <c r="I72" i="79"/>
  <c r="H72" i="79"/>
  <c r="G72" i="79"/>
  <c r="F72" i="79"/>
  <c r="E72" i="79"/>
  <c r="D72" i="79"/>
  <c r="AA71" i="79"/>
  <c r="Z71" i="79"/>
  <c r="Y71" i="79"/>
  <c r="X71" i="79"/>
  <c r="W71" i="79"/>
  <c r="V71" i="79"/>
  <c r="U71" i="79"/>
  <c r="T71" i="79"/>
  <c r="S71" i="79"/>
  <c r="R71" i="79"/>
  <c r="Q71" i="79"/>
  <c r="P71" i="79"/>
  <c r="O71" i="79"/>
  <c r="N71" i="79"/>
  <c r="M71" i="79"/>
  <c r="L71" i="79"/>
  <c r="K71" i="79"/>
  <c r="J71" i="79"/>
  <c r="I71" i="79"/>
  <c r="H71" i="79"/>
  <c r="G71" i="79"/>
  <c r="F71" i="79"/>
  <c r="E71" i="79"/>
  <c r="D71" i="79"/>
  <c r="AA70" i="79"/>
  <c r="Z70" i="79"/>
  <c r="Y70" i="79"/>
  <c r="X70" i="79"/>
  <c r="W70" i="79"/>
  <c r="V70" i="79"/>
  <c r="U70" i="79"/>
  <c r="T70" i="79"/>
  <c r="S70" i="79"/>
  <c r="R70" i="79"/>
  <c r="Q70" i="79"/>
  <c r="P70" i="79"/>
  <c r="O70" i="79"/>
  <c r="N70" i="79"/>
  <c r="M70" i="79"/>
  <c r="L70" i="79"/>
  <c r="K70" i="79"/>
  <c r="J70" i="79"/>
  <c r="I70" i="79"/>
  <c r="H70" i="79"/>
  <c r="G70" i="79"/>
  <c r="F70" i="79"/>
  <c r="E70" i="79"/>
  <c r="D70" i="79"/>
  <c r="AA69" i="79"/>
  <c r="Z69" i="79"/>
  <c r="Y69" i="79"/>
  <c r="X69" i="79"/>
  <c r="W69" i="79"/>
  <c r="V69" i="79"/>
  <c r="U69" i="79"/>
  <c r="T69" i="79"/>
  <c r="S69" i="79"/>
  <c r="R69" i="79"/>
  <c r="Q69" i="79"/>
  <c r="P69" i="79"/>
  <c r="O69" i="79"/>
  <c r="N69" i="79"/>
  <c r="M69" i="79"/>
  <c r="L69" i="79"/>
  <c r="K69" i="79"/>
  <c r="J69" i="79"/>
  <c r="I69" i="79"/>
  <c r="H69" i="79"/>
  <c r="G69" i="79"/>
  <c r="F69" i="79"/>
  <c r="E69" i="79"/>
  <c r="D69" i="79"/>
  <c r="AA68" i="79"/>
  <c r="Z68" i="79"/>
  <c r="Y68" i="79"/>
  <c r="X68" i="79"/>
  <c r="W68" i="79"/>
  <c r="V68" i="79"/>
  <c r="U68" i="79"/>
  <c r="T68" i="79"/>
  <c r="S68" i="79"/>
  <c r="R68" i="79"/>
  <c r="Q68" i="79"/>
  <c r="P68" i="79"/>
  <c r="O68" i="79"/>
  <c r="N68" i="79"/>
  <c r="M68" i="79"/>
  <c r="L68" i="79"/>
  <c r="K68" i="79"/>
  <c r="J68" i="79"/>
  <c r="I68" i="79"/>
  <c r="H68" i="79"/>
  <c r="G68" i="79"/>
  <c r="F68" i="79"/>
  <c r="E68" i="79"/>
  <c r="D68" i="79"/>
  <c r="AA67" i="79"/>
  <c r="Z67" i="79"/>
  <c r="Y67" i="79"/>
  <c r="X67" i="79"/>
  <c r="W67" i="79"/>
  <c r="V67" i="79"/>
  <c r="U67" i="79"/>
  <c r="T67" i="79"/>
  <c r="S67" i="79"/>
  <c r="R67" i="79"/>
  <c r="Q67" i="79"/>
  <c r="P67" i="79"/>
  <c r="O67" i="79"/>
  <c r="N67" i="79"/>
  <c r="M67" i="79"/>
  <c r="L67" i="79"/>
  <c r="K67" i="79"/>
  <c r="J67" i="79"/>
  <c r="I67" i="79"/>
  <c r="H67" i="79"/>
  <c r="G67" i="79"/>
  <c r="F67" i="79"/>
  <c r="E67" i="79"/>
  <c r="D67" i="79"/>
  <c r="AA66" i="79"/>
  <c r="Z66" i="79"/>
  <c r="Y66" i="79"/>
  <c r="X66" i="79"/>
  <c r="W66" i="79"/>
  <c r="V66" i="79"/>
  <c r="U66" i="79"/>
  <c r="T66" i="79"/>
  <c r="S66" i="79"/>
  <c r="R66" i="79"/>
  <c r="Q66" i="79"/>
  <c r="P66" i="79"/>
  <c r="O66" i="79"/>
  <c r="N66" i="79"/>
  <c r="M66" i="79"/>
  <c r="L66" i="79"/>
  <c r="K66" i="79"/>
  <c r="J66" i="79"/>
  <c r="I66" i="79"/>
  <c r="H66" i="79"/>
  <c r="G66" i="79"/>
  <c r="F66" i="79"/>
  <c r="E66" i="79"/>
  <c r="D66" i="79"/>
  <c r="AA65" i="79"/>
  <c r="Z65" i="79"/>
  <c r="Y65" i="79"/>
  <c r="X65" i="79"/>
  <c r="W65" i="79"/>
  <c r="V65" i="79"/>
  <c r="U65" i="79"/>
  <c r="T65" i="79"/>
  <c r="S65" i="79"/>
  <c r="R65" i="79"/>
  <c r="Q65" i="79"/>
  <c r="P65" i="79"/>
  <c r="O65" i="79"/>
  <c r="N65" i="79"/>
  <c r="M65" i="79"/>
  <c r="L65" i="79"/>
  <c r="K65" i="79"/>
  <c r="J65" i="79"/>
  <c r="I65" i="79"/>
  <c r="H65" i="79"/>
  <c r="G65" i="79"/>
  <c r="F65" i="79"/>
  <c r="E65" i="79"/>
  <c r="D65" i="79"/>
  <c r="AA64" i="79"/>
  <c r="Z64" i="79"/>
  <c r="Y64" i="79"/>
  <c r="X64" i="79"/>
  <c r="W64" i="79"/>
  <c r="V64" i="79"/>
  <c r="U64" i="79"/>
  <c r="T64" i="79"/>
  <c r="S64" i="79"/>
  <c r="R64" i="79"/>
  <c r="Q64" i="79"/>
  <c r="P64" i="79"/>
  <c r="O64" i="79"/>
  <c r="N64" i="79"/>
  <c r="M64" i="79"/>
  <c r="L64" i="79"/>
  <c r="K64" i="79"/>
  <c r="J64" i="79"/>
  <c r="I64" i="79"/>
  <c r="H64" i="79"/>
  <c r="G64" i="79"/>
  <c r="F64" i="79"/>
  <c r="E64" i="79"/>
  <c r="D64" i="79"/>
  <c r="AA63" i="79"/>
  <c r="Z63" i="79"/>
  <c r="Y63" i="79"/>
  <c r="X63" i="79"/>
  <c r="W63" i="79"/>
  <c r="V63" i="79"/>
  <c r="U63" i="79"/>
  <c r="T63" i="79"/>
  <c r="S63" i="79"/>
  <c r="R63" i="79"/>
  <c r="Q63" i="79"/>
  <c r="P63" i="79"/>
  <c r="O63" i="79"/>
  <c r="N63" i="79"/>
  <c r="M63" i="79"/>
  <c r="L63" i="79"/>
  <c r="K63" i="79"/>
  <c r="J63" i="79"/>
  <c r="I63" i="79"/>
  <c r="H63" i="79"/>
  <c r="G63" i="79"/>
  <c r="F63" i="79"/>
  <c r="E63" i="79"/>
  <c r="D63" i="79"/>
  <c r="AA62" i="79"/>
  <c r="Z62" i="79"/>
  <c r="Y62" i="79"/>
  <c r="X62" i="79"/>
  <c r="W62" i="79"/>
  <c r="V62" i="79"/>
  <c r="U62" i="79"/>
  <c r="T62" i="79"/>
  <c r="S62" i="79"/>
  <c r="R62" i="79"/>
  <c r="Q62" i="79"/>
  <c r="P62" i="79"/>
  <c r="O62" i="79"/>
  <c r="N62" i="79"/>
  <c r="M62" i="79"/>
  <c r="L62" i="79"/>
  <c r="K62" i="79"/>
  <c r="J62" i="79"/>
  <c r="I62" i="79"/>
  <c r="H62" i="79"/>
  <c r="G62" i="79"/>
  <c r="F62" i="79"/>
  <c r="E62" i="79"/>
  <c r="D62" i="79"/>
  <c r="AA61" i="79"/>
  <c r="Z61" i="79"/>
  <c r="Y61" i="79"/>
  <c r="X61" i="79"/>
  <c r="W61" i="79"/>
  <c r="V61" i="79"/>
  <c r="U61" i="79"/>
  <c r="T61" i="79"/>
  <c r="S61" i="79"/>
  <c r="R61" i="79"/>
  <c r="Q61" i="79"/>
  <c r="P61" i="79"/>
  <c r="O61" i="79"/>
  <c r="N61" i="79"/>
  <c r="M61" i="79"/>
  <c r="L61" i="79"/>
  <c r="K61" i="79"/>
  <c r="J61" i="79"/>
  <c r="I61" i="79"/>
  <c r="H61" i="79"/>
  <c r="G61" i="79"/>
  <c r="F61" i="79"/>
  <c r="E61" i="79"/>
  <c r="D61" i="79"/>
  <c r="AA60" i="79"/>
  <c r="Z60" i="79"/>
  <c r="Y60" i="79"/>
  <c r="X60" i="79"/>
  <c r="W60" i="79"/>
  <c r="V60" i="79"/>
  <c r="U60" i="79"/>
  <c r="T60" i="79"/>
  <c r="S60" i="79"/>
  <c r="R60" i="79"/>
  <c r="Q60" i="79"/>
  <c r="P60" i="79"/>
  <c r="O60" i="79"/>
  <c r="N60" i="79"/>
  <c r="M60" i="79"/>
  <c r="L60" i="79"/>
  <c r="K60" i="79"/>
  <c r="J60" i="79"/>
  <c r="I60" i="79"/>
  <c r="H60" i="79"/>
  <c r="G60" i="79"/>
  <c r="F60" i="79"/>
  <c r="E60" i="79"/>
  <c r="D60" i="79"/>
  <c r="AA59" i="79"/>
  <c r="Z59" i="79"/>
  <c r="Y59" i="79"/>
  <c r="X59" i="79"/>
  <c r="W59" i="79"/>
  <c r="V59" i="79"/>
  <c r="U59" i="79"/>
  <c r="T59" i="79"/>
  <c r="S59" i="79"/>
  <c r="R59" i="79"/>
  <c r="Q59" i="79"/>
  <c r="P59" i="79"/>
  <c r="O59" i="79"/>
  <c r="N59" i="79"/>
  <c r="M59" i="79"/>
  <c r="L59" i="79"/>
  <c r="K59" i="79"/>
  <c r="J59" i="79"/>
  <c r="I59" i="79"/>
  <c r="H59" i="79"/>
  <c r="G59" i="79"/>
  <c r="F59" i="79"/>
  <c r="E59" i="79"/>
  <c r="D59" i="79"/>
  <c r="AA58" i="79"/>
  <c r="Z58" i="79"/>
  <c r="Y58" i="79"/>
  <c r="X58" i="79"/>
  <c r="W58" i="79"/>
  <c r="V58" i="79"/>
  <c r="U58" i="79"/>
  <c r="T58" i="79"/>
  <c r="S58" i="79"/>
  <c r="R58" i="79"/>
  <c r="Q58" i="79"/>
  <c r="P58" i="79"/>
  <c r="O58" i="79"/>
  <c r="N58" i="79"/>
  <c r="M58" i="79"/>
  <c r="L58" i="79"/>
  <c r="K58" i="79"/>
  <c r="J58" i="79"/>
  <c r="I58" i="79"/>
  <c r="H58" i="79"/>
  <c r="G58" i="79"/>
  <c r="F58" i="79"/>
  <c r="E58" i="79"/>
  <c r="D58" i="79"/>
  <c r="AA57" i="79"/>
  <c r="Z57" i="79"/>
  <c r="Y57" i="79"/>
  <c r="X57" i="79"/>
  <c r="W57" i="79"/>
  <c r="V57" i="79"/>
  <c r="U57" i="79"/>
  <c r="T57" i="79"/>
  <c r="S57" i="79"/>
  <c r="R57" i="79"/>
  <c r="Q57" i="79"/>
  <c r="P57" i="79"/>
  <c r="O57" i="79"/>
  <c r="N57" i="79"/>
  <c r="M57" i="79"/>
  <c r="L57" i="79"/>
  <c r="K57" i="79"/>
  <c r="J57" i="79"/>
  <c r="I57" i="79"/>
  <c r="H57" i="79"/>
  <c r="G57" i="79"/>
  <c r="F57" i="79"/>
  <c r="E57" i="79"/>
  <c r="D57" i="79"/>
  <c r="AA56" i="79"/>
  <c r="Z56" i="79"/>
  <c r="Y56" i="79"/>
  <c r="X56" i="79"/>
  <c r="W56" i="79"/>
  <c r="V56" i="79"/>
  <c r="U56" i="79"/>
  <c r="T56" i="79"/>
  <c r="S56" i="79"/>
  <c r="R56" i="79"/>
  <c r="Q56" i="79"/>
  <c r="P56" i="79"/>
  <c r="O56" i="79"/>
  <c r="N56" i="79"/>
  <c r="M56" i="79"/>
  <c r="L56" i="79"/>
  <c r="K56" i="79"/>
  <c r="J56" i="79"/>
  <c r="I56" i="79"/>
  <c r="H56" i="79"/>
  <c r="G56" i="79"/>
  <c r="F56" i="79"/>
  <c r="E56" i="79"/>
  <c r="D56" i="79"/>
  <c r="AA55" i="79"/>
  <c r="Z55" i="79"/>
  <c r="Y55" i="79"/>
  <c r="X55" i="79"/>
  <c r="W55" i="79"/>
  <c r="V55" i="79"/>
  <c r="U55" i="79"/>
  <c r="T55" i="79"/>
  <c r="S55" i="79"/>
  <c r="R55" i="79"/>
  <c r="Q55" i="79"/>
  <c r="P55" i="79"/>
  <c r="O55" i="79"/>
  <c r="N55" i="79"/>
  <c r="M55" i="79"/>
  <c r="L55" i="79"/>
  <c r="K55" i="79"/>
  <c r="J55" i="79"/>
  <c r="I55" i="79"/>
  <c r="H55" i="79"/>
  <c r="G55" i="79"/>
  <c r="F55" i="79"/>
  <c r="E55" i="79"/>
  <c r="D55" i="79"/>
  <c r="AA54" i="79"/>
  <c r="Z54" i="79"/>
  <c r="Y54" i="79"/>
  <c r="X54" i="79"/>
  <c r="W54" i="79"/>
  <c r="V54" i="79"/>
  <c r="U54" i="79"/>
  <c r="T54" i="79"/>
  <c r="S54" i="79"/>
  <c r="R54" i="79"/>
  <c r="Q54" i="79"/>
  <c r="P54" i="79"/>
  <c r="O54" i="79"/>
  <c r="N54" i="79"/>
  <c r="M54" i="79"/>
  <c r="L54" i="79"/>
  <c r="K54" i="79"/>
  <c r="J54" i="79"/>
  <c r="I54" i="79"/>
  <c r="H54" i="79"/>
  <c r="G54" i="79"/>
  <c r="F54" i="79"/>
  <c r="E54" i="79"/>
  <c r="D54" i="79"/>
  <c r="AA53" i="79"/>
  <c r="Z53" i="79"/>
  <c r="Y53" i="79"/>
  <c r="X53" i="79"/>
  <c r="W53" i="79"/>
  <c r="V53" i="79"/>
  <c r="U53" i="79"/>
  <c r="T53" i="79"/>
  <c r="S53" i="79"/>
  <c r="R53" i="79"/>
  <c r="Q53" i="79"/>
  <c r="P53" i="79"/>
  <c r="O53" i="79"/>
  <c r="N53" i="79"/>
  <c r="M53" i="79"/>
  <c r="L53" i="79"/>
  <c r="K53" i="79"/>
  <c r="J53" i="79"/>
  <c r="I53" i="79"/>
  <c r="H53" i="79"/>
  <c r="G53" i="79"/>
  <c r="F53" i="79"/>
  <c r="E53" i="79"/>
  <c r="D53" i="79"/>
  <c r="AA52" i="79"/>
  <c r="Z52" i="79"/>
  <c r="Y52" i="79"/>
  <c r="X52" i="79"/>
  <c r="W52" i="79"/>
  <c r="V52" i="79"/>
  <c r="U52" i="79"/>
  <c r="T52" i="79"/>
  <c r="S52" i="79"/>
  <c r="R52" i="79"/>
  <c r="Q52" i="79"/>
  <c r="P52" i="79"/>
  <c r="O52" i="79"/>
  <c r="N52" i="79"/>
  <c r="M52" i="79"/>
  <c r="L52" i="79"/>
  <c r="K52" i="79"/>
  <c r="J52" i="79"/>
  <c r="I52" i="79"/>
  <c r="H52" i="79"/>
  <c r="G52" i="79"/>
  <c r="F52" i="79"/>
  <c r="E52" i="79"/>
  <c r="D52" i="79"/>
  <c r="AA51" i="79"/>
  <c r="Z51" i="79"/>
  <c r="Y51" i="79"/>
  <c r="X51" i="79"/>
  <c r="W51" i="79"/>
  <c r="V51" i="79"/>
  <c r="U51" i="79"/>
  <c r="T51" i="79"/>
  <c r="S51" i="79"/>
  <c r="R51" i="79"/>
  <c r="Q51" i="79"/>
  <c r="P51" i="79"/>
  <c r="O51" i="79"/>
  <c r="N51" i="79"/>
  <c r="M51" i="79"/>
  <c r="L51" i="79"/>
  <c r="K51" i="79"/>
  <c r="J51" i="79"/>
  <c r="I51" i="79"/>
  <c r="H51" i="79"/>
  <c r="G51" i="79"/>
  <c r="F51" i="79"/>
  <c r="E51" i="79"/>
  <c r="D51" i="79"/>
  <c r="AA50" i="79"/>
  <c r="Z50" i="79"/>
  <c r="Y50" i="79"/>
  <c r="X50" i="79"/>
  <c r="W50" i="79"/>
  <c r="V50" i="79"/>
  <c r="U50" i="79"/>
  <c r="T50" i="79"/>
  <c r="S50" i="79"/>
  <c r="R50" i="79"/>
  <c r="Q50" i="79"/>
  <c r="P50" i="79"/>
  <c r="O50" i="79"/>
  <c r="N50" i="79"/>
  <c r="M50" i="79"/>
  <c r="L50" i="79"/>
  <c r="K50" i="79"/>
  <c r="J50" i="79"/>
  <c r="I50" i="79"/>
  <c r="H50" i="79"/>
  <c r="G50" i="79"/>
  <c r="F50" i="79"/>
  <c r="E50" i="79"/>
  <c r="D50" i="79"/>
  <c r="AA49" i="79"/>
  <c r="Z49" i="79"/>
  <c r="Y49" i="79"/>
  <c r="X49" i="79"/>
  <c r="W49" i="79"/>
  <c r="V49" i="79"/>
  <c r="U49" i="79"/>
  <c r="T49" i="79"/>
  <c r="S49" i="79"/>
  <c r="R49" i="79"/>
  <c r="Q49" i="79"/>
  <c r="P49" i="79"/>
  <c r="O49" i="79"/>
  <c r="N49" i="79"/>
  <c r="M49" i="79"/>
  <c r="L49" i="79"/>
  <c r="K49" i="79"/>
  <c r="J49" i="79"/>
  <c r="I49" i="79"/>
  <c r="H49" i="79"/>
  <c r="G49" i="79"/>
  <c r="F49" i="79"/>
  <c r="E49" i="79"/>
  <c r="D49" i="79"/>
  <c r="AA48" i="79"/>
  <c r="Z48" i="79"/>
  <c r="Y48" i="79"/>
  <c r="X48" i="79"/>
  <c r="W48" i="79"/>
  <c r="V48" i="79"/>
  <c r="U48" i="79"/>
  <c r="T48" i="79"/>
  <c r="S48" i="79"/>
  <c r="R48" i="79"/>
  <c r="Q48" i="79"/>
  <c r="P48" i="79"/>
  <c r="O48" i="79"/>
  <c r="N48" i="79"/>
  <c r="M48" i="79"/>
  <c r="L48" i="79"/>
  <c r="K48" i="79"/>
  <c r="J48" i="79"/>
  <c r="I48" i="79"/>
  <c r="H48" i="79"/>
  <c r="G48" i="79"/>
  <c r="F48" i="79"/>
  <c r="E48" i="79"/>
  <c r="D48" i="79"/>
  <c r="AA47" i="79"/>
  <c r="Z47" i="79"/>
  <c r="Y47" i="79"/>
  <c r="X47" i="79"/>
  <c r="W47" i="79"/>
  <c r="V47" i="79"/>
  <c r="U47" i="79"/>
  <c r="T47" i="79"/>
  <c r="S47" i="79"/>
  <c r="R47" i="79"/>
  <c r="Q47" i="79"/>
  <c r="P47" i="79"/>
  <c r="O47" i="79"/>
  <c r="N47" i="79"/>
  <c r="M47" i="79"/>
  <c r="L47" i="79"/>
  <c r="K47" i="79"/>
  <c r="J47" i="79"/>
  <c r="I47" i="79"/>
  <c r="H47" i="79"/>
  <c r="G47" i="79"/>
  <c r="F47" i="79"/>
  <c r="E47" i="79"/>
  <c r="D47" i="79"/>
  <c r="AA46" i="79"/>
  <c r="Z46" i="79"/>
  <c r="Y46" i="79"/>
  <c r="X46" i="79"/>
  <c r="W46" i="79"/>
  <c r="V46" i="79"/>
  <c r="U46" i="79"/>
  <c r="T46" i="79"/>
  <c r="S46" i="79"/>
  <c r="R46" i="79"/>
  <c r="Q46" i="79"/>
  <c r="P46" i="79"/>
  <c r="O46" i="79"/>
  <c r="N46" i="79"/>
  <c r="M46" i="79"/>
  <c r="L46" i="79"/>
  <c r="K46" i="79"/>
  <c r="J46" i="79"/>
  <c r="I46" i="79"/>
  <c r="H46" i="79"/>
  <c r="G46" i="79"/>
  <c r="F46" i="79"/>
  <c r="E46" i="79"/>
  <c r="D46" i="79"/>
  <c r="AA45" i="79"/>
  <c r="Z45" i="79"/>
  <c r="Y45" i="79"/>
  <c r="X45" i="79"/>
  <c r="W45" i="79"/>
  <c r="V45" i="79"/>
  <c r="U45" i="79"/>
  <c r="T45" i="79"/>
  <c r="S45" i="79"/>
  <c r="R45" i="79"/>
  <c r="Q45" i="79"/>
  <c r="P45" i="79"/>
  <c r="O45" i="79"/>
  <c r="N45" i="79"/>
  <c r="M45" i="79"/>
  <c r="L45" i="79"/>
  <c r="K45" i="79"/>
  <c r="J45" i="79"/>
  <c r="I45" i="79"/>
  <c r="H45" i="79"/>
  <c r="G45" i="79"/>
  <c r="F45" i="79"/>
  <c r="E45" i="79"/>
  <c r="D45" i="79"/>
  <c r="AA44" i="79"/>
  <c r="Z44" i="79"/>
  <c r="Y44" i="79"/>
  <c r="X44" i="79"/>
  <c r="W44" i="79"/>
  <c r="V44" i="79"/>
  <c r="U44" i="79"/>
  <c r="T44" i="79"/>
  <c r="S44" i="79"/>
  <c r="R44" i="79"/>
  <c r="Q44" i="79"/>
  <c r="P44" i="79"/>
  <c r="O44" i="79"/>
  <c r="N44" i="79"/>
  <c r="M44" i="79"/>
  <c r="L44" i="79"/>
  <c r="K44" i="79"/>
  <c r="J44" i="79"/>
  <c r="I44" i="79"/>
  <c r="H44" i="79"/>
  <c r="G44" i="79"/>
  <c r="F44" i="79"/>
  <c r="E44" i="79"/>
  <c r="D44" i="79"/>
  <c r="AA43" i="79"/>
  <c r="Z43" i="79"/>
  <c r="Y43" i="79"/>
  <c r="X43" i="79"/>
  <c r="W43" i="79"/>
  <c r="V43" i="79"/>
  <c r="U43" i="79"/>
  <c r="T43" i="79"/>
  <c r="S43" i="79"/>
  <c r="R43" i="79"/>
  <c r="Q43" i="79"/>
  <c r="P43" i="79"/>
  <c r="O43" i="79"/>
  <c r="N43" i="79"/>
  <c r="M43" i="79"/>
  <c r="L43" i="79"/>
  <c r="K43" i="79"/>
  <c r="J43" i="79"/>
  <c r="I43" i="79"/>
  <c r="H43" i="79"/>
  <c r="G43" i="79"/>
  <c r="F43" i="79"/>
  <c r="E43" i="79"/>
  <c r="D43" i="79"/>
  <c r="AA42" i="79"/>
  <c r="Z42" i="79"/>
  <c r="Y42" i="79"/>
  <c r="X42" i="79"/>
  <c r="W42" i="79"/>
  <c r="V42" i="79"/>
  <c r="U42" i="79"/>
  <c r="T42" i="79"/>
  <c r="S42" i="79"/>
  <c r="R42" i="79"/>
  <c r="Q42" i="79"/>
  <c r="P42" i="79"/>
  <c r="O42" i="79"/>
  <c r="N42" i="79"/>
  <c r="M42" i="79"/>
  <c r="L42" i="79"/>
  <c r="K42" i="79"/>
  <c r="J42" i="79"/>
  <c r="I42" i="79"/>
  <c r="H42" i="79"/>
  <c r="G42" i="79"/>
  <c r="F42" i="79"/>
  <c r="E42" i="79"/>
  <c r="D42" i="79"/>
  <c r="AA41" i="79"/>
  <c r="Z41" i="79"/>
  <c r="Y41" i="79"/>
  <c r="X41" i="79"/>
  <c r="W41" i="79"/>
  <c r="V41" i="79"/>
  <c r="U41" i="79"/>
  <c r="T41" i="79"/>
  <c r="S41" i="79"/>
  <c r="R41" i="79"/>
  <c r="Q41" i="79"/>
  <c r="P41" i="79"/>
  <c r="O41" i="79"/>
  <c r="N41" i="79"/>
  <c r="M41" i="79"/>
  <c r="L41" i="79"/>
  <c r="K41" i="79"/>
  <c r="J41" i="79"/>
  <c r="I41" i="79"/>
  <c r="H41" i="79"/>
  <c r="G41" i="79"/>
  <c r="F41" i="79"/>
  <c r="E41" i="79"/>
  <c r="D41" i="79"/>
  <c r="AA40" i="79"/>
  <c r="Z40" i="79"/>
  <c r="Y40" i="79"/>
  <c r="X40" i="79"/>
  <c r="W40" i="79"/>
  <c r="V40" i="79"/>
  <c r="U40" i="79"/>
  <c r="T40" i="79"/>
  <c r="S40" i="79"/>
  <c r="R40" i="79"/>
  <c r="Q40" i="79"/>
  <c r="P40" i="79"/>
  <c r="O40" i="79"/>
  <c r="N40" i="79"/>
  <c r="M40" i="79"/>
  <c r="L40" i="79"/>
  <c r="K40" i="79"/>
  <c r="J40" i="79"/>
  <c r="I40" i="79"/>
  <c r="H40" i="79"/>
  <c r="G40" i="79"/>
  <c r="F40" i="79"/>
  <c r="E40" i="79"/>
  <c r="D40" i="79"/>
  <c r="AA39" i="79"/>
  <c r="Z39" i="79"/>
  <c r="Y39" i="79"/>
  <c r="X39" i="79"/>
  <c r="W39" i="79"/>
  <c r="V39" i="79"/>
  <c r="U39" i="79"/>
  <c r="T39" i="79"/>
  <c r="S39" i="79"/>
  <c r="R39" i="79"/>
  <c r="Q39" i="79"/>
  <c r="P39" i="79"/>
  <c r="O39" i="79"/>
  <c r="N39" i="79"/>
  <c r="M39" i="79"/>
  <c r="L39" i="79"/>
  <c r="K39" i="79"/>
  <c r="J39" i="79"/>
  <c r="I39" i="79"/>
  <c r="H39" i="79"/>
  <c r="G39" i="79"/>
  <c r="F39" i="79"/>
  <c r="E39" i="79"/>
  <c r="D39" i="79"/>
  <c r="AA38" i="79"/>
  <c r="Z38" i="79"/>
  <c r="Y38" i="79"/>
  <c r="X38" i="79"/>
  <c r="W38" i="79"/>
  <c r="V38" i="79"/>
  <c r="U38" i="79"/>
  <c r="T38" i="79"/>
  <c r="S38" i="79"/>
  <c r="R38" i="79"/>
  <c r="Q38" i="79"/>
  <c r="P38" i="79"/>
  <c r="O38" i="79"/>
  <c r="N38" i="79"/>
  <c r="M38" i="79"/>
  <c r="L38" i="79"/>
  <c r="K38" i="79"/>
  <c r="J38" i="79"/>
  <c r="I38" i="79"/>
  <c r="H38" i="79"/>
  <c r="G38" i="79"/>
  <c r="F38" i="79"/>
  <c r="E38" i="79"/>
  <c r="D38" i="79"/>
  <c r="AA37" i="79"/>
  <c r="Z37" i="79"/>
  <c r="Y37" i="79"/>
  <c r="X37" i="79"/>
  <c r="W37" i="79"/>
  <c r="V37" i="79"/>
  <c r="U37" i="79"/>
  <c r="T37" i="79"/>
  <c r="S37" i="79"/>
  <c r="R37" i="79"/>
  <c r="Q37" i="79"/>
  <c r="P37" i="79"/>
  <c r="O37" i="79"/>
  <c r="N37" i="79"/>
  <c r="M37" i="79"/>
  <c r="L37" i="79"/>
  <c r="K37" i="79"/>
  <c r="J37" i="79"/>
  <c r="I37" i="79"/>
  <c r="H37" i="79"/>
  <c r="G37" i="79"/>
  <c r="F37" i="79"/>
  <c r="E37" i="79"/>
  <c r="D37" i="79"/>
  <c r="AA36" i="79"/>
  <c r="Z36" i="79"/>
  <c r="Y36" i="79"/>
  <c r="X36" i="79"/>
  <c r="W36" i="79"/>
  <c r="V36" i="79"/>
  <c r="U36" i="79"/>
  <c r="T36" i="79"/>
  <c r="S36" i="79"/>
  <c r="R36" i="79"/>
  <c r="Q36" i="79"/>
  <c r="P36" i="79"/>
  <c r="O36" i="79"/>
  <c r="N36" i="79"/>
  <c r="M36" i="79"/>
  <c r="L36" i="79"/>
  <c r="K36" i="79"/>
  <c r="J36" i="79"/>
  <c r="I36" i="79"/>
  <c r="H36" i="79"/>
  <c r="G36" i="79"/>
  <c r="F36" i="79"/>
  <c r="E36" i="79"/>
  <c r="D36" i="79"/>
  <c r="AA35" i="79"/>
  <c r="Z35" i="79"/>
  <c r="Y35" i="79"/>
  <c r="X35" i="79"/>
  <c r="W35" i="79"/>
  <c r="V35" i="79"/>
  <c r="U35" i="79"/>
  <c r="T35" i="79"/>
  <c r="S35" i="79"/>
  <c r="R35" i="79"/>
  <c r="Q35" i="79"/>
  <c r="P35" i="79"/>
  <c r="O35" i="79"/>
  <c r="N35" i="79"/>
  <c r="M35" i="79"/>
  <c r="L35" i="79"/>
  <c r="K35" i="79"/>
  <c r="J35" i="79"/>
  <c r="I35" i="79"/>
  <c r="H35" i="79"/>
  <c r="G35" i="79"/>
  <c r="F35" i="79"/>
  <c r="E35" i="79"/>
  <c r="D35" i="79"/>
  <c r="AA34" i="79"/>
  <c r="Z34" i="79"/>
  <c r="Y34" i="79"/>
  <c r="X34" i="79"/>
  <c r="W34" i="79"/>
  <c r="V34" i="79"/>
  <c r="U34" i="79"/>
  <c r="T34" i="79"/>
  <c r="S34" i="79"/>
  <c r="R34" i="79"/>
  <c r="Q34" i="79"/>
  <c r="P34" i="79"/>
  <c r="O34" i="79"/>
  <c r="N34" i="79"/>
  <c r="M34" i="79"/>
  <c r="L34" i="79"/>
  <c r="K34" i="79"/>
  <c r="J34" i="79"/>
  <c r="I34" i="79"/>
  <c r="H34" i="79"/>
  <c r="G34" i="79"/>
  <c r="F34" i="79"/>
  <c r="E34" i="79"/>
  <c r="D34" i="79"/>
  <c r="AA33" i="79"/>
  <c r="Z33" i="79"/>
  <c r="Y33" i="79"/>
  <c r="X33" i="79"/>
  <c r="W33" i="79"/>
  <c r="V33" i="79"/>
  <c r="U33" i="79"/>
  <c r="T33" i="79"/>
  <c r="S33" i="79"/>
  <c r="R33" i="79"/>
  <c r="Q33" i="79"/>
  <c r="P33" i="79"/>
  <c r="O33" i="79"/>
  <c r="N33" i="79"/>
  <c r="M33" i="79"/>
  <c r="L33" i="79"/>
  <c r="K33" i="79"/>
  <c r="J33" i="79"/>
  <c r="I33" i="79"/>
  <c r="H33" i="79"/>
  <c r="G33" i="79"/>
  <c r="F33" i="79"/>
  <c r="E33" i="79"/>
  <c r="D33" i="79"/>
  <c r="AA32" i="79"/>
  <c r="Z32" i="79"/>
  <c r="Y32" i="79"/>
  <c r="X32" i="79"/>
  <c r="W32" i="79"/>
  <c r="V32" i="79"/>
  <c r="U32" i="79"/>
  <c r="T32" i="79"/>
  <c r="S32" i="79"/>
  <c r="R32" i="79"/>
  <c r="Q32" i="79"/>
  <c r="P32" i="79"/>
  <c r="O32" i="79"/>
  <c r="N32" i="79"/>
  <c r="M32" i="79"/>
  <c r="L32" i="79"/>
  <c r="K32" i="79"/>
  <c r="J32" i="79"/>
  <c r="I32" i="79"/>
  <c r="H32" i="79"/>
  <c r="G32" i="79"/>
  <c r="F32" i="79"/>
  <c r="E32" i="79"/>
  <c r="D32" i="79"/>
  <c r="AA31" i="79"/>
  <c r="Z31" i="79"/>
  <c r="Y31" i="79"/>
  <c r="X31" i="79"/>
  <c r="W31" i="79"/>
  <c r="V31" i="79"/>
  <c r="U31" i="79"/>
  <c r="T31" i="79"/>
  <c r="S31" i="79"/>
  <c r="R31" i="79"/>
  <c r="Q31" i="79"/>
  <c r="P31" i="79"/>
  <c r="O31" i="79"/>
  <c r="N31" i="79"/>
  <c r="M31" i="79"/>
  <c r="L31" i="79"/>
  <c r="K31" i="79"/>
  <c r="J31" i="79"/>
  <c r="I31" i="79"/>
  <c r="H31" i="79"/>
  <c r="G31" i="79"/>
  <c r="F31" i="79"/>
  <c r="E31" i="79"/>
  <c r="D31" i="79"/>
  <c r="AA30" i="79"/>
  <c r="Z30" i="79"/>
  <c r="Y30" i="79"/>
  <c r="X30" i="79"/>
  <c r="W30" i="79"/>
  <c r="V30" i="79"/>
  <c r="U30" i="79"/>
  <c r="T30" i="79"/>
  <c r="S30" i="79"/>
  <c r="R30" i="79"/>
  <c r="Q30" i="79"/>
  <c r="P30" i="79"/>
  <c r="O30" i="79"/>
  <c r="N30" i="79"/>
  <c r="M30" i="79"/>
  <c r="L30" i="79"/>
  <c r="K30" i="79"/>
  <c r="J30" i="79"/>
  <c r="I30" i="79"/>
  <c r="H30" i="79"/>
  <c r="G30" i="79"/>
  <c r="F30" i="79"/>
  <c r="E30" i="79"/>
  <c r="D30" i="79"/>
  <c r="AA29" i="79"/>
  <c r="Z29" i="79"/>
  <c r="Y29" i="79"/>
  <c r="X29" i="79"/>
  <c r="W29" i="79"/>
  <c r="V29" i="79"/>
  <c r="U29" i="79"/>
  <c r="T29" i="79"/>
  <c r="S29" i="79"/>
  <c r="R29" i="79"/>
  <c r="Q29" i="79"/>
  <c r="P29" i="79"/>
  <c r="O29" i="79"/>
  <c r="N29" i="79"/>
  <c r="M29" i="79"/>
  <c r="L29" i="79"/>
  <c r="K29" i="79"/>
  <c r="J29" i="79"/>
  <c r="I29" i="79"/>
  <c r="H29" i="79"/>
  <c r="G29" i="79"/>
  <c r="F29" i="79"/>
  <c r="E29" i="79"/>
  <c r="D29" i="79"/>
  <c r="AA28" i="79"/>
  <c r="Z28" i="79"/>
  <c r="Y28" i="79"/>
  <c r="X28" i="79"/>
  <c r="W28" i="79"/>
  <c r="V28" i="79"/>
  <c r="U28" i="79"/>
  <c r="T28" i="79"/>
  <c r="S28" i="79"/>
  <c r="R28" i="79"/>
  <c r="Q28" i="79"/>
  <c r="P28" i="79"/>
  <c r="O28" i="79"/>
  <c r="N28" i="79"/>
  <c r="M28" i="79"/>
  <c r="L28" i="79"/>
  <c r="K28" i="79"/>
  <c r="J28" i="79"/>
  <c r="I28" i="79"/>
  <c r="H28" i="79"/>
  <c r="G28" i="79"/>
  <c r="F28" i="79"/>
  <c r="E28" i="79"/>
  <c r="D28" i="79"/>
  <c r="AA27" i="79"/>
  <c r="Z27" i="79"/>
  <c r="Y27" i="79"/>
  <c r="X27" i="79"/>
  <c r="W27" i="79"/>
  <c r="V27" i="79"/>
  <c r="U27" i="79"/>
  <c r="T27" i="79"/>
  <c r="S27" i="79"/>
  <c r="R27" i="79"/>
  <c r="Q27" i="79"/>
  <c r="P27" i="79"/>
  <c r="O27" i="79"/>
  <c r="N27" i="79"/>
  <c r="M27" i="79"/>
  <c r="L27" i="79"/>
  <c r="K27" i="79"/>
  <c r="J27" i="79"/>
  <c r="I27" i="79"/>
  <c r="H27" i="79"/>
  <c r="G27" i="79"/>
  <c r="F27" i="79"/>
  <c r="E27" i="79"/>
  <c r="D27" i="79"/>
  <c r="AA26" i="79"/>
  <c r="Z26" i="79"/>
  <c r="Y26" i="79"/>
  <c r="X26" i="79"/>
  <c r="W26" i="79"/>
  <c r="V26" i="79"/>
  <c r="U26" i="79"/>
  <c r="T26" i="79"/>
  <c r="S26" i="79"/>
  <c r="R26" i="79"/>
  <c r="Q26" i="79"/>
  <c r="P26" i="79"/>
  <c r="O26" i="79"/>
  <c r="N26" i="79"/>
  <c r="M26" i="79"/>
  <c r="L26" i="79"/>
  <c r="K26" i="79"/>
  <c r="J26" i="79"/>
  <c r="I26" i="79"/>
  <c r="H26" i="79"/>
  <c r="G26" i="79"/>
  <c r="F26" i="79"/>
  <c r="E26" i="79"/>
  <c r="D26" i="79"/>
  <c r="AA25" i="79"/>
  <c r="Z25" i="79"/>
  <c r="Y25" i="79"/>
  <c r="X25" i="79"/>
  <c r="W25" i="79"/>
  <c r="V25" i="79"/>
  <c r="U25" i="79"/>
  <c r="T25" i="79"/>
  <c r="S25" i="79"/>
  <c r="R25" i="79"/>
  <c r="Q25" i="79"/>
  <c r="P25" i="79"/>
  <c r="O25" i="79"/>
  <c r="N25" i="79"/>
  <c r="M25" i="79"/>
  <c r="L25" i="79"/>
  <c r="K25" i="79"/>
  <c r="J25" i="79"/>
  <c r="I25" i="79"/>
  <c r="H25" i="79"/>
  <c r="G25" i="79"/>
  <c r="F25" i="79"/>
  <c r="E25" i="79"/>
  <c r="D25" i="79"/>
  <c r="AA24" i="79"/>
  <c r="Z24" i="79"/>
  <c r="Y24" i="79"/>
  <c r="X24" i="79"/>
  <c r="W24" i="79"/>
  <c r="V24" i="79"/>
  <c r="U24" i="79"/>
  <c r="T24" i="79"/>
  <c r="S24" i="79"/>
  <c r="R24" i="79"/>
  <c r="Q24" i="79"/>
  <c r="P24" i="79"/>
  <c r="O24" i="79"/>
  <c r="N24" i="79"/>
  <c r="M24" i="79"/>
  <c r="L24" i="79"/>
  <c r="K24" i="79"/>
  <c r="J24" i="79"/>
  <c r="I24" i="79"/>
  <c r="H24" i="79"/>
  <c r="G24" i="79"/>
  <c r="F24" i="79"/>
  <c r="E24" i="79"/>
  <c r="D24" i="79"/>
  <c r="AA23" i="79"/>
  <c r="Z23" i="79"/>
  <c r="Y23" i="79"/>
  <c r="X23" i="79"/>
  <c r="W23" i="79"/>
  <c r="V23" i="79"/>
  <c r="U23" i="79"/>
  <c r="T23" i="79"/>
  <c r="S23" i="79"/>
  <c r="R23" i="79"/>
  <c r="Q23" i="79"/>
  <c r="P23" i="79"/>
  <c r="O23" i="79"/>
  <c r="N23" i="79"/>
  <c r="M23" i="79"/>
  <c r="L23" i="79"/>
  <c r="K23" i="79"/>
  <c r="J23" i="79"/>
  <c r="I23" i="79"/>
  <c r="H23" i="79"/>
  <c r="G23" i="79"/>
  <c r="F23" i="79"/>
  <c r="E23" i="79"/>
  <c r="D23" i="79"/>
  <c r="AA22" i="79"/>
  <c r="Z22" i="79"/>
  <c r="Y22" i="79"/>
  <c r="X22" i="79"/>
  <c r="W22" i="79"/>
  <c r="V22" i="79"/>
  <c r="U22" i="79"/>
  <c r="T22" i="79"/>
  <c r="S22" i="79"/>
  <c r="R22" i="79"/>
  <c r="Q22" i="79"/>
  <c r="P22" i="79"/>
  <c r="O22" i="79"/>
  <c r="N22" i="79"/>
  <c r="M22" i="79"/>
  <c r="L22" i="79"/>
  <c r="K22" i="79"/>
  <c r="J22" i="79"/>
  <c r="I22" i="79"/>
  <c r="H22" i="79"/>
  <c r="G22" i="79"/>
  <c r="F22" i="79"/>
  <c r="E22" i="79"/>
  <c r="D22" i="79"/>
  <c r="AA21" i="79"/>
  <c r="Z21" i="79"/>
  <c r="Y21" i="79"/>
  <c r="X21" i="79"/>
  <c r="W21" i="79"/>
  <c r="V21" i="79"/>
  <c r="U21" i="79"/>
  <c r="T21" i="79"/>
  <c r="S21" i="79"/>
  <c r="R21" i="79"/>
  <c r="Q21" i="79"/>
  <c r="P21" i="79"/>
  <c r="O21" i="79"/>
  <c r="N21" i="79"/>
  <c r="M21" i="79"/>
  <c r="L21" i="79"/>
  <c r="K21" i="79"/>
  <c r="J21" i="79"/>
  <c r="I21" i="79"/>
  <c r="H21" i="79"/>
  <c r="G21" i="79"/>
  <c r="F21" i="79"/>
  <c r="E21" i="79"/>
  <c r="D21" i="79"/>
  <c r="AA20" i="79"/>
  <c r="Z20" i="79"/>
  <c r="Y20" i="79"/>
  <c r="X20" i="79"/>
  <c r="W20" i="79"/>
  <c r="V20" i="79"/>
  <c r="U20" i="79"/>
  <c r="T20" i="79"/>
  <c r="S20" i="79"/>
  <c r="R20" i="79"/>
  <c r="Q20" i="79"/>
  <c r="P20" i="79"/>
  <c r="O20" i="79"/>
  <c r="N20" i="79"/>
  <c r="M20" i="79"/>
  <c r="L20" i="79"/>
  <c r="K20" i="79"/>
  <c r="J20" i="79"/>
  <c r="I20" i="79"/>
  <c r="H20" i="79"/>
  <c r="G20" i="79"/>
  <c r="F20" i="79"/>
  <c r="E20" i="79"/>
  <c r="D20" i="79"/>
  <c r="AA19" i="79"/>
  <c r="Z19" i="79"/>
  <c r="Y19" i="79"/>
  <c r="X19" i="79"/>
  <c r="W19" i="79"/>
  <c r="V19" i="79"/>
  <c r="U19" i="79"/>
  <c r="T19" i="79"/>
  <c r="S19" i="79"/>
  <c r="R19" i="79"/>
  <c r="Q19" i="79"/>
  <c r="P19" i="79"/>
  <c r="O19" i="79"/>
  <c r="N19" i="79"/>
  <c r="M19" i="79"/>
  <c r="L19" i="79"/>
  <c r="K19" i="79"/>
  <c r="J19" i="79"/>
  <c r="I19" i="79"/>
  <c r="H19" i="79"/>
  <c r="G19" i="79"/>
  <c r="F19" i="79"/>
  <c r="E19" i="79"/>
  <c r="D19" i="79"/>
  <c r="AA18" i="79"/>
  <c r="Z18" i="79"/>
  <c r="Y18" i="79"/>
  <c r="X18" i="79"/>
  <c r="W18" i="79"/>
  <c r="V18" i="79"/>
  <c r="U18" i="79"/>
  <c r="T18" i="79"/>
  <c r="S18" i="79"/>
  <c r="R18" i="79"/>
  <c r="Q18" i="79"/>
  <c r="P18" i="79"/>
  <c r="O18" i="79"/>
  <c r="N18" i="79"/>
  <c r="M18" i="79"/>
  <c r="L18" i="79"/>
  <c r="K18" i="79"/>
  <c r="J18" i="79"/>
  <c r="I18" i="79"/>
  <c r="H18" i="79"/>
  <c r="G18" i="79"/>
  <c r="F18" i="79"/>
  <c r="E18" i="79"/>
  <c r="D18" i="79"/>
  <c r="AA17" i="79"/>
  <c r="Z17" i="79"/>
  <c r="Y17" i="79"/>
  <c r="X17" i="79"/>
  <c r="W17" i="79"/>
  <c r="V17" i="79"/>
  <c r="U17" i="79"/>
  <c r="T17" i="79"/>
  <c r="S17" i="79"/>
  <c r="R17" i="79"/>
  <c r="Q17" i="79"/>
  <c r="P17" i="79"/>
  <c r="O17" i="79"/>
  <c r="N17" i="79"/>
  <c r="M17" i="79"/>
  <c r="L17" i="79"/>
  <c r="K17" i="79"/>
  <c r="J17" i="79"/>
  <c r="I17" i="79"/>
  <c r="H17" i="79"/>
  <c r="G17" i="79"/>
  <c r="F17" i="79"/>
  <c r="E17" i="79"/>
  <c r="D17" i="79"/>
  <c r="AA16" i="79"/>
  <c r="Z16" i="79"/>
  <c r="Y16" i="79"/>
  <c r="X16" i="79"/>
  <c r="W16" i="79"/>
  <c r="V16" i="79"/>
  <c r="U16" i="79"/>
  <c r="T16" i="79"/>
  <c r="S16" i="79"/>
  <c r="R16" i="79"/>
  <c r="Q16" i="79"/>
  <c r="P16" i="79"/>
  <c r="O16" i="79"/>
  <c r="N16" i="79"/>
  <c r="M16" i="79"/>
  <c r="L16" i="79"/>
  <c r="K16" i="79"/>
  <c r="J16" i="79"/>
  <c r="I16" i="79"/>
  <c r="H16" i="79"/>
  <c r="G16" i="79"/>
  <c r="F16" i="79"/>
  <c r="E16" i="79"/>
  <c r="D16" i="79"/>
  <c r="AA15" i="79"/>
  <c r="Z15" i="79"/>
  <c r="Y15" i="79"/>
  <c r="X15" i="79"/>
  <c r="W15" i="79"/>
  <c r="V15" i="79"/>
  <c r="U15" i="79"/>
  <c r="T15" i="79"/>
  <c r="S15" i="79"/>
  <c r="R15" i="79"/>
  <c r="Q15" i="79"/>
  <c r="P15" i="79"/>
  <c r="O15" i="79"/>
  <c r="N15" i="79"/>
  <c r="M15" i="79"/>
  <c r="L15" i="79"/>
  <c r="K15" i="79"/>
  <c r="J15" i="79"/>
  <c r="I15" i="79"/>
  <c r="H15" i="79"/>
  <c r="G15" i="79"/>
  <c r="F15" i="79"/>
  <c r="E15" i="79"/>
  <c r="D15" i="79"/>
  <c r="AA14" i="79"/>
  <c r="Z14" i="79"/>
  <c r="Y14" i="79"/>
  <c r="X14" i="79"/>
  <c r="W14" i="79"/>
  <c r="V14" i="79"/>
  <c r="U14" i="79"/>
  <c r="T14" i="79"/>
  <c r="S14" i="79"/>
  <c r="R14" i="79"/>
  <c r="Q14" i="79"/>
  <c r="P14" i="79"/>
  <c r="O14" i="79"/>
  <c r="N14" i="79"/>
  <c r="M14" i="79"/>
  <c r="L14" i="79"/>
  <c r="K14" i="79"/>
  <c r="J14" i="79"/>
  <c r="I14" i="79"/>
  <c r="H14" i="79"/>
  <c r="G14" i="79"/>
  <c r="F14" i="79"/>
  <c r="E14" i="79"/>
  <c r="D14" i="79"/>
  <c r="AA13" i="79"/>
  <c r="Z13" i="79"/>
  <c r="Y13" i="79"/>
  <c r="X13" i="79"/>
  <c r="W13" i="79"/>
  <c r="V13" i="79"/>
  <c r="U13" i="79"/>
  <c r="T13" i="79"/>
  <c r="S13" i="79"/>
  <c r="R13" i="79"/>
  <c r="Q13" i="79"/>
  <c r="P13" i="79"/>
  <c r="O13" i="79"/>
  <c r="N13" i="79"/>
  <c r="M13" i="79"/>
  <c r="L13" i="79"/>
  <c r="K13" i="79"/>
  <c r="J13" i="79"/>
  <c r="I13" i="79"/>
  <c r="H13" i="79"/>
  <c r="G13" i="79"/>
  <c r="F13" i="79"/>
  <c r="E13" i="79"/>
  <c r="D13" i="79"/>
  <c r="AA12" i="79"/>
  <c r="Z12" i="79"/>
  <c r="Y12" i="79"/>
  <c r="X12" i="79"/>
  <c r="W12" i="79"/>
  <c r="V12" i="79"/>
  <c r="U12" i="79"/>
  <c r="T12" i="79"/>
  <c r="S12" i="79"/>
  <c r="R12" i="79"/>
  <c r="Q12" i="79"/>
  <c r="P12" i="79"/>
  <c r="O12" i="79"/>
  <c r="N12" i="79"/>
  <c r="M12" i="79"/>
  <c r="L12" i="79"/>
  <c r="K12" i="79"/>
  <c r="J12" i="79"/>
  <c r="I12" i="79"/>
  <c r="H12" i="79"/>
  <c r="G12" i="79"/>
  <c r="F12" i="79"/>
  <c r="E12" i="79"/>
  <c r="D12" i="79"/>
  <c r="AA11" i="79"/>
  <c r="Z11" i="79"/>
  <c r="Y11" i="79"/>
  <c r="X11" i="79"/>
  <c r="W11" i="79"/>
  <c r="V11" i="79"/>
  <c r="U11" i="79"/>
  <c r="T11" i="79"/>
  <c r="S11" i="79"/>
  <c r="R11" i="79"/>
  <c r="Q11" i="79"/>
  <c r="P11" i="79"/>
  <c r="O11" i="79"/>
  <c r="N11" i="79"/>
  <c r="M11" i="79"/>
  <c r="L11" i="79"/>
  <c r="K11" i="79"/>
  <c r="J11" i="79"/>
  <c r="I11" i="79"/>
  <c r="H11" i="79"/>
  <c r="G11" i="79"/>
  <c r="F11" i="79"/>
  <c r="E11" i="79"/>
  <c r="D11" i="79"/>
  <c r="AA10" i="79"/>
  <c r="Z10" i="79"/>
  <c r="Y10" i="79"/>
  <c r="X10" i="79"/>
  <c r="W10" i="79"/>
  <c r="V10" i="79"/>
  <c r="U10" i="79"/>
  <c r="T10" i="79"/>
  <c r="S10" i="79"/>
  <c r="R10" i="79"/>
  <c r="Q10" i="79"/>
  <c r="P10" i="79"/>
  <c r="O10" i="79"/>
  <c r="N10" i="79"/>
  <c r="M10" i="79"/>
  <c r="L10" i="79"/>
  <c r="K10" i="79"/>
  <c r="J10" i="79"/>
  <c r="I10" i="79"/>
  <c r="H10" i="79"/>
  <c r="G10" i="79"/>
  <c r="F10" i="79"/>
  <c r="E10" i="79"/>
  <c r="D10" i="79"/>
  <c r="AA9" i="79"/>
  <c r="Z9" i="79"/>
  <c r="Y9" i="79"/>
  <c r="X9" i="79"/>
  <c r="W9" i="79"/>
  <c r="V9" i="79"/>
  <c r="U9" i="79"/>
  <c r="T9" i="79"/>
  <c r="S9" i="79"/>
  <c r="R9" i="79"/>
  <c r="Q9" i="79"/>
  <c r="P9" i="79"/>
  <c r="O9" i="79"/>
  <c r="N9" i="79"/>
  <c r="M9" i="79"/>
  <c r="L9" i="79"/>
  <c r="K9" i="79"/>
  <c r="J9" i="79"/>
  <c r="I9" i="79"/>
  <c r="H9" i="79"/>
  <c r="G9" i="79"/>
  <c r="F9" i="79"/>
  <c r="E9" i="79"/>
  <c r="D9" i="79"/>
  <c r="AA8" i="79"/>
  <c r="Z8" i="79"/>
  <c r="Y8" i="79"/>
  <c r="X8" i="79"/>
  <c r="W8" i="79"/>
  <c r="V8" i="79"/>
  <c r="U8" i="79"/>
  <c r="T8" i="79"/>
  <c r="S8" i="79"/>
  <c r="R8" i="79"/>
  <c r="Q8" i="79"/>
  <c r="P8" i="79"/>
  <c r="O8" i="79"/>
  <c r="N8" i="79"/>
  <c r="M8" i="79"/>
  <c r="L8" i="79"/>
  <c r="K8" i="79"/>
  <c r="J8" i="79"/>
  <c r="I8" i="79"/>
  <c r="H8" i="79"/>
  <c r="G8" i="79"/>
  <c r="F8" i="79"/>
  <c r="E8" i="79"/>
  <c r="D8" i="79"/>
  <c r="AA7" i="79"/>
  <c r="Z7" i="79"/>
  <c r="Y7" i="79"/>
  <c r="X7" i="79"/>
  <c r="W7" i="79"/>
  <c r="V7" i="79"/>
  <c r="U7" i="79"/>
  <c r="T7" i="79"/>
  <c r="S7" i="79"/>
  <c r="R7" i="79"/>
  <c r="Q7" i="79"/>
  <c r="P7" i="79"/>
  <c r="O7" i="79"/>
  <c r="N7" i="79"/>
  <c r="M7" i="79"/>
  <c r="L7" i="79"/>
  <c r="K7" i="79"/>
  <c r="J7" i="79"/>
  <c r="I7" i="79"/>
  <c r="H7" i="79"/>
  <c r="G7" i="79"/>
  <c r="F7" i="79"/>
  <c r="E7" i="79"/>
  <c r="D7" i="79"/>
  <c r="AA6" i="79"/>
  <c r="Z6" i="79"/>
  <c r="Y6" i="79"/>
  <c r="X6" i="79"/>
  <c r="W6" i="79"/>
  <c r="V6" i="79"/>
  <c r="U6" i="79"/>
  <c r="T6" i="79"/>
  <c r="S6" i="79"/>
  <c r="R6" i="79"/>
  <c r="Q6" i="79"/>
  <c r="P6" i="79"/>
  <c r="O6" i="79"/>
  <c r="N6" i="79"/>
  <c r="M6" i="79"/>
  <c r="L6" i="79"/>
  <c r="K6" i="79"/>
  <c r="J6" i="79"/>
  <c r="I6" i="79"/>
  <c r="H6" i="79"/>
  <c r="G6" i="79"/>
  <c r="F6" i="79"/>
  <c r="E6" i="79"/>
  <c r="D6" i="79"/>
  <c r="AA5" i="79"/>
  <c r="Z5" i="79"/>
  <c r="Y5" i="79"/>
  <c r="X5" i="79"/>
  <c r="W5" i="79"/>
  <c r="V5" i="79"/>
  <c r="U5" i="79"/>
  <c r="T5" i="79"/>
  <c r="S5" i="79"/>
  <c r="R5" i="79"/>
  <c r="Q5" i="79"/>
  <c r="P5" i="79"/>
  <c r="O5" i="79"/>
  <c r="N5" i="79"/>
  <c r="M5" i="79"/>
  <c r="L5" i="79"/>
  <c r="K5" i="79"/>
  <c r="J5" i="79"/>
  <c r="I5" i="79"/>
  <c r="H5" i="79"/>
  <c r="G5" i="79"/>
  <c r="F5" i="79"/>
  <c r="E5" i="79"/>
  <c r="D5" i="79"/>
  <c r="AA4" i="79"/>
  <c r="Z4" i="79"/>
  <c r="Y4" i="79"/>
  <c r="X4" i="79"/>
  <c r="W4" i="79"/>
  <c r="V4" i="79"/>
  <c r="U4" i="79"/>
  <c r="T4" i="79"/>
  <c r="S4" i="79"/>
  <c r="R4" i="79"/>
  <c r="Q4" i="79"/>
  <c r="P4" i="79"/>
  <c r="O4" i="79"/>
  <c r="N4" i="79"/>
  <c r="M4" i="79"/>
  <c r="L4" i="79"/>
  <c r="K4" i="79"/>
  <c r="J4" i="79"/>
  <c r="I4" i="79"/>
  <c r="H4" i="79"/>
  <c r="G4" i="79"/>
  <c r="F4" i="79"/>
  <c r="E4" i="79"/>
  <c r="D4" i="79"/>
  <c r="AA3" i="79"/>
  <c r="Z3" i="79"/>
  <c r="Y3" i="79"/>
  <c r="X3" i="79"/>
  <c r="W3" i="79"/>
  <c r="V3" i="79"/>
  <c r="U3" i="79"/>
  <c r="T3" i="79"/>
  <c r="S3" i="79"/>
  <c r="R3" i="79"/>
  <c r="Q3" i="79"/>
  <c r="P3" i="79"/>
  <c r="O3" i="79"/>
  <c r="N3" i="79"/>
  <c r="M3" i="79"/>
  <c r="L3" i="79"/>
  <c r="K3" i="79"/>
  <c r="J3" i="79"/>
  <c r="I3" i="79"/>
  <c r="H3" i="79"/>
  <c r="G3" i="79"/>
  <c r="F3" i="79"/>
  <c r="E3" i="79"/>
  <c r="D3" i="79"/>
  <c r="AA2" i="79"/>
  <c r="Z2" i="79"/>
  <c r="Y2" i="79"/>
  <c r="X2" i="79"/>
  <c r="W2" i="79"/>
  <c r="V2" i="79"/>
  <c r="U2" i="79"/>
  <c r="T2" i="79"/>
  <c r="S2" i="79"/>
  <c r="R2" i="79"/>
  <c r="Q2" i="79"/>
  <c r="P2" i="79"/>
  <c r="O2" i="79"/>
  <c r="N2" i="79"/>
  <c r="M2" i="79"/>
  <c r="L2" i="79"/>
  <c r="K2" i="79"/>
  <c r="J2" i="79"/>
  <c r="I2" i="79"/>
  <c r="H2" i="79"/>
  <c r="G2" i="79"/>
  <c r="F2" i="79"/>
  <c r="E2" i="79"/>
  <c r="D2" i="79"/>
  <c r="CJ176" i="90"/>
  <c r="CK176" i="90"/>
  <c r="CL176" i="90"/>
  <c r="CM176" i="90"/>
  <c r="CN176" i="90"/>
  <c r="CO176" i="90"/>
  <c r="CP176" i="90"/>
  <c r="CJ177" i="90"/>
  <c r="CK177" i="90"/>
  <c r="CL177" i="90"/>
  <c r="CM177" i="90"/>
  <c r="CN177" i="90"/>
  <c r="CO177" i="90"/>
  <c r="CP177" i="90"/>
  <c r="CJ178" i="90"/>
  <c r="CK178" i="90"/>
  <c r="CL178" i="90"/>
  <c r="CM178" i="90"/>
  <c r="CN178" i="90"/>
  <c r="CO178" i="90"/>
  <c r="CP178" i="90"/>
  <c r="CJ179" i="90"/>
  <c r="CK179" i="90"/>
  <c r="CL179" i="90"/>
  <c r="CM179" i="90"/>
  <c r="CN179" i="90"/>
  <c r="CO179" i="90"/>
  <c r="CP179" i="90"/>
  <c r="CJ180" i="90"/>
  <c r="CK180" i="90"/>
  <c r="CL180" i="90"/>
  <c r="CM180" i="90"/>
  <c r="CN180" i="90"/>
  <c r="CO180" i="90"/>
  <c r="CP180" i="90"/>
  <c r="CJ181" i="90"/>
  <c r="CK181" i="90"/>
  <c r="CL181" i="90"/>
  <c r="CM181" i="90"/>
  <c r="CN181" i="90"/>
  <c r="CO181" i="90"/>
  <c r="CP181" i="90"/>
  <c r="CI177" i="90"/>
  <c r="CI178" i="90"/>
  <c r="CI179" i="90"/>
  <c r="CI180" i="90"/>
  <c r="CI181" i="90"/>
  <c r="CI176" i="90"/>
  <c r="CI3" i="90"/>
  <c r="CJ3" i="90"/>
  <c r="CK3" i="90"/>
  <c r="CL3" i="90"/>
  <c r="CM3" i="90"/>
  <c r="CN3" i="90"/>
  <c r="CO3" i="90"/>
  <c r="CP3" i="90"/>
  <c r="CI4" i="90"/>
  <c r="CJ4" i="90"/>
  <c r="CK4" i="90"/>
  <c r="CL4" i="90"/>
  <c r="CM4" i="90"/>
  <c r="CN4" i="90"/>
  <c r="CO4" i="90"/>
  <c r="CP4" i="90"/>
  <c r="CI5" i="90"/>
  <c r="CJ5" i="90"/>
  <c r="CK5" i="90"/>
  <c r="CL5" i="90"/>
  <c r="CM5" i="90"/>
  <c r="CN5" i="90"/>
  <c r="CO5" i="90"/>
  <c r="CP5" i="90"/>
  <c r="CI6" i="90"/>
  <c r="CJ6" i="90"/>
  <c r="CK6" i="90"/>
  <c r="CL6" i="90"/>
  <c r="CM6" i="90"/>
  <c r="CN6" i="90"/>
  <c r="CO6" i="90"/>
  <c r="CP6" i="90"/>
  <c r="CI7" i="90"/>
  <c r="CJ7" i="90"/>
  <c r="CK7" i="90"/>
  <c r="CL7" i="90"/>
  <c r="CM7" i="90"/>
  <c r="CN7" i="90"/>
  <c r="CO7" i="90"/>
  <c r="CP7" i="90"/>
  <c r="CI8" i="90"/>
  <c r="CJ8" i="90"/>
  <c r="CK8" i="90"/>
  <c r="CL8" i="90"/>
  <c r="CM8" i="90"/>
  <c r="CN8" i="90"/>
  <c r="CO8" i="90"/>
  <c r="CP8" i="90"/>
  <c r="CI9" i="90"/>
  <c r="CJ9" i="90"/>
  <c r="CK9" i="90"/>
  <c r="CL9" i="90"/>
  <c r="CM9" i="90"/>
  <c r="CN9" i="90"/>
  <c r="CO9" i="90"/>
  <c r="CP9" i="90"/>
  <c r="CI10" i="90"/>
  <c r="CJ10" i="90"/>
  <c r="CK10" i="90"/>
  <c r="CL10" i="90"/>
  <c r="CM10" i="90"/>
  <c r="CN10" i="90"/>
  <c r="CO10" i="90"/>
  <c r="CP10" i="90"/>
  <c r="CI11" i="90"/>
  <c r="CJ11" i="90"/>
  <c r="CK11" i="90"/>
  <c r="CL11" i="90"/>
  <c r="CM11" i="90"/>
  <c r="CN11" i="90"/>
  <c r="CO11" i="90"/>
  <c r="CP11" i="90"/>
  <c r="CI12" i="90"/>
  <c r="CJ12" i="90"/>
  <c r="CK12" i="90"/>
  <c r="CL12" i="90"/>
  <c r="CM12" i="90"/>
  <c r="CN12" i="90"/>
  <c r="CO12" i="90"/>
  <c r="CP12" i="90"/>
  <c r="CI13" i="90"/>
  <c r="CJ13" i="90"/>
  <c r="CK13" i="90"/>
  <c r="CL13" i="90"/>
  <c r="CM13" i="90"/>
  <c r="CN13" i="90"/>
  <c r="CO13" i="90"/>
  <c r="CP13" i="90"/>
  <c r="CI14" i="90"/>
  <c r="CJ14" i="90"/>
  <c r="CK14" i="90"/>
  <c r="CL14" i="90"/>
  <c r="CM14" i="90"/>
  <c r="CN14" i="90"/>
  <c r="CO14" i="90"/>
  <c r="CP14" i="90"/>
  <c r="CI15" i="90"/>
  <c r="CJ15" i="90"/>
  <c r="CK15" i="90"/>
  <c r="CL15" i="90"/>
  <c r="CM15" i="90"/>
  <c r="CN15" i="90"/>
  <c r="CO15" i="90"/>
  <c r="CP15" i="90"/>
  <c r="CI16" i="90"/>
  <c r="CJ16" i="90"/>
  <c r="CK16" i="90"/>
  <c r="CL16" i="90"/>
  <c r="CM16" i="90"/>
  <c r="CN16" i="90"/>
  <c r="CO16" i="90"/>
  <c r="CP16" i="90"/>
  <c r="CI17" i="90"/>
  <c r="CJ17" i="90"/>
  <c r="CK17" i="90"/>
  <c r="CL17" i="90"/>
  <c r="CM17" i="90"/>
  <c r="CN17" i="90"/>
  <c r="CO17" i="90"/>
  <c r="CP17" i="90"/>
  <c r="CI18" i="90"/>
  <c r="CJ18" i="90"/>
  <c r="CK18" i="90"/>
  <c r="CL18" i="90"/>
  <c r="CM18" i="90"/>
  <c r="CN18" i="90"/>
  <c r="CO18" i="90"/>
  <c r="CP18" i="90"/>
  <c r="CI19" i="90"/>
  <c r="CJ19" i="90"/>
  <c r="CK19" i="90"/>
  <c r="CL19" i="90"/>
  <c r="CM19" i="90"/>
  <c r="CN19" i="90"/>
  <c r="CO19" i="90"/>
  <c r="CP19" i="90"/>
  <c r="CI20" i="90"/>
  <c r="CJ20" i="90"/>
  <c r="CK20" i="90"/>
  <c r="CL20" i="90"/>
  <c r="CM20" i="90"/>
  <c r="CN20" i="90"/>
  <c r="CO20" i="90"/>
  <c r="CP20" i="90"/>
  <c r="CI21" i="90"/>
  <c r="CJ21" i="90"/>
  <c r="CK21" i="90"/>
  <c r="CL21" i="90"/>
  <c r="CM21" i="90"/>
  <c r="CN21" i="90"/>
  <c r="CO21" i="90"/>
  <c r="CP21" i="90"/>
  <c r="CI22" i="90"/>
  <c r="CJ22" i="90"/>
  <c r="CK22" i="90"/>
  <c r="CL22" i="90"/>
  <c r="CM22" i="90"/>
  <c r="CN22" i="90"/>
  <c r="CO22" i="90"/>
  <c r="CP22" i="90"/>
  <c r="CI23" i="90"/>
  <c r="CJ23" i="90"/>
  <c r="CK23" i="90"/>
  <c r="CL23" i="90"/>
  <c r="CM23" i="90"/>
  <c r="CN23" i="90"/>
  <c r="CO23" i="90"/>
  <c r="CP23" i="90"/>
  <c r="CI24" i="90"/>
  <c r="CJ24" i="90"/>
  <c r="CK24" i="90"/>
  <c r="CL24" i="90"/>
  <c r="CM24" i="90"/>
  <c r="CN24" i="90"/>
  <c r="CO24" i="90"/>
  <c r="CP24" i="90"/>
  <c r="CI25" i="90"/>
  <c r="CJ25" i="90"/>
  <c r="CK25" i="90"/>
  <c r="CL25" i="90"/>
  <c r="CM25" i="90"/>
  <c r="CN25" i="90"/>
  <c r="CO25" i="90"/>
  <c r="CP25" i="90"/>
  <c r="CI26" i="90"/>
  <c r="CJ26" i="90"/>
  <c r="CK26" i="90"/>
  <c r="CL26" i="90"/>
  <c r="CM26" i="90"/>
  <c r="CN26" i="90"/>
  <c r="CO26" i="90"/>
  <c r="CP26" i="90"/>
  <c r="CI27" i="90"/>
  <c r="CJ27" i="90"/>
  <c r="CK27" i="90"/>
  <c r="CL27" i="90"/>
  <c r="CM27" i="90"/>
  <c r="CN27" i="90"/>
  <c r="CO27" i="90"/>
  <c r="CP27" i="90"/>
  <c r="CI28" i="90"/>
  <c r="CJ28" i="90"/>
  <c r="CK28" i="90"/>
  <c r="CL28" i="90"/>
  <c r="CM28" i="90"/>
  <c r="CN28" i="90"/>
  <c r="CO28" i="90"/>
  <c r="CP28" i="90"/>
  <c r="CI29" i="90"/>
  <c r="CJ29" i="90"/>
  <c r="CK29" i="90"/>
  <c r="CL29" i="90"/>
  <c r="CM29" i="90"/>
  <c r="CN29" i="90"/>
  <c r="CO29" i="90"/>
  <c r="CP29" i="90"/>
  <c r="CI30" i="90"/>
  <c r="CJ30" i="90"/>
  <c r="CK30" i="90"/>
  <c r="CL30" i="90"/>
  <c r="CM30" i="90"/>
  <c r="CN30" i="90"/>
  <c r="CO30" i="90"/>
  <c r="CP30" i="90"/>
  <c r="CI31" i="90"/>
  <c r="CJ31" i="90"/>
  <c r="CK31" i="90"/>
  <c r="CL31" i="90"/>
  <c r="CM31" i="90"/>
  <c r="CN31" i="90"/>
  <c r="CO31" i="90"/>
  <c r="CP31" i="90"/>
  <c r="CI32" i="90"/>
  <c r="CJ32" i="90"/>
  <c r="CK32" i="90"/>
  <c r="CL32" i="90"/>
  <c r="CM32" i="90"/>
  <c r="CN32" i="90"/>
  <c r="CO32" i="90"/>
  <c r="CP32" i="90"/>
  <c r="CI33" i="90"/>
  <c r="CJ33" i="90"/>
  <c r="CK33" i="90"/>
  <c r="CL33" i="90"/>
  <c r="CM33" i="90"/>
  <c r="CN33" i="90"/>
  <c r="CO33" i="90"/>
  <c r="CP33" i="90"/>
  <c r="CI34" i="90"/>
  <c r="CJ34" i="90"/>
  <c r="CK34" i="90"/>
  <c r="CL34" i="90"/>
  <c r="CM34" i="90"/>
  <c r="CN34" i="90"/>
  <c r="CO34" i="90"/>
  <c r="CP34" i="90"/>
  <c r="CI35" i="90"/>
  <c r="CJ35" i="90"/>
  <c r="CK35" i="90"/>
  <c r="CL35" i="90"/>
  <c r="CM35" i="90"/>
  <c r="CN35" i="90"/>
  <c r="CO35" i="90"/>
  <c r="CP35" i="90"/>
  <c r="CI36" i="90"/>
  <c r="CJ36" i="90"/>
  <c r="CK36" i="90"/>
  <c r="CL36" i="90"/>
  <c r="CM36" i="90"/>
  <c r="CN36" i="90"/>
  <c r="CO36" i="90"/>
  <c r="CP36" i="90"/>
  <c r="CI37" i="90"/>
  <c r="CJ37" i="90"/>
  <c r="CK37" i="90"/>
  <c r="CL37" i="90"/>
  <c r="CM37" i="90"/>
  <c r="CN37" i="90"/>
  <c r="CO37" i="90"/>
  <c r="CP37" i="90"/>
  <c r="CI38" i="90"/>
  <c r="CJ38" i="90"/>
  <c r="CK38" i="90"/>
  <c r="CL38" i="90"/>
  <c r="CM38" i="90"/>
  <c r="CN38" i="90"/>
  <c r="CO38" i="90"/>
  <c r="CP38" i="90"/>
  <c r="CI39" i="90"/>
  <c r="CJ39" i="90"/>
  <c r="CK39" i="90"/>
  <c r="CL39" i="90"/>
  <c r="CM39" i="90"/>
  <c r="CN39" i="90"/>
  <c r="CO39" i="90"/>
  <c r="CP39" i="90"/>
  <c r="CI40" i="90"/>
  <c r="CJ40" i="90"/>
  <c r="CK40" i="90"/>
  <c r="CL40" i="90"/>
  <c r="CM40" i="90"/>
  <c r="CN40" i="90"/>
  <c r="CO40" i="90"/>
  <c r="CP40" i="90"/>
  <c r="CI41" i="90"/>
  <c r="CJ41" i="90"/>
  <c r="CK41" i="90"/>
  <c r="CL41" i="90"/>
  <c r="CM41" i="90"/>
  <c r="CN41" i="90"/>
  <c r="CO41" i="90"/>
  <c r="CP41" i="90"/>
  <c r="CI42" i="90"/>
  <c r="CJ42" i="90"/>
  <c r="CK42" i="90"/>
  <c r="CL42" i="90"/>
  <c r="CM42" i="90"/>
  <c r="CN42" i="90"/>
  <c r="CO42" i="90"/>
  <c r="CP42" i="90"/>
  <c r="CI43" i="90"/>
  <c r="CJ43" i="90"/>
  <c r="CK43" i="90"/>
  <c r="CL43" i="90"/>
  <c r="CM43" i="90"/>
  <c r="CN43" i="90"/>
  <c r="CO43" i="90"/>
  <c r="CP43" i="90"/>
  <c r="CI44" i="90"/>
  <c r="CJ44" i="90"/>
  <c r="CK44" i="90"/>
  <c r="CL44" i="90"/>
  <c r="CM44" i="90"/>
  <c r="CN44" i="90"/>
  <c r="CO44" i="90"/>
  <c r="CP44" i="90"/>
  <c r="CI45" i="90"/>
  <c r="CJ45" i="90"/>
  <c r="CK45" i="90"/>
  <c r="CL45" i="90"/>
  <c r="CM45" i="90"/>
  <c r="CN45" i="90"/>
  <c r="CO45" i="90"/>
  <c r="CP45" i="90"/>
  <c r="CI46" i="90"/>
  <c r="CJ46" i="90"/>
  <c r="CK46" i="90"/>
  <c r="CL46" i="90"/>
  <c r="CM46" i="90"/>
  <c r="CN46" i="90"/>
  <c r="CO46" i="90"/>
  <c r="CP46" i="90"/>
  <c r="CI47" i="90"/>
  <c r="CJ47" i="90"/>
  <c r="CK47" i="90"/>
  <c r="CL47" i="90"/>
  <c r="CM47" i="90"/>
  <c r="CN47" i="90"/>
  <c r="CO47" i="90"/>
  <c r="CP47" i="90"/>
  <c r="CI48" i="90"/>
  <c r="CJ48" i="90"/>
  <c r="CK48" i="90"/>
  <c r="CL48" i="90"/>
  <c r="CM48" i="90"/>
  <c r="CN48" i="90"/>
  <c r="CO48" i="90"/>
  <c r="CP48" i="90"/>
  <c r="CI49" i="90"/>
  <c r="CJ49" i="90"/>
  <c r="CK49" i="90"/>
  <c r="CL49" i="90"/>
  <c r="CM49" i="90"/>
  <c r="CN49" i="90"/>
  <c r="CO49" i="90"/>
  <c r="CP49" i="90"/>
  <c r="CI50" i="90"/>
  <c r="CJ50" i="90"/>
  <c r="CK50" i="90"/>
  <c r="CL50" i="90"/>
  <c r="CM50" i="90"/>
  <c r="CN50" i="90"/>
  <c r="CO50" i="90"/>
  <c r="CP50" i="90"/>
  <c r="CI51" i="90"/>
  <c r="CJ51" i="90"/>
  <c r="CK51" i="90"/>
  <c r="CL51" i="90"/>
  <c r="CM51" i="90"/>
  <c r="CN51" i="90"/>
  <c r="CO51" i="90"/>
  <c r="CP51" i="90"/>
  <c r="CI52" i="90"/>
  <c r="CJ52" i="90"/>
  <c r="CK52" i="90"/>
  <c r="CL52" i="90"/>
  <c r="CM52" i="90"/>
  <c r="CN52" i="90"/>
  <c r="CO52" i="90"/>
  <c r="CP52" i="90"/>
  <c r="CI53" i="90"/>
  <c r="CJ53" i="90"/>
  <c r="CK53" i="90"/>
  <c r="CL53" i="90"/>
  <c r="CM53" i="90"/>
  <c r="CN53" i="90"/>
  <c r="CO53" i="90"/>
  <c r="CP53" i="90"/>
  <c r="CI54" i="90"/>
  <c r="CJ54" i="90"/>
  <c r="CK54" i="90"/>
  <c r="CL54" i="90"/>
  <c r="CM54" i="90"/>
  <c r="CN54" i="90"/>
  <c r="CO54" i="90"/>
  <c r="CP54" i="90"/>
  <c r="CI55" i="90"/>
  <c r="CJ55" i="90"/>
  <c r="CK55" i="90"/>
  <c r="CL55" i="90"/>
  <c r="CM55" i="90"/>
  <c r="CN55" i="90"/>
  <c r="CO55" i="90"/>
  <c r="CP55" i="90"/>
  <c r="CI56" i="90"/>
  <c r="CJ56" i="90"/>
  <c r="CK56" i="90"/>
  <c r="CL56" i="90"/>
  <c r="CM56" i="90"/>
  <c r="CN56" i="90"/>
  <c r="CO56" i="90"/>
  <c r="CP56" i="90"/>
  <c r="CI57" i="90"/>
  <c r="CJ57" i="90"/>
  <c r="CK57" i="90"/>
  <c r="CL57" i="90"/>
  <c r="CM57" i="90"/>
  <c r="CN57" i="90"/>
  <c r="CO57" i="90"/>
  <c r="CP57" i="90"/>
  <c r="CI58" i="90"/>
  <c r="CJ58" i="90"/>
  <c r="CK58" i="90"/>
  <c r="CL58" i="90"/>
  <c r="CM58" i="90"/>
  <c r="CN58" i="90"/>
  <c r="CO58" i="90"/>
  <c r="CP58" i="90"/>
  <c r="CI59" i="90"/>
  <c r="CJ59" i="90"/>
  <c r="CK59" i="90"/>
  <c r="CL59" i="90"/>
  <c r="CM59" i="90"/>
  <c r="CN59" i="90"/>
  <c r="CO59" i="90"/>
  <c r="CP59" i="90"/>
  <c r="CI60" i="90"/>
  <c r="CJ60" i="90"/>
  <c r="CK60" i="90"/>
  <c r="CL60" i="90"/>
  <c r="CM60" i="90"/>
  <c r="CN60" i="90"/>
  <c r="CO60" i="90"/>
  <c r="CP60" i="90"/>
  <c r="CI61" i="90"/>
  <c r="CJ61" i="90"/>
  <c r="CK61" i="90"/>
  <c r="CL61" i="90"/>
  <c r="CM61" i="90"/>
  <c r="CN61" i="90"/>
  <c r="CO61" i="90"/>
  <c r="CP61" i="90"/>
  <c r="CI62" i="90"/>
  <c r="CJ62" i="90"/>
  <c r="CK62" i="90"/>
  <c r="CL62" i="90"/>
  <c r="CM62" i="90"/>
  <c r="CN62" i="90"/>
  <c r="CO62" i="90"/>
  <c r="CP62" i="90"/>
  <c r="CI63" i="90"/>
  <c r="CJ63" i="90"/>
  <c r="CK63" i="90"/>
  <c r="CL63" i="90"/>
  <c r="CM63" i="90"/>
  <c r="CN63" i="90"/>
  <c r="CO63" i="90"/>
  <c r="CP63" i="90"/>
  <c r="CI64" i="90"/>
  <c r="CJ64" i="90"/>
  <c r="CK64" i="90"/>
  <c r="CL64" i="90"/>
  <c r="CM64" i="90"/>
  <c r="CN64" i="90"/>
  <c r="CO64" i="90"/>
  <c r="CP64" i="90"/>
  <c r="CI65" i="90"/>
  <c r="CJ65" i="90"/>
  <c r="CK65" i="90"/>
  <c r="CL65" i="90"/>
  <c r="CM65" i="90"/>
  <c r="CN65" i="90"/>
  <c r="CO65" i="90"/>
  <c r="CP65" i="90"/>
  <c r="CI66" i="90"/>
  <c r="CJ66" i="90"/>
  <c r="CK66" i="90"/>
  <c r="CL66" i="90"/>
  <c r="CM66" i="90"/>
  <c r="CN66" i="90"/>
  <c r="CO66" i="90"/>
  <c r="CP66" i="90"/>
  <c r="CI67" i="90"/>
  <c r="CJ67" i="90"/>
  <c r="CK67" i="90"/>
  <c r="CL67" i="90"/>
  <c r="CM67" i="90"/>
  <c r="CN67" i="90"/>
  <c r="CO67" i="90"/>
  <c r="CP67" i="90"/>
  <c r="CI68" i="90"/>
  <c r="CJ68" i="90"/>
  <c r="CK68" i="90"/>
  <c r="CL68" i="90"/>
  <c r="CM68" i="90"/>
  <c r="CN68" i="90"/>
  <c r="CO68" i="90"/>
  <c r="CP68" i="90"/>
  <c r="CI69" i="90"/>
  <c r="CJ69" i="90"/>
  <c r="CK69" i="90"/>
  <c r="CL69" i="90"/>
  <c r="CM69" i="90"/>
  <c r="CN69" i="90"/>
  <c r="CO69" i="90"/>
  <c r="CP69" i="90"/>
  <c r="CI70" i="90"/>
  <c r="CJ70" i="90"/>
  <c r="CK70" i="90"/>
  <c r="CL70" i="90"/>
  <c r="CM70" i="90"/>
  <c r="CN70" i="90"/>
  <c r="CO70" i="90"/>
  <c r="CP70" i="90"/>
  <c r="CI71" i="90"/>
  <c r="CJ71" i="90"/>
  <c r="CK71" i="90"/>
  <c r="CL71" i="90"/>
  <c r="CM71" i="90"/>
  <c r="CN71" i="90"/>
  <c r="CO71" i="90"/>
  <c r="CP71" i="90"/>
  <c r="CI72" i="90"/>
  <c r="CJ72" i="90"/>
  <c r="CK72" i="90"/>
  <c r="CL72" i="90"/>
  <c r="CM72" i="90"/>
  <c r="CN72" i="90"/>
  <c r="CO72" i="90"/>
  <c r="CP72" i="90"/>
  <c r="CI73" i="90"/>
  <c r="CJ73" i="90"/>
  <c r="CK73" i="90"/>
  <c r="CL73" i="90"/>
  <c r="CM73" i="90"/>
  <c r="CN73" i="90"/>
  <c r="CO73" i="90"/>
  <c r="CP73" i="90"/>
  <c r="CI74" i="90"/>
  <c r="CJ74" i="90"/>
  <c r="CK74" i="90"/>
  <c r="CL74" i="90"/>
  <c r="CM74" i="90"/>
  <c r="CN74" i="90"/>
  <c r="CO74" i="90"/>
  <c r="CP74" i="90"/>
  <c r="CI75" i="90"/>
  <c r="CJ75" i="90"/>
  <c r="CK75" i="90"/>
  <c r="CL75" i="90"/>
  <c r="CM75" i="90"/>
  <c r="CN75" i="90"/>
  <c r="CO75" i="90"/>
  <c r="CP75" i="90"/>
  <c r="CI76" i="90"/>
  <c r="CJ76" i="90"/>
  <c r="CK76" i="90"/>
  <c r="CL76" i="90"/>
  <c r="CM76" i="90"/>
  <c r="CN76" i="90"/>
  <c r="CO76" i="90"/>
  <c r="CP76" i="90"/>
  <c r="CI77" i="90"/>
  <c r="CJ77" i="90"/>
  <c r="CK77" i="90"/>
  <c r="CL77" i="90"/>
  <c r="CM77" i="90"/>
  <c r="CN77" i="90"/>
  <c r="CO77" i="90"/>
  <c r="CP77" i="90"/>
  <c r="CI78" i="90"/>
  <c r="CJ78" i="90"/>
  <c r="CK78" i="90"/>
  <c r="CL78" i="90"/>
  <c r="CM78" i="90"/>
  <c r="CN78" i="90"/>
  <c r="CO78" i="90"/>
  <c r="CP78" i="90"/>
  <c r="CI79" i="90"/>
  <c r="CJ79" i="90"/>
  <c r="CK79" i="90"/>
  <c r="CL79" i="90"/>
  <c r="CM79" i="90"/>
  <c r="CN79" i="90"/>
  <c r="CO79" i="90"/>
  <c r="CP79" i="90"/>
  <c r="CI80" i="90"/>
  <c r="CJ80" i="90"/>
  <c r="CK80" i="90"/>
  <c r="CL80" i="90"/>
  <c r="CM80" i="90"/>
  <c r="CN80" i="90"/>
  <c r="CO80" i="90"/>
  <c r="CP80" i="90"/>
  <c r="CI81" i="90"/>
  <c r="CJ81" i="90"/>
  <c r="CK81" i="90"/>
  <c r="CL81" i="90"/>
  <c r="CM81" i="90"/>
  <c r="CN81" i="90"/>
  <c r="CO81" i="90"/>
  <c r="CP81" i="90"/>
  <c r="CI82" i="90"/>
  <c r="CJ82" i="90"/>
  <c r="CK82" i="90"/>
  <c r="CL82" i="90"/>
  <c r="CM82" i="90"/>
  <c r="CN82" i="90"/>
  <c r="CO82" i="90"/>
  <c r="CP82" i="90"/>
  <c r="CI83" i="90"/>
  <c r="CJ83" i="90"/>
  <c r="CK83" i="90"/>
  <c r="CL83" i="90"/>
  <c r="CM83" i="90"/>
  <c r="CN83" i="90"/>
  <c r="CO83" i="90"/>
  <c r="CP83" i="90"/>
  <c r="CI84" i="90"/>
  <c r="CJ84" i="90"/>
  <c r="CK84" i="90"/>
  <c r="CL84" i="90"/>
  <c r="CM84" i="90"/>
  <c r="CN84" i="90"/>
  <c r="CO84" i="90"/>
  <c r="CP84" i="90"/>
  <c r="CI85" i="90"/>
  <c r="CJ85" i="90"/>
  <c r="CK85" i="90"/>
  <c r="CL85" i="90"/>
  <c r="CM85" i="90"/>
  <c r="CN85" i="90"/>
  <c r="CO85" i="90"/>
  <c r="CP85" i="90"/>
  <c r="CI86" i="90"/>
  <c r="CJ86" i="90"/>
  <c r="CK86" i="90"/>
  <c r="CL86" i="90"/>
  <c r="CM86" i="90"/>
  <c r="CN86" i="90"/>
  <c r="CO86" i="90"/>
  <c r="CP86" i="90"/>
  <c r="CI87" i="90"/>
  <c r="CJ87" i="90"/>
  <c r="CK87" i="90"/>
  <c r="CL87" i="90"/>
  <c r="CM87" i="90"/>
  <c r="CN87" i="90"/>
  <c r="CO87" i="90"/>
  <c r="CP87" i="90"/>
  <c r="CI88" i="90"/>
  <c r="CJ88" i="90"/>
  <c r="CK88" i="90"/>
  <c r="CL88" i="90"/>
  <c r="CM88" i="90"/>
  <c r="CN88" i="90"/>
  <c r="CO88" i="90"/>
  <c r="CP88" i="90"/>
  <c r="CI89" i="90"/>
  <c r="CJ89" i="90"/>
  <c r="CK89" i="90"/>
  <c r="CL89" i="90"/>
  <c r="CM89" i="90"/>
  <c r="CN89" i="90"/>
  <c r="CO89" i="90"/>
  <c r="CP89" i="90"/>
  <c r="CI90" i="90"/>
  <c r="CJ90" i="90"/>
  <c r="CK90" i="90"/>
  <c r="CL90" i="90"/>
  <c r="CM90" i="90"/>
  <c r="CN90" i="90"/>
  <c r="CO90" i="90"/>
  <c r="CP90" i="90"/>
  <c r="CI91" i="90"/>
  <c r="CJ91" i="90"/>
  <c r="CK91" i="90"/>
  <c r="CL91" i="90"/>
  <c r="CM91" i="90"/>
  <c r="CN91" i="90"/>
  <c r="CO91" i="90"/>
  <c r="CP91" i="90"/>
  <c r="CI92" i="90"/>
  <c r="CJ92" i="90"/>
  <c r="CK92" i="90"/>
  <c r="CL92" i="90"/>
  <c r="CM92" i="90"/>
  <c r="CN92" i="90"/>
  <c r="CO92" i="90"/>
  <c r="CP92" i="90"/>
  <c r="CI93" i="90"/>
  <c r="CJ93" i="90"/>
  <c r="CK93" i="90"/>
  <c r="CL93" i="90"/>
  <c r="CM93" i="90"/>
  <c r="CN93" i="90"/>
  <c r="CO93" i="90"/>
  <c r="CP93" i="90"/>
  <c r="CI94" i="90"/>
  <c r="CJ94" i="90"/>
  <c r="CK94" i="90"/>
  <c r="CL94" i="90"/>
  <c r="CM94" i="90"/>
  <c r="CN94" i="90"/>
  <c r="CO94" i="90"/>
  <c r="CP94" i="90"/>
  <c r="CI95" i="90"/>
  <c r="CJ95" i="90"/>
  <c r="CK95" i="90"/>
  <c r="CL95" i="90"/>
  <c r="CM95" i="90"/>
  <c r="CN95" i="90"/>
  <c r="CO95" i="90"/>
  <c r="CP95" i="90"/>
  <c r="CI96" i="90"/>
  <c r="CJ96" i="90"/>
  <c r="CK96" i="90"/>
  <c r="CL96" i="90"/>
  <c r="CM96" i="90"/>
  <c r="CN96" i="90"/>
  <c r="CO96" i="90"/>
  <c r="CP96" i="90"/>
  <c r="CI97" i="90"/>
  <c r="CJ97" i="90"/>
  <c r="CK97" i="90"/>
  <c r="CL97" i="90"/>
  <c r="CM97" i="90"/>
  <c r="CN97" i="90"/>
  <c r="CO97" i="90"/>
  <c r="CP97" i="90"/>
  <c r="CI98" i="90"/>
  <c r="CJ98" i="90"/>
  <c r="CK98" i="90"/>
  <c r="CL98" i="90"/>
  <c r="CM98" i="90"/>
  <c r="CN98" i="90"/>
  <c r="CO98" i="90"/>
  <c r="CP98" i="90"/>
  <c r="CI99" i="90"/>
  <c r="CJ99" i="90"/>
  <c r="CK99" i="90"/>
  <c r="CL99" i="90"/>
  <c r="CM99" i="90"/>
  <c r="CN99" i="90"/>
  <c r="CO99" i="90"/>
  <c r="CP99" i="90"/>
  <c r="CI100" i="90"/>
  <c r="CJ100" i="90"/>
  <c r="CK100" i="90"/>
  <c r="CL100" i="90"/>
  <c r="CM100" i="90"/>
  <c r="CN100" i="90"/>
  <c r="CO100" i="90"/>
  <c r="CP100" i="90"/>
  <c r="CI101" i="90"/>
  <c r="CJ101" i="90"/>
  <c r="CK101" i="90"/>
  <c r="CL101" i="90"/>
  <c r="CM101" i="90"/>
  <c r="CN101" i="90"/>
  <c r="CO101" i="90"/>
  <c r="CP101" i="90"/>
  <c r="CI102" i="90"/>
  <c r="CJ102" i="90"/>
  <c r="CK102" i="90"/>
  <c r="CL102" i="90"/>
  <c r="CM102" i="90"/>
  <c r="CN102" i="90"/>
  <c r="CO102" i="90"/>
  <c r="CP102" i="90"/>
  <c r="CI103" i="90"/>
  <c r="CJ103" i="90"/>
  <c r="CK103" i="90"/>
  <c r="CL103" i="90"/>
  <c r="CM103" i="90"/>
  <c r="CN103" i="90"/>
  <c r="CO103" i="90"/>
  <c r="CP103" i="90"/>
  <c r="CI104" i="90"/>
  <c r="CJ104" i="90"/>
  <c r="CK104" i="90"/>
  <c r="CL104" i="90"/>
  <c r="CM104" i="90"/>
  <c r="CN104" i="90"/>
  <c r="CO104" i="90"/>
  <c r="CP104" i="90"/>
  <c r="CI105" i="90"/>
  <c r="CJ105" i="90"/>
  <c r="CK105" i="90"/>
  <c r="CL105" i="90"/>
  <c r="CM105" i="90"/>
  <c r="CN105" i="90"/>
  <c r="CO105" i="90"/>
  <c r="CP105" i="90"/>
  <c r="CI106" i="90"/>
  <c r="CJ106" i="90"/>
  <c r="CK106" i="90"/>
  <c r="CL106" i="90"/>
  <c r="CM106" i="90"/>
  <c r="CN106" i="90"/>
  <c r="CO106" i="90"/>
  <c r="CP106" i="90"/>
  <c r="CI107" i="90"/>
  <c r="CJ107" i="90"/>
  <c r="CK107" i="90"/>
  <c r="CL107" i="90"/>
  <c r="CM107" i="90"/>
  <c r="CN107" i="90"/>
  <c r="CO107" i="90"/>
  <c r="CP107" i="90"/>
  <c r="CI108" i="90"/>
  <c r="CJ108" i="90"/>
  <c r="CK108" i="90"/>
  <c r="CL108" i="90"/>
  <c r="CM108" i="90"/>
  <c r="CN108" i="90"/>
  <c r="CO108" i="90"/>
  <c r="CP108" i="90"/>
  <c r="CI109" i="90"/>
  <c r="CJ109" i="90"/>
  <c r="CK109" i="90"/>
  <c r="CL109" i="90"/>
  <c r="CM109" i="90"/>
  <c r="CN109" i="90"/>
  <c r="CO109" i="90"/>
  <c r="CP109" i="90"/>
  <c r="CI110" i="90"/>
  <c r="CJ110" i="90"/>
  <c r="CK110" i="90"/>
  <c r="CL110" i="90"/>
  <c r="CM110" i="90"/>
  <c r="CN110" i="90"/>
  <c r="CO110" i="90"/>
  <c r="CP110" i="90"/>
  <c r="CI111" i="90"/>
  <c r="CJ111" i="90"/>
  <c r="CK111" i="90"/>
  <c r="CL111" i="90"/>
  <c r="CM111" i="90"/>
  <c r="CN111" i="90"/>
  <c r="CO111" i="90"/>
  <c r="CP111" i="90"/>
  <c r="CI112" i="90"/>
  <c r="CJ112" i="90"/>
  <c r="CK112" i="90"/>
  <c r="CL112" i="90"/>
  <c r="CM112" i="90"/>
  <c r="CN112" i="90"/>
  <c r="CO112" i="90"/>
  <c r="CP112" i="90"/>
  <c r="CI113" i="90"/>
  <c r="CJ113" i="90"/>
  <c r="CK113" i="90"/>
  <c r="CL113" i="90"/>
  <c r="CM113" i="90"/>
  <c r="CN113" i="90"/>
  <c r="CO113" i="90"/>
  <c r="CP113" i="90"/>
  <c r="CI114" i="90"/>
  <c r="CJ114" i="90"/>
  <c r="CK114" i="90"/>
  <c r="CL114" i="90"/>
  <c r="CM114" i="90"/>
  <c r="CN114" i="90"/>
  <c r="CO114" i="90"/>
  <c r="CP114" i="90"/>
  <c r="CI115" i="90"/>
  <c r="CJ115" i="90"/>
  <c r="CK115" i="90"/>
  <c r="CL115" i="90"/>
  <c r="CM115" i="90"/>
  <c r="CN115" i="90"/>
  <c r="CO115" i="90"/>
  <c r="CP115" i="90"/>
  <c r="CI116" i="90"/>
  <c r="CJ116" i="90"/>
  <c r="CK116" i="90"/>
  <c r="CL116" i="90"/>
  <c r="CM116" i="90"/>
  <c r="CN116" i="90"/>
  <c r="CO116" i="90"/>
  <c r="CP116" i="90"/>
  <c r="CI117" i="90"/>
  <c r="CJ117" i="90"/>
  <c r="CK117" i="90"/>
  <c r="CL117" i="90"/>
  <c r="CM117" i="90"/>
  <c r="CN117" i="90"/>
  <c r="CO117" i="90"/>
  <c r="CP117" i="90"/>
  <c r="CI118" i="90"/>
  <c r="CJ118" i="90"/>
  <c r="CK118" i="90"/>
  <c r="CL118" i="90"/>
  <c r="CM118" i="90"/>
  <c r="CN118" i="90"/>
  <c r="CO118" i="90"/>
  <c r="CP118" i="90"/>
  <c r="CI119" i="90"/>
  <c r="CJ119" i="90"/>
  <c r="CK119" i="90"/>
  <c r="CL119" i="90"/>
  <c r="CM119" i="90"/>
  <c r="CN119" i="90"/>
  <c r="CO119" i="90"/>
  <c r="CP119" i="90"/>
  <c r="CI120" i="90"/>
  <c r="CJ120" i="90"/>
  <c r="CK120" i="90"/>
  <c r="CL120" i="90"/>
  <c r="CM120" i="90"/>
  <c r="CN120" i="90"/>
  <c r="CO120" i="90"/>
  <c r="CP120" i="90"/>
  <c r="CI121" i="90"/>
  <c r="CJ121" i="90"/>
  <c r="CK121" i="90"/>
  <c r="CL121" i="90"/>
  <c r="CM121" i="90"/>
  <c r="CN121" i="90"/>
  <c r="CO121" i="90"/>
  <c r="CP121" i="90"/>
  <c r="CI122" i="90"/>
  <c r="CJ122" i="90"/>
  <c r="CK122" i="90"/>
  <c r="CL122" i="90"/>
  <c r="CM122" i="90"/>
  <c r="CN122" i="90"/>
  <c r="CO122" i="90"/>
  <c r="CP122" i="90"/>
  <c r="CI123" i="90"/>
  <c r="CJ123" i="90"/>
  <c r="CK123" i="90"/>
  <c r="CL123" i="90"/>
  <c r="CM123" i="90"/>
  <c r="CN123" i="90"/>
  <c r="CO123" i="90"/>
  <c r="CP123" i="90"/>
  <c r="CI124" i="90"/>
  <c r="CJ124" i="90"/>
  <c r="CK124" i="90"/>
  <c r="CL124" i="90"/>
  <c r="CM124" i="90"/>
  <c r="CN124" i="90"/>
  <c r="CO124" i="90"/>
  <c r="CP124" i="90"/>
  <c r="CI125" i="90"/>
  <c r="CJ125" i="90"/>
  <c r="CK125" i="90"/>
  <c r="CL125" i="90"/>
  <c r="CM125" i="90"/>
  <c r="CN125" i="90"/>
  <c r="CO125" i="90"/>
  <c r="CP125" i="90"/>
  <c r="CI126" i="90"/>
  <c r="CJ126" i="90"/>
  <c r="CK126" i="90"/>
  <c r="CL126" i="90"/>
  <c r="CM126" i="90"/>
  <c r="CN126" i="90"/>
  <c r="CO126" i="90"/>
  <c r="CP126" i="90"/>
  <c r="CI127" i="90"/>
  <c r="CJ127" i="90"/>
  <c r="CK127" i="90"/>
  <c r="CL127" i="90"/>
  <c r="CM127" i="90"/>
  <c r="CN127" i="90"/>
  <c r="CO127" i="90"/>
  <c r="CP127" i="90"/>
  <c r="CI128" i="90"/>
  <c r="CJ128" i="90"/>
  <c r="CK128" i="90"/>
  <c r="CL128" i="90"/>
  <c r="CM128" i="90"/>
  <c r="CN128" i="90"/>
  <c r="CO128" i="90"/>
  <c r="CP128" i="90"/>
  <c r="CI129" i="90"/>
  <c r="CJ129" i="90"/>
  <c r="CK129" i="90"/>
  <c r="CL129" i="90"/>
  <c r="CM129" i="90"/>
  <c r="CN129" i="90"/>
  <c r="CO129" i="90"/>
  <c r="CP129" i="90"/>
  <c r="CI130" i="90"/>
  <c r="CJ130" i="90"/>
  <c r="CK130" i="90"/>
  <c r="CL130" i="90"/>
  <c r="CM130" i="90"/>
  <c r="CN130" i="90"/>
  <c r="CO130" i="90"/>
  <c r="CP130" i="90"/>
  <c r="CI131" i="90"/>
  <c r="CJ131" i="90"/>
  <c r="CK131" i="90"/>
  <c r="CL131" i="90"/>
  <c r="CM131" i="90"/>
  <c r="CN131" i="90"/>
  <c r="CO131" i="90"/>
  <c r="CP131" i="90"/>
  <c r="CI132" i="90"/>
  <c r="CJ132" i="90"/>
  <c r="CK132" i="90"/>
  <c r="CL132" i="90"/>
  <c r="CM132" i="90"/>
  <c r="CN132" i="90"/>
  <c r="CO132" i="90"/>
  <c r="CP132" i="90"/>
  <c r="CI133" i="90"/>
  <c r="CJ133" i="90"/>
  <c r="CK133" i="90"/>
  <c r="CL133" i="90"/>
  <c r="CM133" i="90"/>
  <c r="CN133" i="90"/>
  <c r="CO133" i="90"/>
  <c r="CP133" i="90"/>
  <c r="CI134" i="90"/>
  <c r="CJ134" i="90"/>
  <c r="CK134" i="90"/>
  <c r="CL134" i="90"/>
  <c r="CM134" i="90"/>
  <c r="CN134" i="90"/>
  <c r="CO134" i="90"/>
  <c r="CP134" i="90"/>
  <c r="CI135" i="90"/>
  <c r="CJ135" i="90"/>
  <c r="CK135" i="90"/>
  <c r="CL135" i="90"/>
  <c r="CM135" i="90"/>
  <c r="CN135" i="90"/>
  <c r="CO135" i="90"/>
  <c r="CP135" i="90"/>
  <c r="CI136" i="90"/>
  <c r="CJ136" i="90"/>
  <c r="CK136" i="90"/>
  <c r="CL136" i="90"/>
  <c r="CM136" i="90"/>
  <c r="CN136" i="90"/>
  <c r="CO136" i="90"/>
  <c r="CP136" i="90"/>
  <c r="CI137" i="90"/>
  <c r="CJ137" i="90"/>
  <c r="CK137" i="90"/>
  <c r="CL137" i="90"/>
  <c r="CM137" i="90"/>
  <c r="CN137" i="90"/>
  <c r="CO137" i="90"/>
  <c r="CP137" i="90"/>
  <c r="CI138" i="90"/>
  <c r="CJ138" i="90"/>
  <c r="CK138" i="90"/>
  <c r="CL138" i="90"/>
  <c r="CM138" i="90"/>
  <c r="CN138" i="90"/>
  <c r="CO138" i="90"/>
  <c r="CP138" i="90"/>
  <c r="CI139" i="90"/>
  <c r="CJ139" i="90"/>
  <c r="CK139" i="90"/>
  <c r="CL139" i="90"/>
  <c r="CM139" i="90"/>
  <c r="CN139" i="90"/>
  <c r="CO139" i="90"/>
  <c r="CP139" i="90"/>
  <c r="CI140" i="90"/>
  <c r="CJ140" i="90"/>
  <c r="CK140" i="90"/>
  <c r="CL140" i="90"/>
  <c r="CM140" i="90"/>
  <c r="CN140" i="90"/>
  <c r="CO140" i="90"/>
  <c r="CP140" i="90"/>
  <c r="CI141" i="90"/>
  <c r="CJ141" i="90"/>
  <c r="CK141" i="90"/>
  <c r="CL141" i="90"/>
  <c r="CM141" i="90"/>
  <c r="CN141" i="90"/>
  <c r="CO141" i="90"/>
  <c r="CP141" i="90"/>
  <c r="CI142" i="90"/>
  <c r="CJ142" i="90"/>
  <c r="CK142" i="90"/>
  <c r="CL142" i="90"/>
  <c r="CM142" i="90"/>
  <c r="CN142" i="90"/>
  <c r="CO142" i="90"/>
  <c r="CP142" i="90"/>
  <c r="CI143" i="90"/>
  <c r="CJ143" i="90"/>
  <c r="CK143" i="90"/>
  <c r="CL143" i="90"/>
  <c r="CM143" i="90"/>
  <c r="CN143" i="90"/>
  <c r="CO143" i="90"/>
  <c r="CP143" i="90"/>
  <c r="CI144" i="90"/>
  <c r="CJ144" i="90"/>
  <c r="CK144" i="90"/>
  <c r="CL144" i="90"/>
  <c r="CM144" i="90"/>
  <c r="CN144" i="90"/>
  <c r="CO144" i="90"/>
  <c r="CP144" i="90"/>
  <c r="CI145" i="90"/>
  <c r="CJ145" i="90"/>
  <c r="CK145" i="90"/>
  <c r="CL145" i="90"/>
  <c r="CM145" i="90"/>
  <c r="CN145" i="90"/>
  <c r="CO145" i="90"/>
  <c r="CP145" i="90"/>
  <c r="CI146" i="90"/>
  <c r="CJ146" i="90"/>
  <c r="CK146" i="90"/>
  <c r="CL146" i="90"/>
  <c r="CM146" i="90"/>
  <c r="CN146" i="90"/>
  <c r="CO146" i="90"/>
  <c r="CP146" i="90"/>
  <c r="CI147" i="90"/>
  <c r="CJ147" i="90"/>
  <c r="CK147" i="90"/>
  <c r="CL147" i="90"/>
  <c r="CM147" i="90"/>
  <c r="CN147" i="90"/>
  <c r="CO147" i="90"/>
  <c r="CP147" i="90"/>
  <c r="CI148" i="90"/>
  <c r="CJ148" i="90"/>
  <c r="CK148" i="90"/>
  <c r="CL148" i="90"/>
  <c r="CM148" i="90"/>
  <c r="CN148" i="90"/>
  <c r="CO148" i="90"/>
  <c r="CP148" i="90"/>
  <c r="CI149" i="90"/>
  <c r="CJ149" i="90"/>
  <c r="CK149" i="90"/>
  <c r="CL149" i="90"/>
  <c r="CM149" i="90"/>
  <c r="CN149" i="90"/>
  <c r="CO149" i="90"/>
  <c r="CP149" i="90"/>
  <c r="CI150" i="90"/>
  <c r="CJ150" i="90"/>
  <c r="CK150" i="90"/>
  <c r="CL150" i="90"/>
  <c r="CM150" i="90"/>
  <c r="CN150" i="90"/>
  <c r="CO150" i="90"/>
  <c r="CP150" i="90"/>
  <c r="CI151" i="90"/>
  <c r="CJ151" i="90"/>
  <c r="CK151" i="90"/>
  <c r="CL151" i="90"/>
  <c r="CM151" i="90"/>
  <c r="CN151" i="90"/>
  <c r="CO151" i="90"/>
  <c r="CP151" i="90"/>
  <c r="CI152" i="90"/>
  <c r="CJ152" i="90"/>
  <c r="CK152" i="90"/>
  <c r="CL152" i="90"/>
  <c r="CM152" i="90"/>
  <c r="CN152" i="90"/>
  <c r="CO152" i="90"/>
  <c r="CP152" i="90"/>
  <c r="CI153" i="90"/>
  <c r="CJ153" i="90"/>
  <c r="CK153" i="90"/>
  <c r="CL153" i="90"/>
  <c r="CM153" i="90"/>
  <c r="CN153" i="90"/>
  <c r="CO153" i="90"/>
  <c r="CP153" i="90"/>
  <c r="CI154" i="90"/>
  <c r="CJ154" i="90"/>
  <c r="CK154" i="90"/>
  <c r="CL154" i="90"/>
  <c r="CM154" i="90"/>
  <c r="CN154" i="90"/>
  <c r="CO154" i="90"/>
  <c r="CP154" i="90"/>
  <c r="CI155" i="90"/>
  <c r="CJ155" i="90"/>
  <c r="CK155" i="90"/>
  <c r="CL155" i="90"/>
  <c r="CM155" i="90"/>
  <c r="CN155" i="90"/>
  <c r="CO155" i="90"/>
  <c r="CP155" i="90"/>
  <c r="CI156" i="90"/>
  <c r="CJ156" i="90"/>
  <c r="CK156" i="90"/>
  <c r="CL156" i="90"/>
  <c r="CM156" i="90"/>
  <c r="CN156" i="90"/>
  <c r="CO156" i="90"/>
  <c r="CP156" i="90"/>
  <c r="CI157" i="90"/>
  <c r="CJ157" i="90"/>
  <c r="CK157" i="90"/>
  <c r="CL157" i="90"/>
  <c r="CM157" i="90"/>
  <c r="CN157" i="90"/>
  <c r="CO157" i="90"/>
  <c r="CP157" i="90"/>
  <c r="CI158" i="90"/>
  <c r="CJ158" i="90"/>
  <c r="CK158" i="90"/>
  <c r="CL158" i="90"/>
  <c r="CM158" i="90"/>
  <c r="CN158" i="90"/>
  <c r="CO158" i="90"/>
  <c r="CP158" i="90"/>
  <c r="CI159" i="90"/>
  <c r="CJ159" i="90"/>
  <c r="CK159" i="90"/>
  <c r="CL159" i="90"/>
  <c r="CM159" i="90"/>
  <c r="CN159" i="90"/>
  <c r="CO159" i="90"/>
  <c r="CP159" i="90"/>
  <c r="CI160" i="90"/>
  <c r="CJ160" i="90"/>
  <c r="CK160" i="90"/>
  <c r="CL160" i="90"/>
  <c r="CM160" i="90"/>
  <c r="CN160" i="90"/>
  <c r="CO160" i="90"/>
  <c r="CP160" i="90"/>
  <c r="CI161" i="90"/>
  <c r="CJ161" i="90"/>
  <c r="CK161" i="90"/>
  <c r="CL161" i="90"/>
  <c r="CM161" i="90"/>
  <c r="CN161" i="90"/>
  <c r="CO161" i="90"/>
  <c r="CP161" i="90"/>
  <c r="CI162" i="90"/>
  <c r="CJ162" i="90"/>
  <c r="CK162" i="90"/>
  <c r="CL162" i="90"/>
  <c r="CM162" i="90"/>
  <c r="CN162" i="90"/>
  <c r="CO162" i="90"/>
  <c r="CP162" i="90"/>
  <c r="CI163" i="90"/>
  <c r="CJ163" i="90"/>
  <c r="CK163" i="90"/>
  <c r="CL163" i="90"/>
  <c r="CM163" i="90"/>
  <c r="CN163" i="90"/>
  <c r="CO163" i="90"/>
  <c r="CP163" i="90"/>
  <c r="CI164" i="90"/>
  <c r="CJ164" i="90"/>
  <c r="CK164" i="90"/>
  <c r="CL164" i="90"/>
  <c r="CM164" i="90"/>
  <c r="CN164" i="90"/>
  <c r="CO164" i="90"/>
  <c r="CP164" i="90"/>
  <c r="CI165" i="90"/>
  <c r="CJ165" i="90"/>
  <c r="CK165" i="90"/>
  <c r="CL165" i="90"/>
  <c r="CM165" i="90"/>
  <c r="CN165" i="90"/>
  <c r="CO165" i="90"/>
  <c r="CP165" i="90"/>
  <c r="CI166" i="90"/>
  <c r="CJ166" i="90"/>
  <c r="CK166" i="90"/>
  <c r="CL166" i="90"/>
  <c r="CM166" i="90"/>
  <c r="CN166" i="90"/>
  <c r="CO166" i="90"/>
  <c r="CP166" i="90"/>
  <c r="CI167" i="90"/>
  <c r="CJ167" i="90"/>
  <c r="CK167" i="90"/>
  <c r="CL167" i="90"/>
  <c r="CM167" i="90"/>
  <c r="CN167" i="90"/>
  <c r="CO167" i="90"/>
  <c r="CP167" i="90"/>
  <c r="CI168" i="90"/>
  <c r="CJ168" i="90"/>
  <c r="CK168" i="90"/>
  <c r="CL168" i="90"/>
  <c r="CM168" i="90"/>
  <c r="CN168" i="90"/>
  <c r="CO168" i="90"/>
  <c r="CP168" i="90"/>
  <c r="CI169" i="90"/>
  <c r="CJ169" i="90"/>
  <c r="CK169" i="90"/>
  <c r="CL169" i="90"/>
  <c r="CM169" i="90"/>
  <c r="CN169" i="90"/>
  <c r="CO169" i="90"/>
  <c r="CP169" i="90"/>
  <c r="CI170" i="90"/>
  <c r="CJ170" i="90"/>
  <c r="CK170" i="90"/>
  <c r="CL170" i="90"/>
  <c r="CM170" i="90"/>
  <c r="CN170" i="90"/>
  <c r="CO170" i="90"/>
  <c r="CP170" i="90"/>
  <c r="CI171" i="90"/>
  <c r="CJ171" i="90"/>
  <c r="CK171" i="90"/>
  <c r="CL171" i="90"/>
  <c r="CM171" i="90"/>
  <c r="CN171" i="90"/>
  <c r="CO171" i="90"/>
  <c r="CP171" i="90"/>
  <c r="CI172" i="90"/>
  <c r="CJ172" i="90"/>
  <c r="CK172" i="90"/>
  <c r="CL172" i="90"/>
  <c r="CM172" i="90"/>
  <c r="CN172" i="90"/>
  <c r="CO172" i="90"/>
  <c r="CP172" i="90"/>
  <c r="CI173" i="90"/>
  <c r="CJ173" i="90"/>
  <c r="CK173" i="90"/>
  <c r="CL173" i="90"/>
  <c r="CM173" i="90"/>
  <c r="CN173" i="90"/>
  <c r="CO173" i="90"/>
  <c r="CP173" i="90"/>
  <c r="CI174" i="90"/>
  <c r="CJ174" i="90"/>
  <c r="CK174" i="90"/>
  <c r="CL174" i="90"/>
  <c r="CM174" i="90"/>
  <c r="CN174" i="90"/>
  <c r="CO174" i="90"/>
  <c r="CP174" i="90"/>
  <c r="CI175" i="90"/>
  <c r="CJ175" i="90"/>
  <c r="CK175" i="90"/>
  <c r="CL175" i="90"/>
  <c r="CM175" i="90"/>
  <c r="CN175" i="90"/>
  <c r="CO175" i="90"/>
  <c r="CP175" i="90"/>
  <c r="CJ2" i="90"/>
  <c r="CK2" i="90"/>
  <c r="CL2" i="90"/>
  <c r="CM2" i="90"/>
  <c r="CN2" i="90"/>
  <c r="CO2" i="90"/>
  <c r="CP2" i="90"/>
  <c r="CI2" i="90"/>
  <c r="BR3" i="90"/>
  <c r="BS3" i="90"/>
  <c r="BT3" i="90"/>
  <c r="BU3" i="90"/>
  <c r="BR4" i="90"/>
  <c r="BS4" i="90"/>
  <c r="BT4" i="90"/>
  <c r="BU4" i="90"/>
  <c r="BR5" i="90"/>
  <c r="BS5" i="90"/>
  <c r="BT5" i="90"/>
  <c r="BU5" i="90"/>
  <c r="BR6" i="90"/>
  <c r="BS6" i="90"/>
  <c r="BT6" i="90"/>
  <c r="BU6" i="90"/>
  <c r="BR7" i="90"/>
  <c r="BS7" i="90"/>
  <c r="BT7" i="90"/>
  <c r="BU7" i="90"/>
  <c r="BR8" i="90"/>
  <c r="BS8" i="90"/>
  <c r="BT8" i="90"/>
  <c r="BU8" i="90"/>
  <c r="BR9" i="90"/>
  <c r="BS9" i="90"/>
  <c r="BT9" i="90"/>
  <c r="BU9" i="90"/>
  <c r="BR10" i="90"/>
  <c r="BS10" i="90"/>
  <c r="BT10" i="90"/>
  <c r="BU10" i="90"/>
  <c r="BR11" i="90"/>
  <c r="BS11" i="90"/>
  <c r="BT11" i="90"/>
  <c r="BU11" i="90"/>
  <c r="BR12" i="90"/>
  <c r="BS12" i="90"/>
  <c r="BT12" i="90"/>
  <c r="BU12" i="90"/>
  <c r="BR13" i="90"/>
  <c r="BS13" i="90"/>
  <c r="BT13" i="90"/>
  <c r="BU13" i="90"/>
  <c r="BR14" i="90"/>
  <c r="BS14" i="90"/>
  <c r="BT14" i="90"/>
  <c r="BU14" i="90"/>
  <c r="BR15" i="90"/>
  <c r="BS15" i="90"/>
  <c r="BT15" i="90"/>
  <c r="BU15" i="90"/>
  <c r="BR16" i="90"/>
  <c r="BS16" i="90"/>
  <c r="BT16" i="90"/>
  <c r="BU16" i="90"/>
  <c r="BR17" i="90"/>
  <c r="BS17" i="90"/>
  <c r="BT17" i="90"/>
  <c r="BU17" i="90"/>
  <c r="BR18" i="90"/>
  <c r="BS18" i="90"/>
  <c r="BT18" i="90"/>
  <c r="BU18" i="90"/>
  <c r="BR19" i="90"/>
  <c r="BS19" i="90"/>
  <c r="BT19" i="90"/>
  <c r="BU19" i="90"/>
  <c r="BR20" i="90"/>
  <c r="BS20" i="90"/>
  <c r="BT20" i="90"/>
  <c r="BU20" i="90"/>
  <c r="BR21" i="90"/>
  <c r="BS21" i="90"/>
  <c r="BT21" i="90"/>
  <c r="BU21" i="90"/>
  <c r="BR22" i="90"/>
  <c r="BS22" i="90"/>
  <c r="BT22" i="90"/>
  <c r="BU22" i="90"/>
  <c r="BR23" i="90"/>
  <c r="BS23" i="90"/>
  <c r="BT23" i="90"/>
  <c r="BU23" i="90"/>
  <c r="BR24" i="90"/>
  <c r="BS24" i="90"/>
  <c r="BT24" i="90"/>
  <c r="BU24" i="90"/>
  <c r="BR25" i="90"/>
  <c r="BS25" i="90"/>
  <c r="BT25" i="90"/>
  <c r="BU25" i="90"/>
  <c r="BR26" i="90"/>
  <c r="BS26" i="90"/>
  <c r="BT26" i="90"/>
  <c r="BU26" i="90"/>
  <c r="BR27" i="90"/>
  <c r="BS27" i="90"/>
  <c r="BT27" i="90"/>
  <c r="BU27" i="90"/>
  <c r="BR28" i="90"/>
  <c r="BS28" i="90"/>
  <c r="BT28" i="90"/>
  <c r="BU28" i="90"/>
  <c r="BR29" i="90"/>
  <c r="BS29" i="90"/>
  <c r="BT29" i="90"/>
  <c r="BU29" i="90"/>
  <c r="BR30" i="90"/>
  <c r="BS30" i="90"/>
  <c r="BT30" i="90"/>
  <c r="BU30" i="90"/>
  <c r="BR31" i="90"/>
  <c r="BS31" i="90"/>
  <c r="BT31" i="90"/>
  <c r="BU31" i="90"/>
  <c r="BR32" i="90"/>
  <c r="BS32" i="90"/>
  <c r="BT32" i="90"/>
  <c r="BU32" i="90"/>
  <c r="BR33" i="90"/>
  <c r="BS33" i="90"/>
  <c r="BT33" i="90"/>
  <c r="BU33" i="90"/>
  <c r="BR34" i="90"/>
  <c r="BS34" i="90"/>
  <c r="BT34" i="90"/>
  <c r="BU34" i="90"/>
  <c r="BR35" i="90"/>
  <c r="BS35" i="90"/>
  <c r="BT35" i="90"/>
  <c r="BU35" i="90"/>
  <c r="BR36" i="90"/>
  <c r="BS36" i="90"/>
  <c r="BT36" i="90"/>
  <c r="BU36" i="90"/>
  <c r="BR37" i="90"/>
  <c r="BS37" i="90"/>
  <c r="BT37" i="90"/>
  <c r="BU37" i="90"/>
  <c r="BR38" i="90"/>
  <c r="BS38" i="90"/>
  <c r="BT38" i="90"/>
  <c r="BU38" i="90"/>
  <c r="BR39" i="90"/>
  <c r="BS39" i="90"/>
  <c r="BT39" i="90"/>
  <c r="BU39" i="90"/>
  <c r="BR40" i="90"/>
  <c r="BS40" i="90"/>
  <c r="BT40" i="90"/>
  <c r="BU40" i="90"/>
  <c r="BR41" i="90"/>
  <c r="BS41" i="90"/>
  <c r="BT41" i="90"/>
  <c r="BU41" i="90"/>
  <c r="BR42" i="90"/>
  <c r="BS42" i="90"/>
  <c r="BT42" i="90"/>
  <c r="BU42" i="90"/>
  <c r="BR43" i="90"/>
  <c r="BS43" i="90"/>
  <c r="BT43" i="90"/>
  <c r="BU43" i="90"/>
  <c r="BR44" i="90"/>
  <c r="BS44" i="90"/>
  <c r="BT44" i="90"/>
  <c r="BU44" i="90"/>
  <c r="BR45" i="90"/>
  <c r="BS45" i="90"/>
  <c r="BT45" i="90"/>
  <c r="BU45" i="90"/>
  <c r="BR46" i="90"/>
  <c r="BS46" i="90"/>
  <c r="BT46" i="90"/>
  <c r="BU46" i="90"/>
  <c r="BR47" i="90"/>
  <c r="BS47" i="90"/>
  <c r="BT47" i="90"/>
  <c r="BU47" i="90"/>
  <c r="BR48" i="90"/>
  <c r="BS48" i="90"/>
  <c r="BT48" i="90"/>
  <c r="BU48" i="90"/>
  <c r="BR49" i="90"/>
  <c r="BS49" i="90"/>
  <c r="BT49" i="90"/>
  <c r="BU49" i="90"/>
  <c r="BR50" i="90"/>
  <c r="BS50" i="90"/>
  <c r="BT50" i="90"/>
  <c r="BU50" i="90"/>
  <c r="BR51" i="90"/>
  <c r="BS51" i="90"/>
  <c r="BT51" i="90"/>
  <c r="BU51" i="90"/>
  <c r="BR52" i="90"/>
  <c r="BS52" i="90"/>
  <c r="BT52" i="90"/>
  <c r="BU52" i="90"/>
  <c r="BR53" i="90"/>
  <c r="BS53" i="90"/>
  <c r="BT53" i="90"/>
  <c r="BU53" i="90"/>
  <c r="BR54" i="90"/>
  <c r="BS54" i="90"/>
  <c r="BT54" i="90"/>
  <c r="BU54" i="90"/>
  <c r="BR55" i="90"/>
  <c r="BS55" i="90"/>
  <c r="BT55" i="90"/>
  <c r="BU55" i="90"/>
  <c r="BR56" i="90"/>
  <c r="BS56" i="90"/>
  <c r="BT56" i="90"/>
  <c r="BU56" i="90"/>
  <c r="BR57" i="90"/>
  <c r="BS57" i="90"/>
  <c r="BT57" i="90"/>
  <c r="BU57" i="90"/>
  <c r="BR58" i="90"/>
  <c r="BS58" i="90"/>
  <c r="BT58" i="90"/>
  <c r="BU58" i="90"/>
  <c r="BR59" i="90"/>
  <c r="BS59" i="90"/>
  <c r="BT59" i="90"/>
  <c r="BU59" i="90"/>
  <c r="BR60" i="90"/>
  <c r="BS60" i="90"/>
  <c r="BT60" i="90"/>
  <c r="BU60" i="90"/>
  <c r="BR61" i="90"/>
  <c r="BS61" i="90"/>
  <c r="BT61" i="90"/>
  <c r="BU61" i="90"/>
  <c r="BR62" i="90"/>
  <c r="BS62" i="90"/>
  <c r="BT62" i="90"/>
  <c r="BU62" i="90"/>
  <c r="BR63" i="90"/>
  <c r="BS63" i="90"/>
  <c r="BT63" i="90"/>
  <c r="BU63" i="90"/>
  <c r="BR64" i="90"/>
  <c r="BS64" i="90"/>
  <c r="BT64" i="90"/>
  <c r="BU64" i="90"/>
  <c r="BR65" i="90"/>
  <c r="BS65" i="90"/>
  <c r="BT65" i="90"/>
  <c r="BU65" i="90"/>
  <c r="BR66" i="90"/>
  <c r="BS66" i="90"/>
  <c r="BT66" i="90"/>
  <c r="BU66" i="90"/>
  <c r="BR67" i="90"/>
  <c r="BS67" i="90"/>
  <c r="BT67" i="90"/>
  <c r="BU67" i="90"/>
  <c r="BR68" i="90"/>
  <c r="BS68" i="90"/>
  <c r="BT68" i="90"/>
  <c r="BU68" i="90"/>
  <c r="BR69" i="90"/>
  <c r="BS69" i="90"/>
  <c r="BT69" i="90"/>
  <c r="BU69" i="90"/>
  <c r="BR70" i="90"/>
  <c r="BS70" i="90"/>
  <c r="BT70" i="90"/>
  <c r="BU70" i="90"/>
  <c r="BR71" i="90"/>
  <c r="BS71" i="90"/>
  <c r="BT71" i="90"/>
  <c r="BU71" i="90"/>
  <c r="BR72" i="90"/>
  <c r="BS72" i="90"/>
  <c r="BT72" i="90"/>
  <c r="BU72" i="90"/>
  <c r="BR73" i="90"/>
  <c r="BS73" i="90"/>
  <c r="BT73" i="90"/>
  <c r="BU73" i="90"/>
  <c r="BR74" i="90"/>
  <c r="BS74" i="90"/>
  <c r="BT74" i="90"/>
  <c r="BU74" i="90"/>
  <c r="BR75" i="90"/>
  <c r="BS75" i="90"/>
  <c r="BT75" i="90"/>
  <c r="BU75" i="90"/>
  <c r="BR76" i="90"/>
  <c r="BS76" i="90"/>
  <c r="BT76" i="90"/>
  <c r="BU76" i="90"/>
  <c r="BR77" i="90"/>
  <c r="BS77" i="90"/>
  <c r="BT77" i="90"/>
  <c r="BU77" i="90"/>
  <c r="BR78" i="90"/>
  <c r="BS78" i="90"/>
  <c r="BT78" i="90"/>
  <c r="BU78" i="90"/>
  <c r="BR79" i="90"/>
  <c r="BS79" i="90"/>
  <c r="BT79" i="90"/>
  <c r="BU79" i="90"/>
  <c r="BR80" i="90"/>
  <c r="BS80" i="90"/>
  <c r="BT80" i="90"/>
  <c r="BU80" i="90"/>
  <c r="BR81" i="90"/>
  <c r="BS81" i="90"/>
  <c r="BT81" i="90"/>
  <c r="BU81" i="90"/>
  <c r="BR82" i="90"/>
  <c r="BS82" i="90"/>
  <c r="BT82" i="90"/>
  <c r="BU82" i="90"/>
  <c r="BR83" i="90"/>
  <c r="BS83" i="90"/>
  <c r="BT83" i="90"/>
  <c r="BU83" i="90"/>
  <c r="BR84" i="90"/>
  <c r="BS84" i="90"/>
  <c r="BT84" i="90"/>
  <c r="BU84" i="90"/>
  <c r="BR85" i="90"/>
  <c r="BS85" i="90"/>
  <c r="BT85" i="90"/>
  <c r="BU85" i="90"/>
  <c r="BR86" i="90"/>
  <c r="BS86" i="90"/>
  <c r="BT86" i="90"/>
  <c r="BU86" i="90"/>
  <c r="BR87" i="90"/>
  <c r="BS87" i="90"/>
  <c r="BT87" i="90"/>
  <c r="BU87" i="90"/>
  <c r="BR88" i="90"/>
  <c r="BS88" i="90"/>
  <c r="BT88" i="90"/>
  <c r="BU88" i="90"/>
  <c r="BR89" i="90"/>
  <c r="BS89" i="90"/>
  <c r="BT89" i="90"/>
  <c r="BU89" i="90"/>
  <c r="BR90" i="90"/>
  <c r="BS90" i="90"/>
  <c r="BT90" i="90"/>
  <c r="BU90" i="90"/>
  <c r="BR91" i="90"/>
  <c r="BS91" i="90"/>
  <c r="BT91" i="90"/>
  <c r="BU91" i="90"/>
  <c r="BR92" i="90"/>
  <c r="BS92" i="90"/>
  <c r="BT92" i="90"/>
  <c r="BU92" i="90"/>
  <c r="BR93" i="90"/>
  <c r="BS93" i="90"/>
  <c r="BT93" i="90"/>
  <c r="BU93" i="90"/>
  <c r="BR94" i="90"/>
  <c r="BS94" i="90"/>
  <c r="BT94" i="90"/>
  <c r="BU94" i="90"/>
  <c r="BR95" i="90"/>
  <c r="BS95" i="90"/>
  <c r="BT95" i="90"/>
  <c r="BU95" i="90"/>
  <c r="BR96" i="90"/>
  <c r="BS96" i="90"/>
  <c r="BT96" i="90"/>
  <c r="BU96" i="90"/>
  <c r="BR97" i="90"/>
  <c r="BS97" i="90"/>
  <c r="BT97" i="90"/>
  <c r="BU97" i="90"/>
  <c r="BR98" i="90"/>
  <c r="BS98" i="90"/>
  <c r="BT98" i="90"/>
  <c r="BU98" i="90"/>
  <c r="BR99" i="90"/>
  <c r="BS99" i="90"/>
  <c r="BT99" i="90"/>
  <c r="BU99" i="90"/>
  <c r="BR100" i="90"/>
  <c r="BS100" i="90"/>
  <c r="BT100" i="90"/>
  <c r="BU100" i="90"/>
  <c r="BR101" i="90"/>
  <c r="BS101" i="90"/>
  <c r="BT101" i="90"/>
  <c r="BU101" i="90"/>
  <c r="BR102" i="90"/>
  <c r="BS102" i="90"/>
  <c r="BT102" i="90"/>
  <c r="BU102" i="90"/>
  <c r="BR103" i="90"/>
  <c r="BS103" i="90"/>
  <c r="BT103" i="90"/>
  <c r="BU103" i="90"/>
  <c r="BR104" i="90"/>
  <c r="BS104" i="90"/>
  <c r="BT104" i="90"/>
  <c r="BU104" i="90"/>
  <c r="BR105" i="90"/>
  <c r="BS105" i="90"/>
  <c r="BT105" i="90"/>
  <c r="BU105" i="90"/>
  <c r="BR106" i="90"/>
  <c r="BS106" i="90"/>
  <c r="BT106" i="90"/>
  <c r="BU106" i="90"/>
  <c r="BR107" i="90"/>
  <c r="BS107" i="90"/>
  <c r="BT107" i="90"/>
  <c r="BU107" i="90"/>
  <c r="BR108" i="90"/>
  <c r="BS108" i="90"/>
  <c r="BT108" i="90"/>
  <c r="BU108" i="90"/>
  <c r="BR109" i="90"/>
  <c r="BS109" i="90"/>
  <c r="BT109" i="90"/>
  <c r="BU109" i="90"/>
  <c r="BR110" i="90"/>
  <c r="BS110" i="90"/>
  <c r="BT110" i="90"/>
  <c r="BU110" i="90"/>
  <c r="BR111" i="90"/>
  <c r="BS111" i="90"/>
  <c r="BT111" i="90"/>
  <c r="BU111" i="90"/>
  <c r="BR112" i="90"/>
  <c r="BS112" i="90"/>
  <c r="BT112" i="90"/>
  <c r="BU112" i="90"/>
  <c r="BR113" i="90"/>
  <c r="BS113" i="90"/>
  <c r="BT113" i="90"/>
  <c r="BU113" i="90"/>
  <c r="BR114" i="90"/>
  <c r="BS114" i="90"/>
  <c r="BT114" i="90"/>
  <c r="BU114" i="90"/>
  <c r="BR115" i="90"/>
  <c r="BS115" i="90"/>
  <c r="BT115" i="90"/>
  <c r="BU115" i="90"/>
  <c r="BR116" i="90"/>
  <c r="BS116" i="90"/>
  <c r="BT116" i="90"/>
  <c r="BU116" i="90"/>
  <c r="BR117" i="90"/>
  <c r="BS117" i="90"/>
  <c r="BT117" i="90"/>
  <c r="BU117" i="90"/>
  <c r="BR118" i="90"/>
  <c r="BS118" i="90"/>
  <c r="BT118" i="90"/>
  <c r="BU118" i="90"/>
  <c r="BR119" i="90"/>
  <c r="BS119" i="90"/>
  <c r="BT119" i="90"/>
  <c r="BU119" i="90"/>
  <c r="BR120" i="90"/>
  <c r="BS120" i="90"/>
  <c r="BT120" i="90"/>
  <c r="BU120" i="90"/>
  <c r="BR121" i="90"/>
  <c r="BS121" i="90"/>
  <c r="BT121" i="90"/>
  <c r="BU121" i="90"/>
  <c r="BR122" i="90"/>
  <c r="BS122" i="90"/>
  <c r="BT122" i="90"/>
  <c r="BU122" i="90"/>
  <c r="BR123" i="90"/>
  <c r="BS123" i="90"/>
  <c r="BT123" i="90"/>
  <c r="BU123" i="90"/>
  <c r="BR124" i="90"/>
  <c r="BS124" i="90"/>
  <c r="BT124" i="90"/>
  <c r="BU124" i="90"/>
  <c r="BR125" i="90"/>
  <c r="BS125" i="90"/>
  <c r="BT125" i="90"/>
  <c r="BU125" i="90"/>
  <c r="BR126" i="90"/>
  <c r="BS126" i="90"/>
  <c r="BT126" i="90"/>
  <c r="BU126" i="90"/>
  <c r="BR127" i="90"/>
  <c r="BS127" i="90"/>
  <c r="BT127" i="90"/>
  <c r="BU127" i="90"/>
  <c r="BR128" i="90"/>
  <c r="BS128" i="90"/>
  <c r="BT128" i="90"/>
  <c r="BU128" i="90"/>
  <c r="BR129" i="90"/>
  <c r="BS129" i="90"/>
  <c r="BT129" i="90"/>
  <c r="BU129" i="90"/>
  <c r="BR130" i="90"/>
  <c r="BS130" i="90"/>
  <c r="BT130" i="90"/>
  <c r="BU130" i="90"/>
  <c r="BR131" i="90"/>
  <c r="BS131" i="90"/>
  <c r="BT131" i="90"/>
  <c r="BU131" i="90"/>
  <c r="BR132" i="90"/>
  <c r="BS132" i="90"/>
  <c r="BT132" i="90"/>
  <c r="BU132" i="90"/>
  <c r="BR133" i="90"/>
  <c r="BS133" i="90"/>
  <c r="BT133" i="90"/>
  <c r="BU133" i="90"/>
  <c r="BR134" i="90"/>
  <c r="BS134" i="90"/>
  <c r="BT134" i="90"/>
  <c r="BU134" i="90"/>
  <c r="BR135" i="90"/>
  <c r="BS135" i="90"/>
  <c r="BT135" i="90"/>
  <c r="BU135" i="90"/>
  <c r="BR136" i="90"/>
  <c r="BS136" i="90"/>
  <c r="BT136" i="90"/>
  <c r="BU136" i="90"/>
  <c r="BR137" i="90"/>
  <c r="BS137" i="90"/>
  <c r="BT137" i="90"/>
  <c r="BU137" i="90"/>
  <c r="BR138" i="90"/>
  <c r="BS138" i="90"/>
  <c r="BT138" i="90"/>
  <c r="BU138" i="90"/>
  <c r="BR139" i="90"/>
  <c r="BS139" i="90"/>
  <c r="BT139" i="90"/>
  <c r="BU139" i="90"/>
  <c r="BR140" i="90"/>
  <c r="BS140" i="90"/>
  <c r="BT140" i="90"/>
  <c r="BU140" i="90"/>
  <c r="BR141" i="90"/>
  <c r="BS141" i="90"/>
  <c r="BT141" i="90"/>
  <c r="BU141" i="90"/>
  <c r="BR142" i="90"/>
  <c r="BS142" i="90"/>
  <c r="BT142" i="90"/>
  <c r="BU142" i="90"/>
  <c r="BR143" i="90"/>
  <c r="BS143" i="90"/>
  <c r="BT143" i="90"/>
  <c r="BU143" i="90"/>
  <c r="BR144" i="90"/>
  <c r="BS144" i="90"/>
  <c r="BT144" i="90"/>
  <c r="BU144" i="90"/>
  <c r="BR145" i="90"/>
  <c r="BS145" i="90"/>
  <c r="BT145" i="90"/>
  <c r="BU145" i="90"/>
  <c r="BR146" i="90"/>
  <c r="BS146" i="90"/>
  <c r="BT146" i="90"/>
  <c r="BU146" i="90"/>
  <c r="BR147" i="90"/>
  <c r="BS147" i="90"/>
  <c r="BT147" i="90"/>
  <c r="BU147" i="90"/>
  <c r="BR148" i="90"/>
  <c r="BS148" i="90"/>
  <c r="BT148" i="90"/>
  <c r="BU148" i="90"/>
  <c r="BR149" i="90"/>
  <c r="BS149" i="90"/>
  <c r="BT149" i="90"/>
  <c r="BU149" i="90"/>
  <c r="BR150" i="90"/>
  <c r="BS150" i="90"/>
  <c r="BT150" i="90"/>
  <c r="BU150" i="90"/>
  <c r="BR151" i="90"/>
  <c r="BS151" i="90"/>
  <c r="BT151" i="90"/>
  <c r="BU151" i="90"/>
  <c r="BR152" i="90"/>
  <c r="BS152" i="90"/>
  <c r="BT152" i="90"/>
  <c r="BU152" i="90"/>
  <c r="BR153" i="90"/>
  <c r="BS153" i="90"/>
  <c r="BT153" i="90"/>
  <c r="BU153" i="90"/>
  <c r="BR154" i="90"/>
  <c r="BS154" i="90"/>
  <c r="BT154" i="90"/>
  <c r="BU154" i="90"/>
  <c r="BR155" i="90"/>
  <c r="BS155" i="90"/>
  <c r="BT155" i="90"/>
  <c r="BU155" i="90"/>
  <c r="BR156" i="90"/>
  <c r="BS156" i="90"/>
  <c r="BT156" i="90"/>
  <c r="BU156" i="90"/>
  <c r="BR157" i="90"/>
  <c r="BS157" i="90"/>
  <c r="BT157" i="90"/>
  <c r="BU157" i="90"/>
  <c r="BR158" i="90"/>
  <c r="BS158" i="90"/>
  <c r="BT158" i="90"/>
  <c r="BU158" i="90"/>
  <c r="BR159" i="90"/>
  <c r="BS159" i="90"/>
  <c r="BT159" i="90"/>
  <c r="BU159" i="90"/>
  <c r="BR160" i="90"/>
  <c r="BS160" i="90"/>
  <c r="BT160" i="90"/>
  <c r="BU160" i="90"/>
  <c r="BR161" i="90"/>
  <c r="BS161" i="90"/>
  <c r="BT161" i="90"/>
  <c r="BU161" i="90"/>
  <c r="BR162" i="90"/>
  <c r="BS162" i="90"/>
  <c r="BT162" i="90"/>
  <c r="BU162" i="90"/>
  <c r="BR163" i="90"/>
  <c r="BS163" i="90"/>
  <c r="BT163" i="90"/>
  <c r="BU163" i="90"/>
  <c r="BR164" i="90"/>
  <c r="BS164" i="90"/>
  <c r="BT164" i="90"/>
  <c r="BU164" i="90"/>
  <c r="BR165" i="90"/>
  <c r="BS165" i="90"/>
  <c r="BT165" i="90"/>
  <c r="BU165" i="90"/>
  <c r="BR166" i="90"/>
  <c r="BS166" i="90"/>
  <c r="BT166" i="90"/>
  <c r="BU166" i="90"/>
  <c r="BR167" i="90"/>
  <c r="BS167" i="90"/>
  <c r="BT167" i="90"/>
  <c r="BU167" i="90"/>
  <c r="BR168" i="90"/>
  <c r="BS168" i="90"/>
  <c r="BT168" i="90"/>
  <c r="BU168" i="90"/>
  <c r="BR169" i="90"/>
  <c r="BS169" i="90"/>
  <c r="BT169" i="90"/>
  <c r="BU169" i="90"/>
  <c r="BR170" i="90"/>
  <c r="BS170" i="90"/>
  <c r="BT170" i="90"/>
  <c r="BU170" i="90"/>
  <c r="BR171" i="90"/>
  <c r="BS171" i="90"/>
  <c r="BT171" i="90"/>
  <c r="BU171" i="90"/>
  <c r="BR172" i="90"/>
  <c r="BS172" i="90"/>
  <c r="BT172" i="90"/>
  <c r="BU172" i="90"/>
  <c r="BR173" i="90"/>
  <c r="BS173" i="90"/>
  <c r="BT173" i="90"/>
  <c r="BU173" i="90"/>
  <c r="BR174" i="90"/>
  <c r="BS174" i="90"/>
  <c r="BT174" i="90"/>
  <c r="BU174" i="90"/>
  <c r="BR175" i="90"/>
  <c r="BS175" i="90"/>
  <c r="BT175" i="90"/>
  <c r="BU175" i="90"/>
  <c r="BR176" i="90"/>
  <c r="BS176" i="90"/>
  <c r="BT176" i="90"/>
  <c r="BU176" i="90"/>
  <c r="BR177" i="90"/>
  <c r="BS177" i="90"/>
  <c r="BT177" i="90"/>
  <c r="BU177" i="90"/>
  <c r="BR178" i="90"/>
  <c r="BS178" i="90"/>
  <c r="BT178" i="90"/>
  <c r="BU178" i="90"/>
  <c r="BR179" i="90"/>
  <c r="BS179" i="90"/>
  <c r="BT179" i="90"/>
  <c r="BU179" i="90"/>
  <c r="BR180" i="90"/>
  <c r="BS180" i="90"/>
  <c r="BT180" i="90"/>
  <c r="BU180" i="90"/>
  <c r="BR181" i="90"/>
  <c r="BS181" i="90"/>
  <c r="BT181" i="90"/>
  <c r="BU181" i="90"/>
  <c r="BS2" i="90"/>
  <c r="BT2" i="90"/>
  <c r="BU2" i="90"/>
  <c r="BR2" i="90"/>
  <c r="AY3" i="90"/>
  <c r="AZ3" i="90"/>
  <c r="BA3" i="90"/>
  <c r="BB3" i="90"/>
  <c r="BC3" i="90"/>
  <c r="BD3" i="90"/>
  <c r="BE3" i="90"/>
  <c r="BF3" i="90"/>
  <c r="BG3" i="90"/>
  <c r="BH3" i="90"/>
  <c r="BI3" i="90"/>
  <c r="BJ3" i="90"/>
  <c r="BK3" i="90"/>
  <c r="BL3" i="90"/>
  <c r="BM3" i="90"/>
  <c r="BN3" i="90"/>
  <c r="BO3" i="90"/>
  <c r="AY4" i="90"/>
  <c r="AZ4" i="90"/>
  <c r="BA4" i="90"/>
  <c r="BB4" i="90"/>
  <c r="BC4" i="90"/>
  <c r="BD4" i="90"/>
  <c r="BE4" i="90"/>
  <c r="BF4" i="90"/>
  <c r="BG4" i="90"/>
  <c r="BH4" i="90"/>
  <c r="BI4" i="90"/>
  <c r="BJ4" i="90"/>
  <c r="BK4" i="90"/>
  <c r="BL4" i="90"/>
  <c r="BM4" i="90"/>
  <c r="BN4" i="90"/>
  <c r="BO4" i="90"/>
  <c r="AY5" i="90"/>
  <c r="AZ5" i="90"/>
  <c r="BA5" i="90"/>
  <c r="BB5" i="90"/>
  <c r="BC5" i="90"/>
  <c r="BD5" i="90"/>
  <c r="BE5" i="90"/>
  <c r="BF5" i="90"/>
  <c r="BG5" i="90"/>
  <c r="BH5" i="90"/>
  <c r="BI5" i="90"/>
  <c r="BJ5" i="90"/>
  <c r="BK5" i="90"/>
  <c r="BL5" i="90"/>
  <c r="BM5" i="90"/>
  <c r="BN5" i="90"/>
  <c r="BO5" i="90"/>
  <c r="AY6" i="90"/>
  <c r="AZ6" i="90"/>
  <c r="BA6" i="90"/>
  <c r="BB6" i="90"/>
  <c r="BC6" i="90"/>
  <c r="BD6" i="90"/>
  <c r="BE6" i="90"/>
  <c r="BF6" i="90"/>
  <c r="BG6" i="90"/>
  <c r="BH6" i="90"/>
  <c r="BI6" i="90"/>
  <c r="BJ6" i="90"/>
  <c r="BK6" i="90"/>
  <c r="BL6" i="90"/>
  <c r="BM6" i="90"/>
  <c r="BN6" i="90"/>
  <c r="BO6" i="90"/>
  <c r="AY7" i="90"/>
  <c r="AZ7" i="90"/>
  <c r="BA7" i="90"/>
  <c r="BB7" i="90"/>
  <c r="BC7" i="90"/>
  <c r="BD7" i="90"/>
  <c r="BE7" i="90"/>
  <c r="BF7" i="90"/>
  <c r="BG7" i="90"/>
  <c r="BH7" i="90"/>
  <c r="BI7" i="90"/>
  <c r="BJ7" i="90"/>
  <c r="BK7" i="90"/>
  <c r="BL7" i="90"/>
  <c r="BM7" i="90"/>
  <c r="BN7" i="90"/>
  <c r="BO7" i="90"/>
  <c r="AY8" i="90"/>
  <c r="AZ8" i="90"/>
  <c r="BA8" i="90"/>
  <c r="BB8" i="90"/>
  <c r="BC8" i="90"/>
  <c r="BD8" i="90"/>
  <c r="BE8" i="90"/>
  <c r="BF8" i="90"/>
  <c r="BG8" i="90"/>
  <c r="BH8" i="90"/>
  <c r="BI8" i="90"/>
  <c r="BJ8" i="90"/>
  <c r="BK8" i="90"/>
  <c r="BL8" i="90"/>
  <c r="BM8" i="90"/>
  <c r="BN8" i="90"/>
  <c r="BO8" i="90"/>
  <c r="AY9" i="90"/>
  <c r="AZ9" i="90"/>
  <c r="BA9" i="90"/>
  <c r="BB9" i="90"/>
  <c r="BC9" i="90"/>
  <c r="BD9" i="90"/>
  <c r="BE9" i="90"/>
  <c r="BF9" i="90"/>
  <c r="BG9" i="90"/>
  <c r="BH9" i="90"/>
  <c r="BI9" i="90"/>
  <c r="BJ9" i="90"/>
  <c r="BK9" i="90"/>
  <c r="BL9" i="90"/>
  <c r="BM9" i="90"/>
  <c r="BN9" i="90"/>
  <c r="BO9" i="90"/>
  <c r="AY10" i="90"/>
  <c r="AZ10" i="90"/>
  <c r="BA10" i="90"/>
  <c r="BB10" i="90"/>
  <c r="BC10" i="90"/>
  <c r="BD10" i="90"/>
  <c r="BE10" i="90"/>
  <c r="BF10" i="90"/>
  <c r="BG10" i="90"/>
  <c r="BH10" i="90"/>
  <c r="BI10" i="90"/>
  <c r="BJ10" i="90"/>
  <c r="BK10" i="90"/>
  <c r="BL10" i="90"/>
  <c r="BM10" i="90"/>
  <c r="BN10" i="90"/>
  <c r="BO10" i="90"/>
  <c r="AY11" i="90"/>
  <c r="AZ11" i="90"/>
  <c r="BA11" i="90"/>
  <c r="BB11" i="90"/>
  <c r="BC11" i="90"/>
  <c r="BD11" i="90"/>
  <c r="BE11" i="90"/>
  <c r="BF11" i="90"/>
  <c r="BG11" i="90"/>
  <c r="BH11" i="90"/>
  <c r="BI11" i="90"/>
  <c r="BJ11" i="90"/>
  <c r="BK11" i="90"/>
  <c r="BL11" i="90"/>
  <c r="BM11" i="90"/>
  <c r="BN11" i="90"/>
  <c r="BO11" i="90"/>
  <c r="AY12" i="90"/>
  <c r="AZ12" i="90"/>
  <c r="BA12" i="90"/>
  <c r="BB12" i="90"/>
  <c r="BC12" i="90"/>
  <c r="BD12" i="90"/>
  <c r="BE12" i="90"/>
  <c r="BF12" i="90"/>
  <c r="BG12" i="90"/>
  <c r="BH12" i="90"/>
  <c r="BI12" i="90"/>
  <c r="BJ12" i="90"/>
  <c r="BK12" i="90"/>
  <c r="BL12" i="90"/>
  <c r="BM12" i="90"/>
  <c r="BN12" i="90"/>
  <c r="BO12" i="90"/>
  <c r="AY13" i="90"/>
  <c r="AZ13" i="90"/>
  <c r="BA13" i="90"/>
  <c r="BB13" i="90"/>
  <c r="BC13" i="90"/>
  <c r="BD13" i="90"/>
  <c r="BE13" i="90"/>
  <c r="BF13" i="90"/>
  <c r="BG13" i="90"/>
  <c r="BH13" i="90"/>
  <c r="BI13" i="90"/>
  <c r="BJ13" i="90"/>
  <c r="BK13" i="90"/>
  <c r="BL13" i="90"/>
  <c r="BM13" i="90"/>
  <c r="BN13" i="90"/>
  <c r="BO13" i="90"/>
  <c r="AY14" i="90"/>
  <c r="AZ14" i="90"/>
  <c r="BA14" i="90"/>
  <c r="BB14" i="90"/>
  <c r="BC14" i="90"/>
  <c r="BD14" i="90"/>
  <c r="BE14" i="90"/>
  <c r="BF14" i="90"/>
  <c r="BG14" i="90"/>
  <c r="BH14" i="90"/>
  <c r="BI14" i="90"/>
  <c r="BJ14" i="90"/>
  <c r="BK14" i="90"/>
  <c r="BL14" i="90"/>
  <c r="BM14" i="90"/>
  <c r="BN14" i="90"/>
  <c r="BO14" i="90"/>
  <c r="AY15" i="90"/>
  <c r="AZ15" i="90"/>
  <c r="BA15" i="90"/>
  <c r="BB15" i="90"/>
  <c r="BC15" i="90"/>
  <c r="BD15" i="90"/>
  <c r="BE15" i="90"/>
  <c r="BF15" i="90"/>
  <c r="BG15" i="90"/>
  <c r="BH15" i="90"/>
  <c r="BI15" i="90"/>
  <c r="BJ15" i="90"/>
  <c r="BK15" i="90"/>
  <c r="BL15" i="90"/>
  <c r="BM15" i="90"/>
  <c r="BN15" i="90"/>
  <c r="BO15" i="90"/>
  <c r="AY16" i="90"/>
  <c r="AZ16" i="90"/>
  <c r="BA16" i="90"/>
  <c r="BB16" i="90"/>
  <c r="BC16" i="90"/>
  <c r="BD16" i="90"/>
  <c r="BE16" i="90"/>
  <c r="BF16" i="90"/>
  <c r="BG16" i="90"/>
  <c r="BH16" i="90"/>
  <c r="BI16" i="90"/>
  <c r="BJ16" i="90"/>
  <c r="BK16" i="90"/>
  <c r="BL16" i="90"/>
  <c r="BM16" i="90"/>
  <c r="BN16" i="90"/>
  <c r="BO16" i="90"/>
  <c r="AY17" i="90"/>
  <c r="AZ17" i="90"/>
  <c r="BA17" i="90"/>
  <c r="BB17" i="90"/>
  <c r="BC17" i="90"/>
  <c r="BD17" i="90"/>
  <c r="BE17" i="90"/>
  <c r="BF17" i="90"/>
  <c r="BG17" i="90"/>
  <c r="BH17" i="90"/>
  <c r="BI17" i="90"/>
  <c r="BJ17" i="90"/>
  <c r="BK17" i="90"/>
  <c r="BL17" i="90"/>
  <c r="BM17" i="90"/>
  <c r="BN17" i="90"/>
  <c r="BO17" i="90"/>
  <c r="AY18" i="90"/>
  <c r="AZ18" i="90"/>
  <c r="BA18" i="90"/>
  <c r="BB18" i="90"/>
  <c r="BC18" i="90"/>
  <c r="BD18" i="90"/>
  <c r="BE18" i="90"/>
  <c r="BF18" i="90"/>
  <c r="BG18" i="90"/>
  <c r="BH18" i="90"/>
  <c r="BI18" i="90"/>
  <c r="BJ18" i="90"/>
  <c r="BK18" i="90"/>
  <c r="BL18" i="90"/>
  <c r="BM18" i="90"/>
  <c r="BN18" i="90"/>
  <c r="BO18" i="90"/>
  <c r="AY19" i="90"/>
  <c r="AZ19" i="90"/>
  <c r="BA19" i="90"/>
  <c r="BB19" i="90"/>
  <c r="BC19" i="90"/>
  <c r="BD19" i="90"/>
  <c r="BE19" i="90"/>
  <c r="BF19" i="90"/>
  <c r="BG19" i="90"/>
  <c r="BH19" i="90"/>
  <c r="BI19" i="90"/>
  <c r="BJ19" i="90"/>
  <c r="BK19" i="90"/>
  <c r="BL19" i="90"/>
  <c r="BM19" i="90"/>
  <c r="BN19" i="90"/>
  <c r="BO19" i="90"/>
  <c r="AY20" i="90"/>
  <c r="AZ20" i="90"/>
  <c r="BA20" i="90"/>
  <c r="BB20" i="90"/>
  <c r="BC20" i="90"/>
  <c r="BD20" i="90"/>
  <c r="BE20" i="90"/>
  <c r="BF20" i="90"/>
  <c r="BG20" i="90"/>
  <c r="BH20" i="90"/>
  <c r="BI20" i="90"/>
  <c r="BJ20" i="90"/>
  <c r="BK20" i="90"/>
  <c r="BL20" i="90"/>
  <c r="BM20" i="90"/>
  <c r="BN20" i="90"/>
  <c r="BO20" i="90"/>
  <c r="AY21" i="90"/>
  <c r="AZ21" i="90"/>
  <c r="BA21" i="90"/>
  <c r="BB21" i="90"/>
  <c r="BC21" i="90"/>
  <c r="BD21" i="90"/>
  <c r="BE21" i="90"/>
  <c r="BF21" i="90"/>
  <c r="BG21" i="90"/>
  <c r="BH21" i="90"/>
  <c r="BI21" i="90"/>
  <c r="BJ21" i="90"/>
  <c r="BK21" i="90"/>
  <c r="BL21" i="90"/>
  <c r="BM21" i="90"/>
  <c r="BN21" i="90"/>
  <c r="BO21" i="90"/>
  <c r="AY22" i="90"/>
  <c r="AZ22" i="90"/>
  <c r="BA22" i="90"/>
  <c r="BB22" i="90"/>
  <c r="BC22" i="90"/>
  <c r="BD22" i="90"/>
  <c r="BE22" i="90"/>
  <c r="BF22" i="90"/>
  <c r="BG22" i="90"/>
  <c r="BH22" i="90"/>
  <c r="BI22" i="90"/>
  <c r="BJ22" i="90"/>
  <c r="BK22" i="90"/>
  <c r="BL22" i="90"/>
  <c r="BM22" i="90"/>
  <c r="BN22" i="90"/>
  <c r="BO22" i="90"/>
  <c r="AY23" i="90"/>
  <c r="AZ23" i="90"/>
  <c r="BA23" i="90"/>
  <c r="BB23" i="90"/>
  <c r="BC23" i="90"/>
  <c r="BD23" i="90"/>
  <c r="BE23" i="90"/>
  <c r="BF23" i="90"/>
  <c r="BG23" i="90"/>
  <c r="BH23" i="90"/>
  <c r="BI23" i="90"/>
  <c r="BJ23" i="90"/>
  <c r="BK23" i="90"/>
  <c r="BL23" i="90"/>
  <c r="BM23" i="90"/>
  <c r="BN23" i="90"/>
  <c r="BO23" i="90"/>
  <c r="AY24" i="90"/>
  <c r="AZ24" i="90"/>
  <c r="BA24" i="90"/>
  <c r="BB24" i="90"/>
  <c r="BC24" i="90"/>
  <c r="BD24" i="90"/>
  <c r="BE24" i="90"/>
  <c r="BF24" i="90"/>
  <c r="BG24" i="90"/>
  <c r="BH24" i="90"/>
  <c r="BI24" i="90"/>
  <c r="BJ24" i="90"/>
  <c r="BK24" i="90"/>
  <c r="BL24" i="90"/>
  <c r="BM24" i="90"/>
  <c r="BN24" i="90"/>
  <c r="BO24" i="90"/>
  <c r="AY25" i="90"/>
  <c r="AZ25" i="90"/>
  <c r="BA25" i="90"/>
  <c r="BB25" i="90"/>
  <c r="BC25" i="90"/>
  <c r="BD25" i="90"/>
  <c r="BE25" i="90"/>
  <c r="BF25" i="90"/>
  <c r="BG25" i="90"/>
  <c r="BH25" i="90"/>
  <c r="BI25" i="90"/>
  <c r="BJ25" i="90"/>
  <c r="BK25" i="90"/>
  <c r="BL25" i="90"/>
  <c r="BM25" i="90"/>
  <c r="BN25" i="90"/>
  <c r="BO25" i="90"/>
  <c r="AY26" i="90"/>
  <c r="AZ26" i="90"/>
  <c r="BA26" i="90"/>
  <c r="BB26" i="90"/>
  <c r="BC26" i="90"/>
  <c r="BD26" i="90"/>
  <c r="BE26" i="90"/>
  <c r="BF26" i="90"/>
  <c r="BG26" i="90"/>
  <c r="BH26" i="90"/>
  <c r="BI26" i="90"/>
  <c r="BJ26" i="90"/>
  <c r="BK26" i="90"/>
  <c r="BL26" i="90"/>
  <c r="BM26" i="90"/>
  <c r="BN26" i="90"/>
  <c r="BO26" i="90"/>
  <c r="AY27" i="90"/>
  <c r="AZ27" i="90"/>
  <c r="BA27" i="90"/>
  <c r="BB27" i="90"/>
  <c r="BC27" i="90"/>
  <c r="BD27" i="90"/>
  <c r="BE27" i="90"/>
  <c r="BF27" i="90"/>
  <c r="BG27" i="90"/>
  <c r="BH27" i="90"/>
  <c r="BI27" i="90"/>
  <c r="BJ27" i="90"/>
  <c r="BK27" i="90"/>
  <c r="BL27" i="90"/>
  <c r="BM27" i="90"/>
  <c r="BN27" i="90"/>
  <c r="BO27" i="90"/>
  <c r="AY28" i="90"/>
  <c r="AZ28" i="90"/>
  <c r="BA28" i="90"/>
  <c r="BB28" i="90"/>
  <c r="BC28" i="90"/>
  <c r="BD28" i="90"/>
  <c r="BE28" i="90"/>
  <c r="BF28" i="90"/>
  <c r="BG28" i="90"/>
  <c r="BH28" i="90"/>
  <c r="BI28" i="90"/>
  <c r="BJ28" i="90"/>
  <c r="BK28" i="90"/>
  <c r="BL28" i="90"/>
  <c r="BM28" i="90"/>
  <c r="BN28" i="90"/>
  <c r="BO28" i="90"/>
  <c r="AY29" i="90"/>
  <c r="AZ29" i="90"/>
  <c r="BA29" i="90"/>
  <c r="BB29" i="90"/>
  <c r="BC29" i="90"/>
  <c r="BD29" i="90"/>
  <c r="BE29" i="90"/>
  <c r="BF29" i="90"/>
  <c r="BG29" i="90"/>
  <c r="BH29" i="90"/>
  <c r="BI29" i="90"/>
  <c r="BJ29" i="90"/>
  <c r="BK29" i="90"/>
  <c r="BL29" i="90"/>
  <c r="BM29" i="90"/>
  <c r="BN29" i="90"/>
  <c r="BO29" i="90"/>
  <c r="AY30" i="90"/>
  <c r="AZ30" i="90"/>
  <c r="BA30" i="90"/>
  <c r="BB30" i="90"/>
  <c r="BC30" i="90"/>
  <c r="BD30" i="90"/>
  <c r="BE30" i="90"/>
  <c r="BF30" i="90"/>
  <c r="BG30" i="90"/>
  <c r="BH30" i="90"/>
  <c r="BI30" i="90"/>
  <c r="BJ30" i="90"/>
  <c r="BK30" i="90"/>
  <c r="BL30" i="90"/>
  <c r="BM30" i="90"/>
  <c r="BN30" i="90"/>
  <c r="BO30" i="90"/>
  <c r="AY31" i="90"/>
  <c r="AZ31" i="90"/>
  <c r="BA31" i="90"/>
  <c r="BB31" i="90"/>
  <c r="BC31" i="90"/>
  <c r="BD31" i="90"/>
  <c r="BE31" i="90"/>
  <c r="BF31" i="90"/>
  <c r="BG31" i="90"/>
  <c r="BH31" i="90"/>
  <c r="BI31" i="90"/>
  <c r="BJ31" i="90"/>
  <c r="BK31" i="90"/>
  <c r="BL31" i="90"/>
  <c r="BM31" i="90"/>
  <c r="BN31" i="90"/>
  <c r="BO31" i="90"/>
  <c r="AY32" i="90"/>
  <c r="AZ32" i="90"/>
  <c r="BA32" i="90"/>
  <c r="BB32" i="90"/>
  <c r="BC32" i="90"/>
  <c r="BD32" i="90"/>
  <c r="BE32" i="90"/>
  <c r="BF32" i="90"/>
  <c r="BG32" i="90"/>
  <c r="BH32" i="90"/>
  <c r="BI32" i="90"/>
  <c r="BJ32" i="90"/>
  <c r="BK32" i="90"/>
  <c r="BL32" i="90"/>
  <c r="BM32" i="90"/>
  <c r="BN32" i="90"/>
  <c r="BO32" i="90"/>
  <c r="AY33" i="90"/>
  <c r="AZ33" i="90"/>
  <c r="BA33" i="90"/>
  <c r="BB33" i="90"/>
  <c r="BC33" i="90"/>
  <c r="BD33" i="90"/>
  <c r="BE33" i="90"/>
  <c r="BF33" i="90"/>
  <c r="BG33" i="90"/>
  <c r="BH33" i="90"/>
  <c r="BI33" i="90"/>
  <c r="BJ33" i="90"/>
  <c r="BK33" i="90"/>
  <c r="BL33" i="90"/>
  <c r="BM33" i="90"/>
  <c r="BN33" i="90"/>
  <c r="BO33" i="90"/>
  <c r="AY34" i="90"/>
  <c r="AZ34" i="90"/>
  <c r="BA34" i="90"/>
  <c r="BB34" i="90"/>
  <c r="BC34" i="90"/>
  <c r="BD34" i="90"/>
  <c r="BE34" i="90"/>
  <c r="BF34" i="90"/>
  <c r="BG34" i="90"/>
  <c r="BH34" i="90"/>
  <c r="BI34" i="90"/>
  <c r="BJ34" i="90"/>
  <c r="BK34" i="90"/>
  <c r="BL34" i="90"/>
  <c r="BM34" i="90"/>
  <c r="BN34" i="90"/>
  <c r="BO34" i="90"/>
  <c r="AY35" i="90"/>
  <c r="AZ35" i="90"/>
  <c r="BA35" i="90"/>
  <c r="BB35" i="90"/>
  <c r="BC35" i="90"/>
  <c r="BD35" i="90"/>
  <c r="BE35" i="90"/>
  <c r="BF35" i="90"/>
  <c r="BG35" i="90"/>
  <c r="BH35" i="90"/>
  <c r="BI35" i="90"/>
  <c r="BJ35" i="90"/>
  <c r="BK35" i="90"/>
  <c r="BL35" i="90"/>
  <c r="BM35" i="90"/>
  <c r="BN35" i="90"/>
  <c r="BO35" i="90"/>
  <c r="AY36" i="90"/>
  <c r="AZ36" i="90"/>
  <c r="BA36" i="90"/>
  <c r="BB36" i="90"/>
  <c r="BC36" i="90"/>
  <c r="BD36" i="90"/>
  <c r="BE36" i="90"/>
  <c r="BF36" i="90"/>
  <c r="BG36" i="90"/>
  <c r="BH36" i="90"/>
  <c r="BI36" i="90"/>
  <c r="BJ36" i="90"/>
  <c r="BK36" i="90"/>
  <c r="BL36" i="90"/>
  <c r="BM36" i="90"/>
  <c r="BN36" i="90"/>
  <c r="BO36" i="90"/>
  <c r="AY37" i="90"/>
  <c r="AZ37" i="90"/>
  <c r="BA37" i="90"/>
  <c r="BB37" i="90"/>
  <c r="BC37" i="90"/>
  <c r="BD37" i="90"/>
  <c r="BE37" i="90"/>
  <c r="BF37" i="90"/>
  <c r="BG37" i="90"/>
  <c r="BH37" i="90"/>
  <c r="BI37" i="90"/>
  <c r="BJ37" i="90"/>
  <c r="BK37" i="90"/>
  <c r="BL37" i="90"/>
  <c r="BM37" i="90"/>
  <c r="BN37" i="90"/>
  <c r="BO37" i="90"/>
  <c r="AY38" i="90"/>
  <c r="AZ38" i="90"/>
  <c r="BA38" i="90"/>
  <c r="BB38" i="90"/>
  <c r="BC38" i="90"/>
  <c r="BD38" i="90"/>
  <c r="BE38" i="90"/>
  <c r="BF38" i="90"/>
  <c r="BG38" i="90"/>
  <c r="BH38" i="90"/>
  <c r="BI38" i="90"/>
  <c r="BJ38" i="90"/>
  <c r="BK38" i="90"/>
  <c r="BL38" i="90"/>
  <c r="BM38" i="90"/>
  <c r="BN38" i="90"/>
  <c r="BO38" i="90"/>
  <c r="AY39" i="90"/>
  <c r="AZ39" i="90"/>
  <c r="BA39" i="90"/>
  <c r="BB39" i="90"/>
  <c r="BC39" i="90"/>
  <c r="BD39" i="90"/>
  <c r="BE39" i="90"/>
  <c r="BF39" i="90"/>
  <c r="BG39" i="90"/>
  <c r="BH39" i="90"/>
  <c r="BI39" i="90"/>
  <c r="BJ39" i="90"/>
  <c r="BK39" i="90"/>
  <c r="BL39" i="90"/>
  <c r="BM39" i="90"/>
  <c r="BN39" i="90"/>
  <c r="BO39" i="90"/>
  <c r="AY40" i="90"/>
  <c r="AZ40" i="90"/>
  <c r="BA40" i="90"/>
  <c r="BB40" i="90"/>
  <c r="BC40" i="90"/>
  <c r="BD40" i="90"/>
  <c r="BE40" i="90"/>
  <c r="BF40" i="90"/>
  <c r="BG40" i="90"/>
  <c r="BH40" i="90"/>
  <c r="BI40" i="90"/>
  <c r="BJ40" i="90"/>
  <c r="BK40" i="90"/>
  <c r="BL40" i="90"/>
  <c r="BM40" i="90"/>
  <c r="BN40" i="90"/>
  <c r="BO40" i="90"/>
  <c r="AY41" i="90"/>
  <c r="AZ41" i="90"/>
  <c r="BA41" i="90"/>
  <c r="BB41" i="90"/>
  <c r="BC41" i="90"/>
  <c r="BD41" i="90"/>
  <c r="BE41" i="90"/>
  <c r="BF41" i="90"/>
  <c r="BG41" i="90"/>
  <c r="BH41" i="90"/>
  <c r="BI41" i="90"/>
  <c r="BJ41" i="90"/>
  <c r="BK41" i="90"/>
  <c r="BL41" i="90"/>
  <c r="BM41" i="90"/>
  <c r="BN41" i="90"/>
  <c r="BO41" i="90"/>
  <c r="AY42" i="90"/>
  <c r="AZ42" i="90"/>
  <c r="BA42" i="90"/>
  <c r="BB42" i="90"/>
  <c r="BC42" i="90"/>
  <c r="BD42" i="90"/>
  <c r="BE42" i="90"/>
  <c r="BF42" i="90"/>
  <c r="BG42" i="90"/>
  <c r="BH42" i="90"/>
  <c r="BI42" i="90"/>
  <c r="BJ42" i="90"/>
  <c r="BK42" i="90"/>
  <c r="BL42" i="90"/>
  <c r="BM42" i="90"/>
  <c r="BN42" i="90"/>
  <c r="BO42" i="90"/>
  <c r="AY43" i="90"/>
  <c r="AZ43" i="90"/>
  <c r="BA43" i="90"/>
  <c r="BB43" i="90"/>
  <c r="BC43" i="90"/>
  <c r="BD43" i="90"/>
  <c r="BE43" i="90"/>
  <c r="BF43" i="90"/>
  <c r="BG43" i="90"/>
  <c r="BH43" i="90"/>
  <c r="BI43" i="90"/>
  <c r="BJ43" i="90"/>
  <c r="BK43" i="90"/>
  <c r="BL43" i="90"/>
  <c r="BM43" i="90"/>
  <c r="BN43" i="90"/>
  <c r="BO43" i="90"/>
  <c r="AY44" i="90"/>
  <c r="AZ44" i="90"/>
  <c r="BA44" i="90"/>
  <c r="BB44" i="90"/>
  <c r="BC44" i="90"/>
  <c r="BD44" i="90"/>
  <c r="BE44" i="90"/>
  <c r="BF44" i="90"/>
  <c r="BG44" i="90"/>
  <c r="BH44" i="90"/>
  <c r="BI44" i="90"/>
  <c r="BJ44" i="90"/>
  <c r="BK44" i="90"/>
  <c r="BL44" i="90"/>
  <c r="BM44" i="90"/>
  <c r="BN44" i="90"/>
  <c r="BO44" i="90"/>
  <c r="AY45" i="90"/>
  <c r="AZ45" i="90"/>
  <c r="BA45" i="90"/>
  <c r="BB45" i="90"/>
  <c r="BC45" i="90"/>
  <c r="BD45" i="90"/>
  <c r="BE45" i="90"/>
  <c r="BF45" i="90"/>
  <c r="BG45" i="90"/>
  <c r="BH45" i="90"/>
  <c r="BI45" i="90"/>
  <c r="BJ45" i="90"/>
  <c r="BK45" i="90"/>
  <c r="BL45" i="90"/>
  <c r="BM45" i="90"/>
  <c r="BN45" i="90"/>
  <c r="BO45" i="90"/>
  <c r="AY46" i="90"/>
  <c r="AZ46" i="90"/>
  <c r="BA46" i="90"/>
  <c r="BB46" i="90"/>
  <c r="BC46" i="90"/>
  <c r="BD46" i="90"/>
  <c r="BE46" i="90"/>
  <c r="BF46" i="90"/>
  <c r="BG46" i="90"/>
  <c r="BH46" i="90"/>
  <c r="BI46" i="90"/>
  <c r="BJ46" i="90"/>
  <c r="BK46" i="90"/>
  <c r="BL46" i="90"/>
  <c r="BM46" i="90"/>
  <c r="BN46" i="90"/>
  <c r="BO46" i="90"/>
  <c r="AY47" i="90"/>
  <c r="AZ47" i="90"/>
  <c r="BA47" i="90"/>
  <c r="BB47" i="90"/>
  <c r="BC47" i="90"/>
  <c r="BD47" i="90"/>
  <c r="BE47" i="90"/>
  <c r="BF47" i="90"/>
  <c r="BG47" i="90"/>
  <c r="BH47" i="90"/>
  <c r="BI47" i="90"/>
  <c r="BJ47" i="90"/>
  <c r="BK47" i="90"/>
  <c r="BL47" i="90"/>
  <c r="BM47" i="90"/>
  <c r="BN47" i="90"/>
  <c r="BO47" i="90"/>
  <c r="AY48" i="90"/>
  <c r="AZ48" i="90"/>
  <c r="BA48" i="90"/>
  <c r="BB48" i="90"/>
  <c r="BC48" i="90"/>
  <c r="BD48" i="90"/>
  <c r="BE48" i="90"/>
  <c r="BF48" i="90"/>
  <c r="BG48" i="90"/>
  <c r="BH48" i="90"/>
  <c r="BI48" i="90"/>
  <c r="BJ48" i="90"/>
  <c r="BK48" i="90"/>
  <c r="BL48" i="90"/>
  <c r="BM48" i="90"/>
  <c r="BN48" i="90"/>
  <c r="BO48" i="90"/>
  <c r="AY49" i="90"/>
  <c r="AZ49" i="90"/>
  <c r="BA49" i="90"/>
  <c r="BB49" i="90"/>
  <c r="BC49" i="90"/>
  <c r="BD49" i="90"/>
  <c r="BE49" i="90"/>
  <c r="BF49" i="90"/>
  <c r="BG49" i="90"/>
  <c r="BH49" i="90"/>
  <c r="BI49" i="90"/>
  <c r="BJ49" i="90"/>
  <c r="BK49" i="90"/>
  <c r="BL49" i="90"/>
  <c r="BM49" i="90"/>
  <c r="BN49" i="90"/>
  <c r="BO49" i="90"/>
  <c r="AY50" i="90"/>
  <c r="AZ50" i="90"/>
  <c r="BA50" i="90"/>
  <c r="BB50" i="90"/>
  <c r="BC50" i="90"/>
  <c r="BD50" i="90"/>
  <c r="BE50" i="90"/>
  <c r="BF50" i="90"/>
  <c r="BG50" i="90"/>
  <c r="BH50" i="90"/>
  <c r="BI50" i="90"/>
  <c r="BJ50" i="90"/>
  <c r="BK50" i="90"/>
  <c r="BL50" i="90"/>
  <c r="BM50" i="90"/>
  <c r="BN50" i="90"/>
  <c r="BO50" i="90"/>
  <c r="AY51" i="90"/>
  <c r="AZ51" i="90"/>
  <c r="BA51" i="90"/>
  <c r="BB51" i="90"/>
  <c r="BC51" i="90"/>
  <c r="BD51" i="90"/>
  <c r="BE51" i="90"/>
  <c r="BF51" i="90"/>
  <c r="BG51" i="90"/>
  <c r="BH51" i="90"/>
  <c r="BI51" i="90"/>
  <c r="BJ51" i="90"/>
  <c r="BK51" i="90"/>
  <c r="BL51" i="90"/>
  <c r="BM51" i="90"/>
  <c r="BN51" i="90"/>
  <c r="BO51" i="90"/>
  <c r="AY52" i="90"/>
  <c r="AZ52" i="90"/>
  <c r="BA52" i="90"/>
  <c r="BB52" i="90"/>
  <c r="BC52" i="90"/>
  <c r="BD52" i="90"/>
  <c r="BE52" i="90"/>
  <c r="BF52" i="90"/>
  <c r="BG52" i="90"/>
  <c r="BH52" i="90"/>
  <c r="BI52" i="90"/>
  <c r="BJ52" i="90"/>
  <c r="BK52" i="90"/>
  <c r="BL52" i="90"/>
  <c r="BM52" i="90"/>
  <c r="BN52" i="90"/>
  <c r="BO52" i="90"/>
  <c r="AY53" i="90"/>
  <c r="AZ53" i="90"/>
  <c r="BA53" i="90"/>
  <c r="BB53" i="90"/>
  <c r="BC53" i="90"/>
  <c r="BD53" i="90"/>
  <c r="BE53" i="90"/>
  <c r="BF53" i="90"/>
  <c r="BG53" i="90"/>
  <c r="BH53" i="90"/>
  <c r="BI53" i="90"/>
  <c r="BJ53" i="90"/>
  <c r="BK53" i="90"/>
  <c r="BL53" i="90"/>
  <c r="BM53" i="90"/>
  <c r="BN53" i="90"/>
  <c r="BO53" i="90"/>
  <c r="AY54" i="90"/>
  <c r="AZ54" i="90"/>
  <c r="BA54" i="90"/>
  <c r="BB54" i="90"/>
  <c r="BC54" i="90"/>
  <c r="BD54" i="90"/>
  <c r="BE54" i="90"/>
  <c r="BF54" i="90"/>
  <c r="BG54" i="90"/>
  <c r="BH54" i="90"/>
  <c r="BI54" i="90"/>
  <c r="BJ54" i="90"/>
  <c r="BK54" i="90"/>
  <c r="BL54" i="90"/>
  <c r="BM54" i="90"/>
  <c r="BN54" i="90"/>
  <c r="BO54" i="90"/>
  <c r="AY55" i="90"/>
  <c r="AZ55" i="90"/>
  <c r="BA55" i="90"/>
  <c r="BB55" i="90"/>
  <c r="BC55" i="90"/>
  <c r="BD55" i="90"/>
  <c r="BE55" i="90"/>
  <c r="BF55" i="90"/>
  <c r="BG55" i="90"/>
  <c r="BH55" i="90"/>
  <c r="BI55" i="90"/>
  <c r="BJ55" i="90"/>
  <c r="BK55" i="90"/>
  <c r="BL55" i="90"/>
  <c r="BM55" i="90"/>
  <c r="BN55" i="90"/>
  <c r="BO55" i="90"/>
  <c r="AY56" i="90"/>
  <c r="AZ56" i="90"/>
  <c r="BA56" i="90"/>
  <c r="BB56" i="90"/>
  <c r="BC56" i="90"/>
  <c r="BD56" i="90"/>
  <c r="BE56" i="90"/>
  <c r="BF56" i="90"/>
  <c r="BG56" i="90"/>
  <c r="BH56" i="90"/>
  <c r="BI56" i="90"/>
  <c r="BJ56" i="90"/>
  <c r="BK56" i="90"/>
  <c r="BL56" i="90"/>
  <c r="BM56" i="90"/>
  <c r="BN56" i="90"/>
  <c r="BO56" i="90"/>
  <c r="AY57" i="90"/>
  <c r="AZ57" i="90"/>
  <c r="BA57" i="90"/>
  <c r="BB57" i="90"/>
  <c r="BC57" i="90"/>
  <c r="BD57" i="90"/>
  <c r="BE57" i="90"/>
  <c r="BF57" i="90"/>
  <c r="BG57" i="90"/>
  <c r="BH57" i="90"/>
  <c r="BI57" i="90"/>
  <c r="BJ57" i="90"/>
  <c r="BK57" i="90"/>
  <c r="BL57" i="90"/>
  <c r="BM57" i="90"/>
  <c r="BN57" i="90"/>
  <c r="BO57" i="90"/>
  <c r="AY58" i="90"/>
  <c r="AZ58" i="90"/>
  <c r="BA58" i="90"/>
  <c r="BB58" i="90"/>
  <c r="BC58" i="90"/>
  <c r="BD58" i="90"/>
  <c r="BE58" i="90"/>
  <c r="BF58" i="90"/>
  <c r="BG58" i="90"/>
  <c r="BH58" i="90"/>
  <c r="BI58" i="90"/>
  <c r="BJ58" i="90"/>
  <c r="BK58" i="90"/>
  <c r="BL58" i="90"/>
  <c r="BM58" i="90"/>
  <c r="BN58" i="90"/>
  <c r="BO58" i="90"/>
  <c r="AY59" i="90"/>
  <c r="AZ59" i="90"/>
  <c r="BA59" i="90"/>
  <c r="BB59" i="90"/>
  <c r="BC59" i="90"/>
  <c r="BD59" i="90"/>
  <c r="BE59" i="90"/>
  <c r="BF59" i="90"/>
  <c r="BG59" i="90"/>
  <c r="BH59" i="90"/>
  <c r="BI59" i="90"/>
  <c r="BJ59" i="90"/>
  <c r="BK59" i="90"/>
  <c r="BL59" i="90"/>
  <c r="BM59" i="90"/>
  <c r="BN59" i="90"/>
  <c r="BO59" i="90"/>
  <c r="AY60" i="90"/>
  <c r="AZ60" i="90"/>
  <c r="BA60" i="90"/>
  <c r="BB60" i="90"/>
  <c r="BC60" i="90"/>
  <c r="BD60" i="90"/>
  <c r="BE60" i="90"/>
  <c r="BF60" i="90"/>
  <c r="BG60" i="90"/>
  <c r="BH60" i="90"/>
  <c r="BI60" i="90"/>
  <c r="BJ60" i="90"/>
  <c r="BK60" i="90"/>
  <c r="BL60" i="90"/>
  <c r="BM60" i="90"/>
  <c r="BN60" i="90"/>
  <c r="BO60" i="90"/>
  <c r="AY61" i="90"/>
  <c r="AZ61" i="90"/>
  <c r="BA61" i="90"/>
  <c r="BB61" i="90"/>
  <c r="BC61" i="90"/>
  <c r="BD61" i="90"/>
  <c r="BE61" i="90"/>
  <c r="BF61" i="90"/>
  <c r="BG61" i="90"/>
  <c r="BH61" i="90"/>
  <c r="BI61" i="90"/>
  <c r="BJ61" i="90"/>
  <c r="BK61" i="90"/>
  <c r="BL61" i="90"/>
  <c r="BM61" i="90"/>
  <c r="BN61" i="90"/>
  <c r="BO61" i="90"/>
  <c r="AY62" i="90"/>
  <c r="AZ62" i="90"/>
  <c r="BA62" i="90"/>
  <c r="BB62" i="90"/>
  <c r="BC62" i="90"/>
  <c r="BD62" i="90"/>
  <c r="BE62" i="90"/>
  <c r="BF62" i="90"/>
  <c r="BG62" i="90"/>
  <c r="BH62" i="90"/>
  <c r="BI62" i="90"/>
  <c r="BJ62" i="90"/>
  <c r="BK62" i="90"/>
  <c r="BL62" i="90"/>
  <c r="BM62" i="90"/>
  <c r="BN62" i="90"/>
  <c r="BO62" i="90"/>
  <c r="AY63" i="90"/>
  <c r="AZ63" i="90"/>
  <c r="BA63" i="90"/>
  <c r="BB63" i="90"/>
  <c r="BC63" i="90"/>
  <c r="BD63" i="90"/>
  <c r="BE63" i="90"/>
  <c r="BF63" i="90"/>
  <c r="BG63" i="90"/>
  <c r="BH63" i="90"/>
  <c r="BI63" i="90"/>
  <c r="BJ63" i="90"/>
  <c r="BK63" i="90"/>
  <c r="BL63" i="90"/>
  <c r="BM63" i="90"/>
  <c r="BN63" i="90"/>
  <c r="BO63" i="90"/>
  <c r="AY64" i="90"/>
  <c r="AZ64" i="90"/>
  <c r="BA64" i="90"/>
  <c r="BB64" i="90"/>
  <c r="BC64" i="90"/>
  <c r="BD64" i="90"/>
  <c r="BE64" i="90"/>
  <c r="BF64" i="90"/>
  <c r="BG64" i="90"/>
  <c r="BH64" i="90"/>
  <c r="BI64" i="90"/>
  <c r="BJ64" i="90"/>
  <c r="BK64" i="90"/>
  <c r="BL64" i="90"/>
  <c r="BM64" i="90"/>
  <c r="BN64" i="90"/>
  <c r="BO64" i="90"/>
  <c r="AY65" i="90"/>
  <c r="AZ65" i="90"/>
  <c r="BA65" i="90"/>
  <c r="BB65" i="90"/>
  <c r="BC65" i="90"/>
  <c r="BD65" i="90"/>
  <c r="BE65" i="90"/>
  <c r="BF65" i="90"/>
  <c r="BG65" i="90"/>
  <c r="BH65" i="90"/>
  <c r="BI65" i="90"/>
  <c r="BJ65" i="90"/>
  <c r="BK65" i="90"/>
  <c r="BL65" i="90"/>
  <c r="BM65" i="90"/>
  <c r="BN65" i="90"/>
  <c r="BO65" i="90"/>
  <c r="AY66" i="90"/>
  <c r="AZ66" i="90"/>
  <c r="BA66" i="90"/>
  <c r="BB66" i="90"/>
  <c r="BC66" i="90"/>
  <c r="BD66" i="90"/>
  <c r="BE66" i="90"/>
  <c r="BF66" i="90"/>
  <c r="BG66" i="90"/>
  <c r="BH66" i="90"/>
  <c r="BI66" i="90"/>
  <c r="BJ66" i="90"/>
  <c r="BK66" i="90"/>
  <c r="BL66" i="90"/>
  <c r="BM66" i="90"/>
  <c r="BN66" i="90"/>
  <c r="BO66" i="90"/>
  <c r="AY67" i="90"/>
  <c r="AZ67" i="90"/>
  <c r="BA67" i="90"/>
  <c r="BB67" i="90"/>
  <c r="BC67" i="90"/>
  <c r="BD67" i="90"/>
  <c r="BE67" i="90"/>
  <c r="BF67" i="90"/>
  <c r="BG67" i="90"/>
  <c r="BH67" i="90"/>
  <c r="BI67" i="90"/>
  <c r="BJ67" i="90"/>
  <c r="BK67" i="90"/>
  <c r="BL67" i="90"/>
  <c r="BM67" i="90"/>
  <c r="BN67" i="90"/>
  <c r="BO67" i="90"/>
  <c r="AY68" i="90"/>
  <c r="AZ68" i="90"/>
  <c r="BA68" i="90"/>
  <c r="BB68" i="90"/>
  <c r="BC68" i="90"/>
  <c r="BD68" i="90"/>
  <c r="BE68" i="90"/>
  <c r="BF68" i="90"/>
  <c r="BG68" i="90"/>
  <c r="BH68" i="90"/>
  <c r="BI68" i="90"/>
  <c r="BJ68" i="90"/>
  <c r="BK68" i="90"/>
  <c r="BL68" i="90"/>
  <c r="BM68" i="90"/>
  <c r="BN68" i="90"/>
  <c r="BO68" i="90"/>
  <c r="AY69" i="90"/>
  <c r="AZ69" i="90"/>
  <c r="BA69" i="90"/>
  <c r="BB69" i="90"/>
  <c r="BC69" i="90"/>
  <c r="BD69" i="90"/>
  <c r="BE69" i="90"/>
  <c r="BF69" i="90"/>
  <c r="BG69" i="90"/>
  <c r="BH69" i="90"/>
  <c r="BI69" i="90"/>
  <c r="BJ69" i="90"/>
  <c r="BK69" i="90"/>
  <c r="BL69" i="90"/>
  <c r="BM69" i="90"/>
  <c r="BN69" i="90"/>
  <c r="BO69" i="90"/>
  <c r="AY70" i="90"/>
  <c r="AZ70" i="90"/>
  <c r="BA70" i="90"/>
  <c r="BB70" i="90"/>
  <c r="BC70" i="90"/>
  <c r="BD70" i="90"/>
  <c r="BE70" i="90"/>
  <c r="BF70" i="90"/>
  <c r="BG70" i="90"/>
  <c r="BH70" i="90"/>
  <c r="BI70" i="90"/>
  <c r="BJ70" i="90"/>
  <c r="BK70" i="90"/>
  <c r="BL70" i="90"/>
  <c r="BM70" i="90"/>
  <c r="BN70" i="90"/>
  <c r="BO70" i="90"/>
  <c r="AY71" i="90"/>
  <c r="AZ71" i="90"/>
  <c r="BA71" i="90"/>
  <c r="BB71" i="90"/>
  <c r="BC71" i="90"/>
  <c r="BD71" i="90"/>
  <c r="BE71" i="90"/>
  <c r="BF71" i="90"/>
  <c r="BG71" i="90"/>
  <c r="BH71" i="90"/>
  <c r="BI71" i="90"/>
  <c r="BJ71" i="90"/>
  <c r="BK71" i="90"/>
  <c r="BL71" i="90"/>
  <c r="BM71" i="90"/>
  <c r="BN71" i="90"/>
  <c r="BO71" i="90"/>
  <c r="AY72" i="90"/>
  <c r="AZ72" i="90"/>
  <c r="BA72" i="90"/>
  <c r="BB72" i="90"/>
  <c r="BC72" i="90"/>
  <c r="BD72" i="90"/>
  <c r="BE72" i="90"/>
  <c r="BF72" i="90"/>
  <c r="BG72" i="90"/>
  <c r="BH72" i="90"/>
  <c r="BI72" i="90"/>
  <c r="BJ72" i="90"/>
  <c r="BK72" i="90"/>
  <c r="BL72" i="90"/>
  <c r="BM72" i="90"/>
  <c r="BN72" i="90"/>
  <c r="BO72" i="90"/>
  <c r="AY73" i="90"/>
  <c r="AZ73" i="90"/>
  <c r="BA73" i="90"/>
  <c r="BB73" i="90"/>
  <c r="BC73" i="90"/>
  <c r="BD73" i="90"/>
  <c r="BE73" i="90"/>
  <c r="BF73" i="90"/>
  <c r="BG73" i="90"/>
  <c r="BH73" i="90"/>
  <c r="BI73" i="90"/>
  <c r="BJ73" i="90"/>
  <c r="BK73" i="90"/>
  <c r="BL73" i="90"/>
  <c r="BM73" i="90"/>
  <c r="BN73" i="90"/>
  <c r="BO73" i="90"/>
  <c r="AY74" i="90"/>
  <c r="AZ74" i="90"/>
  <c r="BA74" i="90"/>
  <c r="BB74" i="90"/>
  <c r="BC74" i="90"/>
  <c r="BD74" i="90"/>
  <c r="BE74" i="90"/>
  <c r="BF74" i="90"/>
  <c r="BG74" i="90"/>
  <c r="BH74" i="90"/>
  <c r="BI74" i="90"/>
  <c r="BJ74" i="90"/>
  <c r="BK74" i="90"/>
  <c r="BL74" i="90"/>
  <c r="BM74" i="90"/>
  <c r="BN74" i="90"/>
  <c r="BO74" i="90"/>
  <c r="AY75" i="90"/>
  <c r="AZ75" i="90"/>
  <c r="BA75" i="90"/>
  <c r="BB75" i="90"/>
  <c r="BC75" i="90"/>
  <c r="BD75" i="90"/>
  <c r="BE75" i="90"/>
  <c r="BF75" i="90"/>
  <c r="BG75" i="90"/>
  <c r="BH75" i="90"/>
  <c r="BI75" i="90"/>
  <c r="BJ75" i="90"/>
  <c r="BK75" i="90"/>
  <c r="BL75" i="90"/>
  <c r="BM75" i="90"/>
  <c r="BN75" i="90"/>
  <c r="BO75" i="90"/>
  <c r="AY76" i="90"/>
  <c r="AZ76" i="90"/>
  <c r="BA76" i="90"/>
  <c r="BB76" i="90"/>
  <c r="BC76" i="90"/>
  <c r="BD76" i="90"/>
  <c r="BE76" i="90"/>
  <c r="BF76" i="90"/>
  <c r="BG76" i="90"/>
  <c r="BH76" i="90"/>
  <c r="BI76" i="90"/>
  <c r="BJ76" i="90"/>
  <c r="BK76" i="90"/>
  <c r="BL76" i="90"/>
  <c r="BM76" i="90"/>
  <c r="BN76" i="90"/>
  <c r="BO76" i="90"/>
  <c r="AY77" i="90"/>
  <c r="AZ77" i="90"/>
  <c r="BA77" i="90"/>
  <c r="BB77" i="90"/>
  <c r="BC77" i="90"/>
  <c r="BD77" i="90"/>
  <c r="BE77" i="90"/>
  <c r="BF77" i="90"/>
  <c r="BG77" i="90"/>
  <c r="BH77" i="90"/>
  <c r="BI77" i="90"/>
  <c r="BJ77" i="90"/>
  <c r="BK77" i="90"/>
  <c r="BL77" i="90"/>
  <c r="BM77" i="90"/>
  <c r="BN77" i="90"/>
  <c r="BO77" i="90"/>
  <c r="AY78" i="90"/>
  <c r="AZ78" i="90"/>
  <c r="BA78" i="90"/>
  <c r="BB78" i="90"/>
  <c r="BC78" i="90"/>
  <c r="BD78" i="90"/>
  <c r="BE78" i="90"/>
  <c r="BF78" i="90"/>
  <c r="BG78" i="90"/>
  <c r="BH78" i="90"/>
  <c r="BI78" i="90"/>
  <c r="BJ78" i="90"/>
  <c r="BK78" i="90"/>
  <c r="BL78" i="90"/>
  <c r="BM78" i="90"/>
  <c r="BN78" i="90"/>
  <c r="BO78" i="90"/>
  <c r="AY79" i="90"/>
  <c r="AZ79" i="90"/>
  <c r="BA79" i="90"/>
  <c r="BB79" i="90"/>
  <c r="BC79" i="90"/>
  <c r="BD79" i="90"/>
  <c r="BE79" i="90"/>
  <c r="BF79" i="90"/>
  <c r="BG79" i="90"/>
  <c r="BH79" i="90"/>
  <c r="BI79" i="90"/>
  <c r="BJ79" i="90"/>
  <c r="BK79" i="90"/>
  <c r="BL79" i="90"/>
  <c r="BM79" i="90"/>
  <c r="BN79" i="90"/>
  <c r="BO79" i="90"/>
  <c r="AY80" i="90"/>
  <c r="AZ80" i="90"/>
  <c r="BA80" i="90"/>
  <c r="BB80" i="90"/>
  <c r="BC80" i="90"/>
  <c r="BD80" i="90"/>
  <c r="BE80" i="90"/>
  <c r="BF80" i="90"/>
  <c r="BG80" i="90"/>
  <c r="BH80" i="90"/>
  <c r="BI80" i="90"/>
  <c r="BJ80" i="90"/>
  <c r="BK80" i="90"/>
  <c r="BL80" i="90"/>
  <c r="BM80" i="90"/>
  <c r="BN80" i="90"/>
  <c r="BO80" i="90"/>
  <c r="AY81" i="90"/>
  <c r="AZ81" i="90"/>
  <c r="BA81" i="90"/>
  <c r="BB81" i="90"/>
  <c r="BC81" i="90"/>
  <c r="BD81" i="90"/>
  <c r="BE81" i="90"/>
  <c r="BF81" i="90"/>
  <c r="BG81" i="90"/>
  <c r="BH81" i="90"/>
  <c r="BI81" i="90"/>
  <c r="BJ81" i="90"/>
  <c r="BK81" i="90"/>
  <c r="BL81" i="90"/>
  <c r="BM81" i="90"/>
  <c r="BN81" i="90"/>
  <c r="BO81" i="90"/>
  <c r="AY82" i="90"/>
  <c r="AZ82" i="90"/>
  <c r="BA82" i="90"/>
  <c r="BB82" i="90"/>
  <c r="BC82" i="90"/>
  <c r="BD82" i="90"/>
  <c r="BE82" i="90"/>
  <c r="BF82" i="90"/>
  <c r="BG82" i="90"/>
  <c r="BH82" i="90"/>
  <c r="BI82" i="90"/>
  <c r="BJ82" i="90"/>
  <c r="BK82" i="90"/>
  <c r="BL82" i="90"/>
  <c r="BM82" i="90"/>
  <c r="BN82" i="90"/>
  <c r="BO82" i="90"/>
  <c r="AY83" i="90"/>
  <c r="AZ83" i="90"/>
  <c r="BA83" i="90"/>
  <c r="BB83" i="90"/>
  <c r="BC83" i="90"/>
  <c r="BD83" i="90"/>
  <c r="BE83" i="90"/>
  <c r="BF83" i="90"/>
  <c r="BG83" i="90"/>
  <c r="BH83" i="90"/>
  <c r="BI83" i="90"/>
  <c r="BJ83" i="90"/>
  <c r="BK83" i="90"/>
  <c r="BL83" i="90"/>
  <c r="BM83" i="90"/>
  <c r="BN83" i="90"/>
  <c r="BO83" i="90"/>
  <c r="AY84" i="90"/>
  <c r="AZ84" i="90"/>
  <c r="BA84" i="90"/>
  <c r="BB84" i="90"/>
  <c r="BC84" i="90"/>
  <c r="BD84" i="90"/>
  <c r="BE84" i="90"/>
  <c r="BF84" i="90"/>
  <c r="BG84" i="90"/>
  <c r="BH84" i="90"/>
  <c r="BI84" i="90"/>
  <c r="BJ84" i="90"/>
  <c r="BK84" i="90"/>
  <c r="BL84" i="90"/>
  <c r="BM84" i="90"/>
  <c r="BN84" i="90"/>
  <c r="BO84" i="90"/>
  <c r="AY85" i="90"/>
  <c r="AZ85" i="90"/>
  <c r="BA85" i="90"/>
  <c r="BB85" i="90"/>
  <c r="BC85" i="90"/>
  <c r="BD85" i="90"/>
  <c r="BE85" i="90"/>
  <c r="BF85" i="90"/>
  <c r="BG85" i="90"/>
  <c r="BH85" i="90"/>
  <c r="BI85" i="90"/>
  <c r="BJ85" i="90"/>
  <c r="BK85" i="90"/>
  <c r="BL85" i="90"/>
  <c r="BM85" i="90"/>
  <c r="BN85" i="90"/>
  <c r="BO85" i="90"/>
  <c r="AY86" i="90"/>
  <c r="AZ86" i="90"/>
  <c r="BA86" i="90"/>
  <c r="BB86" i="90"/>
  <c r="BC86" i="90"/>
  <c r="BD86" i="90"/>
  <c r="BE86" i="90"/>
  <c r="BF86" i="90"/>
  <c r="BG86" i="90"/>
  <c r="BH86" i="90"/>
  <c r="BI86" i="90"/>
  <c r="BJ86" i="90"/>
  <c r="BK86" i="90"/>
  <c r="BL86" i="90"/>
  <c r="BM86" i="90"/>
  <c r="BN86" i="90"/>
  <c r="BO86" i="90"/>
  <c r="AY87" i="90"/>
  <c r="AZ87" i="90"/>
  <c r="BA87" i="90"/>
  <c r="BB87" i="90"/>
  <c r="BC87" i="90"/>
  <c r="BD87" i="90"/>
  <c r="BE87" i="90"/>
  <c r="BF87" i="90"/>
  <c r="BG87" i="90"/>
  <c r="BH87" i="90"/>
  <c r="BI87" i="90"/>
  <c r="BJ87" i="90"/>
  <c r="BK87" i="90"/>
  <c r="BL87" i="90"/>
  <c r="BM87" i="90"/>
  <c r="BN87" i="90"/>
  <c r="BO87" i="90"/>
  <c r="AY88" i="90"/>
  <c r="AZ88" i="90"/>
  <c r="BA88" i="90"/>
  <c r="BB88" i="90"/>
  <c r="BC88" i="90"/>
  <c r="BD88" i="90"/>
  <c r="BE88" i="90"/>
  <c r="BF88" i="90"/>
  <c r="BG88" i="90"/>
  <c r="BH88" i="90"/>
  <c r="BI88" i="90"/>
  <c r="BJ88" i="90"/>
  <c r="BK88" i="90"/>
  <c r="BL88" i="90"/>
  <c r="BM88" i="90"/>
  <c r="BN88" i="90"/>
  <c r="BO88" i="90"/>
  <c r="AY89" i="90"/>
  <c r="AZ89" i="90"/>
  <c r="BA89" i="90"/>
  <c r="BB89" i="90"/>
  <c r="BC89" i="90"/>
  <c r="BD89" i="90"/>
  <c r="BE89" i="90"/>
  <c r="BF89" i="90"/>
  <c r="BG89" i="90"/>
  <c r="BH89" i="90"/>
  <c r="BI89" i="90"/>
  <c r="BJ89" i="90"/>
  <c r="BK89" i="90"/>
  <c r="BL89" i="90"/>
  <c r="BM89" i="90"/>
  <c r="BN89" i="90"/>
  <c r="BO89" i="90"/>
  <c r="AY90" i="90"/>
  <c r="AZ90" i="90"/>
  <c r="BA90" i="90"/>
  <c r="BB90" i="90"/>
  <c r="BC90" i="90"/>
  <c r="BD90" i="90"/>
  <c r="BE90" i="90"/>
  <c r="BF90" i="90"/>
  <c r="BG90" i="90"/>
  <c r="BH90" i="90"/>
  <c r="BI90" i="90"/>
  <c r="BJ90" i="90"/>
  <c r="BK90" i="90"/>
  <c r="BL90" i="90"/>
  <c r="BM90" i="90"/>
  <c r="BN90" i="90"/>
  <c r="BO90" i="90"/>
  <c r="AY91" i="90"/>
  <c r="AZ91" i="90"/>
  <c r="BA91" i="90"/>
  <c r="BB91" i="90"/>
  <c r="BC91" i="90"/>
  <c r="BD91" i="90"/>
  <c r="BE91" i="90"/>
  <c r="BF91" i="90"/>
  <c r="BG91" i="90"/>
  <c r="BH91" i="90"/>
  <c r="BI91" i="90"/>
  <c r="BJ91" i="90"/>
  <c r="BK91" i="90"/>
  <c r="BL91" i="90"/>
  <c r="BM91" i="90"/>
  <c r="BN91" i="90"/>
  <c r="BO91" i="90"/>
  <c r="AY92" i="90"/>
  <c r="AZ92" i="90"/>
  <c r="BA92" i="90"/>
  <c r="BB92" i="90"/>
  <c r="BC92" i="90"/>
  <c r="BD92" i="90"/>
  <c r="BE92" i="90"/>
  <c r="BF92" i="90"/>
  <c r="BG92" i="90"/>
  <c r="BH92" i="90"/>
  <c r="BI92" i="90"/>
  <c r="BJ92" i="90"/>
  <c r="BK92" i="90"/>
  <c r="BL92" i="90"/>
  <c r="BM92" i="90"/>
  <c r="BN92" i="90"/>
  <c r="BO92" i="90"/>
  <c r="AY93" i="90"/>
  <c r="AZ93" i="90"/>
  <c r="BA93" i="90"/>
  <c r="BB93" i="90"/>
  <c r="BC93" i="90"/>
  <c r="BD93" i="90"/>
  <c r="BE93" i="90"/>
  <c r="BF93" i="90"/>
  <c r="BG93" i="90"/>
  <c r="BH93" i="90"/>
  <c r="BI93" i="90"/>
  <c r="BJ93" i="90"/>
  <c r="BK93" i="90"/>
  <c r="BL93" i="90"/>
  <c r="BM93" i="90"/>
  <c r="BN93" i="90"/>
  <c r="BO93" i="90"/>
  <c r="AY94" i="90"/>
  <c r="AZ94" i="90"/>
  <c r="BA94" i="90"/>
  <c r="BB94" i="90"/>
  <c r="BC94" i="90"/>
  <c r="BD94" i="90"/>
  <c r="BE94" i="90"/>
  <c r="BF94" i="90"/>
  <c r="BG94" i="90"/>
  <c r="BH94" i="90"/>
  <c r="BI94" i="90"/>
  <c r="BJ94" i="90"/>
  <c r="BK94" i="90"/>
  <c r="BL94" i="90"/>
  <c r="BM94" i="90"/>
  <c r="BN94" i="90"/>
  <c r="BO94" i="90"/>
  <c r="AY95" i="90"/>
  <c r="AZ95" i="90"/>
  <c r="BA95" i="90"/>
  <c r="BB95" i="90"/>
  <c r="BC95" i="90"/>
  <c r="BD95" i="90"/>
  <c r="BE95" i="90"/>
  <c r="BF95" i="90"/>
  <c r="BG95" i="90"/>
  <c r="BH95" i="90"/>
  <c r="BI95" i="90"/>
  <c r="BJ95" i="90"/>
  <c r="BK95" i="90"/>
  <c r="BL95" i="90"/>
  <c r="BM95" i="90"/>
  <c r="BN95" i="90"/>
  <c r="BO95" i="90"/>
  <c r="AY96" i="90"/>
  <c r="AZ96" i="90"/>
  <c r="BA96" i="90"/>
  <c r="BB96" i="90"/>
  <c r="BC96" i="90"/>
  <c r="BD96" i="90"/>
  <c r="BE96" i="90"/>
  <c r="BF96" i="90"/>
  <c r="BG96" i="90"/>
  <c r="BH96" i="90"/>
  <c r="BI96" i="90"/>
  <c r="BJ96" i="90"/>
  <c r="BK96" i="90"/>
  <c r="BL96" i="90"/>
  <c r="BM96" i="90"/>
  <c r="BN96" i="90"/>
  <c r="BO96" i="90"/>
  <c r="AY97" i="90"/>
  <c r="AZ97" i="90"/>
  <c r="BA97" i="90"/>
  <c r="BB97" i="90"/>
  <c r="BC97" i="90"/>
  <c r="BD97" i="90"/>
  <c r="BE97" i="90"/>
  <c r="BF97" i="90"/>
  <c r="BG97" i="90"/>
  <c r="BH97" i="90"/>
  <c r="BI97" i="90"/>
  <c r="BJ97" i="90"/>
  <c r="BK97" i="90"/>
  <c r="BL97" i="90"/>
  <c r="BM97" i="90"/>
  <c r="BN97" i="90"/>
  <c r="BO97" i="90"/>
  <c r="AY98" i="90"/>
  <c r="AZ98" i="90"/>
  <c r="BA98" i="90"/>
  <c r="BB98" i="90"/>
  <c r="BC98" i="90"/>
  <c r="BD98" i="90"/>
  <c r="BE98" i="90"/>
  <c r="BF98" i="90"/>
  <c r="BG98" i="90"/>
  <c r="BH98" i="90"/>
  <c r="BI98" i="90"/>
  <c r="BJ98" i="90"/>
  <c r="BK98" i="90"/>
  <c r="BL98" i="90"/>
  <c r="BM98" i="90"/>
  <c r="BN98" i="90"/>
  <c r="BO98" i="90"/>
  <c r="AY99" i="90"/>
  <c r="AZ99" i="90"/>
  <c r="BA99" i="90"/>
  <c r="BB99" i="90"/>
  <c r="BC99" i="90"/>
  <c r="BD99" i="90"/>
  <c r="BE99" i="90"/>
  <c r="BF99" i="90"/>
  <c r="BG99" i="90"/>
  <c r="BH99" i="90"/>
  <c r="BI99" i="90"/>
  <c r="BJ99" i="90"/>
  <c r="BK99" i="90"/>
  <c r="BL99" i="90"/>
  <c r="BM99" i="90"/>
  <c r="BN99" i="90"/>
  <c r="BO99" i="90"/>
  <c r="AY100" i="90"/>
  <c r="AZ100" i="90"/>
  <c r="BA100" i="90"/>
  <c r="BB100" i="90"/>
  <c r="BC100" i="90"/>
  <c r="BD100" i="90"/>
  <c r="BE100" i="90"/>
  <c r="BF100" i="90"/>
  <c r="BG100" i="90"/>
  <c r="BH100" i="90"/>
  <c r="BI100" i="90"/>
  <c r="BJ100" i="90"/>
  <c r="BK100" i="90"/>
  <c r="BL100" i="90"/>
  <c r="BM100" i="90"/>
  <c r="BN100" i="90"/>
  <c r="BO100" i="90"/>
  <c r="AY101" i="90"/>
  <c r="AZ101" i="90"/>
  <c r="BA101" i="90"/>
  <c r="BB101" i="90"/>
  <c r="BC101" i="90"/>
  <c r="BD101" i="90"/>
  <c r="BE101" i="90"/>
  <c r="BF101" i="90"/>
  <c r="BG101" i="90"/>
  <c r="BH101" i="90"/>
  <c r="BI101" i="90"/>
  <c r="BJ101" i="90"/>
  <c r="BK101" i="90"/>
  <c r="BL101" i="90"/>
  <c r="BM101" i="90"/>
  <c r="BN101" i="90"/>
  <c r="BO101" i="90"/>
  <c r="AY102" i="90"/>
  <c r="AZ102" i="90"/>
  <c r="BA102" i="90"/>
  <c r="BB102" i="90"/>
  <c r="BC102" i="90"/>
  <c r="BD102" i="90"/>
  <c r="BE102" i="90"/>
  <c r="BF102" i="90"/>
  <c r="BG102" i="90"/>
  <c r="BH102" i="90"/>
  <c r="BI102" i="90"/>
  <c r="BJ102" i="90"/>
  <c r="BK102" i="90"/>
  <c r="BL102" i="90"/>
  <c r="BM102" i="90"/>
  <c r="BN102" i="90"/>
  <c r="BO102" i="90"/>
  <c r="AY103" i="90"/>
  <c r="AZ103" i="90"/>
  <c r="BA103" i="90"/>
  <c r="BB103" i="90"/>
  <c r="BC103" i="90"/>
  <c r="BD103" i="90"/>
  <c r="BE103" i="90"/>
  <c r="BF103" i="90"/>
  <c r="BG103" i="90"/>
  <c r="BH103" i="90"/>
  <c r="BI103" i="90"/>
  <c r="BJ103" i="90"/>
  <c r="BK103" i="90"/>
  <c r="BL103" i="90"/>
  <c r="BM103" i="90"/>
  <c r="BN103" i="90"/>
  <c r="BO103" i="90"/>
  <c r="AY104" i="90"/>
  <c r="AZ104" i="90"/>
  <c r="BA104" i="90"/>
  <c r="BB104" i="90"/>
  <c r="BC104" i="90"/>
  <c r="BD104" i="90"/>
  <c r="BE104" i="90"/>
  <c r="BF104" i="90"/>
  <c r="BG104" i="90"/>
  <c r="BH104" i="90"/>
  <c r="BI104" i="90"/>
  <c r="BJ104" i="90"/>
  <c r="BK104" i="90"/>
  <c r="BL104" i="90"/>
  <c r="BM104" i="90"/>
  <c r="BN104" i="90"/>
  <c r="BO104" i="90"/>
  <c r="AY105" i="90"/>
  <c r="AZ105" i="90"/>
  <c r="BA105" i="90"/>
  <c r="BB105" i="90"/>
  <c r="BC105" i="90"/>
  <c r="BD105" i="90"/>
  <c r="BE105" i="90"/>
  <c r="BF105" i="90"/>
  <c r="BG105" i="90"/>
  <c r="BH105" i="90"/>
  <c r="BI105" i="90"/>
  <c r="BJ105" i="90"/>
  <c r="BK105" i="90"/>
  <c r="BL105" i="90"/>
  <c r="BM105" i="90"/>
  <c r="BN105" i="90"/>
  <c r="BO105" i="90"/>
  <c r="AY106" i="90"/>
  <c r="AZ106" i="90"/>
  <c r="BA106" i="90"/>
  <c r="BB106" i="90"/>
  <c r="BC106" i="90"/>
  <c r="BD106" i="90"/>
  <c r="BE106" i="90"/>
  <c r="BF106" i="90"/>
  <c r="BG106" i="90"/>
  <c r="BH106" i="90"/>
  <c r="BI106" i="90"/>
  <c r="BJ106" i="90"/>
  <c r="BK106" i="90"/>
  <c r="BL106" i="90"/>
  <c r="BM106" i="90"/>
  <c r="BN106" i="90"/>
  <c r="BO106" i="90"/>
  <c r="AY107" i="90"/>
  <c r="AZ107" i="90"/>
  <c r="BA107" i="90"/>
  <c r="BB107" i="90"/>
  <c r="BC107" i="90"/>
  <c r="BD107" i="90"/>
  <c r="BE107" i="90"/>
  <c r="BF107" i="90"/>
  <c r="BG107" i="90"/>
  <c r="BH107" i="90"/>
  <c r="BI107" i="90"/>
  <c r="BJ107" i="90"/>
  <c r="BK107" i="90"/>
  <c r="BL107" i="90"/>
  <c r="BM107" i="90"/>
  <c r="BN107" i="90"/>
  <c r="BO107" i="90"/>
  <c r="AY108" i="90"/>
  <c r="AZ108" i="90"/>
  <c r="BA108" i="90"/>
  <c r="BB108" i="90"/>
  <c r="BC108" i="90"/>
  <c r="BD108" i="90"/>
  <c r="BE108" i="90"/>
  <c r="BF108" i="90"/>
  <c r="BG108" i="90"/>
  <c r="BH108" i="90"/>
  <c r="BI108" i="90"/>
  <c r="BJ108" i="90"/>
  <c r="BK108" i="90"/>
  <c r="BL108" i="90"/>
  <c r="BM108" i="90"/>
  <c r="BN108" i="90"/>
  <c r="BO108" i="90"/>
  <c r="AY109" i="90"/>
  <c r="AZ109" i="90"/>
  <c r="BA109" i="90"/>
  <c r="BB109" i="90"/>
  <c r="BC109" i="90"/>
  <c r="BD109" i="90"/>
  <c r="BE109" i="90"/>
  <c r="BF109" i="90"/>
  <c r="BG109" i="90"/>
  <c r="BH109" i="90"/>
  <c r="BI109" i="90"/>
  <c r="BJ109" i="90"/>
  <c r="BK109" i="90"/>
  <c r="BL109" i="90"/>
  <c r="BM109" i="90"/>
  <c r="BN109" i="90"/>
  <c r="BO109" i="90"/>
  <c r="AY110" i="90"/>
  <c r="AZ110" i="90"/>
  <c r="BA110" i="90"/>
  <c r="BB110" i="90"/>
  <c r="BC110" i="90"/>
  <c r="BD110" i="90"/>
  <c r="BE110" i="90"/>
  <c r="BF110" i="90"/>
  <c r="BG110" i="90"/>
  <c r="BH110" i="90"/>
  <c r="BI110" i="90"/>
  <c r="BJ110" i="90"/>
  <c r="BK110" i="90"/>
  <c r="BL110" i="90"/>
  <c r="BM110" i="90"/>
  <c r="BN110" i="90"/>
  <c r="BO110" i="90"/>
  <c r="AY111" i="90"/>
  <c r="AZ111" i="90"/>
  <c r="BA111" i="90"/>
  <c r="BB111" i="90"/>
  <c r="BC111" i="90"/>
  <c r="BD111" i="90"/>
  <c r="BE111" i="90"/>
  <c r="BF111" i="90"/>
  <c r="BG111" i="90"/>
  <c r="BH111" i="90"/>
  <c r="BI111" i="90"/>
  <c r="BJ111" i="90"/>
  <c r="BK111" i="90"/>
  <c r="BL111" i="90"/>
  <c r="BM111" i="90"/>
  <c r="BN111" i="90"/>
  <c r="BO111" i="90"/>
  <c r="AY112" i="90"/>
  <c r="AZ112" i="90"/>
  <c r="BA112" i="90"/>
  <c r="BB112" i="90"/>
  <c r="BC112" i="90"/>
  <c r="BD112" i="90"/>
  <c r="BE112" i="90"/>
  <c r="BF112" i="90"/>
  <c r="BG112" i="90"/>
  <c r="BH112" i="90"/>
  <c r="BI112" i="90"/>
  <c r="BJ112" i="90"/>
  <c r="BK112" i="90"/>
  <c r="BL112" i="90"/>
  <c r="BM112" i="90"/>
  <c r="BN112" i="90"/>
  <c r="BO112" i="90"/>
  <c r="AY113" i="90"/>
  <c r="AZ113" i="90"/>
  <c r="BA113" i="90"/>
  <c r="BB113" i="90"/>
  <c r="BC113" i="90"/>
  <c r="BD113" i="90"/>
  <c r="BE113" i="90"/>
  <c r="BF113" i="90"/>
  <c r="BG113" i="90"/>
  <c r="BH113" i="90"/>
  <c r="BI113" i="90"/>
  <c r="BJ113" i="90"/>
  <c r="BK113" i="90"/>
  <c r="BL113" i="90"/>
  <c r="BM113" i="90"/>
  <c r="BN113" i="90"/>
  <c r="BO113" i="90"/>
  <c r="AY114" i="90"/>
  <c r="AZ114" i="90"/>
  <c r="BA114" i="90"/>
  <c r="BB114" i="90"/>
  <c r="BC114" i="90"/>
  <c r="BD114" i="90"/>
  <c r="BE114" i="90"/>
  <c r="BF114" i="90"/>
  <c r="BG114" i="90"/>
  <c r="BH114" i="90"/>
  <c r="BI114" i="90"/>
  <c r="BJ114" i="90"/>
  <c r="BK114" i="90"/>
  <c r="BL114" i="90"/>
  <c r="BM114" i="90"/>
  <c r="BN114" i="90"/>
  <c r="BO114" i="90"/>
  <c r="AY115" i="90"/>
  <c r="AZ115" i="90"/>
  <c r="BA115" i="90"/>
  <c r="BB115" i="90"/>
  <c r="BC115" i="90"/>
  <c r="BD115" i="90"/>
  <c r="BE115" i="90"/>
  <c r="BF115" i="90"/>
  <c r="BG115" i="90"/>
  <c r="BH115" i="90"/>
  <c r="BI115" i="90"/>
  <c r="BJ115" i="90"/>
  <c r="BK115" i="90"/>
  <c r="BL115" i="90"/>
  <c r="BM115" i="90"/>
  <c r="BN115" i="90"/>
  <c r="BO115" i="90"/>
  <c r="AY116" i="90"/>
  <c r="AZ116" i="90"/>
  <c r="BA116" i="90"/>
  <c r="BB116" i="90"/>
  <c r="BC116" i="90"/>
  <c r="BD116" i="90"/>
  <c r="BE116" i="90"/>
  <c r="BF116" i="90"/>
  <c r="BG116" i="90"/>
  <c r="BH116" i="90"/>
  <c r="BI116" i="90"/>
  <c r="BJ116" i="90"/>
  <c r="BK116" i="90"/>
  <c r="BL116" i="90"/>
  <c r="BM116" i="90"/>
  <c r="BN116" i="90"/>
  <c r="BO116" i="90"/>
  <c r="AY117" i="90"/>
  <c r="AZ117" i="90"/>
  <c r="BA117" i="90"/>
  <c r="BB117" i="90"/>
  <c r="BC117" i="90"/>
  <c r="BD117" i="90"/>
  <c r="BE117" i="90"/>
  <c r="BF117" i="90"/>
  <c r="BG117" i="90"/>
  <c r="BH117" i="90"/>
  <c r="BI117" i="90"/>
  <c r="BJ117" i="90"/>
  <c r="BK117" i="90"/>
  <c r="BL117" i="90"/>
  <c r="BM117" i="90"/>
  <c r="BN117" i="90"/>
  <c r="BO117" i="90"/>
  <c r="AY118" i="90"/>
  <c r="AZ118" i="90"/>
  <c r="BA118" i="90"/>
  <c r="BB118" i="90"/>
  <c r="BC118" i="90"/>
  <c r="BD118" i="90"/>
  <c r="BE118" i="90"/>
  <c r="BF118" i="90"/>
  <c r="BG118" i="90"/>
  <c r="BH118" i="90"/>
  <c r="BI118" i="90"/>
  <c r="BJ118" i="90"/>
  <c r="BK118" i="90"/>
  <c r="BL118" i="90"/>
  <c r="BM118" i="90"/>
  <c r="BN118" i="90"/>
  <c r="BO118" i="90"/>
  <c r="AY119" i="90"/>
  <c r="AZ119" i="90"/>
  <c r="BA119" i="90"/>
  <c r="BB119" i="90"/>
  <c r="BC119" i="90"/>
  <c r="BD119" i="90"/>
  <c r="BE119" i="90"/>
  <c r="BF119" i="90"/>
  <c r="BG119" i="90"/>
  <c r="BH119" i="90"/>
  <c r="BI119" i="90"/>
  <c r="BJ119" i="90"/>
  <c r="BK119" i="90"/>
  <c r="BL119" i="90"/>
  <c r="BM119" i="90"/>
  <c r="BN119" i="90"/>
  <c r="BO119" i="90"/>
  <c r="AY120" i="90"/>
  <c r="AZ120" i="90"/>
  <c r="BA120" i="90"/>
  <c r="BB120" i="90"/>
  <c r="BC120" i="90"/>
  <c r="BD120" i="90"/>
  <c r="BE120" i="90"/>
  <c r="BF120" i="90"/>
  <c r="BG120" i="90"/>
  <c r="BH120" i="90"/>
  <c r="BI120" i="90"/>
  <c r="BJ120" i="90"/>
  <c r="BK120" i="90"/>
  <c r="BL120" i="90"/>
  <c r="BM120" i="90"/>
  <c r="BN120" i="90"/>
  <c r="BO120" i="90"/>
  <c r="AY121" i="90"/>
  <c r="AZ121" i="90"/>
  <c r="BA121" i="90"/>
  <c r="BB121" i="90"/>
  <c r="BC121" i="90"/>
  <c r="BD121" i="90"/>
  <c r="BE121" i="90"/>
  <c r="BF121" i="90"/>
  <c r="BG121" i="90"/>
  <c r="BH121" i="90"/>
  <c r="BI121" i="90"/>
  <c r="BJ121" i="90"/>
  <c r="BK121" i="90"/>
  <c r="BL121" i="90"/>
  <c r="BM121" i="90"/>
  <c r="BN121" i="90"/>
  <c r="BO121" i="90"/>
  <c r="AY122" i="90"/>
  <c r="AZ122" i="90"/>
  <c r="BA122" i="90"/>
  <c r="BB122" i="90"/>
  <c r="BC122" i="90"/>
  <c r="BD122" i="90"/>
  <c r="BE122" i="90"/>
  <c r="BF122" i="90"/>
  <c r="BG122" i="90"/>
  <c r="BH122" i="90"/>
  <c r="BI122" i="90"/>
  <c r="BJ122" i="90"/>
  <c r="BK122" i="90"/>
  <c r="BL122" i="90"/>
  <c r="BM122" i="90"/>
  <c r="BN122" i="90"/>
  <c r="BO122" i="90"/>
  <c r="AY123" i="90"/>
  <c r="AZ123" i="90"/>
  <c r="BA123" i="90"/>
  <c r="BB123" i="90"/>
  <c r="BC123" i="90"/>
  <c r="BD123" i="90"/>
  <c r="BE123" i="90"/>
  <c r="BF123" i="90"/>
  <c r="BG123" i="90"/>
  <c r="BH123" i="90"/>
  <c r="BI123" i="90"/>
  <c r="BJ123" i="90"/>
  <c r="BK123" i="90"/>
  <c r="BL123" i="90"/>
  <c r="BM123" i="90"/>
  <c r="BN123" i="90"/>
  <c r="BO123" i="90"/>
  <c r="AY124" i="90"/>
  <c r="AZ124" i="90"/>
  <c r="BA124" i="90"/>
  <c r="BB124" i="90"/>
  <c r="BC124" i="90"/>
  <c r="BD124" i="90"/>
  <c r="BE124" i="90"/>
  <c r="BF124" i="90"/>
  <c r="BG124" i="90"/>
  <c r="BH124" i="90"/>
  <c r="BI124" i="90"/>
  <c r="BJ124" i="90"/>
  <c r="BK124" i="90"/>
  <c r="BL124" i="90"/>
  <c r="BM124" i="90"/>
  <c r="BN124" i="90"/>
  <c r="BO124" i="90"/>
  <c r="AY125" i="90"/>
  <c r="AZ125" i="90"/>
  <c r="BA125" i="90"/>
  <c r="BB125" i="90"/>
  <c r="BC125" i="90"/>
  <c r="BD125" i="90"/>
  <c r="BE125" i="90"/>
  <c r="BF125" i="90"/>
  <c r="BG125" i="90"/>
  <c r="BH125" i="90"/>
  <c r="BI125" i="90"/>
  <c r="BJ125" i="90"/>
  <c r="BK125" i="90"/>
  <c r="BL125" i="90"/>
  <c r="BM125" i="90"/>
  <c r="BN125" i="90"/>
  <c r="BO125" i="90"/>
  <c r="AY126" i="90"/>
  <c r="AZ126" i="90"/>
  <c r="BA126" i="90"/>
  <c r="BB126" i="90"/>
  <c r="BC126" i="90"/>
  <c r="BD126" i="90"/>
  <c r="BE126" i="90"/>
  <c r="BF126" i="90"/>
  <c r="BG126" i="90"/>
  <c r="BH126" i="90"/>
  <c r="BI126" i="90"/>
  <c r="BJ126" i="90"/>
  <c r="BK126" i="90"/>
  <c r="BL126" i="90"/>
  <c r="BM126" i="90"/>
  <c r="BN126" i="90"/>
  <c r="BO126" i="90"/>
  <c r="AY127" i="90"/>
  <c r="AZ127" i="90"/>
  <c r="BA127" i="90"/>
  <c r="BB127" i="90"/>
  <c r="BC127" i="90"/>
  <c r="BD127" i="90"/>
  <c r="BE127" i="90"/>
  <c r="BF127" i="90"/>
  <c r="BG127" i="90"/>
  <c r="BH127" i="90"/>
  <c r="BI127" i="90"/>
  <c r="BJ127" i="90"/>
  <c r="BK127" i="90"/>
  <c r="BL127" i="90"/>
  <c r="BM127" i="90"/>
  <c r="BN127" i="90"/>
  <c r="BO127" i="90"/>
  <c r="AY128" i="90"/>
  <c r="AZ128" i="90"/>
  <c r="BA128" i="90"/>
  <c r="BB128" i="90"/>
  <c r="BC128" i="90"/>
  <c r="BD128" i="90"/>
  <c r="BE128" i="90"/>
  <c r="BF128" i="90"/>
  <c r="BG128" i="90"/>
  <c r="BH128" i="90"/>
  <c r="BI128" i="90"/>
  <c r="BJ128" i="90"/>
  <c r="BK128" i="90"/>
  <c r="BL128" i="90"/>
  <c r="BM128" i="90"/>
  <c r="BN128" i="90"/>
  <c r="BO128" i="90"/>
  <c r="AY129" i="90"/>
  <c r="AZ129" i="90"/>
  <c r="BA129" i="90"/>
  <c r="BB129" i="90"/>
  <c r="BC129" i="90"/>
  <c r="BD129" i="90"/>
  <c r="BE129" i="90"/>
  <c r="BF129" i="90"/>
  <c r="BG129" i="90"/>
  <c r="BH129" i="90"/>
  <c r="BI129" i="90"/>
  <c r="BJ129" i="90"/>
  <c r="BK129" i="90"/>
  <c r="BL129" i="90"/>
  <c r="BM129" i="90"/>
  <c r="BN129" i="90"/>
  <c r="BO129" i="90"/>
  <c r="AY130" i="90"/>
  <c r="AZ130" i="90"/>
  <c r="BA130" i="90"/>
  <c r="BB130" i="90"/>
  <c r="BC130" i="90"/>
  <c r="BD130" i="90"/>
  <c r="BE130" i="90"/>
  <c r="BF130" i="90"/>
  <c r="BG130" i="90"/>
  <c r="BH130" i="90"/>
  <c r="BI130" i="90"/>
  <c r="BJ130" i="90"/>
  <c r="BK130" i="90"/>
  <c r="BL130" i="90"/>
  <c r="BM130" i="90"/>
  <c r="BN130" i="90"/>
  <c r="BO130" i="90"/>
  <c r="AY131" i="90"/>
  <c r="AZ131" i="90"/>
  <c r="BA131" i="90"/>
  <c r="BB131" i="90"/>
  <c r="BC131" i="90"/>
  <c r="BD131" i="90"/>
  <c r="BE131" i="90"/>
  <c r="BF131" i="90"/>
  <c r="BG131" i="90"/>
  <c r="BH131" i="90"/>
  <c r="BI131" i="90"/>
  <c r="BJ131" i="90"/>
  <c r="BK131" i="90"/>
  <c r="BL131" i="90"/>
  <c r="BM131" i="90"/>
  <c r="BN131" i="90"/>
  <c r="BO131" i="90"/>
  <c r="AY132" i="90"/>
  <c r="AZ132" i="90"/>
  <c r="BA132" i="90"/>
  <c r="BB132" i="90"/>
  <c r="BC132" i="90"/>
  <c r="BD132" i="90"/>
  <c r="BE132" i="90"/>
  <c r="BF132" i="90"/>
  <c r="BG132" i="90"/>
  <c r="BH132" i="90"/>
  <c r="BI132" i="90"/>
  <c r="BJ132" i="90"/>
  <c r="BK132" i="90"/>
  <c r="BL132" i="90"/>
  <c r="BM132" i="90"/>
  <c r="BN132" i="90"/>
  <c r="BO132" i="90"/>
  <c r="AY133" i="90"/>
  <c r="AZ133" i="90"/>
  <c r="BA133" i="90"/>
  <c r="BB133" i="90"/>
  <c r="BC133" i="90"/>
  <c r="BD133" i="90"/>
  <c r="BE133" i="90"/>
  <c r="BF133" i="90"/>
  <c r="BG133" i="90"/>
  <c r="BH133" i="90"/>
  <c r="BI133" i="90"/>
  <c r="BJ133" i="90"/>
  <c r="BK133" i="90"/>
  <c r="BL133" i="90"/>
  <c r="BM133" i="90"/>
  <c r="BN133" i="90"/>
  <c r="BO133" i="90"/>
  <c r="AY134" i="90"/>
  <c r="AZ134" i="90"/>
  <c r="BA134" i="90"/>
  <c r="BB134" i="90"/>
  <c r="BC134" i="90"/>
  <c r="BD134" i="90"/>
  <c r="BE134" i="90"/>
  <c r="BF134" i="90"/>
  <c r="BG134" i="90"/>
  <c r="BH134" i="90"/>
  <c r="BI134" i="90"/>
  <c r="BJ134" i="90"/>
  <c r="BK134" i="90"/>
  <c r="BL134" i="90"/>
  <c r="BM134" i="90"/>
  <c r="BN134" i="90"/>
  <c r="BO134" i="90"/>
  <c r="AY135" i="90"/>
  <c r="AZ135" i="90"/>
  <c r="BA135" i="90"/>
  <c r="BB135" i="90"/>
  <c r="BC135" i="90"/>
  <c r="BD135" i="90"/>
  <c r="BE135" i="90"/>
  <c r="BF135" i="90"/>
  <c r="BG135" i="90"/>
  <c r="BH135" i="90"/>
  <c r="BI135" i="90"/>
  <c r="BJ135" i="90"/>
  <c r="BK135" i="90"/>
  <c r="BL135" i="90"/>
  <c r="BM135" i="90"/>
  <c r="BN135" i="90"/>
  <c r="BO135" i="90"/>
  <c r="AY136" i="90"/>
  <c r="AZ136" i="90"/>
  <c r="BA136" i="90"/>
  <c r="BB136" i="90"/>
  <c r="BC136" i="90"/>
  <c r="BD136" i="90"/>
  <c r="BE136" i="90"/>
  <c r="BF136" i="90"/>
  <c r="BG136" i="90"/>
  <c r="BH136" i="90"/>
  <c r="BI136" i="90"/>
  <c r="BJ136" i="90"/>
  <c r="BK136" i="90"/>
  <c r="BL136" i="90"/>
  <c r="BM136" i="90"/>
  <c r="BN136" i="90"/>
  <c r="BO136" i="90"/>
  <c r="AY137" i="90"/>
  <c r="AZ137" i="90"/>
  <c r="BA137" i="90"/>
  <c r="BB137" i="90"/>
  <c r="BC137" i="90"/>
  <c r="BD137" i="90"/>
  <c r="BE137" i="90"/>
  <c r="BF137" i="90"/>
  <c r="BG137" i="90"/>
  <c r="BH137" i="90"/>
  <c r="BI137" i="90"/>
  <c r="BJ137" i="90"/>
  <c r="BK137" i="90"/>
  <c r="BL137" i="90"/>
  <c r="BM137" i="90"/>
  <c r="BN137" i="90"/>
  <c r="BO137" i="90"/>
  <c r="AY138" i="90"/>
  <c r="AZ138" i="90"/>
  <c r="BA138" i="90"/>
  <c r="BB138" i="90"/>
  <c r="BC138" i="90"/>
  <c r="BD138" i="90"/>
  <c r="BE138" i="90"/>
  <c r="BF138" i="90"/>
  <c r="BG138" i="90"/>
  <c r="BH138" i="90"/>
  <c r="BI138" i="90"/>
  <c r="BJ138" i="90"/>
  <c r="BK138" i="90"/>
  <c r="BL138" i="90"/>
  <c r="BM138" i="90"/>
  <c r="BN138" i="90"/>
  <c r="BO138" i="90"/>
  <c r="AY139" i="90"/>
  <c r="AZ139" i="90"/>
  <c r="BA139" i="90"/>
  <c r="BB139" i="90"/>
  <c r="BC139" i="90"/>
  <c r="BD139" i="90"/>
  <c r="BE139" i="90"/>
  <c r="BF139" i="90"/>
  <c r="BG139" i="90"/>
  <c r="BH139" i="90"/>
  <c r="BI139" i="90"/>
  <c r="BJ139" i="90"/>
  <c r="BK139" i="90"/>
  <c r="BL139" i="90"/>
  <c r="BM139" i="90"/>
  <c r="BN139" i="90"/>
  <c r="BO139" i="90"/>
  <c r="AY140" i="90"/>
  <c r="AZ140" i="90"/>
  <c r="BA140" i="90"/>
  <c r="BB140" i="90"/>
  <c r="BC140" i="90"/>
  <c r="BD140" i="90"/>
  <c r="BE140" i="90"/>
  <c r="BF140" i="90"/>
  <c r="BG140" i="90"/>
  <c r="BH140" i="90"/>
  <c r="BI140" i="90"/>
  <c r="BJ140" i="90"/>
  <c r="BK140" i="90"/>
  <c r="BL140" i="90"/>
  <c r="BM140" i="90"/>
  <c r="BN140" i="90"/>
  <c r="BO140" i="90"/>
  <c r="AY141" i="90"/>
  <c r="AZ141" i="90"/>
  <c r="BA141" i="90"/>
  <c r="BB141" i="90"/>
  <c r="BC141" i="90"/>
  <c r="BD141" i="90"/>
  <c r="BE141" i="90"/>
  <c r="BF141" i="90"/>
  <c r="BG141" i="90"/>
  <c r="BH141" i="90"/>
  <c r="BI141" i="90"/>
  <c r="BJ141" i="90"/>
  <c r="BK141" i="90"/>
  <c r="BL141" i="90"/>
  <c r="BM141" i="90"/>
  <c r="BN141" i="90"/>
  <c r="BO141" i="90"/>
  <c r="AY142" i="90"/>
  <c r="AZ142" i="90"/>
  <c r="BA142" i="90"/>
  <c r="BB142" i="90"/>
  <c r="BC142" i="90"/>
  <c r="BD142" i="90"/>
  <c r="BE142" i="90"/>
  <c r="BF142" i="90"/>
  <c r="BG142" i="90"/>
  <c r="BH142" i="90"/>
  <c r="BI142" i="90"/>
  <c r="BJ142" i="90"/>
  <c r="BK142" i="90"/>
  <c r="BL142" i="90"/>
  <c r="BM142" i="90"/>
  <c r="BN142" i="90"/>
  <c r="BO142" i="90"/>
  <c r="AY143" i="90"/>
  <c r="AZ143" i="90"/>
  <c r="BA143" i="90"/>
  <c r="BB143" i="90"/>
  <c r="BC143" i="90"/>
  <c r="BD143" i="90"/>
  <c r="BE143" i="90"/>
  <c r="BF143" i="90"/>
  <c r="BG143" i="90"/>
  <c r="BH143" i="90"/>
  <c r="BI143" i="90"/>
  <c r="BJ143" i="90"/>
  <c r="BK143" i="90"/>
  <c r="BL143" i="90"/>
  <c r="BM143" i="90"/>
  <c r="BN143" i="90"/>
  <c r="BO143" i="90"/>
  <c r="AY144" i="90"/>
  <c r="AZ144" i="90"/>
  <c r="BA144" i="90"/>
  <c r="BB144" i="90"/>
  <c r="BC144" i="90"/>
  <c r="BD144" i="90"/>
  <c r="BE144" i="90"/>
  <c r="BF144" i="90"/>
  <c r="BG144" i="90"/>
  <c r="BH144" i="90"/>
  <c r="BI144" i="90"/>
  <c r="BJ144" i="90"/>
  <c r="BK144" i="90"/>
  <c r="BL144" i="90"/>
  <c r="BM144" i="90"/>
  <c r="BN144" i="90"/>
  <c r="BO144" i="90"/>
  <c r="AY145" i="90"/>
  <c r="AZ145" i="90"/>
  <c r="BA145" i="90"/>
  <c r="BB145" i="90"/>
  <c r="BC145" i="90"/>
  <c r="BD145" i="90"/>
  <c r="BE145" i="90"/>
  <c r="BF145" i="90"/>
  <c r="BG145" i="90"/>
  <c r="BH145" i="90"/>
  <c r="BI145" i="90"/>
  <c r="BJ145" i="90"/>
  <c r="BK145" i="90"/>
  <c r="BL145" i="90"/>
  <c r="BM145" i="90"/>
  <c r="BN145" i="90"/>
  <c r="BO145" i="90"/>
  <c r="AY146" i="90"/>
  <c r="AZ146" i="90"/>
  <c r="BA146" i="90"/>
  <c r="BB146" i="90"/>
  <c r="BC146" i="90"/>
  <c r="BD146" i="90"/>
  <c r="BE146" i="90"/>
  <c r="BF146" i="90"/>
  <c r="BG146" i="90"/>
  <c r="BH146" i="90"/>
  <c r="BI146" i="90"/>
  <c r="BJ146" i="90"/>
  <c r="BK146" i="90"/>
  <c r="BL146" i="90"/>
  <c r="BM146" i="90"/>
  <c r="BN146" i="90"/>
  <c r="BO146" i="90"/>
  <c r="AY147" i="90"/>
  <c r="AZ147" i="90"/>
  <c r="BA147" i="90"/>
  <c r="BB147" i="90"/>
  <c r="BC147" i="90"/>
  <c r="BD147" i="90"/>
  <c r="BE147" i="90"/>
  <c r="BF147" i="90"/>
  <c r="BG147" i="90"/>
  <c r="BH147" i="90"/>
  <c r="BI147" i="90"/>
  <c r="BJ147" i="90"/>
  <c r="BK147" i="90"/>
  <c r="BL147" i="90"/>
  <c r="BM147" i="90"/>
  <c r="BN147" i="90"/>
  <c r="BO147" i="90"/>
  <c r="AY148" i="90"/>
  <c r="AZ148" i="90"/>
  <c r="BA148" i="90"/>
  <c r="BB148" i="90"/>
  <c r="BC148" i="90"/>
  <c r="BD148" i="90"/>
  <c r="BE148" i="90"/>
  <c r="BF148" i="90"/>
  <c r="BG148" i="90"/>
  <c r="BH148" i="90"/>
  <c r="BI148" i="90"/>
  <c r="BJ148" i="90"/>
  <c r="BK148" i="90"/>
  <c r="BL148" i="90"/>
  <c r="BM148" i="90"/>
  <c r="BN148" i="90"/>
  <c r="BO148" i="90"/>
  <c r="AY149" i="90"/>
  <c r="AZ149" i="90"/>
  <c r="BA149" i="90"/>
  <c r="BB149" i="90"/>
  <c r="BC149" i="90"/>
  <c r="BD149" i="90"/>
  <c r="BE149" i="90"/>
  <c r="BF149" i="90"/>
  <c r="BG149" i="90"/>
  <c r="BH149" i="90"/>
  <c r="BI149" i="90"/>
  <c r="BJ149" i="90"/>
  <c r="BK149" i="90"/>
  <c r="BL149" i="90"/>
  <c r="BM149" i="90"/>
  <c r="BN149" i="90"/>
  <c r="BO149" i="90"/>
  <c r="AY150" i="90"/>
  <c r="AZ150" i="90"/>
  <c r="BA150" i="90"/>
  <c r="BB150" i="90"/>
  <c r="BC150" i="90"/>
  <c r="BD150" i="90"/>
  <c r="BE150" i="90"/>
  <c r="BF150" i="90"/>
  <c r="BG150" i="90"/>
  <c r="BH150" i="90"/>
  <c r="BI150" i="90"/>
  <c r="BJ150" i="90"/>
  <c r="BK150" i="90"/>
  <c r="BL150" i="90"/>
  <c r="BM150" i="90"/>
  <c r="BN150" i="90"/>
  <c r="BO150" i="90"/>
  <c r="AY151" i="90"/>
  <c r="AZ151" i="90"/>
  <c r="BA151" i="90"/>
  <c r="BB151" i="90"/>
  <c r="BC151" i="90"/>
  <c r="BD151" i="90"/>
  <c r="BE151" i="90"/>
  <c r="BF151" i="90"/>
  <c r="BG151" i="90"/>
  <c r="BH151" i="90"/>
  <c r="BI151" i="90"/>
  <c r="BJ151" i="90"/>
  <c r="BK151" i="90"/>
  <c r="BL151" i="90"/>
  <c r="BM151" i="90"/>
  <c r="BN151" i="90"/>
  <c r="BO151" i="90"/>
  <c r="AY152" i="90"/>
  <c r="AZ152" i="90"/>
  <c r="BA152" i="90"/>
  <c r="BB152" i="90"/>
  <c r="BC152" i="90"/>
  <c r="BD152" i="90"/>
  <c r="BE152" i="90"/>
  <c r="BF152" i="90"/>
  <c r="BG152" i="90"/>
  <c r="BH152" i="90"/>
  <c r="BI152" i="90"/>
  <c r="BJ152" i="90"/>
  <c r="BK152" i="90"/>
  <c r="BL152" i="90"/>
  <c r="BM152" i="90"/>
  <c r="BN152" i="90"/>
  <c r="BO152" i="90"/>
  <c r="AY153" i="90"/>
  <c r="AZ153" i="90"/>
  <c r="BA153" i="90"/>
  <c r="BB153" i="90"/>
  <c r="BC153" i="90"/>
  <c r="BD153" i="90"/>
  <c r="BE153" i="90"/>
  <c r="BF153" i="90"/>
  <c r="BG153" i="90"/>
  <c r="BH153" i="90"/>
  <c r="BI153" i="90"/>
  <c r="BJ153" i="90"/>
  <c r="BK153" i="90"/>
  <c r="BL153" i="90"/>
  <c r="BM153" i="90"/>
  <c r="BN153" i="90"/>
  <c r="BO153" i="90"/>
  <c r="AY154" i="90"/>
  <c r="AZ154" i="90"/>
  <c r="BA154" i="90"/>
  <c r="BB154" i="90"/>
  <c r="BC154" i="90"/>
  <c r="BD154" i="90"/>
  <c r="BE154" i="90"/>
  <c r="BF154" i="90"/>
  <c r="BG154" i="90"/>
  <c r="BH154" i="90"/>
  <c r="BI154" i="90"/>
  <c r="BJ154" i="90"/>
  <c r="BK154" i="90"/>
  <c r="BL154" i="90"/>
  <c r="BM154" i="90"/>
  <c r="BN154" i="90"/>
  <c r="BO154" i="90"/>
  <c r="AY155" i="90"/>
  <c r="AZ155" i="90"/>
  <c r="BA155" i="90"/>
  <c r="BB155" i="90"/>
  <c r="BC155" i="90"/>
  <c r="BD155" i="90"/>
  <c r="BE155" i="90"/>
  <c r="BF155" i="90"/>
  <c r="BG155" i="90"/>
  <c r="BH155" i="90"/>
  <c r="BI155" i="90"/>
  <c r="BJ155" i="90"/>
  <c r="BK155" i="90"/>
  <c r="BL155" i="90"/>
  <c r="BM155" i="90"/>
  <c r="BN155" i="90"/>
  <c r="BO155" i="90"/>
  <c r="AY156" i="90"/>
  <c r="AZ156" i="90"/>
  <c r="BA156" i="90"/>
  <c r="BB156" i="90"/>
  <c r="BC156" i="90"/>
  <c r="BD156" i="90"/>
  <c r="BE156" i="90"/>
  <c r="BF156" i="90"/>
  <c r="BG156" i="90"/>
  <c r="BH156" i="90"/>
  <c r="BI156" i="90"/>
  <c r="BJ156" i="90"/>
  <c r="BK156" i="90"/>
  <c r="BL156" i="90"/>
  <c r="BM156" i="90"/>
  <c r="BN156" i="90"/>
  <c r="BO156" i="90"/>
  <c r="AY157" i="90"/>
  <c r="AZ157" i="90"/>
  <c r="BA157" i="90"/>
  <c r="BB157" i="90"/>
  <c r="BC157" i="90"/>
  <c r="BD157" i="90"/>
  <c r="BE157" i="90"/>
  <c r="BF157" i="90"/>
  <c r="BG157" i="90"/>
  <c r="BH157" i="90"/>
  <c r="BI157" i="90"/>
  <c r="BJ157" i="90"/>
  <c r="BK157" i="90"/>
  <c r="BL157" i="90"/>
  <c r="BM157" i="90"/>
  <c r="BN157" i="90"/>
  <c r="BO157" i="90"/>
  <c r="AY158" i="90"/>
  <c r="AZ158" i="90"/>
  <c r="BA158" i="90"/>
  <c r="BB158" i="90"/>
  <c r="BC158" i="90"/>
  <c r="BD158" i="90"/>
  <c r="BE158" i="90"/>
  <c r="BF158" i="90"/>
  <c r="BG158" i="90"/>
  <c r="BH158" i="90"/>
  <c r="BI158" i="90"/>
  <c r="BJ158" i="90"/>
  <c r="BK158" i="90"/>
  <c r="BL158" i="90"/>
  <c r="BM158" i="90"/>
  <c r="BN158" i="90"/>
  <c r="BO158" i="90"/>
  <c r="AY159" i="90"/>
  <c r="AZ159" i="90"/>
  <c r="BA159" i="90"/>
  <c r="BB159" i="90"/>
  <c r="BC159" i="90"/>
  <c r="BD159" i="90"/>
  <c r="BE159" i="90"/>
  <c r="BF159" i="90"/>
  <c r="BG159" i="90"/>
  <c r="BH159" i="90"/>
  <c r="BI159" i="90"/>
  <c r="BJ159" i="90"/>
  <c r="BK159" i="90"/>
  <c r="BL159" i="90"/>
  <c r="BM159" i="90"/>
  <c r="BN159" i="90"/>
  <c r="BO159" i="90"/>
  <c r="AY160" i="90"/>
  <c r="AZ160" i="90"/>
  <c r="BA160" i="90"/>
  <c r="BB160" i="90"/>
  <c r="BC160" i="90"/>
  <c r="BD160" i="90"/>
  <c r="BE160" i="90"/>
  <c r="BF160" i="90"/>
  <c r="BG160" i="90"/>
  <c r="BH160" i="90"/>
  <c r="BI160" i="90"/>
  <c r="BJ160" i="90"/>
  <c r="BK160" i="90"/>
  <c r="BL160" i="90"/>
  <c r="BM160" i="90"/>
  <c r="BN160" i="90"/>
  <c r="BO160" i="90"/>
  <c r="AY161" i="90"/>
  <c r="AZ161" i="90"/>
  <c r="BA161" i="90"/>
  <c r="BB161" i="90"/>
  <c r="BC161" i="90"/>
  <c r="BD161" i="90"/>
  <c r="BE161" i="90"/>
  <c r="BF161" i="90"/>
  <c r="BG161" i="90"/>
  <c r="BH161" i="90"/>
  <c r="BI161" i="90"/>
  <c r="BJ161" i="90"/>
  <c r="BK161" i="90"/>
  <c r="BL161" i="90"/>
  <c r="BM161" i="90"/>
  <c r="BN161" i="90"/>
  <c r="BO161" i="90"/>
  <c r="AY162" i="90"/>
  <c r="AZ162" i="90"/>
  <c r="BA162" i="90"/>
  <c r="BB162" i="90"/>
  <c r="BC162" i="90"/>
  <c r="BD162" i="90"/>
  <c r="BE162" i="90"/>
  <c r="BF162" i="90"/>
  <c r="BG162" i="90"/>
  <c r="BH162" i="90"/>
  <c r="BI162" i="90"/>
  <c r="BJ162" i="90"/>
  <c r="BK162" i="90"/>
  <c r="BL162" i="90"/>
  <c r="BM162" i="90"/>
  <c r="BN162" i="90"/>
  <c r="BO162" i="90"/>
  <c r="AY163" i="90"/>
  <c r="AZ163" i="90"/>
  <c r="BA163" i="90"/>
  <c r="BB163" i="90"/>
  <c r="BC163" i="90"/>
  <c r="BD163" i="90"/>
  <c r="BE163" i="90"/>
  <c r="BF163" i="90"/>
  <c r="BG163" i="90"/>
  <c r="BH163" i="90"/>
  <c r="BI163" i="90"/>
  <c r="BJ163" i="90"/>
  <c r="BK163" i="90"/>
  <c r="BL163" i="90"/>
  <c r="BM163" i="90"/>
  <c r="BN163" i="90"/>
  <c r="BO163" i="90"/>
  <c r="AY164" i="90"/>
  <c r="AZ164" i="90"/>
  <c r="BA164" i="90"/>
  <c r="BB164" i="90"/>
  <c r="BC164" i="90"/>
  <c r="BD164" i="90"/>
  <c r="BE164" i="90"/>
  <c r="BF164" i="90"/>
  <c r="BG164" i="90"/>
  <c r="BH164" i="90"/>
  <c r="BI164" i="90"/>
  <c r="BJ164" i="90"/>
  <c r="BK164" i="90"/>
  <c r="BL164" i="90"/>
  <c r="BM164" i="90"/>
  <c r="BN164" i="90"/>
  <c r="BO164" i="90"/>
  <c r="AY165" i="90"/>
  <c r="AZ165" i="90"/>
  <c r="BA165" i="90"/>
  <c r="BB165" i="90"/>
  <c r="BC165" i="90"/>
  <c r="BD165" i="90"/>
  <c r="BE165" i="90"/>
  <c r="BF165" i="90"/>
  <c r="BG165" i="90"/>
  <c r="BH165" i="90"/>
  <c r="BI165" i="90"/>
  <c r="BJ165" i="90"/>
  <c r="BK165" i="90"/>
  <c r="BL165" i="90"/>
  <c r="BM165" i="90"/>
  <c r="BN165" i="90"/>
  <c r="BO165" i="90"/>
  <c r="AY166" i="90"/>
  <c r="AZ166" i="90"/>
  <c r="BA166" i="90"/>
  <c r="BB166" i="90"/>
  <c r="BC166" i="90"/>
  <c r="BD166" i="90"/>
  <c r="BE166" i="90"/>
  <c r="BF166" i="90"/>
  <c r="BG166" i="90"/>
  <c r="BH166" i="90"/>
  <c r="BI166" i="90"/>
  <c r="BJ166" i="90"/>
  <c r="BK166" i="90"/>
  <c r="BL166" i="90"/>
  <c r="BM166" i="90"/>
  <c r="BN166" i="90"/>
  <c r="BO166" i="90"/>
  <c r="AY167" i="90"/>
  <c r="AZ167" i="90"/>
  <c r="BA167" i="90"/>
  <c r="BB167" i="90"/>
  <c r="BC167" i="90"/>
  <c r="BD167" i="90"/>
  <c r="BE167" i="90"/>
  <c r="BF167" i="90"/>
  <c r="BG167" i="90"/>
  <c r="BH167" i="90"/>
  <c r="BI167" i="90"/>
  <c r="BJ167" i="90"/>
  <c r="BK167" i="90"/>
  <c r="BL167" i="90"/>
  <c r="BM167" i="90"/>
  <c r="BN167" i="90"/>
  <c r="BO167" i="90"/>
  <c r="AY168" i="90"/>
  <c r="AZ168" i="90"/>
  <c r="BA168" i="90"/>
  <c r="BB168" i="90"/>
  <c r="BC168" i="90"/>
  <c r="BD168" i="90"/>
  <c r="BE168" i="90"/>
  <c r="BF168" i="90"/>
  <c r="BG168" i="90"/>
  <c r="BH168" i="90"/>
  <c r="BI168" i="90"/>
  <c r="BJ168" i="90"/>
  <c r="BK168" i="90"/>
  <c r="BL168" i="90"/>
  <c r="BM168" i="90"/>
  <c r="BN168" i="90"/>
  <c r="BO168" i="90"/>
  <c r="AY169" i="90"/>
  <c r="AZ169" i="90"/>
  <c r="BA169" i="90"/>
  <c r="BB169" i="90"/>
  <c r="BC169" i="90"/>
  <c r="BD169" i="90"/>
  <c r="BE169" i="90"/>
  <c r="BF169" i="90"/>
  <c r="BG169" i="90"/>
  <c r="BH169" i="90"/>
  <c r="BI169" i="90"/>
  <c r="BJ169" i="90"/>
  <c r="BK169" i="90"/>
  <c r="BL169" i="90"/>
  <c r="BM169" i="90"/>
  <c r="BN169" i="90"/>
  <c r="BO169" i="90"/>
  <c r="AY170" i="90"/>
  <c r="AZ170" i="90"/>
  <c r="BA170" i="90"/>
  <c r="BB170" i="90"/>
  <c r="BC170" i="90"/>
  <c r="BD170" i="90"/>
  <c r="BE170" i="90"/>
  <c r="BF170" i="90"/>
  <c r="BG170" i="90"/>
  <c r="BH170" i="90"/>
  <c r="BI170" i="90"/>
  <c r="BJ170" i="90"/>
  <c r="BK170" i="90"/>
  <c r="BL170" i="90"/>
  <c r="BM170" i="90"/>
  <c r="BN170" i="90"/>
  <c r="BO170" i="90"/>
  <c r="AY171" i="90"/>
  <c r="AZ171" i="90"/>
  <c r="BA171" i="90"/>
  <c r="BB171" i="90"/>
  <c r="BC171" i="90"/>
  <c r="BD171" i="90"/>
  <c r="BE171" i="90"/>
  <c r="BF171" i="90"/>
  <c r="BG171" i="90"/>
  <c r="BH171" i="90"/>
  <c r="BI171" i="90"/>
  <c r="BJ171" i="90"/>
  <c r="BK171" i="90"/>
  <c r="BL171" i="90"/>
  <c r="BM171" i="90"/>
  <c r="BN171" i="90"/>
  <c r="BO171" i="90"/>
  <c r="AY172" i="90"/>
  <c r="AZ172" i="90"/>
  <c r="BA172" i="90"/>
  <c r="BB172" i="90"/>
  <c r="BC172" i="90"/>
  <c r="BD172" i="90"/>
  <c r="BE172" i="90"/>
  <c r="BF172" i="90"/>
  <c r="BG172" i="90"/>
  <c r="BH172" i="90"/>
  <c r="BI172" i="90"/>
  <c r="BJ172" i="90"/>
  <c r="BK172" i="90"/>
  <c r="BL172" i="90"/>
  <c r="BM172" i="90"/>
  <c r="BN172" i="90"/>
  <c r="BO172" i="90"/>
  <c r="AY173" i="90"/>
  <c r="AZ173" i="90"/>
  <c r="BA173" i="90"/>
  <c r="BB173" i="90"/>
  <c r="BC173" i="90"/>
  <c r="BD173" i="90"/>
  <c r="BE173" i="90"/>
  <c r="BF173" i="90"/>
  <c r="BG173" i="90"/>
  <c r="BH173" i="90"/>
  <c r="BI173" i="90"/>
  <c r="BJ173" i="90"/>
  <c r="BK173" i="90"/>
  <c r="BL173" i="90"/>
  <c r="BM173" i="90"/>
  <c r="BN173" i="90"/>
  <c r="BO173" i="90"/>
  <c r="AY174" i="90"/>
  <c r="AZ174" i="90"/>
  <c r="BA174" i="90"/>
  <c r="BB174" i="90"/>
  <c r="BC174" i="90"/>
  <c r="BD174" i="90"/>
  <c r="BE174" i="90"/>
  <c r="BF174" i="90"/>
  <c r="BG174" i="90"/>
  <c r="BH174" i="90"/>
  <c r="BI174" i="90"/>
  <c r="BJ174" i="90"/>
  <c r="BK174" i="90"/>
  <c r="BL174" i="90"/>
  <c r="BM174" i="90"/>
  <c r="BN174" i="90"/>
  <c r="BO174" i="90"/>
  <c r="AY175" i="90"/>
  <c r="AZ175" i="90"/>
  <c r="BA175" i="90"/>
  <c r="BB175" i="90"/>
  <c r="BC175" i="90"/>
  <c r="BD175" i="90"/>
  <c r="BE175" i="90"/>
  <c r="BF175" i="90"/>
  <c r="BG175" i="90"/>
  <c r="BH175" i="90"/>
  <c r="BI175" i="90"/>
  <c r="BJ175" i="90"/>
  <c r="BK175" i="90"/>
  <c r="BL175" i="90"/>
  <c r="BM175" i="90"/>
  <c r="BN175" i="90"/>
  <c r="BO175" i="90"/>
  <c r="AY176" i="90"/>
  <c r="AZ176" i="90"/>
  <c r="BA176" i="90"/>
  <c r="BB176" i="90"/>
  <c r="BC176" i="90"/>
  <c r="BD176" i="90"/>
  <c r="BE176" i="90"/>
  <c r="BF176" i="90"/>
  <c r="BG176" i="90"/>
  <c r="BH176" i="90"/>
  <c r="BI176" i="90"/>
  <c r="BJ176" i="90"/>
  <c r="BK176" i="90"/>
  <c r="BL176" i="90"/>
  <c r="BM176" i="90"/>
  <c r="BN176" i="90"/>
  <c r="BO176" i="90"/>
  <c r="AY177" i="90"/>
  <c r="AZ177" i="90"/>
  <c r="BA177" i="90"/>
  <c r="BB177" i="90"/>
  <c r="BC177" i="90"/>
  <c r="BD177" i="90"/>
  <c r="BE177" i="90"/>
  <c r="BF177" i="90"/>
  <c r="BG177" i="90"/>
  <c r="BH177" i="90"/>
  <c r="BI177" i="90"/>
  <c r="BJ177" i="90"/>
  <c r="BK177" i="90"/>
  <c r="BL177" i="90"/>
  <c r="BM177" i="90"/>
  <c r="BN177" i="90"/>
  <c r="BO177" i="90"/>
  <c r="AY178" i="90"/>
  <c r="AZ178" i="90"/>
  <c r="BA178" i="90"/>
  <c r="BB178" i="90"/>
  <c r="BC178" i="90"/>
  <c r="BD178" i="90"/>
  <c r="BE178" i="90"/>
  <c r="BF178" i="90"/>
  <c r="BG178" i="90"/>
  <c r="BH178" i="90"/>
  <c r="BI178" i="90"/>
  <c r="BJ178" i="90"/>
  <c r="BK178" i="90"/>
  <c r="BL178" i="90"/>
  <c r="BM178" i="90"/>
  <c r="BN178" i="90"/>
  <c r="BO178" i="90"/>
  <c r="AY179" i="90"/>
  <c r="AZ179" i="90"/>
  <c r="BA179" i="90"/>
  <c r="BB179" i="90"/>
  <c r="BC179" i="90"/>
  <c r="BD179" i="90"/>
  <c r="BE179" i="90"/>
  <c r="BF179" i="90"/>
  <c r="BG179" i="90"/>
  <c r="BH179" i="90"/>
  <c r="BI179" i="90"/>
  <c r="BJ179" i="90"/>
  <c r="BK179" i="90"/>
  <c r="BL179" i="90"/>
  <c r="BM179" i="90"/>
  <c r="BN179" i="90"/>
  <c r="BO179" i="90"/>
  <c r="AY180" i="90"/>
  <c r="AZ180" i="90"/>
  <c r="BA180" i="90"/>
  <c r="BB180" i="90"/>
  <c r="BC180" i="90"/>
  <c r="BD180" i="90"/>
  <c r="BE180" i="90"/>
  <c r="BF180" i="90"/>
  <c r="BG180" i="90"/>
  <c r="BH180" i="90"/>
  <c r="BI180" i="90"/>
  <c r="BJ180" i="90"/>
  <c r="BK180" i="90"/>
  <c r="BL180" i="90"/>
  <c r="BM180" i="90"/>
  <c r="BN180" i="90"/>
  <c r="BO180" i="90"/>
  <c r="AY181" i="90"/>
  <c r="AZ181" i="90"/>
  <c r="BA181" i="90"/>
  <c r="BB181" i="90"/>
  <c r="BC181" i="90"/>
  <c r="BD181" i="90"/>
  <c r="BE181" i="90"/>
  <c r="BF181" i="90"/>
  <c r="BG181" i="90"/>
  <c r="BH181" i="90"/>
  <c r="BI181" i="90"/>
  <c r="BJ181" i="90"/>
  <c r="BK181" i="90"/>
  <c r="BL181" i="90"/>
  <c r="BM181" i="90"/>
  <c r="BN181" i="90"/>
  <c r="BO181" i="90"/>
  <c r="AZ2" i="90"/>
  <c r="BA2" i="90"/>
  <c r="BB2" i="90"/>
  <c r="BC2" i="90"/>
  <c r="BD2" i="90"/>
  <c r="BE2" i="90"/>
  <c r="BF2" i="90"/>
  <c r="BG2" i="90"/>
  <c r="BH2" i="90"/>
  <c r="BI2" i="90"/>
  <c r="BJ2" i="90"/>
  <c r="BK2" i="90"/>
  <c r="BL2" i="90"/>
  <c r="BM2" i="90"/>
  <c r="BN2" i="90"/>
  <c r="BO2" i="90"/>
  <c r="AY2" i="90"/>
  <c r="AT3" i="90"/>
  <c r="AT4" i="90"/>
  <c r="AT5" i="90"/>
  <c r="AT6" i="90"/>
  <c r="AT7" i="90"/>
  <c r="AT8" i="90"/>
  <c r="AT9" i="90"/>
  <c r="AT10" i="90"/>
  <c r="AT11" i="90"/>
  <c r="AT12" i="90"/>
  <c r="AT13" i="90"/>
  <c r="AT14" i="90"/>
  <c r="AT15" i="90"/>
  <c r="AT16" i="90"/>
  <c r="AT17" i="90"/>
  <c r="AT18" i="90"/>
  <c r="AT19" i="90"/>
  <c r="AT20" i="90"/>
  <c r="AT21" i="90"/>
  <c r="AT22" i="90"/>
  <c r="AT23" i="90"/>
  <c r="AT24" i="90"/>
  <c r="AT25" i="90"/>
  <c r="AT26" i="90"/>
  <c r="AT27" i="90"/>
  <c r="AT28" i="90"/>
  <c r="AT29" i="90"/>
  <c r="AT30" i="90"/>
  <c r="AT31" i="90"/>
  <c r="AT32" i="90"/>
  <c r="AT33" i="90"/>
  <c r="AT34" i="90"/>
  <c r="AT35" i="90"/>
  <c r="AT36" i="90"/>
  <c r="AT37" i="90"/>
  <c r="AT38" i="90"/>
  <c r="AT39" i="90"/>
  <c r="AT40" i="90"/>
  <c r="AT41" i="90"/>
  <c r="AT42" i="90"/>
  <c r="AT43" i="90"/>
  <c r="AT44" i="90"/>
  <c r="AT45" i="90"/>
  <c r="AT46" i="90"/>
  <c r="AT47" i="90"/>
  <c r="AT48" i="90"/>
  <c r="AT49" i="90"/>
  <c r="AT50" i="90"/>
  <c r="AT51" i="90"/>
  <c r="AT52" i="90"/>
  <c r="AT53" i="90"/>
  <c r="AT54" i="90"/>
  <c r="AT55" i="90"/>
  <c r="AT56" i="90"/>
  <c r="AT57" i="90"/>
  <c r="AT58" i="90"/>
  <c r="AT59" i="90"/>
  <c r="AT60" i="90"/>
  <c r="AT61" i="90"/>
  <c r="AT62" i="90"/>
  <c r="AT63" i="90"/>
  <c r="AT64" i="90"/>
  <c r="AT65" i="90"/>
  <c r="AT66" i="90"/>
  <c r="AT67" i="90"/>
  <c r="AT68" i="90"/>
  <c r="AT69" i="90"/>
  <c r="AT70" i="90"/>
  <c r="AT71" i="90"/>
  <c r="AT72" i="90"/>
  <c r="AT73" i="90"/>
  <c r="AT74" i="90"/>
  <c r="AT75" i="90"/>
  <c r="AT76" i="90"/>
  <c r="AT77" i="90"/>
  <c r="AT78" i="90"/>
  <c r="AT79" i="90"/>
  <c r="AT80" i="90"/>
  <c r="AT81" i="90"/>
  <c r="AT82" i="90"/>
  <c r="AT83" i="90"/>
  <c r="AT84" i="90"/>
  <c r="AT85" i="90"/>
  <c r="AT86" i="90"/>
  <c r="AT87" i="90"/>
  <c r="AT88" i="90"/>
  <c r="AT89" i="90"/>
  <c r="AT90" i="90"/>
  <c r="AT91" i="90"/>
  <c r="AT92" i="90"/>
  <c r="AT93" i="90"/>
  <c r="AT94" i="90"/>
  <c r="AT95" i="90"/>
  <c r="AT96" i="90"/>
  <c r="AT97" i="90"/>
  <c r="AT98" i="90"/>
  <c r="AT99" i="90"/>
  <c r="AT100" i="90"/>
  <c r="AT101" i="90"/>
  <c r="AT102" i="90"/>
  <c r="AT103" i="90"/>
  <c r="AT104" i="90"/>
  <c r="AT105" i="90"/>
  <c r="AT106" i="90"/>
  <c r="AT107" i="90"/>
  <c r="AT108" i="90"/>
  <c r="AT109" i="90"/>
  <c r="AT110" i="90"/>
  <c r="AT111" i="90"/>
  <c r="AT112" i="90"/>
  <c r="AT113" i="90"/>
  <c r="AT114" i="90"/>
  <c r="AT115" i="90"/>
  <c r="AT116" i="90"/>
  <c r="AT117" i="90"/>
  <c r="AT118" i="90"/>
  <c r="AT119" i="90"/>
  <c r="AT120" i="90"/>
  <c r="AT121" i="90"/>
  <c r="AT122" i="90"/>
  <c r="AT123" i="90"/>
  <c r="AT124" i="90"/>
  <c r="AT125" i="90"/>
  <c r="AT126" i="90"/>
  <c r="AT127" i="90"/>
  <c r="AT128" i="90"/>
  <c r="AT129" i="90"/>
  <c r="AT130" i="90"/>
  <c r="AT131" i="90"/>
  <c r="AT132" i="90"/>
  <c r="AT133" i="90"/>
  <c r="AT134" i="90"/>
  <c r="AT135" i="90"/>
  <c r="AT136" i="90"/>
  <c r="AT137" i="90"/>
  <c r="AT138" i="90"/>
  <c r="AT139" i="90"/>
  <c r="AT140" i="90"/>
  <c r="AT141" i="90"/>
  <c r="AT142" i="90"/>
  <c r="AT143" i="90"/>
  <c r="AT144" i="90"/>
  <c r="AT145" i="90"/>
  <c r="AT146" i="90"/>
  <c r="AT147" i="90"/>
  <c r="AT148" i="90"/>
  <c r="AT149" i="90"/>
  <c r="AT150" i="90"/>
  <c r="AT151" i="90"/>
  <c r="AT152" i="90"/>
  <c r="AT153" i="90"/>
  <c r="AT154" i="90"/>
  <c r="AT155" i="90"/>
  <c r="AT156" i="90"/>
  <c r="AT157" i="90"/>
  <c r="AT158" i="90"/>
  <c r="AT159" i="90"/>
  <c r="AT160" i="90"/>
  <c r="AT161" i="90"/>
  <c r="AT162" i="90"/>
  <c r="AT163" i="90"/>
  <c r="AT164" i="90"/>
  <c r="AT165" i="90"/>
  <c r="AT166" i="90"/>
  <c r="AT167" i="90"/>
  <c r="AT168" i="90"/>
  <c r="AT169" i="90"/>
  <c r="AT170" i="90"/>
  <c r="AT171" i="90"/>
  <c r="AT172" i="90"/>
  <c r="AT173" i="90"/>
  <c r="AT174" i="90"/>
  <c r="AT175" i="90"/>
  <c r="AT176" i="90"/>
  <c r="AT177" i="90"/>
  <c r="AT178" i="90"/>
  <c r="AT179" i="90"/>
  <c r="AT180" i="90"/>
  <c r="AT181" i="90"/>
  <c r="AT2" i="90"/>
  <c r="AJ176" i="90"/>
  <c r="AK176" i="90"/>
  <c r="AL176" i="90"/>
  <c r="AM176" i="90"/>
  <c r="AN176" i="90"/>
  <c r="AO176" i="90"/>
  <c r="AJ177" i="90"/>
  <c r="AK177" i="90"/>
  <c r="AL177" i="90"/>
  <c r="AM177" i="90"/>
  <c r="AN177" i="90"/>
  <c r="AO177" i="90"/>
  <c r="AJ178" i="90"/>
  <c r="AK178" i="90"/>
  <c r="AL178" i="90"/>
  <c r="AM178" i="90"/>
  <c r="AN178" i="90"/>
  <c r="AO178" i="90"/>
  <c r="AJ179" i="90"/>
  <c r="AK179" i="90"/>
  <c r="AL179" i="90"/>
  <c r="AM179" i="90"/>
  <c r="AN179" i="90"/>
  <c r="AO179" i="90"/>
  <c r="AJ180" i="90"/>
  <c r="AK180" i="90"/>
  <c r="AL180" i="90"/>
  <c r="AM180" i="90"/>
  <c r="AN180" i="90"/>
  <c r="AO180" i="90"/>
  <c r="AJ181" i="90"/>
  <c r="AK181" i="90"/>
  <c r="AL181" i="90"/>
  <c r="AM181" i="90"/>
  <c r="AN181" i="90"/>
  <c r="AO181" i="90"/>
  <c r="AI177" i="90"/>
  <c r="AI178" i="90"/>
  <c r="AI179" i="90"/>
  <c r="AI180" i="90"/>
  <c r="AI181" i="90"/>
  <c r="AI176" i="90"/>
  <c r="AI3" i="90"/>
  <c r="AJ3" i="90"/>
  <c r="AK3" i="90"/>
  <c r="AL3" i="90"/>
  <c r="AM3" i="90"/>
  <c r="AN3" i="90"/>
  <c r="AO3" i="90"/>
  <c r="AI4" i="90"/>
  <c r="AJ4" i="90"/>
  <c r="AK4" i="90"/>
  <c r="AL4" i="90"/>
  <c r="AM4" i="90"/>
  <c r="AN4" i="90"/>
  <c r="AO4" i="90"/>
  <c r="AI5" i="90"/>
  <c r="AJ5" i="90"/>
  <c r="AK5" i="90"/>
  <c r="AL5" i="90"/>
  <c r="AM5" i="90"/>
  <c r="AN5" i="90"/>
  <c r="AO5" i="90"/>
  <c r="AI6" i="90"/>
  <c r="AJ6" i="90"/>
  <c r="AK6" i="90"/>
  <c r="AL6" i="90"/>
  <c r="AM6" i="90"/>
  <c r="AN6" i="90"/>
  <c r="AO6" i="90"/>
  <c r="AI7" i="90"/>
  <c r="AJ7" i="90"/>
  <c r="AK7" i="90"/>
  <c r="AL7" i="90"/>
  <c r="AM7" i="90"/>
  <c r="AN7" i="90"/>
  <c r="AO7" i="90"/>
  <c r="AI8" i="90"/>
  <c r="AJ8" i="90"/>
  <c r="AK8" i="90"/>
  <c r="AL8" i="90"/>
  <c r="AM8" i="90"/>
  <c r="AN8" i="90"/>
  <c r="AO8" i="90"/>
  <c r="AI9" i="90"/>
  <c r="AJ9" i="90"/>
  <c r="AK9" i="90"/>
  <c r="AL9" i="90"/>
  <c r="AM9" i="90"/>
  <c r="AN9" i="90"/>
  <c r="AO9" i="90"/>
  <c r="AI10" i="90"/>
  <c r="AJ10" i="90"/>
  <c r="AK10" i="90"/>
  <c r="AL10" i="90"/>
  <c r="AM10" i="90"/>
  <c r="AN10" i="90"/>
  <c r="AO10" i="90"/>
  <c r="AI11" i="90"/>
  <c r="AJ11" i="90"/>
  <c r="AK11" i="90"/>
  <c r="AL11" i="90"/>
  <c r="AM11" i="90"/>
  <c r="AN11" i="90"/>
  <c r="AO11" i="90"/>
  <c r="AI12" i="90"/>
  <c r="AJ12" i="90"/>
  <c r="AK12" i="90"/>
  <c r="AL12" i="90"/>
  <c r="AM12" i="90"/>
  <c r="AN12" i="90"/>
  <c r="AO12" i="90"/>
  <c r="AI13" i="90"/>
  <c r="AJ13" i="90"/>
  <c r="AK13" i="90"/>
  <c r="AL13" i="90"/>
  <c r="AM13" i="90"/>
  <c r="AN13" i="90"/>
  <c r="AO13" i="90"/>
  <c r="AI14" i="90"/>
  <c r="AJ14" i="90"/>
  <c r="AK14" i="90"/>
  <c r="AL14" i="90"/>
  <c r="AM14" i="90"/>
  <c r="AN14" i="90"/>
  <c r="AO14" i="90"/>
  <c r="AI15" i="90"/>
  <c r="AJ15" i="90"/>
  <c r="AK15" i="90"/>
  <c r="AL15" i="90"/>
  <c r="AM15" i="90"/>
  <c r="AN15" i="90"/>
  <c r="AO15" i="90"/>
  <c r="AI16" i="90"/>
  <c r="AJ16" i="90"/>
  <c r="AK16" i="90"/>
  <c r="AL16" i="90"/>
  <c r="AM16" i="90"/>
  <c r="AN16" i="90"/>
  <c r="AO16" i="90"/>
  <c r="AI17" i="90"/>
  <c r="AJ17" i="90"/>
  <c r="AK17" i="90"/>
  <c r="AL17" i="90"/>
  <c r="AM17" i="90"/>
  <c r="AN17" i="90"/>
  <c r="AO17" i="90"/>
  <c r="AI18" i="90"/>
  <c r="AJ18" i="90"/>
  <c r="AK18" i="90"/>
  <c r="AL18" i="90"/>
  <c r="AM18" i="90"/>
  <c r="AN18" i="90"/>
  <c r="AO18" i="90"/>
  <c r="AI19" i="90"/>
  <c r="AJ19" i="90"/>
  <c r="AK19" i="90"/>
  <c r="AL19" i="90"/>
  <c r="AM19" i="90"/>
  <c r="AN19" i="90"/>
  <c r="AO19" i="90"/>
  <c r="AI20" i="90"/>
  <c r="AJ20" i="90"/>
  <c r="AK20" i="90"/>
  <c r="AL20" i="90"/>
  <c r="AM20" i="90"/>
  <c r="AN20" i="90"/>
  <c r="AO20" i="90"/>
  <c r="AI21" i="90"/>
  <c r="AJ21" i="90"/>
  <c r="AK21" i="90"/>
  <c r="AL21" i="90"/>
  <c r="AM21" i="90"/>
  <c r="AN21" i="90"/>
  <c r="AO21" i="90"/>
  <c r="AI22" i="90"/>
  <c r="AJ22" i="90"/>
  <c r="AK22" i="90"/>
  <c r="AL22" i="90"/>
  <c r="AM22" i="90"/>
  <c r="AN22" i="90"/>
  <c r="AO22" i="90"/>
  <c r="AI23" i="90"/>
  <c r="AJ23" i="90"/>
  <c r="AK23" i="90"/>
  <c r="AL23" i="90"/>
  <c r="AM23" i="90"/>
  <c r="AN23" i="90"/>
  <c r="AO23" i="90"/>
  <c r="AI24" i="90"/>
  <c r="AJ24" i="90"/>
  <c r="AK24" i="90"/>
  <c r="AL24" i="90"/>
  <c r="AM24" i="90"/>
  <c r="AN24" i="90"/>
  <c r="AO24" i="90"/>
  <c r="AI25" i="90"/>
  <c r="AJ25" i="90"/>
  <c r="AK25" i="90"/>
  <c r="AL25" i="90"/>
  <c r="AM25" i="90"/>
  <c r="AN25" i="90"/>
  <c r="AO25" i="90"/>
  <c r="AI26" i="90"/>
  <c r="AJ26" i="90"/>
  <c r="AK26" i="90"/>
  <c r="AL26" i="90"/>
  <c r="AM26" i="90"/>
  <c r="AN26" i="90"/>
  <c r="AO26" i="90"/>
  <c r="AI27" i="90"/>
  <c r="AJ27" i="90"/>
  <c r="AK27" i="90"/>
  <c r="AL27" i="90"/>
  <c r="AM27" i="90"/>
  <c r="AN27" i="90"/>
  <c r="AO27" i="90"/>
  <c r="AI28" i="90"/>
  <c r="AJ28" i="90"/>
  <c r="AK28" i="90"/>
  <c r="AL28" i="90"/>
  <c r="AM28" i="90"/>
  <c r="AN28" i="90"/>
  <c r="AO28" i="90"/>
  <c r="AI29" i="90"/>
  <c r="AJ29" i="90"/>
  <c r="AK29" i="90"/>
  <c r="AL29" i="90"/>
  <c r="AM29" i="90"/>
  <c r="AN29" i="90"/>
  <c r="AO29" i="90"/>
  <c r="AI30" i="90"/>
  <c r="AJ30" i="90"/>
  <c r="AK30" i="90"/>
  <c r="AL30" i="90"/>
  <c r="AM30" i="90"/>
  <c r="AN30" i="90"/>
  <c r="AO30" i="90"/>
  <c r="AI31" i="90"/>
  <c r="AJ31" i="90"/>
  <c r="AK31" i="90"/>
  <c r="AL31" i="90"/>
  <c r="AM31" i="90"/>
  <c r="AN31" i="90"/>
  <c r="AO31" i="90"/>
  <c r="AI32" i="90"/>
  <c r="AJ32" i="90"/>
  <c r="AK32" i="90"/>
  <c r="AL32" i="90"/>
  <c r="AM32" i="90"/>
  <c r="AN32" i="90"/>
  <c r="AO32" i="90"/>
  <c r="AI33" i="90"/>
  <c r="AJ33" i="90"/>
  <c r="AK33" i="90"/>
  <c r="AL33" i="90"/>
  <c r="AM33" i="90"/>
  <c r="AN33" i="90"/>
  <c r="AO33" i="90"/>
  <c r="AI34" i="90"/>
  <c r="AJ34" i="90"/>
  <c r="AK34" i="90"/>
  <c r="AL34" i="90"/>
  <c r="AM34" i="90"/>
  <c r="AN34" i="90"/>
  <c r="AO34" i="90"/>
  <c r="AI35" i="90"/>
  <c r="AJ35" i="90"/>
  <c r="AK35" i="90"/>
  <c r="AL35" i="90"/>
  <c r="AM35" i="90"/>
  <c r="AN35" i="90"/>
  <c r="AO35" i="90"/>
  <c r="AI36" i="90"/>
  <c r="AJ36" i="90"/>
  <c r="AK36" i="90"/>
  <c r="AL36" i="90"/>
  <c r="AM36" i="90"/>
  <c r="AN36" i="90"/>
  <c r="AO36" i="90"/>
  <c r="AI37" i="90"/>
  <c r="AJ37" i="90"/>
  <c r="AK37" i="90"/>
  <c r="AL37" i="90"/>
  <c r="AM37" i="90"/>
  <c r="AN37" i="90"/>
  <c r="AO37" i="90"/>
  <c r="AI38" i="90"/>
  <c r="AJ38" i="90"/>
  <c r="AK38" i="90"/>
  <c r="AL38" i="90"/>
  <c r="AM38" i="90"/>
  <c r="AN38" i="90"/>
  <c r="AO38" i="90"/>
  <c r="AI39" i="90"/>
  <c r="AJ39" i="90"/>
  <c r="AK39" i="90"/>
  <c r="AL39" i="90"/>
  <c r="AM39" i="90"/>
  <c r="AN39" i="90"/>
  <c r="AO39" i="90"/>
  <c r="AI40" i="90"/>
  <c r="AJ40" i="90"/>
  <c r="AK40" i="90"/>
  <c r="AL40" i="90"/>
  <c r="AM40" i="90"/>
  <c r="AN40" i="90"/>
  <c r="AO40" i="90"/>
  <c r="AI41" i="90"/>
  <c r="AJ41" i="90"/>
  <c r="AK41" i="90"/>
  <c r="AL41" i="90"/>
  <c r="AM41" i="90"/>
  <c r="AN41" i="90"/>
  <c r="AO41" i="90"/>
  <c r="AI42" i="90"/>
  <c r="AJ42" i="90"/>
  <c r="AK42" i="90"/>
  <c r="AL42" i="90"/>
  <c r="AM42" i="90"/>
  <c r="AN42" i="90"/>
  <c r="AO42" i="90"/>
  <c r="AI43" i="90"/>
  <c r="AJ43" i="90"/>
  <c r="AK43" i="90"/>
  <c r="AL43" i="90"/>
  <c r="AM43" i="90"/>
  <c r="AN43" i="90"/>
  <c r="AO43" i="90"/>
  <c r="AI44" i="90"/>
  <c r="AJ44" i="90"/>
  <c r="AK44" i="90"/>
  <c r="AL44" i="90"/>
  <c r="AM44" i="90"/>
  <c r="AN44" i="90"/>
  <c r="AO44" i="90"/>
  <c r="AI45" i="90"/>
  <c r="AJ45" i="90"/>
  <c r="AK45" i="90"/>
  <c r="AL45" i="90"/>
  <c r="AM45" i="90"/>
  <c r="AN45" i="90"/>
  <c r="AO45" i="90"/>
  <c r="AI46" i="90"/>
  <c r="AJ46" i="90"/>
  <c r="AK46" i="90"/>
  <c r="AL46" i="90"/>
  <c r="AM46" i="90"/>
  <c r="AN46" i="90"/>
  <c r="AO46" i="90"/>
  <c r="AI47" i="90"/>
  <c r="AJ47" i="90"/>
  <c r="AK47" i="90"/>
  <c r="AL47" i="90"/>
  <c r="AM47" i="90"/>
  <c r="AN47" i="90"/>
  <c r="AO47" i="90"/>
  <c r="AI48" i="90"/>
  <c r="AJ48" i="90"/>
  <c r="AK48" i="90"/>
  <c r="AL48" i="90"/>
  <c r="AM48" i="90"/>
  <c r="AN48" i="90"/>
  <c r="AO48" i="90"/>
  <c r="AI49" i="90"/>
  <c r="AJ49" i="90"/>
  <c r="AK49" i="90"/>
  <c r="AL49" i="90"/>
  <c r="AM49" i="90"/>
  <c r="AN49" i="90"/>
  <c r="AO49" i="90"/>
  <c r="AI50" i="90"/>
  <c r="AJ50" i="90"/>
  <c r="AK50" i="90"/>
  <c r="AL50" i="90"/>
  <c r="AM50" i="90"/>
  <c r="AN50" i="90"/>
  <c r="AO50" i="90"/>
  <c r="AI51" i="90"/>
  <c r="AJ51" i="90"/>
  <c r="AK51" i="90"/>
  <c r="AL51" i="90"/>
  <c r="AM51" i="90"/>
  <c r="AN51" i="90"/>
  <c r="AO51" i="90"/>
  <c r="AI52" i="90"/>
  <c r="AJ52" i="90"/>
  <c r="AK52" i="90"/>
  <c r="AL52" i="90"/>
  <c r="AM52" i="90"/>
  <c r="AN52" i="90"/>
  <c r="AO52" i="90"/>
  <c r="AI53" i="90"/>
  <c r="AJ53" i="90"/>
  <c r="AK53" i="90"/>
  <c r="AL53" i="90"/>
  <c r="AM53" i="90"/>
  <c r="AN53" i="90"/>
  <c r="AO53" i="90"/>
  <c r="AI54" i="90"/>
  <c r="AJ54" i="90"/>
  <c r="AK54" i="90"/>
  <c r="AL54" i="90"/>
  <c r="AM54" i="90"/>
  <c r="AN54" i="90"/>
  <c r="AO54" i="90"/>
  <c r="AI55" i="90"/>
  <c r="AJ55" i="90"/>
  <c r="AK55" i="90"/>
  <c r="AL55" i="90"/>
  <c r="AM55" i="90"/>
  <c r="AN55" i="90"/>
  <c r="AO55" i="90"/>
  <c r="AI56" i="90"/>
  <c r="AJ56" i="90"/>
  <c r="AK56" i="90"/>
  <c r="AL56" i="90"/>
  <c r="AM56" i="90"/>
  <c r="AN56" i="90"/>
  <c r="AO56" i="90"/>
  <c r="AI57" i="90"/>
  <c r="AJ57" i="90"/>
  <c r="AK57" i="90"/>
  <c r="AL57" i="90"/>
  <c r="AM57" i="90"/>
  <c r="AN57" i="90"/>
  <c r="AO57" i="90"/>
  <c r="AI58" i="90"/>
  <c r="AJ58" i="90"/>
  <c r="AK58" i="90"/>
  <c r="AL58" i="90"/>
  <c r="AM58" i="90"/>
  <c r="AN58" i="90"/>
  <c r="AO58" i="90"/>
  <c r="AI59" i="90"/>
  <c r="AJ59" i="90"/>
  <c r="AK59" i="90"/>
  <c r="AL59" i="90"/>
  <c r="AM59" i="90"/>
  <c r="AN59" i="90"/>
  <c r="AO59" i="90"/>
  <c r="AI60" i="90"/>
  <c r="AJ60" i="90"/>
  <c r="AK60" i="90"/>
  <c r="AL60" i="90"/>
  <c r="AM60" i="90"/>
  <c r="AN60" i="90"/>
  <c r="AO60" i="90"/>
  <c r="AI61" i="90"/>
  <c r="AJ61" i="90"/>
  <c r="AK61" i="90"/>
  <c r="AL61" i="90"/>
  <c r="AM61" i="90"/>
  <c r="AN61" i="90"/>
  <c r="AO61" i="90"/>
  <c r="AI62" i="90"/>
  <c r="AJ62" i="90"/>
  <c r="AK62" i="90"/>
  <c r="AL62" i="90"/>
  <c r="AM62" i="90"/>
  <c r="AN62" i="90"/>
  <c r="AO62" i="90"/>
  <c r="AI63" i="90"/>
  <c r="AJ63" i="90"/>
  <c r="AK63" i="90"/>
  <c r="AL63" i="90"/>
  <c r="AM63" i="90"/>
  <c r="AN63" i="90"/>
  <c r="AO63" i="90"/>
  <c r="AI64" i="90"/>
  <c r="AJ64" i="90"/>
  <c r="AK64" i="90"/>
  <c r="AL64" i="90"/>
  <c r="AM64" i="90"/>
  <c r="AN64" i="90"/>
  <c r="AO64" i="90"/>
  <c r="AI65" i="90"/>
  <c r="AJ65" i="90"/>
  <c r="AK65" i="90"/>
  <c r="AL65" i="90"/>
  <c r="AM65" i="90"/>
  <c r="AN65" i="90"/>
  <c r="AO65" i="90"/>
  <c r="AI66" i="90"/>
  <c r="AJ66" i="90"/>
  <c r="AK66" i="90"/>
  <c r="AL66" i="90"/>
  <c r="AM66" i="90"/>
  <c r="AN66" i="90"/>
  <c r="AO66" i="90"/>
  <c r="AI67" i="90"/>
  <c r="AJ67" i="90"/>
  <c r="AK67" i="90"/>
  <c r="AL67" i="90"/>
  <c r="AM67" i="90"/>
  <c r="AN67" i="90"/>
  <c r="AO67" i="90"/>
  <c r="AI68" i="90"/>
  <c r="AJ68" i="90"/>
  <c r="AK68" i="90"/>
  <c r="AL68" i="90"/>
  <c r="AM68" i="90"/>
  <c r="AN68" i="90"/>
  <c r="AO68" i="90"/>
  <c r="AI69" i="90"/>
  <c r="AJ69" i="90"/>
  <c r="AK69" i="90"/>
  <c r="AL69" i="90"/>
  <c r="AM69" i="90"/>
  <c r="AN69" i="90"/>
  <c r="AO69" i="90"/>
  <c r="AI70" i="90"/>
  <c r="AJ70" i="90"/>
  <c r="AK70" i="90"/>
  <c r="AL70" i="90"/>
  <c r="AM70" i="90"/>
  <c r="AN70" i="90"/>
  <c r="AO70" i="90"/>
  <c r="AI71" i="90"/>
  <c r="AJ71" i="90"/>
  <c r="AK71" i="90"/>
  <c r="AL71" i="90"/>
  <c r="AM71" i="90"/>
  <c r="AN71" i="90"/>
  <c r="AO71" i="90"/>
  <c r="AI72" i="90"/>
  <c r="AJ72" i="90"/>
  <c r="AK72" i="90"/>
  <c r="AL72" i="90"/>
  <c r="AM72" i="90"/>
  <c r="AN72" i="90"/>
  <c r="AO72" i="90"/>
  <c r="AI73" i="90"/>
  <c r="AJ73" i="90"/>
  <c r="AK73" i="90"/>
  <c r="AL73" i="90"/>
  <c r="AM73" i="90"/>
  <c r="AN73" i="90"/>
  <c r="AO73" i="90"/>
  <c r="AI74" i="90"/>
  <c r="AJ74" i="90"/>
  <c r="AK74" i="90"/>
  <c r="AL74" i="90"/>
  <c r="AM74" i="90"/>
  <c r="AN74" i="90"/>
  <c r="AO74" i="90"/>
  <c r="AI75" i="90"/>
  <c r="AJ75" i="90"/>
  <c r="AK75" i="90"/>
  <c r="AL75" i="90"/>
  <c r="AM75" i="90"/>
  <c r="AN75" i="90"/>
  <c r="AO75" i="90"/>
  <c r="AI76" i="90"/>
  <c r="AJ76" i="90"/>
  <c r="AK76" i="90"/>
  <c r="AL76" i="90"/>
  <c r="AM76" i="90"/>
  <c r="AN76" i="90"/>
  <c r="AO76" i="90"/>
  <c r="AI77" i="90"/>
  <c r="AJ77" i="90"/>
  <c r="AK77" i="90"/>
  <c r="AL77" i="90"/>
  <c r="AM77" i="90"/>
  <c r="AN77" i="90"/>
  <c r="AO77" i="90"/>
  <c r="AI78" i="90"/>
  <c r="AJ78" i="90"/>
  <c r="AK78" i="90"/>
  <c r="AL78" i="90"/>
  <c r="AM78" i="90"/>
  <c r="AN78" i="90"/>
  <c r="AO78" i="90"/>
  <c r="AI79" i="90"/>
  <c r="AJ79" i="90"/>
  <c r="AK79" i="90"/>
  <c r="AL79" i="90"/>
  <c r="AM79" i="90"/>
  <c r="AN79" i="90"/>
  <c r="AO79" i="90"/>
  <c r="AI80" i="90"/>
  <c r="AJ80" i="90"/>
  <c r="AK80" i="90"/>
  <c r="AL80" i="90"/>
  <c r="AM80" i="90"/>
  <c r="AN80" i="90"/>
  <c r="AO80" i="90"/>
  <c r="AI81" i="90"/>
  <c r="AJ81" i="90"/>
  <c r="AK81" i="90"/>
  <c r="AL81" i="90"/>
  <c r="AM81" i="90"/>
  <c r="AN81" i="90"/>
  <c r="AO81" i="90"/>
  <c r="AI82" i="90"/>
  <c r="AJ82" i="90"/>
  <c r="AK82" i="90"/>
  <c r="AL82" i="90"/>
  <c r="AM82" i="90"/>
  <c r="AN82" i="90"/>
  <c r="AO82" i="90"/>
  <c r="AI83" i="90"/>
  <c r="AJ83" i="90"/>
  <c r="AK83" i="90"/>
  <c r="AL83" i="90"/>
  <c r="AM83" i="90"/>
  <c r="AN83" i="90"/>
  <c r="AO83" i="90"/>
  <c r="AI84" i="90"/>
  <c r="AJ84" i="90"/>
  <c r="AK84" i="90"/>
  <c r="AL84" i="90"/>
  <c r="AM84" i="90"/>
  <c r="AN84" i="90"/>
  <c r="AO84" i="90"/>
  <c r="AI85" i="90"/>
  <c r="AJ85" i="90"/>
  <c r="AK85" i="90"/>
  <c r="AL85" i="90"/>
  <c r="AM85" i="90"/>
  <c r="AN85" i="90"/>
  <c r="AO85" i="90"/>
  <c r="AI86" i="90"/>
  <c r="AJ86" i="90"/>
  <c r="AK86" i="90"/>
  <c r="AL86" i="90"/>
  <c r="AM86" i="90"/>
  <c r="AN86" i="90"/>
  <c r="AO86" i="90"/>
  <c r="AI87" i="90"/>
  <c r="AJ87" i="90"/>
  <c r="AK87" i="90"/>
  <c r="AL87" i="90"/>
  <c r="AM87" i="90"/>
  <c r="AN87" i="90"/>
  <c r="AO87" i="90"/>
  <c r="AI88" i="90"/>
  <c r="AJ88" i="90"/>
  <c r="AK88" i="90"/>
  <c r="AL88" i="90"/>
  <c r="AM88" i="90"/>
  <c r="AN88" i="90"/>
  <c r="AO88" i="90"/>
  <c r="AI89" i="90"/>
  <c r="AJ89" i="90"/>
  <c r="AK89" i="90"/>
  <c r="AL89" i="90"/>
  <c r="AM89" i="90"/>
  <c r="AN89" i="90"/>
  <c r="AO89" i="90"/>
  <c r="AI90" i="90"/>
  <c r="AJ90" i="90"/>
  <c r="AK90" i="90"/>
  <c r="AL90" i="90"/>
  <c r="AM90" i="90"/>
  <c r="AN90" i="90"/>
  <c r="AO90" i="90"/>
  <c r="AI91" i="90"/>
  <c r="AJ91" i="90"/>
  <c r="AK91" i="90"/>
  <c r="AL91" i="90"/>
  <c r="AM91" i="90"/>
  <c r="AN91" i="90"/>
  <c r="AO91" i="90"/>
  <c r="AI92" i="90"/>
  <c r="AJ92" i="90"/>
  <c r="AK92" i="90"/>
  <c r="AL92" i="90"/>
  <c r="AM92" i="90"/>
  <c r="AN92" i="90"/>
  <c r="AO92" i="90"/>
  <c r="AI93" i="90"/>
  <c r="AJ93" i="90"/>
  <c r="AK93" i="90"/>
  <c r="AL93" i="90"/>
  <c r="AM93" i="90"/>
  <c r="AN93" i="90"/>
  <c r="AO93" i="90"/>
  <c r="AI94" i="90"/>
  <c r="AJ94" i="90"/>
  <c r="AK94" i="90"/>
  <c r="AL94" i="90"/>
  <c r="AM94" i="90"/>
  <c r="AN94" i="90"/>
  <c r="AO94" i="90"/>
  <c r="AI95" i="90"/>
  <c r="AJ95" i="90"/>
  <c r="AK95" i="90"/>
  <c r="AL95" i="90"/>
  <c r="AM95" i="90"/>
  <c r="AN95" i="90"/>
  <c r="AO95" i="90"/>
  <c r="AI96" i="90"/>
  <c r="AJ96" i="90"/>
  <c r="AK96" i="90"/>
  <c r="AL96" i="90"/>
  <c r="AM96" i="90"/>
  <c r="AN96" i="90"/>
  <c r="AO96" i="90"/>
  <c r="AI97" i="90"/>
  <c r="AJ97" i="90"/>
  <c r="AK97" i="90"/>
  <c r="AL97" i="90"/>
  <c r="AM97" i="90"/>
  <c r="AN97" i="90"/>
  <c r="AO97" i="90"/>
  <c r="AI98" i="90"/>
  <c r="AJ98" i="90"/>
  <c r="AK98" i="90"/>
  <c r="AL98" i="90"/>
  <c r="AM98" i="90"/>
  <c r="AN98" i="90"/>
  <c r="AO98" i="90"/>
  <c r="AI99" i="90"/>
  <c r="AJ99" i="90"/>
  <c r="AK99" i="90"/>
  <c r="AL99" i="90"/>
  <c r="AM99" i="90"/>
  <c r="AN99" i="90"/>
  <c r="AO99" i="90"/>
  <c r="AI100" i="90"/>
  <c r="AJ100" i="90"/>
  <c r="AK100" i="90"/>
  <c r="AL100" i="90"/>
  <c r="AM100" i="90"/>
  <c r="AN100" i="90"/>
  <c r="AO100" i="90"/>
  <c r="AI101" i="90"/>
  <c r="AJ101" i="90"/>
  <c r="AK101" i="90"/>
  <c r="AL101" i="90"/>
  <c r="AM101" i="90"/>
  <c r="AN101" i="90"/>
  <c r="AO101" i="90"/>
  <c r="AI102" i="90"/>
  <c r="AJ102" i="90"/>
  <c r="AK102" i="90"/>
  <c r="AL102" i="90"/>
  <c r="AM102" i="90"/>
  <c r="AN102" i="90"/>
  <c r="AO102" i="90"/>
  <c r="AI103" i="90"/>
  <c r="AJ103" i="90"/>
  <c r="AK103" i="90"/>
  <c r="AL103" i="90"/>
  <c r="AM103" i="90"/>
  <c r="AN103" i="90"/>
  <c r="AO103" i="90"/>
  <c r="AI104" i="90"/>
  <c r="AJ104" i="90"/>
  <c r="AK104" i="90"/>
  <c r="AL104" i="90"/>
  <c r="AM104" i="90"/>
  <c r="AN104" i="90"/>
  <c r="AO104" i="90"/>
  <c r="AI105" i="90"/>
  <c r="AJ105" i="90"/>
  <c r="AK105" i="90"/>
  <c r="AL105" i="90"/>
  <c r="AM105" i="90"/>
  <c r="AN105" i="90"/>
  <c r="AO105" i="90"/>
  <c r="AI106" i="90"/>
  <c r="AJ106" i="90"/>
  <c r="AK106" i="90"/>
  <c r="AL106" i="90"/>
  <c r="AM106" i="90"/>
  <c r="AN106" i="90"/>
  <c r="AO106" i="90"/>
  <c r="AI107" i="90"/>
  <c r="AJ107" i="90"/>
  <c r="AK107" i="90"/>
  <c r="AL107" i="90"/>
  <c r="AM107" i="90"/>
  <c r="AN107" i="90"/>
  <c r="AO107" i="90"/>
  <c r="AI108" i="90"/>
  <c r="AJ108" i="90"/>
  <c r="AK108" i="90"/>
  <c r="AL108" i="90"/>
  <c r="AM108" i="90"/>
  <c r="AN108" i="90"/>
  <c r="AO108" i="90"/>
  <c r="AI109" i="90"/>
  <c r="AJ109" i="90"/>
  <c r="AK109" i="90"/>
  <c r="AL109" i="90"/>
  <c r="AM109" i="90"/>
  <c r="AN109" i="90"/>
  <c r="AO109" i="90"/>
  <c r="AI110" i="90"/>
  <c r="AJ110" i="90"/>
  <c r="AK110" i="90"/>
  <c r="AL110" i="90"/>
  <c r="AM110" i="90"/>
  <c r="AN110" i="90"/>
  <c r="AO110" i="90"/>
  <c r="AI111" i="90"/>
  <c r="AJ111" i="90"/>
  <c r="AK111" i="90"/>
  <c r="AL111" i="90"/>
  <c r="AM111" i="90"/>
  <c r="AN111" i="90"/>
  <c r="AO111" i="90"/>
  <c r="AI112" i="90"/>
  <c r="AJ112" i="90"/>
  <c r="AK112" i="90"/>
  <c r="AL112" i="90"/>
  <c r="AM112" i="90"/>
  <c r="AN112" i="90"/>
  <c r="AO112" i="90"/>
  <c r="AI113" i="90"/>
  <c r="AJ113" i="90"/>
  <c r="AK113" i="90"/>
  <c r="AL113" i="90"/>
  <c r="AM113" i="90"/>
  <c r="AN113" i="90"/>
  <c r="AO113" i="90"/>
  <c r="AI114" i="90"/>
  <c r="AJ114" i="90"/>
  <c r="AK114" i="90"/>
  <c r="AL114" i="90"/>
  <c r="AM114" i="90"/>
  <c r="AN114" i="90"/>
  <c r="AO114" i="90"/>
  <c r="AI115" i="90"/>
  <c r="AJ115" i="90"/>
  <c r="AK115" i="90"/>
  <c r="AL115" i="90"/>
  <c r="AM115" i="90"/>
  <c r="AN115" i="90"/>
  <c r="AO115" i="90"/>
  <c r="AI116" i="90"/>
  <c r="AJ116" i="90"/>
  <c r="AK116" i="90"/>
  <c r="AL116" i="90"/>
  <c r="AM116" i="90"/>
  <c r="AN116" i="90"/>
  <c r="AO116" i="90"/>
  <c r="AI117" i="90"/>
  <c r="AJ117" i="90"/>
  <c r="AK117" i="90"/>
  <c r="AL117" i="90"/>
  <c r="AM117" i="90"/>
  <c r="AN117" i="90"/>
  <c r="AO117" i="90"/>
  <c r="AI118" i="90"/>
  <c r="AJ118" i="90"/>
  <c r="AK118" i="90"/>
  <c r="AL118" i="90"/>
  <c r="AM118" i="90"/>
  <c r="AN118" i="90"/>
  <c r="AO118" i="90"/>
  <c r="AI119" i="90"/>
  <c r="AJ119" i="90"/>
  <c r="AK119" i="90"/>
  <c r="AL119" i="90"/>
  <c r="AM119" i="90"/>
  <c r="AN119" i="90"/>
  <c r="AO119" i="90"/>
  <c r="AI120" i="90"/>
  <c r="AJ120" i="90"/>
  <c r="AK120" i="90"/>
  <c r="AL120" i="90"/>
  <c r="AM120" i="90"/>
  <c r="AN120" i="90"/>
  <c r="AO120" i="90"/>
  <c r="AI121" i="90"/>
  <c r="AJ121" i="90"/>
  <c r="AK121" i="90"/>
  <c r="AL121" i="90"/>
  <c r="AM121" i="90"/>
  <c r="AN121" i="90"/>
  <c r="AO121" i="90"/>
  <c r="AI122" i="90"/>
  <c r="AJ122" i="90"/>
  <c r="AK122" i="90"/>
  <c r="AL122" i="90"/>
  <c r="AM122" i="90"/>
  <c r="AN122" i="90"/>
  <c r="AO122" i="90"/>
  <c r="AI123" i="90"/>
  <c r="AJ123" i="90"/>
  <c r="AK123" i="90"/>
  <c r="AL123" i="90"/>
  <c r="AM123" i="90"/>
  <c r="AN123" i="90"/>
  <c r="AO123" i="90"/>
  <c r="AI124" i="90"/>
  <c r="AJ124" i="90"/>
  <c r="AK124" i="90"/>
  <c r="AL124" i="90"/>
  <c r="AM124" i="90"/>
  <c r="AN124" i="90"/>
  <c r="AO124" i="90"/>
  <c r="AI125" i="90"/>
  <c r="AJ125" i="90"/>
  <c r="AK125" i="90"/>
  <c r="AL125" i="90"/>
  <c r="AM125" i="90"/>
  <c r="AN125" i="90"/>
  <c r="AO125" i="90"/>
  <c r="AI126" i="90"/>
  <c r="AJ126" i="90"/>
  <c r="AK126" i="90"/>
  <c r="AL126" i="90"/>
  <c r="AM126" i="90"/>
  <c r="AN126" i="90"/>
  <c r="AO126" i="90"/>
  <c r="AI127" i="90"/>
  <c r="AJ127" i="90"/>
  <c r="AK127" i="90"/>
  <c r="AL127" i="90"/>
  <c r="AM127" i="90"/>
  <c r="AN127" i="90"/>
  <c r="AO127" i="90"/>
  <c r="AI128" i="90"/>
  <c r="AJ128" i="90"/>
  <c r="AK128" i="90"/>
  <c r="AL128" i="90"/>
  <c r="AM128" i="90"/>
  <c r="AN128" i="90"/>
  <c r="AO128" i="90"/>
  <c r="AI129" i="90"/>
  <c r="AJ129" i="90"/>
  <c r="AK129" i="90"/>
  <c r="AL129" i="90"/>
  <c r="AM129" i="90"/>
  <c r="AN129" i="90"/>
  <c r="AO129" i="90"/>
  <c r="AI130" i="90"/>
  <c r="AJ130" i="90"/>
  <c r="AK130" i="90"/>
  <c r="AL130" i="90"/>
  <c r="AM130" i="90"/>
  <c r="AN130" i="90"/>
  <c r="AO130" i="90"/>
  <c r="AI131" i="90"/>
  <c r="AJ131" i="90"/>
  <c r="AK131" i="90"/>
  <c r="AL131" i="90"/>
  <c r="AM131" i="90"/>
  <c r="AN131" i="90"/>
  <c r="AO131" i="90"/>
  <c r="AI132" i="90"/>
  <c r="AJ132" i="90"/>
  <c r="AK132" i="90"/>
  <c r="AL132" i="90"/>
  <c r="AM132" i="90"/>
  <c r="AN132" i="90"/>
  <c r="AO132" i="90"/>
  <c r="AI133" i="90"/>
  <c r="AJ133" i="90"/>
  <c r="AK133" i="90"/>
  <c r="AL133" i="90"/>
  <c r="AM133" i="90"/>
  <c r="AN133" i="90"/>
  <c r="AO133" i="90"/>
  <c r="AI134" i="90"/>
  <c r="AJ134" i="90"/>
  <c r="AK134" i="90"/>
  <c r="AL134" i="90"/>
  <c r="AM134" i="90"/>
  <c r="AN134" i="90"/>
  <c r="AO134" i="90"/>
  <c r="AI135" i="90"/>
  <c r="AJ135" i="90"/>
  <c r="AK135" i="90"/>
  <c r="AL135" i="90"/>
  <c r="AM135" i="90"/>
  <c r="AN135" i="90"/>
  <c r="AO135" i="90"/>
  <c r="AI136" i="90"/>
  <c r="AJ136" i="90"/>
  <c r="AK136" i="90"/>
  <c r="AL136" i="90"/>
  <c r="AM136" i="90"/>
  <c r="AN136" i="90"/>
  <c r="AO136" i="90"/>
  <c r="AI137" i="90"/>
  <c r="AJ137" i="90"/>
  <c r="AK137" i="90"/>
  <c r="AL137" i="90"/>
  <c r="AM137" i="90"/>
  <c r="AN137" i="90"/>
  <c r="AO137" i="90"/>
  <c r="AI138" i="90"/>
  <c r="AJ138" i="90"/>
  <c r="AK138" i="90"/>
  <c r="AL138" i="90"/>
  <c r="AM138" i="90"/>
  <c r="AN138" i="90"/>
  <c r="AO138" i="90"/>
  <c r="AI139" i="90"/>
  <c r="AJ139" i="90"/>
  <c r="AK139" i="90"/>
  <c r="AL139" i="90"/>
  <c r="AM139" i="90"/>
  <c r="AN139" i="90"/>
  <c r="AO139" i="90"/>
  <c r="AI140" i="90"/>
  <c r="AJ140" i="90"/>
  <c r="AK140" i="90"/>
  <c r="AL140" i="90"/>
  <c r="AM140" i="90"/>
  <c r="AN140" i="90"/>
  <c r="AO140" i="90"/>
  <c r="AI141" i="90"/>
  <c r="AJ141" i="90"/>
  <c r="AK141" i="90"/>
  <c r="AL141" i="90"/>
  <c r="AM141" i="90"/>
  <c r="AN141" i="90"/>
  <c r="AO141" i="90"/>
  <c r="AI142" i="90"/>
  <c r="AJ142" i="90"/>
  <c r="AK142" i="90"/>
  <c r="AL142" i="90"/>
  <c r="AM142" i="90"/>
  <c r="AN142" i="90"/>
  <c r="AO142" i="90"/>
  <c r="AI143" i="90"/>
  <c r="AJ143" i="90"/>
  <c r="AK143" i="90"/>
  <c r="AL143" i="90"/>
  <c r="AM143" i="90"/>
  <c r="AN143" i="90"/>
  <c r="AO143" i="90"/>
  <c r="AI144" i="90"/>
  <c r="AJ144" i="90"/>
  <c r="AK144" i="90"/>
  <c r="AL144" i="90"/>
  <c r="AM144" i="90"/>
  <c r="AN144" i="90"/>
  <c r="AO144" i="90"/>
  <c r="AI145" i="90"/>
  <c r="AJ145" i="90"/>
  <c r="AK145" i="90"/>
  <c r="AL145" i="90"/>
  <c r="AM145" i="90"/>
  <c r="AN145" i="90"/>
  <c r="AO145" i="90"/>
  <c r="AI146" i="90"/>
  <c r="AJ146" i="90"/>
  <c r="AK146" i="90"/>
  <c r="AL146" i="90"/>
  <c r="AM146" i="90"/>
  <c r="AN146" i="90"/>
  <c r="AO146" i="90"/>
  <c r="AI147" i="90"/>
  <c r="AJ147" i="90"/>
  <c r="AK147" i="90"/>
  <c r="AL147" i="90"/>
  <c r="AM147" i="90"/>
  <c r="AN147" i="90"/>
  <c r="AO147" i="90"/>
  <c r="AI148" i="90"/>
  <c r="AJ148" i="90"/>
  <c r="AK148" i="90"/>
  <c r="AL148" i="90"/>
  <c r="AM148" i="90"/>
  <c r="AN148" i="90"/>
  <c r="AO148" i="90"/>
  <c r="AI149" i="90"/>
  <c r="AJ149" i="90"/>
  <c r="AK149" i="90"/>
  <c r="AL149" i="90"/>
  <c r="AM149" i="90"/>
  <c r="AN149" i="90"/>
  <c r="AO149" i="90"/>
  <c r="AI150" i="90"/>
  <c r="AJ150" i="90"/>
  <c r="AK150" i="90"/>
  <c r="AL150" i="90"/>
  <c r="AM150" i="90"/>
  <c r="AN150" i="90"/>
  <c r="AO150" i="90"/>
  <c r="AI151" i="90"/>
  <c r="AJ151" i="90"/>
  <c r="AK151" i="90"/>
  <c r="AL151" i="90"/>
  <c r="AM151" i="90"/>
  <c r="AN151" i="90"/>
  <c r="AO151" i="90"/>
  <c r="AI152" i="90"/>
  <c r="AJ152" i="90"/>
  <c r="AK152" i="90"/>
  <c r="AL152" i="90"/>
  <c r="AM152" i="90"/>
  <c r="AN152" i="90"/>
  <c r="AO152" i="90"/>
  <c r="AI153" i="90"/>
  <c r="AJ153" i="90"/>
  <c r="AK153" i="90"/>
  <c r="AL153" i="90"/>
  <c r="AM153" i="90"/>
  <c r="AN153" i="90"/>
  <c r="AO153" i="90"/>
  <c r="AI154" i="90"/>
  <c r="AJ154" i="90"/>
  <c r="AK154" i="90"/>
  <c r="AL154" i="90"/>
  <c r="AM154" i="90"/>
  <c r="AN154" i="90"/>
  <c r="AO154" i="90"/>
  <c r="AI155" i="90"/>
  <c r="AJ155" i="90"/>
  <c r="AK155" i="90"/>
  <c r="AL155" i="90"/>
  <c r="AM155" i="90"/>
  <c r="AN155" i="90"/>
  <c r="AO155" i="90"/>
  <c r="AI156" i="90"/>
  <c r="AJ156" i="90"/>
  <c r="AK156" i="90"/>
  <c r="AL156" i="90"/>
  <c r="AM156" i="90"/>
  <c r="AN156" i="90"/>
  <c r="AO156" i="90"/>
  <c r="AI157" i="90"/>
  <c r="AJ157" i="90"/>
  <c r="AK157" i="90"/>
  <c r="AL157" i="90"/>
  <c r="AM157" i="90"/>
  <c r="AN157" i="90"/>
  <c r="AO157" i="90"/>
  <c r="AI158" i="90"/>
  <c r="AJ158" i="90"/>
  <c r="AK158" i="90"/>
  <c r="AL158" i="90"/>
  <c r="AM158" i="90"/>
  <c r="AN158" i="90"/>
  <c r="AO158" i="90"/>
  <c r="AI159" i="90"/>
  <c r="AJ159" i="90"/>
  <c r="AK159" i="90"/>
  <c r="AL159" i="90"/>
  <c r="AM159" i="90"/>
  <c r="AN159" i="90"/>
  <c r="AO159" i="90"/>
  <c r="AI160" i="90"/>
  <c r="AJ160" i="90"/>
  <c r="AK160" i="90"/>
  <c r="AL160" i="90"/>
  <c r="AM160" i="90"/>
  <c r="AN160" i="90"/>
  <c r="AO160" i="90"/>
  <c r="AI161" i="90"/>
  <c r="AJ161" i="90"/>
  <c r="AK161" i="90"/>
  <c r="AL161" i="90"/>
  <c r="AM161" i="90"/>
  <c r="AN161" i="90"/>
  <c r="AO161" i="90"/>
  <c r="AI162" i="90"/>
  <c r="AJ162" i="90"/>
  <c r="AK162" i="90"/>
  <c r="AL162" i="90"/>
  <c r="AM162" i="90"/>
  <c r="AN162" i="90"/>
  <c r="AO162" i="90"/>
  <c r="AI163" i="90"/>
  <c r="AJ163" i="90"/>
  <c r="AK163" i="90"/>
  <c r="AL163" i="90"/>
  <c r="AM163" i="90"/>
  <c r="AN163" i="90"/>
  <c r="AO163" i="90"/>
  <c r="AI164" i="90"/>
  <c r="AJ164" i="90"/>
  <c r="AK164" i="90"/>
  <c r="AL164" i="90"/>
  <c r="AM164" i="90"/>
  <c r="AN164" i="90"/>
  <c r="AO164" i="90"/>
  <c r="AI165" i="90"/>
  <c r="AJ165" i="90"/>
  <c r="AK165" i="90"/>
  <c r="AL165" i="90"/>
  <c r="AM165" i="90"/>
  <c r="AN165" i="90"/>
  <c r="AO165" i="90"/>
  <c r="AI166" i="90"/>
  <c r="AJ166" i="90"/>
  <c r="AK166" i="90"/>
  <c r="AL166" i="90"/>
  <c r="AM166" i="90"/>
  <c r="AN166" i="90"/>
  <c r="AO166" i="90"/>
  <c r="AI167" i="90"/>
  <c r="AJ167" i="90"/>
  <c r="AK167" i="90"/>
  <c r="AL167" i="90"/>
  <c r="AM167" i="90"/>
  <c r="AN167" i="90"/>
  <c r="AO167" i="90"/>
  <c r="AI168" i="90"/>
  <c r="AJ168" i="90"/>
  <c r="AK168" i="90"/>
  <c r="AL168" i="90"/>
  <c r="AM168" i="90"/>
  <c r="AN168" i="90"/>
  <c r="AO168" i="90"/>
  <c r="AI169" i="90"/>
  <c r="AJ169" i="90"/>
  <c r="AK169" i="90"/>
  <c r="AL169" i="90"/>
  <c r="AM169" i="90"/>
  <c r="AN169" i="90"/>
  <c r="AO169" i="90"/>
  <c r="AI170" i="90"/>
  <c r="AJ170" i="90"/>
  <c r="AK170" i="90"/>
  <c r="AL170" i="90"/>
  <c r="AM170" i="90"/>
  <c r="AN170" i="90"/>
  <c r="AO170" i="90"/>
  <c r="AI171" i="90"/>
  <c r="AJ171" i="90"/>
  <c r="AK171" i="90"/>
  <c r="AL171" i="90"/>
  <c r="AM171" i="90"/>
  <c r="AN171" i="90"/>
  <c r="AO171" i="90"/>
  <c r="AI172" i="90"/>
  <c r="AJ172" i="90"/>
  <c r="AK172" i="90"/>
  <c r="AL172" i="90"/>
  <c r="AM172" i="90"/>
  <c r="AN172" i="90"/>
  <c r="AO172" i="90"/>
  <c r="AI173" i="90"/>
  <c r="AJ173" i="90"/>
  <c r="AK173" i="90"/>
  <c r="AL173" i="90"/>
  <c r="AM173" i="90"/>
  <c r="AN173" i="90"/>
  <c r="AO173" i="90"/>
  <c r="AI174" i="90"/>
  <c r="AJ174" i="90"/>
  <c r="AK174" i="90"/>
  <c r="AL174" i="90"/>
  <c r="AM174" i="90"/>
  <c r="AN174" i="90"/>
  <c r="AO174" i="90"/>
  <c r="AI175" i="90"/>
  <c r="AJ175" i="90"/>
  <c r="AK175" i="90"/>
  <c r="AL175" i="90"/>
  <c r="AM175" i="90"/>
  <c r="AN175" i="90"/>
  <c r="AO175" i="90"/>
  <c r="AJ2" i="90"/>
  <c r="AK2" i="90"/>
  <c r="AL2" i="90"/>
  <c r="AM2" i="90"/>
  <c r="AN2" i="90"/>
  <c r="AO2" i="90"/>
  <c r="AI2" i="90"/>
  <c r="E176" i="90"/>
  <c r="F176" i="90"/>
  <c r="G176" i="90"/>
  <c r="H176" i="90"/>
  <c r="I176" i="90"/>
  <c r="J176" i="90"/>
  <c r="K176" i="90"/>
  <c r="L176" i="90"/>
  <c r="M176" i="90"/>
  <c r="N176" i="90"/>
  <c r="O176" i="90"/>
  <c r="P176" i="90"/>
  <c r="Q176" i="90"/>
  <c r="R176" i="90"/>
  <c r="S176" i="90"/>
  <c r="T176" i="90"/>
  <c r="U176" i="90"/>
  <c r="V176" i="90"/>
  <c r="W176" i="90"/>
  <c r="X176" i="90"/>
  <c r="Y176" i="90"/>
  <c r="Z176" i="90"/>
  <c r="AA176" i="90"/>
  <c r="E177" i="90"/>
  <c r="F177" i="90"/>
  <c r="G177" i="90"/>
  <c r="H177" i="90"/>
  <c r="I177" i="90"/>
  <c r="J177" i="90"/>
  <c r="K177" i="90"/>
  <c r="L177" i="90"/>
  <c r="M177" i="90"/>
  <c r="N177" i="90"/>
  <c r="O177" i="90"/>
  <c r="P177" i="90"/>
  <c r="Q177" i="90"/>
  <c r="R177" i="90"/>
  <c r="S177" i="90"/>
  <c r="T177" i="90"/>
  <c r="U177" i="90"/>
  <c r="V177" i="90"/>
  <c r="W177" i="90"/>
  <c r="X177" i="90"/>
  <c r="Y177" i="90"/>
  <c r="Z177" i="90"/>
  <c r="AA177" i="90"/>
  <c r="E178" i="90"/>
  <c r="F178" i="90"/>
  <c r="G178" i="90"/>
  <c r="H178" i="90"/>
  <c r="I178" i="90"/>
  <c r="J178" i="90"/>
  <c r="K178" i="90"/>
  <c r="L178" i="90"/>
  <c r="M178" i="90"/>
  <c r="N178" i="90"/>
  <c r="O178" i="90"/>
  <c r="P178" i="90"/>
  <c r="Q178" i="90"/>
  <c r="R178" i="90"/>
  <c r="S178" i="90"/>
  <c r="T178" i="90"/>
  <c r="U178" i="90"/>
  <c r="V178" i="90"/>
  <c r="W178" i="90"/>
  <c r="X178" i="90"/>
  <c r="Y178" i="90"/>
  <c r="Z178" i="90"/>
  <c r="AA178" i="90"/>
  <c r="E179" i="90"/>
  <c r="F179" i="90"/>
  <c r="G179" i="90"/>
  <c r="H179" i="90"/>
  <c r="I179" i="90"/>
  <c r="J179" i="90"/>
  <c r="K179" i="90"/>
  <c r="L179" i="90"/>
  <c r="M179" i="90"/>
  <c r="N179" i="90"/>
  <c r="O179" i="90"/>
  <c r="P179" i="90"/>
  <c r="Q179" i="90"/>
  <c r="R179" i="90"/>
  <c r="S179" i="90"/>
  <c r="T179" i="90"/>
  <c r="U179" i="90"/>
  <c r="V179" i="90"/>
  <c r="W179" i="90"/>
  <c r="X179" i="90"/>
  <c r="Y179" i="90"/>
  <c r="Z179" i="90"/>
  <c r="AA179" i="90"/>
  <c r="E180" i="90"/>
  <c r="F180" i="90"/>
  <c r="G180" i="90"/>
  <c r="H180" i="90"/>
  <c r="I180" i="90"/>
  <c r="J180" i="90"/>
  <c r="K180" i="90"/>
  <c r="L180" i="90"/>
  <c r="M180" i="90"/>
  <c r="N180" i="90"/>
  <c r="O180" i="90"/>
  <c r="P180" i="90"/>
  <c r="Q180" i="90"/>
  <c r="R180" i="90"/>
  <c r="S180" i="90"/>
  <c r="T180" i="90"/>
  <c r="U180" i="90"/>
  <c r="V180" i="90"/>
  <c r="W180" i="90"/>
  <c r="X180" i="90"/>
  <c r="Y180" i="90"/>
  <c r="Z180" i="90"/>
  <c r="AA180" i="90"/>
  <c r="E181" i="90"/>
  <c r="F181" i="90"/>
  <c r="G181" i="90"/>
  <c r="H181" i="90"/>
  <c r="I181" i="90"/>
  <c r="J181" i="90"/>
  <c r="K181" i="90"/>
  <c r="L181" i="90"/>
  <c r="M181" i="90"/>
  <c r="N181" i="90"/>
  <c r="O181" i="90"/>
  <c r="P181" i="90"/>
  <c r="Q181" i="90"/>
  <c r="R181" i="90"/>
  <c r="S181" i="90"/>
  <c r="T181" i="90"/>
  <c r="U181" i="90"/>
  <c r="V181" i="90"/>
  <c r="W181" i="90"/>
  <c r="X181" i="90"/>
  <c r="Y181" i="90"/>
  <c r="Z181" i="90"/>
  <c r="AA181" i="90"/>
  <c r="D177" i="90"/>
  <c r="D178" i="90"/>
  <c r="D179" i="90"/>
  <c r="D180" i="90"/>
  <c r="D181" i="90"/>
  <c r="D176" i="90"/>
  <c r="D3" i="90"/>
  <c r="E3" i="90"/>
  <c r="F3" i="90"/>
  <c r="G3" i="90"/>
  <c r="H3" i="90"/>
  <c r="I3" i="90"/>
  <c r="J3" i="90"/>
  <c r="K3" i="90"/>
  <c r="L3" i="90"/>
  <c r="M3" i="90"/>
  <c r="N3" i="90"/>
  <c r="O3" i="90"/>
  <c r="P3" i="90"/>
  <c r="Q3" i="90"/>
  <c r="R3" i="90"/>
  <c r="S3" i="90"/>
  <c r="T3" i="90"/>
  <c r="U3" i="90"/>
  <c r="V3" i="90"/>
  <c r="W3" i="90"/>
  <c r="X3" i="90"/>
  <c r="Y3" i="90"/>
  <c r="Z3" i="90"/>
  <c r="AA3" i="90"/>
  <c r="D4" i="90"/>
  <c r="E4" i="90"/>
  <c r="F4" i="90"/>
  <c r="G4" i="90"/>
  <c r="H4" i="90"/>
  <c r="I4" i="90"/>
  <c r="J4" i="90"/>
  <c r="K4" i="90"/>
  <c r="L4" i="90"/>
  <c r="M4" i="90"/>
  <c r="N4" i="90"/>
  <c r="O4" i="90"/>
  <c r="P4" i="90"/>
  <c r="Q4" i="90"/>
  <c r="R4" i="90"/>
  <c r="S4" i="90"/>
  <c r="T4" i="90"/>
  <c r="U4" i="90"/>
  <c r="V4" i="90"/>
  <c r="W4" i="90"/>
  <c r="X4" i="90"/>
  <c r="Y4" i="90"/>
  <c r="Z4" i="90"/>
  <c r="AA4" i="90"/>
  <c r="D5" i="90"/>
  <c r="E5" i="90"/>
  <c r="F5" i="90"/>
  <c r="G5" i="90"/>
  <c r="H5" i="90"/>
  <c r="I5" i="90"/>
  <c r="J5" i="90"/>
  <c r="K5" i="90"/>
  <c r="L5" i="90"/>
  <c r="M5" i="90"/>
  <c r="N5" i="90"/>
  <c r="O5" i="90"/>
  <c r="P5" i="90"/>
  <c r="Q5" i="90"/>
  <c r="R5" i="90"/>
  <c r="S5" i="90"/>
  <c r="T5" i="90"/>
  <c r="U5" i="90"/>
  <c r="V5" i="90"/>
  <c r="W5" i="90"/>
  <c r="X5" i="90"/>
  <c r="Y5" i="90"/>
  <c r="Z5" i="90"/>
  <c r="AA5" i="90"/>
  <c r="D6" i="90"/>
  <c r="E6" i="90"/>
  <c r="F6" i="90"/>
  <c r="G6" i="90"/>
  <c r="H6" i="90"/>
  <c r="I6" i="90"/>
  <c r="J6" i="90"/>
  <c r="K6" i="90"/>
  <c r="L6" i="90"/>
  <c r="M6" i="90"/>
  <c r="N6" i="90"/>
  <c r="O6" i="90"/>
  <c r="P6" i="90"/>
  <c r="Q6" i="90"/>
  <c r="R6" i="90"/>
  <c r="S6" i="90"/>
  <c r="T6" i="90"/>
  <c r="U6" i="90"/>
  <c r="V6" i="90"/>
  <c r="W6" i="90"/>
  <c r="X6" i="90"/>
  <c r="Y6" i="90"/>
  <c r="Z6" i="90"/>
  <c r="AA6" i="90"/>
  <c r="D7" i="90"/>
  <c r="E7" i="90"/>
  <c r="F7" i="90"/>
  <c r="G7" i="90"/>
  <c r="H7" i="90"/>
  <c r="I7" i="90"/>
  <c r="J7" i="90"/>
  <c r="K7" i="90"/>
  <c r="L7" i="90"/>
  <c r="M7" i="90"/>
  <c r="N7" i="90"/>
  <c r="O7" i="90"/>
  <c r="P7" i="90"/>
  <c r="Q7" i="90"/>
  <c r="R7" i="90"/>
  <c r="S7" i="90"/>
  <c r="T7" i="90"/>
  <c r="U7" i="90"/>
  <c r="V7" i="90"/>
  <c r="W7" i="90"/>
  <c r="X7" i="90"/>
  <c r="Y7" i="90"/>
  <c r="Z7" i="90"/>
  <c r="AA7" i="90"/>
  <c r="D8" i="90"/>
  <c r="E8" i="90"/>
  <c r="F8" i="90"/>
  <c r="G8" i="90"/>
  <c r="H8" i="90"/>
  <c r="I8" i="90"/>
  <c r="J8" i="90"/>
  <c r="K8" i="90"/>
  <c r="L8" i="90"/>
  <c r="M8" i="90"/>
  <c r="N8" i="90"/>
  <c r="O8" i="90"/>
  <c r="P8" i="90"/>
  <c r="Q8" i="90"/>
  <c r="R8" i="90"/>
  <c r="S8" i="90"/>
  <c r="T8" i="90"/>
  <c r="U8" i="90"/>
  <c r="V8" i="90"/>
  <c r="W8" i="90"/>
  <c r="X8" i="90"/>
  <c r="Y8" i="90"/>
  <c r="Z8" i="90"/>
  <c r="AA8" i="90"/>
  <c r="D9" i="90"/>
  <c r="E9" i="90"/>
  <c r="F9" i="90"/>
  <c r="G9" i="90"/>
  <c r="H9" i="90"/>
  <c r="I9" i="90"/>
  <c r="J9" i="90"/>
  <c r="K9" i="90"/>
  <c r="L9" i="90"/>
  <c r="M9" i="90"/>
  <c r="N9" i="90"/>
  <c r="O9" i="90"/>
  <c r="P9" i="90"/>
  <c r="Q9" i="90"/>
  <c r="R9" i="90"/>
  <c r="S9" i="90"/>
  <c r="T9" i="90"/>
  <c r="U9" i="90"/>
  <c r="V9" i="90"/>
  <c r="W9" i="90"/>
  <c r="X9" i="90"/>
  <c r="Y9" i="90"/>
  <c r="Z9" i="90"/>
  <c r="AA9" i="90"/>
  <c r="D10" i="90"/>
  <c r="E10" i="90"/>
  <c r="F10" i="90"/>
  <c r="G10" i="90"/>
  <c r="H10" i="90"/>
  <c r="I10" i="90"/>
  <c r="J10" i="90"/>
  <c r="K10" i="90"/>
  <c r="L10" i="90"/>
  <c r="M10" i="90"/>
  <c r="N10" i="90"/>
  <c r="O10" i="90"/>
  <c r="P10" i="90"/>
  <c r="Q10" i="90"/>
  <c r="R10" i="90"/>
  <c r="S10" i="90"/>
  <c r="T10" i="90"/>
  <c r="U10" i="90"/>
  <c r="V10" i="90"/>
  <c r="W10" i="90"/>
  <c r="X10" i="90"/>
  <c r="Y10" i="90"/>
  <c r="Z10" i="90"/>
  <c r="AA10" i="90"/>
  <c r="D11" i="90"/>
  <c r="E11" i="90"/>
  <c r="F11" i="90"/>
  <c r="G11" i="90"/>
  <c r="H11" i="90"/>
  <c r="I11" i="90"/>
  <c r="J11" i="90"/>
  <c r="K11" i="90"/>
  <c r="L11" i="90"/>
  <c r="M11" i="90"/>
  <c r="N11" i="90"/>
  <c r="O11" i="90"/>
  <c r="P11" i="90"/>
  <c r="Q11" i="90"/>
  <c r="R11" i="90"/>
  <c r="S11" i="90"/>
  <c r="T11" i="90"/>
  <c r="U11" i="90"/>
  <c r="V11" i="90"/>
  <c r="W11" i="90"/>
  <c r="X11" i="90"/>
  <c r="Y11" i="90"/>
  <c r="Z11" i="90"/>
  <c r="AA11" i="90"/>
  <c r="D12" i="90"/>
  <c r="E12" i="90"/>
  <c r="F12" i="90"/>
  <c r="G12" i="90"/>
  <c r="H12" i="90"/>
  <c r="I12" i="90"/>
  <c r="J12" i="90"/>
  <c r="K12" i="90"/>
  <c r="L12" i="90"/>
  <c r="M12" i="90"/>
  <c r="N12" i="90"/>
  <c r="O12" i="90"/>
  <c r="P12" i="90"/>
  <c r="Q12" i="90"/>
  <c r="R12" i="90"/>
  <c r="S12" i="90"/>
  <c r="T12" i="90"/>
  <c r="U12" i="90"/>
  <c r="V12" i="90"/>
  <c r="W12" i="90"/>
  <c r="X12" i="90"/>
  <c r="Y12" i="90"/>
  <c r="Z12" i="90"/>
  <c r="AA12" i="90"/>
  <c r="D13" i="90"/>
  <c r="E13" i="90"/>
  <c r="F13" i="90"/>
  <c r="G13" i="90"/>
  <c r="H13" i="90"/>
  <c r="I13" i="90"/>
  <c r="J13" i="90"/>
  <c r="K13" i="90"/>
  <c r="L13" i="90"/>
  <c r="M13" i="90"/>
  <c r="N13" i="90"/>
  <c r="O13" i="90"/>
  <c r="P13" i="90"/>
  <c r="Q13" i="90"/>
  <c r="R13" i="90"/>
  <c r="S13" i="90"/>
  <c r="T13" i="90"/>
  <c r="U13" i="90"/>
  <c r="V13" i="90"/>
  <c r="W13" i="90"/>
  <c r="X13" i="90"/>
  <c r="Y13" i="90"/>
  <c r="Z13" i="90"/>
  <c r="AA13" i="90"/>
  <c r="D14" i="90"/>
  <c r="E14" i="90"/>
  <c r="F14" i="90"/>
  <c r="G14" i="90"/>
  <c r="H14" i="90"/>
  <c r="I14" i="90"/>
  <c r="J14" i="90"/>
  <c r="K14" i="90"/>
  <c r="L14" i="90"/>
  <c r="M14" i="90"/>
  <c r="N14" i="90"/>
  <c r="O14" i="90"/>
  <c r="P14" i="90"/>
  <c r="Q14" i="90"/>
  <c r="R14" i="90"/>
  <c r="S14" i="90"/>
  <c r="T14" i="90"/>
  <c r="U14" i="90"/>
  <c r="V14" i="90"/>
  <c r="W14" i="90"/>
  <c r="X14" i="90"/>
  <c r="Y14" i="90"/>
  <c r="Z14" i="90"/>
  <c r="AA14" i="90"/>
  <c r="D15" i="90"/>
  <c r="E15" i="90"/>
  <c r="F15" i="90"/>
  <c r="G15" i="90"/>
  <c r="H15" i="90"/>
  <c r="I15" i="90"/>
  <c r="J15" i="90"/>
  <c r="K15" i="90"/>
  <c r="L15" i="90"/>
  <c r="M15" i="90"/>
  <c r="N15" i="90"/>
  <c r="O15" i="90"/>
  <c r="P15" i="90"/>
  <c r="Q15" i="90"/>
  <c r="R15" i="90"/>
  <c r="S15" i="90"/>
  <c r="T15" i="90"/>
  <c r="U15" i="90"/>
  <c r="V15" i="90"/>
  <c r="W15" i="90"/>
  <c r="X15" i="90"/>
  <c r="Y15" i="90"/>
  <c r="Z15" i="90"/>
  <c r="AA15" i="90"/>
  <c r="D16" i="90"/>
  <c r="E16" i="90"/>
  <c r="F16" i="90"/>
  <c r="G16" i="90"/>
  <c r="H16" i="90"/>
  <c r="I16" i="90"/>
  <c r="J16" i="90"/>
  <c r="K16" i="90"/>
  <c r="L16" i="90"/>
  <c r="M16" i="90"/>
  <c r="N16" i="90"/>
  <c r="O16" i="90"/>
  <c r="P16" i="90"/>
  <c r="Q16" i="90"/>
  <c r="R16" i="90"/>
  <c r="S16" i="90"/>
  <c r="T16" i="90"/>
  <c r="U16" i="90"/>
  <c r="V16" i="90"/>
  <c r="W16" i="90"/>
  <c r="X16" i="90"/>
  <c r="Y16" i="90"/>
  <c r="Z16" i="90"/>
  <c r="AA16" i="90"/>
  <c r="D17" i="90"/>
  <c r="E17" i="90"/>
  <c r="F17" i="90"/>
  <c r="G17" i="90"/>
  <c r="H17" i="90"/>
  <c r="I17" i="90"/>
  <c r="J17" i="90"/>
  <c r="K17" i="90"/>
  <c r="L17" i="90"/>
  <c r="M17" i="90"/>
  <c r="N17" i="90"/>
  <c r="O17" i="90"/>
  <c r="P17" i="90"/>
  <c r="Q17" i="90"/>
  <c r="R17" i="90"/>
  <c r="S17" i="90"/>
  <c r="T17" i="90"/>
  <c r="U17" i="90"/>
  <c r="V17" i="90"/>
  <c r="W17" i="90"/>
  <c r="X17" i="90"/>
  <c r="Y17" i="90"/>
  <c r="Z17" i="90"/>
  <c r="AA17" i="90"/>
  <c r="D18" i="90"/>
  <c r="E18" i="90"/>
  <c r="F18" i="90"/>
  <c r="G18" i="90"/>
  <c r="H18" i="90"/>
  <c r="I18" i="90"/>
  <c r="J18" i="90"/>
  <c r="K18" i="90"/>
  <c r="L18" i="90"/>
  <c r="M18" i="90"/>
  <c r="N18" i="90"/>
  <c r="O18" i="90"/>
  <c r="P18" i="90"/>
  <c r="Q18" i="90"/>
  <c r="R18" i="90"/>
  <c r="S18" i="90"/>
  <c r="T18" i="90"/>
  <c r="U18" i="90"/>
  <c r="V18" i="90"/>
  <c r="W18" i="90"/>
  <c r="X18" i="90"/>
  <c r="Y18" i="90"/>
  <c r="Z18" i="90"/>
  <c r="AA18" i="90"/>
  <c r="D19" i="90"/>
  <c r="E19" i="90"/>
  <c r="F19" i="90"/>
  <c r="G19" i="90"/>
  <c r="H19" i="90"/>
  <c r="I19" i="90"/>
  <c r="J19" i="90"/>
  <c r="K19" i="90"/>
  <c r="L19" i="90"/>
  <c r="M19" i="90"/>
  <c r="N19" i="90"/>
  <c r="O19" i="90"/>
  <c r="P19" i="90"/>
  <c r="Q19" i="90"/>
  <c r="R19" i="90"/>
  <c r="S19" i="90"/>
  <c r="T19" i="90"/>
  <c r="U19" i="90"/>
  <c r="V19" i="90"/>
  <c r="W19" i="90"/>
  <c r="X19" i="90"/>
  <c r="Y19" i="90"/>
  <c r="Z19" i="90"/>
  <c r="AA19" i="90"/>
  <c r="D20" i="90"/>
  <c r="E20" i="90"/>
  <c r="F20" i="90"/>
  <c r="G20" i="90"/>
  <c r="H20" i="90"/>
  <c r="I20" i="90"/>
  <c r="J20" i="90"/>
  <c r="K20" i="90"/>
  <c r="L20" i="90"/>
  <c r="M20" i="90"/>
  <c r="N20" i="90"/>
  <c r="O20" i="90"/>
  <c r="P20" i="90"/>
  <c r="Q20" i="90"/>
  <c r="R20" i="90"/>
  <c r="S20" i="90"/>
  <c r="T20" i="90"/>
  <c r="U20" i="90"/>
  <c r="V20" i="90"/>
  <c r="W20" i="90"/>
  <c r="X20" i="90"/>
  <c r="Y20" i="90"/>
  <c r="Z20" i="90"/>
  <c r="AA20" i="90"/>
  <c r="D21" i="90"/>
  <c r="E21" i="90"/>
  <c r="F21" i="90"/>
  <c r="G21" i="90"/>
  <c r="H21" i="90"/>
  <c r="I21" i="90"/>
  <c r="J21" i="90"/>
  <c r="K21" i="90"/>
  <c r="L21" i="90"/>
  <c r="M21" i="90"/>
  <c r="N21" i="90"/>
  <c r="O21" i="90"/>
  <c r="P21" i="90"/>
  <c r="Q21" i="90"/>
  <c r="R21" i="90"/>
  <c r="S21" i="90"/>
  <c r="T21" i="90"/>
  <c r="U21" i="90"/>
  <c r="V21" i="90"/>
  <c r="W21" i="90"/>
  <c r="X21" i="90"/>
  <c r="Y21" i="90"/>
  <c r="Z21" i="90"/>
  <c r="AA21" i="90"/>
  <c r="D22" i="90"/>
  <c r="E22" i="90"/>
  <c r="F22" i="90"/>
  <c r="G22" i="90"/>
  <c r="H22" i="90"/>
  <c r="I22" i="90"/>
  <c r="J22" i="90"/>
  <c r="K22" i="90"/>
  <c r="L22" i="90"/>
  <c r="M22" i="90"/>
  <c r="N22" i="90"/>
  <c r="O22" i="90"/>
  <c r="P22" i="90"/>
  <c r="Q22" i="90"/>
  <c r="R22" i="90"/>
  <c r="S22" i="90"/>
  <c r="T22" i="90"/>
  <c r="U22" i="90"/>
  <c r="V22" i="90"/>
  <c r="W22" i="90"/>
  <c r="X22" i="90"/>
  <c r="Y22" i="90"/>
  <c r="Z22" i="90"/>
  <c r="AA22" i="90"/>
  <c r="D23" i="90"/>
  <c r="E23" i="90"/>
  <c r="F23" i="90"/>
  <c r="G23" i="90"/>
  <c r="H23" i="90"/>
  <c r="I23" i="90"/>
  <c r="J23" i="90"/>
  <c r="K23" i="90"/>
  <c r="L23" i="90"/>
  <c r="M23" i="90"/>
  <c r="N23" i="90"/>
  <c r="O23" i="90"/>
  <c r="P23" i="90"/>
  <c r="Q23" i="90"/>
  <c r="R23" i="90"/>
  <c r="S23" i="90"/>
  <c r="T23" i="90"/>
  <c r="U23" i="90"/>
  <c r="V23" i="90"/>
  <c r="W23" i="90"/>
  <c r="X23" i="90"/>
  <c r="Y23" i="90"/>
  <c r="Z23" i="90"/>
  <c r="AA23" i="90"/>
  <c r="D24" i="90"/>
  <c r="E24" i="90"/>
  <c r="F24" i="90"/>
  <c r="G24" i="90"/>
  <c r="H24" i="90"/>
  <c r="I24" i="90"/>
  <c r="J24" i="90"/>
  <c r="K24" i="90"/>
  <c r="L24" i="90"/>
  <c r="M24" i="90"/>
  <c r="N24" i="90"/>
  <c r="O24" i="90"/>
  <c r="P24" i="90"/>
  <c r="Q24" i="90"/>
  <c r="R24" i="90"/>
  <c r="S24" i="90"/>
  <c r="T24" i="90"/>
  <c r="U24" i="90"/>
  <c r="V24" i="90"/>
  <c r="W24" i="90"/>
  <c r="X24" i="90"/>
  <c r="Y24" i="90"/>
  <c r="Z24" i="90"/>
  <c r="AA24" i="90"/>
  <c r="D25" i="90"/>
  <c r="E25" i="90"/>
  <c r="F25" i="90"/>
  <c r="G25" i="90"/>
  <c r="H25" i="90"/>
  <c r="I25" i="90"/>
  <c r="J25" i="90"/>
  <c r="K25" i="90"/>
  <c r="L25" i="90"/>
  <c r="M25" i="90"/>
  <c r="N25" i="90"/>
  <c r="O25" i="90"/>
  <c r="P25" i="90"/>
  <c r="Q25" i="90"/>
  <c r="R25" i="90"/>
  <c r="S25" i="90"/>
  <c r="T25" i="90"/>
  <c r="U25" i="90"/>
  <c r="V25" i="90"/>
  <c r="W25" i="90"/>
  <c r="X25" i="90"/>
  <c r="Y25" i="90"/>
  <c r="Z25" i="90"/>
  <c r="AA25" i="90"/>
  <c r="D26" i="90"/>
  <c r="E26" i="90"/>
  <c r="F26" i="90"/>
  <c r="G26" i="90"/>
  <c r="H26" i="90"/>
  <c r="I26" i="90"/>
  <c r="J26" i="90"/>
  <c r="K26" i="90"/>
  <c r="L26" i="90"/>
  <c r="M26" i="90"/>
  <c r="N26" i="90"/>
  <c r="O26" i="90"/>
  <c r="P26" i="90"/>
  <c r="Q26" i="90"/>
  <c r="R26" i="90"/>
  <c r="S26" i="90"/>
  <c r="T26" i="90"/>
  <c r="U26" i="90"/>
  <c r="V26" i="90"/>
  <c r="W26" i="90"/>
  <c r="X26" i="90"/>
  <c r="Y26" i="90"/>
  <c r="Z26" i="90"/>
  <c r="AA26" i="90"/>
  <c r="D27" i="90"/>
  <c r="E27" i="90"/>
  <c r="F27" i="90"/>
  <c r="G27" i="90"/>
  <c r="H27" i="90"/>
  <c r="I27" i="90"/>
  <c r="J27" i="90"/>
  <c r="K27" i="90"/>
  <c r="L27" i="90"/>
  <c r="M27" i="90"/>
  <c r="N27" i="90"/>
  <c r="O27" i="90"/>
  <c r="P27" i="90"/>
  <c r="Q27" i="90"/>
  <c r="R27" i="90"/>
  <c r="S27" i="90"/>
  <c r="T27" i="90"/>
  <c r="U27" i="90"/>
  <c r="V27" i="90"/>
  <c r="W27" i="90"/>
  <c r="X27" i="90"/>
  <c r="Y27" i="90"/>
  <c r="Z27" i="90"/>
  <c r="AA27" i="90"/>
  <c r="D28" i="90"/>
  <c r="E28" i="90"/>
  <c r="F28" i="90"/>
  <c r="G28" i="90"/>
  <c r="H28" i="90"/>
  <c r="I28" i="90"/>
  <c r="J28" i="90"/>
  <c r="K28" i="90"/>
  <c r="L28" i="90"/>
  <c r="M28" i="90"/>
  <c r="N28" i="90"/>
  <c r="O28" i="90"/>
  <c r="P28" i="90"/>
  <c r="Q28" i="90"/>
  <c r="R28" i="90"/>
  <c r="S28" i="90"/>
  <c r="T28" i="90"/>
  <c r="U28" i="90"/>
  <c r="V28" i="90"/>
  <c r="W28" i="90"/>
  <c r="X28" i="90"/>
  <c r="Y28" i="90"/>
  <c r="Z28" i="90"/>
  <c r="AA28" i="90"/>
  <c r="D29" i="90"/>
  <c r="E29" i="90"/>
  <c r="F29" i="90"/>
  <c r="G29" i="90"/>
  <c r="H29" i="90"/>
  <c r="I29" i="90"/>
  <c r="J29" i="90"/>
  <c r="K29" i="90"/>
  <c r="L29" i="90"/>
  <c r="M29" i="90"/>
  <c r="N29" i="90"/>
  <c r="O29" i="90"/>
  <c r="P29" i="90"/>
  <c r="Q29" i="90"/>
  <c r="R29" i="90"/>
  <c r="S29" i="90"/>
  <c r="T29" i="90"/>
  <c r="U29" i="90"/>
  <c r="V29" i="90"/>
  <c r="W29" i="90"/>
  <c r="X29" i="90"/>
  <c r="Y29" i="90"/>
  <c r="Z29" i="90"/>
  <c r="AA29" i="90"/>
  <c r="D30" i="90"/>
  <c r="E30" i="90"/>
  <c r="F30" i="90"/>
  <c r="G30" i="90"/>
  <c r="H30" i="90"/>
  <c r="I30" i="90"/>
  <c r="J30" i="90"/>
  <c r="K30" i="90"/>
  <c r="L30" i="90"/>
  <c r="M30" i="90"/>
  <c r="N30" i="90"/>
  <c r="O30" i="90"/>
  <c r="P30" i="90"/>
  <c r="Q30" i="90"/>
  <c r="R30" i="90"/>
  <c r="S30" i="90"/>
  <c r="T30" i="90"/>
  <c r="U30" i="90"/>
  <c r="V30" i="90"/>
  <c r="W30" i="90"/>
  <c r="X30" i="90"/>
  <c r="Y30" i="90"/>
  <c r="Z30" i="90"/>
  <c r="AA30" i="90"/>
  <c r="D31" i="90"/>
  <c r="E31" i="90"/>
  <c r="F31" i="90"/>
  <c r="G31" i="90"/>
  <c r="H31" i="90"/>
  <c r="I31" i="90"/>
  <c r="J31" i="90"/>
  <c r="K31" i="90"/>
  <c r="L31" i="90"/>
  <c r="M31" i="90"/>
  <c r="N31" i="90"/>
  <c r="O31" i="90"/>
  <c r="P31" i="90"/>
  <c r="Q31" i="90"/>
  <c r="R31" i="90"/>
  <c r="S31" i="90"/>
  <c r="T31" i="90"/>
  <c r="U31" i="90"/>
  <c r="V31" i="90"/>
  <c r="W31" i="90"/>
  <c r="X31" i="90"/>
  <c r="Y31" i="90"/>
  <c r="Z31" i="90"/>
  <c r="AA31" i="90"/>
  <c r="D32" i="90"/>
  <c r="E32" i="90"/>
  <c r="F32" i="90"/>
  <c r="G32" i="90"/>
  <c r="H32" i="90"/>
  <c r="I32" i="90"/>
  <c r="J32" i="90"/>
  <c r="K32" i="90"/>
  <c r="L32" i="90"/>
  <c r="M32" i="90"/>
  <c r="N32" i="90"/>
  <c r="O32" i="90"/>
  <c r="P32" i="90"/>
  <c r="Q32" i="90"/>
  <c r="R32" i="90"/>
  <c r="S32" i="90"/>
  <c r="T32" i="90"/>
  <c r="U32" i="90"/>
  <c r="V32" i="90"/>
  <c r="W32" i="90"/>
  <c r="X32" i="90"/>
  <c r="Y32" i="90"/>
  <c r="Z32" i="90"/>
  <c r="AA32" i="90"/>
  <c r="D33" i="90"/>
  <c r="E33" i="90"/>
  <c r="F33" i="90"/>
  <c r="G33" i="90"/>
  <c r="H33" i="90"/>
  <c r="I33" i="90"/>
  <c r="J33" i="90"/>
  <c r="K33" i="90"/>
  <c r="L33" i="90"/>
  <c r="M33" i="90"/>
  <c r="N33" i="90"/>
  <c r="O33" i="90"/>
  <c r="P33" i="90"/>
  <c r="Q33" i="90"/>
  <c r="R33" i="90"/>
  <c r="S33" i="90"/>
  <c r="T33" i="90"/>
  <c r="U33" i="90"/>
  <c r="V33" i="90"/>
  <c r="W33" i="90"/>
  <c r="X33" i="90"/>
  <c r="Y33" i="90"/>
  <c r="Z33" i="90"/>
  <c r="AA33" i="90"/>
  <c r="D34" i="90"/>
  <c r="E34" i="90"/>
  <c r="F34" i="90"/>
  <c r="G34" i="90"/>
  <c r="H34" i="90"/>
  <c r="I34" i="90"/>
  <c r="J34" i="90"/>
  <c r="K34" i="90"/>
  <c r="L34" i="90"/>
  <c r="M34" i="90"/>
  <c r="N34" i="90"/>
  <c r="O34" i="90"/>
  <c r="P34" i="90"/>
  <c r="Q34" i="90"/>
  <c r="R34" i="90"/>
  <c r="S34" i="90"/>
  <c r="T34" i="90"/>
  <c r="U34" i="90"/>
  <c r="V34" i="90"/>
  <c r="W34" i="90"/>
  <c r="X34" i="90"/>
  <c r="Y34" i="90"/>
  <c r="Z34" i="90"/>
  <c r="AA34" i="90"/>
  <c r="D35" i="90"/>
  <c r="E35" i="90"/>
  <c r="F35" i="90"/>
  <c r="G35" i="90"/>
  <c r="H35" i="90"/>
  <c r="I35" i="90"/>
  <c r="J35" i="90"/>
  <c r="K35" i="90"/>
  <c r="L35" i="90"/>
  <c r="M35" i="90"/>
  <c r="N35" i="90"/>
  <c r="O35" i="90"/>
  <c r="P35" i="90"/>
  <c r="Q35" i="90"/>
  <c r="R35" i="90"/>
  <c r="S35" i="90"/>
  <c r="T35" i="90"/>
  <c r="U35" i="90"/>
  <c r="V35" i="90"/>
  <c r="W35" i="90"/>
  <c r="X35" i="90"/>
  <c r="Y35" i="90"/>
  <c r="Z35" i="90"/>
  <c r="AA35" i="90"/>
  <c r="D36" i="90"/>
  <c r="E36" i="90"/>
  <c r="F36" i="90"/>
  <c r="G36" i="90"/>
  <c r="H36" i="90"/>
  <c r="I36" i="90"/>
  <c r="J36" i="90"/>
  <c r="K36" i="90"/>
  <c r="L36" i="90"/>
  <c r="M36" i="90"/>
  <c r="N36" i="90"/>
  <c r="O36" i="90"/>
  <c r="P36" i="90"/>
  <c r="Q36" i="90"/>
  <c r="R36" i="90"/>
  <c r="S36" i="90"/>
  <c r="T36" i="90"/>
  <c r="U36" i="90"/>
  <c r="V36" i="90"/>
  <c r="W36" i="90"/>
  <c r="X36" i="90"/>
  <c r="Y36" i="90"/>
  <c r="Z36" i="90"/>
  <c r="AA36" i="90"/>
  <c r="D37" i="90"/>
  <c r="E37" i="90"/>
  <c r="F37" i="90"/>
  <c r="G37" i="90"/>
  <c r="H37" i="90"/>
  <c r="I37" i="90"/>
  <c r="J37" i="90"/>
  <c r="K37" i="90"/>
  <c r="L37" i="90"/>
  <c r="M37" i="90"/>
  <c r="N37" i="90"/>
  <c r="O37" i="90"/>
  <c r="P37" i="90"/>
  <c r="Q37" i="90"/>
  <c r="R37" i="90"/>
  <c r="S37" i="90"/>
  <c r="T37" i="90"/>
  <c r="U37" i="90"/>
  <c r="V37" i="90"/>
  <c r="W37" i="90"/>
  <c r="X37" i="90"/>
  <c r="Y37" i="90"/>
  <c r="Z37" i="90"/>
  <c r="AA37" i="90"/>
  <c r="D38" i="90"/>
  <c r="E38" i="90"/>
  <c r="F38" i="90"/>
  <c r="G38" i="90"/>
  <c r="H38" i="90"/>
  <c r="I38" i="90"/>
  <c r="J38" i="90"/>
  <c r="K38" i="90"/>
  <c r="L38" i="90"/>
  <c r="M38" i="90"/>
  <c r="N38" i="90"/>
  <c r="O38" i="90"/>
  <c r="P38" i="90"/>
  <c r="Q38" i="90"/>
  <c r="R38" i="90"/>
  <c r="S38" i="90"/>
  <c r="T38" i="90"/>
  <c r="U38" i="90"/>
  <c r="V38" i="90"/>
  <c r="W38" i="90"/>
  <c r="X38" i="90"/>
  <c r="Y38" i="90"/>
  <c r="Z38" i="90"/>
  <c r="AA38" i="90"/>
  <c r="D39" i="90"/>
  <c r="E39" i="90"/>
  <c r="F39" i="90"/>
  <c r="G39" i="90"/>
  <c r="H39" i="90"/>
  <c r="I39" i="90"/>
  <c r="J39" i="90"/>
  <c r="K39" i="90"/>
  <c r="L39" i="90"/>
  <c r="M39" i="90"/>
  <c r="N39" i="90"/>
  <c r="O39" i="90"/>
  <c r="P39" i="90"/>
  <c r="Q39" i="90"/>
  <c r="R39" i="90"/>
  <c r="S39" i="90"/>
  <c r="T39" i="90"/>
  <c r="U39" i="90"/>
  <c r="V39" i="90"/>
  <c r="W39" i="90"/>
  <c r="X39" i="90"/>
  <c r="Y39" i="90"/>
  <c r="Z39" i="90"/>
  <c r="AA39" i="90"/>
  <c r="D40" i="90"/>
  <c r="E40" i="90"/>
  <c r="F40" i="90"/>
  <c r="G40" i="90"/>
  <c r="H40" i="90"/>
  <c r="I40" i="90"/>
  <c r="J40" i="90"/>
  <c r="K40" i="90"/>
  <c r="L40" i="90"/>
  <c r="M40" i="90"/>
  <c r="N40" i="90"/>
  <c r="O40" i="90"/>
  <c r="P40" i="90"/>
  <c r="Q40" i="90"/>
  <c r="R40" i="90"/>
  <c r="S40" i="90"/>
  <c r="T40" i="90"/>
  <c r="U40" i="90"/>
  <c r="V40" i="90"/>
  <c r="W40" i="90"/>
  <c r="X40" i="90"/>
  <c r="Y40" i="90"/>
  <c r="Z40" i="90"/>
  <c r="AA40" i="90"/>
  <c r="D41" i="90"/>
  <c r="E41" i="90"/>
  <c r="F41" i="90"/>
  <c r="G41" i="90"/>
  <c r="H41" i="90"/>
  <c r="I41" i="90"/>
  <c r="J41" i="90"/>
  <c r="K41" i="90"/>
  <c r="L41" i="90"/>
  <c r="M41" i="90"/>
  <c r="N41" i="90"/>
  <c r="O41" i="90"/>
  <c r="P41" i="90"/>
  <c r="Q41" i="90"/>
  <c r="R41" i="90"/>
  <c r="S41" i="90"/>
  <c r="T41" i="90"/>
  <c r="U41" i="90"/>
  <c r="V41" i="90"/>
  <c r="W41" i="90"/>
  <c r="X41" i="90"/>
  <c r="Y41" i="90"/>
  <c r="Z41" i="90"/>
  <c r="AA41" i="90"/>
  <c r="D42" i="90"/>
  <c r="E42" i="90"/>
  <c r="F42" i="90"/>
  <c r="G42" i="90"/>
  <c r="H42" i="90"/>
  <c r="I42" i="90"/>
  <c r="J42" i="90"/>
  <c r="K42" i="90"/>
  <c r="L42" i="90"/>
  <c r="M42" i="90"/>
  <c r="N42" i="90"/>
  <c r="O42" i="90"/>
  <c r="P42" i="90"/>
  <c r="Q42" i="90"/>
  <c r="R42" i="90"/>
  <c r="S42" i="90"/>
  <c r="T42" i="90"/>
  <c r="U42" i="90"/>
  <c r="V42" i="90"/>
  <c r="W42" i="90"/>
  <c r="X42" i="90"/>
  <c r="Y42" i="90"/>
  <c r="Z42" i="90"/>
  <c r="AA42" i="90"/>
  <c r="D43" i="90"/>
  <c r="E43" i="90"/>
  <c r="F43" i="90"/>
  <c r="G43" i="90"/>
  <c r="H43" i="90"/>
  <c r="I43" i="90"/>
  <c r="J43" i="90"/>
  <c r="K43" i="90"/>
  <c r="L43" i="90"/>
  <c r="M43" i="90"/>
  <c r="N43" i="90"/>
  <c r="O43" i="90"/>
  <c r="P43" i="90"/>
  <c r="Q43" i="90"/>
  <c r="R43" i="90"/>
  <c r="S43" i="90"/>
  <c r="T43" i="90"/>
  <c r="U43" i="90"/>
  <c r="V43" i="90"/>
  <c r="W43" i="90"/>
  <c r="X43" i="90"/>
  <c r="Y43" i="90"/>
  <c r="Z43" i="90"/>
  <c r="AA43" i="90"/>
  <c r="D44" i="90"/>
  <c r="E44" i="90"/>
  <c r="F44" i="90"/>
  <c r="G44" i="90"/>
  <c r="H44" i="90"/>
  <c r="I44" i="90"/>
  <c r="J44" i="90"/>
  <c r="K44" i="90"/>
  <c r="L44" i="90"/>
  <c r="M44" i="90"/>
  <c r="N44" i="90"/>
  <c r="O44" i="90"/>
  <c r="P44" i="90"/>
  <c r="Q44" i="90"/>
  <c r="R44" i="90"/>
  <c r="S44" i="90"/>
  <c r="T44" i="90"/>
  <c r="U44" i="90"/>
  <c r="V44" i="90"/>
  <c r="W44" i="90"/>
  <c r="X44" i="90"/>
  <c r="Y44" i="90"/>
  <c r="Z44" i="90"/>
  <c r="AA44" i="90"/>
  <c r="D45" i="90"/>
  <c r="E45" i="90"/>
  <c r="F45" i="90"/>
  <c r="G45" i="90"/>
  <c r="H45" i="90"/>
  <c r="I45" i="90"/>
  <c r="J45" i="90"/>
  <c r="K45" i="90"/>
  <c r="L45" i="90"/>
  <c r="M45" i="90"/>
  <c r="N45" i="90"/>
  <c r="O45" i="90"/>
  <c r="P45" i="90"/>
  <c r="Q45" i="90"/>
  <c r="R45" i="90"/>
  <c r="S45" i="90"/>
  <c r="T45" i="90"/>
  <c r="U45" i="90"/>
  <c r="V45" i="90"/>
  <c r="W45" i="90"/>
  <c r="X45" i="90"/>
  <c r="Y45" i="90"/>
  <c r="Z45" i="90"/>
  <c r="AA45" i="90"/>
  <c r="D46" i="90"/>
  <c r="E46" i="90"/>
  <c r="F46" i="90"/>
  <c r="G46" i="90"/>
  <c r="H46" i="90"/>
  <c r="I46" i="90"/>
  <c r="J46" i="90"/>
  <c r="K46" i="90"/>
  <c r="L46" i="90"/>
  <c r="M46" i="90"/>
  <c r="N46" i="90"/>
  <c r="O46" i="90"/>
  <c r="P46" i="90"/>
  <c r="Q46" i="90"/>
  <c r="R46" i="90"/>
  <c r="S46" i="90"/>
  <c r="T46" i="90"/>
  <c r="U46" i="90"/>
  <c r="V46" i="90"/>
  <c r="W46" i="90"/>
  <c r="X46" i="90"/>
  <c r="Y46" i="90"/>
  <c r="Z46" i="90"/>
  <c r="AA46" i="90"/>
  <c r="D47" i="90"/>
  <c r="E47" i="90"/>
  <c r="F47" i="90"/>
  <c r="G47" i="90"/>
  <c r="H47" i="90"/>
  <c r="I47" i="90"/>
  <c r="J47" i="90"/>
  <c r="K47" i="90"/>
  <c r="L47" i="90"/>
  <c r="M47" i="90"/>
  <c r="N47" i="90"/>
  <c r="O47" i="90"/>
  <c r="P47" i="90"/>
  <c r="Q47" i="90"/>
  <c r="R47" i="90"/>
  <c r="S47" i="90"/>
  <c r="T47" i="90"/>
  <c r="U47" i="90"/>
  <c r="V47" i="90"/>
  <c r="W47" i="90"/>
  <c r="X47" i="90"/>
  <c r="Y47" i="90"/>
  <c r="Z47" i="90"/>
  <c r="AA47" i="90"/>
  <c r="D48" i="90"/>
  <c r="E48" i="90"/>
  <c r="F48" i="90"/>
  <c r="G48" i="90"/>
  <c r="H48" i="90"/>
  <c r="I48" i="90"/>
  <c r="J48" i="90"/>
  <c r="K48" i="90"/>
  <c r="L48" i="90"/>
  <c r="M48" i="90"/>
  <c r="N48" i="90"/>
  <c r="O48" i="90"/>
  <c r="P48" i="90"/>
  <c r="Q48" i="90"/>
  <c r="R48" i="90"/>
  <c r="S48" i="90"/>
  <c r="T48" i="90"/>
  <c r="U48" i="90"/>
  <c r="V48" i="90"/>
  <c r="W48" i="90"/>
  <c r="X48" i="90"/>
  <c r="Y48" i="90"/>
  <c r="Z48" i="90"/>
  <c r="AA48" i="90"/>
  <c r="D49" i="90"/>
  <c r="E49" i="90"/>
  <c r="F49" i="90"/>
  <c r="G49" i="90"/>
  <c r="H49" i="90"/>
  <c r="I49" i="90"/>
  <c r="J49" i="90"/>
  <c r="K49" i="90"/>
  <c r="L49" i="90"/>
  <c r="M49" i="90"/>
  <c r="N49" i="90"/>
  <c r="O49" i="90"/>
  <c r="P49" i="90"/>
  <c r="Q49" i="90"/>
  <c r="R49" i="90"/>
  <c r="S49" i="90"/>
  <c r="T49" i="90"/>
  <c r="U49" i="90"/>
  <c r="V49" i="90"/>
  <c r="W49" i="90"/>
  <c r="X49" i="90"/>
  <c r="Y49" i="90"/>
  <c r="Z49" i="90"/>
  <c r="AA49" i="90"/>
  <c r="D50" i="90"/>
  <c r="E50" i="90"/>
  <c r="F50" i="90"/>
  <c r="G50" i="90"/>
  <c r="H50" i="90"/>
  <c r="I50" i="90"/>
  <c r="J50" i="90"/>
  <c r="K50" i="90"/>
  <c r="L50" i="90"/>
  <c r="M50" i="90"/>
  <c r="N50" i="90"/>
  <c r="O50" i="90"/>
  <c r="P50" i="90"/>
  <c r="Q50" i="90"/>
  <c r="R50" i="90"/>
  <c r="S50" i="90"/>
  <c r="T50" i="90"/>
  <c r="U50" i="90"/>
  <c r="V50" i="90"/>
  <c r="W50" i="90"/>
  <c r="X50" i="90"/>
  <c r="Y50" i="90"/>
  <c r="Z50" i="90"/>
  <c r="AA50" i="90"/>
  <c r="D51" i="90"/>
  <c r="E51" i="90"/>
  <c r="F51" i="90"/>
  <c r="G51" i="90"/>
  <c r="H51" i="90"/>
  <c r="I51" i="90"/>
  <c r="J51" i="90"/>
  <c r="K51" i="90"/>
  <c r="L51" i="90"/>
  <c r="M51" i="90"/>
  <c r="N51" i="90"/>
  <c r="O51" i="90"/>
  <c r="P51" i="90"/>
  <c r="Q51" i="90"/>
  <c r="R51" i="90"/>
  <c r="S51" i="90"/>
  <c r="T51" i="90"/>
  <c r="U51" i="90"/>
  <c r="V51" i="90"/>
  <c r="W51" i="90"/>
  <c r="X51" i="90"/>
  <c r="Y51" i="90"/>
  <c r="Z51" i="90"/>
  <c r="AA51" i="90"/>
  <c r="D52" i="90"/>
  <c r="E52" i="90"/>
  <c r="F52" i="90"/>
  <c r="G52" i="90"/>
  <c r="H52" i="90"/>
  <c r="I52" i="90"/>
  <c r="J52" i="90"/>
  <c r="K52" i="90"/>
  <c r="L52" i="90"/>
  <c r="M52" i="90"/>
  <c r="N52" i="90"/>
  <c r="O52" i="90"/>
  <c r="P52" i="90"/>
  <c r="Q52" i="90"/>
  <c r="R52" i="90"/>
  <c r="S52" i="90"/>
  <c r="T52" i="90"/>
  <c r="U52" i="90"/>
  <c r="V52" i="90"/>
  <c r="W52" i="90"/>
  <c r="X52" i="90"/>
  <c r="Y52" i="90"/>
  <c r="Z52" i="90"/>
  <c r="AA52" i="90"/>
  <c r="D53" i="90"/>
  <c r="E53" i="90"/>
  <c r="F53" i="90"/>
  <c r="G53" i="90"/>
  <c r="H53" i="90"/>
  <c r="I53" i="90"/>
  <c r="J53" i="90"/>
  <c r="K53" i="90"/>
  <c r="L53" i="90"/>
  <c r="M53" i="90"/>
  <c r="N53" i="90"/>
  <c r="O53" i="90"/>
  <c r="P53" i="90"/>
  <c r="Q53" i="90"/>
  <c r="R53" i="90"/>
  <c r="S53" i="90"/>
  <c r="T53" i="90"/>
  <c r="U53" i="90"/>
  <c r="V53" i="90"/>
  <c r="W53" i="90"/>
  <c r="X53" i="90"/>
  <c r="Y53" i="90"/>
  <c r="Z53" i="90"/>
  <c r="AA53" i="90"/>
  <c r="D54" i="90"/>
  <c r="E54" i="90"/>
  <c r="F54" i="90"/>
  <c r="G54" i="90"/>
  <c r="H54" i="90"/>
  <c r="I54" i="90"/>
  <c r="J54" i="90"/>
  <c r="K54" i="90"/>
  <c r="L54" i="90"/>
  <c r="M54" i="90"/>
  <c r="N54" i="90"/>
  <c r="O54" i="90"/>
  <c r="P54" i="90"/>
  <c r="Q54" i="90"/>
  <c r="R54" i="90"/>
  <c r="S54" i="90"/>
  <c r="T54" i="90"/>
  <c r="U54" i="90"/>
  <c r="V54" i="90"/>
  <c r="W54" i="90"/>
  <c r="X54" i="90"/>
  <c r="Y54" i="90"/>
  <c r="Z54" i="90"/>
  <c r="AA54" i="90"/>
  <c r="D55" i="90"/>
  <c r="E55" i="90"/>
  <c r="F55" i="90"/>
  <c r="G55" i="90"/>
  <c r="H55" i="90"/>
  <c r="I55" i="90"/>
  <c r="J55" i="90"/>
  <c r="K55" i="90"/>
  <c r="L55" i="90"/>
  <c r="M55" i="90"/>
  <c r="N55" i="90"/>
  <c r="O55" i="90"/>
  <c r="P55" i="90"/>
  <c r="Q55" i="90"/>
  <c r="R55" i="90"/>
  <c r="S55" i="90"/>
  <c r="T55" i="90"/>
  <c r="U55" i="90"/>
  <c r="V55" i="90"/>
  <c r="W55" i="90"/>
  <c r="X55" i="90"/>
  <c r="Y55" i="90"/>
  <c r="Z55" i="90"/>
  <c r="AA55" i="90"/>
  <c r="D56" i="90"/>
  <c r="E56" i="90"/>
  <c r="F56" i="90"/>
  <c r="G56" i="90"/>
  <c r="H56" i="90"/>
  <c r="I56" i="90"/>
  <c r="J56" i="90"/>
  <c r="K56" i="90"/>
  <c r="L56" i="90"/>
  <c r="M56" i="90"/>
  <c r="N56" i="90"/>
  <c r="O56" i="90"/>
  <c r="P56" i="90"/>
  <c r="Q56" i="90"/>
  <c r="R56" i="90"/>
  <c r="S56" i="90"/>
  <c r="T56" i="90"/>
  <c r="U56" i="90"/>
  <c r="V56" i="90"/>
  <c r="W56" i="90"/>
  <c r="X56" i="90"/>
  <c r="Y56" i="90"/>
  <c r="Z56" i="90"/>
  <c r="AA56" i="90"/>
  <c r="D57" i="90"/>
  <c r="E57" i="90"/>
  <c r="F57" i="90"/>
  <c r="G57" i="90"/>
  <c r="H57" i="90"/>
  <c r="I57" i="90"/>
  <c r="J57" i="90"/>
  <c r="K57" i="90"/>
  <c r="L57" i="90"/>
  <c r="M57" i="90"/>
  <c r="N57" i="90"/>
  <c r="O57" i="90"/>
  <c r="P57" i="90"/>
  <c r="Q57" i="90"/>
  <c r="R57" i="90"/>
  <c r="S57" i="90"/>
  <c r="T57" i="90"/>
  <c r="U57" i="90"/>
  <c r="V57" i="90"/>
  <c r="W57" i="90"/>
  <c r="X57" i="90"/>
  <c r="Y57" i="90"/>
  <c r="Z57" i="90"/>
  <c r="AA57" i="90"/>
  <c r="D58" i="90"/>
  <c r="E58" i="90"/>
  <c r="F58" i="90"/>
  <c r="G58" i="90"/>
  <c r="H58" i="90"/>
  <c r="I58" i="90"/>
  <c r="J58" i="90"/>
  <c r="K58" i="90"/>
  <c r="L58" i="90"/>
  <c r="M58" i="90"/>
  <c r="N58" i="90"/>
  <c r="O58" i="90"/>
  <c r="P58" i="90"/>
  <c r="Q58" i="90"/>
  <c r="R58" i="90"/>
  <c r="S58" i="90"/>
  <c r="T58" i="90"/>
  <c r="U58" i="90"/>
  <c r="V58" i="90"/>
  <c r="W58" i="90"/>
  <c r="X58" i="90"/>
  <c r="Y58" i="90"/>
  <c r="Z58" i="90"/>
  <c r="AA58" i="90"/>
  <c r="D59" i="90"/>
  <c r="E59" i="90"/>
  <c r="F59" i="90"/>
  <c r="G59" i="90"/>
  <c r="H59" i="90"/>
  <c r="I59" i="90"/>
  <c r="J59" i="90"/>
  <c r="K59" i="90"/>
  <c r="L59" i="90"/>
  <c r="M59" i="90"/>
  <c r="N59" i="90"/>
  <c r="O59" i="90"/>
  <c r="P59" i="90"/>
  <c r="Q59" i="90"/>
  <c r="R59" i="90"/>
  <c r="S59" i="90"/>
  <c r="T59" i="90"/>
  <c r="U59" i="90"/>
  <c r="V59" i="90"/>
  <c r="W59" i="90"/>
  <c r="X59" i="90"/>
  <c r="Y59" i="90"/>
  <c r="Z59" i="90"/>
  <c r="AA59" i="90"/>
  <c r="D60" i="90"/>
  <c r="E60" i="90"/>
  <c r="F60" i="90"/>
  <c r="G60" i="90"/>
  <c r="H60" i="90"/>
  <c r="I60" i="90"/>
  <c r="J60" i="90"/>
  <c r="K60" i="90"/>
  <c r="L60" i="90"/>
  <c r="M60" i="90"/>
  <c r="N60" i="90"/>
  <c r="O60" i="90"/>
  <c r="P60" i="90"/>
  <c r="Q60" i="90"/>
  <c r="R60" i="90"/>
  <c r="S60" i="90"/>
  <c r="T60" i="90"/>
  <c r="U60" i="90"/>
  <c r="V60" i="90"/>
  <c r="W60" i="90"/>
  <c r="X60" i="90"/>
  <c r="Y60" i="90"/>
  <c r="Z60" i="90"/>
  <c r="AA60" i="90"/>
  <c r="D61" i="90"/>
  <c r="E61" i="90"/>
  <c r="F61" i="90"/>
  <c r="G61" i="90"/>
  <c r="H61" i="90"/>
  <c r="I61" i="90"/>
  <c r="J61" i="90"/>
  <c r="K61" i="90"/>
  <c r="L61" i="90"/>
  <c r="M61" i="90"/>
  <c r="N61" i="90"/>
  <c r="O61" i="90"/>
  <c r="P61" i="90"/>
  <c r="Q61" i="90"/>
  <c r="R61" i="90"/>
  <c r="S61" i="90"/>
  <c r="T61" i="90"/>
  <c r="U61" i="90"/>
  <c r="V61" i="90"/>
  <c r="W61" i="90"/>
  <c r="X61" i="90"/>
  <c r="Y61" i="90"/>
  <c r="Z61" i="90"/>
  <c r="AA61" i="90"/>
  <c r="D62" i="90"/>
  <c r="E62" i="90"/>
  <c r="F62" i="90"/>
  <c r="G62" i="90"/>
  <c r="H62" i="90"/>
  <c r="I62" i="90"/>
  <c r="J62" i="90"/>
  <c r="K62" i="90"/>
  <c r="L62" i="90"/>
  <c r="M62" i="90"/>
  <c r="N62" i="90"/>
  <c r="O62" i="90"/>
  <c r="P62" i="90"/>
  <c r="Q62" i="90"/>
  <c r="R62" i="90"/>
  <c r="S62" i="90"/>
  <c r="T62" i="90"/>
  <c r="U62" i="90"/>
  <c r="V62" i="90"/>
  <c r="W62" i="90"/>
  <c r="X62" i="90"/>
  <c r="Y62" i="90"/>
  <c r="Z62" i="90"/>
  <c r="AA62" i="90"/>
  <c r="D63" i="90"/>
  <c r="E63" i="90"/>
  <c r="F63" i="90"/>
  <c r="G63" i="90"/>
  <c r="H63" i="90"/>
  <c r="I63" i="90"/>
  <c r="J63" i="90"/>
  <c r="K63" i="90"/>
  <c r="L63" i="90"/>
  <c r="M63" i="90"/>
  <c r="N63" i="90"/>
  <c r="O63" i="90"/>
  <c r="P63" i="90"/>
  <c r="Q63" i="90"/>
  <c r="R63" i="90"/>
  <c r="S63" i="90"/>
  <c r="T63" i="90"/>
  <c r="U63" i="90"/>
  <c r="V63" i="90"/>
  <c r="W63" i="90"/>
  <c r="X63" i="90"/>
  <c r="Y63" i="90"/>
  <c r="Z63" i="90"/>
  <c r="AA63" i="90"/>
  <c r="D64" i="90"/>
  <c r="E64" i="90"/>
  <c r="F64" i="90"/>
  <c r="G64" i="90"/>
  <c r="H64" i="90"/>
  <c r="I64" i="90"/>
  <c r="J64" i="90"/>
  <c r="K64" i="90"/>
  <c r="L64" i="90"/>
  <c r="M64" i="90"/>
  <c r="N64" i="90"/>
  <c r="O64" i="90"/>
  <c r="P64" i="90"/>
  <c r="Q64" i="90"/>
  <c r="R64" i="90"/>
  <c r="S64" i="90"/>
  <c r="T64" i="90"/>
  <c r="U64" i="90"/>
  <c r="V64" i="90"/>
  <c r="W64" i="90"/>
  <c r="X64" i="90"/>
  <c r="Y64" i="90"/>
  <c r="Z64" i="90"/>
  <c r="AA64" i="90"/>
  <c r="D65" i="90"/>
  <c r="E65" i="90"/>
  <c r="F65" i="90"/>
  <c r="G65" i="90"/>
  <c r="H65" i="90"/>
  <c r="I65" i="90"/>
  <c r="J65" i="90"/>
  <c r="K65" i="90"/>
  <c r="L65" i="90"/>
  <c r="M65" i="90"/>
  <c r="N65" i="90"/>
  <c r="O65" i="90"/>
  <c r="P65" i="90"/>
  <c r="Q65" i="90"/>
  <c r="R65" i="90"/>
  <c r="S65" i="90"/>
  <c r="T65" i="90"/>
  <c r="U65" i="90"/>
  <c r="V65" i="90"/>
  <c r="W65" i="90"/>
  <c r="X65" i="90"/>
  <c r="Y65" i="90"/>
  <c r="Z65" i="90"/>
  <c r="AA65" i="90"/>
  <c r="D66" i="90"/>
  <c r="E66" i="90"/>
  <c r="F66" i="90"/>
  <c r="G66" i="90"/>
  <c r="H66" i="90"/>
  <c r="I66" i="90"/>
  <c r="J66" i="90"/>
  <c r="K66" i="90"/>
  <c r="L66" i="90"/>
  <c r="M66" i="90"/>
  <c r="N66" i="90"/>
  <c r="O66" i="90"/>
  <c r="P66" i="90"/>
  <c r="Q66" i="90"/>
  <c r="R66" i="90"/>
  <c r="S66" i="90"/>
  <c r="T66" i="90"/>
  <c r="U66" i="90"/>
  <c r="V66" i="90"/>
  <c r="W66" i="90"/>
  <c r="X66" i="90"/>
  <c r="Y66" i="90"/>
  <c r="Z66" i="90"/>
  <c r="AA66" i="90"/>
  <c r="D67" i="90"/>
  <c r="E67" i="90"/>
  <c r="F67" i="90"/>
  <c r="G67" i="90"/>
  <c r="H67" i="90"/>
  <c r="I67" i="90"/>
  <c r="J67" i="90"/>
  <c r="K67" i="90"/>
  <c r="L67" i="90"/>
  <c r="M67" i="90"/>
  <c r="N67" i="90"/>
  <c r="O67" i="90"/>
  <c r="P67" i="90"/>
  <c r="Q67" i="90"/>
  <c r="R67" i="90"/>
  <c r="S67" i="90"/>
  <c r="T67" i="90"/>
  <c r="U67" i="90"/>
  <c r="V67" i="90"/>
  <c r="W67" i="90"/>
  <c r="X67" i="90"/>
  <c r="Y67" i="90"/>
  <c r="Z67" i="90"/>
  <c r="AA67" i="90"/>
  <c r="D68" i="90"/>
  <c r="E68" i="90"/>
  <c r="F68" i="90"/>
  <c r="G68" i="90"/>
  <c r="H68" i="90"/>
  <c r="I68" i="90"/>
  <c r="J68" i="90"/>
  <c r="K68" i="90"/>
  <c r="L68" i="90"/>
  <c r="M68" i="90"/>
  <c r="N68" i="90"/>
  <c r="O68" i="90"/>
  <c r="P68" i="90"/>
  <c r="Q68" i="90"/>
  <c r="R68" i="90"/>
  <c r="S68" i="90"/>
  <c r="T68" i="90"/>
  <c r="U68" i="90"/>
  <c r="V68" i="90"/>
  <c r="W68" i="90"/>
  <c r="X68" i="90"/>
  <c r="Y68" i="90"/>
  <c r="Z68" i="90"/>
  <c r="AA68" i="90"/>
  <c r="D69" i="90"/>
  <c r="E69" i="90"/>
  <c r="F69" i="90"/>
  <c r="G69" i="90"/>
  <c r="H69" i="90"/>
  <c r="I69" i="90"/>
  <c r="J69" i="90"/>
  <c r="K69" i="90"/>
  <c r="L69" i="90"/>
  <c r="M69" i="90"/>
  <c r="N69" i="90"/>
  <c r="O69" i="90"/>
  <c r="P69" i="90"/>
  <c r="Q69" i="90"/>
  <c r="R69" i="90"/>
  <c r="S69" i="90"/>
  <c r="T69" i="90"/>
  <c r="U69" i="90"/>
  <c r="V69" i="90"/>
  <c r="W69" i="90"/>
  <c r="X69" i="90"/>
  <c r="Y69" i="90"/>
  <c r="Z69" i="90"/>
  <c r="AA69" i="90"/>
  <c r="D70" i="90"/>
  <c r="E70" i="90"/>
  <c r="F70" i="90"/>
  <c r="G70" i="90"/>
  <c r="H70" i="90"/>
  <c r="I70" i="90"/>
  <c r="J70" i="90"/>
  <c r="K70" i="90"/>
  <c r="L70" i="90"/>
  <c r="M70" i="90"/>
  <c r="N70" i="90"/>
  <c r="O70" i="90"/>
  <c r="P70" i="90"/>
  <c r="Q70" i="90"/>
  <c r="R70" i="90"/>
  <c r="S70" i="90"/>
  <c r="T70" i="90"/>
  <c r="U70" i="90"/>
  <c r="V70" i="90"/>
  <c r="W70" i="90"/>
  <c r="X70" i="90"/>
  <c r="Y70" i="90"/>
  <c r="Z70" i="90"/>
  <c r="AA70" i="90"/>
  <c r="D71" i="90"/>
  <c r="E71" i="90"/>
  <c r="F71" i="90"/>
  <c r="G71" i="90"/>
  <c r="H71" i="90"/>
  <c r="I71" i="90"/>
  <c r="J71" i="90"/>
  <c r="K71" i="90"/>
  <c r="L71" i="90"/>
  <c r="M71" i="90"/>
  <c r="N71" i="90"/>
  <c r="O71" i="90"/>
  <c r="P71" i="90"/>
  <c r="Q71" i="90"/>
  <c r="R71" i="90"/>
  <c r="S71" i="90"/>
  <c r="T71" i="90"/>
  <c r="U71" i="90"/>
  <c r="V71" i="90"/>
  <c r="W71" i="90"/>
  <c r="X71" i="90"/>
  <c r="Y71" i="90"/>
  <c r="Z71" i="90"/>
  <c r="AA71" i="90"/>
  <c r="D72" i="90"/>
  <c r="E72" i="90"/>
  <c r="F72" i="90"/>
  <c r="G72" i="90"/>
  <c r="H72" i="90"/>
  <c r="I72" i="90"/>
  <c r="J72" i="90"/>
  <c r="K72" i="90"/>
  <c r="L72" i="90"/>
  <c r="M72" i="90"/>
  <c r="N72" i="90"/>
  <c r="O72" i="90"/>
  <c r="P72" i="90"/>
  <c r="Q72" i="90"/>
  <c r="R72" i="90"/>
  <c r="S72" i="90"/>
  <c r="T72" i="90"/>
  <c r="U72" i="90"/>
  <c r="V72" i="90"/>
  <c r="W72" i="90"/>
  <c r="X72" i="90"/>
  <c r="Y72" i="90"/>
  <c r="Z72" i="90"/>
  <c r="AA72" i="90"/>
  <c r="D73" i="90"/>
  <c r="E73" i="90"/>
  <c r="F73" i="90"/>
  <c r="G73" i="90"/>
  <c r="H73" i="90"/>
  <c r="I73" i="90"/>
  <c r="J73" i="90"/>
  <c r="K73" i="90"/>
  <c r="L73" i="90"/>
  <c r="M73" i="90"/>
  <c r="N73" i="90"/>
  <c r="O73" i="90"/>
  <c r="P73" i="90"/>
  <c r="Q73" i="90"/>
  <c r="R73" i="90"/>
  <c r="S73" i="90"/>
  <c r="T73" i="90"/>
  <c r="U73" i="90"/>
  <c r="V73" i="90"/>
  <c r="W73" i="90"/>
  <c r="X73" i="90"/>
  <c r="Y73" i="90"/>
  <c r="Z73" i="90"/>
  <c r="AA73" i="90"/>
  <c r="D74" i="90"/>
  <c r="E74" i="90"/>
  <c r="F74" i="90"/>
  <c r="G74" i="90"/>
  <c r="H74" i="90"/>
  <c r="I74" i="90"/>
  <c r="J74" i="90"/>
  <c r="K74" i="90"/>
  <c r="L74" i="90"/>
  <c r="M74" i="90"/>
  <c r="N74" i="90"/>
  <c r="O74" i="90"/>
  <c r="P74" i="90"/>
  <c r="Q74" i="90"/>
  <c r="R74" i="90"/>
  <c r="S74" i="90"/>
  <c r="T74" i="90"/>
  <c r="U74" i="90"/>
  <c r="V74" i="90"/>
  <c r="W74" i="90"/>
  <c r="X74" i="90"/>
  <c r="Y74" i="90"/>
  <c r="Z74" i="90"/>
  <c r="AA74" i="90"/>
  <c r="D75" i="90"/>
  <c r="E75" i="90"/>
  <c r="F75" i="90"/>
  <c r="G75" i="90"/>
  <c r="H75" i="90"/>
  <c r="I75" i="90"/>
  <c r="J75" i="90"/>
  <c r="K75" i="90"/>
  <c r="L75" i="90"/>
  <c r="M75" i="90"/>
  <c r="N75" i="90"/>
  <c r="O75" i="90"/>
  <c r="P75" i="90"/>
  <c r="Q75" i="90"/>
  <c r="R75" i="90"/>
  <c r="S75" i="90"/>
  <c r="T75" i="90"/>
  <c r="U75" i="90"/>
  <c r="V75" i="90"/>
  <c r="W75" i="90"/>
  <c r="X75" i="90"/>
  <c r="Y75" i="90"/>
  <c r="Z75" i="90"/>
  <c r="AA75" i="90"/>
  <c r="D76" i="90"/>
  <c r="E76" i="90"/>
  <c r="F76" i="90"/>
  <c r="G76" i="90"/>
  <c r="H76" i="90"/>
  <c r="I76" i="90"/>
  <c r="J76" i="90"/>
  <c r="K76" i="90"/>
  <c r="L76" i="90"/>
  <c r="M76" i="90"/>
  <c r="N76" i="90"/>
  <c r="O76" i="90"/>
  <c r="P76" i="90"/>
  <c r="Q76" i="90"/>
  <c r="R76" i="90"/>
  <c r="S76" i="90"/>
  <c r="T76" i="90"/>
  <c r="U76" i="90"/>
  <c r="V76" i="90"/>
  <c r="W76" i="90"/>
  <c r="X76" i="90"/>
  <c r="Y76" i="90"/>
  <c r="Z76" i="90"/>
  <c r="AA76" i="90"/>
  <c r="D77" i="90"/>
  <c r="E77" i="90"/>
  <c r="F77" i="90"/>
  <c r="G77" i="90"/>
  <c r="H77" i="90"/>
  <c r="I77" i="90"/>
  <c r="J77" i="90"/>
  <c r="K77" i="90"/>
  <c r="L77" i="90"/>
  <c r="M77" i="90"/>
  <c r="N77" i="90"/>
  <c r="O77" i="90"/>
  <c r="P77" i="90"/>
  <c r="Q77" i="90"/>
  <c r="R77" i="90"/>
  <c r="S77" i="90"/>
  <c r="T77" i="90"/>
  <c r="U77" i="90"/>
  <c r="V77" i="90"/>
  <c r="W77" i="90"/>
  <c r="X77" i="90"/>
  <c r="Y77" i="90"/>
  <c r="Z77" i="90"/>
  <c r="AA77" i="90"/>
  <c r="D78" i="90"/>
  <c r="E78" i="90"/>
  <c r="F78" i="90"/>
  <c r="G78" i="90"/>
  <c r="H78" i="90"/>
  <c r="I78" i="90"/>
  <c r="J78" i="90"/>
  <c r="K78" i="90"/>
  <c r="L78" i="90"/>
  <c r="M78" i="90"/>
  <c r="N78" i="90"/>
  <c r="O78" i="90"/>
  <c r="P78" i="90"/>
  <c r="Q78" i="90"/>
  <c r="R78" i="90"/>
  <c r="S78" i="90"/>
  <c r="T78" i="90"/>
  <c r="U78" i="90"/>
  <c r="V78" i="90"/>
  <c r="W78" i="90"/>
  <c r="X78" i="90"/>
  <c r="Y78" i="90"/>
  <c r="Z78" i="90"/>
  <c r="AA78" i="90"/>
  <c r="D79" i="90"/>
  <c r="E79" i="90"/>
  <c r="F79" i="90"/>
  <c r="G79" i="90"/>
  <c r="H79" i="90"/>
  <c r="I79" i="90"/>
  <c r="J79" i="90"/>
  <c r="K79" i="90"/>
  <c r="L79" i="90"/>
  <c r="M79" i="90"/>
  <c r="N79" i="90"/>
  <c r="O79" i="90"/>
  <c r="P79" i="90"/>
  <c r="Q79" i="90"/>
  <c r="R79" i="90"/>
  <c r="S79" i="90"/>
  <c r="T79" i="90"/>
  <c r="U79" i="90"/>
  <c r="V79" i="90"/>
  <c r="W79" i="90"/>
  <c r="X79" i="90"/>
  <c r="Y79" i="90"/>
  <c r="Z79" i="90"/>
  <c r="AA79" i="90"/>
  <c r="D80" i="90"/>
  <c r="E80" i="90"/>
  <c r="F80" i="90"/>
  <c r="G80" i="90"/>
  <c r="H80" i="90"/>
  <c r="I80" i="90"/>
  <c r="J80" i="90"/>
  <c r="K80" i="90"/>
  <c r="L80" i="90"/>
  <c r="M80" i="90"/>
  <c r="N80" i="90"/>
  <c r="O80" i="90"/>
  <c r="P80" i="90"/>
  <c r="Q80" i="90"/>
  <c r="R80" i="90"/>
  <c r="S80" i="90"/>
  <c r="T80" i="90"/>
  <c r="U80" i="90"/>
  <c r="V80" i="90"/>
  <c r="W80" i="90"/>
  <c r="X80" i="90"/>
  <c r="Y80" i="90"/>
  <c r="Z80" i="90"/>
  <c r="AA80" i="90"/>
  <c r="D81" i="90"/>
  <c r="E81" i="90"/>
  <c r="F81" i="90"/>
  <c r="G81" i="90"/>
  <c r="H81" i="90"/>
  <c r="I81" i="90"/>
  <c r="J81" i="90"/>
  <c r="K81" i="90"/>
  <c r="L81" i="90"/>
  <c r="M81" i="90"/>
  <c r="N81" i="90"/>
  <c r="O81" i="90"/>
  <c r="P81" i="90"/>
  <c r="Q81" i="90"/>
  <c r="R81" i="90"/>
  <c r="S81" i="90"/>
  <c r="T81" i="90"/>
  <c r="U81" i="90"/>
  <c r="V81" i="90"/>
  <c r="W81" i="90"/>
  <c r="X81" i="90"/>
  <c r="Y81" i="90"/>
  <c r="Z81" i="90"/>
  <c r="AA81" i="90"/>
  <c r="D82" i="90"/>
  <c r="E82" i="90"/>
  <c r="F82" i="90"/>
  <c r="G82" i="90"/>
  <c r="H82" i="90"/>
  <c r="I82" i="90"/>
  <c r="J82" i="90"/>
  <c r="K82" i="90"/>
  <c r="L82" i="90"/>
  <c r="M82" i="90"/>
  <c r="N82" i="90"/>
  <c r="O82" i="90"/>
  <c r="P82" i="90"/>
  <c r="Q82" i="90"/>
  <c r="R82" i="90"/>
  <c r="S82" i="90"/>
  <c r="T82" i="90"/>
  <c r="U82" i="90"/>
  <c r="V82" i="90"/>
  <c r="W82" i="90"/>
  <c r="X82" i="90"/>
  <c r="Y82" i="90"/>
  <c r="Z82" i="90"/>
  <c r="AA82" i="90"/>
  <c r="D83" i="90"/>
  <c r="E83" i="90"/>
  <c r="F83" i="90"/>
  <c r="G83" i="90"/>
  <c r="H83" i="90"/>
  <c r="I83" i="90"/>
  <c r="J83" i="90"/>
  <c r="K83" i="90"/>
  <c r="L83" i="90"/>
  <c r="M83" i="90"/>
  <c r="N83" i="90"/>
  <c r="O83" i="90"/>
  <c r="P83" i="90"/>
  <c r="Q83" i="90"/>
  <c r="R83" i="90"/>
  <c r="S83" i="90"/>
  <c r="T83" i="90"/>
  <c r="U83" i="90"/>
  <c r="V83" i="90"/>
  <c r="W83" i="90"/>
  <c r="X83" i="90"/>
  <c r="Y83" i="90"/>
  <c r="Z83" i="90"/>
  <c r="AA83" i="90"/>
  <c r="D84" i="90"/>
  <c r="E84" i="90"/>
  <c r="F84" i="90"/>
  <c r="G84" i="90"/>
  <c r="H84" i="90"/>
  <c r="I84" i="90"/>
  <c r="J84" i="90"/>
  <c r="K84" i="90"/>
  <c r="L84" i="90"/>
  <c r="M84" i="90"/>
  <c r="N84" i="90"/>
  <c r="O84" i="90"/>
  <c r="P84" i="90"/>
  <c r="Q84" i="90"/>
  <c r="R84" i="90"/>
  <c r="S84" i="90"/>
  <c r="T84" i="90"/>
  <c r="U84" i="90"/>
  <c r="V84" i="90"/>
  <c r="W84" i="90"/>
  <c r="X84" i="90"/>
  <c r="Y84" i="90"/>
  <c r="Z84" i="90"/>
  <c r="AA84" i="90"/>
  <c r="D85" i="90"/>
  <c r="E85" i="90"/>
  <c r="F85" i="90"/>
  <c r="G85" i="90"/>
  <c r="H85" i="90"/>
  <c r="I85" i="90"/>
  <c r="J85" i="90"/>
  <c r="K85" i="90"/>
  <c r="L85" i="90"/>
  <c r="M85" i="90"/>
  <c r="N85" i="90"/>
  <c r="O85" i="90"/>
  <c r="P85" i="90"/>
  <c r="Q85" i="90"/>
  <c r="R85" i="90"/>
  <c r="S85" i="90"/>
  <c r="T85" i="90"/>
  <c r="U85" i="90"/>
  <c r="V85" i="90"/>
  <c r="W85" i="90"/>
  <c r="X85" i="90"/>
  <c r="Y85" i="90"/>
  <c r="Z85" i="90"/>
  <c r="AA85" i="90"/>
  <c r="D86" i="90"/>
  <c r="E86" i="90"/>
  <c r="F86" i="90"/>
  <c r="G86" i="90"/>
  <c r="H86" i="90"/>
  <c r="I86" i="90"/>
  <c r="J86" i="90"/>
  <c r="K86" i="90"/>
  <c r="L86" i="90"/>
  <c r="M86" i="90"/>
  <c r="N86" i="90"/>
  <c r="O86" i="90"/>
  <c r="P86" i="90"/>
  <c r="Q86" i="90"/>
  <c r="R86" i="90"/>
  <c r="S86" i="90"/>
  <c r="T86" i="90"/>
  <c r="U86" i="90"/>
  <c r="V86" i="90"/>
  <c r="W86" i="90"/>
  <c r="X86" i="90"/>
  <c r="Y86" i="90"/>
  <c r="Z86" i="90"/>
  <c r="AA86" i="90"/>
  <c r="D87" i="90"/>
  <c r="E87" i="90"/>
  <c r="F87" i="90"/>
  <c r="G87" i="90"/>
  <c r="H87" i="90"/>
  <c r="I87" i="90"/>
  <c r="J87" i="90"/>
  <c r="K87" i="90"/>
  <c r="L87" i="90"/>
  <c r="M87" i="90"/>
  <c r="N87" i="90"/>
  <c r="O87" i="90"/>
  <c r="P87" i="90"/>
  <c r="Q87" i="90"/>
  <c r="R87" i="90"/>
  <c r="S87" i="90"/>
  <c r="T87" i="90"/>
  <c r="U87" i="90"/>
  <c r="V87" i="90"/>
  <c r="W87" i="90"/>
  <c r="X87" i="90"/>
  <c r="Y87" i="90"/>
  <c r="Z87" i="90"/>
  <c r="AA87" i="90"/>
  <c r="D88" i="90"/>
  <c r="E88" i="90"/>
  <c r="F88" i="90"/>
  <c r="G88" i="90"/>
  <c r="H88" i="90"/>
  <c r="I88" i="90"/>
  <c r="J88" i="90"/>
  <c r="K88" i="90"/>
  <c r="L88" i="90"/>
  <c r="M88" i="90"/>
  <c r="N88" i="90"/>
  <c r="O88" i="90"/>
  <c r="P88" i="90"/>
  <c r="Q88" i="90"/>
  <c r="R88" i="90"/>
  <c r="S88" i="90"/>
  <c r="T88" i="90"/>
  <c r="U88" i="90"/>
  <c r="V88" i="90"/>
  <c r="W88" i="90"/>
  <c r="X88" i="90"/>
  <c r="Y88" i="90"/>
  <c r="Z88" i="90"/>
  <c r="AA88" i="90"/>
  <c r="D89" i="90"/>
  <c r="E89" i="90"/>
  <c r="F89" i="90"/>
  <c r="G89" i="90"/>
  <c r="H89" i="90"/>
  <c r="I89" i="90"/>
  <c r="J89" i="90"/>
  <c r="K89" i="90"/>
  <c r="L89" i="90"/>
  <c r="M89" i="90"/>
  <c r="N89" i="90"/>
  <c r="O89" i="90"/>
  <c r="P89" i="90"/>
  <c r="Q89" i="90"/>
  <c r="R89" i="90"/>
  <c r="S89" i="90"/>
  <c r="T89" i="90"/>
  <c r="U89" i="90"/>
  <c r="V89" i="90"/>
  <c r="W89" i="90"/>
  <c r="X89" i="90"/>
  <c r="Y89" i="90"/>
  <c r="Z89" i="90"/>
  <c r="AA89" i="90"/>
  <c r="D90" i="90"/>
  <c r="E90" i="90"/>
  <c r="F90" i="90"/>
  <c r="G90" i="90"/>
  <c r="H90" i="90"/>
  <c r="I90" i="90"/>
  <c r="J90" i="90"/>
  <c r="K90" i="90"/>
  <c r="L90" i="90"/>
  <c r="M90" i="90"/>
  <c r="N90" i="90"/>
  <c r="O90" i="90"/>
  <c r="P90" i="90"/>
  <c r="Q90" i="90"/>
  <c r="R90" i="90"/>
  <c r="S90" i="90"/>
  <c r="T90" i="90"/>
  <c r="U90" i="90"/>
  <c r="V90" i="90"/>
  <c r="W90" i="90"/>
  <c r="X90" i="90"/>
  <c r="Y90" i="90"/>
  <c r="Z90" i="90"/>
  <c r="AA90" i="90"/>
  <c r="D91" i="90"/>
  <c r="E91" i="90"/>
  <c r="F91" i="90"/>
  <c r="G91" i="90"/>
  <c r="H91" i="90"/>
  <c r="I91" i="90"/>
  <c r="J91" i="90"/>
  <c r="K91" i="90"/>
  <c r="L91" i="90"/>
  <c r="M91" i="90"/>
  <c r="N91" i="90"/>
  <c r="O91" i="90"/>
  <c r="P91" i="90"/>
  <c r="Q91" i="90"/>
  <c r="R91" i="90"/>
  <c r="S91" i="90"/>
  <c r="T91" i="90"/>
  <c r="U91" i="90"/>
  <c r="V91" i="90"/>
  <c r="W91" i="90"/>
  <c r="X91" i="90"/>
  <c r="Y91" i="90"/>
  <c r="Z91" i="90"/>
  <c r="AA91" i="90"/>
  <c r="D92" i="90"/>
  <c r="E92" i="90"/>
  <c r="F92" i="90"/>
  <c r="G92" i="90"/>
  <c r="H92" i="90"/>
  <c r="I92" i="90"/>
  <c r="J92" i="90"/>
  <c r="K92" i="90"/>
  <c r="L92" i="90"/>
  <c r="M92" i="90"/>
  <c r="N92" i="90"/>
  <c r="O92" i="90"/>
  <c r="P92" i="90"/>
  <c r="Q92" i="90"/>
  <c r="R92" i="90"/>
  <c r="S92" i="90"/>
  <c r="T92" i="90"/>
  <c r="U92" i="90"/>
  <c r="V92" i="90"/>
  <c r="W92" i="90"/>
  <c r="X92" i="90"/>
  <c r="Y92" i="90"/>
  <c r="Z92" i="90"/>
  <c r="AA92" i="90"/>
  <c r="D93" i="90"/>
  <c r="E93" i="90"/>
  <c r="F93" i="90"/>
  <c r="G93" i="90"/>
  <c r="H93" i="90"/>
  <c r="I93" i="90"/>
  <c r="J93" i="90"/>
  <c r="K93" i="90"/>
  <c r="L93" i="90"/>
  <c r="M93" i="90"/>
  <c r="N93" i="90"/>
  <c r="O93" i="90"/>
  <c r="P93" i="90"/>
  <c r="Q93" i="90"/>
  <c r="R93" i="90"/>
  <c r="S93" i="90"/>
  <c r="T93" i="90"/>
  <c r="U93" i="90"/>
  <c r="V93" i="90"/>
  <c r="W93" i="90"/>
  <c r="X93" i="90"/>
  <c r="Y93" i="90"/>
  <c r="Z93" i="90"/>
  <c r="AA93" i="90"/>
  <c r="D94" i="90"/>
  <c r="E94" i="90"/>
  <c r="F94" i="90"/>
  <c r="G94" i="90"/>
  <c r="H94" i="90"/>
  <c r="I94" i="90"/>
  <c r="J94" i="90"/>
  <c r="K94" i="90"/>
  <c r="L94" i="90"/>
  <c r="M94" i="90"/>
  <c r="N94" i="90"/>
  <c r="O94" i="90"/>
  <c r="P94" i="90"/>
  <c r="Q94" i="90"/>
  <c r="R94" i="90"/>
  <c r="S94" i="90"/>
  <c r="T94" i="90"/>
  <c r="U94" i="90"/>
  <c r="V94" i="90"/>
  <c r="W94" i="90"/>
  <c r="X94" i="90"/>
  <c r="Y94" i="90"/>
  <c r="Z94" i="90"/>
  <c r="AA94" i="90"/>
  <c r="D95" i="90"/>
  <c r="E95" i="90"/>
  <c r="F95" i="90"/>
  <c r="G95" i="90"/>
  <c r="H95" i="90"/>
  <c r="I95" i="90"/>
  <c r="J95" i="90"/>
  <c r="K95" i="90"/>
  <c r="L95" i="90"/>
  <c r="M95" i="90"/>
  <c r="N95" i="90"/>
  <c r="O95" i="90"/>
  <c r="P95" i="90"/>
  <c r="Q95" i="90"/>
  <c r="R95" i="90"/>
  <c r="S95" i="90"/>
  <c r="T95" i="90"/>
  <c r="U95" i="90"/>
  <c r="V95" i="90"/>
  <c r="W95" i="90"/>
  <c r="X95" i="90"/>
  <c r="Y95" i="90"/>
  <c r="Z95" i="90"/>
  <c r="AA95" i="90"/>
  <c r="D96" i="90"/>
  <c r="E96" i="90"/>
  <c r="F96" i="90"/>
  <c r="G96" i="90"/>
  <c r="H96" i="90"/>
  <c r="I96" i="90"/>
  <c r="J96" i="90"/>
  <c r="K96" i="90"/>
  <c r="L96" i="90"/>
  <c r="M96" i="90"/>
  <c r="N96" i="90"/>
  <c r="O96" i="90"/>
  <c r="P96" i="90"/>
  <c r="Q96" i="90"/>
  <c r="R96" i="90"/>
  <c r="S96" i="90"/>
  <c r="T96" i="90"/>
  <c r="U96" i="90"/>
  <c r="V96" i="90"/>
  <c r="W96" i="90"/>
  <c r="X96" i="90"/>
  <c r="Y96" i="90"/>
  <c r="Z96" i="90"/>
  <c r="AA96" i="90"/>
  <c r="D97" i="90"/>
  <c r="E97" i="90"/>
  <c r="F97" i="90"/>
  <c r="G97" i="90"/>
  <c r="H97" i="90"/>
  <c r="I97" i="90"/>
  <c r="J97" i="90"/>
  <c r="K97" i="90"/>
  <c r="L97" i="90"/>
  <c r="M97" i="90"/>
  <c r="N97" i="90"/>
  <c r="O97" i="90"/>
  <c r="P97" i="90"/>
  <c r="Q97" i="90"/>
  <c r="R97" i="90"/>
  <c r="S97" i="90"/>
  <c r="T97" i="90"/>
  <c r="U97" i="90"/>
  <c r="V97" i="90"/>
  <c r="W97" i="90"/>
  <c r="X97" i="90"/>
  <c r="Y97" i="90"/>
  <c r="Z97" i="90"/>
  <c r="AA97" i="90"/>
  <c r="D98" i="90"/>
  <c r="E98" i="90"/>
  <c r="F98" i="90"/>
  <c r="G98" i="90"/>
  <c r="H98" i="90"/>
  <c r="I98" i="90"/>
  <c r="J98" i="90"/>
  <c r="K98" i="90"/>
  <c r="L98" i="90"/>
  <c r="M98" i="90"/>
  <c r="N98" i="90"/>
  <c r="O98" i="90"/>
  <c r="P98" i="90"/>
  <c r="Q98" i="90"/>
  <c r="R98" i="90"/>
  <c r="S98" i="90"/>
  <c r="T98" i="90"/>
  <c r="U98" i="90"/>
  <c r="V98" i="90"/>
  <c r="W98" i="90"/>
  <c r="X98" i="90"/>
  <c r="Y98" i="90"/>
  <c r="Z98" i="90"/>
  <c r="AA98" i="90"/>
  <c r="D99" i="90"/>
  <c r="E99" i="90"/>
  <c r="F99" i="90"/>
  <c r="G99" i="90"/>
  <c r="H99" i="90"/>
  <c r="I99" i="90"/>
  <c r="J99" i="90"/>
  <c r="K99" i="90"/>
  <c r="L99" i="90"/>
  <c r="M99" i="90"/>
  <c r="N99" i="90"/>
  <c r="O99" i="90"/>
  <c r="P99" i="90"/>
  <c r="Q99" i="90"/>
  <c r="R99" i="90"/>
  <c r="S99" i="90"/>
  <c r="T99" i="90"/>
  <c r="U99" i="90"/>
  <c r="V99" i="90"/>
  <c r="W99" i="90"/>
  <c r="X99" i="90"/>
  <c r="Y99" i="90"/>
  <c r="Z99" i="90"/>
  <c r="AA99" i="90"/>
  <c r="D100" i="90"/>
  <c r="E100" i="90"/>
  <c r="F100" i="90"/>
  <c r="G100" i="90"/>
  <c r="H100" i="90"/>
  <c r="I100" i="90"/>
  <c r="J100" i="90"/>
  <c r="K100" i="90"/>
  <c r="L100" i="90"/>
  <c r="M100" i="90"/>
  <c r="N100" i="90"/>
  <c r="O100" i="90"/>
  <c r="P100" i="90"/>
  <c r="Q100" i="90"/>
  <c r="R100" i="90"/>
  <c r="S100" i="90"/>
  <c r="T100" i="90"/>
  <c r="U100" i="90"/>
  <c r="V100" i="90"/>
  <c r="W100" i="90"/>
  <c r="X100" i="90"/>
  <c r="Y100" i="90"/>
  <c r="Z100" i="90"/>
  <c r="AA100" i="90"/>
  <c r="D101" i="90"/>
  <c r="E101" i="90"/>
  <c r="F101" i="90"/>
  <c r="G101" i="90"/>
  <c r="H101" i="90"/>
  <c r="I101" i="90"/>
  <c r="J101" i="90"/>
  <c r="K101" i="90"/>
  <c r="L101" i="90"/>
  <c r="M101" i="90"/>
  <c r="N101" i="90"/>
  <c r="O101" i="90"/>
  <c r="P101" i="90"/>
  <c r="Q101" i="90"/>
  <c r="R101" i="90"/>
  <c r="S101" i="90"/>
  <c r="T101" i="90"/>
  <c r="U101" i="90"/>
  <c r="V101" i="90"/>
  <c r="W101" i="90"/>
  <c r="X101" i="90"/>
  <c r="Y101" i="90"/>
  <c r="Z101" i="90"/>
  <c r="AA101" i="90"/>
  <c r="D102" i="90"/>
  <c r="E102" i="90"/>
  <c r="F102" i="90"/>
  <c r="G102" i="90"/>
  <c r="H102" i="90"/>
  <c r="I102" i="90"/>
  <c r="J102" i="90"/>
  <c r="K102" i="90"/>
  <c r="L102" i="90"/>
  <c r="M102" i="90"/>
  <c r="N102" i="90"/>
  <c r="O102" i="90"/>
  <c r="P102" i="90"/>
  <c r="Q102" i="90"/>
  <c r="R102" i="90"/>
  <c r="S102" i="90"/>
  <c r="T102" i="90"/>
  <c r="U102" i="90"/>
  <c r="V102" i="90"/>
  <c r="W102" i="90"/>
  <c r="X102" i="90"/>
  <c r="Y102" i="90"/>
  <c r="Z102" i="90"/>
  <c r="AA102" i="90"/>
  <c r="D103" i="90"/>
  <c r="E103" i="90"/>
  <c r="F103" i="90"/>
  <c r="G103" i="90"/>
  <c r="H103" i="90"/>
  <c r="I103" i="90"/>
  <c r="J103" i="90"/>
  <c r="K103" i="90"/>
  <c r="L103" i="90"/>
  <c r="M103" i="90"/>
  <c r="N103" i="90"/>
  <c r="O103" i="90"/>
  <c r="P103" i="90"/>
  <c r="Q103" i="90"/>
  <c r="R103" i="90"/>
  <c r="S103" i="90"/>
  <c r="T103" i="90"/>
  <c r="U103" i="90"/>
  <c r="V103" i="90"/>
  <c r="W103" i="90"/>
  <c r="X103" i="90"/>
  <c r="Y103" i="90"/>
  <c r="Z103" i="90"/>
  <c r="AA103" i="90"/>
  <c r="D104" i="90"/>
  <c r="E104" i="90"/>
  <c r="F104" i="90"/>
  <c r="G104" i="90"/>
  <c r="H104" i="90"/>
  <c r="I104" i="90"/>
  <c r="J104" i="90"/>
  <c r="K104" i="90"/>
  <c r="L104" i="90"/>
  <c r="M104" i="90"/>
  <c r="N104" i="90"/>
  <c r="O104" i="90"/>
  <c r="P104" i="90"/>
  <c r="Q104" i="90"/>
  <c r="R104" i="90"/>
  <c r="S104" i="90"/>
  <c r="T104" i="90"/>
  <c r="U104" i="90"/>
  <c r="V104" i="90"/>
  <c r="W104" i="90"/>
  <c r="X104" i="90"/>
  <c r="Y104" i="90"/>
  <c r="Z104" i="90"/>
  <c r="AA104" i="90"/>
  <c r="D105" i="90"/>
  <c r="E105" i="90"/>
  <c r="F105" i="90"/>
  <c r="G105" i="90"/>
  <c r="H105" i="90"/>
  <c r="I105" i="90"/>
  <c r="J105" i="90"/>
  <c r="K105" i="90"/>
  <c r="L105" i="90"/>
  <c r="M105" i="90"/>
  <c r="N105" i="90"/>
  <c r="O105" i="90"/>
  <c r="P105" i="90"/>
  <c r="Q105" i="90"/>
  <c r="R105" i="90"/>
  <c r="S105" i="90"/>
  <c r="T105" i="90"/>
  <c r="U105" i="90"/>
  <c r="V105" i="90"/>
  <c r="W105" i="90"/>
  <c r="X105" i="90"/>
  <c r="Y105" i="90"/>
  <c r="Z105" i="90"/>
  <c r="AA105" i="90"/>
  <c r="D106" i="90"/>
  <c r="E106" i="90"/>
  <c r="F106" i="90"/>
  <c r="G106" i="90"/>
  <c r="H106" i="90"/>
  <c r="I106" i="90"/>
  <c r="J106" i="90"/>
  <c r="K106" i="90"/>
  <c r="L106" i="90"/>
  <c r="M106" i="90"/>
  <c r="N106" i="90"/>
  <c r="O106" i="90"/>
  <c r="P106" i="90"/>
  <c r="Q106" i="90"/>
  <c r="R106" i="90"/>
  <c r="S106" i="90"/>
  <c r="T106" i="90"/>
  <c r="U106" i="90"/>
  <c r="V106" i="90"/>
  <c r="W106" i="90"/>
  <c r="X106" i="90"/>
  <c r="Y106" i="90"/>
  <c r="Z106" i="90"/>
  <c r="AA106" i="90"/>
  <c r="D107" i="90"/>
  <c r="E107" i="90"/>
  <c r="F107" i="90"/>
  <c r="G107" i="90"/>
  <c r="H107" i="90"/>
  <c r="I107" i="90"/>
  <c r="J107" i="90"/>
  <c r="K107" i="90"/>
  <c r="L107" i="90"/>
  <c r="M107" i="90"/>
  <c r="N107" i="90"/>
  <c r="O107" i="90"/>
  <c r="P107" i="90"/>
  <c r="Q107" i="90"/>
  <c r="R107" i="90"/>
  <c r="S107" i="90"/>
  <c r="T107" i="90"/>
  <c r="U107" i="90"/>
  <c r="V107" i="90"/>
  <c r="W107" i="90"/>
  <c r="X107" i="90"/>
  <c r="Y107" i="90"/>
  <c r="Z107" i="90"/>
  <c r="AA107" i="90"/>
  <c r="D108" i="90"/>
  <c r="E108" i="90"/>
  <c r="F108" i="90"/>
  <c r="G108" i="90"/>
  <c r="H108" i="90"/>
  <c r="I108" i="90"/>
  <c r="J108" i="90"/>
  <c r="K108" i="90"/>
  <c r="L108" i="90"/>
  <c r="M108" i="90"/>
  <c r="N108" i="90"/>
  <c r="O108" i="90"/>
  <c r="P108" i="90"/>
  <c r="Q108" i="90"/>
  <c r="R108" i="90"/>
  <c r="S108" i="90"/>
  <c r="T108" i="90"/>
  <c r="U108" i="90"/>
  <c r="V108" i="90"/>
  <c r="W108" i="90"/>
  <c r="X108" i="90"/>
  <c r="Y108" i="90"/>
  <c r="Z108" i="90"/>
  <c r="AA108" i="90"/>
  <c r="D109" i="90"/>
  <c r="E109" i="90"/>
  <c r="F109" i="90"/>
  <c r="G109" i="90"/>
  <c r="H109" i="90"/>
  <c r="I109" i="90"/>
  <c r="J109" i="90"/>
  <c r="K109" i="90"/>
  <c r="L109" i="90"/>
  <c r="M109" i="90"/>
  <c r="N109" i="90"/>
  <c r="O109" i="90"/>
  <c r="P109" i="90"/>
  <c r="Q109" i="90"/>
  <c r="R109" i="90"/>
  <c r="S109" i="90"/>
  <c r="T109" i="90"/>
  <c r="U109" i="90"/>
  <c r="V109" i="90"/>
  <c r="W109" i="90"/>
  <c r="X109" i="90"/>
  <c r="Y109" i="90"/>
  <c r="Z109" i="90"/>
  <c r="AA109" i="90"/>
  <c r="D110" i="90"/>
  <c r="E110" i="90"/>
  <c r="F110" i="90"/>
  <c r="G110" i="90"/>
  <c r="H110" i="90"/>
  <c r="I110" i="90"/>
  <c r="J110" i="90"/>
  <c r="K110" i="90"/>
  <c r="L110" i="90"/>
  <c r="M110" i="90"/>
  <c r="N110" i="90"/>
  <c r="O110" i="90"/>
  <c r="P110" i="90"/>
  <c r="Q110" i="90"/>
  <c r="R110" i="90"/>
  <c r="S110" i="90"/>
  <c r="T110" i="90"/>
  <c r="U110" i="90"/>
  <c r="V110" i="90"/>
  <c r="W110" i="90"/>
  <c r="X110" i="90"/>
  <c r="Y110" i="90"/>
  <c r="Z110" i="90"/>
  <c r="AA110" i="90"/>
  <c r="D111" i="90"/>
  <c r="E111" i="90"/>
  <c r="F111" i="90"/>
  <c r="G111" i="90"/>
  <c r="H111" i="90"/>
  <c r="I111" i="90"/>
  <c r="J111" i="90"/>
  <c r="K111" i="90"/>
  <c r="L111" i="90"/>
  <c r="M111" i="90"/>
  <c r="N111" i="90"/>
  <c r="O111" i="90"/>
  <c r="P111" i="90"/>
  <c r="Q111" i="90"/>
  <c r="R111" i="90"/>
  <c r="S111" i="90"/>
  <c r="T111" i="90"/>
  <c r="U111" i="90"/>
  <c r="V111" i="90"/>
  <c r="W111" i="90"/>
  <c r="X111" i="90"/>
  <c r="Y111" i="90"/>
  <c r="Z111" i="90"/>
  <c r="AA111" i="90"/>
  <c r="D112" i="90"/>
  <c r="E112" i="90"/>
  <c r="F112" i="90"/>
  <c r="G112" i="90"/>
  <c r="H112" i="90"/>
  <c r="I112" i="90"/>
  <c r="J112" i="90"/>
  <c r="K112" i="90"/>
  <c r="L112" i="90"/>
  <c r="M112" i="90"/>
  <c r="N112" i="90"/>
  <c r="O112" i="90"/>
  <c r="P112" i="90"/>
  <c r="Q112" i="90"/>
  <c r="R112" i="90"/>
  <c r="S112" i="90"/>
  <c r="T112" i="90"/>
  <c r="U112" i="90"/>
  <c r="V112" i="90"/>
  <c r="W112" i="90"/>
  <c r="X112" i="90"/>
  <c r="Y112" i="90"/>
  <c r="Z112" i="90"/>
  <c r="AA112" i="90"/>
  <c r="D113" i="90"/>
  <c r="E113" i="90"/>
  <c r="F113" i="90"/>
  <c r="G113" i="90"/>
  <c r="H113" i="90"/>
  <c r="I113" i="90"/>
  <c r="J113" i="90"/>
  <c r="K113" i="90"/>
  <c r="L113" i="90"/>
  <c r="M113" i="90"/>
  <c r="N113" i="90"/>
  <c r="O113" i="90"/>
  <c r="P113" i="90"/>
  <c r="Q113" i="90"/>
  <c r="R113" i="90"/>
  <c r="S113" i="90"/>
  <c r="T113" i="90"/>
  <c r="U113" i="90"/>
  <c r="V113" i="90"/>
  <c r="W113" i="90"/>
  <c r="X113" i="90"/>
  <c r="Y113" i="90"/>
  <c r="Z113" i="90"/>
  <c r="AA113" i="90"/>
  <c r="D114" i="90"/>
  <c r="E114" i="90"/>
  <c r="F114" i="90"/>
  <c r="G114" i="90"/>
  <c r="H114" i="90"/>
  <c r="I114" i="90"/>
  <c r="J114" i="90"/>
  <c r="K114" i="90"/>
  <c r="L114" i="90"/>
  <c r="M114" i="90"/>
  <c r="N114" i="90"/>
  <c r="O114" i="90"/>
  <c r="P114" i="90"/>
  <c r="Q114" i="90"/>
  <c r="R114" i="90"/>
  <c r="S114" i="90"/>
  <c r="T114" i="90"/>
  <c r="U114" i="90"/>
  <c r="V114" i="90"/>
  <c r="W114" i="90"/>
  <c r="X114" i="90"/>
  <c r="Y114" i="90"/>
  <c r="Z114" i="90"/>
  <c r="AA114" i="90"/>
  <c r="D115" i="90"/>
  <c r="E115" i="90"/>
  <c r="F115" i="90"/>
  <c r="G115" i="90"/>
  <c r="H115" i="90"/>
  <c r="I115" i="90"/>
  <c r="J115" i="90"/>
  <c r="K115" i="90"/>
  <c r="L115" i="90"/>
  <c r="M115" i="90"/>
  <c r="N115" i="90"/>
  <c r="O115" i="90"/>
  <c r="P115" i="90"/>
  <c r="Q115" i="90"/>
  <c r="R115" i="90"/>
  <c r="S115" i="90"/>
  <c r="T115" i="90"/>
  <c r="U115" i="90"/>
  <c r="V115" i="90"/>
  <c r="W115" i="90"/>
  <c r="X115" i="90"/>
  <c r="Y115" i="90"/>
  <c r="Z115" i="90"/>
  <c r="AA115" i="90"/>
  <c r="D116" i="90"/>
  <c r="E116" i="90"/>
  <c r="F116" i="90"/>
  <c r="G116" i="90"/>
  <c r="H116" i="90"/>
  <c r="I116" i="90"/>
  <c r="J116" i="90"/>
  <c r="K116" i="90"/>
  <c r="L116" i="90"/>
  <c r="M116" i="90"/>
  <c r="N116" i="90"/>
  <c r="O116" i="90"/>
  <c r="P116" i="90"/>
  <c r="Q116" i="90"/>
  <c r="R116" i="90"/>
  <c r="S116" i="90"/>
  <c r="T116" i="90"/>
  <c r="U116" i="90"/>
  <c r="V116" i="90"/>
  <c r="W116" i="90"/>
  <c r="X116" i="90"/>
  <c r="Y116" i="90"/>
  <c r="Z116" i="90"/>
  <c r="AA116" i="90"/>
  <c r="D117" i="90"/>
  <c r="E117" i="90"/>
  <c r="F117" i="90"/>
  <c r="G117" i="90"/>
  <c r="H117" i="90"/>
  <c r="I117" i="90"/>
  <c r="J117" i="90"/>
  <c r="K117" i="90"/>
  <c r="L117" i="90"/>
  <c r="M117" i="90"/>
  <c r="N117" i="90"/>
  <c r="O117" i="90"/>
  <c r="P117" i="90"/>
  <c r="Q117" i="90"/>
  <c r="R117" i="90"/>
  <c r="S117" i="90"/>
  <c r="T117" i="90"/>
  <c r="U117" i="90"/>
  <c r="V117" i="90"/>
  <c r="W117" i="90"/>
  <c r="X117" i="90"/>
  <c r="Y117" i="90"/>
  <c r="Z117" i="90"/>
  <c r="AA117" i="90"/>
  <c r="D118" i="90"/>
  <c r="E118" i="90"/>
  <c r="F118" i="90"/>
  <c r="G118" i="90"/>
  <c r="H118" i="90"/>
  <c r="I118" i="90"/>
  <c r="J118" i="90"/>
  <c r="K118" i="90"/>
  <c r="L118" i="90"/>
  <c r="M118" i="90"/>
  <c r="N118" i="90"/>
  <c r="O118" i="90"/>
  <c r="P118" i="90"/>
  <c r="Q118" i="90"/>
  <c r="R118" i="90"/>
  <c r="S118" i="90"/>
  <c r="T118" i="90"/>
  <c r="U118" i="90"/>
  <c r="V118" i="90"/>
  <c r="W118" i="90"/>
  <c r="X118" i="90"/>
  <c r="Y118" i="90"/>
  <c r="Z118" i="90"/>
  <c r="AA118" i="90"/>
  <c r="D119" i="90"/>
  <c r="E119" i="90"/>
  <c r="F119" i="90"/>
  <c r="G119" i="90"/>
  <c r="H119" i="90"/>
  <c r="I119" i="90"/>
  <c r="J119" i="90"/>
  <c r="K119" i="90"/>
  <c r="L119" i="90"/>
  <c r="M119" i="90"/>
  <c r="N119" i="90"/>
  <c r="O119" i="90"/>
  <c r="P119" i="90"/>
  <c r="Q119" i="90"/>
  <c r="R119" i="90"/>
  <c r="S119" i="90"/>
  <c r="T119" i="90"/>
  <c r="U119" i="90"/>
  <c r="V119" i="90"/>
  <c r="W119" i="90"/>
  <c r="X119" i="90"/>
  <c r="Y119" i="90"/>
  <c r="Z119" i="90"/>
  <c r="AA119" i="90"/>
  <c r="D120" i="90"/>
  <c r="E120" i="90"/>
  <c r="F120" i="90"/>
  <c r="G120" i="90"/>
  <c r="H120" i="90"/>
  <c r="I120" i="90"/>
  <c r="J120" i="90"/>
  <c r="K120" i="90"/>
  <c r="L120" i="90"/>
  <c r="M120" i="90"/>
  <c r="N120" i="90"/>
  <c r="O120" i="90"/>
  <c r="P120" i="90"/>
  <c r="Q120" i="90"/>
  <c r="R120" i="90"/>
  <c r="S120" i="90"/>
  <c r="T120" i="90"/>
  <c r="U120" i="90"/>
  <c r="V120" i="90"/>
  <c r="W120" i="90"/>
  <c r="X120" i="90"/>
  <c r="Y120" i="90"/>
  <c r="Z120" i="90"/>
  <c r="AA120" i="90"/>
  <c r="D121" i="90"/>
  <c r="E121" i="90"/>
  <c r="F121" i="90"/>
  <c r="G121" i="90"/>
  <c r="H121" i="90"/>
  <c r="I121" i="90"/>
  <c r="J121" i="90"/>
  <c r="K121" i="90"/>
  <c r="L121" i="90"/>
  <c r="M121" i="90"/>
  <c r="N121" i="90"/>
  <c r="O121" i="90"/>
  <c r="P121" i="90"/>
  <c r="Q121" i="90"/>
  <c r="R121" i="90"/>
  <c r="S121" i="90"/>
  <c r="T121" i="90"/>
  <c r="U121" i="90"/>
  <c r="V121" i="90"/>
  <c r="W121" i="90"/>
  <c r="X121" i="90"/>
  <c r="Y121" i="90"/>
  <c r="Z121" i="90"/>
  <c r="AA121" i="90"/>
  <c r="D122" i="90"/>
  <c r="E122" i="90"/>
  <c r="F122" i="90"/>
  <c r="G122" i="90"/>
  <c r="H122" i="90"/>
  <c r="I122" i="90"/>
  <c r="J122" i="90"/>
  <c r="K122" i="90"/>
  <c r="L122" i="90"/>
  <c r="M122" i="90"/>
  <c r="N122" i="90"/>
  <c r="O122" i="90"/>
  <c r="P122" i="90"/>
  <c r="Q122" i="90"/>
  <c r="R122" i="90"/>
  <c r="S122" i="90"/>
  <c r="T122" i="90"/>
  <c r="U122" i="90"/>
  <c r="V122" i="90"/>
  <c r="W122" i="90"/>
  <c r="X122" i="90"/>
  <c r="Y122" i="90"/>
  <c r="Z122" i="90"/>
  <c r="AA122" i="90"/>
  <c r="D123" i="90"/>
  <c r="E123" i="90"/>
  <c r="F123" i="90"/>
  <c r="G123" i="90"/>
  <c r="H123" i="90"/>
  <c r="I123" i="90"/>
  <c r="J123" i="90"/>
  <c r="K123" i="90"/>
  <c r="L123" i="90"/>
  <c r="M123" i="90"/>
  <c r="N123" i="90"/>
  <c r="O123" i="90"/>
  <c r="P123" i="90"/>
  <c r="Q123" i="90"/>
  <c r="R123" i="90"/>
  <c r="S123" i="90"/>
  <c r="T123" i="90"/>
  <c r="U123" i="90"/>
  <c r="V123" i="90"/>
  <c r="W123" i="90"/>
  <c r="X123" i="90"/>
  <c r="Y123" i="90"/>
  <c r="Z123" i="90"/>
  <c r="AA123" i="90"/>
  <c r="D124" i="90"/>
  <c r="E124" i="90"/>
  <c r="F124" i="90"/>
  <c r="G124" i="90"/>
  <c r="H124" i="90"/>
  <c r="I124" i="90"/>
  <c r="J124" i="90"/>
  <c r="K124" i="90"/>
  <c r="L124" i="90"/>
  <c r="M124" i="90"/>
  <c r="N124" i="90"/>
  <c r="O124" i="90"/>
  <c r="P124" i="90"/>
  <c r="Q124" i="90"/>
  <c r="R124" i="90"/>
  <c r="S124" i="90"/>
  <c r="T124" i="90"/>
  <c r="U124" i="90"/>
  <c r="V124" i="90"/>
  <c r="W124" i="90"/>
  <c r="X124" i="90"/>
  <c r="Y124" i="90"/>
  <c r="Z124" i="90"/>
  <c r="AA124" i="90"/>
  <c r="D125" i="90"/>
  <c r="E125" i="90"/>
  <c r="F125" i="90"/>
  <c r="G125" i="90"/>
  <c r="H125" i="90"/>
  <c r="I125" i="90"/>
  <c r="J125" i="90"/>
  <c r="K125" i="90"/>
  <c r="L125" i="90"/>
  <c r="M125" i="90"/>
  <c r="N125" i="90"/>
  <c r="O125" i="90"/>
  <c r="P125" i="90"/>
  <c r="Q125" i="90"/>
  <c r="R125" i="90"/>
  <c r="S125" i="90"/>
  <c r="T125" i="90"/>
  <c r="U125" i="90"/>
  <c r="V125" i="90"/>
  <c r="W125" i="90"/>
  <c r="X125" i="90"/>
  <c r="Y125" i="90"/>
  <c r="Z125" i="90"/>
  <c r="AA125" i="90"/>
  <c r="D126" i="90"/>
  <c r="E126" i="90"/>
  <c r="F126" i="90"/>
  <c r="G126" i="90"/>
  <c r="H126" i="90"/>
  <c r="I126" i="90"/>
  <c r="J126" i="90"/>
  <c r="K126" i="90"/>
  <c r="L126" i="90"/>
  <c r="M126" i="90"/>
  <c r="N126" i="90"/>
  <c r="O126" i="90"/>
  <c r="P126" i="90"/>
  <c r="Q126" i="90"/>
  <c r="R126" i="90"/>
  <c r="S126" i="90"/>
  <c r="T126" i="90"/>
  <c r="U126" i="90"/>
  <c r="V126" i="90"/>
  <c r="W126" i="90"/>
  <c r="X126" i="90"/>
  <c r="Y126" i="90"/>
  <c r="Z126" i="90"/>
  <c r="AA126" i="90"/>
  <c r="D127" i="90"/>
  <c r="E127" i="90"/>
  <c r="F127" i="90"/>
  <c r="G127" i="90"/>
  <c r="H127" i="90"/>
  <c r="I127" i="90"/>
  <c r="J127" i="90"/>
  <c r="K127" i="90"/>
  <c r="L127" i="90"/>
  <c r="M127" i="90"/>
  <c r="N127" i="90"/>
  <c r="O127" i="90"/>
  <c r="P127" i="90"/>
  <c r="Q127" i="90"/>
  <c r="R127" i="90"/>
  <c r="S127" i="90"/>
  <c r="T127" i="90"/>
  <c r="U127" i="90"/>
  <c r="V127" i="90"/>
  <c r="W127" i="90"/>
  <c r="X127" i="90"/>
  <c r="Y127" i="90"/>
  <c r="Z127" i="90"/>
  <c r="AA127" i="90"/>
  <c r="D128" i="90"/>
  <c r="E128" i="90"/>
  <c r="F128" i="90"/>
  <c r="G128" i="90"/>
  <c r="H128" i="90"/>
  <c r="I128" i="90"/>
  <c r="J128" i="90"/>
  <c r="K128" i="90"/>
  <c r="L128" i="90"/>
  <c r="M128" i="90"/>
  <c r="N128" i="90"/>
  <c r="O128" i="90"/>
  <c r="P128" i="90"/>
  <c r="Q128" i="90"/>
  <c r="R128" i="90"/>
  <c r="S128" i="90"/>
  <c r="T128" i="90"/>
  <c r="U128" i="90"/>
  <c r="V128" i="90"/>
  <c r="W128" i="90"/>
  <c r="X128" i="90"/>
  <c r="Y128" i="90"/>
  <c r="Z128" i="90"/>
  <c r="AA128" i="90"/>
  <c r="D129" i="90"/>
  <c r="E129" i="90"/>
  <c r="F129" i="90"/>
  <c r="G129" i="90"/>
  <c r="H129" i="90"/>
  <c r="I129" i="90"/>
  <c r="J129" i="90"/>
  <c r="K129" i="90"/>
  <c r="L129" i="90"/>
  <c r="M129" i="90"/>
  <c r="N129" i="90"/>
  <c r="O129" i="90"/>
  <c r="P129" i="90"/>
  <c r="Q129" i="90"/>
  <c r="R129" i="90"/>
  <c r="S129" i="90"/>
  <c r="T129" i="90"/>
  <c r="U129" i="90"/>
  <c r="V129" i="90"/>
  <c r="W129" i="90"/>
  <c r="X129" i="90"/>
  <c r="Y129" i="90"/>
  <c r="Z129" i="90"/>
  <c r="AA129" i="90"/>
  <c r="D130" i="90"/>
  <c r="E130" i="90"/>
  <c r="F130" i="90"/>
  <c r="G130" i="90"/>
  <c r="H130" i="90"/>
  <c r="I130" i="90"/>
  <c r="J130" i="90"/>
  <c r="K130" i="90"/>
  <c r="L130" i="90"/>
  <c r="M130" i="90"/>
  <c r="N130" i="90"/>
  <c r="O130" i="90"/>
  <c r="P130" i="90"/>
  <c r="Q130" i="90"/>
  <c r="R130" i="90"/>
  <c r="S130" i="90"/>
  <c r="T130" i="90"/>
  <c r="U130" i="90"/>
  <c r="V130" i="90"/>
  <c r="W130" i="90"/>
  <c r="X130" i="90"/>
  <c r="Y130" i="90"/>
  <c r="Z130" i="90"/>
  <c r="AA130" i="90"/>
  <c r="D131" i="90"/>
  <c r="E131" i="90"/>
  <c r="F131" i="90"/>
  <c r="G131" i="90"/>
  <c r="H131" i="90"/>
  <c r="I131" i="90"/>
  <c r="J131" i="90"/>
  <c r="K131" i="90"/>
  <c r="L131" i="90"/>
  <c r="M131" i="90"/>
  <c r="N131" i="90"/>
  <c r="O131" i="90"/>
  <c r="P131" i="90"/>
  <c r="Q131" i="90"/>
  <c r="R131" i="90"/>
  <c r="S131" i="90"/>
  <c r="T131" i="90"/>
  <c r="U131" i="90"/>
  <c r="V131" i="90"/>
  <c r="W131" i="90"/>
  <c r="X131" i="90"/>
  <c r="Y131" i="90"/>
  <c r="Z131" i="90"/>
  <c r="AA131" i="90"/>
  <c r="D132" i="90"/>
  <c r="E132" i="90"/>
  <c r="F132" i="90"/>
  <c r="G132" i="90"/>
  <c r="H132" i="90"/>
  <c r="I132" i="90"/>
  <c r="J132" i="90"/>
  <c r="K132" i="90"/>
  <c r="L132" i="90"/>
  <c r="M132" i="90"/>
  <c r="N132" i="90"/>
  <c r="O132" i="90"/>
  <c r="P132" i="90"/>
  <c r="Q132" i="90"/>
  <c r="R132" i="90"/>
  <c r="S132" i="90"/>
  <c r="T132" i="90"/>
  <c r="U132" i="90"/>
  <c r="V132" i="90"/>
  <c r="W132" i="90"/>
  <c r="X132" i="90"/>
  <c r="Y132" i="90"/>
  <c r="Z132" i="90"/>
  <c r="AA132" i="90"/>
  <c r="D133" i="90"/>
  <c r="E133" i="90"/>
  <c r="F133" i="90"/>
  <c r="G133" i="90"/>
  <c r="H133" i="90"/>
  <c r="I133" i="90"/>
  <c r="J133" i="90"/>
  <c r="K133" i="90"/>
  <c r="L133" i="90"/>
  <c r="M133" i="90"/>
  <c r="N133" i="90"/>
  <c r="O133" i="90"/>
  <c r="P133" i="90"/>
  <c r="Q133" i="90"/>
  <c r="R133" i="90"/>
  <c r="S133" i="90"/>
  <c r="T133" i="90"/>
  <c r="U133" i="90"/>
  <c r="V133" i="90"/>
  <c r="W133" i="90"/>
  <c r="X133" i="90"/>
  <c r="Y133" i="90"/>
  <c r="Z133" i="90"/>
  <c r="AA133" i="90"/>
  <c r="D134" i="90"/>
  <c r="E134" i="90"/>
  <c r="F134" i="90"/>
  <c r="G134" i="90"/>
  <c r="H134" i="90"/>
  <c r="I134" i="90"/>
  <c r="J134" i="90"/>
  <c r="K134" i="90"/>
  <c r="L134" i="90"/>
  <c r="M134" i="90"/>
  <c r="N134" i="90"/>
  <c r="O134" i="90"/>
  <c r="P134" i="90"/>
  <c r="Q134" i="90"/>
  <c r="R134" i="90"/>
  <c r="S134" i="90"/>
  <c r="T134" i="90"/>
  <c r="U134" i="90"/>
  <c r="V134" i="90"/>
  <c r="W134" i="90"/>
  <c r="X134" i="90"/>
  <c r="Y134" i="90"/>
  <c r="Z134" i="90"/>
  <c r="AA134" i="90"/>
  <c r="D135" i="90"/>
  <c r="E135" i="90"/>
  <c r="F135" i="90"/>
  <c r="G135" i="90"/>
  <c r="H135" i="90"/>
  <c r="I135" i="90"/>
  <c r="J135" i="90"/>
  <c r="K135" i="90"/>
  <c r="L135" i="90"/>
  <c r="M135" i="90"/>
  <c r="N135" i="90"/>
  <c r="O135" i="90"/>
  <c r="P135" i="90"/>
  <c r="Q135" i="90"/>
  <c r="R135" i="90"/>
  <c r="S135" i="90"/>
  <c r="T135" i="90"/>
  <c r="U135" i="90"/>
  <c r="V135" i="90"/>
  <c r="W135" i="90"/>
  <c r="X135" i="90"/>
  <c r="Y135" i="90"/>
  <c r="Z135" i="90"/>
  <c r="AA135" i="90"/>
  <c r="D136" i="90"/>
  <c r="E136" i="90"/>
  <c r="F136" i="90"/>
  <c r="G136" i="90"/>
  <c r="H136" i="90"/>
  <c r="I136" i="90"/>
  <c r="J136" i="90"/>
  <c r="K136" i="90"/>
  <c r="L136" i="90"/>
  <c r="M136" i="90"/>
  <c r="N136" i="90"/>
  <c r="O136" i="90"/>
  <c r="P136" i="90"/>
  <c r="Q136" i="90"/>
  <c r="R136" i="90"/>
  <c r="S136" i="90"/>
  <c r="T136" i="90"/>
  <c r="U136" i="90"/>
  <c r="V136" i="90"/>
  <c r="W136" i="90"/>
  <c r="X136" i="90"/>
  <c r="Y136" i="90"/>
  <c r="Z136" i="90"/>
  <c r="AA136" i="90"/>
  <c r="D137" i="90"/>
  <c r="E137" i="90"/>
  <c r="F137" i="90"/>
  <c r="G137" i="90"/>
  <c r="H137" i="90"/>
  <c r="I137" i="90"/>
  <c r="J137" i="90"/>
  <c r="K137" i="90"/>
  <c r="L137" i="90"/>
  <c r="M137" i="90"/>
  <c r="N137" i="90"/>
  <c r="O137" i="90"/>
  <c r="P137" i="90"/>
  <c r="Q137" i="90"/>
  <c r="R137" i="90"/>
  <c r="S137" i="90"/>
  <c r="T137" i="90"/>
  <c r="U137" i="90"/>
  <c r="V137" i="90"/>
  <c r="W137" i="90"/>
  <c r="X137" i="90"/>
  <c r="Y137" i="90"/>
  <c r="Z137" i="90"/>
  <c r="AA137" i="90"/>
  <c r="D138" i="90"/>
  <c r="E138" i="90"/>
  <c r="F138" i="90"/>
  <c r="G138" i="90"/>
  <c r="H138" i="90"/>
  <c r="I138" i="90"/>
  <c r="J138" i="90"/>
  <c r="K138" i="90"/>
  <c r="L138" i="90"/>
  <c r="M138" i="90"/>
  <c r="N138" i="90"/>
  <c r="O138" i="90"/>
  <c r="P138" i="90"/>
  <c r="Q138" i="90"/>
  <c r="R138" i="90"/>
  <c r="S138" i="90"/>
  <c r="T138" i="90"/>
  <c r="U138" i="90"/>
  <c r="V138" i="90"/>
  <c r="W138" i="90"/>
  <c r="X138" i="90"/>
  <c r="Y138" i="90"/>
  <c r="Z138" i="90"/>
  <c r="AA138" i="90"/>
  <c r="D139" i="90"/>
  <c r="E139" i="90"/>
  <c r="F139" i="90"/>
  <c r="G139" i="90"/>
  <c r="H139" i="90"/>
  <c r="I139" i="90"/>
  <c r="J139" i="90"/>
  <c r="K139" i="90"/>
  <c r="L139" i="90"/>
  <c r="M139" i="90"/>
  <c r="N139" i="90"/>
  <c r="O139" i="90"/>
  <c r="P139" i="90"/>
  <c r="Q139" i="90"/>
  <c r="R139" i="90"/>
  <c r="S139" i="90"/>
  <c r="T139" i="90"/>
  <c r="U139" i="90"/>
  <c r="V139" i="90"/>
  <c r="W139" i="90"/>
  <c r="X139" i="90"/>
  <c r="Y139" i="90"/>
  <c r="Z139" i="90"/>
  <c r="AA139" i="90"/>
  <c r="D140" i="90"/>
  <c r="E140" i="90"/>
  <c r="F140" i="90"/>
  <c r="G140" i="90"/>
  <c r="H140" i="90"/>
  <c r="I140" i="90"/>
  <c r="J140" i="90"/>
  <c r="K140" i="90"/>
  <c r="L140" i="90"/>
  <c r="M140" i="90"/>
  <c r="N140" i="90"/>
  <c r="O140" i="90"/>
  <c r="P140" i="90"/>
  <c r="Q140" i="90"/>
  <c r="R140" i="90"/>
  <c r="S140" i="90"/>
  <c r="T140" i="90"/>
  <c r="U140" i="90"/>
  <c r="V140" i="90"/>
  <c r="W140" i="90"/>
  <c r="X140" i="90"/>
  <c r="Y140" i="90"/>
  <c r="Z140" i="90"/>
  <c r="AA140" i="90"/>
  <c r="D141" i="90"/>
  <c r="E141" i="90"/>
  <c r="F141" i="90"/>
  <c r="G141" i="90"/>
  <c r="H141" i="90"/>
  <c r="I141" i="90"/>
  <c r="J141" i="90"/>
  <c r="K141" i="90"/>
  <c r="L141" i="90"/>
  <c r="M141" i="90"/>
  <c r="N141" i="90"/>
  <c r="O141" i="90"/>
  <c r="P141" i="90"/>
  <c r="Q141" i="90"/>
  <c r="R141" i="90"/>
  <c r="S141" i="90"/>
  <c r="T141" i="90"/>
  <c r="U141" i="90"/>
  <c r="V141" i="90"/>
  <c r="W141" i="90"/>
  <c r="X141" i="90"/>
  <c r="Y141" i="90"/>
  <c r="Z141" i="90"/>
  <c r="AA141" i="90"/>
  <c r="D142" i="90"/>
  <c r="E142" i="90"/>
  <c r="F142" i="90"/>
  <c r="G142" i="90"/>
  <c r="H142" i="90"/>
  <c r="I142" i="90"/>
  <c r="J142" i="90"/>
  <c r="K142" i="90"/>
  <c r="L142" i="90"/>
  <c r="M142" i="90"/>
  <c r="N142" i="90"/>
  <c r="O142" i="90"/>
  <c r="P142" i="90"/>
  <c r="Q142" i="90"/>
  <c r="R142" i="90"/>
  <c r="S142" i="90"/>
  <c r="T142" i="90"/>
  <c r="U142" i="90"/>
  <c r="V142" i="90"/>
  <c r="W142" i="90"/>
  <c r="X142" i="90"/>
  <c r="Y142" i="90"/>
  <c r="Z142" i="90"/>
  <c r="AA142" i="90"/>
  <c r="D143" i="90"/>
  <c r="E143" i="90"/>
  <c r="F143" i="90"/>
  <c r="G143" i="90"/>
  <c r="H143" i="90"/>
  <c r="I143" i="90"/>
  <c r="J143" i="90"/>
  <c r="K143" i="90"/>
  <c r="L143" i="90"/>
  <c r="M143" i="90"/>
  <c r="N143" i="90"/>
  <c r="O143" i="90"/>
  <c r="P143" i="90"/>
  <c r="Q143" i="90"/>
  <c r="R143" i="90"/>
  <c r="S143" i="90"/>
  <c r="T143" i="90"/>
  <c r="U143" i="90"/>
  <c r="V143" i="90"/>
  <c r="W143" i="90"/>
  <c r="X143" i="90"/>
  <c r="Y143" i="90"/>
  <c r="Z143" i="90"/>
  <c r="AA143" i="90"/>
  <c r="D144" i="90"/>
  <c r="E144" i="90"/>
  <c r="F144" i="90"/>
  <c r="G144" i="90"/>
  <c r="H144" i="90"/>
  <c r="I144" i="90"/>
  <c r="J144" i="90"/>
  <c r="K144" i="90"/>
  <c r="L144" i="90"/>
  <c r="M144" i="90"/>
  <c r="N144" i="90"/>
  <c r="O144" i="90"/>
  <c r="P144" i="90"/>
  <c r="Q144" i="90"/>
  <c r="R144" i="90"/>
  <c r="S144" i="90"/>
  <c r="T144" i="90"/>
  <c r="U144" i="90"/>
  <c r="V144" i="90"/>
  <c r="W144" i="90"/>
  <c r="X144" i="90"/>
  <c r="Y144" i="90"/>
  <c r="Z144" i="90"/>
  <c r="AA144" i="90"/>
  <c r="D145" i="90"/>
  <c r="E145" i="90"/>
  <c r="F145" i="90"/>
  <c r="G145" i="90"/>
  <c r="H145" i="90"/>
  <c r="I145" i="90"/>
  <c r="J145" i="90"/>
  <c r="K145" i="90"/>
  <c r="L145" i="90"/>
  <c r="M145" i="90"/>
  <c r="N145" i="90"/>
  <c r="O145" i="90"/>
  <c r="P145" i="90"/>
  <c r="Q145" i="90"/>
  <c r="R145" i="90"/>
  <c r="S145" i="90"/>
  <c r="T145" i="90"/>
  <c r="U145" i="90"/>
  <c r="V145" i="90"/>
  <c r="W145" i="90"/>
  <c r="X145" i="90"/>
  <c r="Y145" i="90"/>
  <c r="Z145" i="90"/>
  <c r="AA145" i="90"/>
  <c r="D146" i="90"/>
  <c r="E146" i="90"/>
  <c r="F146" i="90"/>
  <c r="G146" i="90"/>
  <c r="H146" i="90"/>
  <c r="I146" i="90"/>
  <c r="J146" i="90"/>
  <c r="K146" i="90"/>
  <c r="L146" i="90"/>
  <c r="M146" i="90"/>
  <c r="N146" i="90"/>
  <c r="O146" i="90"/>
  <c r="P146" i="90"/>
  <c r="Q146" i="90"/>
  <c r="R146" i="90"/>
  <c r="S146" i="90"/>
  <c r="T146" i="90"/>
  <c r="U146" i="90"/>
  <c r="V146" i="90"/>
  <c r="W146" i="90"/>
  <c r="X146" i="90"/>
  <c r="Y146" i="90"/>
  <c r="Z146" i="90"/>
  <c r="AA146" i="90"/>
  <c r="D147" i="90"/>
  <c r="E147" i="90"/>
  <c r="F147" i="90"/>
  <c r="G147" i="90"/>
  <c r="H147" i="90"/>
  <c r="I147" i="90"/>
  <c r="J147" i="90"/>
  <c r="K147" i="90"/>
  <c r="L147" i="90"/>
  <c r="M147" i="90"/>
  <c r="N147" i="90"/>
  <c r="O147" i="90"/>
  <c r="P147" i="90"/>
  <c r="Q147" i="90"/>
  <c r="R147" i="90"/>
  <c r="S147" i="90"/>
  <c r="T147" i="90"/>
  <c r="U147" i="90"/>
  <c r="V147" i="90"/>
  <c r="W147" i="90"/>
  <c r="X147" i="90"/>
  <c r="Y147" i="90"/>
  <c r="Z147" i="90"/>
  <c r="AA147" i="90"/>
  <c r="D148" i="90"/>
  <c r="E148" i="90"/>
  <c r="F148" i="90"/>
  <c r="G148" i="90"/>
  <c r="H148" i="90"/>
  <c r="I148" i="90"/>
  <c r="J148" i="90"/>
  <c r="K148" i="90"/>
  <c r="L148" i="90"/>
  <c r="M148" i="90"/>
  <c r="N148" i="90"/>
  <c r="O148" i="90"/>
  <c r="P148" i="90"/>
  <c r="Q148" i="90"/>
  <c r="R148" i="90"/>
  <c r="S148" i="90"/>
  <c r="T148" i="90"/>
  <c r="U148" i="90"/>
  <c r="V148" i="90"/>
  <c r="W148" i="90"/>
  <c r="X148" i="90"/>
  <c r="Y148" i="90"/>
  <c r="Z148" i="90"/>
  <c r="AA148" i="90"/>
  <c r="D149" i="90"/>
  <c r="E149" i="90"/>
  <c r="F149" i="90"/>
  <c r="G149" i="90"/>
  <c r="H149" i="90"/>
  <c r="I149" i="90"/>
  <c r="J149" i="90"/>
  <c r="K149" i="90"/>
  <c r="L149" i="90"/>
  <c r="M149" i="90"/>
  <c r="N149" i="90"/>
  <c r="O149" i="90"/>
  <c r="P149" i="90"/>
  <c r="Q149" i="90"/>
  <c r="R149" i="90"/>
  <c r="S149" i="90"/>
  <c r="T149" i="90"/>
  <c r="U149" i="90"/>
  <c r="V149" i="90"/>
  <c r="W149" i="90"/>
  <c r="X149" i="90"/>
  <c r="Y149" i="90"/>
  <c r="Z149" i="90"/>
  <c r="AA149" i="90"/>
  <c r="D150" i="90"/>
  <c r="E150" i="90"/>
  <c r="F150" i="90"/>
  <c r="G150" i="90"/>
  <c r="H150" i="90"/>
  <c r="I150" i="90"/>
  <c r="J150" i="90"/>
  <c r="K150" i="90"/>
  <c r="L150" i="90"/>
  <c r="M150" i="90"/>
  <c r="N150" i="90"/>
  <c r="O150" i="90"/>
  <c r="P150" i="90"/>
  <c r="Q150" i="90"/>
  <c r="R150" i="90"/>
  <c r="S150" i="90"/>
  <c r="T150" i="90"/>
  <c r="U150" i="90"/>
  <c r="V150" i="90"/>
  <c r="W150" i="90"/>
  <c r="X150" i="90"/>
  <c r="Y150" i="90"/>
  <c r="Z150" i="90"/>
  <c r="AA150" i="90"/>
  <c r="D151" i="90"/>
  <c r="E151" i="90"/>
  <c r="F151" i="90"/>
  <c r="G151" i="90"/>
  <c r="H151" i="90"/>
  <c r="I151" i="90"/>
  <c r="J151" i="90"/>
  <c r="K151" i="90"/>
  <c r="L151" i="90"/>
  <c r="M151" i="90"/>
  <c r="N151" i="90"/>
  <c r="O151" i="90"/>
  <c r="P151" i="90"/>
  <c r="Q151" i="90"/>
  <c r="R151" i="90"/>
  <c r="S151" i="90"/>
  <c r="T151" i="90"/>
  <c r="U151" i="90"/>
  <c r="V151" i="90"/>
  <c r="W151" i="90"/>
  <c r="X151" i="90"/>
  <c r="Y151" i="90"/>
  <c r="Z151" i="90"/>
  <c r="AA151" i="90"/>
  <c r="D152" i="90"/>
  <c r="E152" i="90"/>
  <c r="F152" i="90"/>
  <c r="G152" i="90"/>
  <c r="H152" i="90"/>
  <c r="I152" i="90"/>
  <c r="J152" i="90"/>
  <c r="K152" i="90"/>
  <c r="L152" i="90"/>
  <c r="M152" i="90"/>
  <c r="N152" i="90"/>
  <c r="O152" i="90"/>
  <c r="P152" i="90"/>
  <c r="Q152" i="90"/>
  <c r="R152" i="90"/>
  <c r="S152" i="90"/>
  <c r="T152" i="90"/>
  <c r="U152" i="90"/>
  <c r="V152" i="90"/>
  <c r="W152" i="90"/>
  <c r="X152" i="90"/>
  <c r="Y152" i="90"/>
  <c r="Z152" i="90"/>
  <c r="AA152" i="90"/>
  <c r="D153" i="90"/>
  <c r="E153" i="90"/>
  <c r="F153" i="90"/>
  <c r="G153" i="90"/>
  <c r="H153" i="90"/>
  <c r="I153" i="90"/>
  <c r="J153" i="90"/>
  <c r="K153" i="90"/>
  <c r="L153" i="90"/>
  <c r="M153" i="90"/>
  <c r="N153" i="90"/>
  <c r="O153" i="90"/>
  <c r="P153" i="90"/>
  <c r="Q153" i="90"/>
  <c r="R153" i="90"/>
  <c r="S153" i="90"/>
  <c r="T153" i="90"/>
  <c r="U153" i="90"/>
  <c r="V153" i="90"/>
  <c r="W153" i="90"/>
  <c r="X153" i="90"/>
  <c r="Y153" i="90"/>
  <c r="Z153" i="90"/>
  <c r="AA153" i="90"/>
  <c r="D154" i="90"/>
  <c r="E154" i="90"/>
  <c r="F154" i="90"/>
  <c r="G154" i="90"/>
  <c r="H154" i="90"/>
  <c r="I154" i="90"/>
  <c r="J154" i="90"/>
  <c r="K154" i="90"/>
  <c r="L154" i="90"/>
  <c r="M154" i="90"/>
  <c r="N154" i="90"/>
  <c r="O154" i="90"/>
  <c r="P154" i="90"/>
  <c r="Q154" i="90"/>
  <c r="R154" i="90"/>
  <c r="S154" i="90"/>
  <c r="T154" i="90"/>
  <c r="U154" i="90"/>
  <c r="V154" i="90"/>
  <c r="W154" i="90"/>
  <c r="X154" i="90"/>
  <c r="Y154" i="90"/>
  <c r="Z154" i="90"/>
  <c r="AA154" i="90"/>
  <c r="D155" i="90"/>
  <c r="E155" i="90"/>
  <c r="F155" i="90"/>
  <c r="G155" i="90"/>
  <c r="H155" i="90"/>
  <c r="I155" i="90"/>
  <c r="J155" i="90"/>
  <c r="K155" i="90"/>
  <c r="L155" i="90"/>
  <c r="M155" i="90"/>
  <c r="N155" i="90"/>
  <c r="O155" i="90"/>
  <c r="P155" i="90"/>
  <c r="Q155" i="90"/>
  <c r="R155" i="90"/>
  <c r="S155" i="90"/>
  <c r="T155" i="90"/>
  <c r="U155" i="90"/>
  <c r="V155" i="90"/>
  <c r="W155" i="90"/>
  <c r="X155" i="90"/>
  <c r="Y155" i="90"/>
  <c r="Z155" i="90"/>
  <c r="AA155" i="90"/>
  <c r="D156" i="90"/>
  <c r="E156" i="90"/>
  <c r="F156" i="90"/>
  <c r="G156" i="90"/>
  <c r="H156" i="90"/>
  <c r="I156" i="90"/>
  <c r="J156" i="90"/>
  <c r="K156" i="90"/>
  <c r="L156" i="90"/>
  <c r="M156" i="90"/>
  <c r="N156" i="90"/>
  <c r="O156" i="90"/>
  <c r="P156" i="90"/>
  <c r="Q156" i="90"/>
  <c r="R156" i="90"/>
  <c r="S156" i="90"/>
  <c r="T156" i="90"/>
  <c r="U156" i="90"/>
  <c r="V156" i="90"/>
  <c r="W156" i="90"/>
  <c r="X156" i="90"/>
  <c r="Y156" i="90"/>
  <c r="Z156" i="90"/>
  <c r="AA156" i="90"/>
  <c r="D157" i="90"/>
  <c r="E157" i="90"/>
  <c r="F157" i="90"/>
  <c r="G157" i="90"/>
  <c r="H157" i="90"/>
  <c r="I157" i="90"/>
  <c r="J157" i="90"/>
  <c r="K157" i="90"/>
  <c r="L157" i="90"/>
  <c r="M157" i="90"/>
  <c r="N157" i="90"/>
  <c r="O157" i="90"/>
  <c r="P157" i="90"/>
  <c r="Q157" i="90"/>
  <c r="R157" i="90"/>
  <c r="S157" i="90"/>
  <c r="T157" i="90"/>
  <c r="U157" i="90"/>
  <c r="V157" i="90"/>
  <c r="W157" i="90"/>
  <c r="X157" i="90"/>
  <c r="Y157" i="90"/>
  <c r="Z157" i="90"/>
  <c r="AA157" i="90"/>
  <c r="D158" i="90"/>
  <c r="E158" i="90"/>
  <c r="F158" i="90"/>
  <c r="G158" i="90"/>
  <c r="H158" i="90"/>
  <c r="I158" i="90"/>
  <c r="J158" i="90"/>
  <c r="K158" i="90"/>
  <c r="L158" i="90"/>
  <c r="M158" i="90"/>
  <c r="N158" i="90"/>
  <c r="O158" i="90"/>
  <c r="P158" i="90"/>
  <c r="Q158" i="90"/>
  <c r="R158" i="90"/>
  <c r="S158" i="90"/>
  <c r="T158" i="90"/>
  <c r="U158" i="90"/>
  <c r="V158" i="90"/>
  <c r="W158" i="90"/>
  <c r="X158" i="90"/>
  <c r="Y158" i="90"/>
  <c r="Z158" i="90"/>
  <c r="AA158" i="90"/>
  <c r="D159" i="90"/>
  <c r="E159" i="90"/>
  <c r="F159" i="90"/>
  <c r="G159" i="90"/>
  <c r="H159" i="90"/>
  <c r="I159" i="90"/>
  <c r="J159" i="90"/>
  <c r="K159" i="90"/>
  <c r="L159" i="90"/>
  <c r="M159" i="90"/>
  <c r="N159" i="90"/>
  <c r="O159" i="90"/>
  <c r="P159" i="90"/>
  <c r="Q159" i="90"/>
  <c r="R159" i="90"/>
  <c r="S159" i="90"/>
  <c r="T159" i="90"/>
  <c r="U159" i="90"/>
  <c r="V159" i="90"/>
  <c r="W159" i="90"/>
  <c r="X159" i="90"/>
  <c r="Y159" i="90"/>
  <c r="Z159" i="90"/>
  <c r="AA159" i="90"/>
  <c r="D160" i="90"/>
  <c r="E160" i="90"/>
  <c r="F160" i="90"/>
  <c r="G160" i="90"/>
  <c r="H160" i="90"/>
  <c r="I160" i="90"/>
  <c r="J160" i="90"/>
  <c r="K160" i="90"/>
  <c r="L160" i="90"/>
  <c r="M160" i="90"/>
  <c r="N160" i="90"/>
  <c r="O160" i="90"/>
  <c r="P160" i="90"/>
  <c r="Q160" i="90"/>
  <c r="R160" i="90"/>
  <c r="S160" i="90"/>
  <c r="T160" i="90"/>
  <c r="U160" i="90"/>
  <c r="V160" i="90"/>
  <c r="W160" i="90"/>
  <c r="X160" i="90"/>
  <c r="Y160" i="90"/>
  <c r="Z160" i="90"/>
  <c r="AA160" i="90"/>
  <c r="D161" i="90"/>
  <c r="E161" i="90"/>
  <c r="F161" i="90"/>
  <c r="G161" i="90"/>
  <c r="H161" i="90"/>
  <c r="I161" i="90"/>
  <c r="J161" i="90"/>
  <c r="K161" i="90"/>
  <c r="L161" i="90"/>
  <c r="M161" i="90"/>
  <c r="N161" i="90"/>
  <c r="O161" i="90"/>
  <c r="P161" i="90"/>
  <c r="Q161" i="90"/>
  <c r="R161" i="90"/>
  <c r="S161" i="90"/>
  <c r="T161" i="90"/>
  <c r="U161" i="90"/>
  <c r="V161" i="90"/>
  <c r="W161" i="90"/>
  <c r="X161" i="90"/>
  <c r="Y161" i="90"/>
  <c r="Z161" i="90"/>
  <c r="AA161" i="90"/>
  <c r="D162" i="90"/>
  <c r="E162" i="90"/>
  <c r="F162" i="90"/>
  <c r="G162" i="90"/>
  <c r="H162" i="90"/>
  <c r="I162" i="90"/>
  <c r="J162" i="90"/>
  <c r="K162" i="90"/>
  <c r="L162" i="90"/>
  <c r="M162" i="90"/>
  <c r="N162" i="90"/>
  <c r="O162" i="90"/>
  <c r="P162" i="90"/>
  <c r="Q162" i="90"/>
  <c r="R162" i="90"/>
  <c r="S162" i="90"/>
  <c r="T162" i="90"/>
  <c r="U162" i="90"/>
  <c r="V162" i="90"/>
  <c r="W162" i="90"/>
  <c r="X162" i="90"/>
  <c r="Y162" i="90"/>
  <c r="Z162" i="90"/>
  <c r="AA162" i="90"/>
  <c r="D163" i="90"/>
  <c r="E163" i="90"/>
  <c r="F163" i="90"/>
  <c r="G163" i="90"/>
  <c r="H163" i="90"/>
  <c r="I163" i="90"/>
  <c r="J163" i="90"/>
  <c r="K163" i="90"/>
  <c r="L163" i="90"/>
  <c r="M163" i="90"/>
  <c r="N163" i="90"/>
  <c r="O163" i="90"/>
  <c r="P163" i="90"/>
  <c r="Q163" i="90"/>
  <c r="R163" i="90"/>
  <c r="S163" i="90"/>
  <c r="T163" i="90"/>
  <c r="U163" i="90"/>
  <c r="V163" i="90"/>
  <c r="W163" i="90"/>
  <c r="X163" i="90"/>
  <c r="Y163" i="90"/>
  <c r="Z163" i="90"/>
  <c r="AA163" i="90"/>
  <c r="D164" i="90"/>
  <c r="E164" i="90"/>
  <c r="F164" i="90"/>
  <c r="G164" i="90"/>
  <c r="H164" i="90"/>
  <c r="I164" i="90"/>
  <c r="J164" i="90"/>
  <c r="K164" i="90"/>
  <c r="L164" i="90"/>
  <c r="M164" i="90"/>
  <c r="N164" i="90"/>
  <c r="O164" i="90"/>
  <c r="P164" i="90"/>
  <c r="Q164" i="90"/>
  <c r="R164" i="90"/>
  <c r="S164" i="90"/>
  <c r="T164" i="90"/>
  <c r="U164" i="90"/>
  <c r="V164" i="90"/>
  <c r="W164" i="90"/>
  <c r="X164" i="90"/>
  <c r="Y164" i="90"/>
  <c r="Z164" i="90"/>
  <c r="AA164" i="90"/>
  <c r="D165" i="90"/>
  <c r="E165" i="90"/>
  <c r="F165" i="90"/>
  <c r="G165" i="90"/>
  <c r="H165" i="90"/>
  <c r="I165" i="90"/>
  <c r="J165" i="90"/>
  <c r="K165" i="90"/>
  <c r="L165" i="90"/>
  <c r="M165" i="90"/>
  <c r="N165" i="90"/>
  <c r="O165" i="90"/>
  <c r="P165" i="90"/>
  <c r="Q165" i="90"/>
  <c r="R165" i="90"/>
  <c r="S165" i="90"/>
  <c r="T165" i="90"/>
  <c r="U165" i="90"/>
  <c r="V165" i="90"/>
  <c r="W165" i="90"/>
  <c r="X165" i="90"/>
  <c r="Y165" i="90"/>
  <c r="Z165" i="90"/>
  <c r="AA165" i="90"/>
  <c r="D166" i="90"/>
  <c r="E166" i="90"/>
  <c r="F166" i="90"/>
  <c r="G166" i="90"/>
  <c r="H166" i="90"/>
  <c r="I166" i="90"/>
  <c r="J166" i="90"/>
  <c r="K166" i="90"/>
  <c r="L166" i="90"/>
  <c r="M166" i="90"/>
  <c r="N166" i="90"/>
  <c r="O166" i="90"/>
  <c r="P166" i="90"/>
  <c r="Q166" i="90"/>
  <c r="R166" i="90"/>
  <c r="S166" i="90"/>
  <c r="T166" i="90"/>
  <c r="U166" i="90"/>
  <c r="V166" i="90"/>
  <c r="W166" i="90"/>
  <c r="X166" i="90"/>
  <c r="Y166" i="90"/>
  <c r="Z166" i="90"/>
  <c r="AA166" i="90"/>
  <c r="D167" i="90"/>
  <c r="E167" i="90"/>
  <c r="F167" i="90"/>
  <c r="G167" i="90"/>
  <c r="H167" i="90"/>
  <c r="I167" i="90"/>
  <c r="J167" i="90"/>
  <c r="K167" i="90"/>
  <c r="L167" i="90"/>
  <c r="M167" i="90"/>
  <c r="N167" i="90"/>
  <c r="O167" i="90"/>
  <c r="P167" i="90"/>
  <c r="Q167" i="90"/>
  <c r="R167" i="90"/>
  <c r="S167" i="90"/>
  <c r="T167" i="90"/>
  <c r="U167" i="90"/>
  <c r="V167" i="90"/>
  <c r="W167" i="90"/>
  <c r="X167" i="90"/>
  <c r="Y167" i="90"/>
  <c r="Z167" i="90"/>
  <c r="AA167" i="90"/>
  <c r="D168" i="90"/>
  <c r="E168" i="90"/>
  <c r="F168" i="90"/>
  <c r="G168" i="90"/>
  <c r="H168" i="90"/>
  <c r="I168" i="90"/>
  <c r="J168" i="90"/>
  <c r="K168" i="90"/>
  <c r="L168" i="90"/>
  <c r="M168" i="90"/>
  <c r="N168" i="90"/>
  <c r="O168" i="90"/>
  <c r="P168" i="90"/>
  <c r="Q168" i="90"/>
  <c r="R168" i="90"/>
  <c r="S168" i="90"/>
  <c r="T168" i="90"/>
  <c r="U168" i="90"/>
  <c r="V168" i="90"/>
  <c r="W168" i="90"/>
  <c r="X168" i="90"/>
  <c r="Y168" i="90"/>
  <c r="Z168" i="90"/>
  <c r="AA168" i="90"/>
  <c r="D169" i="90"/>
  <c r="E169" i="90"/>
  <c r="F169" i="90"/>
  <c r="G169" i="90"/>
  <c r="H169" i="90"/>
  <c r="I169" i="90"/>
  <c r="J169" i="90"/>
  <c r="K169" i="90"/>
  <c r="L169" i="90"/>
  <c r="M169" i="90"/>
  <c r="N169" i="90"/>
  <c r="O169" i="90"/>
  <c r="P169" i="90"/>
  <c r="Q169" i="90"/>
  <c r="R169" i="90"/>
  <c r="S169" i="90"/>
  <c r="T169" i="90"/>
  <c r="U169" i="90"/>
  <c r="V169" i="90"/>
  <c r="W169" i="90"/>
  <c r="X169" i="90"/>
  <c r="Y169" i="90"/>
  <c r="Z169" i="90"/>
  <c r="AA169" i="90"/>
  <c r="D170" i="90"/>
  <c r="E170" i="90"/>
  <c r="F170" i="90"/>
  <c r="G170" i="90"/>
  <c r="H170" i="90"/>
  <c r="I170" i="90"/>
  <c r="J170" i="90"/>
  <c r="K170" i="90"/>
  <c r="L170" i="90"/>
  <c r="M170" i="90"/>
  <c r="N170" i="90"/>
  <c r="O170" i="90"/>
  <c r="P170" i="90"/>
  <c r="Q170" i="90"/>
  <c r="R170" i="90"/>
  <c r="S170" i="90"/>
  <c r="T170" i="90"/>
  <c r="U170" i="90"/>
  <c r="V170" i="90"/>
  <c r="W170" i="90"/>
  <c r="X170" i="90"/>
  <c r="Y170" i="90"/>
  <c r="Z170" i="90"/>
  <c r="AA170" i="90"/>
  <c r="D171" i="90"/>
  <c r="E171" i="90"/>
  <c r="F171" i="90"/>
  <c r="G171" i="90"/>
  <c r="H171" i="90"/>
  <c r="I171" i="90"/>
  <c r="J171" i="90"/>
  <c r="K171" i="90"/>
  <c r="L171" i="90"/>
  <c r="M171" i="90"/>
  <c r="N171" i="90"/>
  <c r="O171" i="90"/>
  <c r="P171" i="90"/>
  <c r="Q171" i="90"/>
  <c r="R171" i="90"/>
  <c r="S171" i="90"/>
  <c r="T171" i="90"/>
  <c r="U171" i="90"/>
  <c r="V171" i="90"/>
  <c r="W171" i="90"/>
  <c r="X171" i="90"/>
  <c r="Y171" i="90"/>
  <c r="Z171" i="90"/>
  <c r="AA171" i="90"/>
  <c r="D172" i="90"/>
  <c r="E172" i="90"/>
  <c r="F172" i="90"/>
  <c r="G172" i="90"/>
  <c r="H172" i="90"/>
  <c r="I172" i="90"/>
  <c r="J172" i="90"/>
  <c r="K172" i="90"/>
  <c r="L172" i="90"/>
  <c r="M172" i="90"/>
  <c r="N172" i="90"/>
  <c r="O172" i="90"/>
  <c r="P172" i="90"/>
  <c r="Q172" i="90"/>
  <c r="R172" i="90"/>
  <c r="S172" i="90"/>
  <c r="T172" i="90"/>
  <c r="U172" i="90"/>
  <c r="V172" i="90"/>
  <c r="W172" i="90"/>
  <c r="X172" i="90"/>
  <c r="Y172" i="90"/>
  <c r="Z172" i="90"/>
  <c r="AA172" i="90"/>
  <c r="D173" i="90"/>
  <c r="E173" i="90"/>
  <c r="F173" i="90"/>
  <c r="G173" i="90"/>
  <c r="H173" i="90"/>
  <c r="I173" i="90"/>
  <c r="J173" i="90"/>
  <c r="K173" i="90"/>
  <c r="L173" i="90"/>
  <c r="M173" i="90"/>
  <c r="N173" i="90"/>
  <c r="O173" i="90"/>
  <c r="P173" i="90"/>
  <c r="Q173" i="90"/>
  <c r="R173" i="90"/>
  <c r="S173" i="90"/>
  <c r="T173" i="90"/>
  <c r="U173" i="90"/>
  <c r="V173" i="90"/>
  <c r="W173" i="90"/>
  <c r="X173" i="90"/>
  <c r="Y173" i="90"/>
  <c r="Z173" i="90"/>
  <c r="AA173" i="90"/>
  <c r="D174" i="90"/>
  <c r="E174" i="90"/>
  <c r="F174" i="90"/>
  <c r="G174" i="90"/>
  <c r="H174" i="90"/>
  <c r="I174" i="90"/>
  <c r="J174" i="90"/>
  <c r="K174" i="90"/>
  <c r="L174" i="90"/>
  <c r="M174" i="90"/>
  <c r="N174" i="90"/>
  <c r="O174" i="90"/>
  <c r="P174" i="90"/>
  <c r="Q174" i="90"/>
  <c r="R174" i="90"/>
  <c r="S174" i="90"/>
  <c r="T174" i="90"/>
  <c r="U174" i="90"/>
  <c r="V174" i="90"/>
  <c r="W174" i="90"/>
  <c r="X174" i="90"/>
  <c r="Y174" i="90"/>
  <c r="Z174" i="90"/>
  <c r="AA174" i="90"/>
  <c r="D175" i="90"/>
  <c r="E175" i="90"/>
  <c r="F175" i="90"/>
  <c r="G175" i="90"/>
  <c r="H175" i="90"/>
  <c r="I175" i="90"/>
  <c r="J175" i="90"/>
  <c r="K175" i="90"/>
  <c r="L175" i="90"/>
  <c r="M175" i="90"/>
  <c r="N175" i="90"/>
  <c r="O175" i="90"/>
  <c r="P175" i="90"/>
  <c r="Q175" i="90"/>
  <c r="R175" i="90"/>
  <c r="S175" i="90"/>
  <c r="T175" i="90"/>
  <c r="U175" i="90"/>
  <c r="V175" i="90"/>
  <c r="W175" i="90"/>
  <c r="X175" i="90"/>
  <c r="Y175" i="90"/>
  <c r="Z175" i="90"/>
  <c r="AA175" i="90"/>
  <c r="D2" i="90"/>
  <c r="E2" i="90"/>
  <c r="F2" i="90"/>
  <c r="G2" i="90"/>
  <c r="H2" i="90"/>
  <c r="I2" i="90"/>
  <c r="J2" i="90"/>
  <c r="K2" i="90"/>
  <c r="L2" i="90"/>
  <c r="M2" i="90"/>
  <c r="N2" i="90"/>
  <c r="O2" i="90"/>
  <c r="P2" i="90"/>
  <c r="Q2" i="90"/>
  <c r="R2" i="90"/>
  <c r="S2" i="90"/>
  <c r="T2" i="90"/>
  <c r="U2" i="90"/>
  <c r="V2" i="90"/>
  <c r="W2" i="90"/>
  <c r="X2" i="90"/>
  <c r="Y2" i="90"/>
  <c r="Z2" i="90"/>
  <c r="AA2" i="90"/>
  <c r="H124" i="89"/>
  <c r="H123" i="89"/>
  <c r="H122" i="89"/>
  <c r="G124" i="89"/>
  <c r="G123" i="89"/>
  <c r="G122" i="89"/>
  <c r="H118" i="89"/>
  <c r="G118" i="89"/>
  <c r="H117" i="89"/>
  <c r="G117" i="89"/>
  <c r="H116" i="89"/>
  <c r="G116" i="89"/>
  <c r="H112" i="89"/>
  <c r="G112" i="89"/>
  <c r="H111" i="89"/>
  <c r="G111" i="89"/>
  <c r="H110" i="89"/>
  <c r="G110" i="89"/>
  <c r="H106" i="89"/>
  <c r="H105" i="89"/>
  <c r="H104" i="89"/>
  <c r="G106" i="89"/>
  <c r="G105" i="89"/>
  <c r="G104" i="89"/>
  <c r="H100" i="89"/>
  <c r="H99" i="89"/>
  <c r="H98" i="89"/>
  <c r="G100" i="89"/>
  <c r="G99" i="89"/>
  <c r="G98" i="89"/>
  <c r="H94" i="89"/>
  <c r="G94" i="89"/>
  <c r="H93" i="89"/>
  <c r="G93" i="89"/>
  <c r="H92" i="89"/>
  <c r="G92" i="89"/>
  <c r="H88" i="89"/>
  <c r="G88" i="89"/>
  <c r="H87" i="89"/>
  <c r="G87" i="89"/>
  <c r="H86" i="89"/>
  <c r="G86" i="89"/>
  <c r="H82" i="89"/>
  <c r="H81" i="89"/>
  <c r="H80" i="89"/>
  <c r="G82" i="89"/>
  <c r="G81" i="89"/>
  <c r="G80" i="89"/>
  <c r="H76" i="89"/>
  <c r="G76" i="89"/>
  <c r="H75" i="89"/>
  <c r="G75" i="89"/>
  <c r="H74" i="89"/>
  <c r="G74" i="89"/>
  <c r="H70" i="89"/>
  <c r="G70" i="89"/>
  <c r="H69" i="89"/>
  <c r="G69" i="89"/>
  <c r="H68" i="89"/>
  <c r="G68" i="89"/>
  <c r="H64" i="89"/>
  <c r="H63" i="89"/>
  <c r="H62" i="89"/>
  <c r="G64" i="89"/>
  <c r="G63" i="89"/>
  <c r="G62" i="89"/>
  <c r="H58" i="89"/>
  <c r="H57" i="89"/>
  <c r="H56" i="89"/>
  <c r="G58" i="89"/>
  <c r="G57" i="89"/>
  <c r="G56" i="89"/>
  <c r="H22" i="89"/>
  <c r="G22" i="89"/>
  <c r="H21" i="89"/>
  <c r="G21" i="89"/>
  <c r="H20" i="89"/>
  <c r="G20" i="89"/>
  <c r="H16" i="89"/>
  <c r="G16" i="89"/>
  <c r="H15" i="89"/>
  <c r="G15" i="89"/>
  <c r="H14" i="89"/>
  <c r="G14" i="89"/>
  <c r="H10" i="89"/>
  <c r="G10" i="89"/>
  <c r="H9" i="89"/>
  <c r="G9" i="89"/>
  <c r="H8" i="89"/>
  <c r="G8" i="89"/>
  <c r="G2" i="89"/>
  <c r="H4" i="89"/>
  <c r="H3" i="89"/>
  <c r="H2" i="89"/>
  <c r="G4" i="89"/>
  <c r="G3" i="89"/>
  <c r="H34" i="89"/>
  <c r="H28" i="89"/>
  <c r="H33" i="89"/>
  <c r="H27" i="89"/>
  <c r="H32" i="89"/>
  <c r="H26" i="89"/>
  <c r="G34" i="89"/>
  <c r="G33" i="89"/>
  <c r="G27" i="89"/>
  <c r="G28" i="89"/>
  <c r="G32" i="89"/>
  <c r="G26" i="89"/>
  <c r="CA176" i="84"/>
  <c r="CB176" i="84"/>
  <c r="CC176" i="84"/>
  <c r="CD176" i="84"/>
  <c r="CE176" i="84"/>
  <c r="CF176" i="84"/>
  <c r="CG176" i="84"/>
  <c r="CA177" i="84"/>
  <c r="CB177" i="84"/>
  <c r="CC177" i="84"/>
  <c r="CD177" i="84"/>
  <c r="CE177" i="84"/>
  <c r="CF177" i="84"/>
  <c r="CG177" i="84"/>
  <c r="CA178" i="84"/>
  <c r="CB178" i="84"/>
  <c r="CC178" i="84"/>
  <c r="CD178" i="84"/>
  <c r="CE178" i="84"/>
  <c r="CF178" i="84"/>
  <c r="CG178" i="84"/>
  <c r="CA179" i="84"/>
  <c r="CB179" i="84"/>
  <c r="CC179" i="84"/>
  <c r="CD179" i="84"/>
  <c r="CE179" i="84"/>
  <c r="CF179" i="84"/>
  <c r="CG179" i="84"/>
  <c r="CA180" i="84"/>
  <c r="CB180" i="84"/>
  <c r="CC180" i="84"/>
  <c r="CD180" i="84"/>
  <c r="CE180" i="84"/>
  <c r="CF180" i="84"/>
  <c r="CG180" i="84"/>
  <c r="CA181" i="84"/>
  <c r="CB181" i="84"/>
  <c r="CC181" i="84"/>
  <c r="CD181" i="84"/>
  <c r="CE181" i="84"/>
  <c r="CF181" i="84"/>
  <c r="CG181" i="84"/>
  <c r="BZ177" i="84"/>
  <c r="BZ178" i="84"/>
  <c r="BZ179" i="84"/>
  <c r="BZ180" i="84"/>
  <c r="BZ181" i="84"/>
  <c r="BZ176" i="84"/>
  <c r="BZ3" i="84"/>
  <c r="CA3" i="84"/>
  <c r="CB3" i="84"/>
  <c r="CC3" i="84"/>
  <c r="CD3" i="84"/>
  <c r="CE3" i="84"/>
  <c r="CF3" i="84"/>
  <c r="CG3" i="84"/>
  <c r="BZ4" i="84"/>
  <c r="CA4" i="84"/>
  <c r="CB4" i="84"/>
  <c r="CC4" i="84"/>
  <c r="CD4" i="84"/>
  <c r="CE4" i="84"/>
  <c r="CF4" i="84"/>
  <c r="CG4" i="84"/>
  <c r="BZ5" i="84"/>
  <c r="CA5" i="84"/>
  <c r="CB5" i="84"/>
  <c r="CC5" i="84"/>
  <c r="CD5" i="84"/>
  <c r="CE5" i="84"/>
  <c r="CF5" i="84"/>
  <c r="CG5" i="84"/>
  <c r="BZ6" i="84"/>
  <c r="CA6" i="84"/>
  <c r="CB6" i="84"/>
  <c r="CC6" i="84"/>
  <c r="CD6" i="84"/>
  <c r="CE6" i="84"/>
  <c r="CF6" i="84"/>
  <c r="CG6" i="84"/>
  <c r="BZ7" i="84"/>
  <c r="CA7" i="84"/>
  <c r="CB7" i="84"/>
  <c r="CC7" i="84"/>
  <c r="CD7" i="84"/>
  <c r="CE7" i="84"/>
  <c r="CF7" i="84"/>
  <c r="CG7" i="84"/>
  <c r="BZ8" i="84"/>
  <c r="CA8" i="84"/>
  <c r="CB8" i="84"/>
  <c r="CC8" i="84"/>
  <c r="CD8" i="84"/>
  <c r="CE8" i="84"/>
  <c r="CF8" i="84"/>
  <c r="CG8" i="84"/>
  <c r="BZ9" i="84"/>
  <c r="CA9" i="84"/>
  <c r="CB9" i="84"/>
  <c r="CC9" i="84"/>
  <c r="CD9" i="84"/>
  <c r="CE9" i="84"/>
  <c r="CF9" i="84"/>
  <c r="CG9" i="84"/>
  <c r="BZ10" i="84"/>
  <c r="CA10" i="84"/>
  <c r="CB10" i="84"/>
  <c r="CC10" i="84"/>
  <c r="CD10" i="84"/>
  <c r="CE10" i="84"/>
  <c r="CF10" i="84"/>
  <c r="CG10" i="84"/>
  <c r="BZ11" i="84"/>
  <c r="CA11" i="84"/>
  <c r="CB11" i="84"/>
  <c r="CC11" i="84"/>
  <c r="CD11" i="84"/>
  <c r="CE11" i="84"/>
  <c r="CF11" i="84"/>
  <c r="CG11" i="84"/>
  <c r="BZ12" i="84"/>
  <c r="CA12" i="84"/>
  <c r="CB12" i="84"/>
  <c r="CC12" i="84"/>
  <c r="CD12" i="84"/>
  <c r="CE12" i="84"/>
  <c r="CF12" i="84"/>
  <c r="CG12" i="84"/>
  <c r="BZ13" i="84"/>
  <c r="CA13" i="84"/>
  <c r="CB13" i="84"/>
  <c r="CC13" i="84"/>
  <c r="CD13" i="84"/>
  <c r="CE13" i="84"/>
  <c r="CF13" i="84"/>
  <c r="CG13" i="84"/>
  <c r="BZ14" i="84"/>
  <c r="CA14" i="84"/>
  <c r="CB14" i="84"/>
  <c r="CC14" i="84"/>
  <c r="CD14" i="84"/>
  <c r="CE14" i="84"/>
  <c r="CF14" i="84"/>
  <c r="CG14" i="84"/>
  <c r="BZ15" i="84"/>
  <c r="CA15" i="84"/>
  <c r="CB15" i="84"/>
  <c r="CC15" i="84"/>
  <c r="CD15" i="84"/>
  <c r="CE15" i="84"/>
  <c r="CF15" i="84"/>
  <c r="CG15" i="84"/>
  <c r="BZ16" i="84"/>
  <c r="CA16" i="84"/>
  <c r="CB16" i="84"/>
  <c r="CC16" i="84"/>
  <c r="CD16" i="84"/>
  <c r="CE16" i="84"/>
  <c r="CF16" i="84"/>
  <c r="CG16" i="84"/>
  <c r="BZ17" i="84"/>
  <c r="CA17" i="84"/>
  <c r="CB17" i="84"/>
  <c r="CC17" i="84"/>
  <c r="CD17" i="84"/>
  <c r="CE17" i="84"/>
  <c r="CF17" i="84"/>
  <c r="CG17" i="84"/>
  <c r="BZ18" i="84"/>
  <c r="CA18" i="84"/>
  <c r="CB18" i="84"/>
  <c r="CC18" i="84"/>
  <c r="CD18" i="84"/>
  <c r="CE18" i="84"/>
  <c r="CF18" i="84"/>
  <c r="CG18" i="84"/>
  <c r="BZ19" i="84"/>
  <c r="CA19" i="84"/>
  <c r="CB19" i="84"/>
  <c r="CC19" i="84"/>
  <c r="CD19" i="84"/>
  <c r="CE19" i="84"/>
  <c r="CF19" i="84"/>
  <c r="CG19" i="84"/>
  <c r="BZ20" i="84"/>
  <c r="CA20" i="84"/>
  <c r="CB20" i="84"/>
  <c r="CC20" i="84"/>
  <c r="CD20" i="84"/>
  <c r="CE20" i="84"/>
  <c r="CF20" i="84"/>
  <c r="CG20" i="84"/>
  <c r="BZ21" i="84"/>
  <c r="CA21" i="84"/>
  <c r="CB21" i="84"/>
  <c r="CC21" i="84"/>
  <c r="CD21" i="84"/>
  <c r="CE21" i="84"/>
  <c r="CF21" i="84"/>
  <c r="CG21" i="84"/>
  <c r="BZ22" i="84"/>
  <c r="CA22" i="84"/>
  <c r="CB22" i="84"/>
  <c r="CC22" i="84"/>
  <c r="CD22" i="84"/>
  <c r="CE22" i="84"/>
  <c r="CF22" i="84"/>
  <c r="CG22" i="84"/>
  <c r="BZ23" i="84"/>
  <c r="CA23" i="84"/>
  <c r="CB23" i="84"/>
  <c r="CC23" i="84"/>
  <c r="CD23" i="84"/>
  <c r="CE23" i="84"/>
  <c r="CF23" i="84"/>
  <c r="CG23" i="84"/>
  <c r="BZ24" i="84"/>
  <c r="CA24" i="84"/>
  <c r="CB24" i="84"/>
  <c r="CC24" i="84"/>
  <c r="CD24" i="84"/>
  <c r="CE24" i="84"/>
  <c r="CF24" i="84"/>
  <c r="CG24" i="84"/>
  <c r="BZ25" i="84"/>
  <c r="CA25" i="84"/>
  <c r="CB25" i="84"/>
  <c r="CC25" i="84"/>
  <c r="CD25" i="84"/>
  <c r="CE25" i="84"/>
  <c r="CF25" i="84"/>
  <c r="CG25" i="84"/>
  <c r="BZ26" i="84"/>
  <c r="CA26" i="84"/>
  <c r="CB26" i="84"/>
  <c r="CC26" i="84"/>
  <c r="CD26" i="84"/>
  <c r="CE26" i="84"/>
  <c r="CF26" i="84"/>
  <c r="CG26" i="84"/>
  <c r="BZ27" i="84"/>
  <c r="CA27" i="84"/>
  <c r="CB27" i="84"/>
  <c r="CC27" i="84"/>
  <c r="CD27" i="84"/>
  <c r="CE27" i="84"/>
  <c r="CF27" i="84"/>
  <c r="CG27" i="84"/>
  <c r="BZ28" i="84"/>
  <c r="CA28" i="84"/>
  <c r="CB28" i="84"/>
  <c r="CC28" i="84"/>
  <c r="CD28" i="84"/>
  <c r="CE28" i="84"/>
  <c r="CF28" i="84"/>
  <c r="CG28" i="84"/>
  <c r="BZ29" i="84"/>
  <c r="CA29" i="84"/>
  <c r="CB29" i="84"/>
  <c r="CC29" i="84"/>
  <c r="CD29" i="84"/>
  <c r="CE29" i="84"/>
  <c r="CF29" i="84"/>
  <c r="CG29" i="84"/>
  <c r="BZ30" i="84"/>
  <c r="CA30" i="84"/>
  <c r="CB30" i="84"/>
  <c r="CC30" i="84"/>
  <c r="CD30" i="84"/>
  <c r="CE30" i="84"/>
  <c r="CF30" i="84"/>
  <c r="CG30" i="84"/>
  <c r="BZ31" i="84"/>
  <c r="CA31" i="84"/>
  <c r="CB31" i="84"/>
  <c r="CC31" i="84"/>
  <c r="CD31" i="84"/>
  <c r="CE31" i="84"/>
  <c r="CF31" i="84"/>
  <c r="CG31" i="84"/>
  <c r="BZ32" i="84"/>
  <c r="CA32" i="84"/>
  <c r="CB32" i="84"/>
  <c r="CC32" i="84"/>
  <c r="CD32" i="84"/>
  <c r="CE32" i="84"/>
  <c r="CF32" i="84"/>
  <c r="CG32" i="84"/>
  <c r="BZ33" i="84"/>
  <c r="CA33" i="84"/>
  <c r="CB33" i="84"/>
  <c r="CC33" i="84"/>
  <c r="CD33" i="84"/>
  <c r="CE33" i="84"/>
  <c r="CF33" i="84"/>
  <c r="CG33" i="84"/>
  <c r="BZ34" i="84"/>
  <c r="CA34" i="84"/>
  <c r="CB34" i="84"/>
  <c r="CC34" i="84"/>
  <c r="CD34" i="84"/>
  <c r="CE34" i="84"/>
  <c r="CF34" i="84"/>
  <c r="CG34" i="84"/>
  <c r="BZ35" i="84"/>
  <c r="CA35" i="84"/>
  <c r="CB35" i="84"/>
  <c r="CC35" i="84"/>
  <c r="CD35" i="84"/>
  <c r="CE35" i="84"/>
  <c r="CF35" i="84"/>
  <c r="CG35" i="84"/>
  <c r="BZ36" i="84"/>
  <c r="CA36" i="84"/>
  <c r="CB36" i="84"/>
  <c r="CC36" i="84"/>
  <c r="CD36" i="84"/>
  <c r="CE36" i="84"/>
  <c r="CF36" i="84"/>
  <c r="CG36" i="84"/>
  <c r="BZ37" i="84"/>
  <c r="CA37" i="84"/>
  <c r="CB37" i="84"/>
  <c r="CC37" i="84"/>
  <c r="CD37" i="84"/>
  <c r="CE37" i="84"/>
  <c r="CF37" i="84"/>
  <c r="CG37" i="84"/>
  <c r="BZ38" i="84"/>
  <c r="CA38" i="84"/>
  <c r="CB38" i="84"/>
  <c r="CC38" i="84"/>
  <c r="CD38" i="84"/>
  <c r="CE38" i="84"/>
  <c r="CF38" i="84"/>
  <c r="CG38" i="84"/>
  <c r="BZ39" i="84"/>
  <c r="CA39" i="84"/>
  <c r="CB39" i="84"/>
  <c r="CC39" i="84"/>
  <c r="CD39" i="84"/>
  <c r="CE39" i="84"/>
  <c r="CF39" i="84"/>
  <c r="CG39" i="84"/>
  <c r="BZ40" i="84"/>
  <c r="CA40" i="84"/>
  <c r="CB40" i="84"/>
  <c r="CC40" i="84"/>
  <c r="CD40" i="84"/>
  <c r="CE40" i="84"/>
  <c r="CF40" i="84"/>
  <c r="CG40" i="84"/>
  <c r="BZ41" i="84"/>
  <c r="CA41" i="84"/>
  <c r="CB41" i="84"/>
  <c r="CC41" i="84"/>
  <c r="CD41" i="84"/>
  <c r="CE41" i="84"/>
  <c r="CF41" i="84"/>
  <c r="CG41" i="84"/>
  <c r="BZ42" i="84"/>
  <c r="CA42" i="84"/>
  <c r="CB42" i="84"/>
  <c r="CC42" i="84"/>
  <c r="CD42" i="84"/>
  <c r="CE42" i="84"/>
  <c r="CF42" i="84"/>
  <c r="CG42" i="84"/>
  <c r="BZ43" i="84"/>
  <c r="CA43" i="84"/>
  <c r="CB43" i="84"/>
  <c r="CC43" i="84"/>
  <c r="CD43" i="84"/>
  <c r="CE43" i="84"/>
  <c r="CF43" i="84"/>
  <c r="CG43" i="84"/>
  <c r="BZ44" i="84"/>
  <c r="CA44" i="84"/>
  <c r="CB44" i="84"/>
  <c r="CC44" i="84"/>
  <c r="CD44" i="84"/>
  <c r="CE44" i="84"/>
  <c r="CF44" i="84"/>
  <c r="CG44" i="84"/>
  <c r="BZ45" i="84"/>
  <c r="CA45" i="84"/>
  <c r="CB45" i="84"/>
  <c r="CC45" i="84"/>
  <c r="CD45" i="84"/>
  <c r="CE45" i="84"/>
  <c r="CF45" i="84"/>
  <c r="CG45" i="84"/>
  <c r="BZ46" i="84"/>
  <c r="CA46" i="84"/>
  <c r="CB46" i="84"/>
  <c r="CC46" i="84"/>
  <c r="CD46" i="84"/>
  <c r="CE46" i="84"/>
  <c r="CF46" i="84"/>
  <c r="CG46" i="84"/>
  <c r="BZ47" i="84"/>
  <c r="CA47" i="84"/>
  <c r="CB47" i="84"/>
  <c r="CC47" i="84"/>
  <c r="CD47" i="84"/>
  <c r="CE47" i="84"/>
  <c r="CF47" i="84"/>
  <c r="CG47" i="84"/>
  <c r="BZ48" i="84"/>
  <c r="CA48" i="84"/>
  <c r="CB48" i="84"/>
  <c r="CC48" i="84"/>
  <c r="CD48" i="84"/>
  <c r="CE48" i="84"/>
  <c r="CF48" i="84"/>
  <c r="CG48" i="84"/>
  <c r="BZ49" i="84"/>
  <c r="CA49" i="84"/>
  <c r="CB49" i="84"/>
  <c r="CC49" i="84"/>
  <c r="CD49" i="84"/>
  <c r="CE49" i="84"/>
  <c r="CF49" i="84"/>
  <c r="CG49" i="84"/>
  <c r="BZ50" i="84"/>
  <c r="CA50" i="84"/>
  <c r="CB50" i="84"/>
  <c r="CC50" i="84"/>
  <c r="CD50" i="84"/>
  <c r="CE50" i="84"/>
  <c r="CF50" i="84"/>
  <c r="CG50" i="84"/>
  <c r="BZ51" i="84"/>
  <c r="CA51" i="84"/>
  <c r="CB51" i="84"/>
  <c r="CC51" i="84"/>
  <c r="CD51" i="84"/>
  <c r="CE51" i="84"/>
  <c r="CF51" i="84"/>
  <c r="CG51" i="84"/>
  <c r="BZ52" i="84"/>
  <c r="CA52" i="84"/>
  <c r="CB52" i="84"/>
  <c r="CC52" i="84"/>
  <c r="CD52" i="84"/>
  <c r="CE52" i="84"/>
  <c r="CF52" i="84"/>
  <c r="CG52" i="84"/>
  <c r="BZ53" i="84"/>
  <c r="CA53" i="84"/>
  <c r="CB53" i="84"/>
  <c r="CC53" i="84"/>
  <c r="CD53" i="84"/>
  <c r="CE53" i="84"/>
  <c r="CF53" i="84"/>
  <c r="CG53" i="84"/>
  <c r="BZ54" i="84"/>
  <c r="CA54" i="84"/>
  <c r="CB54" i="84"/>
  <c r="CC54" i="84"/>
  <c r="CD54" i="84"/>
  <c r="CE54" i="84"/>
  <c r="CF54" i="84"/>
  <c r="CG54" i="84"/>
  <c r="BZ55" i="84"/>
  <c r="CA55" i="84"/>
  <c r="CB55" i="84"/>
  <c r="CC55" i="84"/>
  <c r="CD55" i="84"/>
  <c r="CE55" i="84"/>
  <c r="CF55" i="84"/>
  <c r="CG55" i="84"/>
  <c r="BZ56" i="84"/>
  <c r="CA56" i="84"/>
  <c r="CB56" i="84"/>
  <c r="CC56" i="84"/>
  <c r="CD56" i="84"/>
  <c r="CE56" i="84"/>
  <c r="CF56" i="84"/>
  <c r="CG56" i="84"/>
  <c r="BZ57" i="84"/>
  <c r="CA57" i="84"/>
  <c r="CB57" i="84"/>
  <c r="CC57" i="84"/>
  <c r="CD57" i="84"/>
  <c r="CE57" i="84"/>
  <c r="CF57" i="84"/>
  <c r="CG57" i="84"/>
  <c r="BZ58" i="84"/>
  <c r="CA58" i="84"/>
  <c r="CB58" i="84"/>
  <c r="CC58" i="84"/>
  <c r="CD58" i="84"/>
  <c r="CE58" i="84"/>
  <c r="CF58" i="84"/>
  <c r="CG58" i="84"/>
  <c r="BZ59" i="84"/>
  <c r="CA59" i="84"/>
  <c r="CB59" i="84"/>
  <c r="CC59" i="84"/>
  <c r="CD59" i="84"/>
  <c r="CE59" i="84"/>
  <c r="CF59" i="84"/>
  <c r="CG59" i="84"/>
  <c r="BZ60" i="84"/>
  <c r="CA60" i="84"/>
  <c r="CB60" i="84"/>
  <c r="CC60" i="84"/>
  <c r="CD60" i="84"/>
  <c r="CE60" i="84"/>
  <c r="CF60" i="84"/>
  <c r="CG60" i="84"/>
  <c r="BZ61" i="84"/>
  <c r="CA61" i="84"/>
  <c r="CB61" i="84"/>
  <c r="CC61" i="84"/>
  <c r="CD61" i="84"/>
  <c r="CE61" i="84"/>
  <c r="CF61" i="84"/>
  <c r="CG61" i="84"/>
  <c r="BZ62" i="84"/>
  <c r="CA62" i="84"/>
  <c r="CB62" i="84"/>
  <c r="CC62" i="84"/>
  <c r="CD62" i="84"/>
  <c r="CE62" i="84"/>
  <c r="CF62" i="84"/>
  <c r="CG62" i="84"/>
  <c r="BZ63" i="84"/>
  <c r="CA63" i="84"/>
  <c r="CB63" i="84"/>
  <c r="CC63" i="84"/>
  <c r="CD63" i="84"/>
  <c r="CE63" i="84"/>
  <c r="CF63" i="84"/>
  <c r="CG63" i="84"/>
  <c r="BZ64" i="84"/>
  <c r="CA64" i="84"/>
  <c r="CB64" i="84"/>
  <c r="CC64" i="84"/>
  <c r="CD64" i="84"/>
  <c r="CE64" i="84"/>
  <c r="CF64" i="84"/>
  <c r="CG64" i="84"/>
  <c r="BZ65" i="84"/>
  <c r="CA65" i="84"/>
  <c r="CB65" i="84"/>
  <c r="CC65" i="84"/>
  <c r="CD65" i="84"/>
  <c r="CE65" i="84"/>
  <c r="CF65" i="84"/>
  <c r="CG65" i="84"/>
  <c r="BZ66" i="84"/>
  <c r="CA66" i="84"/>
  <c r="CB66" i="84"/>
  <c r="CC66" i="84"/>
  <c r="CD66" i="84"/>
  <c r="CE66" i="84"/>
  <c r="CF66" i="84"/>
  <c r="CG66" i="84"/>
  <c r="BZ67" i="84"/>
  <c r="CA67" i="84"/>
  <c r="CB67" i="84"/>
  <c r="CC67" i="84"/>
  <c r="CD67" i="84"/>
  <c r="CE67" i="84"/>
  <c r="CF67" i="84"/>
  <c r="CG67" i="84"/>
  <c r="BZ68" i="84"/>
  <c r="CA68" i="84"/>
  <c r="CB68" i="84"/>
  <c r="CC68" i="84"/>
  <c r="CD68" i="84"/>
  <c r="CE68" i="84"/>
  <c r="CF68" i="84"/>
  <c r="CG68" i="84"/>
  <c r="BZ69" i="84"/>
  <c r="CA69" i="84"/>
  <c r="CB69" i="84"/>
  <c r="CC69" i="84"/>
  <c r="CD69" i="84"/>
  <c r="CE69" i="84"/>
  <c r="CF69" i="84"/>
  <c r="CG69" i="84"/>
  <c r="BZ70" i="84"/>
  <c r="CA70" i="84"/>
  <c r="CB70" i="84"/>
  <c r="CC70" i="84"/>
  <c r="CD70" i="84"/>
  <c r="CE70" i="84"/>
  <c r="CF70" i="84"/>
  <c r="CG70" i="84"/>
  <c r="BZ71" i="84"/>
  <c r="CA71" i="84"/>
  <c r="CB71" i="84"/>
  <c r="CC71" i="84"/>
  <c r="CD71" i="84"/>
  <c r="CE71" i="84"/>
  <c r="CF71" i="84"/>
  <c r="CG71" i="84"/>
  <c r="BZ72" i="84"/>
  <c r="CA72" i="84"/>
  <c r="CB72" i="84"/>
  <c r="CC72" i="84"/>
  <c r="CD72" i="84"/>
  <c r="CE72" i="84"/>
  <c r="CF72" i="84"/>
  <c r="CG72" i="84"/>
  <c r="BZ73" i="84"/>
  <c r="CA73" i="84"/>
  <c r="CB73" i="84"/>
  <c r="CC73" i="84"/>
  <c r="CD73" i="84"/>
  <c r="CE73" i="84"/>
  <c r="CF73" i="84"/>
  <c r="CG73" i="84"/>
  <c r="BZ74" i="84"/>
  <c r="CA74" i="84"/>
  <c r="CB74" i="84"/>
  <c r="CC74" i="84"/>
  <c r="CD74" i="84"/>
  <c r="CE74" i="84"/>
  <c r="CF74" i="84"/>
  <c r="CG74" i="84"/>
  <c r="BZ75" i="84"/>
  <c r="CA75" i="84"/>
  <c r="CB75" i="84"/>
  <c r="CC75" i="84"/>
  <c r="CD75" i="84"/>
  <c r="CE75" i="84"/>
  <c r="CF75" i="84"/>
  <c r="CG75" i="84"/>
  <c r="BZ76" i="84"/>
  <c r="CA76" i="84"/>
  <c r="CB76" i="84"/>
  <c r="CC76" i="84"/>
  <c r="CD76" i="84"/>
  <c r="CE76" i="84"/>
  <c r="CF76" i="84"/>
  <c r="CG76" i="84"/>
  <c r="BZ77" i="84"/>
  <c r="CA77" i="84"/>
  <c r="CB77" i="84"/>
  <c r="CC77" i="84"/>
  <c r="CD77" i="84"/>
  <c r="CE77" i="84"/>
  <c r="CF77" i="84"/>
  <c r="CG77" i="84"/>
  <c r="BZ78" i="84"/>
  <c r="CA78" i="84"/>
  <c r="CB78" i="84"/>
  <c r="CC78" i="84"/>
  <c r="CD78" i="84"/>
  <c r="CE78" i="84"/>
  <c r="CF78" i="84"/>
  <c r="CG78" i="84"/>
  <c r="BZ79" i="84"/>
  <c r="CA79" i="84"/>
  <c r="CB79" i="84"/>
  <c r="CC79" i="84"/>
  <c r="CD79" i="84"/>
  <c r="CE79" i="84"/>
  <c r="CF79" i="84"/>
  <c r="CG79" i="84"/>
  <c r="BZ80" i="84"/>
  <c r="CA80" i="84"/>
  <c r="CB80" i="84"/>
  <c r="CC80" i="84"/>
  <c r="CD80" i="84"/>
  <c r="CE80" i="84"/>
  <c r="CF80" i="84"/>
  <c r="CG80" i="84"/>
  <c r="BZ81" i="84"/>
  <c r="CA81" i="84"/>
  <c r="CB81" i="84"/>
  <c r="CC81" i="84"/>
  <c r="CD81" i="84"/>
  <c r="CE81" i="84"/>
  <c r="CF81" i="84"/>
  <c r="CG81" i="84"/>
  <c r="BZ82" i="84"/>
  <c r="CA82" i="84"/>
  <c r="CB82" i="84"/>
  <c r="CC82" i="84"/>
  <c r="CD82" i="84"/>
  <c r="CE82" i="84"/>
  <c r="CF82" i="84"/>
  <c r="CG82" i="84"/>
  <c r="BZ83" i="84"/>
  <c r="CA83" i="84"/>
  <c r="CB83" i="84"/>
  <c r="CC83" i="84"/>
  <c r="CD83" i="84"/>
  <c r="CE83" i="84"/>
  <c r="CF83" i="84"/>
  <c r="CG83" i="84"/>
  <c r="BZ84" i="84"/>
  <c r="CA84" i="84"/>
  <c r="CB84" i="84"/>
  <c r="CC84" i="84"/>
  <c r="CD84" i="84"/>
  <c r="CE84" i="84"/>
  <c r="CF84" i="84"/>
  <c r="CG84" i="84"/>
  <c r="BZ85" i="84"/>
  <c r="CA85" i="84"/>
  <c r="CB85" i="84"/>
  <c r="CC85" i="84"/>
  <c r="CD85" i="84"/>
  <c r="CE85" i="84"/>
  <c r="CF85" i="84"/>
  <c r="CG85" i="84"/>
  <c r="BZ86" i="84"/>
  <c r="CA86" i="84"/>
  <c r="CB86" i="84"/>
  <c r="CC86" i="84"/>
  <c r="CD86" i="84"/>
  <c r="CE86" i="84"/>
  <c r="CF86" i="84"/>
  <c r="CG86" i="84"/>
  <c r="BZ87" i="84"/>
  <c r="CA87" i="84"/>
  <c r="CB87" i="84"/>
  <c r="CC87" i="84"/>
  <c r="CD87" i="84"/>
  <c r="CE87" i="84"/>
  <c r="CF87" i="84"/>
  <c r="CG87" i="84"/>
  <c r="BZ88" i="84"/>
  <c r="CA88" i="84"/>
  <c r="CB88" i="84"/>
  <c r="CC88" i="84"/>
  <c r="CD88" i="84"/>
  <c r="CE88" i="84"/>
  <c r="CF88" i="84"/>
  <c r="CG88" i="84"/>
  <c r="BZ89" i="84"/>
  <c r="CA89" i="84"/>
  <c r="CB89" i="84"/>
  <c r="CC89" i="84"/>
  <c r="CD89" i="84"/>
  <c r="CE89" i="84"/>
  <c r="CF89" i="84"/>
  <c r="CG89" i="84"/>
  <c r="BZ90" i="84"/>
  <c r="CA90" i="84"/>
  <c r="CB90" i="84"/>
  <c r="CC90" i="84"/>
  <c r="CD90" i="84"/>
  <c r="CE90" i="84"/>
  <c r="CF90" i="84"/>
  <c r="CG90" i="84"/>
  <c r="BZ91" i="84"/>
  <c r="CA91" i="84"/>
  <c r="CB91" i="84"/>
  <c r="CC91" i="84"/>
  <c r="CD91" i="84"/>
  <c r="CE91" i="84"/>
  <c r="CF91" i="84"/>
  <c r="CG91" i="84"/>
  <c r="BZ92" i="84"/>
  <c r="CA92" i="84"/>
  <c r="CB92" i="84"/>
  <c r="CC92" i="84"/>
  <c r="CD92" i="84"/>
  <c r="CE92" i="84"/>
  <c r="CF92" i="84"/>
  <c r="CG92" i="84"/>
  <c r="BZ93" i="84"/>
  <c r="CA93" i="84"/>
  <c r="CB93" i="84"/>
  <c r="CC93" i="84"/>
  <c r="CD93" i="84"/>
  <c r="CE93" i="84"/>
  <c r="CF93" i="84"/>
  <c r="CG93" i="84"/>
  <c r="BZ94" i="84"/>
  <c r="CA94" i="84"/>
  <c r="CB94" i="84"/>
  <c r="CC94" i="84"/>
  <c r="CD94" i="84"/>
  <c r="CE94" i="84"/>
  <c r="CF94" i="84"/>
  <c r="CG94" i="84"/>
  <c r="BZ95" i="84"/>
  <c r="CA95" i="84"/>
  <c r="CB95" i="84"/>
  <c r="CC95" i="84"/>
  <c r="CD95" i="84"/>
  <c r="CE95" i="84"/>
  <c r="CF95" i="84"/>
  <c r="CG95" i="84"/>
  <c r="BZ96" i="84"/>
  <c r="CA96" i="84"/>
  <c r="CB96" i="84"/>
  <c r="CC96" i="84"/>
  <c r="CD96" i="84"/>
  <c r="CE96" i="84"/>
  <c r="CF96" i="84"/>
  <c r="CG96" i="84"/>
  <c r="BZ97" i="84"/>
  <c r="CA97" i="84"/>
  <c r="CB97" i="84"/>
  <c r="CC97" i="84"/>
  <c r="CD97" i="84"/>
  <c r="CE97" i="84"/>
  <c r="CF97" i="84"/>
  <c r="CG97" i="84"/>
  <c r="BZ98" i="84"/>
  <c r="CA98" i="84"/>
  <c r="CB98" i="84"/>
  <c r="CC98" i="84"/>
  <c r="CD98" i="84"/>
  <c r="CE98" i="84"/>
  <c r="CF98" i="84"/>
  <c r="CG98" i="84"/>
  <c r="BZ99" i="84"/>
  <c r="CA99" i="84"/>
  <c r="CB99" i="84"/>
  <c r="CC99" i="84"/>
  <c r="CD99" i="84"/>
  <c r="CE99" i="84"/>
  <c r="CF99" i="84"/>
  <c r="CG99" i="84"/>
  <c r="BZ100" i="84"/>
  <c r="CA100" i="84"/>
  <c r="CB100" i="84"/>
  <c r="CC100" i="84"/>
  <c r="CD100" i="84"/>
  <c r="CE100" i="84"/>
  <c r="CF100" i="84"/>
  <c r="CG100" i="84"/>
  <c r="BZ101" i="84"/>
  <c r="CA101" i="84"/>
  <c r="CB101" i="84"/>
  <c r="CC101" i="84"/>
  <c r="CD101" i="84"/>
  <c r="CE101" i="84"/>
  <c r="CF101" i="84"/>
  <c r="CG101" i="84"/>
  <c r="BZ102" i="84"/>
  <c r="CA102" i="84"/>
  <c r="CB102" i="84"/>
  <c r="CC102" i="84"/>
  <c r="CD102" i="84"/>
  <c r="CE102" i="84"/>
  <c r="CF102" i="84"/>
  <c r="CG102" i="84"/>
  <c r="BZ103" i="84"/>
  <c r="CA103" i="84"/>
  <c r="CB103" i="84"/>
  <c r="CC103" i="84"/>
  <c r="CD103" i="84"/>
  <c r="CE103" i="84"/>
  <c r="CF103" i="84"/>
  <c r="CG103" i="84"/>
  <c r="BZ104" i="84"/>
  <c r="CA104" i="84"/>
  <c r="CB104" i="84"/>
  <c r="CC104" i="84"/>
  <c r="CD104" i="84"/>
  <c r="CE104" i="84"/>
  <c r="CF104" i="84"/>
  <c r="CG104" i="84"/>
  <c r="BZ105" i="84"/>
  <c r="CA105" i="84"/>
  <c r="CB105" i="84"/>
  <c r="CC105" i="84"/>
  <c r="CD105" i="84"/>
  <c r="CE105" i="84"/>
  <c r="CF105" i="84"/>
  <c r="CG105" i="84"/>
  <c r="BZ106" i="84"/>
  <c r="CA106" i="84"/>
  <c r="CB106" i="84"/>
  <c r="CC106" i="84"/>
  <c r="CD106" i="84"/>
  <c r="CE106" i="84"/>
  <c r="CF106" i="84"/>
  <c r="CG106" i="84"/>
  <c r="BZ107" i="84"/>
  <c r="CA107" i="84"/>
  <c r="CB107" i="84"/>
  <c r="CC107" i="84"/>
  <c r="CD107" i="84"/>
  <c r="CE107" i="84"/>
  <c r="CF107" i="84"/>
  <c r="CG107" i="84"/>
  <c r="BZ108" i="84"/>
  <c r="CA108" i="84"/>
  <c r="CB108" i="84"/>
  <c r="CC108" i="84"/>
  <c r="CD108" i="84"/>
  <c r="CE108" i="84"/>
  <c r="CF108" i="84"/>
  <c r="CG108" i="84"/>
  <c r="BZ109" i="84"/>
  <c r="CA109" i="84"/>
  <c r="CB109" i="84"/>
  <c r="CC109" i="84"/>
  <c r="CD109" i="84"/>
  <c r="CE109" i="84"/>
  <c r="CF109" i="84"/>
  <c r="CG109" i="84"/>
  <c r="BZ110" i="84"/>
  <c r="CA110" i="84"/>
  <c r="CB110" i="84"/>
  <c r="CC110" i="84"/>
  <c r="CD110" i="84"/>
  <c r="CE110" i="84"/>
  <c r="CF110" i="84"/>
  <c r="CG110" i="84"/>
  <c r="BZ111" i="84"/>
  <c r="CA111" i="84"/>
  <c r="CB111" i="84"/>
  <c r="CC111" i="84"/>
  <c r="CD111" i="84"/>
  <c r="CE111" i="84"/>
  <c r="CF111" i="84"/>
  <c r="CG111" i="84"/>
  <c r="BZ112" i="84"/>
  <c r="CA112" i="84"/>
  <c r="CB112" i="84"/>
  <c r="CC112" i="84"/>
  <c r="CD112" i="84"/>
  <c r="CE112" i="84"/>
  <c r="CF112" i="84"/>
  <c r="CG112" i="84"/>
  <c r="BZ113" i="84"/>
  <c r="CA113" i="84"/>
  <c r="CB113" i="84"/>
  <c r="CC113" i="84"/>
  <c r="CD113" i="84"/>
  <c r="CE113" i="84"/>
  <c r="CF113" i="84"/>
  <c r="CG113" i="84"/>
  <c r="BZ114" i="84"/>
  <c r="CA114" i="84"/>
  <c r="CB114" i="84"/>
  <c r="CC114" i="84"/>
  <c r="CD114" i="84"/>
  <c r="CE114" i="84"/>
  <c r="CF114" i="84"/>
  <c r="CG114" i="84"/>
  <c r="BZ115" i="84"/>
  <c r="CA115" i="84"/>
  <c r="CB115" i="84"/>
  <c r="CC115" i="84"/>
  <c r="CD115" i="84"/>
  <c r="CE115" i="84"/>
  <c r="CF115" i="84"/>
  <c r="CG115" i="84"/>
  <c r="BZ116" i="84"/>
  <c r="CA116" i="84"/>
  <c r="CB116" i="84"/>
  <c r="CC116" i="84"/>
  <c r="CD116" i="84"/>
  <c r="CE116" i="84"/>
  <c r="CF116" i="84"/>
  <c r="CG116" i="84"/>
  <c r="BZ117" i="84"/>
  <c r="CA117" i="84"/>
  <c r="CB117" i="84"/>
  <c r="CC117" i="84"/>
  <c r="CD117" i="84"/>
  <c r="CE117" i="84"/>
  <c r="CF117" i="84"/>
  <c r="CG117" i="84"/>
  <c r="BZ118" i="84"/>
  <c r="CA118" i="84"/>
  <c r="CB118" i="84"/>
  <c r="CC118" i="84"/>
  <c r="CD118" i="84"/>
  <c r="CE118" i="84"/>
  <c r="CF118" i="84"/>
  <c r="CG118" i="84"/>
  <c r="BZ119" i="84"/>
  <c r="CA119" i="84"/>
  <c r="CB119" i="84"/>
  <c r="CC119" i="84"/>
  <c r="CD119" i="84"/>
  <c r="CE119" i="84"/>
  <c r="CF119" i="84"/>
  <c r="CG119" i="84"/>
  <c r="BZ120" i="84"/>
  <c r="CA120" i="84"/>
  <c r="CB120" i="84"/>
  <c r="CC120" i="84"/>
  <c r="CD120" i="84"/>
  <c r="CE120" i="84"/>
  <c r="CF120" i="84"/>
  <c r="CG120" i="84"/>
  <c r="BZ121" i="84"/>
  <c r="CA121" i="84"/>
  <c r="CB121" i="84"/>
  <c r="CC121" i="84"/>
  <c r="CD121" i="84"/>
  <c r="CE121" i="84"/>
  <c r="CF121" i="84"/>
  <c r="CG121" i="84"/>
  <c r="BZ122" i="84"/>
  <c r="CA122" i="84"/>
  <c r="CB122" i="84"/>
  <c r="CC122" i="84"/>
  <c r="CD122" i="84"/>
  <c r="CE122" i="84"/>
  <c r="CF122" i="84"/>
  <c r="CG122" i="84"/>
  <c r="BZ123" i="84"/>
  <c r="CA123" i="84"/>
  <c r="CB123" i="84"/>
  <c r="CC123" i="84"/>
  <c r="CD123" i="84"/>
  <c r="CE123" i="84"/>
  <c r="CF123" i="84"/>
  <c r="CG123" i="84"/>
  <c r="BZ124" i="84"/>
  <c r="CA124" i="84"/>
  <c r="CB124" i="84"/>
  <c r="CC124" i="84"/>
  <c r="CD124" i="84"/>
  <c r="CE124" i="84"/>
  <c r="CF124" i="84"/>
  <c r="CG124" i="84"/>
  <c r="BZ125" i="84"/>
  <c r="CA125" i="84"/>
  <c r="CB125" i="84"/>
  <c r="CC125" i="84"/>
  <c r="CD125" i="84"/>
  <c r="CE125" i="84"/>
  <c r="CF125" i="84"/>
  <c r="CG125" i="84"/>
  <c r="BZ126" i="84"/>
  <c r="CA126" i="84"/>
  <c r="CB126" i="84"/>
  <c r="CC126" i="84"/>
  <c r="CD126" i="84"/>
  <c r="CE126" i="84"/>
  <c r="CF126" i="84"/>
  <c r="CG126" i="84"/>
  <c r="BZ127" i="84"/>
  <c r="CA127" i="84"/>
  <c r="CB127" i="84"/>
  <c r="CC127" i="84"/>
  <c r="CD127" i="84"/>
  <c r="CE127" i="84"/>
  <c r="CF127" i="84"/>
  <c r="CG127" i="84"/>
  <c r="BZ128" i="84"/>
  <c r="CA128" i="84"/>
  <c r="CB128" i="84"/>
  <c r="CC128" i="84"/>
  <c r="CD128" i="84"/>
  <c r="CE128" i="84"/>
  <c r="CF128" i="84"/>
  <c r="CG128" i="84"/>
  <c r="BZ129" i="84"/>
  <c r="CA129" i="84"/>
  <c r="CB129" i="84"/>
  <c r="CC129" i="84"/>
  <c r="CD129" i="84"/>
  <c r="CE129" i="84"/>
  <c r="CF129" i="84"/>
  <c r="CG129" i="84"/>
  <c r="BZ130" i="84"/>
  <c r="CA130" i="84"/>
  <c r="CB130" i="84"/>
  <c r="CC130" i="84"/>
  <c r="CD130" i="84"/>
  <c r="CE130" i="84"/>
  <c r="CF130" i="84"/>
  <c r="CG130" i="84"/>
  <c r="BZ131" i="84"/>
  <c r="CA131" i="84"/>
  <c r="CB131" i="84"/>
  <c r="CC131" i="84"/>
  <c r="CD131" i="84"/>
  <c r="CE131" i="84"/>
  <c r="CF131" i="84"/>
  <c r="CG131" i="84"/>
  <c r="BZ132" i="84"/>
  <c r="CA132" i="84"/>
  <c r="CB132" i="84"/>
  <c r="CC132" i="84"/>
  <c r="CD132" i="84"/>
  <c r="CE132" i="84"/>
  <c r="CF132" i="84"/>
  <c r="CG132" i="84"/>
  <c r="BZ133" i="84"/>
  <c r="CA133" i="84"/>
  <c r="CB133" i="84"/>
  <c r="CC133" i="84"/>
  <c r="CD133" i="84"/>
  <c r="CE133" i="84"/>
  <c r="CF133" i="84"/>
  <c r="CG133" i="84"/>
  <c r="BZ134" i="84"/>
  <c r="CA134" i="84"/>
  <c r="CB134" i="84"/>
  <c r="CC134" i="84"/>
  <c r="CD134" i="84"/>
  <c r="CE134" i="84"/>
  <c r="CF134" i="84"/>
  <c r="CG134" i="84"/>
  <c r="BZ135" i="84"/>
  <c r="CA135" i="84"/>
  <c r="CB135" i="84"/>
  <c r="CC135" i="84"/>
  <c r="CD135" i="84"/>
  <c r="CE135" i="84"/>
  <c r="CF135" i="84"/>
  <c r="CG135" i="84"/>
  <c r="BZ136" i="84"/>
  <c r="CA136" i="84"/>
  <c r="CB136" i="84"/>
  <c r="CC136" i="84"/>
  <c r="CD136" i="84"/>
  <c r="CE136" i="84"/>
  <c r="CF136" i="84"/>
  <c r="CG136" i="84"/>
  <c r="BZ137" i="84"/>
  <c r="CA137" i="84"/>
  <c r="CB137" i="84"/>
  <c r="CC137" i="84"/>
  <c r="CD137" i="84"/>
  <c r="CE137" i="84"/>
  <c r="CF137" i="84"/>
  <c r="CG137" i="84"/>
  <c r="BZ138" i="84"/>
  <c r="CA138" i="84"/>
  <c r="CB138" i="84"/>
  <c r="CC138" i="84"/>
  <c r="CD138" i="84"/>
  <c r="CE138" i="84"/>
  <c r="CF138" i="84"/>
  <c r="CG138" i="84"/>
  <c r="BZ139" i="84"/>
  <c r="CA139" i="84"/>
  <c r="CB139" i="84"/>
  <c r="CC139" i="84"/>
  <c r="CD139" i="84"/>
  <c r="CE139" i="84"/>
  <c r="CF139" i="84"/>
  <c r="CG139" i="84"/>
  <c r="BZ140" i="84"/>
  <c r="CA140" i="84"/>
  <c r="CB140" i="84"/>
  <c r="CC140" i="84"/>
  <c r="CD140" i="84"/>
  <c r="CE140" i="84"/>
  <c r="CF140" i="84"/>
  <c r="CG140" i="84"/>
  <c r="BZ141" i="84"/>
  <c r="CA141" i="84"/>
  <c r="CB141" i="84"/>
  <c r="CC141" i="84"/>
  <c r="CD141" i="84"/>
  <c r="CE141" i="84"/>
  <c r="CF141" i="84"/>
  <c r="CG141" i="84"/>
  <c r="BZ142" i="84"/>
  <c r="CA142" i="84"/>
  <c r="CB142" i="84"/>
  <c r="CC142" i="84"/>
  <c r="CD142" i="84"/>
  <c r="CE142" i="84"/>
  <c r="CF142" i="84"/>
  <c r="CG142" i="84"/>
  <c r="BZ143" i="84"/>
  <c r="CA143" i="84"/>
  <c r="CB143" i="84"/>
  <c r="CC143" i="84"/>
  <c r="CD143" i="84"/>
  <c r="CE143" i="84"/>
  <c r="CF143" i="84"/>
  <c r="CG143" i="84"/>
  <c r="BZ144" i="84"/>
  <c r="CA144" i="84"/>
  <c r="CB144" i="84"/>
  <c r="CC144" i="84"/>
  <c r="CD144" i="84"/>
  <c r="CE144" i="84"/>
  <c r="CF144" i="84"/>
  <c r="CG144" i="84"/>
  <c r="BZ145" i="84"/>
  <c r="CA145" i="84"/>
  <c r="CB145" i="84"/>
  <c r="CC145" i="84"/>
  <c r="CD145" i="84"/>
  <c r="CE145" i="84"/>
  <c r="CF145" i="84"/>
  <c r="CG145" i="84"/>
  <c r="BZ146" i="84"/>
  <c r="CA146" i="84"/>
  <c r="CB146" i="84"/>
  <c r="CC146" i="84"/>
  <c r="CD146" i="84"/>
  <c r="CE146" i="84"/>
  <c r="CF146" i="84"/>
  <c r="CG146" i="84"/>
  <c r="BZ147" i="84"/>
  <c r="CA147" i="84"/>
  <c r="CB147" i="84"/>
  <c r="CC147" i="84"/>
  <c r="CD147" i="84"/>
  <c r="CE147" i="84"/>
  <c r="CF147" i="84"/>
  <c r="CG147" i="84"/>
  <c r="BZ148" i="84"/>
  <c r="CA148" i="84"/>
  <c r="CB148" i="84"/>
  <c r="CC148" i="84"/>
  <c r="CD148" i="84"/>
  <c r="CE148" i="84"/>
  <c r="CF148" i="84"/>
  <c r="CG148" i="84"/>
  <c r="BZ149" i="84"/>
  <c r="CA149" i="84"/>
  <c r="CB149" i="84"/>
  <c r="CC149" i="84"/>
  <c r="CD149" i="84"/>
  <c r="CE149" i="84"/>
  <c r="CF149" i="84"/>
  <c r="CG149" i="84"/>
  <c r="BZ150" i="84"/>
  <c r="CA150" i="84"/>
  <c r="CB150" i="84"/>
  <c r="CC150" i="84"/>
  <c r="CD150" i="84"/>
  <c r="CE150" i="84"/>
  <c r="CF150" i="84"/>
  <c r="CG150" i="84"/>
  <c r="BZ151" i="84"/>
  <c r="CA151" i="84"/>
  <c r="CB151" i="84"/>
  <c r="CC151" i="84"/>
  <c r="CD151" i="84"/>
  <c r="CE151" i="84"/>
  <c r="CF151" i="84"/>
  <c r="CG151" i="84"/>
  <c r="BZ152" i="84"/>
  <c r="CA152" i="84"/>
  <c r="CB152" i="84"/>
  <c r="CC152" i="84"/>
  <c r="CD152" i="84"/>
  <c r="CE152" i="84"/>
  <c r="CF152" i="84"/>
  <c r="CG152" i="84"/>
  <c r="BZ153" i="84"/>
  <c r="CA153" i="84"/>
  <c r="CB153" i="84"/>
  <c r="CC153" i="84"/>
  <c r="CD153" i="84"/>
  <c r="CE153" i="84"/>
  <c r="CF153" i="84"/>
  <c r="CG153" i="84"/>
  <c r="BZ154" i="84"/>
  <c r="CA154" i="84"/>
  <c r="CB154" i="84"/>
  <c r="CC154" i="84"/>
  <c r="CD154" i="84"/>
  <c r="CE154" i="84"/>
  <c r="CF154" i="84"/>
  <c r="CG154" i="84"/>
  <c r="BZ155" i="84"/>
  <c r="CA155" i="84"/>
  <c r="CB155" i="84"/>
  <c r="CC155" i="84"/>
  <c r="CD155" i="84"/>
  <c r="CE155" i="84"/>
  <c r="CF155" i="84"/>
  <c r="CG155" i="84"/>
  <c r="BZ156" i="84"/>
  <c r="CA156" i="84"/>
  <c r="CB156" i="84"/>
  <c r="CC156" i="84"/>
  <c r="CD156" i="84"/>
  <c r="CE156" i="84"/>
  <c r="CF156" i="84"/>
  <c r="CG156" i="84"/>
  <c r="BZ157" i="84"/>
  <c r="CA157" i="84"/>
  <c r="CB157" i="84"/>
  <c r="CC157" i="84"/>
  <c r="CD157" i="84"/>
  <c r="CE157" i="84"/>
  <c r="CF157" i="84"/>
  <c r="CG157" i="84"/>
  <c r="BZ158" i="84"/>
  <c r="CA158" i="84"/>
  <c r="CB158" i="84"/>
  <c r="CC158" i="84"/>
  <c r="CD158" i="84"/>
  <c r="CE158" i="84"/>
  <c r="CF158" i="84"/>
  <c r="CG158" i="84"/>
  <c r="BZ159" i="84"/>
  <c r="CA159" i="84"/>
  <c r="CB159" i="84"/>
  <c r="CC159" i="84"/>
  <c r="CD159" i="84"/>
  <c r="CE159" i="84"/>
  <c r="CF159" i="84"/>
  <c r="CG159" i="84"/>
  <c r="BZ160" i="84"/>
  <c r="CA160" i="84"/>
  <c r="CB160" i="84"/>
  <c r="CC160" i="84"/>
  <c r="CD160" i="84"/>
  <c r="CE160" i="84"/>
  <c r="CF160" i="84"/>
  <c r="CG160" i="84"/>
  <c r="BZ161" i="84"/>
  <c r="CA161" i="84"/>
  <c r="CB161" i="84"/>
  <c r="CC161" i="84"/>
  <c r="CD161" i="84"/>
  <c r="CE161" i="84"/>
  <c r="CF161" i="84"/>
  <c r="CG161" i="84"/>
  <c r="BZ162" i="84"/>
  <c r="CA162" i="84"/>
  <c r="CB162" i="84"/>
  <c r="CC162" i="84"/>
  <c r="CD162" i="84"/>
  <c r="CE162" i="84"/>
  <c r="CF162" i="84"/>
  <c r="CG162" i="84"/>
  <c r="BZ163" i="84"/>
  <c r="CA163" i="84"/>
  <c r="CB163" i="84"/>
  <c r="CC163" i="84"/>
  <c r="CD163" i="84"/>
  <c r="CE163" i="84"/>
  <c r="CF163" i="84"/>
  <c r="CG163" i="84"/>
  <c r="BZ164" i="84"/>
  <c r="CA164" i="84"/>
  <c r="CB164" i="84"/>
  <c r="CC164" i="84"/>
  <c r="CD164" i="84"/>
  <c r="CE164" i="84"/>
  <c r="CF164" i="84"/>
  <c r="CG164" i="84"/>
  <c r="BZ165" i="84"/>
  <c r="CA165" i="84"/>
  <c r="CB165" i="84"/>
  <c r="CC165" i="84"/>
  <c r="CD165" i="84"/>
  <c r="CE165" i="84"/>
  <c r="CF165" i="84"/>
  <c r="CG165" i="84"/>
  <c r="BZ166" i="84"/>
  <c r="CA166" i="84"/>
  <c r="CB166" i="84"/>
  <c r="CC166" i="84"/>
  <c r="CD166" i="84"/>
  <c r="CE166" i="84"/>
  <c r="CF166" i="84"/>
  <c r="CG166" i="84"/>
  <c r="BZ167" i="84"/>
  <c r="CA167" i="84"/>
  <c r="CB167" i="84"/>
  <c r="CC167" i="84"/>
  <c r="CD167" i="84"/>
  <c r="CE167" i="84"/>
  <c r="CF167" i="84"/>
  <c r="CG167" i="84"/>
  <c r="BZ168" i="84"/>
  <c r="CA168" i="84"/>
  <c r="CB168" i="84"/>
  <c r="CC168" i="84"/>
  <c r="CD168" i="84"/>
  <c r="CE168" i="84"/>
  <c r="CF168" i="84"/>
  <c r="CG168" i="84"/>
  <c r="BZ169" i="84"/>
  <c r="CA169" i="84"/>
  <c r="CB169" i="84"/>
  <c r="CC169" i="84"/>
  <c r="CD169" i="84"/>
  <c r="CE169" i="84"/>
  <c r="CF169" i="84"/>
  <c r="CG169" i="84"/>
  <c r="BZ170" i="84"/>
  <c r="CA170" i="84"/>
  <c r="CB170" i="84"/>
  <c r="CC170" i="84"/>
  <c r="CD170" i="84"/>
  <c r="CE170" i="84"/>
  <c r="CF170" i="84"/>
  <c r="CG170" i="84"/>
  <c r="BZ171" i="84"/>
  <c r="CA171" i="84"/>
  <c r="CB171" i="84"/>
  <c r="CC171" i="84"/>
  <c r="CD171" i="84"/>
  <c r="CE171" i="84"/>
  <c r="CF171" i="84"/>
  <c r="CG171" i="84"/>
  <c r="BZ172" i="84"/>
  <c r="CA172" i="84"/>
  <c r="CB172" i="84"/>
  <c r="CC172" i="84"/>
  <c r="CD172" i="84"/>
  <c r="CE172" i="84"/>
  <c r="CF172" i="84"/>
  <c r="CG172" i="84"/>
  <c r="BZ173" i="84"/>
  <c r="CA173" i="84"/>
  <c r="CB173" i="84"/>
  <c r="CC173" i="84"/>
  <c r="CD173" i="84"/>
  <c r="CE173" i="84"/>
  <c r="CF173" i="84"/>
  <c r="CG173" i="84"/>
  <c r="BZ174" i="84"/>
  <c r="CA174" i="84"/>
  <c r="CB174" i="84"/>
  <c r="CC174" i="84"/>
  <c r="CD174" i="84"/>
  <c r="CE174" i="84"/>
  <c r="CF174" i="84"/>
  <c r="CG174" i="84"/>
  <c r="BZ175" i="84"/>
  <c r="CA175" i="84"/>
  <c r="CB175" i="84"/>
  <c r="CC175" i="84"/>
  <c r="CD175" i="84"/>
  <c r="CE175" i="84"/>
  <c r="CF175" i="84"/>
  <c r="CG175" i="84"/>
  <c r="CA2" i="84"/>
  <c r="CB2" i="84"/>
  <c r="CC2" i="84"/>
  <c r="CD2" i="84"/>
  <c r="CE2" i="84"/>
  <c r="CF2" i="84"/>
  <c r="CG2" i="84"/>
  <c r="BZ2" i="84"/>
  <c r="BJ176" i="84"/>
  <c r="BK176" i="84"/>
  <c r="BL176" i="84"/>
  <c r="BJ177" i="84"/>
  <c r="BK177" i="84"/>
  <c r="BL177" i="84"/>
  <c r="BJ178" i="84"/>
  <c r="BK178" i="84"/>
  <c r="BL178" i="84"/>
  <c r="BJ179" i="84"/>
  <c r="BK179" i="84"/>
  <c r="BL179" i="84"/>
  <c r="BJ180" i="84"/>
  <c r="BK180" i="84"/>
  <c r="BL180" i="84"/>
  <c r="BJ181" i="84"/>
  <c r="BK181" i="84"/>
  <c r="BL181" i="84"/>
  <c r="BI177" i="84"/>
  <c r="BI178" i="84"/>
  <c r="BI179" i="84"/>
  <c r="BI180" i="84"/>
  <c r="BI181" i="84"/>
  <c r="BI176" i="84"/>
  <c r="BI3" i="84"/>
  <c r="BJ3" i="84"/>
  <c r="BK3" i="84"/>
  <c r="BL3" i="84"/>
  <c r="BI4" i="84"/>
  <c r="BJ4" i="84"/>
  <c r="BK4" i="84"/>
  <c r="BL4" i="84"/>
  <c r="BI5" i="84"/>
  <c r="BJ5" i="84"/>
  <c r="BK5" i="84"/>
  <c r="BL5" i="84"/>
  <c r="BI6" i="84"/>
  <c r="BJ6" i="84"/>
  <c r="BK6" i="84"/>
  <c r="BL6" i="84"/>
  <c r="BI7" i="84"/>
  <c r="BJ7" i="84"/>
  <c r="BK7" i="84"/>
  <c r="BL7" i="84"/>
  <c r="BI8" i="84"/>
  <c r="BJ8" i="84"/>
  <c r="BK8" i="84"/>
  <c r="BL8" i="84"/>
  <c r="BI9" i="84"/>
  <c r="BJ9" i="84"/>
  <c r="BK9" i="84"/>
  <c r="BL9" i="84"/>
  <c r="BI10" i="84"/>
  <c r="BJ10" i="84"/>
  <c r="BK10" i="84"/>
  <c r="BL10" i="84"/>
  <c r="BI11" i="84"/>
  <c r="BJ11" i="84"/>
  <c r="BK11" i="84"/>
  <c r="BL11" i="84"/>
  <c r="BI12" i="84"/>
  <c r="BJ12" i="84"/>
  <c r="BK12" i="84"/>
  <c r="BL12" i="84"/>
  <c r="BI13" i="84"/>
  <c r="BJ13" i="84"/>
  <c r="BK13" i="84"/>
  <c r="BL13" i="84"/>
  <c r="BI14" i="84"/>
  <c r="BJ14" i="84"/>
  <c r="BK14" i="84"/>
  <c r="BL14" i="84"/>
  <c r="BI15" i="84"/>
  <c r="BJ15" i="84"/>
  <c r="BK15" i="84"/>
  <c r="BL15" i="84"/>
  <c r="BI16" i="84"/>
  <c r="BJ16" i="84"/>
  <c r="BK16" i="84"/>
  <c r="BL16" i="84"/>
  <c r="BI17" i="84"/>
  <c r="BJ17" i="84"/>
  <c r="BK17" i="84"/>
  <c r="BL17" i="84"/>
  <c r="BI18" i="84"/>
  <c r="BJ18" i="84"/>
  <c r="BK18" i="84"/>
  <c r="BL18" i="84"/>
  <c r="BI19" i="84"/>
  <c r="BJ19" i="84"/>
  <c r="BK19" i="84"/>
  <c r="BL19" i="84"/>
  <c r="BI20" i="84"/>
  <c r="BJ20" i="84"/>
  <c r="BK20" i="84"/>
  <c r="BL20" i="84"/>
  <c r="BI21" i="84"/>
  <c r="BJ21" i="84"/>
  <c r="BK21" i="84"/>
  <c r="BL21" i="84"/>
  <c r="BI22" i="84"/>
  <c r="BJ22" i="84"/>
  <c r="BK22" i="84"/>
  <c r="BL22" i="84"/>
  <c r="BI23" i="84"/>
  <c r="BJ23" i="84"/>
  <c r="BK23" i="84"/>
  <c r="BL23" i="84"/>
  <c r="BI24" i="84"/>
  <c r="BJ24" i="84"/>
  <c r="BK24" i="84"/>
  <c r="BL24" i="84"/>
  <c r="BI25" i="84"/>
  <c r="BJ25" i="84"/>
  <c r="BK25" i="84"/>
  <c r="BL25" i="84"/>
  <c r="BI26" i="84"/>
  <c r="BJ26" i="84"/>
  <c r="BK26" i="84"/>
  <c r="BL26" i="84"/>
  <c r="BI27" i="84"/>
  <c r="BJ27" i="84"/>
  <c r="BK27" i="84"/>
  <c r="BL27" i="84"/>
  <c r="BI28" i="84"/>
  <c r="BJ28" i="84"/>
  <c r="BK28" i="84"/>
  <c r="BL28" i="84"/>
  <c r="BI29" i="84"/>
  <c r="BJ29" i="84"/>
  <c r="BK29" i="84"/>
  <c r="BL29" i="84"/>
  <c r="BI30" i="84"/>
  <c r="BJ30" i="84"/>
  <c r="BK30" i="84"/>
  <c r="BL30" i="84"/>
  <c r="BI31" i="84"/>
  <c r="BJ31" i="84"/>
  <c r="BK31" i="84"/>
  <c r="BL31" i="84"/>
  <c r="BI32" i="84"/>
  <c r="BJ32" i="84"/>
  <c r="BK32" i="84"/>
  <c r="BL32" i="84"/>
  <c r="BI33" i="84"/>
  <c r="BJ33" i="84"/>
  <c r="BK33" i="84"/>
  <c r="BL33" i="84"/>
  <c r="BI34" i="84"/>
  <c r="BJ34" i="84"/>
  <c r="BK34" i="84"/>
  <c r="BL34" i="84"/>
  <c r="BI35" i="84"/>
  <c r="BJ35" i="84"/>
  <c r="BK35" i="84"/>
  <c r="BL35" i="84"/>
  <c r="BI36" i="84"/>
  <c r="BJ36" i="84"/>
  <c r="BK36" i="84"/>
  <c r="BL36" i="84"/>
  <c r="BI37" i="84"/>
  <c r="BJ37" i="84"/>
  <c r="BK37" i="84"/>
  <c r="BL37" i="84"/>
  <c r="BI38" i="84"/>
  <c r="BJ38" i="84"/>
  <c r="BK38" i="84"/>
  <c r="BL38" i="84"/>
  <c r="BI39" i="84"/>
  <c r="BJ39" i="84"/>
  <c r="BK39" i="84"/>
  <c r="BL39" i="84"/>
  <c r="BI40" i="84"/>
  <c r="BJ40" i="84"/>
  <c r="BK40" i="84"/>
  <c r="BL40" i="84"/>
  <c r="BI41" i="84"/>
  <c r="BJ41" i="84"/>
  <c r="BK41" i="84"/>
  <c r="BL41" i="84"/>
  <c r="BI42" i="84"/>
  <c r="BJ42" i="84"/>
  <c r="BK42" i="84"/>
  <c r="BL42" i="84"/>
  <c r="BI43" i="84"/>
  <c r="BJ43" i="84"/>
  <c r="BK43" i="84"/>
  <c r="BL43" i="84"/>
  <c r="BI44" i="84"/>
  <c r="BJ44" i="84"/>
  <c r="BK44" i="84"/>
  <c r="BL44" i="84"/>
  <c r="BI45" i="84"/>
  <c r="BJ45" i="84"/>
  <c r="BK45" i="84"/>
  <c r="BL45" i="84"/>
  <c r="BI46" i="84"/>
  <c r="BJ46" i="84"/>
  <c r="BK46" i="84"/>
  <c r="BL46" i="84"/>
  <c r="BI47" i="84"/>
  <c r="BJ47" i="84"/>
  <c r="BK47" i="84"/>
  <c r="BL47" i="84"/>
  <c r="BI48" i="84"/>
  <c r="BJ48" i="84"/>
  <c r="BK48" i="84"/>
  <c r="BL48" i="84"/>
  <c r="BI49" i="84"/>
  <c r="BJ49" i="84"/>
  <c r="BK49" i="84"/>
  <c r="BL49" i="84"/>
  <c r="BI50" i="84"/>
  <c r="BJ50" i="84"/>
  <c r="BK50" i="84"/>
  <c r="BL50" i="84"/>
  <c r="BI51" i="84"/>
  <c r="BJ51" i="84"/>
  <c r="BK51" i="84"/>
  <c r="BL51" i="84"/>
  <c r="BI52" i="84"/>
  <c r="BJ52" i="84"/>
  <c r="BK52" i="84"/>
  <c r="BL52" i="84"/>
  <c r="BI53" i="84"/>
  <c r="BJ53" i="84"/>
  <c r="BK53" i="84"/>
  <c r="BL53" i="84"/>
  <c r="BI54" i="84"/>
  <c r="BJ54" i="84"/>
  <c r="BK54" i="84"/>
  <c r="BL54" i="84"/>
  <c r="BI55" i="84"/>
  <c r="BJ55" i="84"/>
  <c r="BK55" i="84"/>
  <c r="BL55" i="84"/>
  <c r="BI56" i="84"/>
  <c r="BJ56" i="84"/>
  <c r="BK56" i="84"/>
  <c r="BL56" i="84"/>
  <c r="BI57" i="84"/>
  <c r="BJ57" i="84"/>
  <c r="BK57" i="84"/>
  <c r="BL57" i="84"/>
  <c r="BI58" i="84"/>
  <c r="BJ58" i="84"/>
  <c r="BK58" i="84"/>
  <c r="BL58" i="84"/>
  <c r="BI59" i="84"/>
  <c r="BJ59" i="84"/>
  <c r="BK59" i="84"/>
  <c r="BL59" i="84"/>
  <c r="BI60" i="84"/>
  <c r="BJ60" i="84"/>
  <c r="BK60" i="84"/>
  <c r="BL60" i="84"/>
  <c r="BI61" i="84"/>
  <c r="BJ61" i="84"/>
  <c r="BK61" i="84"/>
  <c r="BL61" i="84"/>
  <c r="BI62" i="84"/>
  <c r="BJ62" i="84"/>
  <c r="BK62" i="84"/>
  <c r="BL62" i="84"/>
  <c r="BI63" i="84"/>
  <c r="BJ63" i="84"/>
  <c r="BK63" i="84"/>
  <c r="BL63" i="84"/>
  <c r="BI64" i="84"/>
  <c r="BJ64" i="84"/>
  <c r="BK64" i="84"/>
  <c r="BL64" i="84"/>
  <c r="BI65" i="84"/>
  <c r="BJ65" i="84"/>
  <c r="BK65" i="84"/>
  <c r="BL65" i="84"/>
  <c r="BI66" i="84"/>
  <c r="BJ66" i="84"/>
  <c r="BK66" i="84"/>
  <c r="BL66" i="84"/>
  <c r="BI67" i="84"/>
  <c r="BJ67" i="84"/>
  <c r="BK67" i="84"/>
  <c r="BL67" i="84"/>
  <c r="BI68" i="84"/>
  <c r="BJ68" i="84"/>
  <c r="BK68" i="84"/>
  <c r="BL68" i="84"/>
  <c r="BI69" i="84"/>
  <c r="BJ69" i="84"/>
  <c r="BK69" i="84"/>
  <c r="BL69" i="84"/>
  <c r="BI70" i="84"/>
  <c r="BJ70" i="84"/>
  <c r="BK70" i="84"/>
  <c r="BL70" i="84"/>
  <c r="BI71" i="84"/>
  <c r="BJ71" i="84"/>
  <c r="BK71" i="84"/>
  <c r="BL71" i="84"/>
  <c r="BI72" i="84"/>
  <c r="BJ72" i="84"/>
  <c r="BK72" i="84"/>
  <c r="BL72" i="84"/>
  <c r="BI73" i="84"/>
  <c r="BJ73" i="84"/>
  <c r="BK73" i="84"/>
  <c r="BL73" i="84"/>
  <c r="BI74" i="84"/>
  <c r="BJ74" i="84"/>
  <c r="BK74" i="84"/>
  <c r="BL74" i="84"/>
  <c r="BI75" i="84"/>
  <c r="BJ75" i="84"/>
  <c r="BK75" i="84"/>
  <c r="BL75" i="84"/>
  <c r="BI76" i="84"/>
  <c r="BJ76" i="84"/>
  <c r="BK76" i="84"/>
  <c r="BL76" i="84"/>
  <c r="BI77" i="84"/>
  <c r="BJ77" i="84"/>
  <c r="BK77" i="84"/>
  <c r="BL77" i="84"/>
  <c r="BI78" i="84"/>
  <c r="BJ78" i="84"/>
  <c r="BK78" i="84"/>
  <c r="BL78" i="84"/>
  <c r="BI79" i="84"/>
  <c r="BJ79" i="84"/>
  <c r="BK79" i="84"/>
  <c r="BL79" i="84"/>
  <c r="BI80" i="84"/>
  <c r="BJ80" i="84"/>
  <c r="BK80" i="84"/>
  <c r="BL80" i="84"/>
  <c r="BI81" i="84"/>
  <c r="BJ81" i="84"/>
  <c r="BK81" i="84"/>
  <c r="BL81" i="84"/>
  <c r="BI82" i="84"/>
  <c r="BJ82" i="84"/>
  <c r="BK82" i="84"/>
  <c r="BL82" i="84"/>
  <c r="BI83" i="84"/>
  <c r="BJ83" i="84"/>
  <c r="BK83" i="84"/>
  <c r="BL83" i="84"/>
  <c r="BI84" i="84"/>
  <c r="BJ84" i="84"/>
  <c r="BK84" i="84"/>
  <c r="BL84" i="84"/>
  <c r="BI85" i="84"/>
  <c r="BJ85" i="84"/>
  <c r="BK85" i="84"/>
  <c r="BL85" i="84"/>
  <c r="BI86" i="84"/>
  <c r="BJ86" i="84"/>
  <c r="BK86" i="84"/>
  <c r="BL86" i="84"/>
  <c r="BI87" i="84"/>
  <c r="BJ87" i="84"/>
  <c r="BK87" i="84"/>
  <c r="BL87" i="84"/>
  <c r="BI88" i="84"/>
  <c r="BJ88" i="84"/>
  <c r="BK88" i="84"/>
  <c r="BL88" i="84"/>
  <c r="BI89" i="84"/>
  <c r="BJ89" i="84"/>
  <c r="BK89" i="84"/>
  <c r="BL89" i="84"/>
  <c r="BI90" i="84"/>
  <c r="BJ90" i="84"/>
  <c r="BK90" i="84"/>
  <c r="BL90" i="84"/>
  <c r="BI91" i="84"/>
  <c r="BJ91" i="84"/>
  <c r="BK91" i="84"/>
  <c r="BL91" i="84"/>
  <c r="BI92" i="84"/>
  <c r="BJ92" i="84"/>
  <c r="BK92" i="84"/>
  <c r="BL92" i="84"/>
  <c r="BI93" i="84"/>
  <c r="BJ93" i="84"/>
  <c r="BK93" i="84"/>
  <c r="BL93" i="84"/>
  <c r="BI94" i="84"/>
  <c r="BJ94" i="84"/>
  <c r="BK94" i="84"/>
  <c r="BL94" i="84"/>
  <c r="BI95" i="84"/>
  <c r="BJ95" i="84"/>
  <c r="BK95" i="84"/>
  <c r="BL95" i="84"/>
  <c r="BI96" i="84"/>
  <c r="BJ96" i="84"/>
  <c r="BK96" i="84"/>
  <c r="BL96" i="84"/>
  <c r="BI97" i="84"/>
  <c r="BJ97" i="84"/>
  <c r="BK97" i="84"/>
  <c r="BL97" i="84"/>
  <c r="BI98" i="84"/>
  <c r="BJ98" i="84"/>
  <c r="BK98" i="84"/>
  <c r="BL98" i="84"/>
  <c r="BI99" i="84"/>
  <c r="BJ99" i="84"/>
  <c r="BK99" i="84"/>
  <c r="BL99" i="84"/>
  <c r="BI100" i="84"/>
  <c r="BJ100" i="84"/>
  <c r="BK100" i="84"/>
  <c r="BL100" i="84"/>
  <c r="BI101" i="84"/>
  <c r="BJ101" i="84"/>
  <c r="BK101" i="84"/>
  <c r="BL101" i="84"/>
  <c r="BI102" i="84"/>
  <c r="BJ102" i="84"/>
  <c r="BK102" i="84"/>
  <c r="BL102" i="84"/>
  <c r="BI103" i="84"/>
  <c r="BJ103" i="84"/>
  <c r="BK103" i="84"/>
  <c r="BL103" i="84"/>
  <c r="BI104" i="84"/>
  <c r="BJ104" i="84"/>
  <c r="BK104" i="84"/>
  <c r="BL104" i="84"/>
  <c r="BI105" i="84"/>
  <c r="BJ105" i="84"/>
  <c r="BK105" i="84"/>
  <c r="BL105" i="84"/>
  <c r="BI106" i="84"/>
  <c r="BJ106" i="84"/>
  <c r="BK106" i="84"/>
  <c r="BL106" i="84"/>
  <c r="BI107" i="84"/>
  <c r="BJ107" i="84"/>
  <c r="BK107" i="84"/>
  <c r="BL107" i="84"/>
  <c r="BI108" i="84"/>
  <c r="BJ108" i="84"/>
  <c r="BK108" i="84"/>
  <c r="BL108" i="84"/>
  <c r="BI109" i="84"/>
  <c r="BJ109" i="84"/>
  <c r="BK109" i="84"/>
  <c r="BL109" i="84"/>
  <c r="BI110" i="84"/>
  <c r="BJ110" i="84"/>
  <c r="BK110" i="84"/>
  <c r="BL110" i="84"/>
  <c r="BI111" i="84"/>
  <c r="BJ111" i="84"/>
  <c r="BK111" i="84"/>
  <c r="BL111" i="84"/>
  <c r="BI112" i="84"/>
  <c r="BJ112" i="84"/>
  <c r="BK112" i="84"/>
  <c r="BL112" i="84"/>
  <c r="BI113" i="84"/>
  <c r="BJ113" i="84"/>
  <c r="BK113" i="84"/>
  <c r="BL113" i="84"/>
  <c r="BI114" i="84"/>
  <c r="BJ114" i="84"/>
  <c r="BK114" i="84"/>
  <c r="BL114" i="84"/>
  <c r="BI115" i="84"/>
  <c r="BJ115" i="84"/>
  <c r="BK115" i="84"/>
  <c r="BL115" i="84"/>
  <c r="BI116" i="84"/>
  <c r="BJ116" i="84"/>
  <c r="BK116" i="84"/>
  <c r="BL116" i="84"/>
  <c r="BI117" i="84"/>
  <c r="BJ117" i="84"/>
  <c r="BK117" i="84"/>
  <c r="BL117" i="84"/>
  <c r="BI118" i="84"/>
  <c r="BJ118" i="84"/>
  <c r="BK118" i="84"/>
  <c r="BL118" i="84"/>
  <c r="BI119" i="84"/>
  <c r="BJ119" i="84"/>
  <c r="BK119" i="84"/>
  <c r="BL119" i="84"/>
  <c r="BI120" i="84"/>
  <c r="BJ120" i="84"/>
  <c r="BK120" i="84"/>
  <c r="BL120" i="84"/>
  <c r="BI121" i="84"/>
  <c r="BJ121" i="84"/>
  <c r="BK121" i="84"/>
  <c r="BL121" i="84"/>
  <c r="BI122" i="84"/>
  <c r="BJ122" i="84"/>
  <c r="BK122" i="84"/>
  <c r="BL122" i="84"/>
  <c r="BI123" i="84"/>
  <c r="BJ123" i="84"/>
  <c r="BK123" i="84"/>
  <c r="BL123" i="84"/>
  <c r="BI124" i="84"/>
  <c r="BJ124" i="84"/>
  <c r="BK124" i="84"/>
  <c r="BL124" i="84"/>
  <c r="BI125" i="84"/>
  <c r="BJ125" i="84"/>
  <c r="BK125" i="84"/>
  <c r="BL125" i="84"/>
  <c r="BI126" i="84"/>
  <c r="BJ126" i="84"/>
  <c r="BK126" i="84"/>
  <c r="BL126" i="84"/>
  <c r="BI127" i="84"/>
  <c r="BJ127" i="84"/>
  <c r="BK127" i="84"/>
  <c r="BL127" i="84"/>
  <c r="BI128" i="84"/>
  <c r="BJ128" i="84"/>
  <c r="BK128" i="84"/>
  <c r="BL128" i="84"/>
  <c r="BI129" i="84"/>
  <c r="BJ129" i="84"/>
  <c r="BK129" i="84"/>
  <c r="BL129" i="84"/>
  <c r="BI130" i="84"/>
  <c r="BJ130" i="84"/>
  <c r="BK130" i="84"/>
  <c r="BL130" i="84"/>
  <c r="BI131" i="84"/>
  <c r="BJ131" i="84"/>
  <c r="BK131" i="84"/>
  <c r="BL131" i="84"/>
  <c r="BI132" i="84"/>
  <c r="BJ132" i="84"/>
  <c r="BK132" i="84"/>
  <c r="BL132" i="84"/>
  <c r="BI133" i="84"/>
  <c r="BJ133" i="84"/>
  <c r="BK133" i="84"/>
  <c r="BL133" i="84"/>
  <c r="BI134" i="84"/>
  <c r="BJ134" i="84"/>
  <c r="BK134" i="84"/>
  <c r="BL134" i="84"/>
  <c r="BI135" i="84"/>
  <c r="BJ135" i="84"/>
  <c r="BK135" i="84"/>
  <c r="BL135" i="84"/>
  <c r="BI136" i="84"/>
  <c r="BJ136" i="84"/>
  <c r="BK136" i="84"/>
  <c r="BL136" i="84"/>
  <c r="BI137" i="84"/>
  <c r="BJ137" i="84"/>
  <c r="BK137" i="84"/>
  <c r="BL137" i="84"/>
  <c r="BI138" i="84"/>
  <c r="BJ138" i="84"/>
  <c r="BK138" i="84"/>
  <c r="BL138" i="84"/>
  <c r="BI139" i="84"/>
  <c r="BJ139" i="84"/>
  <c r="BK139" i="84"/>
  <c r="BL139" i="84"/>
  <c r="BI140" i="84"/>
  <c r="BJ140" i="84"/>
  <c r="BK140" i="84"/>
  <c r="BL140" i="84"/>
  <c r="BI141" i="84"/>
  <c r="BJ141" i="84"/>
  <c r="BK141" i="84"/>
  <c r="BL141" i="84"/>
  <c r="BI142" i="84"/>
  <c r="BJ142" i="84"/>
  <c r="BK142" i="84"/>
  <c r="BL142" i="84"/>
  <c r="BI143" i="84"/>
  <c r="BJ143" i="84"/>
  <c r="BK143" i="84"/>
  <c r="BL143" i="84"/>
  <c r="BI144" i="84"/>
  <c r="BJ144" i="84"/>
  <c r="BK144" i="84"/>
  <c r="BL144" i="84"/>
  <c r="BI145" i="84"/>
  <c r="BJ145" i="84"/>
  <c r="BK145" i="84"/>
  <c r="BL145" i="84"/>
  <c r="BI146" i="84"/>
  <c r="BJ146" i="84"/>
  <c r="BK146" i="84"/>
  <c r="BL146" i="84"/>
  <c r="BI147" i="84"/>
  <c r="BJ147" i="84"/>
  <c r="BK147" i="84"/>
  <c r="BL147" i="84"/>
  <c r="BI148" i="84"/>
  <c r="BJ148" i="84"/>
  <c r="BK148" i="84"/>
  <c r="BL148" i="84"/>
  <c r="BI149" i="84"/>
  <c r="BJ149" i="84"/>
  <c r="BK149" i="84"/>
  <c r="BL149" i="84"/>
  <c r="BI150" i="84"/>
  <c r="BJ150" i="84"/>
  <c r="BK150" i="84"/>
  <c r="BL150" i="84"/>
  <c r="BI151" i="84"/>
  <c r="BJ151" i="84"/>
  <c r="BK151" i="84"/>
  <c r="BL151" i="84"/>
  <c r="BI152" i="84"/>
  <c r="BJ152" i="84"/>
  <c r="BK152" i="84"/>
  <c r="BL152" i="84"/>
  <c r="BI153" i="84"/>
  <c r="BJ153" i="84"/>
  <c r="BK153" i="84"/>
  <c r="BL153" i="84"/>
  <c r="BI154" i="84"/>
  <c r="BJ154" i="84"/>
  <c r="BK154" i="84"/>
  <c r="BL154" i="84"/>
  <c r="BI155" i="84"/>
  <c r="BJ155" i="84"/>
  <c r="BK155" i="84"/>
  <c r="BL155" i="84"/>
  <c r="BI156" i="84"/>
  <c r="BJ156" i="84"/>
  <c r="BK156" i="84"/>
  <c r="BL156" i="84"/>
  <c r="BI157" i="84"/>
  <c r="BJ157" i="84"/>
  <c r="BK157" i="84"/>
  <c r="BL157" i="84"/>
  <c r="BI158" i="84"/>
  <c r="BJ158" i="84"/>
  <c r="BK158" i="84"/>
  <c r="BL158" i="84"/>
  <c r="BI159" i="84"/>
  <c r="BJ159" i="84"/>
  <c r="BK159" i="84"/>
  <c r="BL159" i="84"/>
  <c r="BI160" i="84"/>
  <c r="BJ160" i="84"/>
  <c r="BK160" i="84"/>
  <c r="BL160" i="84"/>
  <c r="BI161" i="84"/>
  <c r="BJ161" i="84"/>
  <c r="BK161" i="84"/>
  <c r="BL161" i="84"/>
  <c r="BI162" i="84"/>
  <c r="BJ162" i="84"/>
  <c r="BK162" i="84"/>
  <c r="BL162" i="84"/>
  <c r="BI163" i="84"/>
  <c r="BJ163" i="84"/>
  <c r="BK163" i="84"/>
  <c r="BL163" i="84"/>
  <c r="BI164" i="84"/>
  <c r="BJ164" i="84"/>
  <c r="BK164" i="84"/>
  <c r="BL164" i="84"/>
  <c r="BI165" i="84"/>
  <c r="BJ165" i="84"/>
  <c r="BK165" i="84"/>
  <c r="BL165" i="84"/>
  <c r="BI166" i="84"/>
  <c r="BJ166" i="84"/>
  <c r="BK166" i="84"/>
  <c r="BL166" i="84"/>
  <c r="BI167" i="84"/>
  <c r="BJ167" i="84"/>
  <c r="BK167" i="84"/>
  <c r="BL167" i="84"/>
  <c r="BI168" i="84"/>
  <c r="BJ168" i="84"/>
  <c r="BK168" i="84"/>
  <c r="BL168" i="84"/>
  <c r="BI169" i="84"/>
  <c r="BJ169" i="84"/>
  <c r="BK169" i="84"/>
  <c r="BL169" i="84"/>
  <c r="BI170" i="84"/>
  <c r="BJ170" i="84"/>
  <c r="BK170" i="84"/>
  <c r="BL170" i="84"/>
  <c r="BI171" i="84"/>
  <c r="BJ171" i="84"/>
  <c r="BK171" i="84"/>
  <c r="BL171" i="84"/>
  <c r="BI172" i="84"/>
  <c r="BJ172" i="84"/>
  <c r="BK172" i="84"/>
  <c r="BL172" i="84"/>
  <c r="BI173" i="84"/>
  <c r="BJ173" i="84"/>
  <c r="BK173" i="84"/>
  <c r="BL173" i="84"/>
  <c r="BI174" i="84"/>
  <c r="BJ174" i="84"/>
  <c r="BK174" i="84"/>
  <c r="BL174" i="84"/>
  <c r="BI175" i="84"/>
  <c r="BJ175" i="84"/>
  <c r="BK175" i="84"/>
  <c r="BL175" i="84"/>
  <c r="BJ2" i="84"/>
  <c r="BK2" i="84"/>
  <c r="BL2" i="84"/>
  <c r="BI2" i="84"/>
  <c r="AR176" i="84"/>
  <c r="AS176" i="84"/>
  <c r="AT176" i="84"/>
  <c r="AU176" i="84"/>
  <c r="AV176" i="84"/>
  <c r="AW176" i="84"/>
  <c r="AX176" i="84"/>
  <c r="AY176" i="84"/>
  <c r="AZ176" i="84"/>
  <c r="BA176" i="84"/>
  <c r="BB176" i="84"/>
  <c r="BC176" i="84"/>
  <c r="BD176" i="84"/>
  <c r="BE176" i="84"/>
  <c r="BF176" i="84"/>
  <c r="BG176" i="84"/>
  <c r="AR177" i="84"/>
  <c r="AS177" i="84"/>
  <c r="AT177" i="84"/>
  <c r="AU177" i="84"/>
  <c r="AV177" i="84"/>
  <c r="AW177" i="84"/>
  <c r="AX177" i="84"/>
  <c r="AY177" i="84"/>
  <c r="AZ177" i="84"/>
  <c r="BA177" i="84"/>
  <c r="BB177" i="84"/>
  <c r="BC177" i="84"/>
  <c r="BD177" i="84"/>
  <c r="BE177" i="84"/>
  <c r="BF177" i="84"/>
  <c r="BG177" i="84"/>
  <c r="AR178" i="84"/>
  <c r="AS178" i="84"/>
  <c r="AT178" i="84"/>
  <c r="AU178" i="84"/>
  <c r="AV178" i="84"/>
  <c r="AW178" i="84"/>
  <c r="AX178" i="84"/>
  <c r="AY178" i="84"/>
  <c r="AZ178" i="84"/>
  <c r="BA178" i="84"/>
  <c r="BB178" i="84"/>
  <c r="BC178" i="84"/>
  <c r="BD178" i="84"/>
  <c r="BE178" i="84"/>
  <c r="BF178" i="84"/>
  <c r="BG178" i="84"/>
  <c r="AR179" i="84"/>
  <c r="AS179" i="84"/>
  <c r="AT179" i="84"/>
  <c r="AU179" i="84"/>
  <c r="AV179" i="84"/>
  <c r="AW179" i="84"/>
  <c r="AX179" i="84"/>
  <c r="AY179" i="84"/>
  <c r="AZ179" i="84"/>
  <c r="BA179" i="84"/>
  <c r="BB179" i="84"/>
  <c r="BC179" i="84"/>
  <c r="BD179" i="84"/>
  <c r="BE179" i="84"/>
  <c r="BF179" i="84"/>
  <c r="BG179" i="84"/>
  <c r="AR180" i="84"/>
  <c r="AS180" i="84"/>
  <c r="AT180" i="84"/>
  <c r="AU180" i="84"/>
  <c r="AV180" i="84"/>
  <c r="AW180" i="84"/>
  <c r="AX180" i="84"/>
  <c r="AY180" i="84"/>
  <c r="AZ180" i="84"/>
  <c r="BA180" i="84"/>
  <c r="BB180" i="84"/>
  <c r="BC180" i="84"/>
  <c r="BD180" i="84"/>
  <c r="BE180" i="84"/>
  <c r="BF180" i="84"/>
  <c r="BG180" i="84"/>
  <c r="AR181" i="84"/>
  <c r="AS181" i="84"/>
  <c r="AT181" i="84"/>
  <c r="AU181" i="84"/>
  <c r="AV181" i="84"/>
  <c r="AW181" i="84"/>
  <c r="AX181" i="84"/>
  <c r="AY181" i="84"/>
  <c r="AZ181" i="84"/>
  <c r="BA181" i="84"/>
  <c r="BB181" i="84"/>
  <c r="BC181" i="84"/>
  <c r="BD181" i="84"/>
  <c r="BE181" i="84"/>
  <c r="BF181" i="84"/>
  <c r="BG181" i="84"/>
  <c r="AQ177" i="84"/>
  <c r="AQ178" i="84"/>
  <c r="AQ179" i="84"/>
  <c r="AQ180" i="84"/>
  <c r="AQ181" i="84"/>
  <c r="AQ176" i="84"/>
  <c r="AR2" i="84"/>
  <c r="AS2" i="84"/>
  <c r="AT2" i="84"/>
  <c r="AU2" i="84"/>
  <c r="AV2" i="84"/>
  <c r="AW2" i="84"/>
  <c r="AX2" i="84"/>
  <c r="AY2" i="84"/>
  <c r="AZ2" i="84"/>
  <c r="BA2" i="84"/>
  <c r="BB2" i="84"/>
  <c r="BC2" i="84"/>
  <c r="BD2" i="84"/>
  <c r="BE2" i="84"/>
  <c r="BF2" i="84"/>
  <c r="BG2" i="84"/>
  <c r="AR3" i="84"/>
  <c r="AS3" i="84"/>
  <c r="AT3" i="84"/>
  <c r="AU3" i="84"/>
  <c r="AV3" i="84"/>
  <c r="AW3" i="84"/>
  <c r="AX3" i="84"/>
  <c r="AY3" i="84"/>
  <c r="AZ3" i="84"/>
  <c r="BA3" i="84"/>
  <c r="BB3" i="84"/>
  <c r="BC3" i="84"/>
  <c r="BD3" i="84"/>
  <c r="BE3" i="84"/>
  <c r="BF3" i="84"/>
  <c r="BG3" i="84"/>
  <c r="AR4" i="84"/>
  <c r="AS4" i="84"/>
  <c r="AT4" i="84"/>
  <c r="AU4" i="84"/>
  <c r="AV4" i="84"/>
  <c r="AW4" i="84"/>
  <c r="AX4" i="84"/>
  <c r="AY4" i="84"/>
  <c r="AZ4" i="84"/>
  <c r="BA4" i="84"/>
  <c r="BB4" i="84"/>
  <c r="BC4" i="84"/>
  <c r="BD4" i="84"/>
  <c r="BE4" i="84"/>
  <c r="BF4" i="84"/>
  <c r="BG4" i="84"/>
  <c r="AR5" i="84"/>
  <c r="AS5" i="84"/>
  <c r="AT5" i="84"/>
  <c r="AU5" i="84"/>
  <c r="AV5" i="84"/>
  <c r="AW5" i="84"/>
  <c r="AX5" i="84"/>
  <c r="AY5" i="84"/>
  <c r="AZ5" i="84"/>
  <c r="BA5" i="84"/>
  <c r="BB5" i="84"/>
  <c r="BC5" i="84"/>
  <c r="BD5" i="84"/>
  <c r="BE5" i="84"/>
  <c r="BF5" i="84"/>
  <c r="BG5" i="84"/>
  <c r="AR6" i="84"/>
  <c r="AS6" i="84"/>
  <c r="AT6" i="84"/>
  <c r="AU6" i="84"/>
  <c r="AV6" i="84"/>
  <c r="AW6" i="84"/>
  <c r="AX6" i="84"/>
  <c r="AY6" i="84"/>
  <c r="AZ6" i="84"/>
  <c r="BA6" i="84"/>
  <c r="BB6" i="84"/>
  <c r="BC6" i="84"/>
  <c r="BD6" i="84"/>
  <c r="BE6" i="84"/>
  <c r="BF6" i="84"/>
  <c r="BG6" i="84"/>
  <c r="AR7" i="84"/>
  <c r="AS7" i="84"/>
  <c r="AT7" i="84"/>
  <c r="AU7" i="84"/>
  <c r="AV7" i="84"/>
  <c r="AW7" i="84"/>
  <c r="AX7" i="84"/>
  <c r="AY7" i="84"/>
  <c r="AZ7" i="84"/>
  <c r="BA7" i="84"/>
  <c r="BB7" i="84"/>
  <c r="BC7" i="84"/>
  <c r="BD7" i="84"/>
  <c r="BE7" i="84"/>
  <c r="BF7" i="84"/>
  <c r="BG7" i="84"/>
  <c r="AR8" i="84"/>
  <c r="AS8" i="84"/>
  <c r="AT8" i="84"/>
  <c r="AU8" i="84"/>
  <c r="AV8" i="84"/>
  <c r="AW8" i="84"/>
  <c r="AX8" i="84"/>
  <c r="AY8" i="84"/>
  <c r="AZ8" i="84"/>
  <c r="BA8" i="84"/>
  <c r="BB8" i="84"/>
  <c r="BC8" i="84"/>
  <c r="BD8" i="84"/>
  <c r="BE8" i="84"/>
  <c r="BF8" i="84"/>
  <c r="BG8" i="84"/>
  <c r="AR9" i="84"/>
  <c r="AS9" i="84"/>
  <c r="AT9" i="84"/>
  <c r="AU9" i="84"/>
  <c r="AV9" i="84"/>
  <c r="AW9" i="84"/>
  <c r="AX9" i="84"/>
  <c r="AY9" i="84"/>
  <c r="AZ9" i="84"/>
  <c r="BA9" i="84"/>
  <c r="BB9" i="84"/>
  <c r="BC9" i="84"/>
  <c r="BD9" i="84"/>
  <c r="BE9" i="84"/>
  <c r="BF9" i="84"/>
  <c r="BG9" i="84"/>
  <c r="AR10" i="84"/>
  <c r="AS10" i="84"/>
  <c r="AT10" i="84"/>
  <c r="AU10" i="84"/>
  <c r="AV10" i="84"/>
  <c r="AW10" i="84"/>
  <c r="AX10" i="84"/>
  <c r="AY10" i="84"/>
  <c r="AZ10" i="84"/>
  <c r="BA10" i="84"/>
  <c r="BB10" i="84"/>
  <c r="BC10" i="84"/>
  <c r="BD10" i="84"/>
  <c r="BE10" i="84"/>
  <c r="BF10" i="84"/>
  <c r="BG10" i="84"/>
  <c r="AR11" i="84"/>
  <c r="AS11" i="84"/>
  <c r="AT11" i="84"/>
  <c r="AU11" i="84"/>
  <c r="AV11" i="84"/>
  <c r="AW11" i="84"/>
  <c r="AX11" i="84"/>
  <c r="AY11" i="84"/>
  <c r="AZ11" i="84"/>
  <c r="BA11" i="84"/>
  <c r="BB11" i="84"/>
  <c r="BC11" i="84"/>
  <c r="BD11" i="84"/>
  <c r="BE11" i="84"/>
  <c r="BF11" i="84"/>
  <c r="BG11" i="84"/>
  <c r="AR12" i="84"/>
  <c r="AS12" i="84"/>
  <c r="AT12" i="84"/>
  <c r="AU12" i="84"/>
  <c r="AV12" i="84"/>
  <c r="AW12" i="84"/>
  <c r="AX12" i="84"/>
  <c r="AY12" i="84"/>
  <c r="AZ12" i="84"/>
  <c r="BA12" i="84"/>
  <c r="BB12" i="84"/>
  <c r="BC12" i="84"/>
  <c r="BD12" i="84"/>
  <c r="BE12" i="84"/>
  <c r="BF12" i="84"/>
  <c r="BG12" i="84"/>
  <c r="AR13" i="84"/>
  <c r="AS13" i="84"/>
  <c r="AT13" i="84"/>
  <c r="AU13" i="84"/>
  <c r="AV13" i="84"/>
  <c r="AW13" i="84"/>
  <c r="AX13" i="84"/>
  <c r="AY13" i="84"/>
  <c r="AZ13" i="84"/>
  <c r="BA13" i="84"/>
  <c r="BB13" i="84"/>
  <c r="BC13" i="84"/>
  <c r="BD13" i="84"/>
  <c r="BE13" i="84"/>
  <c r="BF13" i="84"/>
  <c r="BG13" i="84"/>
  <c r="AR14" i="84"/>
  <c r="AS14" i="84"/>
  <c r="AT14" i="84"/>
  <c r="AU14" i="84"/>
  <c r="AV14" i="84"/>
  <c r="AW14" i="84"/>
  <c r="AX14" i="84"/>
  <c r="AY14" i="84"/>
  <c r="AZ14" i="84"/>
  <c r="BA14" i="84"/>
  <c r="BB14" i="84"/>
  <c r="BC14" i="84"/>
  <c r="BD14" i="84"/>
  <c r="BE14" i="84"/>
  <c r="BF14" i="84"/>
  <c r="BG14" i="84"/>
  <c r="AR15" i="84"/>
  <c r="AS15" i="84"/>
  <c r="AT15" i="84"/>
  <c r="AU15" i="84"/>
  <c r="AV15" i="84"/>
  <c r="AW15" i="84"/>
  <c r="AX15" i="84"/>
  <c r="AY15" i="84"/>
  <c r="AZ15" i="84"/>
  <c r="BA15" i="84"/>
  <c r="BB15" i="84"/>
  <c r="BC15" i="84"/>
  <c r="BD15" i="84"/>
  <c r="BE15" i="84"/>
  <c r="BF15" i="84"/>
  <c r="BG15" i="84"/>
  <c r="AR16" i="84"/>
  <c r="AS16" i="84"/>
  <c r="AT16" i="84"/>
  <c r="AU16" i="84"/>
  <c r="AV16" i="84"/>
  <c r="AW16" i="84"/>
  <c r="AX16" i="84"/>
  <c r="AY16" i="84"/>
  <c r="AZ16" i="84"/>
  <c r="BA16" i="84"/>
  <c r="BB16" i="84"/>
  <c r="BC16" i="84"/>
  <c r="BD16" i="84"/>
  <c r="BE16" i="84"/>
  <c r="BF16" i="84"/>
  <c r="BG16" i="84"/>
  <c r="AR17" i="84"/>
  <c r="AS17" i="84"/>
  <c r="AT17" i="84"/>
  <c r="AU17" i="84"/>
  <c r="AV17" i="84"/>
  <c r="AW17" i="84"/>
  <c r="AX17" i="84"/>
  <c r="AY17" i="84"/>
  <c r="AZ17" i="84"/>
  <c r="BA17" i="84"/>
  <c r="BB17" i="84"/>
  <c r="BC17" i="84"/>
  <c r="BD17" i="84"/>
  <c r="BE17" i="84"/>
  <c r="BF17" i="84"/>
  <c r="BG17" i="84"/>
  <c r="AR18" i="84"/>
  <c r="AS18" i="84"/>
  <c r="AT18" i="84"/>
  <c r="AU18" i="84"/>
  <c r="AV18" i="84"/>
  <c r="AW18" i="84"/>
  <c r="AX18" i="84"/>
  <c r="AY18" i="84"/>
  <c r="AZ18" i="84"/>
  <c r="BA18" i="84"/>
  <c r="BB18" i="84"/>
  <c r="BC18" i="84"/>
  <c r="BD18" i="84"/>
  <c r="BE18" i="84"/>
  <c r="BF18" i="84"/>
  <c r="BG18" i="84"/>
  <c r="AR19" i="84"/>
  <c r="AS19" i="84"/>
  <c r="AT19" i="84"/>
  <c r="AU19" i="84"/>
  <c r="AV19" i="84"/>
  <c r="AW19" i="84"/>
  <c r="AX19" i="84"/>
  <c r="AY19" i="84"/>
  <c r="AZ19" i="84"/>
  <c r="BA19" i="84"/>
  <c r="BB19" i="84"/>
  <c r="BC19" i="84"/>
  <c r="BD19" i="84"/>
  <c r="BE19" i="84"/>
  <c r="BF19" i="84"/>
  <c r="BG19" i="84"/>
  <c r="AR20" i="84"/>
  <c r="AS20" i="84"/>
  <c r="AT20" i="84"/>
  <c r="AU20" i="84"/>
  <c r="AV20" i="84"/>
  <c r="AW20" i="84"/>
  <c r="AX20" i="84"/>
  <c r="AY20" i="84"/>
  <c r="AZ20" i="84"/>
  <c r="BA20" i="84"/>
  <c r="BB20" i="84"/>
  <c r="BC20" i="84"/>
  <c r="BD20" i="84"/>
  <c r="BE20" i="84"/>
  <c r="BF20" i="84"/>
  <c r="BG20" i="84"/>
  <c r="AR21" i="84"/>
  <c r="AS21" i="84"/>
  <c r="AT21" i="84"/>
  <c r="AU21" i="84"/>
  <c r="AV21" i="84"/>
  <c r="AW21" i="84"/>
  <c r="AX21" i="84"/>
  <c r="AY21" i="84"/>
  <c r="AZ21" i="84"/>
  <c r="BA21" i="84"/>
  <c r="BB21" i="84"/>
  <c r="BC21" i="84"/>
  <c r="BD21" i="84"/>
  <c r="BE21" i="84"/>
  <c r="BF21" i="84"/>
  <c r="BG21" i="84"/>
  <c r="AR22" i="84"/>
  <c r="AS22" i="84"/>
  <c r="AT22" i="84"/>
  <c r="AU22" i="84"/>
  <c r="AV22" i="84"/>
  <c r="AW22" i="84"/>
  <c r="AX22" i="84"/>
  <c r="AY22" i="84"/>
  <c r="AZ22" i="84"/>
  <c r="BA22" i="84"/>
  <c r="BB22" i="84"/>
  <c r="BC22" i="84"/>
  <c r="BD22" i="84"/>
  <c r="BE22" i="84"/>
  <c r="BF22" i="84"/>
  <c r="BG22" i="84"/>
  <c r="AR23" i="84"/>
  <c r="AS23" i="84"/>
  <c r="AT23" i="84"/>
  <c r="AU23" i="84"/>
  <c r="AV23" i="84"/>
  <c r="AW23" i="84"/>
  <c r="AX23" i="84"/>
  <c r="AY23" i="84"/>
  <c r="AZ23" i="84"/>
  <c r="BA23" i="84"/>
  <c r="BB23" i="84"/>
  <c r="BC23" i="84"/>
  <c r="BD23" i="84"/>
  <c r="BE23" i="84"/>
  <c r="BF23" i="84"/>
  <c r="BG23" i="84"/>
  <c r="AR24" i="84"/>
  <c r="AS24" i="84"/>
  <c r="AT24" i="84"/>
  <c r="AU24" i="84"/>
  <c r="AV24" i="84"/>
  <c r="AW24" i="84"/>
  <c r="AX24" i="84"/>
  <c r="AY24" i="84"/>
  <c r="AZ24" i="84"/>
  <c r="BA24" i="84"/>
  <c r="BB24" i="84"/>
  <c r="BC24" i="84"/>
  <c r="BD24" i="84"/>
  <c r="BE24" i="84"/>
  <c r="BF24" i="84"/>
  <c r="BG24" i="84"/>
  <c r="AR25" i="84"/>
  <c r="AS25" i="84"/>
  <c r="AT25" i="84"/>
  <c r="AU25" i="84"/>
  <c r="AV25" i="84"/>
  <c r="AW25" i="84"/>
  <c r="AX25" i="84"/>
  <c r="AY25" i="84"/>
  <c r="AZ25" i="84"/>
  <c r="BA25" i="84"/>
  <c r="BB25" i="84"/>
  <c r="BC25" i="84"/>
  <c r="BD25" i="84"/>
  <c r="BE25" i="84"/>
  <c r="BF25" i="84"/>
  <c r="BG25" i="84"/>
  <c r="AR26" i="84"/>
  <c r="AS26" i="84"/>
  <c r="AT26" i="84"/>
  <c r="AU26" i="84"/>
  <c r="AV26" i="84"/>
  <c r="AW26" i="84"/>
  <c r="AX26" i="84"/>
  <c r="AY26" i="84"/>
  <c r="AZ26" i="84"/>
  <c r="BA26" i="84"/>
  <c r="BB26" i="84"/>
  <c r="BC26" i="84"/>
  <c r="BD26" i="84"/>
  <c r="BE26" i="84"/>
  <c r="BF26" i="84"/>
  <c r="BG26" i="84"/>
  <c r="AR27" i="84"/>
  <c r="AS27" i="84"/>
  <c r="AT27" i="84"/>
  <c r="AU27" i="84"/>
  <c r="AV27" i="84"/>
  <c r="AW27" i="84"/>
  <c r="AX27" i="84"/>
  <c r="AY27" i="84"/>
  <c r="AZ27" i="84"/>
  <c r="BA27" i="84"/>
  <c r="BB27" i="84"/>
  <c r="BC27" i="84"/>
  <c r="BD27" i="84"/>
  <c r="BE27" i="84"/>
  <c r="BF27" i="84"/>
  <c r="BG27" i="84"/>
  <c r="AR28" i="84"/>
  <c r="AS28" i="84"/>
  <c r="AT28" i="84"/>
  <c r="AU28" i="84"/>
  <c r="AV28" i="84"/>
  <c r="AW28" i="84"/>
  <c r="AX28" i="84"/>
  <c r="AY28" i="84"/>
  <c r="AZ28" i="84"/>
  <c r="BA28" i="84"/>
  <c r="BB28" i="84"/>
  <c r="BC28" i="84"/>
  <c r="BD28" i="84"/>
  <c r="BE28" i="84"/>
  <c r="BF28" i="84"/>
  <c r="BG28" i="84"/>
  <c r="AR29" i="84"/>
  <c r="AS29" i="84"/>
  <c r="AT29" i="84"/>
  <c r="AU29" i="84"/>
  <c r="AV29" i="84"/>
  <c r="AW29" i="84"/>
  <c r="AX29" i="84"/>
  <c r="AY29" i="84"/>
  <c r="AZ29" i="84"/>
  <c r="BA29" i="84"/>
  <c r="BB29" i="84"/>
  <c r="BC29" i="84"/>
  <c r="BD29" i="84"/>
  <c r="BE29" i="84"/>
  <c r="BF29" i="84"/>
  <c r="BG29" i="84"/>
  <c r="AR30" i="84"/>
  <c r="AS30" i="84"/>
  <c r="AT30" i="84"/>
  <c r="AU30" i="84"/>
  <c r="AV30" i="84"/>
  <c r="AW30" i="84"/>
  <c r="AX30" i="84"/>
  <c r="AY30" i="84"/>
  <c r="AZ30" i="84"/>
  <c r="BA30" i="84"/>
  <c r="BB30" i="84"/>
  <c r="BC30" i="84"/>
  <c r="BD30" i="84"/>
  <c r="BE30" i="84"/>
  <c r="BF30" i="84"/>
  <c r="BG30" i="84"/>
  <c r="AR31" i="84"/>
  <c r="AS31" i="84"/>
  <c r="AT31" i="84"/>
  <c r="AU31" i="84"/>
  <c r="AV31" i="84"/>
  <c r="AW31" i="84"/>
  <c r="AX31" i="84"/>
  <c r="AY31" i="84"/>
  <c r="AZ31" i="84"/>
  <c r="BA31" i="84"/>
  <c r="BB31" i="84"/>
  <c r="BC31" i="84"/>
  <c r="BD31" i="84"/>
  <c r="BE31" i="84"/>
  <c r="BF31" i="84"/>
  <c r="BG31" i="84"/>
  <c r="AR32" i="84"/>
  <c r="AS32" i="84"/>
  <c r="AT32" i="84"/>
  <c r="AU32" i="84"/>
  <c r="AV32" i="84"/>
  <c r="AW32" i="84"/>
  <c r="AX32" i="84"/>
  <c r="AY32" i="84"/>
  <c r="AZ32" i="84"/>
  <c r="BA32" i="84"/>
  <c r="BB32" i="84"/>
  <c r="BC32" i="84"/>
  <c r="BD32" i="84"/>
  <c r="BE32" i="84"/>
  <c r="BF32" i="84"/>
  <c r="BG32" i="84"/>
  <c r="AR33" i="84"/>
  <c r="AS33" i="84"/>
  <c r="AT33" i="84"/>
  <c r="AU33" i="84"/>
  <c r="AV33" i="84"/>
  <c r="AW33" i="84"/>
  <c r="AX33" i="84"/>
  <c r="AY33" i="84"/>
  <c r="AZ33" i="84"/>
  <c r="BA33" i="84"/>
  <c r="BB33" i="84"/>
  <c r="BC33" i="84"/>
  <c r="BD33" i="84"/>
  <c r="BE33" i="84"/>
  <c r="BF33" i="84"/>
  <c r="BG33" i="84"/>
  <c r="AR34" i="84"/>
  <c r="AS34" i="84"/>
  <c r="AT34" i="84"/>
  <c r="AU34" i="84"/>
  <c r="AV34" i="84"/>
  <c r="AW34" i="84"/>
  <c r="AX34" i="84"/>
  <c r="AY34" i="84"/>
  <c r="AZ34" i="84"/>
  <c r="BA34" i="84"/>
  <c r="BB34" i="84"/>
  <c r="BC34" i="84"/>
  <c r="BD34" i="84"/>
  <c r="BE34" i="84"/>
  <c r="BF34" i="84"/>
  <c r="BG34" i="84"/>
  <c r="AR35" i="84"/>
  <c r="AS35" i="84"/>
  <c r="AT35" i="84"/>
  <c r="AU35" i="84"/>
  <c r="AV35" i="84"/>
  <c r="AW35" i="84"/>
  <c r="AX35" i="84"/>
  <c r="AY35" i="84"/>
  <c r="AZ35" i="84"/>
  <c r="BA35" i="84"/>
  <c r="BB35" i="84"/>
  <c r="BC35" i="84"/>
  <c r="BD35" i="84"/>
  <c r="BE35" i="84"/>
  <c r="BF35" i="84"/>
  <c r="BG35" i="84"/>
  <c r="AR36" i="84"/>
  <c r="AS36" i="84"/>
  <c r="AT36" i="84"/>
  <c r="AU36" i="84"/>
  <c r="AV36" i="84"/>
  <c r="AW36" i="84"/>
  <c r="AX36" i="84"/>
  <c r="AY36" i="84"/>
  <c r="AZ36" i="84"/>
  <c r="BA36" i="84"/>
  <c r="BB36" i="84"/>
  <c r="BC36" i="84"/>
  <c r="BD36" i="84"/>
  <c r="BE36" i="84"/>
  <c r="BF36" i="84"/>
  <c r="BG36" i="84"/>
  <c r="AR37" i="84"/>
  <c r="AS37" i="84"/>
  <c r="AT37" i="84"/>
  <c r="AU37" i="84"/>
  <c r="AV37" i="84"/>
  <c r="AW37" i="84"/>
  <c r="AX37" i="84"/>
  <c r="AY37" i="84"/>
  <c r="AZ37" i="84"/>
  <c r="BA37" i="84"/>
  <c r="BB37" i="84"/>
  <c r="BC37" i="84"/>
  <c r="BD37" i="84"/>
  <c r="BE37" i="84"/>
  <c r="BF37" i="84"/>
  <c r="BG37" i="84"/>
  <c r="AR38" i="84"/>
  <c r="AS38" i="84"/>
  <c r="AT38" i="84"/>
  <c r="AU38" i="84"/>
  <c r="AV38" i="84"/>
  <c r="AW38" i="84"/>
  <c r="AX38" i="84"/>
  <c r="AY38" i="84"/>
  <c r="AZ38" i="84"/>
  <c r="BA38" i="84"/>
  <c r="BB38" i="84"/>
  <c r="BC38" i="84"/>
  <c r="BD38" i="84"/>
  <c r="BE38" i="84"/>
  <c r="BF38" i="84"/>
  <c r="BG38" i="84"/>
  <c r="AR39" i="84"/>
  <c r="AS39" i="84"/>
  <c r="AT39" i="84"/>
  <c r="AU39" i="84"/>
  <c r="AV39" i="84"/>
  <c r="AW39" i="84"/>
  <c r="AX39" i="84"/>
  <c r="AY39" i="84"/>
  <c r="AZ39" i="84"/>
  <c r="BA39" i="84"/>
  <c r="BB39" i="84"/>
  <c r="BC39" i="84"/>
  <c r="BD39" i="84"/>
  <c r="BE39" i="84"/>
  <c r="BF39" i="84"/>
  <c r="BG39" i="84"/>
  <c r="AR40" i="84"/>
  <c r="AS40" i="84"/>
  <c r="AT40" i="84"/>
  <c r="AU40" i="84"/>
  <c r="AV40" i="84"/>
  <c r="AW40" i="84"/>
  <c r="AX40" i="84"/>
  <c r="AY40" i="84"/>
  <c r="AZ40" i="84"/>
  <c r="BA40" i="84"/>
  <c r="BB40" i="84"/>
  <c r="BC40" i="84"/>
  <c r="BD40" i="84"/>
  <c r="BE40" i="84"/>
  <c r="BF40" i="84"/>
  <c r="BG40" i="84"/>
  <c r="AR41" i="84"/>
  <c r="AS41" i="84"/>
  <c r="AT41" i="84"/>
  <c r="AU41" i="84"/>
  <c r="AV41" i="84"/>
  <c r="AW41" i="84"/>
  <c r="AX41" i="84"/>
  <c r="AY41" i="84"/>
  <c r="AZ41" i="84"/>
  <c r="BA41" i="84"/>
  <c r="BB41" i="84"/>
  <c r="BC41" i="84"/>
  <c r="BD41" i="84"/>
  <c r="BE41" i="84"/>
  <c r="BF41" i="84"/>
  <c r="BG41" i="84"/>
  <c r="AR42" i="84"/>
  <c r="AS42" i="84"/>
  <c r="AT42" i="84"/>
  <c r="AU42" i="84"/>
  <c r="AV42" i="84"/>
  <c r="AW42" i="84"/>
  <c r="AX42" i="84"/>
  <c r="AY42" i="84"/>
  <c r="AZ42" i="84"/>
  <c r="BA42" i="84"/>
  <c r="BB42" i="84"/>
  <c r="BC42" i="84"/>
  <c r="BD42" i="84"/>
  <c r="BE42" i="84"/>
  <c r="BF42" i="84"/>
  <c r="BG42" i="84"/>
  <c r="AR43" i="84"/>
  <c r="AS43" i="84"/>
  <c r="AT43" i="84"/>
  <c r="AU43" i="84"/>
  <c r="AV43" i="84"/>
  <c r="AW43" i="84"/>
  <c r="AX43" i="84"/>
  <c r="AY43" i="84"/>
  <c r="AZ43" i="84"/>
  <c r="BA43" i="84"/>
  <c r="BB43" i="84"/>
  <c r="BC43" i="84"/>
  <c r="BD43" i="84"/>
  <c r="BE43" i="84"/>
  <c r="BF43" i="84"/>
  <c r="BG43" i="84"/>
  <c r="AR44" i="84"/>
  <c r="AS44" i="84"/>
  <c r="AT44" i="84"/>
  <c r="AU44" i="84"/>
  <c r="AV44" i="84"/>
  <c r="AW44" i="84"/>
  <c r="AX44" i="84"/>
  <c r="AY44" i="84"/>
  <c r="AZ44" i="84"/>
  <c r="BA44" i="84"/>
  <c r="BB44" i="84"/>
  <c r="BC44" i="84"/>
  <c r="BD44" i="84"/>
  <c r="BE44" i="84"/>
  <c r="BF44" i="84"/>
  <c r="BG44" i="84"/>
  <c r="AR45" i="84"/>
  <c r="AS45" i="84"/>
  <c r="AT45" i="84"/>
  <c r="AU45" i="84"/>
  <c r="AV45" i="84"/>
  <c r="AW45" i="84"/>
  <c r="AX45" i="84"/>
  <c r="AY45" i="84"/>
  <c r="AZ45" i="84"/>
  <c r="BA45" i="84"/>
  <c r="BB45" i="84"/>
  <c r="BC45" i="84"/>
  <c r="BD45" i="84"/>
  <c r="BE45" i="84"/>
  <c r="BF45" i="84"/>
  <c r="BG45" i="84"/>
  <c r="AR46" i="84"/>
  <c r="AS46" i="84"/>
  <c r="AT46" i="84"/>
  <c r="AU46" i="84"/>
  <c r="AV46" i="84"/>
  <c r="AW46" i="84"/>
  <c r="AX46" i="84"/>
  <c r="AY46" i="84"/>
  <c r="AZ46" i="84"/>
  <c r="BA46" i="84"/>
  <c r="BB46" i="84"/>
  <c r="BC46" i="84"/>
  <c r="BD46" i="84"/>
  <c r="BE46" i="84"/>
  <c r="BF46" i="84"/>
  <c r="BG46" i="84"/>
  <c r="AR47" i="84"/>
  <c r="AS47" i="84"/>
  <c r="AT47" i="84"/>
  <c r="AU47" i="84"/>
  <c r="AV47" i="84"/>
  <c r="AW47" i="84"/>
  <c r="AX47" i="84"/>
  <c r="AY47" i="84"/>
  <c r="AZ47" i="84"/>
  <c r="BA47" i="84"/>
  <c r="BB47" i="84"/>
  <c r="BC47" i="84"/>
  <c r="BD47" i="84"/>
  <c r="BE47" i="84"/>
  <c r="BF47" i="84"/>
  <c r="BG47" i="84"/>
  <c r="AR48" i="84"/>
  <c r="AS48" i="84"/>
  <c r="AT48" i="84"/>
  <c r="AU48" i="84"/>
  <c r="AV48" i="84"/>
  <c r="AW48" i="84"/>
  <c r="AX48" i="84"/>
  <c r="AY48" i="84"/>
  <c r="AZ48" i="84"/>
  <c r="BA48" i="84"/>
  <c r="BB48" i="84"/>
  <c r="BC48" i="84"/>
  <c r="BD48" i="84"/>
  <c r="BE48" i="84"/>
  <c r="BF48" i="84"/>
  <c r="BG48" i="84"/>
  <c r="AR49" i="84"/>
  <c r="AS49" i="84"/>
  <c r="AT49" i="84"/>
  <c r="AU49" i="84"/>
  <c r="AV49" i="84"/>
  <c r="AW49" i="84"/>
  <c r="AX49" i="84"/>
  <c r="AY49" i="84"/>
  <c r="AZ49" i="84"/>
  <c r="BA49" i="84"/>
  <c r="BB49" i="84"/>
  <c r="BC49" i="84"/>
  <c r="BD49" i="84"/>
  <c r="BE49" i="84"/>
  <c r="BF49" i="84"/>
  <c r="BG49" i="84"/>
  <c r="AR50" i="84"/>
  <c r="AS50" i="84"/>
  <c r="AT50" i="84"/>
  <c r="AU50" i="84"/>
  <c r="AV50" i="84"/>
  <c r="AW50" i="84"/>
  <c r="AX50" i="84"/>
  <c r="AY50" i="84"/>
  <c r="AZ50" i="84"/>
  <c r="BA50" i="84"/>
  <c r="BB50" i="84"/>
  <c r="BC50" i="84"/>
  <c r="BD50" i="84"/>
  <c r="BE50" i="84"/>
  <c r="BF50" i="84"/>
  <c r="BG50" i="84"/>
  <c r="AR51" i="84"/>
  <c r="AS51" i="84"/>
  <c r="AT51" i="84"/>
  <c r="AU51" i="84"/>
  <c r="AV51" i="84"/>
  <c r="AW51" i="84"/>
  <c r="AX51" i="84"/>
  <c r="AY51" i="84"/>
  <c r="AZ51" i="84"/>
  <c r="BA51" i="84"/>
  <c r="BB51" i="84"/>
  <c r="BC51" i="84"/>
  <c r="BD51" i="84"/>
  <c r="BE51" i="84"/>
  <c r="BF51" i="84"/>
  <c r="BG51" i="84"/>
  <c r="AR52" i="84"/>
  <c r="AS52" i="84"/>
  <c r="AT52" i="84"/>
  <c r="AU52" i="84"/>
  <c r="AV52" i="84"/>
  <c r="AW52" i="84"/>
  <c r="AX52" i="84"/>
  <c r="AY52" i="84"/>
  <c r="AZ52" i="84"/>
  <c r="BA52" i="84"/>
  <c r="BB52" i="84"/>
  <c r="BC52" i="84"/>
  <c r="BD52" i="84"/>
  <c r="BE52" i="84"/>
  <c r="BF52" i="84"/>
  <c r="BG52" i="84"/>
  <c r="AR53" i="84"/>
  <c r="AS53" i="84"/>
  <c r="AT53" i="84"/>
  <c r="AU53" i="84"/>
  <c r="AV53" i="84"/>
  <c r="AW53" i="84"/>
  <c r="AX53" i="84"/>
  <c r="AY53" i="84"/>
  <c r="AZ53" i="84"/>
  <c r="BA53" i="84"/>
  <c r="BB53" i="84"/>
  <c r="BC53" i="84"/>
  <c r="BD53" i="84"/>
  <c r="BE53" i="84"/>
  <c r="BF53" i="84"/>
  <c r="BG53" i="84"/>
  <c r="AR54" i="84"/>
  <c r="AS54" i="84"/>
  <c r="AT54" i="84"/>
  <c r="AU54" i="84"/>
  <c r="AV54" i="84"/>
  <c r="AW54" i="84"/>
  <c r="AX54" i="84"/>
  <c r="AY54" i="84"/>
  <c r="AZ54" i="84"/>
  <c r="BA54" i="84"/>
  <c r="BB54" i="84"/>
  <c r="BC54" i="84"/>
  <c r="BD54" i="84"/>
  <c r="BE54" i="84"/>
  <c r="BF54" i="84"/>
  <c r="BG54" i="84"/>
  <c r="AR55" i="84"/>
  <c r="AS55" i="84"/>
  <c r="AT55" i="84"/>
  <c r="AU55" i="84"/>
  <c r="AV55" i="84"/>
  <c r="AW55" i="84"/>
  <c r="AX55" i="84"/>
  <c r="AY55" i="84"/>
  <c r="AZ55" i="84"/>
  <c r="BA55" i="84"/>
  <c r="BB55" i="84"/>
  <c r="BC55" i="84"/>
  <c r="BD55" i="84"/>
  <c r="BE55" i="84"/>
  <c r="BF55" i="84"/>
  <c r="BG55" i="84"/>
  <c r="AR56" i="84"/>
  <c r="AS56" i="84"/>
  <c r="AT56" i="84"/>
  <c r="AU56" i="84"/>
  <c r="AV56" i="84"/>
  <c r="AW56" i="84"/>
  <c r="AX56" i="84"/>
  <c r="AY56" i="84"/>
  <c r="AZ56" i="84"/>
  <c r="BA56" i="84"/>
  <c r="BB56" i="84"/>
  <c r="BC56" i="84"/>
  <c r="BD56" i="84"/>
  <c r="BE56" i="84"/>
  <c r="BF56" i="84"/>
  <c r="BG56" i="84"/>
  <c r="AR57" i="84"/>
  <c r="AS57" i="84"/>
  <c r="AT57" i="84"/>
  <c r="AU57" i="84"/>
  <c r="AV57" i="84"/>
  <c r="AW57" i="84"/>
  <c r="AX57" i="84"/>
  <c r="AY57" i="84"/>
  <c r="AZ57" i="84"/>
  <c r="BA57" i="84"/>
  <c r="BB57" i="84"/>
  <c r="BC57" i="84"/>
  <c r="BD57" i="84"/>
  <c r="BE57" i="84"/>
  <c r="BF57" i="84"/>
  <c r="BG57" i="84"/>
  <c r="AR58" i="84"/>
  <c r="AS58" i="84"/>
  <c r="AT58" i="84"/>
  <c r="AU58" i="84"/>
  <c r="AV58" i="84"/>
  <c r="AW58" i="84"/>
  <c r="AX58" i="84"/>
  <c r="AY58" i="84"/>
  <c r="AZ58" i="84"/>
  <c r="BA58" i="84"/>
  <c r="BB58" i="84"/>
  <c r="BC58" i="84"/>
  <c r="BD58" i="84"/>
  <c r="BE58" i="84"/>
  <c r="BF58" i="84"/>
  <c r="BG58" i="84"/>
  <c r="AR59" i="84"/>
  <c r="AS59" i="84"/>
  <c r="AT59" i="84"/>
  <c r="AU59" i="84"/>
  <c r="AV59" i="84"/>
  <c r="AW59" i="84"/>
  <c r="AX59" i="84"/>
  <c r="AY59" i="84"/>
  <c r="AZ59" i="84"/>
  <c r="BA59" i="84"/>
  <c r="BB59" i="84"/>
  <c r="BC59" i="84"/>
  <c r="BD59" i="84"/>
  <c r="BE59" i="84"/>
  <c r="BF59" i="84"/>
  <c r="BG59" i="84"/>
  <c r="AR60" i="84"/>
  <c r="AS60" i="84"/>
  <c r="AT60" i="84"/>
  <c r="AU60" i="84"/>
  <c r="AV60" i="84"/>
  <c r="AW60" i="84"/>
  <c r="AX60" i="84"/>
  <c r="AY60" i="84"/>
  <c r="AZ60" i="84"/>
  <c r="BA60" i="84"/>
  <c r="BB60" i="84"/>
  <c r="BC60" i="84"/>
  <c r="BD60" i="84"/>
  <c r="BE60" i="84"/>
  <c r="BF60" i="84"/>
  <c r="BG60" i="84"/>
  <c r="AR61" i="84"/>
  <c r="AS61" i="84"/>
  <c r="AT61" i="84"/>
  <c r="AU61" i="84"/>
  <c r="AV61" i="84"/>
  <c r="AW61" i="84"/>
  <c r="AX61" i="84"/>
  <c r="AY61" i="84"/>
  <c r="AZ61" i="84"/>
  <c r="BA61" i="84"/>
  <c r="BB61" i="84"/>
  <c r="BC61" i="84"/>
  <c r="BD61" i="84"/>
  <c r="BE61" i="84"/>
  <c r="BF61" i="84"/>
  <c r="BG61" i="84"/>
  <c r="AR62" i="84"/>
  <c r="AS62" i="84"/>
  <c r="AT62" i="84"/>
  <c r="AU62" i="84"/>
  <c r="AV62" i="84"/>
  <c r="AW62" i="84"/>
  <c r="AX62" i="84"/>
  <c r="AY62" i="84"/>
  <c r="AZ62" i="84"/>
  <c r="BA62" i="84"/>
  <c r="BB62" i="84"/>
  <c r="BC62" i="84"/>
  <c r="BD62" i="84"/>
  <c r="BE62" i="84"/>
  <c r="BF62" i="84"/>
  <c r="BG62" i="84"/>
  <c r="AR63" i="84"/>
  <c r="AS63" i="84"/>
  <c r="AT63" i="84"/>
  <c r="AU63" i="84"/>
  <c r="AV63" i="84"/>
  <c r="AW63" i="84"/>
  <c r="AX63" i="84"/>
  <c r="AY63" i="84"/>
  <c r="AZ63" i="84"/>
  <c r="BA63" i="84"/>
  <c r="BB63" i="84"/>
  <c r="BC63" i="84"/>
  <c r="BD63" i="84"/>
  <c r="BE63" i="84"/>
  <c r="BF63" i="84"/>
  <c r="BG63" i="84"/>
  <c r="AR64" i="84"/>
  <c r="AS64" i="84"/>
  <c r="AT64" i="84"/>
  <c r="AU64" i="84"/>
  <c r="AV64" i="84"/>
  <c r="AW64" i="84"/>
  <c r="AX64" i="84"/>
  <c r="AY64" i="84"/>
  <c r="AZ64" i="84"/>
  <c r="BA64" i="84"/>
  <c r="BB64" i="84"/>
  <c r="BC64" i="84"/>
  <c r="BD64" i="84"/>
  <c r="BE64" i="84"/>
  <c r="BF64" i="84"/>
  <c r="BG64" i="84"/>
  <c r="AR65" i="84"/>
  <c r="AS65" i="84"/>
  <c r="AT65" i="84"/>
  <c r="AU65" i="84"/>
  <c r="AV65" i="84"/>
  <c r="AW65" i="84"/>
  <c r="AX65" i="84"/>
  <c r="AY65" i="84"/>
  <c r="AZ65" i="84"/>
  <c r="BA65" i="84"/>
  <c r="BB65" i="84"/>
  <c r="BC65" i="84"/>
  <c r="BD65" i="84"/>
  <c r="BE65" i="84"/>
  <c r="BF65" i="84"/>
  <c r="BG65" i="84"/>
  <c r="AR66" i="84"/>
  <c r="AS66" i="84"/>
  <c r="AT66" i="84"/>
  <c r="AU66" i="84"/>
  <c r="AV66" i="84"/>
  <c r="AW66" i="84"/>
  <c r="AX66" i="84"/>
  <c r="AY66" i="84"/>
  <c r="AZ66" i="84"/>
  <c r="BA66" i="84"/>
  <c r="BB66" i="84"/>
  <c r="BC66" i="84"/>
  <c r="BD66" i="84"/>
  <c r="BE66" i="84"/>
  <c r="BF66" i="84"/>
  <c r="BG66" i="84"/>
  <c r="AR67" i="84"/>
  <c r="AS67" i="84"/>
  <c r="AT67" i="84"/>
  <c r="AU67" i="84"/>
  <c r="AV67" i="84"/>
  <c r="AW67" i="84"/>
  <c r="AX67" i="84"/>
  <c r="AY67" i="84"/>
  <c r="AZ67" i="84"/>
  <c r="BA67" i="84"/>
  <c r="BB67" i="84"/>
  <c r="BC67" i="84"/>
  <c r="BD67" i="84"/>
  <c r="BE67" i="84"/>
  <c r="BF67" i="84"/>
  <c r="BG67" i="84"/>
  <c r="AR68" i="84"/>
  <c r="AS68" i="84"/>
  <c r="AT68" i="84"/>
  <c r="AU68" i="84"/>
  <c r="AV68" i="84"/>
  <c r="AW68" i="84"/>
  <c r="AX68" i="84"/>
  <c r="AY68" i="84"/>
  <c r="AZ68" i="84"/>
  <c r="BA68" i="84"/>
  <c r="BB68" i="84"/>
  <c r="BC68" i="84"/>
  <c r="BD68" i="84"/>
  <c r="BE68" i="84"/>
  <c r="BF68" i="84"/>
  <c r="BG68" i="84"/>
  <c r="AR69" i="84"/>
  <c r="AS69" i="84"/>
  <c r="AT69" i="84"/>
  <c r="AU69" i="84"/>
  <c r="AV69" i="84"/>
  <c r="AW69" i="84"/>
  <c r="AX69" i="84"/>
  <c r="AY69" i="84"/>
  <c r="AZ69" i="84"/>
  <c r="BA69" i="84"/>
  <c r="BB69" i="84"/>
  <c r="BC69" i="84"/>
  <c r="BD69" i="84"/>
  <c r="BE69" i="84"/>
  <c r="BF69" i="84"/>
  <c r="BG69" i="84"/>
  <c r="AR70" i="84"/>
  <c r="AS70" i="84"/>
  <c r="AT70" i="84"/>
  <c r="AU70" i="84"/>
  <c r="AV70" i="84"/>
  <c r="AW70" i="84"/>
  <c r="AX70" i="84"/>
  <c r="AY70" i="84"/>
  <c r="AZ70" i="84"/>
  <c r="BA70" i="84"/>
  <c r="BB70" i="84"/>
  <c r="BC70" i="84"/>
  <c r="BD70" i="84"/>
  <c r="BE70" i="84"/>
  <c r="BF70" i="84"/>
  <c r="BG70" i="84"/>
  <c r="AR71" i="84"/>
  <c r="AS71" i="84"/>
  <c r="AT71" i="84"/>
  <c r="AU71" i="84"/>
  <c r="AV71" i="84"/>
  <c r="AW71" i="84"/>
  <c r="AX71" i="84"/>
  <c r="AY71" i="84"/>
  <c r="AZ71" i="84"/>
  <c r="BA71" i="84"/>
  <c r="BB71" i="84"/>
  <c r="BC71" i="84"/>
  <c r="BD71" i="84"/>
  <c r="BE71" i="84"/>
  <c r="BF71" i="84"/>
  <c r="BG71" i="84"/>
  <c r="AR72" i="84"/>
  <c r="AS72" i="84"/>
  <c r="AT72" i="84"/>
  <c r="AU72" i="84"/>
  <c r="AV72" i="84"/>
  <c r="AW72" i="84"/>
  <c r="AX72" i="84"/>
  <c r="AY72" i="84"/>
  <c r="AZ72" i="84"/>
  <c r="BA72" i="84"/>
  <c r="BB72" i="84"/>
  <c r="BC72" i="84"/>
  <c r="BD72" i="84"/>
  <c r="BE72" i="84"/>
  <c r="BF72" i="84"/>
  <c r="BG72" i="84"/>
  <c r="AR73" i="84"/>
  <c r="AS73" i="84"/>
  <c r="AT73" i="84"/>
  <c r="AU73" i="84"/>
  <c r="AV73" i="84"/>
  <c r="AW73" i="84"/>
  <c r="AX73" i="84"/>
  <c r="AY73" i="84"/>
  <c r="AZ73" i="84"/>
  <c r="BA73" i="84"/>
  <c r="BB73" i="84"/>
  <c r="BC73" i="84"/>
  <c r="BD73" i="84"/>
  <c r="BE73" i="84"/>
  <c r="BF73" i="84"/>
  <c r="BG73" i="84"/>
  <c r="AR74" i="84"/>
  <c r="AS74" i="84"/>
  <c r="AT74" i="84"/>
  <c r="AU74" i="84"/>
  <c r="AV74" i="84"/>
  <c r="AW74" i="84"/>
  <c r="AX74" i="84"/>
  <c r="AY74" i="84"/>
  <c r="AZ74" i="84"/>
  <c r="BA74" i="84"/>
  <c r="BB74" i="84"/>
  <c r="BC74" i="84"/>
  <c r="BD74" i="84"/>
  <c r="BE74" i="84"/>
  <c r="BF74" i="84"/>
  <c r="BG74" i="84"/>
  <c r="AR75" i="84"/>
  <c r="AS75" i="84"/>
  <c r="AT75" i="84"/>
  <c r="AU75" i="84"/>
  <c r="AV75" i="84"/>
  <c r="AW75" i="84"/>
  <c r="AX75" i="84"/>
  <c r="AY75" i="84"/>
  <c r="AZ75" i="84"/>
  <c r="BA75" i="84"/>
  <c r="BB75" i="84"/>
  <c r="BC75" i="84"/>
  <c r="BD75" i="84"/>
  <c r="BE75" i="84"/>
  <c r="BF75" i="84"/>
  <c r="BG75" i="84"/>
  <c r="AR76" i="84"/>
  <c r="AS76" i="84"/>
  <c r="AT76" i="84"/>
  <c r="AU76" i="84"/>
  <c r="AV76" i="84"/>
  <c r="AW76" i="84"/>
  <c r="AX76" i="84"/>
  <c r="AY76" i="84"/>
  <c r="AZ76" i="84"/>
  <c r="BA76" i="84"/>
  <c r="BB76" i="84"/>
  <c r="BC76" i="84"/>
  <c r="BD76" i="84"/>
  <c r="BE76" i="84"/>
  <c r="BF76" i="84"/>
  <c r="BG76" i="84"/>
  <c r="AR77" i="84"/>
  <c r="AS77" i="84"/>
  <c r="AT77" i="84"/>
  <c r="AU77" i="84"/>
  <c r="AV77" i="84"/>
  <c r="AW77" i="84"/>
  <c r="AX77" i="84"/>
  <c r="AY77" i="84"/>
  <c r="AZ77" i="84"/>
  <c r="BA77" i="84"/>
  <c r="BB77" i="84"/>
  <c r="BC77" i="84"/>
  <c r="BD77" i="84"/>
  <c r="BE77" i="84"/>
  <c r="BF77" i="84"/>
  <c r="BG77" i="84"/>
  <c r="AR78" i="84"/>
  <c r="AS78" i="84"/>
  <c r="AT78" i="84"/>
  <c r="AU78" i="84"/>
  <c r="AV78" i="84"/>
  <c r="AW78" i="84"/>
  <c r="AX78" i="84"/>
  <c r="AY78" i="84"/>
  <c r="AZ78" i="84"/>
  <c r="BA78" i="84"/>
  <c r="BB78" i="84"/>
  <c r="BC78" i="84"/>
  <c r="BD78" i="84"/>
  <c r="BE78" i="84"/>
  <c r="BF78" i="84"/>
  <c r="BG78" i="84"/>
  <c r="AR79" i="84"/>
  <c r="AS79" i="84"/>
  <c r="AT79" i="84"/>
  <c r="AU79" i="84"/>
  <c r="AV79" i="84"/>
  <c r="AW79" i="84"/>
  <c r="AX79" i="84"/>
  <c r="AY79" i="84"/>
  <c r="AZ79" i="84"/>
  <c r="BA79" i="84"/>
  <c r="BB79" i="84"/>
  <c r="BC79" i="84"/>
  <c r="BD79" i="84"/>
  <c r="BE79" i="84"/>
  <c r="BF79" i="84"/>
  <c r="BG79" i="84"/>
  <c r="AR80" i="84"/>
  <c r="AS80" i="84"/>
  <c r="AT80" i="84"/>
  <c r="AU80" i="84"/>
  <c r="AV80" i="84"/>
  <c r="AW80" i="84"/>
  <c r="AX80" i="84"/>
  <c r="AY80" i="84"/>
  <c r="AZ80" i="84"/>
  <c r="BA80" i="84"/>
  <c r="BB80" i="84"/>
  <c r="BC80" i="84"/>
  <c r="BD80" i="84"/>
  <c r="BE80" i="84"/>
  <c r="BF80" i="84"/>
  <c r="BG80" i="84"/>
  <c r="AR81" i="84"/>
  <c r="AS81" i="84"/>
  <c r="AT81" i="84"/>
  <c r="AU81" i="84"/>
  <c r="AV81" i="84"/>
  <c r="AW81" i="84"/>
  <c r="AX81" i="84"/>
  <c r="AY81" i="84"/>
  <c r="AZ81" i="84"/>
  <c r="BA81" i="84"/>
  <c r="BB81" i="84"/>
  <c r="BC81" i="84"/>
  <c r="BD81" i="84"/>
  <c r="BE81" i="84"/>
  <c r="BF81" i="84"/>
  <c r="BG81" i="84"/>
  <c r="AR82" i="84"/>
  <c r="AS82" i="84"/>
  <c r="AT82" i="84"/>
  <c r="AU82" i="84"/>
  <c r="AV82" i="84"/>
  <c r="AW82" i="84"/>
  <c r="AX82" i="84"/>
  <c r="AY82" i="84"/>
  <c r="AZ82" i="84"/>
  <c r="BA82" i="84"/>
  <c r="BB82" i="84"/>
  <c r="BC82" i="84"/>
  <c r="BD82" i="84"/>
  <c r="BE82" i="84"/>
  <c r="BF82" i="84"/>
  <c r="BG82" i="84"/>
  <c r="AR83" i="84"/>
  <c r="AS83" i="84"/>
  <c r="AT83" i="84"/>
  <c r="AU83" i="84"/>
  <c r="AV83" i="84"/>
  <c r="AW83" i="84"/>
  <c r="AX83" i="84"/>
  <c r="AY83" i="84"/>
  <c r="AZ83" i="84"/>
  <c r="BA83" i="84"/>
  <c r="BB83" i="84"/>
  <c r="BC83" i="84"/>
  <c r="BD83" i="84"/>
  <c r="BE83" i="84"/>
  <c r="BF83" i="84"/>
  <c r="BG83" i="84"/>
  <c r="AR84" i="84"/>
  <c r="AS84" i="84"/>
  <c r="AT84" i="84"/>
  <c r="AU84" i="84"/>
  <c r="AV84" i="84"/>
  <c r="AW84" i="84"/>
  <c r="AX84" i="84"/>
  <c r="AY84" i="84"/>
  <c r="AZ84" i="84"/>
  <c r="BA84" i="84"/>
  <c r="BB84" i="84"/>
  <c r="BC84" i="84"/>
  <c r="BD84" i="84"/>
  <c r="BE84" i="84"/>
  <c r="BF84" i="84"/>
  <c r="BG84" i="84"/>
  <c r="AR85" i="84"/>
  <c r="AS85" i="84"/>
  <c r="AT85" i="84"/>
  <c r="AU85" i="84"/>
  <c r="AV85" i="84"/>
  <c r="AW85" i="84"/>
  <c r="AX85" i="84"/>
  <c r="AY85" i="84"/>
  <c r="AZ85" i="84"/>
  <c r="BA85" i="84"/>
  <c r="BB85" i="84"/>
  <c r="BC85" i="84"/>
  <c r="BD85" i="84"/>
  <c r="BE85" i="84"/>
  <c r="BF85" i="84"/>
  <c r="BG85" i="84"/>
  <c r="AR86" i="84"/>
  <c r="AS86" i="84"/>
  <c r="AT86" i="84"/>
  <c r="AU86" i="84"/>
  <c r="AV86" i="84"/>
  <c r="AW86" i="84"/>
  <c r="AX86" i="84"/>
  <c r="AY86" i="84"/>
  <c r="AZ86" i="84"/>
  <c r="BA86" i="84"/>
  <c r="BB86" i="84"/>
  <c r="BC86" i="84"/>
  <c r="BD86" i="84"/>
  <c r="BE86" i="84"/>
  <c r="BF86" i="84"/>
  <c r="BG86" i="84"/>
  <c r="AR87" i="84"/>
  <c r="AS87" i="84"/>
  <c r="AT87" i="84"/>
  <c r="AU87" i="84"/>
  <c r="AV87" i="84"/>
  <c r="AW87" i="84"/>
  <c r="AX87" i="84"/>
  <c r="AY87" i="84"/>
  <c r="AZ87" i="84"/>
  <c r="BA87" i="84"/>
  <c r="BB87" i="84"/>
  <c r="BC87" i="84"/>
  <c r="BD87" i="84"/>
  <c r="BE87" i="84"/>
  <c r="BF87" i="84"/>
  <c r="BG87" i="84"/>
  <c r="AR88" i="84"/>
  <c r="AS88" i="84"/>
  <c r="AT88" i="84"/>
  <c r="AU88" i="84"/>
  <c r="AV88" i="84"/>
  <c r="AW88" i="84"/>
  <c r="AX88" i="84"/>
  <c r="AY88" i="84"/>
  <c r="AZ88" i="84"/>
  <c r="BA88" i="84"/>
  <c r="BB88" i="84"/>
  <c r="BC88" i="84"/>
  <c r="BD88" i="84"/>
  <c r="BE88" i="84"/>
  <c r="BF88" i="84"/>
  <c r="BG88" i="84"/>
  <c r="AR89" i="84"/>
  <c r="AS89" i="84"/>
  <c r="AT89" i="84"/>
  <c r="AU89" i="84"/>
  <c r="AV89" i="84"/>
  <c r="AW89" i="84"/>
  <c r="AX89" i="84"/>
  <c r="AY89" i="84"/>
  <c r="AZ89" i="84"/>
  <c r="BA89" i="84"/>
  <c r="BB89" i="84"/>
  <c r="BC89" i="84"/>
  <c r="BD89" i="84"/>
  <c r="BE89" i="84"/>
  <c r="BF89" i="84"/>
  <c r="BG89" i="84"/>
  <c r="AR90" i="84"/>
  <c r="AS90" i="84"/>
  <c r="AT90" i="84"/>
  <c r="AU90" i="84"/>
  <c r="AV90" i="84"/>
  <c r="AW90" i="84"/>
  <c r="AX90" i="84"/>
  <c r="AY90" i="84"/>
  <c r="AZ90" i="84"/>
  <c r="BA90" i="84"/>
  <c r="BB90" i="84"/>
  <c r="BC90" i="84"/>
  <c r="BD90" i="84"/>
  <c r="BE90" i="84"/>
  <c r="BF90" i="84"/>
  <c r="BG90" i="84"/>
  <c r="AR91" i="84"/>
  <c r="AS91" i="84"/>
  <c r="AT91" i="84"/>
  <c r="AU91" i="84"/>
  <c r="AV91" i="84"/>
  <c r="AW91" i="84"/>
  <c r="AX91" i="84"/>
  <c r="AY91" i="84"/>
  <c r="AZ91" i="84"/>
  <c r="BA91" i="84"/>
  <c r="BB91" i="84"/>
  <c r="BC91" i="84"/>
  <c r="BD91" i="84"/>
  <c r="BE91" i="84"/>
  <c r="BF91" i="84"/>
  <c r="BG91" i="84"/>
  <c r="AR92" i="84"/>
  <c r="AS92" i="84"/>
  <c r="AT92" i="84"/>
  <c r="AU92" i="84"/>
  <c r="AV92" i="84"/>
  <c r="AW92" i="84"/>
  <c r="AX92" i="84"/>
  <c r="AY92" i="84"/>
  <c r="AZ92" i="84"/>
  <c r="BA92" i="84"/>
  <c r="BB92" i="84"/>
  <c r="BC92" i="84"/>
  <c r="BD92" i="84"/>
  <c r="BE92" i="84"/>
  <c r="BF92" i="84"/>
  <c r="BG92" i="84"/>
  <c r="AR93" i="84"/>
  <c r="AS93" i="84"/>
  <c r="AT93" i="84"/>
  <c r="AU93" i="84"/>
  <c r="AV93" i="84"/>
  <c r="AW93" i="84"/>
  <c r="AX93" i="84"/>
  <c r="AY93" i="84"/>
  <c r="AZ93" i="84"/>
  <c r="BA93" i="84"/>
  <c r="BB93" i="84"/>
  <c r="BC93" i="84"/>
  <c r="BD93" i="84"/>
  <c r="BE93" i="84"/>
  <c r="BF93" i="84"/>
  <c r="BG93" i="84"/>
  <c r="AR94" i="84"/>
  <c r="AS94" i="84"/>
  <c r="AT94" i="84"/>
  <c r="AU94" i="84"/>
  <c r="AV94" i="84"/>
  <c r="AW94" i="84"/>
  <c r="AX94" i="84"/>
  <c r="AY94" i="84"/>
  <c r="AZ94" i="84"/>
  <c r="BA94" i="84"/>
  <c r="BB94" i="84"/>
  <c r="BC94" i="84"/>
  <c r="BD94" i="84"/>
  <c r="BE94" i="84"/>
  <c r="BF94" i="84"/>
  <c r="BG94" i="84"/>
  <c r="AR95" i="84"/>
  <c r="AS95" i="84"/>
  <c r="AT95" i="84"/>
  <c r="AU95" i="84"/>
  <c r="AV95" i="84"/>
  <c r="AW95" i="84"/>
  <c r="AX95" i="84"/>
  <c r="AY95" i="84"/>
  <c r="AZ95" i="84"/>
  <c r="BA95" i="84"/>
  <c r="BB95" i="84"/>
  <c r="BC95" i="84"/>
  <c r="BD95" i="84"/>
  <c r="BE95" i="84"/>
  <c r="BF95" i="84"/>
  <c r="BG95" i="84"/>
  <c r="AR96" i="84"/>
  <c r="AS96" i="84"/>
  <c r="AT96" i="84"/>
  <c r="AU96" i="84"/>
  <c r="AV96" i="84"/>
  <c r="AW96" i="84"/>
  <c r="AX96" i="84"/>
  <c r="AY96" i="84"/>
  <c r="AZ96" i="84"/>
  <c r="BA96" i="84"/>
  <c r="BB96" i="84"/>
  <c r="BC96" i="84"/>
  <c r="BD96" i="84"/>
  <c r="BE96" i="84"/>
  <c r="BF96" i="84"/>
  <c r="BG96" i="84"/>
  <c r="AR97" i="84"/>
  <c r="AS97" i="84"/>
  <c r="AT97" i="84"/>
  <c r="AU97" i="84"/>
  <c r="AV97" i="84"/>
  <c r="AW97" i="84"/>
  <c r="AX97" i="84"/>
  <c r="AY97" i="84"/>
  <c r="AZ97" i="84"/>
  <c r="BA97" i="84"/>
  <c r="BB97" i="84"/>
  <c r="BC97" i="84"/>
  <c r="BD97" i="84"/>
  <c r="BE97" i="84"/>
  <c r="BF97" i="84"/>
  <c r="BG97" i="84"/>
  <c r="AR98" i="84"/>
  <c r="AS98" i="84"/>
  <c r="AT98" i="84"/>
  <c r="AU98" i="84"/>
  <c r="AV98" i="84"/>
  <c r="AW98" i="84"/>
  <c r="AX98" i="84"/>
  <c r="AY98" i="84"/>
  <c r="AZ98" i="84"/>
  <c r="BA98" i="84"/>
  <c r="BB98" i="84"/>
  <c r="BC98" i="84"/>
  <c r="BD98" i="84"/>
  <c r="BE98" i="84"/>
  <c r="BF98" i="84"/>
  <c r="BG98" i="84"/>
  <c r="AR99" i="84"/>
  <c r="AS99" i="84"/>
  <c r="AT99" i="84"/>
  <c r="AU99" i="84"/>
  <c r="AV99" i="84"/>
  <c r="AW99" i="84"/>
  <c r="AX99" i="84"/>
  <c r="AY99" i="84"/>
  <c r="AZ99" i="84"/>
  <c r="BA99" i="84"/>
  <c r="BB99" i="84"/>
  <c r="BC99" i="84"/>
  <c r="BD99" i="84"/>
  <c r="BE99" i="84"/>
  <c r="BF99" i="84"/>
  <c r="BG99" i="84"/>
  <c r="AR100" i="84"/>
  <c r="AS100" i="84"/>
  <c r="AT100" i="84"/>
  <c r="AU100" i="84"/>
  <c r="AV100" i="84"/>
  <c r="AW100" i="84"/>
  <c r="AX100" i="84"/>
  <c r="AY100" i="84"/>
  <c r="AZ100" i="84"/>
  <c r="BA100" i="84"/>
  <c r="BB100" i="84"/>
  <c r="BC100" i="84"/>
  <c r="BD100" i="84"/>
  <c r="BE100" i="84"/>
  <c r="BF100" i="84"/>
  <c r="BG100" i="84"/>
  <c r="AR101" i="84"/>
  <c r="AS101" i="84"/>
  <c r="AT101" i="84"/>
  <c r="AU101" i="84"/>
  <c r="AV101" i="84"/>
  <c r="AW101" i="84"/>
  <c r="AX101" i="84"/>
  <c r="AY101" i="84"/>
  <c r="AZ101" i="84"/>
  <c r="BA101" i="84"/>
  <c r="BB101" i="84"/>
  <c r="BC101" i="84"/>
  <c r="BD101" i="84"/>
  <c r="BE101" i="84"/>
  <c r="BF101" i="84"/>
  <c r="BG101" i="84"/>
  <c r="AR102" i="84"/>
  <c r="AS102" i="84"/>
  <c r="AT102" i="84"/>
  <c r="AU102" i="84"/>
  <c r="AV102" i="84"/>
  <c r="AW102" i="84"/>
  <c r="AX102" i="84"/>
  <c r="AY102" i="84"/>
  <c r="AZ102" i="84"/>
  <c r="BA102" i="84"/>
  <c r="BB102" i="84"/>
  <c r="BC102" i="84"/>
  <c r="BD102" i="84"/>
  <c r="BE102" i="84"/>
  <c r="BF102" i="84"/>
  <c r="BG102" i="84"/>
  <c r="AR103" i="84"/>
  <c r="AS103" i="84"/>
  <c r="AT103" i="84"/>
  <c r="AU103" i="84"/>
  <c r="AV103" i="84"/>
  <c r="AW103" i="84"/>
  <c r="AX103" i="84"/>
  <c r="AY103" i="84"/>
  <c r="AZ103" i="84"/>
  <c r="BA103" i="84"/>
  <c r="BB103" i="84"/>
  <c r="BC103" i="84"/>
  <c r="BD103" i="84"/>
  <c r="BE103" i="84"/>
  <c r="BF103" i="84"/>
  <c r="BG103" i="84"/>
  <c r="AR104" i="84"/>
  <c r="AS104" i="84"/>
  <c r="AT104" i="84"/>
  <c r="AU104" i="84"/>
  <c r="AV104" i="84"/>
  <c r="AW104" i="84"/>
  <c r="AX104" i="84"/>
  <c r="AY104" i="84"/>
  <c r="AZ104" i="84"/>
  <c r="BA104" i="84"/>
  <c r="BB104" i="84"/>
  <c r="BC104" i="84"/>
  <c r="BD104" i="84"/>
  <c r="BE104" i="84"/>
  <c r="BF104" i="84"/>
  <c r="BG104" i="84"/>
  <c r="AR105" i="84"/>
  <c r="AS105" i="84"/>
  <c r="AT105" i="84"/>
  <c r="AU105" i="84"/>
  <c r="AV105" i="84"/>
  <c r="AW105" i="84"/>
  <c r="AX105" i="84"/>
  <c r="AY105" i="84"/>
  <c r="AZ105" i="84"/>
  <c r="BA105" i="84"/>
  <c r="BB105" i="84"/>
  <c r="BC105" i="84"/>
  <c r="BD105" i="84"/>
  <c r="BE105" i="84"/>
  <c r="BF105" i="84"/>
  <c r="BG105" i="84"/>
  <c r="AR106" i="84"/>
  <c r="AS106" i="84"/>
  <c r="AT106" i="84"/>
  <c r="AU106" i="84"/>
  <c r="AV106" i="84"/>
  <c r="AW106" i="84"/>
  <c r="AX106" i="84"/>
  <c r="AY106" i="84"/>
  <c r="AZ106" i="84"/>
  <c r="BA106" i="84"/>
  <c r="BB106" i="84"/>
  <c r="BC106" i="84"/>
  <c r="BD106" i="84"/>
  <c r="BE106" i="84"/>
  <c r="BF106" i="84"/>
  <c r="BG106" i="84"/>
  <c r="AR107" i="84"/>
  <c r="AS107" i="84"/>
  <c r="AT107" i="84"/>
  <c r="AU107" i="84"/>
  <c r="AV107" i="84"/>
  <c r="AW107" i="84"/>
  <c r="AX107" i="84"/>
  <c r="AY107" i="84"/>
  <c r="AZ107" i="84"/>
  <c r="BA107" i="84"/>
  <c r="BB107" i="84"/>
  <c r="BC107" i="84"/>
  <c r="BD107" i="84"/>
  <c r="BE107" i="84"/>
  <c r="BF107" i="84"/>
  <c r="BG107" i="84"/>
  <c r="AR108" i="84"/>
  <c r="AS108" i="84"/>
  <c r="AT108" i="84"/>
  <c r="AU108" i="84"/>
  <c r="AV108" i="84"/>
  <c r="AW108" i="84"/>
  <c r="AX108" i="84"/>
  <c r="AY108" i="84"/>
  <c r="AZ108" i="84"/>
  <c r="BA108" i="84"/>
  <c r="BB108" i="84"/>
  <c r="BC108" i="84"/>
  <c r="BD108" i="84"/>
  <c r="BE108" i="84"/>
  <c r="BF108" i="84"/>
  <c r="BG108" i="84"/>
  <c r="AR109" i="84"/>
  <c r="AS109" i="84"/>
  <c r="AT109" i="84"/>
  <c r="AU109" i="84"/>
  <c r="AV109" i="84"/>
  <c r="AW109" i="84"/>
  <c r="AX109" i="84"/>
  <c r="AY109" i="84"/>
  <c r="AZ109" i="84"/>
  <c r="BA109" i="84"/>
  <c r="BB109" i="84"/>
  <c r="BC109" i="84"/>
  <c r="BD109" i="84"/>
  <c r="BE109" i="84"/>
  <c r="BF109" i="84"/>
  <c r="BG109" i="84"/>
  <c r="AR110" i="84"/>
  <c r="AS110" i="84"/>
  <c r="AT110" i="84"/>
  <c r="AU110" i="84"/>
  <c r="AV110" i="84"/>
  <c r="AW110" i="84"/>
  <c r="AX110" i="84"/>
  <c r="AY110" i="84"/>
  <c r="AZ110" i="84"/>
  <c r="BA110" i="84"/>
  <c r="BB110" i="84"/>
  <c r="BC110" i="84"/>
  <c r="BD110" i="84"/>
  <c r="BE110" i="84"/>
  <c r="BF110" i="84"/>
  <c r="BG110" i="84"/>
  <c r="AR111" i="84"/>
  <c r="AS111" i="84"/>
  <c r="AT111" i="84"/>
  <c r="AU111" i="84"/>
  <c r="AV111" i="84"/>
  <c r="AW111" i="84"/>
  <c r="AX111" i="84"/>
  <c r="AY111" i="84"/>
  <c r="AZ111" i="84"/>
  <c r="BA111" i="84"/>
  <c r="BB111" i="84"/>
  <c r="BC111" i="84"/>
  <c r="BD111" i="84"/>
  <c r="BE111" i="84"/>
  <c r="BF111" i="84"/>
  <c r="BG111" i="84"/>
  <c r="AR112" i="84"/>
  <c r="AS112" i="84"/>
  <c r="AT112" i="84"/>
  <c r="AU112" i="84"/>
  <c r="AV112" i="84"/>
  <c r="AW112" i="84"/>
  <c r="AX112" i="84"/>
  <c r="AY112" i="84"/>
  <c r="AZ112" i="84"/>
  <c r="BA112" i="84"/>
  <c r="BB112" i="84"/>
  <c r="BC112" i="84"/>
  <c r="BD112" i="84"/>
  <c r="BE112" i="84"/>
  <c r="BF112" i="84"/>
  <c r="BG112" i="84"/>
  <c r="AR113" i="84"/>
  <c r="AS113" i="84"/>
  <c r="AT113" i="84"/>
  <c r="AU113" i="84"/>
  <c r="AV113" i="84"/>
  <c r="AW113" i="84"/>
  <c r="AX113" i="84"/>
  <c r="AY113" i="84"/>
  <c r="AZ113" i="84"/>
  <c r="BA113" i="84"/>
  <c r="BB113" i="84"/>
  <c r="BC113" i="84"/>
  <c r="BD113" i="84"/>
  <c r="BE113" i="84"/>
  <c r="BF113" i="84"/>
  <c r="BG113" i="84"/>
  <c r="AR114" i="84"/>
  <c r="AS114" i="84"/>
  <c r="AT114" i="84"/>
  <c r="AU114" i="84"/>
  <c r="AV114" i="84"/>
  <c r="AW114" i="84"/>
  <c r="AX114" i="84"/>
  <c r="AY114" i="84"/>
  <c r="AZ114" i="84"/>
  <c r="BA114" i="84"/>
  <c r="BB114" i="84"/>
  <c r="BC114" i="84"/>
  <c r="BD114" i="84"/>
  <c r="BE114" i="84"/>
  <c r="BF114" i="84"/>
  <c r="BG114" i="84"/>
  <c r="AR115" i="84"/>
  <c r="AS115" i="84"/>
  <c r="AT115" i="84"/>
  <c r="AU115" i="84"/>
  <c r="AV115" i="84"/>
  <c r="AW115" i="84"/>
  <c r="AX115" i="84"/>
  <c r="AY115" i="84"/>
  <c r="AZ115" i="84"/>
  <c r="BA115" i="84"/>
  <c r="BB115" i="84"/>
  <c r="BC115" i="84"/>
  <c r="BD115" i="84"/>
  <c r="BE115" i="84"/>
  <c r="BF115" i="84"/>
  <c r="BG115" i="84"/>
  <c r="AR116" i="84"/>
  <c r="AS116" i="84"/>
  <c r="AT116" i="84"/>
  <c r="AU116" i="84"/>
  <c r="AV116" i="84"/>
  <c r="AW116" i="84"/>
  <c r="AX116" i="84"/>
  <c r="AY116" i="84"/>
  <c r="AZ116" i="84"/>
  <c r="BA116" i="84"/>
  <c r="BB116" i="84"/>
  <c r="BC116" i="84"/>
  <c r="BD116" i="84"/>
  <c r="BE116" i="84"/>
  <c r="BF116" i="84"/>
  <c r="BG116" i="84"/>
  <c r="AR117" i="84"/>
  <c r="AS117" i="84"/>
  <c r="AT117" i="84"/>
  <c r="AU117" i="84"/>
  <c r="AV117" i="84"/>
  <c r="AW117" i="84"/>
  <c r="AX117" i="84"/>
  <c r="AY117" i="84"/>
  <c r="AZ117" i="84"/>
  <c r="BA117" i="84"/>
  <c r="BB117" i="84"/>
  <c r="BC117" i="84"/>
  <c r="BD117" i="84"/>
  <c r="BE117" i="84"/>
  <c r="BF117" i="84"/>
  <c r="BG117" i="84"/>
  <c r="AR118" i="84"/>
  <c r="AS118" i="84"/>
  <c r="AT118" i="84"/>
  <c r="AU118" i="84"/>
  <c r="AV118" i="84"/>
  <c r="AW118" i="84"/>
  <c r="AX118" i="84"/>
  <c r="AY118" i="84"/>
  <c r="AZ118" i="84"/>
  <c r="BA118" i="84"/>
  <c r="BB118" i="84"/>
  <c r="BC118" i="84"/>
  <c r="BD118" i="84"/>
  <c r="BE118" i="84"/>
  <c r="BF118" i="84"/>
  <c r="BG118" i="84"/>
  <c r="AR119" i="84"/>
  <c r="AS119" i="84"/>
  <c r="AT119" i="84"/>
  <c r="AU119" i="84"/>
  <c r="AV119" i="84"/>
  <c r="AW119" i="84"/>
  <c r="AX119" i="84"/>
  <c r="AY119" i="84"/>
  <c r="AZ119" i="84"/>
  <c r="BA119" i="84"/>
  <c r="BB119" i="84"/>
  <c r="BC119" i="84"/>
  <c r="BD119" i="84"/>
  <c r="BE119" i="84"/>
  <c r="BF119" i="84"/>
  <c r="BG119" i="84"/>
  <c r="AR120" i="84"/>
  <c r="AS120" i="84"/>
  <c r="AT120" i="84"/>
  <c r="AU120" i="84"/>
  <c r="AV120" i="84"/>
  <c r="AW120" i="84"/>
  <c r="AX120" i="84"/>
  <c r="AY120" i="84"/>
  <c r="AZ120" i="84"/>
  <c r="BA120" i="84"/>
  <c r="BB120" i="84"/>
  <c r="BC120" i="84"/>
  <c r="BD120" i="84"/>
  <c r="BE120" i="84"/>
  <c r="BF120" i="84"/>
  <c r="BG120" i="84"/>
  <c r="AR121" i="84"/>
  <c r="AS121" i="84"/>
  <c r="AT121" i="84"/>
  <c r="AU121" i="84"/>
  <c r="AV121" i="84"/>
  <c r="AW121" i="84"/>
  <c r="AX121" i="84"/>
  <c r="AY121" i="84"/>
  <c r="AZ121" i="84"/>
  <c r="BA121" i="84"/>
  <c r="BB121" i="84"/>
  <c r="BC121" i="84"/>
  <c r="BD121" i="84"/>
  <c r="BE121" i="84"/>
  <c r="BF121" i="84"/>
  <c r="BG121" i="84"/>
  <c r="AR122" i="84"/>
  <c r="AS122" i="84"/>
  <c r="AT122" i="84"/>
  <c r="AU122" i="84"/>
  <c r="AV122" i="84"/>
  <c r="AW122" i="84"/>
  <c r="AX122" i="84"/>
  <c r="AY122" i="84"/>
  <c r="AZ122" i="84"/>
  <c r="BA122" i="84"/>
  <c r="BB122" i="84"/>
  <c r="BC122" i="84"/>
  <c r="BD122" i="84"/>
  <c r="BE122" i="84"/>
  <c r="BF122" i="84"/>
  <c r="BG122" i="84"/>
  <c r="AR123" i="84"/>
  <c r="AS123" i="84"/>
  <c r="AT123" i="84"/>
  <c r="AU123" i="84"/>
  <c r="AV123" i="84"/>
  <c r="AW123" i="84"/>
  <c r="AX123" i="84"/>
  <c r="AY123" i="84"/>
  <c r="AZ123" i="84"/>
  <c r="BA123" i="84"/>
  <c r="BB123" i="84"/>
  <c r="BC123" i="84"/>
  <c r="BD123" i="84"/>
  <c r="BE123" i="84"/>
  <c r="BF123" i="84"/>
  <c r="BG123" i="84"/>
  <c r="AR124" i="84"/>
  <c r="AS124" i="84"/>
  <c r="AT124" i="84"/>
  <c r="AU124" i="84"/>
  <c r="AV124" i="84"/>
  <c r="AW124" i="84"/>
  <c r="AX124" i="84"/>
  <c r="AY124" i="84"/>
  <c r="AZ124" i="84"/>
  <c r="BA124" i="84"/>
  <c r="BB124" i="84"/>
  <c r="BC124" i="84"/>
  <c r="BD124" i="84"/>
  <c r="BE124" i="84"/>
  <c r="BF124" i="84"/>
  <c r="BG124" i="84"/>
  <c r="AR125" i="84"/>
  <c r="AS125" i="84"/>
  <c r="AT125" i="84"/>
  <c r="AU125" i="84"/>
  <c r="AV125" i="84"/>
  <c r="AW125" i="84"/>
  <c r="AX125" i="84"/>
  <c r="AY125" i="84"/>
  <c r="AZ125" i="84"/>
  <c r="BA125" i="84"/>
  <c r="BB125" i="84"/>
  <c r="BC125" i="84"/>
  <c r="BD125" i="84"/>
  <c r="BE125" i="84"/>
  <c r="BF125" i="84"/>
  <c r="BG125" i="84"/>
  <c r="AR126" i="84"/>
  <c r="AS126" i="84"/>
  <c r="AT126" i="84"/>
  <c r="AU126" i="84"/>
  <c r="AV126" i="84"/>
  <c r="AW126" i="84"/>
  <c r="AX126" i="84"/>
  <c r="AY126" i="84"/>
  <c r="AZ126" i="84"/>
  <c r="BA126" i="84"/>
  <c r="BB126" i="84"/>
  <c r="BC126" i="84"/>
  <c r="BD126" i="84"/>
  <c r="BE126" i="84"/>
  <c r="BF126" i="84"/>
  <c r="BG126" i="84"/>
  <c r="AR127" i="84"/>
  <c r="AS127" i="84"/>
  <c r="AT127" i="84"/>
  <c r="AU127" i="84"/>
  <c r="AV127" i="84"/>
  <c r="AW127" i="84"/>
  <c r="AX127" i="84"/>
  <c r="AY127" i="84"/>
  <c r="AZ127" i="84"/>
  <c r="BA127" i="84"/>
  <c r="BB127" i="84"/>
  <c r="BC127" i="84"/>
  <c r="BD127" i="84"/>
  <c r="BE127" i="84"/>
  <c r="BF127" i="84"/>
  <c r="BG127" i="84"/>
  <c r="AR128" i="84"/>
  <c r="AS128" i="84"/>
  <c r="AT128" i="84"/>
  <c r="AU128" i="84"/>
  <c r="AV128" i="84"/>
  <c r="AW128" i="84"/>
  <c r="AX128" i="84"/>
  <c r="AY128" i="84"/>
  <c r="AZ128" i="84"/>
  <c r="BA128" i="84"/>
  <c r="BB128" i="84"/>
  <c r="BC128" i="84"/>
  <c r="BD128" i="84"/>
  <c r="BE128" i="84"/>
  <c r="BF128" i="84"/>
  <c r="BG128" i="84"/>
  <c r="AR129" i="84"/>
  <c r="AS129" i="84"/>
  <c r="AT129" i="84"/>
  <c r="AU129" i="84"/>
  <c r="AV129" i="84"/>
  <c r="AW129" i="84"/>
  <c r="AX129" i="84"/>
  <c r="AY129" i="84"/>
  <c r="AZ129" i="84"/>
  <c r="BA129" i="84"/>
  <c r="BB129" i="84"/>
  <c r="BC129" i="84"/>
  <c r="BD129" i="84"/>
  <c r="BE129" i="84"/>
  <c r="BF129" i="84"/>
  <c r="BG129" i="84"/>
  <c r="AR130" i="84"/>
  <c r="AS130" i="84"/>
  <c r="AT130" i="84"/>
  <c r="AU130" i="84"/>
  <c r="AV130" i="84"/>
  <c r="AW130" i="84"/>
  <c r="AX130" i="84"/>
  <c r="AY130" i="84"/>
  <c r="AZ130" i="84"/>
  <c r="BA130" i="84"/>
  <c r="BB130" i="84"/>
  <c r="BC130" i="84"/>
  <c r="BD130" i="84"/>
  <c r="BE130" i="84"/>
  <c r="BF130" i="84"/>
  <c r="BG130" i="84"/>
  <c r="AR131" i="84"/>
  <c r="AS131" i="84"/>
  <c r="AT131" i="84"/>
  <c r="AU131" i="84"/>
  <c r="AV131" i="84"/>
  <c r="AW131" i="84"/>
  <c r="AX131" i="84"/>
  <c r="AY131" i="84"/>
  <c r="AZ131" i="84"/>
  <c r="BA131" i="84"/>
  <c r="BB131" i="84"/>
  <c r="BC131" i="84"/>
  <c r="BD131" i="84"/>
  <c r="BE131" i="84"/>
  <c r="BF131" i="84"/>
  <c r="BG131" i="84"/>
  <c r="AR132" i="84"/>
  <c r="AS132" i="84"/>
  <c r="AT132" i="84"/>
  <c r="AU132" i="84"/>
  <c r="AV132" i="84"/>
  <c r="AW132" i="84"/>
  <c r="AX132" i="84"/>
  <c r="AY132" i="84"/>
  <c r="AZ132" i="84"/>
  <c r="BA132" i="84"/>
  <c r="BB132" i="84"/>
  <c r="BC132" i="84"/>
  <c r="BD132" i="84"/>
  <c r="BE132" i="84"/>
  <c r="BF132" i="84"/>
  <c r="BG132" i="84"/>
  <c r="AR133" i="84"/>
  <c r="AS133" i="84"/>
  <c r="AT133" i="84"/>
  <c r="AU133" i="84"/>
  <c r="AV133" i="84"/>
  <c r="AW133" i="84"/>
  <c r="AX133" i="84"/>
  <c r="AY133" i="84"/>
  <c r="AZ133" i="84"/>
  <c r="BA133" i="84"/>
  <c r="BB133" i="84"/>
  <c r="BC133" i="84"/>
  <c r="BD133" i="84"/>
  <c r="BE133" i="84"/>
  <c r="BF133" i="84"/>
  <c r="BG133" i="84"/>
  <c r="AR134" i="84"/>
  <c r="AS134" i="84"/>
  <c r="AT134" i="84"/>
  <c r="AU134" i="84"/>
  <c r="AV134" i="84"/>
  <c r="AW134" i="84"/>
  <c r="AX134" i="84"/>
  <c r="AY134" i="84"/>
  <c r="AZ134" i="84"/>
  <c r="BA134" i="84"/>
  <c r="BB134" i="84"/>
  <c r="BC134" i="84"/>
  <c r="BD134" i="84"/>
  <c r="BE134" i="84"/>
  <c r="BF134" i="84"/>
  <c r="BG134" i="84"/>
  <c r="AR135" i="84"/>
  <c r="AS135" i="84"/>
  <c r="AT135" i="84"/>
  <c r="AU135" i="84"/>
  <c r="AV135" i="84"/>
  <c r="AW135" i="84"/>
  <c r="AX135" i="84"/>
  <c r="AY135" i="84"/>
  <c r="AZ135" i="84"/>
  <c r="BA135" i="84"/>
  <c r="BB135" i="84"/>
  <c r="BC135" i="84"/>
  <c r="BD135" i="84"/>
  <c r="BE135" i="84"/>
  <c r="BF135" i="84"/>
  <c r="BG135" i="84"/>
  <c r="AR136" i="84"/>
  <c r="AS136" i="84"/>
  <c r="AT136" i="84"/>
  <c r="AU136" i="84"/>
  <c r="AV136" i="84"/>
  <c r="AW136" i="84"/>
  <c r="AX136" i="84"/>
  <c r="AY136" i="84"/>
  <c r="AZ136" i="84"/>
  <c r="BA136" i="84"/>
  <c r="BB136" i="84"/>
  <c r="BC136" i="84"/>
  <c r="BD136" i="84"/>
  <c r="BE136" i="84"/>
  <c r="BF136" i="84"/>
  <c r="BG136" i="84"/>
  <c r="AR137" i="84"/>
  <c r="AS137" i="84"/>
  <c r="AT137" i="84"/>
  <c r="AU137" i="84"/>
  <c r="AV137" i="84"/>
  <c r="AW137" i="84"/>
  <c r="AX137" i="84"/>
  <c r="AY137" i="84"/>
  <c r="AZ137" i="84"/>
  <c r="BA137" i="84"/>
  <c r="BB137" i="84"/>
  <c r="BC137" i="84"/>
  <c r="BD137" i="84"/>
  <c r="BE137" i="84"/>
  <c r="BF137" i="84"/>
  <c r="BG137" i="84"/>
  <c r="AR138" i="84"/>
  <c r="AS138" i="84"/>
  <c r="AT138" i="84"/>
  <c r="AU138" i="84"/>
  <c r="AV138" i="84"/>
  <c r="AW138" i="84"/>
  <c r="AX138" i="84"/>
  <c r="AY138" i="84"/>
  <c r="AZ138" i="84"/>
  <c r="BA138" i="84"/>
  <c r="BB138" i="84"/>
  <c r="BC138" i="84"/>
  <c r="BD138" i="84"/>
  <c r="BE138" i="84"/>
  <c r="BF138" i="84"/>
  <c r="BG138" i="84"/>
  <c r="AR139" i="84"/>
  <c r="AS139" i="84"/>
  <c r="AT139" i="84"/>
  <c r="AU139" i="84"/>
  <c r="AV139" i="84"/>
  <c r="AW139" i="84"/>
  <c r="AX139" i="84"/>
  <c r="AY139" i="84"/>
  <c r="AZ139" i="84"/>
  <c r="BA139" i="84"/>
  <c r="BB139" i="84"/>
  <c r="BC139" i="84"/>
  <c r="BD139" i="84"/>
  <c r="BE139" i="84"/>
  <c r="BF139" i="84"/>
  <c r="BG139" i="84"/>
  <c r="AR140" i="84"/>
  <c r="AS140" i="84"/>
  <c r="AT140" i="84"/>
  <c r="AU140" i="84"/>
  <c r="AV140" i="84"/>
  <c r="AW140" i="84"/>
  <c r="AX140" i="84"/>
  <c r="AY140" i="84"/>
  <c r="AZ140" i="84"/>
  <c r="BA140" i="84"/>
  <c r="BB140" i="84"/>
  <c r="BC140" i="84"/>
  <c r="BD140" i="84"/>
  <c r="BE140" i="84"/>
  <c r="BF140" i="84"/>
  <c r="BG140" i="84"/>
  <c r="AR141" i="84"/>
  <c r="AS141" i="84"/>
  <c r="AT141" i="84"/>
  <c r="AU141" i="84"/>
  <c r="AV141" i="84"/>
  <c r="AW141" i="84"/>
  <c r="AX141" i="84"/>
  <c r="AY141" i="84"/>
  <c r="AZ141" i="84"/>
  <c r="BA141" i="84"/>
  <c r="BB141" i="84"/>
  <c r="BC141" i="84"/>
  <c r="BD141" i="84"/>
  <c r="BE141" i="84"/>
  <c r="BF141" i="84"/>
  <c r="BG141" i="84"/>
  <c r="AR142" i="84"/>
  <c r="AS142" i="84"/>
  <c r="AT142" i="84"/>
  <c r="AU142" i="84"/>
  <c r="AV142" i="84"/>
  <c r="AW142" i="84"/>
  <c r="AX142" i="84"/>
  <c r="AY142" i="84"/>
  <c r="AZ142" i="84"/>
  <c r="BA142" i="84"/>
  <c r="BB142" i="84"/>
  <c r="BC142" i="84"/>
  <c r="BD142" i="84"/>
  <c r="BE142" i="84"/>
  <c r="BF142" i="84"/>
  <c r="BG142" i="84"/>
  <c r="AR143" i="84"/>
  <c r="AS143" i="84"/>
  <c r="AT143" i="84"/>
  <c r="AU143" i="84"/>
  <c r="AV143" i="84"/>
  <c r="AW143" i="84"/>
  <c r="AX143" i="84"/>
  <c r="AY143" i="84"/>
  <c r="AZ143" i="84"/>
  <c r="BA143" i="84"/>
  <c r="BB143" i="84"/>
  <c r="BC143" i="84"/>
  <c r="BD143" i="84"/>
  <c r="BE143" i="84"/>
  <c r="BF143" i="84"/>
  <c r="BG143" i="84"/>
  <c r="AR144" i="84"/>
  <c r="AS144" i="84"/>
  <c r="AT144" i="84"/>
  <c r="AU144" i="84"/>
  <c r="AV144" i="84"/>
  <c r="AW144" i="84"/>
  <c r="AX144" i="84"/>
  <c r="AY144" i="84"/>
  <c r="AZ144" i="84"/>
  <c r="BA144" i="84"/>
  <c r="BB144" i="84"/>
  <c r="BC144" i="84"/>
  <c r="BD144" i="84"/>
  <c r="BE144" i="84"/>
  <c r="BF144" i="84"/>
  <c r="BG144" i="84"/>
  <c r="AR145" i="84"/>
  <c r="AS145" i="84"/>
  <c r="AT145" i="84"/>
  <c r="AU145" i="84"/>
  <c r="AV145" i="84"/>
  <c r="AW145" i="84"/>
  <c r="AX145" i="84"/>
  <c r="AY145" i="84"/>
  <c r="AZ145" i="84"/>
  <c r="BA145" i="84"/>
  <c r="BB145" i="84"/>
  <c r="BC145" i="84"/>
  <c r="BD145" i="84"/>
  <c r="BE145" i="84"/>
  <c r="BF145" i="84"/>
  <c r="BG145" i="84"/>
  <c r="AR146" i="84"/>
  <c r="AS146" i="84"/>
  <c r="AT146" i="84"/>
  <c r="AU146" i="84"/>
  <c r="AV146" i="84"/>
  <c r="AW146" i="84"/>
  <c r="AX146" i="84"/>
  <c r="AY146" i="84"/>
  <c r="AZ146" i="84"/>
  <c r="BA146" i="84"/>
  <c r="BB146" i="84"/>
  <c r="BC146" i="84"/>
  <c r="BD146" i="84"/>
  <c r="BE146" i="84"/>
  <c r="BF146" i="84"/>
  <c r="BG146" i="84"/>
  <c r="AR147" i="84"/>
  <c r="AS147" i="84"/>
  <c r="AT147" i="84"/>
  <c r="AU147" i="84"/>
  <c r="AV147" i="84"/>
  <c r="AW147" i="84"/>
  <c r="AX147" i="84"/>
  <c r="AY147" i="84"/>
  <c r="AZ147" i="84"/>
  <c r="BA147" i="84"/>
  <c r="BB147" i="84"/>
  <c r="BC147" i="84"/>
  <c r="BD147" i="84"/>
  <c r="BE147" i="84"/>
  <c r="BF147" i="84"/>
  <c r="BG147" i="84"/>
  <c r="AR148" i="84"/>
  <c r="AS148" i="84"/>
  <c r="AT148" i="84"/>
  <c r="AU148" i="84"/>
  <c r="AV148" i="84"/>
  <c r="AW148" i="84"/>
  <c r="AX148" i="84"/>
  <c r="AY148" i="84"/>
  <c r="AZ148" i="84"/>
  <c r="BA148" i="84"/>
  <c r="BB148" i="84"/>
  <c r="BC148" i="84"/>
  <c r="BD148" i="84"/>
  <c r="BE148" i="84"/>
  <c r="BF148" i="84"/>
  <c r="BG148" i="84"/>
  <c r="AR149" i="84"/>
  <c r="AS149" i="84"/>
  <c r="AT149" i="84"/>
  <c r="AU149" i="84"/>
  <c r="AV149" i="84"/>
  <c r="AW149" i="84"/>
  <c r="AX149" i="84"/>
  <c r="AY149" i="84"/>
  <c r="AZ149" i="84"/>
  <c r="BA149" i="84"/>
  <c r="BB149" i="84"/>
  <c r="BC149" i="84"/>
  <c r="BD149" i="84"/>
  <c r="BE149" i="84"/>
  <c r="BF149" i="84"/>
  <c r="BG149" i="84"/>
  <c r="AR150" i="84"/>
  <c r="AS150" i="84"/>
  <c r="AT150" i="84"/>
  <c r="AU150" i="84"/>
  <c r="AV150" i="84"/>
  <c r="AW150" i="84"/>
  <c r="AX150" i="84"/>
  <c r="AY150" i="84"/>
  <c r="AZ150" i="84"/>
  <c r="BA150" i="84"/>
  <c r="BB150" i="84"/>
  <c r="BC150" i="84"/>
  <c r="BD150" i="84"/>
  <c r="BE150" i="84"/>
  <c r="BF150" i="84"/>
  <c r="BG150" i="84"/>
  <c r="AR151" i="84"/>
  <c r="AS151" i="84"/>
  <c r="AT151" i="84"/>
  <c r="AU151" i="84"/>
  <c r="AV151" i="84"/>
  <c r="AW151" i="84"/>
  <c r="AX151" i="84"/>
  <c r="AY151" i="84"/>
  <c r="AZ151" i="84"/>
  <c r="BA151" i="84"/>
  <c r="BB151" i="84"/>
  <c r="BC151" i="84"/>
  <c r="BD151" i="84"/>
  <c r="BE151" i="84"/>
  <c r="BF151" i="84"/>
  <c r="BG151" i="84"/>
  <c r="AR152" i="84"/>
  <c r="AS152" i="84"/>
  <c r="AT152" i="84"/>
  <c r="AU152" i="84"/>
  <c r="AV152" i="84"/>
  <c r="AW152" i="84"/>
  <c r="AX152" i="84"/>
  <c r="AY152" i="84"/>
  <c r="AZ152" i="84"/>
  <c r="BA152" i="84"/>
  <c r="BB152" i="84"/>
  <c r="BC152" i="84"/>
  <c r="BD152" i="84"/>
  <c r="BE152" i="84"/>
  <c r="BF152" i="84"/>
  <c r="BG152" i="84"/>
  <c r="AR153" i="84"/>
  <c r="AS153" i="84"/>
  <c r="AT153" i="84"/>
  <c r="AU153" i="84"/>
  <c r="AV153" i="84"/>
  <c r="AW153" i="84"/>
  <c r="AX153" i="84"/>
  <c r="AY153" i="84"/>
  <c r="AZ153" i="84"/>
  <c r="BA153" i="84"/>
  <c r="BB153" i="84"/>
  <c r="BC153" i="84"/>
  <c r="BD153" i="84"/>
  <c r="BE153" i="84"/>
  <c r="BF153" i="84"/>
  <c r="BG153" i="84"/>
  <c r="AR154" i="84"/>
  <c r="AS154" i="84"/>
  <c r="AT154" i="84"/>
  <c r="AU154" i="84"/>
  <c r="AV154" i="84"/>
  <c r="AW154" i="84"/>
  <c r="AX154" i="84"/>
  <c r="AY154" i="84"/>
  <c r="AZ154" i="84"/>
  <c r="BA154" i="84"/>
  <c r="BB154" i="84"/>
  <c r="BC154" i="84"/>
  <c r="BD154" i="84"/>
  <c r="BE154" i="84"/>
  <c r="BF154" i="84"/>
  <c r="BG154" i="84"/>
  <c r="AR155" i="84"/>
  <c r="AS155" i="84"/>
  <c r="AT155" i="84"/>
  <c r="AU155" i="84"/>
  <c r="AV155" i="84"/>
  <c r="AW155" i="84"/>
  <c r="AX155" i="84"/>
  <c r="AY155" i="84"/>
  <c r="AZ155" i="84"/>
  <c r="BA155" i="84"/>
  <c r="BB155" i="84"/>
  <c r="BC155" i="84"/>
  <c r="BD155" i="84"/>
  <c r="BE155" i="84"/>
  <c r="BF155" i="84"/>
  <c r="BG155" i="84"/>
  <c r="AR156" i="84"/>
  <c r="AS156" i="84"/>
  <c r="AT156" i="84"/>
  <c r="AU156" i="84"/>
  <c r="AV156" i="84"/>
  <c r="AW156" i="84"/>
  <c r="AX156" i="84"/>
  <c r="AY156" i="84"/>
  <c r="AZ156" i="84"/>
  <c r="BA156" i="84"/>
  <c r="BB156" i="84"/>
  <c r="BC156" i="84"/>
  <c r="BD156" i="84"/>
  <c r="BE156" i="84"/>
  <c r="BF156" i="84"/>
  <c r="BG156" i="84"/>
  <c r="AR157" i="84"/>
  <c r="AS157" i="84"/>
  <c r="AT157" i="84"/>
  <c r="AU157" i="84"/>
  <c r="AV157" i="84"/>
  <c r="AW157" i="84"/>
  <c r="AX157" i="84"/>
  <c r="AY157" i="84"/>
  <c r="AZ157" i="84"/>
  <c r="BA157" i="84"/>
  <c r="BB157" i="84"/>
  <c r="BC157" i="84"/>
  <c r="BD157" i="84"/>
  <c r="BE157" i="84"/>
  <c r="BF157" i="84"/>
  <c r="BG157" i="84"/>
  <c r="AR158" i="84"/>
  <c r="AS158" i="84"/>
  <c r="AT158" i="84"/>
  <c r="AU158" i="84"/>
  <c r="AV158" i="84"/>
  <c r="AW158" i="84"/>
  <c r="AX158" i="84"/>
  <c r="AY158" i="84"/>
  <c r="AZ158" i="84"/>
  <c r="BA158" i="84"/>
  <c r="BB158" i="84"/>
  <c r="BC158" i="84"/>
  <c r="BD158" i="84"/>
  <c r="BE158" i="84"/>
  <c r="BF158" i="84"/>
  <c r="BG158" i="84"/>
  <c r="AR159" i="84"/>
  <c r="AS159" i="84"/>
  <c r="AT159" i="84"/>
  <c r="AU159" i="84"/>
  <c r="AV159" i="84"/>
  <c r="AW159" i="84"/>
  <c r="AX159" i="84"/>
  <c r="AY159" i="84"/>
  <c r="AZ159" i="84"/>
  <c r="BA159" i="84"/>
  <c r="BB159" i="84"/>
  <c r="BC159" i="84"/>
  <c r="BD159" i="84"/>
  <c r="BE159" i="84"/>
  <c r="BF159" i="84"/>
  <c r="BG159" i="84"/>
  <c r="AR160" i="84"/>
  <c r="AS160" i="84"/>
  <c r="AT160" i="84"/>
  <c r="AU160" i="84"/>
  <c r="AV160" i="84"/>
  <c r="AW160" i="84"/>
  <c r="AX160" i="84"/>
  <c r="AY160" i="84"/>
  <c r="AZ160" i="84"/>
  <c r="BA160" i="84"/>
  <c r="BB160" i="84"/>
  <c r="BC160" i="84"/>
  <c r="BD160" i="84"/>
  <c r="BE160" i="84"/>
  <c r="BF160" i="84"/>
  <c r="BG160" i="84"/>
  <c r="AR161" i="84"/>
  <c r="AS161" i="84"/>
  <c r="AT161" i="84"/>
  <c r="AU161" i="84"/>
  <c r="AV161" i="84"/>
  <c r="AW161" i="84"/>
  <c r="AX161" i="84"/>
  <c r="AY161" i="84"/>
  <c r="AZ161" i="84"/>
  <c r="BA161" i="84"/>
  <c r="BB161" i="84"/>
  <c r="BC161" i="84"/>
  <c r="BD161" i="84"/>
  <c r="BE161" i="84"/>
  <c r="BF161" i="84"/>
  <c r="BG161" i="84"/>
  <c r="AR162" i="84"/>
  <c r="AS162" i="84"/>
  <c r="AT162" i="84"/>
  <c r="AU162" i="84"/>
  <c r="AV162" i="84"/>
  <c r="AW162" i="84"/>
  <c r="AX162" i="84"/>
  <c r="AY162" i="84"/>
  <c r="AZ162" i="84"/>
  <c r="BA162" i="84"/>
  <c r="BB162" i="84"/>
  <c r="BC162" i="84"/>
  <c r="BD162" i="84"/>
  <c r="BE162" i="84"/>
  <c r="BF162" i="84"/>
  <c r="BG162" i="84"/>
  <c r="AR163" i="84"/>
  <c r="AS163" i="84"/>
  <c r="AT163" i="84"/>
  <c r="AU163" i="84"/>
  <c r="AV163" i="84"/>
  <c r="AW163" i="84"/>
  <c r="AX163" i="84"/>
  <c r="AY163" i="84"/>
  <c r="AZ163" i="84"/>
  <c r="BA163" i="84"/>
  <c r="BB163" i="84"/>
  <c r="BC163" i="84"/>
  <c r="BD163" i="84"/>
  <c r="BE163" i="84"/>
  <c r="BF163" i="84"/>
  <c r="BG163" i="84"/>
  <c r="AR164" i="84"/>
  <c r="AS164" i="84"/>
  <c r="AT164" i="84"/>
  <c r="AU164" i="84"/>
  <c r="AV164" i="84"/>
  <c r="AW164" i="84"/>
  <c r="AX164" i="84"/>
  <c r="AY164" i="84"/>
  <c r="AZ164" i="84"/>
  <c r="BA164" i="84"/>
  <c r="BB164" i="84"/>
  <c r="BC164" i="84"/>
  <c r="BD164" i="84"/>
  <c r="BE164" i="84"/>
  <c r="BF164" i="84"/>
  <c r="BG164" i="84"/>
  <c r="AR165" i="84"/>
  <c r="AS165" i="84"/>
  <c r="AT165" i="84"/>
  <c r="AU165" i="84"/>
  <c r="AV165" i="84"/>
  <c r="AW165" i="84"/>
  <c r="AX165" i="84"/>
  <c r="AY165" i="84"/>
  <c r="AZ165" i="84"/>
  <c r="BA165" i="84"/>
  <c r="BB165" i="84"/>
  <c r="BC165" i="84"/>
  <c r="BD165" i="84"/>
  <c r="BE165" i="84"/>
  <c r="BF165" i="84"/>
  <c r="BG165" i="84"/>
  <c r="AR166" i="84"/>
  <c r="AS166" i="84"/>
  <c r="AT166" i="84"/>
  <c r="AU166" i="84"/>
  <c r="AV166" i="84"/>
  <c r="AW166" i="84"/>
  <c r="AX166" i="84"/>
  <c r="AY166" i="84"/>
  <c r="AZ166" i="84"/>
  <c r="BA166" i="84"/>
  <c r="BB166" i="84"/>
  <c r="BC166" i="84"/>
  <c r="BD166" i="84"/>
  <c r="BE166" i="84"/>
  <c r="BF166" i="84"/>
  <c r="BG166" i="84"/>
  <c r="AR167" i="84"/>
  <c r="AS167" i="84"/>
  <c r="AT167" i="84"/>
  <c r="AU167" i="84"/>
  <c r="AV167" i="84"/>
  <c r="AW167" i="84"/>
  <c r="AX167" i="84"/>
  <c r="AY167" i="84"/>
  <c r="AZ167" i="84"/>
  <c r="BA167" i="84"/>
  <c r="BB167" i="84"/>
  <c r="BC167" i="84"/>
  <c r="BD167" i="84"/>
  <c r="BE167" i="84"/>
  <c r="BF167" i="84"/>
  <c r="BG167" i="84"/>
  <c r="AR168" i="84"/>
  <c r="AS168" i="84"/>
  <c r="AT168" i="84"/>
  <c r="AU168" i="84"/>
  <c r="AV168" i="84"/>
  <c r="AW168" i="84"/>
  <c r="AX168" i="84"/>
  <c r="AY168" i="84"/>
  <c r="AZ168" i="84"/>
  <c r="BA168" i="84"/>
  <c r="BB168" i="84"/>
  <c r="BC168" i="84"/>
  <c r="BD168" i="84"/>
  <c r="BE168" i="84"/>
  <c r="BF168" i="84"/>
  <c r="BG168" i="84"/>
  <c r="AR169" i="84"/>
  <c r="AS169" i="84"/>
  <c r="AT169" i="84"/>
  <c r="AU169" i="84"/>
  <c r="AV169" i="84"/>
  <c r="AW169" i="84"/>
  <c r="AX169" i="84"/>
  <c r="AY169" i="84"/>
  <c r="AZ169" i="84"/>
  <c r="BA169" i="84"/>
  <c r="BB169" i="84"/>
  <c r="BC169" i="84"/>
  <c r="BD169" i="84"/>
  <c r="BE169" i="84"/>
  <c r="BF169" i="84"/>
  <c r="BG169" i="84"/>
  <c r="AR170" i="84"/>
  <c r="AS170" i="84"/>
  <c r="AT170" i="84"/>
  <c r="AU170" i="84"/>
  <c r="AV170" i="84"/>
  <c r="AW170" i="84"/>
  <c r="AX170" i="84"/>
  <c r="AY170" i="84"/>
  <c r="AZ170" i="84"/>
  <c r="BA170" i="84"/>
  <c r="BB170" i="84"/>
  <c r="BC170" i="84"/>
  <c r="BD170" i="84"/>
  <c r="BE170" i="84"/>
  <c r="BF170" i="84"/>
  <c r="BG170" i="84"/>
  <c r="AR171" i="84"/>
  <c r="AS171" i="84"/>
  <c r="AT171" i="84"/>
  <c r="AU171" i="84"/>
  <c r="AV171" i="84"/>
  <c r="AW171" i="84"/>
  <c r="AX171" i="84"/>
  <c r="AY171" i="84"/>
  <c r="AZ171" i="84"/>
  <c r="BA171" i="84"/>
  <c r="BB171" i="84"/>
  <c r="BC171" i="84"/>
  <c r="BD171" i="84"/>
  <c r="BE171" i="84"/>
  <c r="BF171" i="84"/>
  <c r="BG171" i="84"/>
  <c r="AR172" i="84"/>
  <c r="AS172" i="84"/>
  <c r="AT172" i="84"/>
  <c r="AU172" i="84"/>
  <c r="AV172" i="84"/>
  <c r="AW172" i="84"/>
  <c r="AX172" i="84"/>
  <c r="AY172" i="84"/>
  <c r="AZ172" i="84"/>
  <c r="BA172" i="84"/>
  <c r="BB172" i="84"/>
  <c r="BC172" i="84"/>
  <c r="BD172" i="84"/>
  <c r="BE172" i="84"/>
  <c r="BF172" i="84"/>
  <c r="BG172" i="84"/>
  <c r="AR173" i="84"/>
  <c r="AS173" i="84"/>
  <c r="AT173" i="84"/>
  <c r="AU173" i="84"/>
  <c r="AV173" i="84"/>
  <c r="AW173" i="84"/>
  <c r="AX173" i="84"/>
  <c r="AY173" i="84"/>
  <c r="AZ173" i="84"/>
  <c r="BA173" i="84"/>
  <c r="BB173" i="84"/>
  <c r="BC173" i="84"/>
  <c r="BD173" i="84"/>
  <c r="BE173" i="84"/>
  <c r="BF173" i="84"/>
  <c r="BG173" i="84"/>
  <c r="AR174" i="84"/>
  <c r="AS174" i="84"/>
  <c r="AT174" i="84"/>
  <c r="AU174" i="84"/>
  <c r="AV174" i="84"/>
  <c r="AW174" i="84"/>
  <c r="AX174" i="84"/>
  <c r="AY174" i="84"/>
  <c r="AZ174" i="84"/>
  <c r="BA174" i="84"/>
  <c r="BB174" i="84"/>
  <c r="BC174" i="84"/>
  <c r="BD174" i="84"/>
  <c r="BE174" i="84"/>
  <c r="BF174" i="84"/>
  <c r="BG174" i="84"/>
  <c r="AR175" i="84"/>
  <c r="AS175" i="84"/>
  <c r="AT175" i="84"/>
  <c r="AU175" i="84"/>
  <c r="AV175" i="84"/>
  <c r="AW175" i="84"/>
  <c r="AX175" i="84"/>
  <c r="AY175" i="84"/>
  <c r="AZ175" i="84"/>
  <c r="BA175" i="84"/>
  <c r="BB175" i="84"/>
  <c r="BC175" i="84"/>
  <c r="BD175" i="84"/>
  <c r="BE175" i="84"/>
  <c r="BF175" i="84"/>
  <c r="BG175" i="84"/>
  <c r="AQ3" i="84"/>
  <c r="AQ4" i="84"/>
  <c r="AQ5" i="84"/>
  <c r="AQ6" i="84"/>
  <c r="AQ7" i="84"/>
  <c r="AQ8" i="84"/>
  <c r="AQ9" i="84"/>
  <c r="AQ10" i="84"/>
  <c r="AQ11" i="84"/>
  <c r="AQ12" i="84"/>
  <c r="AQ13" i="84"/>
  <c r="AQ14" i="84"/>
  <c r="AQ15" i="84"/>
  <c r="AQ16" i="84"/>
  <c r="AQ17" i="84"/>
  <c r="AQ18" i="84"/>
  <c r="AQ19" i="84"/>
  <c r="AQ20" i="84"/>
  <c r="AQ21" i="84"/>
  <c r="AQ22" i="84"/>
  <c r="AQ23" i="84"/>
  <c r="AQ24" i="84"/>
  <c r="AQ25" i="84"/>
  <c r="AQ26" i="84"/>
  <c r="AQ27" i="84"/>
  <c r="AQ28" i="84"/>
  <c r="AQ29" i="84"/>
  <c r="AQ30" i="84"/>
  <c r="AQ31" i="84"/>
  <c r="AQ32" i="84"/>
  <c r="AQ33" i="84"/>
  <c r="AQ34" i="84"/>
  <c r="AQ35" i="84"/>
  <c r="AQ36" i="84"/>
  <c r="AQ37" i="84"/>
  <c r="AQ38" i="84"/>
  <c r="AQ39" i="84"/>
  <c r="AQ40" i="84"/>
  <c r="AQ41" i="84"/>
  <c r="AQ42" i="84"/>
  <c r="AQ43" i="84"/>
  <c r="AQ44" i="84"/>
  <c r="AQ45" i="84"/>
  <c r="AQ46" i="84"/>
  <c r="AQ47" i="84"/>
  <c r="AQ48" i="84"/>
  <c r="AQ49" i="84"/>
  <c r="AQ50" i="84"/>
  <c r="AQ51" i="84"/>
  <c r="AQ52" i="84"/>
  <c r="AQ53" i="84"/>
  <c r="AQ54" i="84"/>
  <c r="AQ55" i="84"/>
  <c r="AQ56" i="84"/>
  <c r="AQ57" i="84"/>
  <c r="AQ58" i="84"/>
  <c r="AQ59" i="84"/>
  <c r="AQ60" i="84"/>
  <c r="AQ61" i="84"/>
  <c r="AQ62" i="84"/>
  <c r="AQ63" i="84"/>
  <c r="AQ64" i="84"/>
  <c r="AQ65" i="84"/>
  <c r="AQ66" i="84"/>
  <c r="AQ67" i="84"/>
  <c r="AQ68" i="84"/>
  <c r="AQ69" i="84"/>
  <c r="AQ70" i="84"/>
  <c r="AQ71" i="84"/>
  <c r="AQ72" i="84"/>
  <c r="AQ73" i="84"/>
  <c r="AQ74" i="84"/>
  <c r="AQ75" i="84"/>
  <c r="AQ76" i="84"/>
  <c r="AQ77" i="84"/>
  <c r="AQ78" i="84"/>
  <c r="AQ79" i="84"/>
  <c r="AQ80" i="84"/>
  <c r="AQ81" i="84"/>
  <c r="AQ82" i="84"/>
  <c r="AQ83" i="84"/>
  <c r="AQ84" i="84"/>
  <c r="AQ85" i="84"/>
  <c r="AQ86" i="84"/>
  <c r="AQ87" i="84"/>
  <c r="AQ88" i="84"/>
  <c r="AQ89" i="84"/>
  <c r="AQ90" i="84"/>
  <c r="AQ91" i="84"/>
  <c r="AQ92" i="84"/>
  <c r="AQ93" i="84"/>
  <c r="AQ94" i="84"/>
  <c r="AQ95" i="84"/>
  <c r="AQ96" i="84"/>
  <c r="AQ97" i="84"/>
  <c r="AQ98" i="84"/>
  <c r="AQ99" i="84"/>
  <c r="AQ100" i="84"/>
  <c r="AQ101" i="84"/>
  <c r="AQ102" i="84"/>
  <c r="AQ103" i="84"/>
  <c r="AQ104" i="84"/>
  <c r="AQ105" i="84"/>
  <c r="AQ106" i="84"/>
  <c r="AQ107" i="84"/>
  <c r="AQ108" i="84"/>
  <c r="AQ109" i="84"/>
  <c r="AQ110" i="84"/>
  <c r="AQ111" i="84"/>
  <c r="AQ112" i="84"/>
  <c r="AQ113" i="84"/>
  <c r="AQ114" i="84"/>
  <c r="AQ115" i="84"/>
  <c r="AQ116" i="84"/>
  <c r="AQ117" i="84"/>
  <c r="AQ118" i="84"/>
  <c r="AQ119" i="84"/>
  <c r="AQ120" i="84"/>
  <c r="AQ121" i="84"/>
  <c r="AQ122" i="84"/>
  <c r="AQ123" i="84"/>
  <c r="AQ124" i="84"/>
  <c r="AQ125" i="84"/>
  <c r="AQ126" i="84"/>
  <c r="AQ127" i="84"/>
  <c r="AQ128" i="84"/>
  <c r="AQ129" i="84"/>
  <c r="AQ130" i="84"/>
  <c r="AQ131" i="84"/>
  <c r="AQ132" i="84"/>
  <c r="AQ133" i="84"/>
  <c r="AQ134" i="84"/>
  <c r="AQ135" i="84"/>
  <c r="AQ136" i="84"/>
  <c r="AQ137" i="84"/>
  <c r="AQ138" i="84"/>
  <c r="AQ139" i="84"/>
  <c r="AQ140" i="84"/>
  <c r="AQ141" i="84"/>
  <c r="AQ142" i="84"/>
  <c r="AQ143" i="84"/>
  <c r="AQ144" i="84"/>
  <c r="AQ145" i="84"/>
  <c r="AQ146" i="84"/>
  <c r="AQ147" i="84"/>
  <c r="AQ148" i="84"/>
  <c r="AQ149" i="84"/>
  <c r="AQ150" i="84"/>
  <c r="AQ151" i="84"/>
  <c r="AQ152" i="84"/>
  <c r="AQ153" i="84"/>
  <c r="AQ154" i="84"/>
  <c r="AQ155" i="84"/>
  <c r="AQ156" i="84"/>
  <c r="AQ157" i="84"/>
  <c r="AQ158" i="84"/>
  <c r="AQ159" i="84"/>
  <c r="AQ160" i="84"/>
  <c r="AQ161" i="84"/>
  <c r="AQ162" i="84"/>
  <c r="AQ163" i="84"/>
  <c r="AQ164" i="84"/>
  <c r="AQ165" i="84"/>
  <c r="AQ166" i="84"/>
  <c r="AQ167" i="84"/>
  <c r="AQ168" i="84"/>
  <c r="AQ169" i="84"/>
  <c r="AQ170" i="84"/>
  <c r="AQ171" i="84"/>
  <c r="AQ172" i="84"/>
  <c r="AQ173" i="84"/>
  <c r="AQ174" i="84"/>
  <c r="AQ175" i="84"/>
  <c r="AQ2" i="84"/>
  <c r="AN177" i="84"/>
  <c r="AN178" i="84"/>
  <c r="AN179" i="84"/>
  <c r="AN180" i="84"/>
  <c r="AN181" i="84"/>
  <c r="AN176" i="84"/>
  <c r="AN3" i="84"/>
  <c r="AN4" i="84"/>
  <c r="AN5" i="84"/>
  <c r="AN6" i="84"/>
  <c r="AN7" i="84"/>
  <c r="AN8" i="84"/>
  <c r="AN9" i="84"/>
  <c r="AN10" i="84"/>
  <c r="AN11" i="84"/>
  <c r="AN12" i="84"/>
  <c r="AN13" i="84"/>
  <c r="AN14" i="84"/>
  <c r="AN15" i="84"/>
  <c r="AN16" i="84"/>
  <c r="AN17" i="84"/>
  <c r="AN18" i="84"/>
  <c r="AN19" i="84"/>
  <c r="AN20" i="84"/>
  <c r="AN21" i="84"/>
  <c r="AN22" i="84"/>
  <c r="AN23" i="84"/>
  <c r="AN24" i="84"/>
  <c r="AN25" i="84"/>
  <c r="AN26" i="84"/>
  <c r="AN27" i="84"/>
  <c r="AN28" i="84"/>
  <c r="AN29" i="84"/>
  <c r="AN30" i="84"/>
  <c r="AN31" i="84"/>
  <c r="AN32" i="84"/>
  <c r="AN33" i="84"/>
  <c r="AN34" i="84"/>
  <c r="AN35" i="84"/>
  <c r="AN36" i="84"/>
  <c r="AN37" i="84"/>
  <c r="AN38" i="84"/>
  <c r="AN39" i="84"/>
  <c r="AN40" i="84"/>
  <c r="AN41" i="84"/>
  <c r="AN42" i="84"/>
  <c r="AN43" i="84"/>
  <c r="AN44" i="84"/>
  <c r="AN45" i="84"/>
  <c r="AN46" i="84"/>
  <c r="AN47" i="84"/>
  <c r="AN48" i="84"/>
  <c r="AN49" i="84"/>
  <c r="AN50" i="84"/>
  <c r="AN51" i="84"/>
  <c r="AN52" i="84"/>
  <c r="AN53" i="84"/>
  <c r="AN54" i="84"/>
  <c r="AN55" i="84"/>
  <c r="AN56" i="84"/>
  <c r="AN57" i="84"/>
  <c r="AN58" i="84"/>
  <c r="AN59" i="84"/>
  <c r="AN60" i="84"/>
  <c r="AN61" i="84"/>
  <c r="AN62" i="84"/>
  <c r="AN63" i="84"/>
  <c r="AN64" i="84"/>
  <c r="AN65" i="84"/>
  <c r="AN66" i="84"/>
  <c r="AN67" i="84"/>
  <c r="AN68" i="84"/>
  <c r="AN69" i="84"/>
  <c r="AN70" i="84"/>
  <c r="AN71" i="84"/>
  <c r="AN72" i="84"/>
  <c r="AN73" i="84"/>
  <c r="AN74" i="84"/>
  <c r="AN75" i="84"/>
  <c r="AN76" i="84"/>
  <c r="AN77" i="84"/>
  <c r="AN78" i="84"/>
  <c r="AN79" i="84"/>
  <c r="AN80" i="84"/>
  <c r="AN81" i="84"/>
  <c r="AN82" i="84"/>
  <c r="AN83" i="84"/>
  <c r="AN84" i="84"/>
  <c r="AN85" i="84"/>
  <c r="AN86" i="84"/>
  <c r="AN87" i="84"/>
  <c r="AN88" i="84"/>
  <c r="AN89" i="84"/>
  <c r="AN90" i="84"/>
  <c r="AN91" i="84"/>
  <c r="AN92" i="84"/>
  <c r="AN93" i="84"/>
  <c r="AN94" i="84"/>
  <c r="AN95" i="84"/>
  <c r="AN96" i="84"/>
  <c r="AN97" i="84"/>
  <c r="AN98" i="84"/>
  <c r="AN99" i="84"/>
  <c r="AN100" i="84"/>
  <c r="AN101" i="84"/>
  <c r="AN102" i="84"/>
  <c r="AN103" i="84"/>
  <c r="AN104" i="84"/>
  <c r="AN105" i="84"/>
  <c r="AN106" i="84"/>
  <c r="AN107" i="84"/>
  <c r="AN108" i="84"/>
  <c r="AN109" i="84"/>
  <c r="AN110" i="84"/>
  <c r="AN111" i="84"/>
  <c r="AN112" i="84"/>
  <c r="AN113" i="84"/>
  <c r="AN114" i="84"/>
  <c r="AN115" i="84"/>
  <c r="AN116" i="84"/>
  <c r="AN117" i="84"/>
  <c r="AN118" i="84"/>
  <c r="AN119" i="84"/>
  <c r="AN120" i="84"/>
  <c r="AN121" i="84"/>
  <c r="AN122" i="84"/>
  <c r="AN123" i="84"/>
  <c r="AN124" i="84"/>
  <c r="AN125" i="84"/>
  <c r="AN126" i="84"/>
  <c r="AN127" i="84"/>
  <c r="AN128" i="84"/>
  <c r="AN129" i="84"/>
  <c r="AN130" i="84"/>
  <c r="AN131" i="84"/>
  <c r="AN132" i="84"/>
  <c r="AN133" i="84"/>
  <c r="AN134" i="84"/>
  <c r="AN135" i="84"/>
  <c r="AN136" i="84"/>
  <c r="AN137" i="84"/>
  <c r="AN138" i="84"/>
  <c r="AN139" i="84"/>
  <c r="AN140" i="84"/>
  <c r="AN141" i="84"/>
  <c r="AN142" i="84"/>
  <c r="AN143" i="84"/>
  <c r="AN144" i="84"/>
  <c r="AN145" i="84"/>
  <c r="AN146" i="84"/>
  <c r="AN147" i="84"/>
  <c r="AN148" i="84"/>
  <c r="AN149" i="84"/>
  <c r="AN150" i="84"/>
  <c r="AN151" i="84"/>
  <c r="AN152" i="84"/>
  <c r="AN153" i="84"/>
  <c r="AN154" i="84"/>
  <c r="AN155" i="84"/>
  <c r="AN156" i="84"/>
  <c r="AN157" i="84"/>
  <c r="AN158" i="84"/>
  <c r="AN159" i="84"/>
  <c r="AN160" i="84"/>
  <c r="AN161" i="84"/>
  <c r="AN162" i="84"/>
  <c r="AN163" i="84"/>
  <c r="AN164" i="84"/>
  <c r="AN165" i="84"/>
  <c r="AN166" i="84"/>
  <c r="AN167" i="84"/>
  <c r="AN168" i="84"/>
  <c r="AN169" i="84"/>
  <c r="AN170" i="84"/>
  <c r="AN171" i="84"/>
  <c r="AN172" i="84"/>
  <c r="AN173" i="84"/>
  <c r="AN174" i="84"/>
  <c r="AN175" i="84"/>
  <c r="AN2" i="84"/>
  <c r="AF176" i="84"/>
  <c r="AG176" i="84"/>
  <c r="AH176" i="84"/>
  <c r="AI176" i="84"/>
  <c r="AJ176" i="84"/>
  <c r="AK176" i="84"/>
  <c r="AF177" i="84"/>
  <c r="AG177" i="84"/>
  <c r="AH177" i="84"/>
  <c r="AI177" i="84"/>
  <c r="AJ177" i="84"/>
  <c r="AK177" i="84"/>
  <c r="AF178" i="84"/>
  <c r="AG178" i="84"/>
  <c r="AH178" i="84"/>
  <c r="AI178" i="84"/>
  <c r="AJ178" i="84"/>
  <c r="AK178" i="84"/>
  <c r="AF179" i="84"/>
  <c r="AG179" i="84"/>
  <c r="AH179" i="84"/>
  <c r="AI179" i="84"/>
  <c r="AJ179" i="84"/>
  <c r="AK179" i="84"/>
  <c r="AF180" i="84"/>
  <c r="AG180" i="84"/>
  <c r="AH180" i="84"/>
  <c r="AI180" i="84"/>
  <c r="AJ180" i="84"/>
  <c r="AK180" i="84"/>
  <c r="AF181" i="84"/>
  <c r="AG181" i="84"/>
  <c r="AH181" i="84"/>
  <c r="AI181" i="84"/>
  <c r="AJ181" i="84"/>
  <c r="AK181" i="84"/>
  <c r="AE177" i="84"/>
  <c r="AE178" i="84"/>
  <c r="AE179" i="84"/>
  <c r="AE180" i="84"/>
  <c r="AE181" i="84"/>
  <c r="AE176" i="84"/>
  <c r="AE3" i="84"/>
  <c r="AF3" i="84"/>
  <c r="AG3" i="84"/>
  <c r="AH3" i="84"/>
  <c r="AI3" i="84"/>
  <c r="AJ3" i="84"/>
  <c r="AK3" i="84"/>
  <c r="AE4" i="84"/>
  <c r="AF4" i="84"/>
  <c r="AG4" i="84"/>
  <c r="AH4" i="84"/>
  <c r="AI4" i="84"/>
  <c r="AJ4" i="84"/>
  <c r="AK4" i="84"/>
  <c r="AE5" i="84"/>
  <c r="AF5" i="84"/>
  <c r="AG5" i="84"/>
  <c r="AH5" i="84"/>
  <c r="AI5" i="84"/>
  <c r="AJ5" i="84"/>
  <c r="AK5" i="84"/>
  <c r="AE6" i="84"/>
  <c r="AF6" i="84"/>
  <c r="AG6" i="84"/>
  <c r="AH6" i="84"/>
  <c r="AI6" i="84"/>
  <c r="AJ6" i="84"/>
  <c r="AK6" i="84"/>
  <c r="AE7" i="84"/>
  <c r="AF7" i="84"/>
  <c r="AG7" i="84"/>
  <c r="AH7" i="84"/>
  <c r="AI7" i="84"/>
  <c r="AJ7" i="84"/>
  <c r="AK7" i="84"/>
  <c r="AE8" i="84"/>
  <c r="AF8" i="84"/>
  <c r="AG8" i="84"/>
  <c r="AH8" i="84"/>
  <c r="AI8" i="84"/>
  <c r="AJ8" i="84"/>
  <c r="AK8" i="84"/>
  <c r="AE9" i="84"/>
  <c r="AF9" i="84"/>
  <c r="AG9" i="84"/>
  <c r="AH9" i="84"/>
  <c r="AI9" i="84"/>
  <c r="AJ9" i="84"/>
  <c r="AK9" i="84"/>
  <c r="AE10" i="84"/>
  <c r="AF10" i="84"/>
  <c r="AG10" i="84"/>
  <c r="AH10" i="84"/>
  <c r="AI10" i="84"/>
  <c r="AJ10" i="84"/>
  <c r="AK10" i="84"/>
  <c r="AE11" i="84"/>
  <c r="AF11" i="84"/>
  <c r="AG11" i="84"/>
  <c r="AH11" i="84"/>
  <c r="AI11" i="84"/>
  <c r="AJ11" i="84"/>
  <c r="AK11" i="84"/>
  <c r="AE12" i="84"/>
  <c r="AF12" i="84"/>
  <c r="AG12" i="84"/>
  <c r="AH12" i="84"/>
  <c r="AI12" i="84"/>
  <c r="AJ12" i="84"/>
  <c r="AK12" i="84"/>
  <c r="AE13" i="84"/>
  <c r="AF13" i="84"/>
  <c r="AG13" i="84"/>
  <c r="AH13" i="84"/>
  <c r="AI13" i="84"/>
  <c r="AJ13" i="84"/>
  <c r="AK13" i="84"/>
  <c r="AE14" i="84"/>
  <c r="AF14" i="84"/>
  <c r="AG14" i="84"/>
  <c r="AH14" i="84"/>
  <c r="AI14" i="84"/>
  <c r="AJ14" i="84"/>
  <c r="AK14" i="84"/>
  <c r="AE15" i="84"/>
  <c r="AF15" i="84"/>
  <c r="AG15" i="84"/>
  <c r="AH15" i="84"/>
  <c r="AI15" i="84"/>
  <c r="AJ15" i="84"/>
  <c r="AK15" i="84"/>
  <c r="AE16" i="84"/>
  <c r="AF16" i="84"/>
  <c r="AG16" i="84"/>
  <c r="AH16" i="84"/>
  <c r="AI16" i="84"/>
  <c r="AJ16" i="84"/>
  <c r="AK16" i="84"/>
  <c r="AE17" i="84"/>
  <c r="AF17" i="84"/>
  <c r="AG17" i="84"/>
  <c r="AH17" i="84"/>
  <c r="AI17" i="84"/>
  <c r="AJ17" i="84"/>
  <c r="AK17" i="84"/>
  <c r="AE18" i="84"/>
  <c r="AF18" i="84"/>
  <c r="AG18" i="84"/>
  <c r="AH18" i="84"/>
  <c r="AI18" i="84"/>
  <c r="AJ18" i="84"/>
  <c r="AK18" i="84"/>
  <c r="AE19" i="84"/>
  <c r="AF19" i="84"/>
  <c r="AG19" i="84"/>
  <c r="AH19" i="84"/>
  <c r="AI19" i="84"/>
  <c r="AJ19" i="84"/>
  <c r="AK19" i="84"/>
  <c r="AE20" i="84"/>
  <c r="AF20" i="84"/>
  <c r="AG20" i="84"/>
  <c r="AH20" i="84"/>
  <c r="AI20" i="84"/>
  <c r="AJ20" i="84"/>
  <c r="AK20" i="84"/>
  <c r="AE21" i="84"/>
  <c r="AF21" i="84"/>
  <c r="AG21" i="84"/>
  <c r="AH21" i="84"/>
  <c r="AI21" i="84"/>
  <c r="AJ21" i="84"/>
  <c r="AK21" i="84"/>
  <c r="AE22" i="84"/>
  <c r="AF22" i="84"/>
  <c r="AG22" i="84"/>
  <c r="AH22" i="84"/>
  <c r="AI22" i="84"/>
  <c r="AJ22" i="84"/>
  <c r="AK22" i="84"/>
  <c r="AE23" i="84"/>
  <c r="AF23" i="84"/>
  <c r="AG23" i="84"/>
  <c r="AH23" i="84"/>
  <c r="AI23" i="84"/>
  <c r="AJ23" i="84"/>
  <c r="AK23" i="84"/>
  <c r="AE24" i="84"/>
  <c r="AF24" i="84"/>
  <c r="AG24" i="84"/>
  <c r="AH24" i="84"/>
  <c r="AI24" i="84"/>
  <c r="AJ24" i="84"/>
  <c r="AK24" i="84"/>
  <c r="AE25" i="84"/>
  <c r="AF25" i="84"/>
  <c r="AG25" i="84"/>
  <c r="AH25" i="84"/>
  <c r="AI25" i="84"/>
  <c r="AJ25" i="84"/>
  <c r="AK25" i="84"/>
  <c r="AE26" i="84"/>
  <c r="AF26" i="84"/>
  <c r="AG26" i="84"/>
  <c r="AH26" i="84"/>
  <c r="AI26" i="84"/>
  <c r="AJ26" i="84"/>
  <c r="AK26" i="84"/>
  <c r="AE27" i="84"/>
  <c r="AF27" i="84"/>
  <c r="AG27" i="84"/>
  <c r="AH27" i="84"/>
  <c r="AI27" i="84"/>
  <c r="AJ27" i="84"/>
  <c r="AK27" i="84"/>
  <c r="AE28" i="84"/>
  <c r="AF28" i="84"/>
  <c r="AG28" i="84"/>
  <c r="AH28" i="84"/>
  <c r="AI28" i="84"/>
  <c r="AJ28" i="84"/>
  <c r="AK28" i="84"/>
  <c r="AE29" i="84"/>
  <c r="AF29" i="84"/>
  <c r="AG29" i="84"/>
  <c r="AH29" i="84"/>
  <c r="AI29" i="84"/>
  <c r="AJ29" i="84"/>
  <c r="AK29" i="84"/>
  <c r="AE30" i="84"/>
  <c r="AF30" i="84"/>
  <c r="AG30" i="84"/>
  <c r="AH30" i="84"/>
  <c r="AI30" i="84"/>
  <c r="AJ30" i="84"/>
  <c r="AK30" i="84"/>
  <c r="AE31" i="84"/>
  <c r="AF31" i="84"/>
  <c r="AG31" i="84"/>
  <c r="AH31" i="84"/>
  <c r="AI31" i="84"/>
  <c r="AJ31" i="84"/>
  <c r="AK31" i="84"/>
  <c r="AE32" i="84"/>
  <c r="AF32" i="84"/>
  <c r="AG32" i="84"/>
  <c r="AH32" i="84"/>
  <c r="AI32" i="84"/>
  <c r="AJ32" i="84"/>
  <c r="AK32" i="84"/>
  <c r="AE33" i="84"/>
  <c r="AF33" i="84"/>
  <c r="AG33" i="84"/>
  <c r="AH33" i="84"/>
  <c r="AI33" i="84"/>
  <c r="AJ33" i="84"/>
  <c r="AK33" i="84"/>
  <c r="AE34" i="84"/>
  <c r="AF34" i="84"/>
  <c r="AG34" i="84"/>
  <c r="AH34" i="84"/>
  <c r="AI34" i="84"/>
  <c r="AJ34" i="84"/>
  <c r="AK34" i="84"/>
  <c r="AE35" i="84"/>
  <c r="AF35" i="84"/>
  <c r="AG35" i="84"/>
  <c r="AH35" i="84"/>
  <c r="AI35" i="84"/>
  <c r="AJ35" i="84"/>
  <c r="AK35" i="84"/>
  <c r="AE36" i="84"/>
  <c r="AF36" i="84"/>
  <c r="AG36" i="84"/>
  <c r="AH36" i="84"/>
  <c r="AI36" i="84"/>
  <c r="AJ36" i="84"/>
  <c r="AK36" i="84"/>
  <c r="AE37" i="84"/>
  <c r="AF37" i="84"/>
  <c r="AG37" i="84"/>
  <c r="AH37" i="84"/>
  <c r="AI37" i="84"/>
  <c r="AJ37" i="84"/>
  <c r="AK37" i="84"/>
  <c r="AE38" i="84"/>
  <c r="AF38" i="84"/>
  <c r="AG38" i="84"/>
  <c r="AH38" i="84"/>
  <c r="AI38" i="84"/>
  <c r="AJ38" i="84"/>
  <c r="AK38" i="84"/>
  <c r="AE39" i="84"/>
  <c r="AF39" i="84"/>
  <c r="AG39" i="84"/>
  <c r="AH39" i="84"/>
  <c r="AI39" i="84"/>
  <c r="AJ39" i="84"/>
  <c r="AK39" i="84"/>
  <c r="AE40" i="84"/>
  <c r="AF40" i="84"/>
  <c r="AG40" i="84"/>
  <c r="AH40" i="84"/>
  <c r="AI40" i="84"/>
  <c r="AJ40" i="84"/>
  <c r="AK40" i="84"/>
  <c r="AE41" i="84"/>
  <c r="AF41" i="84"/>
  <c r="AG41" i="84"/>
  <c r="AH41" i="84"/>
  <c r="AI41" i="84"/>
  <c r="AJ41" i="84"/>
  <c r="AK41" i="84"/>
  <c r="AE42" i="84"/>
  <c r="AF42" i="84"/>
  <c r="AG42" i="84"/>
  <c r="AH42" i="84"/>
  <c r="AI42" i="84"/>
  <c r="AJ42" i="84"/>
  <c r="AK42" i="84"/>
  <c r="AE43" i="84"/>
  <c r="AF43" i="84"/>
  <c r="AG43" i="84"/>
  <c r="AH43" i="84"/>
  <c r="AI43" i="84"/>
  <c r="AJ43" i="84"/>
  <c r="AK43" i="84"/>
  <c r="AE44" i="84"/>
  <c r="AF44" i="84"/>
  <c r="AG44" i="84"/>
  <c r="AH44" i="84"/>
  <c r="AI44" i="84"/>
  <c r="AJ44" i="84"/>
  <c r="AK44" i="84"/>
  <c r="AE45" i="84"/>
  <c r="AF45" i="84"/>
  <c r="AG45" i="84"/>
  <c r="AH45" i="84"/>
  <c r="AI45" i="84"/>
  <c r="AJ45" i="84"/>
  <c r="AK45" i="84"/>
  <c r="AE46" i="84"/>
  <c r="AF46" i="84"/>
  <c r="AG46" i="84"/>
  <c r="AH46" i="84"/>
  <c r="AI46" i="84"/>
  <c r="AJ46" i="84"/>
  <c r="AK46" i="84"/>
  <c r="AE47" i="84"/>
  <c r="AF47" i="84"/>
  <c r="AG47" i="84"/>
  <c r="AH47" i="84"/>
  <c r="AI47" i="84"/>
  <c r="AJ47" i="84"/>
  <c r="AK47" i="84"/>
  <c r="AE48" i="84"/>
  <c r="AF48" i="84"/>
  <c r="AG48" i="84"/>
  <c r="AH48" i="84"/>
  <c r="AI48" i="84"/>
  <c r="AJ48" i="84"/>
  <c r="AK48" i="84"/>
  <c r="AE49" i="84"/>
  <c r="AF49" i="84"/>
  <c r="AG49" i="84"/>
  <c r="AH49" i="84"/>
  <c r="AI49" i="84"/>
  <c r="AJ49" i="84"/>
  <c r="AK49" i="84"/>
  <c r="AE50" i="84"/>
  <c r="AF50" i="84"/>
  <c r="AG50" i="84"/>
  <c r="AH50" i="84"/>
  <c r="AI50" i="84"/>
  <c r="AJ50" i="84"/>
  <c r="AK50" i="84"/>
  <c r="AE51" i="84"/>
  <c r="AF51" i="84"/>
  <c r="AG51" i="84"/>
  <c r="AH51" i="84"/>
  <c r="AI51" i="84"/>
  <c r="AJ51" i="84"/>
  <c r="AK51" i="84"/>
  <c r="AE52" i="84"/>
  <c r="AF52" i="84"/>
  <c r="AG52" i="84"/>
  <c r="AH52" i="84"/>
  <c r="AI52" i="84"/>
  <c r="AJ52" i="84"/>
  <c r="AK52" i="84"/>
  <c r="AE53" i="84"/>
  <c r="AF53" i="84"/>
  <c r="AG53" i="84"/>
  <c r="AH53" i="84"/>
  <c r="AI53" i="84"/>
  <c r="AJ53" i="84"/>
  <c r="AK53" i="84"/>
  <c r="AE54" i="84"/>
  <c r="AF54" i="84"/>
  <c r="AG54" i="84"/>
  <c r="AH54" i="84"/>
  <c r="AI54" i="84"/>
  <c r="AJ54" i="84"/>
  <c r="AK54" i="84"/>
  <c r="AE55" i="84"/>
  <c r="AF55" i="84"/>
  <c r="AG55" i="84"/>
  <c r="AH55" i="84"/>
  <c r="AI55" i="84"/>
  <c r="AJ55" i="84"/>
  <c r="AK55" i="84"/>
  <c r="AE56" i="84"/>
  <c r="AF56" i="84"/>
  <c r="AG56" i="84"/>
  <c r="AH56" i="84"/>
  <c r="AI56" i="84"/>
  <c r="AJ56" i="84"/>
  <c r="AK56" i="84"/>
  <c r="AE57" i="84"/>
  <c r="AF57" i="84"/>
  <c r="AG57" i="84"/>
  <c r="AH57" i="84"/>
  <c r="AI57" i="84"/>
  <c r="AJ57" i="84"/>
  <c r="AK57" i="84"/>
  <c r="AE58" i="84"/>
  <c r="AF58" i="84"/>
  <c r="AG58" i="84"/>
  <c r="AH58" i="84"/>
  <c r="AI58" i="84"/>
  <c r="AJ58" i="84"/>
  <c r="AK58" i="84"/>
  <c r="AE59" i="84"/>
  <c r="AF59" i="84"/>
  <c r="AG59" i="84"/>
  <c r="AH59" i="84"/>
  <c r="AI59" i="84"/>
  <c r="AJ59" i="84"/>
  <c r="AK59" i="84"/>
  <c r="AE60" i="84"/>
  <c r="AF60" i="84"/>
  <c r="AG60" i="84"/>
  <c r="AH60" i="84"/>
  <c r="AI60" i="84"/>
  <c r="AJ60" i="84"/>
  <c r="AK60" i="84"/>
  <c r="AE61" i="84"/>
  <c r="AF61" i="84"/>
  <c r="AG61" i="84"/>
  <c r="AH61" i="84"/>
  <c r="AI61" i="84"/>
  <c r="AJ61" i="84"/>
  <c r="AK61" i="84"/>
  <c r="AE62" i="84"/>
  <c r="AF62" i="84"/>
  <c r="AG62" i="84"/>
  <c r="AH62" i="84"/>
  <c r="AI62" i="84"/>
  <c r="AJ62" i="84"/>
  <c r="AK62" i="84"/>
  <c r="AE63" i="84"/>
  <c r="AF63" i="84"/>
  <c r="AG63" i="84"/>
  <c r="AH63" i="84"/>
  <c r="AI63" i="84"/>
  <c r="AJ63" i="84"/>
  <c r="AK63" i="84"/>
  <c r="AE64" i="84"/>
  <c r="AF64" i="84"/>
  <c r="AG64" i="84"/>
  <c r="AH64" i="84"/>
  <c r="AI64" i="84"/>
  <c r="AJ64" i="84"/>
  <c r="AK64" i="84"/>
  <c r="AE65" i="84"/>
  <c r="AF65" i="84"/>
  <c r="AG65" i="84"/>
  <c r="AH65" i="84"/>
  <c r="AI65" i="84"/>
  <c r="AJ65" i="84"/>
  <c r="AK65" i="84"/>
  <c r="AE66" i="84"/>
  <c r="AF66" i="84"/>
  <c r="AG66" i="84"/>
  <c r="AH66" i="84"/>
  <c r="AI66" i="84"/>
  <c r="AJ66" i="84"/>
  <c r="AK66" i="84"/>
  <c r="AE67" i="84"/>
  <c r="AF67" i="84"/>
  <c r="AG67" i="84"/>
  <c r="AH67" i="84"/>
  <c r="AI67" i="84"/>
  <c r="AJ67" i="84"/>
  <c r="AK67" i="84"/>
  <c r="AE68" i="84"/>
  <c r="AF68" i="84"/>
  <c r="AG68" i="84"/>
  <c r="AH68" i="84"/>
  <c r="AI68" i="84"/>
  <c r="AJ68" i="84"/>
  <c r="AK68" i="84"/>
  <c r="AE69" i="84"/>
  <c r="AF69" i="84"/>
  <c r="AG69" i="84"/>
  <c r="AH69" i="84"/>
  <c r="AI69" i="84"/>
  <c r="AJ69" i="84"/>
  <c r="AK69" i="84"/>
  <c r="AE70" i="84"/>
  <c r="AF70" i="84"/>
  <c r="AG70" i="84"/>
  <c r="AH70" i="84"/>
  <c r="AI70" i="84"/>
  <c r="AJ70" i="84"/>
  <c r="AK70" i="84"/>
  <c r="AE71" i="84"/>
  <c r="AF71" i="84"/>
  <c r="AG71" i="84"/>
  <c r="AH71" i="84"/>
  <c r="AI71" i="84"/>
  <c r="AJ71" i="84"/>
  <c r="AK71" i="84"/>
  <c r="AE72" i="84"/>
  <c r="AF72" i="84"/>
  <c r="AG72" i="84"/>
  <c r="AH72" i="84"/>
  <c r="AI72" i="84"/>
  <c r="AJ72" i="84"/>
  <c r="AK72" i="84"/>
  <c r="AE73" i="84"/>
  <c r="AF73" i="84"/>
  <c r="AG73" i="84"/>
  <c r="AH73" i="84"/>
  <c r="AI73" i="84"/>
  <c r="AJ73" i="84"/>
  <c r="AK73" i="84"/>
  <c r="AE74" i="84"/>
  <c r="AF74" i="84"/>
  <c r="AG74" i="84"/>
  <c r="AH74" i="84"/>
  <c r="AI74" i="84"/>
  <c r="AJ74" i="84"/>
  <c r="AK74" i="84"/>
  <c r="AE75" i="84"/>
  <c r="AF75" i="84"/>
  <c r="AG75" i="84"/>
  <c r="AH75" i="84"/>
  <c r="AI75" i="84"/>
  <c r="AJ75" i="84"/>
  <c r="AK75" i="84"/>
  <c r="AE76" i="84"/>
  <c r="AF76" i="84"/>
  <c r="AG76" i="84"/>
  <c r="AH76" i="84"/>
  <c r="AI76" i="84"/>
  <c r="AJ76" i="84"/>
  <c r="AK76" i="84"/>
  <c r="AE77" i="84"/>
  <c r="AF77" i="84"/>
  <c r="AG77" i="84"/>
  <c r="AH77" i="84"/>
  <c r="AI77" i="84"/>
  <c r="AJ77" i="84"/>
  <c r="AK77" i="84"/>
  <c r="AE78" i="84"/>
  <c r="AF78" i="84"/>
  <c r="AG78" i="84"/>
  <c r="AH78" i="84"/>
  <c r="AI78" i="84"/>
  <c r="AJ78" i="84"/>
  <c r="AK78" i="84"/>
  <c r="AE79" i="84"/>
  <c r="AF79" i="84"/>
  <c r="AG79" i="84"/>
  <c r="AH79" i="84"/>
  <c r="AI79" i="84"/>
  <c r="AJ79" i="84"/>
  <c r="AK79" i="84"/>
  <c r="AE80" i="84"/>
  <c r="AF80" i="84"/>
  <c r="AG80" i="84"/>
  <c r="AH80" i="84"/>
  <c r="AI80" i="84"/>
  <c r="AJ80" i="84"/>
  <c r="AK80" i="84"/>
  <c r="AE81" i="84"/>
  <c r="AF81" i="84"/>
  <c r="AG81" i="84"/>
  <c r="AH81" i="84"/>
  <c r="AI81" i="84"/>
  <c r="AJ81" i="84"/>
  <c r="AK81" i="84"/>
  <c r="AE82" i="84"/>
  <c r="AF82" i="84"/>
  <c r="AG82" i="84"/>
  <c r="AH82" i="84"/>
  <c r="AI82" i="84"/>
  <c r="AJ82" i="84"/>
  <c r="AK82" i="84"/>
  <c r="AE83" i="84"/>
  <c r="AF83" i="84"/>
  <c r="AG83" i="84"/>
  <c r="AH83" i="84"/>
  <c r="AI83" i="84"/>
  <c r="AJ83" i="84"/>
  <c r="AK83" i="84"/>
  <c r="AE84" i="84"/>
  <c r="AF84" i="84"/>
  <c r="AG84" i="84"/>
  <c r="AH84" i="84"/>
  <c r="AI84" i="84"/>
  <c r="AJ84" i="84"/>
  <c r="AK84" i="84"/>
  <c r="AE85" i="84"/>
  <c r="AF85" i="84"/>
  <c r="AG85" i="84"/>
  <c r="AH85" i="84"/>
  <c r="AI85" i="84"/>
  <c r="AJ85" i="84"/>
  <c r="AK85" i="84"/>
  <c r="AE86" i="84"/>
  <c r="AF86" i="84"/>
  <c r="AG86" i="84"/>
  <c r="AH86" i="84"/>
  <c r="AI86" i="84"/>
  <c r="AJ86" i="84"/>
  <c r="AK86" i="84"/>
  <c r="AE87" i="84"/>
  <c r="AF87" i="84"/>
  <c r="AG87" i="84"/>
  <c r="AH87" i="84"/>
  <c r="AI87" i="84"/>
  <c r="AJ87" i="84"/>
  <c r="AK87" i="84"/>
  <c r="AE88" i="84"/>
  <c r="AF88" i="84"/>
  <c r="AG88" i="84"/>
  <c r="AH88" i="84"/>
  <c r="AI88" i="84"/>
  <c r="AJ88" i="84"/>
  <c r="AK88" i="84"/>
  <c r="AE89" i="84"/>
  <c r="AF89" i="84"/>
  <c r="AG89" i="84"/>
  <c r="AH89" i="84"/>
  <c r="AI89" i="84"/>
  <c r="AJ89" i="84"/>
  <c r="AK89" i="84"/>
  <c r="AE90" i="84"/>
  <c r="AF90" i="84"/>
  <c r="AG90" i="84"/>
  <c r="AH90" i="84"/>
  <c r="AI90" i="84"/>
  <c r="AJ90" i="84"/>
  <c r="AK90" i="84"/>
  <c r="AE91" i="84"/>
  <c r="AF91" i="84"/>
  <c r="AG91" i="84"/>
  <c r="AH91" i="84"/>
  <c r="AI91" i="84"/>
  <c r="AJ91" i="84"/>
  <c r="AK91" i="84"/>
  <c r="AE92" i="84"/>
  <c r="AF92" i="84"/>
  <c r="AG92" i="84"/>
  <c r="AH92" i="84"/>
  <c r="AI92" i="84"/>
  <c r="AJ92" i="84"/>
  <c r="AK92" i="84"/>
  <c r="AE93" i="84"/>
  <c r="AF93" i="84"/>
  <c r="AG93" i="84"/>
  <c r="AH93" i="84"/>
  <c r="AI93" i="84"/>
  <c r="AJ93" i="84"/>
  <c r="AK93" i="84"/>
  <c r="AE94" i="84"/>
  <c r="AF94" i="84"/>
  <c r="AG94" i="84"/>
  <c r="AH94" i="84"/>
  <c r="AI94" i="84"/>
  <c r="AJ94" i="84"/>
  <c r="AK94" i="84"/>
  <c r="AE95" i="84"/>
  <c r="AF95" i="84"/>
  <c r="AG95" i="84"/>
  <c r="AH95" i="84"/>
  <c r="AI95" i="84"/>
  <c r="AJ95" i="84"/>
  <c r="AK95" i="84"/>
  <c r="AE96" i="84"/>
  <c r="AF96" i="84"/>
  <c r="AG96" i="84"/>
  <c r="AH96" i="84"/>
  <c r="AI96" i="84"/>
  <c r="AJ96" i="84"/>
  <c r="AK96" i="84"/>
  <c r="AE97" i="84"/>
  <c r="AF97" i="84"/>
  <c r="AG97" i="84"/>
  <c r="AH97" i="84"/>
  <c r="AI97" i="84"/>
  <c r="AJ97" i="84"/>
  <c r="AK97" i="84"/>
  <c r="AE98" i="84"/>
  <c r="AF98" i="84"/>
  <c r="AG98" i="84"/>
  <c r="AH98" i="84"/>
  <c r="AI98" i="84"/>
  <c r="AJ98" i="84"/>
  <c r="AK98" i="84"/>
  <c r="AE99" i="84"/>
  <c r="AF99" i="84"/>
  <c r="AG99" i="84"/>
  <c r="AH99" i="84"/>
  <c r="AI99" i="84"/>
  <c r="AJ99" i="84"/>
  <c r="AK99" i="84"/>
  <c r="AE100" i="84"/>
  <c r="AF100" i="84"/>
  <c r="AG100" i="84"/>
  <c r="AH100" i="84"/>
  <c r="AI100" i="84"/>
  <c r="AJ100" i="84"/>
  <c r="AK100" i="84"/>
  <c r="AE101" i="84"/>
  <c r="AF101" i="84"/>
  <c r="AG101" i="84"/>
  <c r="AH101" i="84"/>
  <c r="AI101" i="84"/>
  <c r="AJ101" i="84"/>
  <c r="AK101" i="84"/>
  <c r="AE102" i="84"/>
  <c r="AF102" i="84"/>
  <c r="AG102" i="84"/>
  <c r="AH102" i="84"/>
  <c r="AI102" i="84"/>
  <c r="AJ102" i="84"/>
  <c r="AK102" i="84"/>
  <c r="AE103" i="84"/>
  <c r="AF103" i="84"/>
  <c r="AG103" i="84"/>
  <c r="AH103" i="84"/>
  <c r="AI103" i="84"/>
  <c r="AJ103" i="84"/>
  <c r="AK103" i="84"/>
  <c r="AE104" i="84"/>
  <c r="AF104" i="84"/>
  <c r="AG104" i="84"/>
  <c r="AH104" i="84"/>
  <c r="AI104" i="84"/>
  <c r="AJ104" i="84"/>
  <c r="AK104" i="84"/>
  <c r="AE105" i="84"/>
  <c r="AF105" i="84"/>
  <c r="AG105" i="84"/>
  <c r="AH105" i="84"/>
  <c r="AI105" i="84"/>
  <c r="AJ105" i="84"/>
  <c r="AK105" i="84"/>
  <c r="AE106" i="84"/>
  <c r="AF106" i="84"/>
  <c r="AG106" i="84"/>
  <c r="AH106" i="84"/>
  <c r="AI106" i="84"/>
  <c r="AJ106" i="84"/>
  <c r="AK106" i="84"/>
  <c r="AE107" i="84"/>
  <c r="AF107" i="84"/>
  <c r="AG107" i="84"/>
  <c r="AH107" i="84"/>
  <c r="AI107" i="84"/>
  <c r="AJ107" i="84"/>
  <c r="AK107" i="84"/>
  <c r="AE108" i="84"/>
  <c r="AF108" i="84"/>
  <c r="AG108" i="84"/>
  <c r="AH108" i="84"/>
  <c r="AI108" i="84"/>
  <c r="AJ108" i="84"/>
  <c r="AK108" i="84"/>
  <c r="AE109" i="84"/>
  <c r="AF109" i="84"/>
  <c r="AG109" i="84"/>
  <c r="AH109" i="84"/>
  <c r="AI109" i="84"/>
  <c r="AJ109" i="84"/>
  <c r="AK109" i="84"/>
  <c r="AE110" i="84"/>
  <c r="AF110" i="84"/>
  <c r="AG110" i="84"/>
  <c r="AH110" i="84"/>
  <c r="AI110" i="84"/>
  <c r="AJ110" i="84"/>
  <c r="AK110" i="84"/>
  <c r="AE111" i="84"/>
  <c r="AF111" i="84"/>
  <c r="AG111" i="84"/>
  <c r="AH111" i="84"/>
  <c r="AI111" i="84"/>
  <c r="AJ111" i="84"/>
  <c r="AK111" i="84"/>
  <c r="AE112" i="84"/>
  <c r="AF112" i="84"/>
  <c r="AG112" i="84"/>
  <c r="AH112" i="84"/>
  <c r="AI112" i="84"/>
  <c r="AJ112" i="84"/>
  <c r="AK112" i="84"/>
  <c r="AE113" i="84"/>
  <c r="AF113" i="84"/>
  <c r="AG113" i="84"/>
  <c r="AH113" i="84"/>
  <c r="AI113" i="84"/>
  <c r="AJ113" i="84"/>
  <c r="AK113" i="84"/>
  <c r="AE114" i="84"/>
  <c r="AF114" i="84"/>
  <c r="AG114" i="84"/>
  <c r="AH114" i="84"/>
  <c r="AI114" i="84"/>
  <c r="AJ114" i="84"/>
  <c r="AK114" i="84"/>
  <c r="AE115" i="84"/>
  <c r="AF115" i="84"/>
  <c r="AG115" i="84"/>
  <c r="AH115" i="84"/>
  <c r="AI115" i="84"/>
  <c r="AJ115" i="84"/>
  <c r="AK115" i="84"/>
  <c r="AE116" i="84"/>
  <c r="AF116" i="84"/>
  <c r="AG116" i="84"/>
  <c r="AH116" i="84"/>
  <c r="AI116" i="84"/>
  <c r="AJ116" i="84"/>
  <c r="AK116" i="84"/>
  <c r="AE117" i="84"/>
  <c r="AF117" i="84"/>
  <c r="AG117" i="84"/>
  <c r="AH117" i="84"/>
  <c r="AI117" i="84"/>
  <c r="AJ117" i="84"/>
  <c r="AK117" i="84"/>
  <c r="AE118" i="84"/>
  <c r="AF118" i="84"/>
  <c r="AG118" i="84"/>
  <c r="AH118" i="84"/>
  <c r="AI118" i="84"/>
  <c r="AJ118" i="84"/>
  <c r="AK118" i="84"/>
  <c r="AE119" i="84"/>
  <c r="AF119" i="84"/>
  <c r="AG119" i="84"/>
  <c r="AH119" i="84"/>
  <c r="AI119" i="84"/>
  <c r="AJ119" i="84"/>
  <c r="AK119" i="84"/>
  <c r="AE120" i="84"/>
  <c r="AF120" i="84"/>
  <c r="AG120" i="84"/>
  <c r="AH120" i="84"/>
  <c r="AI120" i="84"/>
  <c r="AJ120" i="84"/>
  <c r="AK120" i="84"/>
  <c r="AE121" i="84"/>
  <c r="AF121" i="84"/>
  <c r="AG121" i="84"/>
  <c r="AH121" i="84"/>
  <c r="AI121" i="84"/>
  <c r="AJ121" i="84"/>
  <c r="AK121" i="84"/>
  <c r="AE122" i="84"/>
  <c r="AF122" i="84"/>
  <c r="AG122" i="84"/>
  <c r="AH122" i="84"/>
  <c r="AI122" i="84"/>
  <c r="AJ122" i="84"/>
  <c r="AK122" i="84"/>
  <c r="AE123" i="84"/>
  <c r="AF123" i="84"/>
  <c r="AG123" i="84"/>
  <c r="AH123" i="84"/>
  <c r="AI123" i="84"/>
  <c r="AJ123" i="84"/>
  <c r="AK123" i="84"/>
  <c r="AE124" i="84"/>
  <c r="AF124" i="84"/>
  <c r="AG124" i="84"/>
  <c r="AH124" i="84"/>
  <c r="AI124" i="84"/>
  <c r="AJ124" i="84"/>
  <c r="AK124" i="84"/>
  <c r="AE125" i="84"/>
  <c r="AF125" i="84"/>
  <c r="AG125" i="84"/>
  <c r="AH125" i="84"/>
  <c r="AI125" i="84"/>
  <c r="AJ125" i="84"/>
  <c r="AK125" i="84"/>
  <c r="AE126" i="84"/>
  <c r="AF126" i="84"/>
  <c r="AG126" i="84"/>
  <c r="AH126" i="84"/>
  <c r="AI126" i="84"/>
  <c r="AJ126" i="84"/>
  <c r="AK126" i="84"/>
  <c r="AE127" i="84"/>
  <c r="AF127" i="84"/>
  <c r="AG127" i="84"/>
  <c r="AH127" i="84"/>
  <c r="AI127" i="84"/>
  <c r="AJ127" i="84"/>
  <c r="AK127" i="84"/>
  <c r="AE128" i="84"/>
  <c r="AF128" i="84"/>
  <c r="AG128" i="84"/>
  <c r="AH128" i="84"/>
  <c r="AI128" i="84"/>
  <c r="AJ128" i="84"/>
  <c r="AK128" i="84"/>
  <c r="AE129" i="84"/>
  <c r="AF129" i="84"/>
  <c r="AG129" i="84"/>
  <c r="AH129" i="84"/>
  <c r="AI129" i="84"/>
  <c r="AJ129" i="84"/>
  <c r="AK129" i="84"/>
  <c r="AE130" i="84"/>
  <c r="AF130" i="84"/>
  <c r="AG130" i="84"/>
  <c r="AH130" i="84"/>
  <c r="AI130" i="84"/>
  <c r="AJ130" i="84"/>
  <c r="AK130" i="84"/>
  <c r="AE131" i="84"/>
  <c r="AF131" i="84"/>
  <c r="AG131" i="84"/>
  <c r="AH131" i="84"/>
  <c r="AI131" i="84"/>
  <c r="AJ131" i="84"/>
  <c r="AK131" i="84"/>
  <c r="AE132" i="84"/>
  <c r="AF132" i="84"/>
  <c r="AG132" i="84"/>
  <c r="AH132" i="84"/>
  <c r="AI132" i="84"/>
  <c r="AJ132" i="84"/>
  <c r="AK132" i="84"/>
  <c r="AE133" i="84"/>
  <c r="AF133" i="84"/>
  <c r="AG133" i="84"/>
  <c r="AH133" i="84"/>
  <c r="AI133" i="84"/>
  <c r="AJ133" i="84"/>
  <c r="AK133" i="84"/>
  <c r="AE134" i="84"/>
  <c r="AF134" i="84"/>
  <c r="AG134" i="84"/>
  <c r="AH134" i="84"/>
  <c r="AI134" i="84"/>
  <c r="AJ134" i="84"/>
  <c r="AK134" i="84"/>
  <c r="AE135" i="84"/>
  <c r="AF135" i="84"/>
  <c r="AG135" i="84"/>
  <c r="AH135" i="84"/>
  <c r="AI135" i="84"/>
  <c r="AJ135" i="84"/>
  <c r="AK135" i="84"/>
  <c r="AE136" i="84"/>
  <c r="AF136" i="84"/>
  <c r="AG136" i="84"/>
  <c r="AH136" i="84"/>
  <c r="AI136" i="84"/>
  <c r="AJ136" i="84"/>
  <c r="AK136" i="84"/>
  <c r="AE137" i="84"/>
  <c r="AF137" i="84"/>
  <c r="AG137" i="84"/>
  <c r="AH137" i="84"/>
  <c r="AI137" i="84"/>
  <c r="AJ137" i="84"/>
  <c r="AK137" i="84"/>
  <c r="AE138" i="84"/>
  <c r="AF138" i="84"/>
  <c r="AG138" i="84"/>
  <c r="AH138" i="84"/>
  <c r="AI138" i="84"/>
  <c r="AJ138" i="84"/>
  <c r="AK138" i="84"/>
  <c r="AE139" i="84"/>
  <c r="AF139" i="84"/>
  <c r="AG139" i="84"/>
  <c r="AH139" i="84"/>
  <c r="AI139" i="84"/>
  <c r="AJ139" i="84"/>
  <c r="AK139" i="84"/>
  <c r="AE140" i="84"/>
  <c r="AF140" i="84"/>
  <c r="AG140" i="84"/>
  <c r="AH140" i="84"/>
  <c r="AI140" i="84"/>
  <c r="AJ140" i="84"/>
  <c r="AK140" i="84"/>
  <c r="AE141" i="84"/>
  <c r="AF141" i="84"/>
  <c r="AG141" i="84"/>
  <c r="AH141" i="84"/>
  <c r="AI141" i="84"/>
  <c r="AJ141" i="84"/>
  <c r="AK141" i="84"/>
  <c r="AE142" i="84"/>
  <c r="AF142" i="84"/>
  <c r="AG142" i="84"/>
  <c r="AH142" i="84"/>
  <c r="AI142" i="84"/>
  <c r="AJ142" i="84"/>
  <c r="AK142" i="84"/>
  <c r="AE143" i="84"/>
  <c r="AF143" i="84"/>
  <c r="AG143" i="84"/>
  <c r="AH143" i="84"/>
  <c r="AI143" i="84"/>
  <c r="AJ143" i="84"/>
  <c r="AK143" i="84"/>
  <c r="AE144" i="84"/>
  <c r="AF144" i="84"/>
  <c r="AG144" i="84"/>
  <c r="AH144" i="84"/>
  <c r="AI144" i="84"/>
  <c r="AJ144" i="84"/>
  <c r="AK144" i="84"/>
  <c r="AE145" i="84"/>
  <c r="AF145" i="84"/>
  <c r="AG145" i="84"/>
  <c r="AH145" i="84"/>
  <c r="AI145" i="84"/>
  <c r="AJ145" i="84"/>
  <c r="AK145" i="84"/>
  <c r="AE146" i="84"/>
  <c r="AF146" i="84"/>
  <c r="AG146" i="84"/>
  <c r="AH146" i="84"/>
  <c r="AI146" i="84"/>
  <c r="AJ146" i="84"/>
  <c r="AK146" i="84"/>
  <c r="AE147" i="84"/>
  <c r="AF147" i="84"/>
  <c r="AG147" i="84"/>
  <c r="AH147" i="84"/>
  <c r="AI147" i="84"/>
  <c r="AJ147" i="84"/>
  <c r="AK147" i="84"/>
  <c r="AE148" i="84"/>
  <c r="AF148" i="84"/>
  <c r="AG148" i="84"/>
  <c r="AH148" i="84"/>
  <c r="AI148" i="84"/>
  <c r="AJ148" i="84"/>
  <c r="AK148" i="84"/>
  <c r="AE149" i="84"/>
  <c r="AF149" i="84"/>
  <c r="AG149" i="84"/>
  <c r="AH149" i="84"/>
  <c r="AI149" i="84"/>
  <c r="AJ149" i="84"/>
  <c r="AK149" i="84"/>
  <c r="AE150" i="84"/>
  <c r="AF150" i="84"/>
  <c r="AG150" i="84"/>
  <c r="AH150" i="84"/>
  <c r="AI150" i="84"/>
  <c r="AJ150" i="84"/>
  <c r="AK150" i="84"/>
  <c r="AE151" i="84"/>
  <c r="AF151" i="84"/>
  <c r="AG151" i="84"/>
  <c r="AH151" i="84"/>
  <c r="AI151" i="84"/>
  <c r="AJ151" i="84"/>
  <c r="AK151" i="84"/>
  <c r="AE152" i="84"/>
  <c r="AF152" i="84"/>
  <c r="AG152" i="84"/>
  <c r="AH152" i="84"/>
  <c r="AI152" i="84"/>
  <c r="AJ152" i="84"/>
  <c r="AK152" i="84"/>
  <c r="AE153" i="84"/>
  <c r="AF153" i="84"/>
  <c r="AG153" i="84"/>
  <c r="AH153" i="84"/>
  <c r="AI153" i="84"/>
  <c r="AJ153" i="84"/>
  <c r="AK153" i="84"/>
  <c r="AE154" i="84"/>
  <c r="AF154" i="84"/>
  <c r="AG154" i="84"/>
  <c r="AH154" i="84"/>
  <c r="AI154" i="84"/>
  <c r="AJ154" i="84"/>
  <c r="AK154" i="84"/>
  <c r="AE155" i="84"/>
  <c r="AF155" i="84"/>
  <c r="AG155" i="84"/>
  <c r="AH155" i="84"/>
  <c r="AI155" i="84"/>
  <c r="AJ155" i="84"/>
  <c r="AK155" i="84"/>
  <c r="AE156" i="84"/>
  <c r="AF156" i="84"/>
  <c r="AG156" i="84"/>
  <c r="AH156" i="84"/>
  <c r="AI156" i="84"/>
  <c r="AJ156" i="84"/>
  <c r="AK156" i="84"/>
  <c r="AE157" i="84"/>
  <c r="AF157" i="84"/>
  <c r="AG157" i="84"/>
  <c r="AH157" i="84"/>
  <c r="AI157" i="84"/>
  <c r="AJ157" i="84"/>
  <c r="AK157" i="84"/>
  <c r="AE158" i="84"/>
  <c r="AF158" i="84"/>
  <c r="AG158" i="84"/>
  <c r="AH158" i="84"/>
  <c r="AI158" i="84"/>
  <c r="AJ158" i="84"/>
  <c r="AK158" i="84"/>
  <c r="AE159" i="84"/>
  <c r="AF159" i="84"/>
  <c r="AG159" i="84"/>
  <c r="AH159" i="84"/>
  <c r="AI159" i="84"/>
  <c r="AJ159" i="84"/>
  <c r="AK159" i="84"/>
  <c r="AE160" i="84"/>
  <c r="AF160" i="84"/>
  <c r="AG160" i="84"/>
  <c r="AH160" i="84"/>
  <c r="AI160" i="84"/>
  <c r="AJ160" i="84"/>
  <c r="AK160" i="84"/>
  <c r="AE161" i="84"/>
  <c r="AF161" i="84"/>
  <c r="AG161" i="84"/>
  <c r="AH161" i="84"/>
  <c r="AI161" i="84"/>
  <c r="AJ161" i="84"/>
  <c r="AK161" i="84"/>
  <c r="AE162" i="84"/>
  <c r="AF162" i="84"/>
  <c r="AG162" i="84"/>
  <c r="AH162" i="84"/>
  <c r="AI162" i="84"/>
  <c r="AJ162" i="84"/>
  <c r="AK162" i="84"/>
  <c r="AE163" i="84"/>
  <c r="AF163" i="84"/>
  <c r="AG163" i="84"/>
  <c r="AH163" i="84"/>
  <c r="AI163" i="84"/>
  <c r="AJ163" i="84"/>
  <c r="AK163" i="84"/>
  <c r="AE164" i="84"/>
  <c r="AF164" i="84"/>
  <c r="AG164" i="84"/>
  <c r="AH164" i="84"/>
  <c r="AI164" i="84"/>
  <c r="AJ164" i="84"/>
  <c r="AK164" i="84"/>
  <c r="AE165" i="84"/>
  <c r="AF165" i="84"/>
  <c r="AG165" i="84"/>
  <c r="AH165" i="84"/>
  <c r="AI165" i="84"/>
  <c r="AJ165" i="84"/>
  <c r="AK165" i="84"/>
  <c r="AE166" i="84"/>
  <c r="AF166" i="84"/>
  <c r="AG166" i="84"/>
  <c r="AH166" i="84"/>
  <c r="AI166" i="84"/>
  <c r="AJ166" i="84"/>
  <c r="AK166" i="84"/>
  <c r="AE167" i="84"/>
  <c r="AF167" i="84"/>
  <c r="AG167" i="84"/>
  <c r="AH167" i="84"/>
  <c r="AI167" i="84"/>
  <c r="AJ167" i="84"/>
  <c r="AK167" i="84"/>
  <c r="AE168" i="84"/>
  <c r="AF168" i="84"/>
  <c r="AG168" i="84"/>
  <c r="AH168" i="84"/>
  <c r="AI168" i="84"/>
  <c r="AJ168" i="84"/>
  <c r="AK168" i="84"/>
  <c r="AE169" i="84"/>
  <c r="AF169" i="84"/>
  <c r="AG169" i="84"/>
  <c r="AH169" i="84"/>
  <c r="AI169" i="84"/>
  <c r="AJ169" i="84"/>
  <c r="AK169" i="84"/>
  <c r="AE170" i="84"/>
  <c r="AF170" i="84"/>
  <c r="AG170" i="84"/>
  <c r="AH170" i="84"/>
  <c r="AI170" i="84"/>
  <c r="AJ170" i="84"/>
  <c r="AK170" i="84"/>
  <c r="AE171" i="84"/>
  <c r="AF171" i="84"/>
  <c r="AG171" i="84"/>
  <c r="AH171" i="84"/>
  <c r="AI171" i="84"/>
  <c r="AJ171" i="84"/>
  <c r="AK171" i="84"/>
  <c r="AE172" i="84"/>
  <c r="AF172" i="84"/>
  <c r="AG172" i="84"/>
  <c r="AH172" i="84"/>
  <c r="AI172" i="84"/>
  <c r="AJ172" i="84"/>
  <c r="AK172" i="84"/>
  <c r="AE173" i="84"/>
  <c r="AF173" i="84"/>
  <c r="AG173" i="84"/>
  <c r="AH173" i="84"/>
  <c r="AI173" i="84"/>
  <c r="AJ173" i="84"/>
  <c r="AK173" i="84"/>
  <c r="AE174" i="84"/>
  <c r="AF174" i="84"/>
  <c r="AG174" i="84"/>
  <c r="AH174" i="84"/>
  <c r="AI174" i="84"/>
  <c r="AJ174" i="84"/>
  <c r="AK174" i="84"/>
  <c r="AE175" i="84"/>
  <c r="AF175" i="84"/>
  <c r="AG175" i="84"/>
  <c r="AH175" i="84"/>
  <c r="AI175" i="84"/>
  <c r="AJ175" i="84"/>
  <c r="AK175" i="84"/>
  <c r="AF2" i="84"/>
  <c r="AG2" i="84"/>
  <c r="AH2" i="84"/>
  <c r="AI2" i="84"/>
  <c r="AJ2" i="84"/>
  <c r="AK2" i="84"/>
  <c r="AE2" i="84"/>
  <c r="H52" i="89"/>
  <c r="H46" i="89"/>
  <c r="H40" i="89"/>
  <c r="G52" i="89"/>
  <c r="G46" i="89"/>
  <c r="G40" i="89"/>
  <c r="E176" i="84"/>
  <c r="F176" i="84"/>
  <c r="G176" i="84"/>
  <c r="H176" i="84"/>
  <c r="I176" i="84"/>
  <c r="J176" i="84"/>
  <c r="K176" i="84"/>
  <c r="L176" i="84"/>
  <c r="M176" i="84"/>
  <c r="N176" i="84"/>
  <c r="O176" i="84"/>
  <c r="P176" i="84"/>
  <c r="Q176" i="84"/>
  <c r="R176" i="84"/>
  <c r="S176" i="84"/>
  <c r="T176" i="84"/>
  <c r="U176" i="84"/>
  <c r="V176" i="84"/>
  <c r="W176" i="84"/>
  <c r="X176" i="84"/>
  <c r="Y176" i="84"/>
  <c r="Z176" i="84"/>
  <c r="AA176" i="84"/>
  <c r="E177" i="84"/>
  <c r="F177" i="84"/>
  <c r="G177" i="84"/>
  <c r="H177" i="84"/>
  <c r="I177" i="84"/>
  <c r="J177" i="84"/>
  <c r="K177" i="84"/>
  <c r="L177" i="84"/>
  <c r="M177" i="84"/>
  <c r="N177" i="84"/>
  <c r="O177" i="84"/>
  <c r="P177" i="84"/>
  <c r="Q177" i="84"/>
  <c r="R177" i="84"/>
  <c r="S177" i="84"/>
  <c r="T177" i="84"/>
  <c r="U177" i="84"/>
  <c r="V177" i="84"/>
  <c r="W177" i="84"/>
  <c r="X177" i="84"/>
  <c r="Y177" i="84"/>
  <c r="Z177" i="84"/>
  <c r="AA177" i="84"/>
  <c r="E178" i="84"/>
  <c r="F178" i="84"/>
  <c r="G178" i="84"/>
  <c r="H178" i="84"/>
  <c r="I178" i="84"/>
  <c r="J178" i="84"/>
  <c r="K178" i="84"/>
  <c r="L178" i="84"/>
  <c r="M178" i="84"/>
  <c r="N178" i="84"/>
  <c r="O178" i="84"/>
  <c r="P178" i="84"/>
  <c r="Q178" i="84"/>
  <c r="R178" i="84"/>
  <c r="S178" i="84"/>
  <c r="T178" i="84"/>
  <c r="U178" i="84"/>
  <c r="V178" i="84"/>
  <c r="W178" i="84"/>
  <c r="X178" i="84"/>
  <c r="Y178" i="84"/>
  <c r="Z178" i="84"/>
  <c r="AA178" i="84"/>
  <c r="E179" i="84"/>
  <c r="F179" i="84"/>
  <c r="G179" i="84"/>
  <c r="H179" i="84"/>
  <c r="I179" i="84"/>
  <c r="J179" i="84"/>
  <c r="K179" i="84"/>
  <c r="L179" i="84"/>
  <c r="M179" i="84"/>
  <c r="N179" i="84"/>
  <c r="O179" i="84"/>
  <c r="P179" i="84"/>
  <c r="Q179" i="84"/>
  <c r="R179" i="84"/>
  <c r="S179" i="84"/>
  <c r="T179" i="84"/>
  <c r="U179" i="84"/>
  <c r="V179" i="84"/>
  <c r="W179" i="84"/>
  <c r="X179" i="84"/>
  <c r="Y179" i="84"/>
  <c r="Z179" i="84"/>
  <c r="AA179" i="84"/>
  <c r="E180" i="84"/>
  <c r="F180" i="84"/>
  <c r="G180" i="84"/>
  <c r="H180" i="84"/>
  <c r="I180" i="84"/>
  <c r="J180" i="84"/>
  <c r="K180" i="84"/>
  <c r="L180" i="84"/>
  <c r="M180" i="84"/>
  <c r="N180" i="84"/>
  <c r="O180" i="84"/>
  <c r="P180" i="84"/>
  <c r="Q180" i="84"/>
  <c r="R180" i="84"/>
  <c r="S180" i="84"/>
  <c r="T180" i="84"/>
  <c r="U180" i="84"/>
  <c r="V180" i="84"/>
  <c r="W180" i="84"/>
  <c r="X180" i="84"/>
  <c r="Y180" i="84"/>
  <c r="Z180" i="84"/>
  <c r="AA180" i="84"/>
  <c r="E181" i="84"/>
  <c r="F181" i="84"/>
  <c r="G181" i="84"/>
  <c r="H181" i="84"/>
  <c r="I181" i="84"/>
  <c r="J181" i="84"/>
  <c r="K181" i="84"/>
  <c r="L181" i="84"/>
  <c r="M181" i="84"/>
  <c r="N181" i="84"/>
  <c r="O181" i="84"/>
  <c r="P181" i="84"/>
  <c r="Q181" i="84"/>
  <c r="R181" i="84"/>
  <c r="S181" i="84"/>
  <c r="T181" i="84"/>
  <c r="U181" i="84"/>
  <c r="V181" i="84"/>
  <c r="W181" i="84"/>
  <c r="X181" i="84"/>
  <c r="Y181" i="84"/>
  <c r="Z181" i="84"/>
  <c r="AA181" i="84"/>
  <c r="D177" i="84"/>
  <c r="D178" i="84"/>
  <c r="D179" i="84"/>
  <c r="D180" i="84"/>
  <c r="D181" i="84"/>
  <c r="D176" i="84"/>
  <c r="D3" i="84"/>
  <c r="E3" i="84"/>
  <c r="F3" i="84"/>
  <c r="G3" i="84"/>
  <c r="H3" i="84"/>
  <c r="I3" i="84"/>
  <c r="J3" i="84"/>
  <c r="K3" i="84"/>
  <c r="L3" i="84"/>
  <c r="M3" i="84"/>
  <c r="N3" i="84"/>
  <c r="O3" i="84"/>
  <c r="P3" i="84"/>
  <c r="Q3" i="84"/>
  <c r="R3" i="84"/>
  <c r="S3" i="84"/>
  <c r="T3" i="84"/>
  <c r="U3" i="84"/>
  <c r="V3" i="84"/>
  <c r="W3" i="84"/>
  <c r="X3" i="84"/>
  <c r="Y3" i="84"/>
  <c r="Z3" i="84"/>
  <c r="AA3" i="84"/>
  <c r="D4" i="84"/>
  <c r="E4" i="84"/>
  <c r="F4" i="84"/>
  <c r="G4" i="84"/>
  <c r="H4" i="84"/>
  <c r="I4" i="84"/>
  <c r="J4" i="84"/>
  <c r="K4" i="84"/>
  <c r="L4" i="84"/>
  <c r="M4" i="84"/>
  <c r="N4" i="84"/>
  <c r="O4" i="84"/>
  <c r="P4" i="84"/>
  <c r="Q4" i="84"/>
  <c r="R4" i="84"/>
  <c r="S4" i="84"/>
  <c r="T4" i="84"/>
  <c r="U4" i="84"/>
  <c r="V4" i="84"/>
  <c r="W4" i="84"/>
  <c r="X4" i="84"/>
  <c r="Y4" i="84"/>
  <c r="Z4" i="84"/>
  <c r="AA4" i="84"/>
  <c r="D5" i="84"/>
  <c r="E5" i="84"/>
  <c r="F5" i="84"/>
  <c r="G5" i="84"/>
  <c r="H5" i="84"/>
  <c r="I5" i="84"/>
  <c r="J5" i="84"/>
  <c r="K5" i="84"/>
  <c r="L5" i="84"/>
  <c r="M5" i="84"/>
  <c r="N5" i="84"/>
  <c r="O5" i="84"/>
  <c r="P5" i="84"/>
  <c r="Q5" i="84"/>
  <c r="R5" i="84"/>
  <c r="S5" i="84"/>
  <c r="T5" i="84"/>
  <c r="U5" i="84"/>
  <c r="V5" i="84"/>
  <c r="W5" i="84"/>
  <c r="X5" i="84"/>
  <c r="Y5" i="84"/>
  <c r="Z5" i="84"/>
  <c r="AA5" i="84"/>
  <c r="D6" i="84"/>
  <c r="E6" i="84"/>
  <c r="F6" i="84"/>
  <c r="G6" i="84"/>
  <c r="H6" i="84"/>
  <c r="I6" i="84"/>
  <c r="J6" i="84"/>
  <c r="K6" i="84"/>
  <c r="L6" i="84"/>
  <c r="M6" i="84"/>
  <c r="N6" i="84"/>
  <c r="O6" i="84"/>
  <c r="P6" i="84"/>
  <c r="Q6" i="84"/>
  <c r="R6" i="84"/>
  <c r="S6" i="84"/>
  <c r="T6" i="84"/>
  <c r="U6" i="84"/>
  <c r="V6" i="84"/>
  <c r="W6" i="84"/>
  <c r="X6" i="84"/>
  <c r="Y6" i="84"/>
  <c r="Z6" i="84"/>
  <c r="AA6" i="84"/>
  <c r="D7" i="84"/>
  <c r="E7" i="84"/>
  <c r="F7" i="84"/>
  <c r="G7" i="84"/>
  <c r="H7" i="84"/>
  <c r="I7" i="84"/>
  <c r="J7" i="84"/>
  <c r="K7" i="84"/>
  <c r="L7" i="84"/>
  <c r="M7" i="84"/>
  <c r="N7" i="84"/>
  <c r="O7" i="84"/>
  <c r="P7" i="84"/>
  <c r="Q7" i="84"/>
  <c r="R7" i="84"/>
  <c r="S7" i="84"/>
  <c r="T7" i="84"/>
  <c r="U7" i="84"/>
  <c r="V7" i="84"/>
  <c r="W7" i="84"/>
  <c r="X7" i="84"/>
  <c r="Y7" i="84"/>
  <c r="Z7" i="84"/>
  <c r="AA7" i="84"/>
  <c r="D8" i="84"/>
  <c r="E8" i="84"/>
  <c r="F8" i="84"/>
  <c r="G8" i="84"/>
  <c r="H8" i="84"/>
  <c r="I8" i="84"/>
  <c r="J8" i="84"/>
  <c r="K8" i="84"/>
  <c r="L8" i="84"/>
  <c r="M8" i="84"/>
  <c r="N8" i="84"/>
  <c r="O8" i="84"/>
  <c r="P8" i="84"/>
  <c r="Q8" i="84"/>
  <c r="R8" i="84"/>
  <c r="S8" i="84"/>
  <c r="T8" i="84"/>
  <c r="U8" i="84"/>
  <c r="V8" i="84"/>
  <c r="W8" i="84"/>
  <c r="X8" i="84"/>
  <c r="Y8" i="84"/>
  <c r="Z8" i="84"/>
  <c r="AA8" i="84"/>
  <c r="D9" i="84"/>
  <c r="E9" i="84"/>
  <c r="F9" i="84"/>
  <c r="G9" i="84"/>
  <c r="H9" i="84"/>
  <c r="I9" i="84"/>
  <c r="J9" i="84"/>
  <c r="K9" i="84"/>
  <c r="L9" i="84"/>
  <c r="M9" i="84"/>
  <c r="N9" i="84"/>
  <c r="O9" i="84"/>
  <c r="P9" i="84"/>
  <c r="Q9" i="84"/>
  <c r="R9" i="84"/>
  <c r="S9" i="84"/>
  <c r="T9" i="84"/>
  <c r="U9" i="84"/>
  <c r="V9" i="84"/>
  <c r="W9" i="84"/>
  <c r="X9" i="84"/>
  <c r="Y9" i="84"/>
  <c r="Z9" i="84"/>
  <c r="AA9" i="84"/>
  <c r="D10" i="84"/>
  <c r="E10" i="84"/>
  <c r="F10" i="84"/>
  <c r="G10" i="84"/>
  <c r="H10" i="84"/>
  <c r="I10" i="84"/>
  <c r="J10" i="84"/>
  <c r="K10" i="84"/>
  <c r="L10" i="84"/>
  <c r="M10" i="84"/>
  <c r="N10" i="84"/>
  <c r="O10" i="84"/>
  <c r="P10" i="84"/>
  <c r="Q10" i="84"/>
  <c r="R10" i="84"/>
  <c r="S10" i="84"/>
  <c r="T10" i="84"/>
  <c r="U10" i="84"/>
  <c r="V10" i="84"/>
  <c r="W10" i="84"/>
  <c r="X10" i="84"/>
  <c r="Y10" i="84"/>
  <c r="Z10" i="84"/>
  <c r="AA10" i="84"/>
  <c r="D11" i="84"/>
  <c r="E11" i="84"/>
  <c r="F11" i="84"/>
  <c r="G11" i="84"/>
  <c r="H11" i="84"/>
  <c r="I11" i="84"/>
  <c r="J11" i="84"/>
  <c r="K11" i="84"/>
  <c r="L11" i="84"/>
  <c r="M11" i="84"/>
  <c r="N11" i="84"/>
  <c r="O11" i="84"/>
  <c r="P11" i="84"/>
  <c r="Q11" i="84"/>
  <c r="R11" i="84"/>
  <c r="S11" i="84"/>
  <c r="T11" i="84"/>
  <c r="U11" i="84"/>
  <c r="V11" i="84"/>
  <c r="W11" i="84"/>
  <c r="X11" i="84"/>
  <c r="Y11" i="84"/>
  <c r="Z11" i="84"/>
  <c r="AA11" i="84"/>
  <c r="D12" i="84"/>
  <c r="E12" i="84"/>
  <c r="F12" i="84"/>
  <c r="G12" i="84"/>
  <c r="H12" i="84"/>
  <c r="I12" i="84"/>
  <c r="J12" i="84"/>
  <c r="K12" i="84"/>
  <c r="L12" i="84"/>
  <c r="M12" i="84"/>
  <c r="N12" i="84"/>
  <c r="O12" i="84"/>
  <c r="P12" i="84"/>
  <c r="Q12" i="84"/>
  <c r="R12" i="84"/>
  <c r="S12" i="84"/>
  <c r="T12" i="84"/>
  <c r="U12" i="84"/>
  <c r="V12" i="84"/>
  <c r="W12" i="84"/>
  <c r="X12" i="84"/>
  <c r="Y12" i="84"/>
  <c r="Z12" i="84"/>
  <c r="AA12" i="84"/>
  <c r="D13" i="84"/>
  <c r="E13" i="84"/>
  <c r="F13" i="84"/>
  <c r="G13" i="84"/>
  <c r="H13" i="84"/>
  <c r="I13" i="84"/>
  <c r="J13" i="84"/>
  <c r="K13" i="84"/>
  <c r="L13" i="84"/>
  <c r="M13" i="84"/>
  <c r="N13" i="84"/>
  <c r="O13" i="84"/>
  <c r="P13" i="84"/>
  <c r="Q13" i="84"/>
  <c r="R13" i="84"/>
  <c r="S13" i="84"/>
  <c r="T13" i="84"/>
  <c r="U13" i="84"/>
  <c r="V13" i="84"/>
  <c r="W13" i="84"/>
  <c r="X13" i="84"/>
  <c r="Y13" i="84"/>
  <c r="Z13" i="84"/>
  <c r="AA13" i="84"/>
  <c r="D14" i="84"/>
  <c r="E14" i="84"/>
  <c r="F14" i="84"/>
  <c r="G14" i="84"/>
  <c r="H14" i="84"/>
  <c r="I14" i="84"/>
  <c r="J14" i="84"/>
  <c r="K14" i="84"/>
  <c r="L14" i="84"/>
  <c r="M14" i="84"/>
  <c r="N14" i="84"/>
  <c r="O14" i="84"/>
  <c r="P14" i="84"/>
  <c r="Q14" i="84"/>
  <c r="R14" i="84"/>
  <c r="S14" i="84"/>
  <c r="T14" i="84"/>
  <c r="U14" i="84"/>
  <c r="V14" i="84"/>
  <c r="W14" i="84"/>
  <c r="X14" i="84"/>
  <c r="Y14" i="84"/>
  <c r="Z14" i="84"/>
  <c r="AA14" i="84"/>
  <c r="D15" i="84"/>
  <c r="E15" i="84"/>
  <c r="F15" i="84"/>
  <c r="G15" i="84"/>
  <c r="H15" i="84"/>
  <c r="I15" i="84"/>
  <c r="J15" i="84"/>
  <c r="K15" i="84"/>
  <c r="L15" i="84"/>
  <c r="M15" i="84"/>
  <c r="N15" i="84"/>
  <c r="O15" i="84"/>
  <c r="P15" i="84"/>
  <c r="Q15" i="84"/>
  <c r="R15" i="84"/>
  <c r="S15" i="84"/>
  <c r="T15" i="84"/>
  <c r="U15" i="84"/>
  <c r="V15" i="84"/>
  <c r="W15" i="84"/>
  <c r="X15" i="84"/>
  <c r="Y15" i="84"/>
  <c r="Z15" i="84"/>
  <c r="AA15" i="84"/>
  <c r="D16" i="84"/>
  <c r="E16" i="84"/>
  <c r="F16" i="84"/>
  <c r="G16" i="84"/>
  <c r="H16" i="84"/>
  <c r="I16" i="84"/>
  <c r="J16" i="84"/>
  <c r="K16" i="84"/>
  <c r="L16" i="84"/>
  <c r="M16" i="84"/>
  <c r="N16" i="84"/>
  <c r="O16" i="84"/>
  <c r="P16" i="84"/>
  <c r="Q16" i="84"/>
  <c r="R16" i="84"/>
  <c r="S16" i="84"/>
  <c r="T16" i="84"/>
  <c r="U16" i="84"/>
  <c r="V16" i="84"/>
  <c r="W16" i="84"/>
  <c r="X16" i="84"/>
  <c r="Y16" i="84"/>
  <c r="Z16" i="84"/>
  <c r="AA16" i="84"/>
  <c r="D17" i="84"/>
  <c r="E17" i="84"/>
  <c r="F17" i="84"/>
  <c r="G17" i="84"/>
  <c r="H17" i="84"/>
  <c r="I17" i="84"/>
  <c r="J17" i="84"/>
  <c r="K17" i="84"/>
  <c r="L17" i="84"/>
  <c r="M17" i="84"/>
  <c r="N17" i="84"/>
  <c r="O17" i="84"/>
  <c r="P17" i="84"/>
  <c r="Q17" i="84"/>
  <c r="R17" i="84"/>
  <c r="S17" i="84"/>
  <c r="T17" i="84"/>
  <c r="U17" i="84"/>
  <c r="V17" i="84"/>
  <c r="W17" i="84"/>
  <c r="X17" i="84"/>
  <c r="Y17" i="84"/>
  <c r="Z17" i="84"/>
  <c r="AA17" i="84"/>
  <c r="D18" i="84"/>
  <c r="E18" i="84"/>
  <c r="F18" i="84"/>
  <c r="G18" i="84"/>
  <c r="H18" i="84"/>
  <c r="I18" i="84"/>
  <c r="J18" i="84"/>
  <c r="K18" i="84"/>
  <c r="L18" i="84"/>
  <c r="M18" i="84"/>
  <c r="N18" i="84"/>
  <c r="O18" i="84"/>
  <c r="P18" i="84"/>
  <c r="Q18" i="84"/>
  <c r="R18" i="84"/>
  <c r="S18" i="84"/>
  <c r="T18" i="84"/>
  <c r="U18" i="84"/>
  <c r="V18" i="84"/>
  <c r="W18" i="84"/>
  <c r="X18" i="84"/>
  <c r="Y18" i="84"/>
  <c r="Z18" i="84"/>
  <c r="AA18" i="84"/>
  <c r="D19" i="84"/>
  <c r="E19" i="84"/>
  <c r="F19" i="84"/>
  <c r="G19" i="84"/>
  <c r="H19" i="84"/>
  <c r="I19" i="84"/>
  <c r="J19" i="84"/>
  <c r="K19" i="84"/>
  <c r="L19" i="84"/>
  <c r="M19" i="84"/>
  <c r="N19" i="84"/>
  <c r="O19" i="84"/>
  <c r="P19" i="84"/>
  <c r="Q19" i="84"/>
  <c r="R19" i="84"/>
  <c r="S19" i="84"/>
  <c r="T19" i="84"/>
  <c r="U19" i="84"/>
  <c r="V19" i="84"/>
  <c r="W19" i="84"/>
  <c r="X19" i="84"/>
  <c r="Y19" i="84"/>
  <c r="Z19" i="84"/>
  <c r="AA19" i="84"/>
  <c r="D20" i="84"/>
  <c r="E20" i="84"/>
  <c r="F20" i="84"/>
  <c r="G20" i="84"/>
  <c r="H20" i="84"/>
  <c r="I20" i="84"/>
  <c r="J20" i="84"/>
  <c r="K20" i="84"/>
  <c r="L20" i="84"/>
  <c r="M20" i="84"/>
  <c r="N20" i="84"/>
  <c r="O20" i="84"/>
  <c r="P20" i="84"/>
  <c r="Q20" i="84"/>
  <c r="R20" i="84"/>
  <c r="S20" i="84"/>
  <c r="T20" i="84"/>
  <c r="U20" i="84"/>
  <c r="V20" i="84"/>
  <c r="W20" i="84"/>
  <c r="X20" i="84"/>
  <c r="Y20" i="84"/>
  <c r="Z20" i="84"/>
  <c r="AA20" i="84"/>
  <c r="D21" i="84"/>
  <c r="E21" i="84"/>
  <c r="F21" i="84"/>
  <c r="G21" i="84"/>
  <c r="H21" i="84"/>
  <c r="I21" i="84"/>
  <c r="J21" i="84"/>
  <c r="K21" i="84"/>
  <c r="L21" i="84"/>
  <c r="M21" i="84"/>
  <c r="N21" i="84"/>
  <c r="O21" i="84"/>
  <c r="P21" i="84"/>
  <c r="Q21" i="84"/>
  <c r="R21" i="84"/>
  <c r="S21" i="84"/>
  <c r="T21" i="84"/>
  <c r="U21" i="84"/>
  <c r="V21" i="84"/>
  <c r="W21" i="84"/>
  <c r="X21" i="84"/>
  <c r="Y21" i="84"/>
  <c r="Z21" i="84"/>
  <c r="AA21" i="84"/>
  <c r="D22" i="84"/>
  <c r="E22" i="84"/>
  <c r="F22" i="84"/>
  <c r="G22" i="84"/>
  <c r="H22" i="84"/>
  <c r="I22" i="84"/>
  <c r="J22" i="84"/>
  <c r="K22" i="84"/>
  <c r="L22" i="84"/>
  <c r="M22" i="84"/>
  <c r="N22" i="84"/>
  <c r="O22" i="84"/>
  <c r="P22" i="84"/>
  <c r="Q22" i="84"/>
  <c r="R22" i="84"/>
  <c r="S22" i="84"/>
  <c r="T22" i="84"/>
  <c r="U22" i="84"/>
  <c r="V22" i="84"/>
  <c r="W22" i="84"/>
  <c r="X22" i="84"/>
  <c r="Y22" i="84"/>
  <c r="Z22" i="84"/>
  <c r="AA22" i="84"/>
  <c r="D23" i="84"/>
  <c r="E23" i="84"/>
  <c r="F23" i="84"/>
  <c r="G23" i="84"/>
  <c r="H23" i="84"/>
  <c r="I23" i="84"/>
  <c r="J23" i="84"/>
  <c r="K23" i="84"/>
  <c r="L23" i="84"/>
  <c r="M23" i="84"/>
  <c r="N23" i="84"/>
  <c r="O23" i="84"/>
  <c r="P23" i="84"/>
  <c r="Q23" i="84"/>
  <c r="R23" i="84"/>
  <c r="S23" i="84"/>
  <c r="T23" i="84"/>
  <c r="U23" i="84"/>
  <c r="V23" i="84"/>
  <c r="W23" i="84"/>
  <c r="X23" i="84"/>
  <c r="Y23" i="84"/>
  <c r="Z23" i="84"/>
  <c r="AA23" i="84"/>
  <c r="D24" i="84"/>
  <c r="E24" i="84"/>
  <c r="F24" i="84"/>
  <c r="G24" i="84"/>
  <c r="H24" i="84"/>
  <c r="I24" i="84"/>
  <c r="J24" i="84"/>
  <c r="K24" i="84"/>
  <c r="L24" i="84"/>
  <c r="M24" i="84"/>
  <c r="N24" i="84"/>
  <c r="O24" i="84"/>
  <c r="P24" i="84"/>
  <c r="Q24" i="84"/>
  <c r="R24" i="84"/>
  <c r="S24" i="84"/>
  <c r="T24" i="84"/>
  <c r="U24" i="84"/>
  <c r="V24" i="84"/>
  <c r="W24" i="84"/>
  <c r="X24" i="84"/>
  <c r="Y24" i="84"/>
  <c r="Z24" i="84"/>
  <c r="AA24" i="84"/>
  <c r="D25" i="84"/>
  <c r="E25" i="84"/>
  <c r="F25" i="84"/>
  <c r="G25" i="84"/>
  <c r="H25" i="84"/>
  <c r="I25" i="84"/>
  <c r="J25" i="84"/>
  <c r="K25" i="84"/>
  <c r="L25" i="84"/>
  <c r="M25" i="84"/>
  <c r="N25" i="84"/>
  <c r="O25" i="84"/>
  <c r="P25" i="84"/>
  <c r="Q25" i="84"/>
  <c r="R25" i="84"/>
  <c r="S25" i="84"/>
  <c r="T25" i="84"/>
  <c r="U25" i="84"/>
  <c r="V25" i="84"/>
  <c r="W25" i="84"/>
  <c r="X25" i="84"/>
  <c r="Y25" i="84"/>
  <c r="Z25" i="84"/>
  <c r="AA25" i="84"/>
  <c r="D26" i="84"/>
  <c r="E26" i="84"/>
  <c r="F26" i="84"/>
  <c r="G26" i="84"/>
  <c r="H26" i="84"/>
  <c r="I26" i="84"/>
  <c r="J26" i="84"/>
  <c r="K26" i="84"/>
  <c r="L26" i="84"/>
  <c r="M26" i="84"/>
  <c r="N26" i="84"/>
  <c r="O26" i="84"/>
  <c r="P26" i="84"/>
  <c r="Q26" i="84"/>
  <c r="R26" i="84"/>
  <c r="S26" i="84"/>
  <c r="T26" i="84"/>
  <c r="U26" i="84"/>
  <c r="V26" i="84"/>
  <c r="W26" i="84"/>
  <c r="X26" i="84"/>
  <c r="Y26" i="84"/>
  <c r="Z26" i="84"/>
  <c r="AA26" i="84"/>
  <c r="D27" i="84"/>
  <c r="E27" i="84"/>
  <c r="F27" i="84"/>
  <c r="G27" i="84"/>
  <c r="H27" i="84"/>
  <c r="I27" i="84"/>
  <c r="J27" i="84"/>
  <c r="K27" i="84"/>
  <c r="L27" i="84"/>
  <c r="M27" i="84"/>
  <c r="N27" i="84"/>
  <c r="O27" i="84"/>
  <c r="P27" i="84"/>
  <c r="Q27" i="84"/>
  <c r="R27" i="84"/>
  <c r="S27" i="84"/>
  <c r="T27" i="84"/>
  <c r="U27" i="84"/>
  <c r="V27" i="84"/>
  <c r="W27" i="84"/>
  <c r="X27" i="84"/>
  <c r="Y27" i="84"/>
  <c r="Z27" i="84"/>
  <c r="AA27" i="84"/>
  <c r="D28" i="84"/>
  <c r="E28" i="84"/>
  <c r="F28" i="84"/>
  <c r="G28" i="84"/>
  <c r="H28" i="84"/>
  <c r="I28" i="84"/>
  <c r="J28" i="84"/>
  <c r="K28" i="84"/>
  <c r="L28" i="84"/>
  <c r="M28" i="84"/>
  <c r="N28" i="84"/>
  <c r="O28" i="84"/>
  <c r="P28" i="84"/>
  <c r="Q28" i="84"/>
  <c r="R28" i="84"/>
  <c r="S28" i="84"/>
  <c r="T28" i="84"/>
  <c r="U28" i="84"/>
  <c r="V28" i="84"/>
  <c r="W28" i="84"/>
  <c r="X28" i="84"/>
  <c r="Y28" i="84"/>
  <c r="Z28" i="84"/>
  <c r="AA28" i="84"/>
  <c r="D29" i="84"/>
  <c r="E29" i="84"/>
  <c r="F29" i="84"/>
  <c r="G29" i="84"/>
  <c r="H29" i="84"/>
  <c r="I29" i="84"/>
  <c r="J29" i="84"/>
  <c r="K29" i="84"/>
  <c r="L29" i="84"/>
  <c r="M29" i="84"/>
  <c r="N29" i="84"/>
  <c r="O29" i="84"/>
  <c r="P29" i="84"/>
  <c r="Q29" i="84"/>
  <c r="R29" i="84"/>
  <c r="S29" i="84"/>
  <c r="T29" i="84"/>
  <c r="U29" i="84"/>
  <c r="V29" i="84"/>
  <c r="W29" i="84"/>
  <c r="X29" i="84"/>
  <c r="Y29" i="84"/>
  <c r="Z29" i="84"/>
  <c r="AA29" i="84"/>
  <c r="D30" i="84"/>
  <c r="E30" i="84"/>
  <c r="F30" i="84"/>
  <c r="G30" i="84"/>
  <c r="H30" i="84"/>
  <c r="I30" i="84"/>
  <c r="J30" i="84"/>
  <c r="K30" i="84"/>
  <c r="L30" i="84"/>
  <c r="M30" i="84"/>
  <c r="N30" i="84"/>
  <c r="O30" i="84"/>
  <c r="P30" i="84"/>
  <c r="Q30" i="84"/>
  <c r="R30" i="84"/>
  <c r="S30" i="84"/>
  <c r="T30" i="84"/>
  <c r="U30" i="84"/>
  <c r="V30" i="84"/>
  <c r="W30" i="84"/>
  <c r="X30" i="84"/>
  <c r="Y30" i="84"/>
  <c r="Z30" i="84"/>
  <c r="AA30" i="84"/>
  <c r="D31" i="84"/>
  <c r="E31" i="84"/>
  <c r="F31" i="84"/>
  <c r="G31" i="84"/>
  <c r="H31" i="84"/>
  <c r="I31" i="84"/>
  <c r="J31" i="84"/>
  <c r="K31" i="84"/>
  <c r="L31" i="84"/>
  <c r="M31" i="84"/>
  <c r="N31" i="84"/>
  <c r="O31" i="84"/>
  <c r="P31" i="84"/>
  <c r="Q31" i="84"/>
  <c r="R31" i="84"/>
  <c r="S31" i="84"/>
  <c r="T31" i="84"/>
  <c r="U31" i="84"/>
  <c r="V31" i="84"/>
  <c r="W31" i="84"/>
  <c r="X31" i="84"/>
  <c r="Y31" i="84"/>
  <c r="Z31" i="84"/>
  <c r="AA31" i="84"/>
  <c r="D32" i="84"/>
  <c r="E32" i="84"/>
  <c r="F32" i="84"/>
  <c r="G32" i="84"/>
  <c r="H32" i="84"/>
  <c r="I32" i="84"/>
  <c r="J32" i="84"/>
  <c r="K32" i="84"/>
  <c r="L32" i="84"/>
  <c r="M32" i="84"/>
  <c r="N32" i="84"/>
  <c r="O32" i="84"/>
  <c r="P32" i="84"/>
  <c r="Q32" i="84"/>
  <c r="R32" i="84"/>
  <c r="S32" i="84"/>
  <c r="T32" i="84"/>
  <c r="U32" i="84"/>
  <c r="V32" i="84"/>
  <c r="W32" i="84"/>
  <c r="X32" i="84"/>
  <c r="Y32" i="84"/>
  <c r="Z32" i="84"/>
  <c r="AA32" i="84"/>
  <c r="D33" i="84"/>
  <c r="E33" i="84"/>
  <c r="F33" i="84"/>
  <c r="G33" i="84"/>
  <c r="H33" i="84"/>
  <c r="I33" i="84"/>
  <c r="J33" i="84"/>
  <c r="K33" i="84"/>
  <c r="L33" i="84"/>
  <c r="M33" i="84"/>
  <c r="N33" i="84"/>
  <c r="O33" i="84"/>
  <c r="P33" i="84"/>
  <c r="Q33" i="84"/>
  <c r="R33" i="84"/>
  <c r="S33" i="84"/>
  <c r="T33" i="84"/>
  <c r="U33" i="84"/>
  <c r="V33" i="84"/>
  <c r="W33" i="84"/>
  <c r="X33" i="84"/>
  <c r="Y33" i="84"/>
  <c r="Z33" i="84"/>
  <c r="AA33" i="84"/>
  <c r="D34" i="84"/>
  <c r="E34" i="84"/>
  <c r="F34" i="84"/>
  <c r="G34" i="84"/>
  <c r="H34" i="84"/>
  <c r="I34" i="84"/>
  <c r="J34" i="84"/>
  <c r="K34" i="84"/>
  <c r="L34" i="84"/>
  <c r="M34" i="84"/>
  <c r="N34" i="84"/>
  <c r="O34" i="84"/>
  <c r="P34" i="84"/>
  <c r="Q34" i="84"/>
  <c r="R34" i="84"/>
  <c r="S34" i="84"/>
  <c r="T34" i="84"/>
  <c r="U34" i="84"/>
  <c r="V34" i="84"/>
  <c r="W34" i="84"/>
  <c r="X34" i="84"/>
  <c r="Y34" i="84"/>
  <c r="Z34" i="84"/>
  <c r="AA34" i="84"/>
  <c r="D35" i="84"/>
  <c r="E35" i="84"/>
  <c r="F35" i="84"/>
  <c r="G35" i="84"/>
  <c r="H35" i="84"/>
  <c r="I35" i="84"/>
  <c r="J35" i="84"/>
  <c r="K35" i="84"/>
  <c r="L35" i="84"/>
  <c r="M35" i="84"/>
  <c r="N35" i="84"/>
  <c r="O35" i="84"/>
  <c r="P35" i="84"/>
  <c r="Q35" i="84"/>
  <c r="R35" i="84"/>
  <c r="S35" i="84"/>
  <c r="T35" i="84"/>
  <c r="U35" i="84"/>
  <c r="V35" i="84"/>
  <c r="W35" i="84"/>
  <c r="X35" i="84"/>
  <c r="Y35" i="84"/>
  <c r="Z35" i="84"/>
  <c r="AA35" i="84"/>
  <c r="D36" i="84"/>
  <c r="E36" i="84"/>
  <c r="F36" i="84"/>
  <c r="G36" i="84"/>
  <c r="H36" i="84"/>
  <c r="I36" i="84"/>
  <c r="J36" i="84"/>
  <c r="K36" i="84"/>
  <c r="L36" i="84"/>
  <c r="M36" i="84"/>
  <c r="N36" i="84"/>
  <c r="O36" i="84"/>
  <c r="P36" i="84"/>
  <c r="Q36" i="84"/>
  <c r="R36" i="84"/>
  <c r="S36" i="84"/>
  <c r="T36" i="84"/>
  <c r="U36" i="84"/>
  <c r="V36" i="84"/>
  <c r="W36" i="84"/>
  <c r="X36" i="84"/>
  <c r="Y36" i="84"/>
  <c r="Z36" i="84"/>
  <c r="AA36" i="84"/>
  <c r="D37" i="84"/>
  <c r="E37" i="84"/>
  <c r="F37" i="84"/>
  <c r="G37" i="84"/>
  <c r="H37" i="84"/>
  <c r="I37" i="84"/>
  <c r="J37" i="84"/>
  <c r="K37" i="84"/>
  <c r="L37" i="84"/>
  <c r="M37" i="84"/>
  <c r="N37" i="84"/>
  <c r="O37" i="84"/>
  <c r="P37" i="84"/>
  <c r="Q37" i="84"/>
  <c r="R37" i="84"/>
  <c r="S37" i="84"/>
  <c r="T37" i="84"/>
  <c r="U37" i="84"/>
  <c r="V37" i="84"/>
  <c r="W37" i="84"/>
  <c r="X37" i="84"/>
  <c r="Y37" i="84"/>
  <c r="Z37" i="84"/>
  <c r="AA37" i="84"/>
  <c r="D38" i="84"/>
  <c r="E38" i="84"/>
  <c r="F38" i="84"/>
  <c r="G38" i="84"/>
  <c r="H38" i="84"/>
  <c r="I38" i="84"/>
  <c r="J38" i="84"/>
  <c r="K38" i="84"/>
  <c r="L38" i="84"/>
  <c r="M38" i="84"/>
  <c r="N38" i="84"/>
  <c r="O38" i="84"/>
  <c r="P38" i="84"/>
  <c r="Q38" i="84"/>
  <c r="R38" i="84"/>
  <c r="S38" i="84"/>
  <c r="T38" i="84"/>
  <c r="U38" i="84"/>
  <c r="V38" i="84"/>
  <c r="W38" i="84"/>
  <c r="X38" i="84"/>
  <c r="Y38" i="84"/>
  <c r="Z38" i="84"/>
  <c r="AA38" i="84"/>
  <c r="D39" i="84"/>
  <c r="E39" i="84"/>
  <c r="F39" i="84"/>
  <c r="G39" i="84"/>
  <c r="H39" i="84"/>
  <c r="I39" i="84"/>
  <c r="J39" i="84"/>
  <c r="K39" i="84"/>
  <c r="L39" i="84"/>
  <c r="M39" i="84"/>
  <c r="N39" i="84"/>
  <c r="O39" i="84"/>
  <c r="P39" i="84"/>
  <c r="Q39" i="84"/>
  <c r="R39" i="84"/>
  <c r="S39" i="84"/>
  <c r="T39" i="84"/>
  <c r="U39" i="84"/>
  <c r="V39" i="84"/>
  <c r="W39" i="84"/>
  <c r="X39" i="84"/>
  <c r="Y39" i="84"/>
  <c r="Z39" i="84"/>
  <c r="AA39" i="84"/>
  <c r="D40" i="84"/>
  <c r="E40" i="84"/>
  <c r="F40" i="84"/>
  <c r="G40" i="84"/>
  <c r="H40" i="84"/>
  <c r="I40" i="84"/>
  <c r="J40" i="84"/>
  <c r="K40" i="84"/>
  <c r="L40" i="84"/>
  <c r="M40" i="84"/>
  <c r="N40" i="84"/>
  <c r="O40" i="84"/>
  <c r="P40" i="84"/>
  <c r="Q40" i="84"/>
  <c r="R40" i="84"/>
  <c r="S40" i="84"/>
  <c r="T40" i="84"/>
  <c r="U40" i="84"/>
  <c r="V40" i="84"/>
  <c r="W40" i="84"/>
  <c r="X40" i="84"/>
  <c r="Y40" i="84"/>
  <c r="Z40" i="84"/>
  <c r="AA40" i="84"/>
  <c r="D41" i="84"/>
  <c r="E41" i="84"/>
  <c r="F41" i="84"/>
  <c r="G41" i="84"/>
  <c r="H41" i="84"/>
  <c r="I41" i="84"/>
  <c r="J41" i="84"/>
  <c r="K41" i="84"/>
  <c r="L41" i="84"/>
  <c r="M41" i="84"/>
  <c r="N41" i="84"/>
  <c r="O41" i="84"/>
  <c r="P41" i="84"/>
  <c r="Q41" i="84"/>
  <c r="R41" i="84"/>
  <c r="S41" i="84"/>
  <c r="T41" i="84"/>
  <c r="U41" i="84"/>
  <c r="V41" i="84"/>
  <c r="W41" i="84"/>
  <c r="X41" i="84"/>
  <c r="Y41" i="84"/>
  <c r="Z41" i="84"/>
  <c r="AA41" i="84"/>
  <c r="D42" i="84"/>
  <c r="E42" i="84"/>
  <c r="F42" i="84"/>
  <c r="G42" i="84"/>
  <c r="H42" i="84"/>
  <c r="I42" i="84"/>
  <c r="J42" i="84"/>
  <c r="K42" i="84"/>
  <c r="L42" i="84"/>
  <c r="M42" i="84"/>
  <c r="N42" i="84"/>
  <c r="O42" i="84"/>
  <c r="P42" i="84"/>
  <c r="Q42" i="84"/>
  <c r="R42" i="84"/>
  <c r="S42" i="84"/>
  <c r="T42" i="84"/>
  <c r="U42" i="84"/>
  <c r="V42" i="84"/>
  <c r="W42" i="84"/>
  <c r="X42" i="84"/>
  <c r="Y42" i="84"/>
  <c r="Z42" i="84"/>
  <c r="AA42" i="84"/>
  <c r="D43" i="84"/>
  <c r="E43" i="84"/>
  <c r="F43" i="84"/>
  <c r="G43" i="84"/>
  <c r="H43" i="84"/>
  <c r="I43" i="84"/>
  <c r="J43" i="84"/>
  <c r="K43" i="84"/>
  <c r="L43" i="84"/>
  <c r="M43" i="84"/>
  <c r="N43" i="84"/>
  <c r="O43" i="84"/>
  <c r="P43" i="84"/>
  <c r="Q43" i="84"/>
  <c r="R43" i="84"/>
  <c r="S43" i="84"/>
  <c r="T43" i="84"/>
  <c r="U43" i="84"/>
  <c r="V43" i="84"/>
  <c r="W43" i="84"/>
  <c r="X43" i="84"/>
  <c r="Y43" i="84"/>
  <c r="Z43" i="84"/>
  <c r="AA43" i="84"/>
  <c r="D44" i="84"/>
  <c r="E44" i="84"/>
  <c r="F44" i="84"/>
  <c r="G44" i="84"/>
  <c r="H44" i="84"/>
  <c r="I44" i="84"/>
  <c r="J44" i="84"/>
  <c r="K44" i="84"/>
  <c r="L44" i="84"/>
  <c r="M44" i="84"/>
  <c r="N44" i="84"/>
  <c r="O44" i="84"/>
  <c r="P44" i="84"/>
  <c r="Q44" i="84"/>
  <c r="R44" i="84"/>
  <c r="S44" i="84"/>
  <c r="T44" i="84"/>
  <c r="U44" i="84"/>
  <c r="V44" i="84"/>
  <c r="W44" i="84"/>
  <c r="X44" i="84"/>
  <c r="Y44" i="84"/>
  <c r="Z44" i="84"/>
  <c r="AA44" i="84"/>
  <c r="D45" i="84"/>
  <c r="E45" i="84"/>
  <c r="F45" i="84"/>
  <c r="G45" i="84"/>
  <c r="H45" i="84"/>
  <c r="I45" i="84"/>
  <c r="J45" i="84"/>
  <c r="K45" i="84"/>
  <c r="L45" i="84"/>
  <c r="M45" i="84"/>
  <c r="N45" i="84"/>
  <c r="O45" i="84"/>
  <c r="P45" i="84"/>
  <c r="Q45" i="84"/>
  <c r="R45" i="84"/>
  <c r="S45" i="84"/>
  <c r="T45" i="84"/>
  <c r="U45" i="84"/>
  <c r="V45" i="84"/>
  <c r="W45" i="84"/>
  <c r="X45" i="84"/>
  <c r="Y45" i="84"/>
  <c r="Z45" i="84"/>
  <c r="AA45" i="84"/>
  <c r="D46" i="84"/>
  <c r="E46" i="84"/>
  <c r="F46" i="84"/>
  <c r="G46" i="84"/>
  <c r="H46" i="84"/>
  <c r="I46" i="84"/>
  <c r="J46" i="84"/>
  <c r="K46" i="84"/>
  <c r="L46" i="84"/>
  <c r="M46" i="84"/>
  <c r="N46" i="84"/>
  <c r="O46" i="84"/>
  <c r="P46" i="84"/>
  <c r="Q46" i="84"/>
  <c r="R46" i="84"/>
  <c r="S46" i="84"/>
  <c r="T46" i="84"/>
  <c r="U46" i="84"/>
  <c r="V46" i="84"/>
  <c r="W46" i="84"/>
  <c r="X46" i="84"/>
  <c r="Y46" i="84"/>
  <c r="Z46" i="84"/>
  <c r="AA46" i="84"/>
  <c r="D47" i="84"/>
  <c r="E47" i="84"/>
  <c r="F47" i="84"/>
  <c r="G47" i="84"/>
  <c r="H47" i="84"/>
  <c r="I47" i="84"/>
  <c r="J47" i="84"/>
  <c r="K47" i="84"/>
  <c r="L47" i="84"/>
  <c r="M47" i="84"/>
  <c r="N47" i="84"/>
  <c r="O47" i="84"/>
  <c r="P47" i="84"/>
  <c r="Q47" i="84"/>
  <c r="R47" i="84"/>
  <c r="S47" i="84"/>
  <c r="T47" i="84"/>
  <c r="U47" i="84"/>
  <c r="V47" i="84"/>
  <c r="W47" i="84"/>
  <c r="X47" i="84"/>
  <c r="Y47" i="84"/>
  <c r="Z47" i="84"/>
  <c r="AA47" i="84"/>
  <c r="D48" i="84"/>
  <c r="E48" i="84"/>
  <c r="F48" i="84"/>
  <c r="G48" i="84"/>
  <c r="H48" i="84"/>
  <c r="I48" i="84"/>
  <c r="J48" i="84"/>
  <c r="K48" i="84"/>
  <c r="L48" i="84"/>
  <c r="M48" i="84"/>
  <c r="N48" i="84"/>
  <c r="O48" i="84"/>
  <c r="P48" i="84"/>
  <c r="Q48" i="84"/>
  <c r="R48" i="84"/>
  <c r="S48" i="84"/>
  <c r="T48" i="84"/>
  <c r="U48" i="84"/>
  <c r="V48" i="84"/>
  <c r="W48" i="84"/>
  <c r="X48" i="84"/>
  <c r="Y48" i="84"/>
  <c r="Z48" i="84"/>
  <c r="AA48" i="84"/>
  <c r="D49" i="84"/>
  <c r="E49" i="84"/>
  <c r="F49" i="84"/>
  <c r="G49" i="84"/>
  <c r="H49" i="84"/>
  <c r="I49" i="84"/>
  <c r="J49" i="84"/>
  <c r="K49" i="84"/>
  <c r="L49" i="84"/>
  <c r="M49" i="84"/>
  <c r="N49" i="84"/>
  <c r="O49" i="84"/>
  <c r="P49" i="84"/>
  <c r="Q49" i="84"/>
  <c r="R49" i="84"/>
  <c r="S49" i="84"/>
  <c r="T49" i="84"/>
  <c r="U49" i="84"/>
  <c r="V49" i="84"/>
  <c r="W49" i="84"/>
  <c r="X49" i="84"/>
  <c r="Y49" i="84"/>
  <c r="Z49" i="84"/>
  <c r="AA49" i="84"/>
  <c r="D50" i="84"/>
  <c r="E50" i="84"/>
  <c r="F50" i="84"/>
  <c r="G50" i="84"/>
  <c r="H50" i="84"/>
  <c r="I50" i="84"/>
  <c r="J50" i="84"/>
  <c r="K50" i="84"/>
  <c r="L50" i="84"/>
  <c r="M50" i="84"/>
  <c r="N50" i="84"/>
  <c r="O50" i="84"/>
  <c r="P50" i="84"/>
  <c r="Q50" i="84"/>
  <c r="R50" i="84"/>
  <c r="S50" i="84"/>
  <c r="T50" i="84"/>
  <c r="U50" i="84"/>
  <c r="V50" i="84"/>
  <c r="W50" i="84"/>
  <c r="X50" i="84"/>
  <c r="Y50" i="84"/>
  <c r="Z50" i="84"/>
  <c r="AA50" i="84"/>
  <c r="D51" i="84"/>
  <c r="E51" i="84"/>
  <c r="F51" i="84"/>
  <c r="G51" i="84"/>
  <c r="H51" i="84"/>
  <c r="I51" i="84"/>
  <c r="J51" i="84"/>
  <c r="K51" i="84"/>
  <c r="L51" i="84"/>
  <c r="M51" i="84"/>
  <c r="N51" i="84"/>
  <c r="O51" i="84"/>
  <c r="P51" i="84"/>
  <c r="Q51" i="84"/>
  <c r="R51" i="84"/>
  <c r="S51" i="84"/>
  <c r="T51" i="84"/>
  <c r="U51" i="84"/>
  <c r="V51" i="84"/>
  <c r="W51" i="84"/>
  <c r="X51" i="84"/>
  <c r="Y51" i="84"/>
  <c r="Z51" i="84"/>
  <c r="AA51" i="84"/>
  <c r="D52" i="84"/>
  <c r="E52" i="84"/>
  <c r="F52" i="84"/>
  <c r="G52" i="84"/>
  <c r="H52" i="84"/>
  <c r="I52" i="84"/>
  <c r="J52" i="84"/>
  <c r="K52" i="84"/>
  <c r="L52" i="84"/>
  <c r="M52" i="84"/>
  <c r="N52" i="84"/>
  <c r="O52" i="84"/>
  <c r="P52" i="84"/>
  <c r="Q52" i="84"/>
  <c r="R52" i="84"/>
  <c r="S52" i="84"/>
  <c r="T52" i="84"/>
  <c r="U52" i="84"/>
  <c r="V52" i="84"/>
  <c r="W52" i="84"/>
  <c r="X52" i="84"/>
  <c r="Y52" i="84"/>
  <c r="Z52" i="84"/>
  <c r="AA52" i="84"/>
  <c r="D53" i="84"/>
  <c r="E53" i="84"/>
  <c r="F53" i="84"/>
  <c r="G53" i="84"/>
  <c r="H53" i="84"/>
  <c r="I53" i="84"/>
  <c r="J53" i="84"/>
  <c r="K53" i="84"/>
  <c r="L53" i="84"/>
  <c r="M53" i="84"/>
  <c r="N53" i="84"/>
  <c r="O53" i="84"/>
  <c r="P53" i="84"/>
  <c r="Q53" i="84"/>
  <c r="R53" i="84"/>
  <c r="S53" i="84"/>
  <c r="T53" i="84"/>
  <c r="U53" i="84"/>
  <c r="V53" i="84"/>
  <c r="W53" i="84"/>
  <c r="X53" i="84"/>
  <c r="Y53" i="84"/>
  <c r="Z53" i="84"/>
  <c r="AA53" i="84"/>
  <c r="D54" i="84"/>
  <c r="E54" i="84"/>
  <c r="F54" i="84"/>
  <c r="G54" i="84"/>
  <c r="H54" i="84"/>
  <c r="I54" i="84"/>
  <c r="J54" i="84"/>
  <c r="K54" i="84"/>
  <c r="L54" i="84"/>
  <c r="M54" i="84"/>
  <c r="N54" i="84"/>
  <c r="O54" i="84"/>
  <c r="P54" i="84"/>
  <c r="Q54" i="84"/>
  <c r="R54" i="84"/>
  <c r="S54" i="84"/>
  <c r="T54" i="84"/>
  <c r="U54" i="84"/>
  <c r="V54" i="84"/>
  <c r="W54" i="84"/>
  <c r="X54" i="84"/>
  <c r="Y54" i="84"/>
  <c r="Z54" i="84"/>
  <c r="AA54" i="84"/>
  <c r="D55" i="84"/>
  <c r="E55" i="84"/>
  <c r="F55" i="84"/>
  <c r="G55" i="84"/>
  <c r="H55" i="84"/>
  <c r="I55" i="84"/>
  <c r="J55" i="84"/>
  <c r="K55" i="84"/>
  <c r="L55" i="84"/>
  <c r="M55" i="84"/>
  <c r="N55" i="84"/>
  <c r="O55" i="84"/>
  <c r="P55" i="84"/>
  <c r="Q55" i="84"/>
  <c r="R55" i="84"/>
  <c r="S55" i="84"/>
  <c r="T55" i="84"/>
  <c r="U55" i="84"/>
  <c r="V55" i="84"/>
  <c r="W55" i="84"/>
  <c r="X55" i="84"/>
  <c r="Y55" i="84"/>
  <c r="Z55" i="84"/>
  <c r="AA55" i="84"/>
  <c r="D56" i="84"/>
  <c r="E56" i="84"/>
  <c r="F56" i="84"/>
  <c r="G56" i="84"/>
  <c r="H56" i="84"/>
  <c r="I56" i="84"/>
  <c r="J56" i="84"/>
  <c r="K56" i="84"/>
  <c r="L56" i="84"/>
  <c r="M56" i="84"/>
  <c r="N56" i="84"/>
  <c r="O56" i="84"/>
  <c r="P56" i="84"/>
  <c r="Q56" i="84"/>
  <c r="R56" i="84"/>
  <c r="S56" i="84"/>
  <c r="T56" i="84"/>
  <c r="U56" i="84"/>
  <c r="V56" i="84"/>
  <c r="W56" i="84"/>
  <c r="X56" i="84"/>
  <c r="Y56" i="84"/>
  <c r="Z56" i="84"/>
  <c r="AA56" i="84"/>
  <c r="D57" i="84"/>
  <c r="E57" i="84"/>
  <c r="F57" i="84"/>
  <c r="G57" i="84"/>
  <c r="H57" i="84"/>
  <c r="I57" i="84"/>
  <c r="J57" i="84"/>
  <c r="K57" i="84"/>
  <c r="L57" i="84"/>
  <c r="M57" i="84"/>
  <c r="N57" i="84"/>
  <c r="O57" i="84"/>
  <c r="P57" i="84"/>
  <c r="Q57" i="84"/>
  <c r="R57" i="84"/>
  <c r="S57" i="84"/>
  <c r="T57" i="84"/>
  <c r="U57" i="84"/>
  <c r="V57" i="84"/>
  <c r="W57" i="84"/>
  <c r="X57" i="84"/>
  <c r="Y57" i="84"/>
  <c r="Z57" i="84"/>
  <c r="AA57" i="84"/>
  <c r="D58" i="84"/>
  <c r="E58" i="84"/>
  <c r="F58" i="84"/>
  <c r="G58" i="84"/>
  <c r="H58" i="84"/>
  <c r="I58" i="84"/>
  <c r="J58" i="84"/>
  <c r="K58" i="84"/>
  <c r="L58" i="84"/>
  <c r="M58" i="84"/>
  <c r="N58" i="84"/>
  <c r="O58" i="84"/>
  <c r="P58" i="84"/>
  <c r="Q58" i="84"/>
  <c r="R58" i="84"/>
  <c r="S58" i="84"/>
  <c r="T58" i="84"/>
  <c r="U58" i="84"/>
  <c r="V58" i="84"/>
  <c r="W58" i="84"/>
  <c r="X58" i="84"/>
  <c r="Y58" i="84"/>
  <c r="Z58" i="84"/>
  <c r="AA58" i="84"/>
  <c r="D59" i="84"/>
  <c r="E59" i="84"/>
  <c r="F59" i="84"/>
  <c r="G59" i="84"/>
  <c r="H59" i="84"/>
  <c r="I59" i="84"/>
  <c r="J59" i="84"/>
  <c r="K59" i="84"/>
  <c r="L59" i="84"/>
  <c r="M59" i="84"/>
  <c r="N59" i="84"/>
  <c r="O59" i="84"/>
  <c r="P59" i="84"/>
  <c r="Q59" i="84"/>
  <c r="R59" i="84"/>
  <c r="S59" i="84"/>
  <c r="T59" i="84"/>
  <c r="U59" i="84"/>
  <c r="V59" i="84"/>
  <c r="W59" i="84"/>
  <c r="X59" i="84"/>
  <c r="Y59" i="84"/>
  <c r="Z59" i="84"/>
  <c r="AA59" i="84"/>
  <c r="D60" i="84"/>
  <c r="E60" i="84"/>
  <c r="F60" i="84"/>
  <c r="G60" i="84"/>
  <c r="H60" i="84"/>
  <c r="I60" i="84"/>
  <c r="J60" i="84"/>
  <c r="K60" i="84"/>
  <c r="L60" i="84"/>
  <c r="M60" i="84"/>
  <c r="N60" i="84"/>
  <c r="O60" i="84"/>
  <c r="P60" i="84"/>
  <c r="Q60" i="84"/>
  <c r="R60" i="84"/>
  <c r="S60" i="84"/>
  <c r="T60" i="84"/>
  <c r="U60" i="84"/>
  <c r="V60" i="84"/>
  <c r="W60" i="84"/>
  <c r="X60" i="84"/>
  <c r="Y60" i="84"/>
  <c r="Z60" i="84"/>
  <c r="AA60" i="84"/>
  <c r="D61" i="84"/>
  <c r="E61" i="84"/>
  <c r="F61" i="84"/>
  <c r="G61" i="84"/>
  <c r="H61" i="84"/>
  <c r="I61" i="84"/>
  <c r="J61" i="84"/>
  <c r="K61" i="84"/>
  <c r="L61" i="84"/>
  <c r="M61" i="84"/>
  <c r="N61" i="84"/>
  <c r="O61" i="84"/>
  <c r="P61" i="84"/>
  <c r="Q61" i="84"/>
  <c r="R61" i="84"/>
  <c r="S61" i="84"/>
  <c r="T61" i="84"/>
  <c r="U61" i="84"/>
  <c r="V61" i="84"/>
  <c r="W61" i="84"/>
  <c r="X61" i="84"/>
  <c r="Y61" i="84"/>
  <c r="Z61" i="84"/>
  <c r="AA61" i="84"/>
  <c r="D62" i="84"/>
  <c r="E62" i="84"/>
  <c r="F62" i="84"/>
  <c r="G62" i="84"/>
  <c r="H62" i="84"/>
  <c r="I62" i="84"/>
  <c r="J62" i="84"/>
  <c r="K62" i="84"/>
  <c r="L62" i="84"/>
  <c r="M62" i="84"/>
  <c r="N62" i="84"/>
  <c r="O62" i="84"/>
  <c r="P62" i="84"/>
  <c r="Q62" i="84"/>
  <c r="R62" i="84"/>
  <c r="S62" i="84"/>
  <c r="T62" i="84"/>
  <c r="U62" i="84"/>
  <c r="V62" i="84"/>
  <c r="W62" i="84"/>
  <c r="X62" i="84"/>
  <c r="Y62" i="84"/>
  <c r="Z62" i="84"/>
  <c r="AA62" i="84"/>
  <c r="D63" i="84"/>
  <c r="E63" i="84"/>
  <c r="F63" i="84"/>
  <c r="G63" i="84"/>
  <c r="H63" i="84"/>
  <c r="I63" i="84"/>
  <c r="J63" i="84"/>
  <c r="K63" i="84"/>
  <c r="L63" i="84"/>
  <c r="M63" i="84"/>
  <c r="N63" i="84"/>
  <c r="O63" i="84"/>
  <c r="P63" i="84"/>
  <c r="Q63" i="84"/>
  <c r="R63" i="84"/>
  <c r="S63" i="84"/>
  <c r="T63" i="84"/>
  <c r="U63" i="84"/>
  <c r="V63" i="84"/>
  <c r="W63" i="84"/>
  <c r="X63" i="84"/>
  <c r="Y63" i="84"/>
  <c r="Z63" i="84"/>
  <c r="AA63" i="84"/>
  <c r="D64" i="84"/>
  <c r="E64" i="84"/>
  <c r="F64" i="84"/>
  <c r="G64" i="84"/>
  <c r="H64" i="84"/>
  <c r="I64" i="84"/>
  <c r="J64" i="84"/>
  <c r="K64" i="84"/>
  <c r="L64" i="84"/>
  <c r="M64" i="84"/>
  <c r="N64" i="84"/>
  <c r="O64" i="84"/>
  <c r="P64" i="84"/>
  <c r="Q64" i="84"/>
  <c r="R64" i="84"/>
  <c r="S64" i="84"/>
  <c r="T64" i="84"/>
  <c r="U64" i="84"/>
  <c r="V64" i="84"/>
  <c r="W64" i="84"/>
  <c r="X64" i="84"/>
  <c r="Y64" i="84"/>
  <c r="Z64" i="84"/>
  <c r="AA64" i="84"/>
  <c r="D65" i="84"/>
  <c r="E65" i="84"/>
  <c r="F65" i="84"/>
  <c r="G65" i="84"/>
  <c r="H65" i="84"/>
  <c r="I65" i="84"/>
  <c r="J65" i="84"/>
  <c r="K65" i="84"/>
  <c r="L65" i="84"/>
  <c r="M65" i="84"/>
  <c r="N65" i="84"/>
  <c r="O65" i="84"/>
  <c r="P65" i="84"/>
  <c r="Q65" i="84"/>
  <c r="R65" i="84"/>
  <c r="S65" i="84"/>
  <c r="T65" i="84"/>
  <c r="U65" i="84"/>
  <c r="V65" i="84"/>
  <c r="W65" i="84"/>
  <c r="X65" i="84"/>
  <c r="Y65" i="84"/>
  <c r="Z65" i="84"/>
  <c r="AA65" i="84"/>
  <c r="D66" i="84"/>
  <c r="E66" i="84"/>
  <c r="F66" i="84"/>
  <c r="G66" i="84"/>
  <c r="H66" i="84"/>
  <c r="I66" i="84"/>
  <c r="J66" i="84"/>
  <c r="K66" i="84"/>
  <c r="L66" i="84"/>
  <c r="M66" i="84"/>
  <c r="N66" i="84"/>
  <c r="O66" i="84"/>
  <c r="P66" i="84"/>
  <c r="Q66" i="84"/>
  <c r="R66" i="84"/>
  <c r="S66" i="84"/>
  <c r="T66" i="84"/>
  <c r="U66" i="84"/>
  <c r="V66" i="84"/>
  <c r="W66" i="84"/>
  <c r="X66" i="84"/>
  <c r="Y66" i="84"/>
  <c r="Z66" i="84"/>
  <c r="AA66" i="84"/>
  <c r="D67" i="84"/>
  <c r="E67" i="84"/>
  <c r="F67" i="84"/>
  <c r="G67" i="84"/>
  <c r="H67" i="84"/>
  <c r="I67" i="84"/>
  <c r="J67" i="84"/>
  <c r="K67" i="84"/>
  <c r="L67" i="84"/>
  <c r="M67" i="84"/>
  <c r="N67" i="84"/>
  <c r="O67" i="84"/>
  <c r="P67" i="84"/>
  <c r="Q67" i="84"/>
  <c r="R67" i="84"/>
  <c r="S67" i="84"/>
  <c r="T67" i="84"/>
  <c r="U67" i="84"/>
  <c r="V67" i="84"/>
  <c r="W67" i="84"/>
  <c r="X67" i="84"/>
  <c r="Y67" i="84"/>
  <c r="Z67" i="84"/>
  <c r="AA67" i="84"/>
  <c r="D68" i="84"/>
  <c r="E68" i="84"/>
  <c r="F68" i="84"/>
  <c r="G68" i="84"/>
  <c r="H68" i="84"/>
  <c r="I68" i="84"/>
  <c r="J68" i="84"/>
  <c r="K68" i="84"/>
  <c r="L68" i="84"/>
  <c r="M68" i="84"/>
  <c r="N68" i="84"/>
  <c r="O68" i="84"/>
  <c r="P68" i="84"/>
  <c r="Q68" i="84"/>
  <c r="R68" i="84"/>
  <c r="S68" i="84"/>
  <c r="T68" i="84"/>
  <c r="U68" i="84"/>
  <c r="V68" i="84"/>
  <c r="W68" i="84"/>
  <c r="X68" i="84"/>
  <c r="Y68" i="84"/>
  <c r="Z68" i="84"/>
  <c r="AA68" i="84"/>
  <c r="D69" i="84"/>
  <c r="E69" i="84"/>
  <c r="F69" i="84"/>
  <c r="G69" i="84"/>
  <c r="H69" i="84"/>
  <c r="I69" i="84"/>
  <c r="J69" i="84"/>
  <c r="K69" i="84"/>
  <c r="L69" i="84"/>
  <c r="M69" i="84"/>
  <c r="N69" i="84"/>
  <c r="O69" i="84"/>
  <c r="P69" i="84"/>
  <c r="Q69" i="84"/>
  <c r="R69" i="84"/>
  <c r="S69" i="84"/>
  <c r="T69" i="84"/>
  <c r="U69" i="84"/>
  <c r="V69" i="84"/>
  <c r="W69" i="84"/>
  <c r="X69" i="84"/>
  <c r="Y69" i="84"/>
  <c r="Z69" i="84"/>
  <c r="AA69" i="84"/>
  <c r="D70" i="84"/>
  <c r="E70" i="84"/>
  <c r="F70" i="84"/>
  <c r="G70" i="84"/>
  <c r="H70" i="84"/>
  <c r="I70" i="84"/>
  <c r="J70" i="84"/>
  <c r="K70" i="84"/>
  <c r="L70" i="84"/>
  <c r="M70" i="84"/>
  <c r="N70" i="84"/>
  <c r="O70" i="84"/>
  <c r="P70" i="84"/>
  <c r="Q70" i="84"/>
  <c r="R70" i="84"/>
  <c r="S70" i="84"/>
  <c r="T70" i="84"/>
  <c r="U70" i="84"/>
  <c r="V70" i="84"/>
  <c r="W70" i="84"/>
  <c r="X70" i="84"/>
  <c r="Y70" i="84"/>
  <c r="Z70" i="84"/>
  <c r="AA70" i="84"/>
  <c r="D71" i="84"/>
  <c r="E71" i="84"/>
  <c r="F71" i="84"/>
  <c r="G71" i="84"/>
  <c r="H71" i="84"/>
  <c r="I71" i="84"/>
  <c r="J71" i="84"/>
  <c r="K71" i="84"/>
  <c r="L71" i="84"/>
  <c r="M71" i="84"/>
  <c r="N71" i="84"/>
  <c r="O71" i="84"/>
  <c r="P71" i="84"/>
  <c r="Q71" i="84"/>
  <c r="R71" i="84"/>
  <c r="S71" i="84"/>
  <c r="T71" i="84"/>
  <c r="U71" i="84"/>
  <c r="V71" i="84"/>
  <c r="W71" i="84"/>
  <c r="X71" i="84"/>
  <c r="Y71" i="84"/>
  <c r="Z71" i="84"/>
  <c r="AA71" i="84"/>
  <c r="D72" i="84"/>
  <c r="E72" i="84"/>
  <c r="F72" i="84"/>
  <c r="G72" i="84"/>
  <c r="H72" i="84"/>
  <c r="I72" i="84"/>
  <c r="J72" i="84"/>
  <c r="K72" i="84"/>
  <c r="L72" i="84"/>
  <c r="M72" i="84"/>
  <c r="N72" i="84"/>
  <c r="O72" i="84"/>
  <c r="P72" i="84"/>
  <c r="Q72" i="84"/>
  <c r="R72" i="84"/>
  <c r="S72" i="84"/>
  <c r="T72" i="84"/>
  <c r="U72" i="84"/>
  <c r="V72" i="84"/>
  <c r="W72" i="84"/>
  <c r="X72" i="84"/>
  <c r="Y72" i="84"/>
  <c r="Z72" i="84"/>
  <c r="AA72" i="84"/>
  <c r="D73" i="84"/>
  <c r="E73" i="84"/>
  <c r="F73" i="84"/>
  <c r="G73" i="84"/>
  <c r="H73" i="84"/>
  <c r="I73" i="84"/>
  <c r="J73" i="84"/>
  <c r="K73" i="84"/>
  <c r="L73" i="84"/>
  <c r="M73" i="84"/>
  <c r="N73" i="84"/>
  <c r="O73" i="84"/>
  <c r="P73" i="84"/>
  <c r="Q73" i="84"/>
  <c r="R73" i="84"/>
  <c r="S73" i="84"/>
  <c r="T73" i="84"/>
  <c r="U73" i="84"/>
  <c r="V73" i="84"/>
  <c r="W73" i="84"/>
  <c r="X73" i="84"/>
  <c r="Y73" i="84"/>
  <c r="Z73" i="84"/>
  <c r="AA73" i="84"/>
  <c r="D74" i="84"/>
  <c r="E74" i="84"/>
  <c r="F74" i="84"/>
  <c r="G74" i="84"/>
  <c r="H74" i="84"/>
  <c r="I74" i="84"/>
  <c r="J74" i="84"/>
  <c r="K74" i="84"/>
  <c r="L74" i="84"/>
  <c r="M74" i="84"/>
  <c r="N74" i="84"/>
  <c r="O74" i="84"/>
  <c r="P74" i="84"/>
  <c r="Q74" i="84"/>
  <c r="R74" i="84"/>
  <c r="S74" i="84"/>
  <c r="T74" i="84"/>
  <c r="U74" i="84"/>
  <c r="V74" i="84"/>
  <c r="W74" i="84"/>
  <c r="X74" i="84"/>
  <c r="Y74" i="84"/>
  <c r="Z74" i="84"/>
  <c r="AA74" i="84"/>
  <c r="D75" i="84"/>
  <c r="E75" i="84"/>
  <c r="F75" i="84"/>
  <c r="G75" i="84"/>
  <c r="H75" i="84"/>
  <c r="I75" i="84"/>
  <c r="J75" i="84"/>
  <c r="K75" i="84"/>
  <c r="L75" i="84"/>
  <c r="M75" i="84"/>
  <c r="N75" i="84"/>
  <c r="O75" i="84"/>
  <c r="P75" i="84"/>
  <c r="Q75" i="84"/>
  <c r="R75" i="84"/>
  <c r="S75" i="84"/>
  <c r="T75" i="84"/>
  <c r="U75" i="84"/>
  <c r="V75" i="84"/>
  <c r="W75" i="84"/>
  <c r="X75" i="84"/>
  <c r="Y75" i="84"/>
  <c r="Z75" i="84"/>
  <c r="AA75" i="84"/>
  <c r="D76" i="84"/>
  <c r="E76" i="84"/>
  <c r="F76" i="84"/>
  <c r="G76" i="84"/>
  <c r="H76" i="84"/>
  <c r="I76" i="84"/>
  <c r="J76" i="84"/>
  <c r="K76" i="84"/>
  <c r="L76" i="84"/>
  <c r="M76" i="84"/>
  <c r="N76" i="84"/>
  <c r="O76" i="84"/>
  <c r="P76" i="84"/>
  <c r="Q76" i="84"/>
  <c r="R76" i="84"/>
  <c r="S76" i="84"/>
  <c r="T76" i="84"/>
  <c r="U76" i="84"/>
  <c r="V76" i="84"/>
  <c r="W76" i="84"/>
  <c r="X76" i="84"/>
  <c r="Y76" i="84"/>
  <c r="Z76" i="84"/>
  <c r="AA76" i="84"/>
  <c r="D77" i="84"/>
  <c r="E77" i="84"/>
  <c r="F77" i="84"/>
  <c r="G77" i="84"/>
  <c r="H77" i="84"/>
  <c r="I77" i="84"/>
  <c r="J77" i="84"/>
  <c r="K77" i="84"/>
  <c r="L77" i="84"/>
  <c r="M77" i="84"/>
  <c r="N77" i="84"/>
  <c r="O77" i="84"/>
  <c r="P77" i="84"/>
  <c r="Q77" i="84"/>
  <c r="R77" i="84"/>
  <c r="S77" i="84"/>
  <c r="T77" i="84"/>
  <c r="U77" i="84"/>
  <c r="V77" i="84"/>
  <c r="W77" i="84"/>
  <c r="X77" i="84"/>
  <c r="Y77" i="84"/>
  <c r="Z77" i="84"/>
  <c r="AA77" i="84"/>
  <c r="D78" i="84"/>
  <c r="E78" i="84"/>
  <c r="F78" i="84"/>
  <c r="G78" i="84"/>
  <c r="H78" i="84"/>
  <c r="I78" i="84"/>
  <c r="J78" i="84"/>
  <c r="K78" i="84"/>
  <c r="L78" i="84"/>
  <c r="M78" i="84"/>
  <c r="N78" i="84"/>
  <c r="O78" i="84"/>
  <c r="P78" i="84"/>
  <c r="Q78" i="84"/>
  <c r="R78" i="84"/>
  <c r="S78" i="84"/>
  <c r="T78" i="84"/>
  <c r="U78" i="84"/>
  <c r="V78" i="84"/>
  <c r="W78" i="84"/>
  <c r="X78" i="84"/>
  <c r="Y78" i="84"/>
  <c r="Z78" i="84"/>
  <c r="AA78" i="84"/>
  <c r="D79" i="84"/>
  <c r="E79" i="84"/>
  <c r="F79" i="84"/>
  <c r="G79" i="84"/>
  <c r="H79" i="84"/>
  <c r="I79" i="84"/>
  <c r="J79" i="84"/>
  <c r="K79" i="84"/>
  <c r="L79" i="84"/>
  <c r="M79" i="84"/>
  <c r="N79" i="84"/>
  <c r="O79" i="84"/>
  <c r="P79" i="84"/>
  <c r="Q79" i="84"/>
  <c r="R79" i="84"/>
  <c r="S79" i="84"/>
  <c r="T79" i="84"/>
  <c r="U79" i="84"/>
  <c r="V79" i="84"/>
  <c r="W79" i="84"/>
  <c r="X79" i="84"/>
  <c r="Y79" i="84"/>
  <c r="Z79" i="84"/>
  <c r="AA79" i="84"/>
  <c r="D80" i="84"/>
  <c r="E80" i="84"/>
  <c r="F80" i="84"/>
  <c r="G80" i="84"/>
  <c r="H80" i="84"/>
  <c r="I80" i="84"/>
  <c r="J80" i="84"/>
  <c r="K80" i="84"/>
  <c r="L80" i="84"/>
  <c r="M80" i="84"/>
  <c r="N80" i="84"/>
  <c r="O80" i="84"/>
  <c r="P80" i="84"/>
  <c r="Q80" i="84"/>
  <c r="R80" i="84"/>
  <c r="S80" i="84"/>
  <c r="T80" i="84"/>
  <c r="U80" i="84"/>
  <c r="V80" i="84"/>
  <c r="W80" i="84"/>
  <c r="X80" i="84"/>
  <c r="Y80" i="84"/>
  <c r="Z80" i="84"/>
  <c r="AA80" i="84"/>
  <c r="D81" i="84"/>
  <c r="E81" i="84"/>
  <c r="F81" i="84"/>
  <c r="G81" i="84"/>
  <c r="H81" i="84"/>
  <c r="I81" i="84"/>
  <c r="J81" i="84"/>
  <c r="K81" i="84"/>
  <c r="L81" i="84"/>
  <c r="M81" i="84"/>
  <c r="N81" i="84"/>
  <c r="O81" i="84"/>
  <c r="P81" i="84"/>
  <c r="Q81" i="84"/>
  <c r="R81" i="84"/>
  <c r="S81" i="84"/>
  <c r="T81" i="84"/>
  <c r="U81" i="84"/>
  <c r="V81" i="84"/>
  <c r="W81" i="84"/>
  <c r="X81" i="84"/>
  <c r="Y81" i="84"/>
  <c r="Z81" i="84"/>
  <c r="AA81" i="84"/>
  <c r="D82" i="84"/>
  <c r="E82" i="84"/>
  <c r="F82" i="84"/>
  <c r="G82" i="84"/>
  <c r="H82" i="84"/>
  <c r="I82" i="84"/>
  <c r="J82" i="84"/>
  <c r="K82" i="84"/>
  <c r="L82" i="84"/>
  <c r="M82" i="84"/>
  <c r="N82" i="84"/>
  <c r="O82" i="84"/>
  <c r="P82" i="84"/>
  <c r="Q82" i="84"/>
  <c r="R82" i="84"/>
  <c r="S82" i="84"/>
  <c r="T82" i="84"/>
  <c r="U82" i="84"/>
  <c r="V82" i="84"/>
  <c r="W82" i="84"/>
  <c r="X82" i="84"/>
  <c r="Y82" i="84"/>
  <c r="Z82" i="84"/>
  <c r="AA82" i="84"/>
  <c r="D83" i="84"/>
  <c r="E83" i="84"/>
  <c r="F83" i="84"/>
  <c r="G83" i="84"/>
  <c r="H83" i="84"/>
  <c r="I83" i="84"/>
  <c r="J83" i="84"/>
  <c r="K83" i="84"/>
  <c r="L83" i="84"/>
  <c r="M83" i="84"/>
  <c r="N83" i="84"/>
  <c r="O83" i="84"/>
  <c r="P83" i="84"/>
  <c r="Q83" i="84"/>
  <c r="R83" i="84"/>
  <c r="S83" i="84"/>
  <c r="T83" i="84"/>
  <c r="U83" i="84"/>
  <c r="V83" i="84"/>
  <c r="W83" i="84"/>
  <c r="X83" i="84"/>
  <c r="Y83" i="84"/>
  <c r="Z83" i="84"/>
  <c r="AA83" i="84"/>
  <c r="D84" i="84"/>
  <c r="E84" i="84"/>
  <c r="F84" i="84"/>
  <c r="G84" i="84"/>
  <c r="H84" i="84"/>
  <c r="I84" i="84"/>
  <c r="J84" i="84"/>
  <c r="K84" i="84"/>
  <c r="L84" i="84"/>
  <c r="M84" i="84"/>
  <c r="N84" i="84"/>
  <c r="O84" i="84"/>
  <c r="P84" i="84"/>
  <c r="Q84" i="84"/>
  <c r="R84" i="84"/>
  <c r="S84" i="84"/>
  <c r="T84" i="84"/>
  <c r="U84" i="84"/>
  <c r="V84" i="84"/>
  <c r="W84" i="84"/>
  <c r="X84" i="84"/>
  <c r="Y84" i="84"/>
  <c r="Z84" i="84"/>
  <c r="AA84" i="84"/>
  <c r="D85" i="84"/>
  <c r="E85" i="84"/>
  <c r="F85" i="84"/>
  <c r="G85" i="84"/>
  <c r="H85" i="84"/>
  <c r="I85" i="84"/>
  <c r="J85" i="84"/>
  <c r="K85" i="84"/>
  <c r="L85" i="84"/>
  <c r="M85" i="84"/>
  <c r="N85" i="84"/>
  <c r="O85" i="84"/>
  <c r="P85" i="84"/>
  <c r="Q85" i="84"/>
  <c r="R85" i="84"/>
  <c r="S85" i="84"/>
  <c r="T85" i="84"/>
  <c r="U85" i="84"/>
  <c r="V85" i="84"/>
  <c r="W85" i="84"/>
  <c r="X85" i="84"/>
  <c r="Y85" i="84"/>
  <c r="Z85" i="84"/>
  <c r="AA85" i="84"/>
  <c r="D86" i="84"/>
  <c r="E86" i="84"/>
  <c r="F86" i="84"/>
  <c r="G86" i="84"/>
  <c r="H86" i="84"/>
  <c r="I86" i="84"/>
  <c r="J86" i="84"/>
  <c r="K86" i="84"/>
  <c r="L86" i="84"/>
  <c r="M86" i="84"/>
  <c r="N86" i="84"/>
  <c r="O86" i="84"/>
  <c r="P86" i="84"/>
  <c r="Q86" i="84"/>
  <c r="R86" i="84"/>
  <c r="S86" i="84"/>
  <c r="T86" i="84"/>
  <c r="U86" i="84"/>
  <c r="V86" i="84"/>
  <c r="W86" i="84"/>
  <c r="X86" i="84"/>
  <c r="Y86" i="84"/>
  <c r="Z86" i="84"/>
  <c r="AA86" i="84"/>
  <c r="D87" i="84"/>
  <c r="E87" i="84"/>
  <c r="F87" i="84"/>
  <c r="G87" i="84"/>
  <c r="H87" i="84"/>
  <c r="I87" i="84"/>
  <c r="J87" i="84"/>
  <c r="K87" i="84"/>
  <c r="L87" i="84"/>
  <c r="M87" i="84"/>
  <c r="N87" i="84"/>
  <c r="O87" i="84"/>
  <c r="P87" i="84"/>
  <c r="Q87" i="84"/>
  <c r="R87" i="84"/>
  <c r="S87" i="84"/>
  <c r="T87" i="84"/>
  <c r="U87" i="84"/>
  <c r="V87" i="84"/>
  <c r="W87" i="84"/>
  <c r="X87" i="84"/>
  <c r="Y87" i="84"/>
  <c r="Z87" i="84"/>
  <c r="AA87" i="84"/>
  <c r="D88" i="84"/>
  <c r="E88" i="84"/>
  <c r="F88" i="84"/>
  <c r="G88" i="84"/>
  <c r="H88" i="84"/>
  <c r="I88" i="84"/>
  <c r="J88" i="84"/>
  <c r="K88" i="84"/>
  <c r="L88" i="84"/>
  <c r="M88" i="84"/>
  <c r="N88" i="84"/>
  <c r="O88" i="84"/>
  <c r="P88" i="84"/>
  <c r="Q88" i="84"/>
  <c r="R88" i="84"/>
  <c r="S88" i="84"/>
  <c r="T88" i="84"/>
  <c r="U88" i="84"/>
  <c r="V88" i="84"/>
  <c r="W88" i="84"/>
  <c r="X88" i="84"/>
  <c r="Y88" i="84"/>
  <c r="Z88" i="84"/>
  <c r="AA88" i="84"/>
  <c r="D89" i="84"/>
  <c r="E89" i="84"/>
  <c r="F89" i="84"/>
  <c r="G89" i="84"/>
  <c r="H89" i="84"/>
  <c r="I89" i="84"/>
  <c r="J89" i="84"/>
  <c r="K89" i="84"/>
  <c r="L89" i="84"/>
  <c r="M89" i="84"/>
  <c r="N89" i="84"/>
  <c r="O89" i="84"/>
  <c r="P89" i="84"/>
  <c r="Q89" i="84"/>
  <c r="R89" i="84"/>
  <c r="S89" i="84"/>
  <c r="T89" i="84"/>
  <c r="U89" i="84"/>
  <c r="V89" i="84"/>
  <c r="W89" i="84"/>
  <c r="X89" i="84"/>
  <c r="Y89" i="84"/>
  <c r="Z89" i="84"/>
  <c r="AA89" i="84"/>
  <c r="D90" i="84"/>
  <c r="E90" i="84"/>
  <c r="F90" i="84"/>
  <c r="G90" i="84"/>
  <c r="H90" i="84"/>
  <c r="I90" i="84"/>
  <c r="J90" i="84"/>
  <c r="K90" i="84"/>
  <c r="L90" i="84"/>
  <c r="M90" i="84"/>
  <c r="N90" i="84"/>
  <c r="O90" i="84"/>
  <c r="P90" i="84"/>
  <c r="Q90" i="84"/>
  <c r="R90" i="84"/>
  <c r="S90" i="84"/>
  <c r="T90" i="84"/>
  <c r="U90" i="84"/>
  <c r="V90" i="84"/>
  <c r="W90" i="84"/>
  <c r="X90" i="84"/>
  <c r="Y90" i="84"/>
  <c r="Z90" i="84"/>
  <c r="AA90" i="84"/>
  <c r="D91" i="84"/>
  <c r="E91" i="84"/>
  <c r="F91" i="84"/>
  <c r="G91" i="84"/>
  <c r="H91" i="84"/>
  <c r="I91" i="84"/>
  <c r="J91" i="84"/>
  <c r="K91" i="84"/>
  <c r="L91" i="84"/>
  <c r="M91" i="84"/>
  <c r="N91" i="84"/>
  <c r="O91" i="84"/>
  <c r="P91" i="84"/>
  <c r="Q91" i="84"/>
  <c r="R91" i="84"/>
  <c r="S91" i="84"/>
  <c r="T91" i="84"/>
  <c r="U91" i="84"/>
  <c r="V91" i="84"/>
  <c r="W91" i="84"/>
  <c r="X91" i="84"/>
  <c r="Y91" i="84"/>
  <c r="Z91" i="84"/>
  <c r="AA91" i="84"/>
  <c r="D92" i="84"/>
  <c r="E92" i="84"/>
  <c r="F92" i="84"/>
  <c r="G92" i="84"/>
  <c r="H92" i="84"/>
  <c r="I92" i="84"/>
  <c r="J92" i="84"/>
  <c r="K92" i="84"/>
  <c r="L92" i="84"/>
  <c r="M92" i="84"/>
  <c r="N92" i="84"/>
  <c r="O92" i="84"/>
  <c r="P92" i="84"/>
  <c r="Q92" i="84"/>
  <c r="R92" i="84"/>
  <c r="S92" i="84"/>
  <c r="T92" i="84"/>
  <c r="U92" i="84"/>
  <c r="V92" i="84"/>
  <c r="W92" i="84"/>
  <c r="X92" i="84"/>
  <c r="Y92" i="84"/>
  <c r="Z92" i="84"/>
  <c r="AA92" i="84"/>
  <c r="D93" i="84"/>
  <c r="E93" i="84"/>
  <c r="F93" i="84"/>
  <c r="G93" i="84"/>
  <c r="H93" i="84"/>
  <c r="I93" i="84"/>
  <c r="J93" i="84"/>
  <c r="K93" i="84"/>
  <c r="L93" i="84"/>
  <c r="M93" i="84"/>
  <c r="N93" i="84"/>
  <c r="O93" i="84"/>
  <c r="P93" i="84"/>
  <c r="Q93" i="84"/>
  <c r="R93" i="84"/>
  <c r="S93" i="84"/>
  <c r="T93" i="84"/>
  <c r="U93" i="84"/>
  <c r="V93" i="84"/>
  <c r="W93" i="84"/>
  <c r="X93" i="84"/>
  <c r="Y93" i="84"/>
  <c r="Z93" i="84"/>
  <c r="AA93" i="84"/>
  <c r="D94" i="84"/>
  <c r="E94" i="84"/>
  <c r="F94" i="84"/>
  <c r="G94" i="84"/>
  <c r="H94" i="84"/>
  <c r="I94" i="84"/>
  <c r="J94" i="84"/>
  <c r="K94" i="84"/>
  <c r="L94" i="84"/>
  <c r="M94" i="84"/>
  <c r="N94" i="84"/>
  <c r="O94" i="84"/>
  <c r="P94" i="84"/>
  <c r="Q94" i="84"/>
  <c r="R94" i="84"/>
  <c r="S94" i="84"/>
  <c r="T94" i="84"/>
  <c r="U94" i="84"/>
  <c r="V94" i="84"/>
  <c r="W94" i="84"/>
  <c r="X94" i="84"/>
  <c r="Y94" i="84"/>
  <c r="Z94" i="84"/>
  <c r="AA94" i="84"/>
  <c r="D95" i="84"/>
  <c r="E95" i="84"/>
  <c r="F95" i="84"/>
  <c r="G95" i="84"/>
  <c r="H95" i="84"/>
  <c r="I95" i="84"/>
  <c r="J95" i="84"/>
  <c r="K95" i="84"/>
  <c r="L95" i="84"/>
  <c r="M95" i="84"/>
  <c r="N95" i="84"/>
  <c r="O95" i="84"/>
  <c r="P95" i="84"/>
  <c r="Q95" i="84"/>
  <c r="R95" i="84"/>
  <c r="S95" i="84"/>
  <c r="T95" i="84"/>
  <c r="U95" i="84"/>
  <c r="V95" i="84"/>
  <c r="W95" i="84"/>
  <c r="X95" i="84"/>
  <c r="Y95" i="84"/>
  <c r="Z95" i="84"/>
  <c r="AA95" i="84"/>
  <c r="D96" i="84"/>
  <c r="E96" i="84"/>
  <c r="F96" i="84"/>
  <c r="G96" i="84"/>
  <c r="H96" i="84"/>
  <c r="I96" i="84"/>
  <c r="J96" i="84"/>
  <c r="K96" i="84"/>
  <c r="L96" i="84"/>
  <c r="M96" i="84"/>
  <c r="N96" i="84"/>
  <c r="O96" i="84"/>
  <c r="P96" i="84"/>
  <c r="Q96" i="84"/>
  <c r="R96" i="84"/>
  <c r="S96" i="84"/>
  <c r="T96" i="84"/>
  <c r="U96" i="84"/>
  <c r="V96" i="84"/>
  <c r="W96" i="84"/>
  <c r="X96" i="84"/>
  <c r="Y96" i="84"/>
  <c r="Z96" i="84"/>
  <c r="AA96" i="84"/>
  <c r="D97" i="84"/>
  <c r="E97" i="84"/>
  <c r="F97" i="84"/>
  <c r="G97" i="84"/>
  <c r="H97" i="84"/>
  <c r="I97" i="84"/>
  <c r="J97" i="84"/>
  <c r="K97" i="84"/>
  <c r="L97" i="84"/>
  <c r="M97" i="84"/>
  <c r="N97" i="84"/>
  <c r="O97" i="84"/>
  <c r="P97" i="84"/>
  <c r="Q97" i="84"/>
  <c r="R97" i="84"/>
  <c r="S97" i="84"/>
  <c r="T97" i="84"/>
  <c r="U97" i="84"/>
  <c r="V97" i="84"/>
  <c r="W97" i="84"/>
  <c r="X97" i="84"/>
  <c r="Y97" i="84"/>
  <c r="Z97" i="84"/>
  <c r="AA97" i="84"/>
  <c r="D98" i="84"/>
  <c r="E98" i="84"/>
  <c r="F98" i="84"/>
  <c r="G98" i="84"/>
  <c r="H98" i="84"/>
  <c r="I98" i="84"/>
  <c r="J98" i="84"/>
  <c r="K98" i="84"/>
  <c r="L98" i="84"/>
  <c r="M98" i="84"/>
  <c r="N98" i="84"/>
  <c r="O98" i="84"/>
  <c r="P98" i="84"/>
  <c r="Q98" i="84"/>
  <c r="R98" i="84"/>
  <c r="S98" i="84"/>
  <c r="T98" i="84"/>
  <c r="U98" i="84"/>
  <c r="V98" i="84"/>
  <c r="W98" i="84"/>
  <c r="X98" i="84"/>
  <c r="Y98" i="84"/>
  <c r="Z98" i="84"/>
  <c r="AA98" i="84"/>
  <c r="D99" i="84"/>
  <c r="E99" i="84"/>
  <c r="F99" i="84"/>
  <c r="G99" i="84"/>
  <c r="H99" i="84"/>
  <c r="I99" i="84"/>
  <c r="J99" i="84"/>
  <c r="K99" i="84"/>
  <c r="L99" i="84"/>
  <c r="M99" i="84"/>
  <c r="N99" i="84"/>
  <c r="O99" i="84"/>
  <c r="P99" i="84"/>
  <c r="Q99" i="84"/>
  <c r="R99" i="84"/>
  <c r="S99" i="84"/>
  <c r="T99" i="84"/>
  <c r="U99" i="84"/>
  <c r="V99" i="84"/>
  <c r="W99" i="84"/>
  <c r="X99" i="84"/>
  <c r="Y99" i="84"/>
  <c r="Z99" i="84"/>
  <c r="AA99" i="84"/>
  <c r="D100" i="84"/>
  <c r="E100" i="84"/>
  <c r="F100" i="84"/>
  <c r="G100" i="84"/>
  <c r="H100" i="84"/>
  <c r="I100" i="84"/>
  <c r="J100" i="84"/>
  <c r="K100" i="84"/>
  <c r="L100" i="84"/>
  <c r="M100" i="84"/>
  <c r="N100" i="84"/>
  <c r="O100" i="84"/>
  <c r="P100" i="84"/>
  <c r="Q100" i="84"/>
  <c r="R100" i="84"/>
  <c r="S100" i="84"/>
  <c r="T100" i="84"/>
  <c r="U100" i="84"/>
  <c r="V100" i="84"/>
  <c r="W100" i="84"/>
  <c r="X100" i="84"/>
  <c r="Y100" i="84"/>
  <c r="Z100" i="84"/>
  <c r="AA100" i="84"/>
  <c r="D101" i="84"/>
  <c r="E101" i="84"/>
  <c r="F101" i="84"/>
  <c r="G101" i="84"/>
  <c r="H101" i="84"/>
  <c r="I101" i="84"/>
  <c r="J101" i="84"/>
  <c r="K101" i="84"/>
  <c r="L101" i="84"/>
  <c r="M101" i="84"/>
  <c r="N101" i="84"/>
  <c r="O101" i="84"/>
  <c r="P101" i="84"/>
  <c r="Q101" i="84"/>
  <c r="R101" i="84"/>
  <c r="S101" i="84"/>
  <c r="T101" i="84"/>
  <c r="U101" i="84"/>
  <c r="V101" i="84"/>
  <c r="W101" i="84"/>
  <c r="X101" i="84"/>
  <c r="Y101" i="84"/>
  <c r="Z101" i="84"/>
  <c r="AA101" i="84"/>
  <c r="D102" i="84"/>
  <c r="E102" i="84"/>
  <c r="F102" i="84"/>
  <c r="G102" i="84"/>
  <c r="H102" i="84"/>
  <c r="I102" i="84"/>
  <c r="J102" i="84"/>
  <c r="K102" i="84"/>
  <c r="L102" i="84"/>
  <c r="M102" i="84"/>
  <c r="N102" i="84"/>
  <c r="O102" i="84"/>
  <c r="P102" i="84"/>
  <c r="Q102" i="84"/>
  <c r="R102" i="84"/>
  <c r="S102" i="84"/>
  <c r="T102" i="84"/>
  <c r="U102" i="84"/>
  <c r="V102" i="84"/>
  <c r="W102" i="84"/>
  <c r="X102" i="84"/>
  <c r="Y102" i="84"/>
  <c r="Z102" i="84"/>
  <c r="AA102" i="84"/>
  <c r="D103" i="84"/>
  <c r="E103" i="84"/>
  <c r="F103" i="84"/>
  <c r="G103" i="84"/>
  <c r="H103" i="84"/>
  <c r="I103" i="84"/>
  <c r="J103" i="84"/>
  <c r="K103" i="84"/>
  <c r="L103" i="84"/>
  <c r="M103" i="84"/>
  <c r="N103" i="84"/>
  <c r="O103" i="84"/>
  <c r="P103" i="84"/>
  <c r="Q103" i="84"/>
  <c r="R103" i="84"/>
  <c r="S103" i="84"/>
  <c r="T103" i="84"/>
  <c r="U103" i="84"/>
  <c r="V103" i="84"/>
  <c r="W103" i="84"/>
  <c r="X103" i="84"/>
  <c r="Y103" i="84"/>
  <c r="Z103" i="84"/>
  <c r="AA103" i="84"/>
  <c r="D104" i="84"/>
  <c r="E104" i="84"/>
  <c r="F104" i="84"/>
  <c r="G104" i="84"/>
  <c r="H104" i="84"/>
  <c r="I104" i="84"/>
  <c r="J104" i="84"/>
  <c r="K104" i="84"/>
  <c r="L104" i="84"/>
  <c r="M104" i="84"/>
  <c r="N104" i="84"/>
  <c r="O104" i="84"/>
  <c r="P104" i="84"/>
  <c r="Q104" i="84"/>
  <c r="R104" i="84"/>
  <c r="S104" i="84"/>
  <c r="T104" i="84"/>
  <c r="U104" i="84"/>
  <c r="V104" i="84"/>
  <c r="W104" i="84"/>
  <c r="X104" i="84"/>
  <c r="Y104" i="84"/>
  <c r="Z104" i="84"/>
  <c r="AA104" i="84"/>
  <c r="D105" i="84"/>
  <c r="E105" i="84"/>
  <c r="F105" i="84"/>
  <c r="G105" i="84"/>
  <c r="H105" i="84"/>
  <c r="I105" i="84"/>
  <c r="J105" i="84"/>
  <c r="K105" i="84"/>
  <c r="L105" i="84"/>
  <c r="M105" i="84"/>
  <c r="N105" i="84"/>
  <c r="O105" i="84"/>
  <c r="P105" i="84"/>
  <c r="Q105" i="84"/>
  <c r="R105" i="84"/>
  <c r="S105" i="84"/>
  <c r="T105" i="84"/>
  <c r="U105" i="84"/>
  <c r="V105" i="84"/>
  <c r="W105" i="84"/>
  <c r="X105" i="84"/>
  <c r="Y105" i="84"/>
  <c r="Z105" i="84"/>
  <c r="AA105" i="84"/>
  <c r="D106" i="84"/>
  <c r="E106" i="84"/>
  <c r="F106" i="84"/>
  <c r="G106" i="84"/>
  <c r="H106" i="84"/>
  <c r="I106" i="84"/>
  <c r="J106" i="84"/>
  <c r="K106" i="84"/>
  <c r="L106" i="84"/>
  <c r="M106" i="84"/>
  <c r="N106" i="84"/>
  <c r="O106" i="84"/>
  <c r="P106" i="84"/>
  <c r="Q106" i="84"/>
  <c r="R106" i="84"/>
  <c r="S106" i="84"/>
  <c r="T106" i="84"/>
  <c r="U106" i="84"/>
  <c r="V106" i="84"/>
  <c r="W106" i="84"/>
  <c r="X106" i="84"/>
  <c r="Y106" i="84"/>
  <c r="Z106" i="84"/>
  <c r="AA106" i="84"/>
  <c r="D107" i="84"/>
  <c r="E107" i="84"/>
  <c r="F107" i="84"/>
  <c r="G107" i="84"/>
  <c r="H107" i="84"/>
  <c r="I107" i="84"/>
  <c r="J107" i="84"/>
  <c r="K107" i="84"/>
  <c r="L107" i="84"/>
  <c r="M107" i="84"/>
  <c r="N107" i="84"/>
  <c r="O107" i="84"/>
  <c r="P107" i="84"/>
  <c r="Q107" i="84"/>
  <c r="R107" i="84"/>
  <c r="S107" i="84"/>
  <c r="T107" i="84"/>
  <c r="U107" i="84"/>
  <c r="V107" i="84"/>
  <c r="W107" i="84"/>
  <c r="X107" i="84"/>
  <c r="Y107" i="84"/>
  <c r="Z107" i="84"/>
  <c r="AA107" i="84"/>
  <c r="D108" i="84"/>
  <c r="E108" i="84"/>
  <c r="F108" i="84"/>
  <c r="G108" i="84"/>
  <c r="H108" i="84"/>
  <c r="I108" i="84"/>
  <c r="J108" i="84"/>
  <c r="K108" i="84"/>
  <c r="L108" i="84"/>
  <c r="M108" i="84"/>
  <c r="N108" i="84"/>
  <c r="O108" i="84"/>
  <c r="P108" i="84"/>
  <c r="Q108" i="84"/>
  <c r="R108" i="84"/>
  <c r="S108" i="84"/>
  <c r="T108" i="84"/>
  <c r="U108" i="84"/>
  <c r="V108" i="84"/>
  <c r="W108" i="84"/>
  <c r="X108" i="84"/>
  <c r="Y108" i="84"/>
  <c r="Z108" i="84"/>
  <c r="AA108" i="84"/>
  <c r="D109" i="84"/>
  <c r="E109" i="84"/>
  <c r="F109" i="84"/>
  <c r="G109" i="84"/>
  <c r="H109" i="84"/>
  <c r="I109" i="84"/>
  <c r="J109" i="84"/>
  <c r="K109" i="84"/>
  <c r="L109" i="84"/>
  <c r="M109" i="84"/>
  <c r="N109" i="84"/>
  <c r="O109" i="84"/>
  <c r="P109" i="84"/>
  <c r="Q109" i="84"/>
  <c r="R109" i="84"/>
  <c r="S109" i="84"/>
  <c r="T109" i="84"/>
  <c r="U109" i="84"/>
  <c r="V109" i="84"/>
  <c r="W109" i="84"/>
  <c r="X109" i="84"/>
  <c r="Y109" i="84"/>
  <c r="Z109" i="84"/>
  <c r="AA109" i="84"/>
  <c r="D110" i="84"/>
  <c r="E110" i="84"/>
  <c r="F110" i="84"/>
  <c r="G110" i="84"/>
  <c r="H110" i="84"/>
  <c r="I110" i="84"/>
  <c r="J110" i="84"/>
  <c r="K110" i="84"/>
  <c r="L110" i="84"/>
  <c r="M110" i="84"/>
  <c r="N110" i="84"/>
  <c r="O110" i="84"/>
  <c r="P110" i="84"/>
  <c r="Q110" i="84"/>
  <c r="R110" i="84"/>
  <c r="S110" i="84"/>
  <c r="T110" i="84"/>
  <c r="U110" i="84"/>
  <c r="V110" i="84"/>
  <c r="W110" i="84"/>
  <c r="X110" i="84"/>
  <c r="Y110" i="84"/>
  <c r="Z110" i="84"/>
  <c r="AA110" i="84"/>
  <c r="D111" i="84"/>
  <c r="E111" i="84"/>
  <c r="F111" i="84"/>
  <c r="G111" i="84"/>
  <c r="H111" i="84"/>
  <c r="I111" i="84"/>
  <c r="J111" i="84"/>
  <c r="K111" i="84"/>
  <c r="L111" i="84"/>
  <c r="M111" i="84"/>
  <c r="N111" i="84"/>
  <c r="O111" i="84"/>
  <c r="P111" i="84"/>
  <c r="Q111" i="84"/>
  <c r="R111" i="84"/>
  <c r="S111" i="84"/>
  <c r="T111" i="84"/>
  <c r="U111" i="84"/>
  <c r="V111" i="84"/>
  <c r="W111" i="84"/>
  <c r="X111" i="84"/>
  <c r="Y111" i="84"/>
  <c r="Z111" i="84"/>
  <c r="AA111" i="84"/>
  <c r="D112" i="84"/>
  <c r="E112" i="84"/>
  <c r="F112" i="84"/>
  <c r="G112" i="84"/>
  <c r="H112" i="84"/>
  <c r="I112" i="84"/>
  <c r="J112" i="84"/>
  <c r="K112" i="84"/>
  <c r="L112" i="84"/>
  <c r="M112" i="84"/>
  <c r="N112" i="84"/>
  <c r="O112" i="84"/>
  <c r="P112" i="84"/>
  <c r="Q112" i="84"/>
  <c r="R112" i="84"/>
  <c r="S112" i="84"/>
  <c r="T112" i="84"/>
  <c r="U112" i="84"/>
  <c r="V112" i="84"/>
  <c r="W112" i="84"/>
  <c r="X112" i="84"/>
  <c r="Y112" i="84"/>
  <c r="Z112" i="84"/>
  <c r="AA112" i="84"/>
  <c r="D113" i="84"/>
  <c r="E113" i="84"/>
  <c r="F113" i="84"/>
  <c r="G113" i="84"/>
  <c r="H113" i="84"/>
  <c r="I113" i="84"/>
  <c r="J113" i="84"/>
  <c r="K113" i="84"/>
  <c r="L113" i="84"/>
  <c r="M113" i="84"/>
  <c r="N113" i="84"/>
  <c r="O113" i="84"/>
  <c r="P113" i="84"/>
  <c r="Q113" i="84"/>
  <c r="R113" i="84"/>
  <c r="S113" i="84"/>
  <c r="T113" i="84"/>
  <c r="U113" i="84"/>
  <c r="V113" i="84"/>
  <c r="W113" i="84"/>
  <c r="X113" i="84"/>
  <c r="Y113" i="84"/>
  <c r="Z113" i="84"/>
  <c r="AA113" i="84"/>
  <c r="D114" i="84"/>
  <c r="E114" i="84"/>
  <c r="F114" i="84"/>
  <c r="G114" i="84"/>
  <c r="H114" i="84"/>
  <c r="I114" i="84"/>
  <c r="J114" i="84"/>
  <c r="K114" i="84"/>
  <c r="L114" i="84"/>
  <c r="M114" i="84"/>
  <c r="N114" i="84"/>
  <c r="O114" i="84"/>
  <c r="P114" i="84"/>
  <c r="Q114" i="84"/>
  <c r="R114" i="84"/>
  <c r="S114" i="84"/>
  <c r="T114" i="84"/>
  <c r="U114" i="84"/>
  <c r="V114" i="84"/>
  <c r="W114" i="84"/>
  <c r="X114" i="84"/>
  <c r="Y114" i="84"/>
  <c r="Z114" i="84"/>
  <c r="AA114" i="84"/>
  <c r="D115" i="84"/>
  <c r="E115" i="84"/>
  <c r="F115" i="84"/>
  <c r="G115" i="84"/>
  <c r="H115" i="84"/>
  <c r="I115" i="84"/>
  <c r="J115" i="84"/>
  <c r="K115" i="84"/>
  <c r="L115" i="84"/>
  <c r="M115" i="84"/>
  <c r="N115" i="84"/>
  <c r="O115" i="84"/>
  <c r="P115" i="84"/>
  <c r="Q115" i="84"/>
  <c r="R115" i="84"/>
  <c r="S115" i="84"/>
  <c r="T115" i="84"/>
  <c r="U115" i="84"/>
  <c r="V115" i="84"/>
  <c r="W115" i="84"/>
  <c r="X115" i="84"/>
  <c r="Y115" i="84"/>
  <c r="Z115" i="84"/>
  <c r="AA115" i="84"/>
  <c r="D116" i="84"/>
  <c r="E116" i="84"/>
  <c r="F116" i="84"/>
  <c r="G116" i="84"/>
  <c r="H116" i="84"/>
  <c r="I116" i="84"/>
  <c r="J116" i="84"/>
  <c r="K116" i="84"/>
  <c r="L116" i="84"/>
  <c r="M116" i="84"/>
  <c r="N116" i="84"/>
  <c r="O116" i="84"/>
  <c r="P116" i="84"/>
  <c r="Q116" i="84"/>
  <c r="R116" i="84"/>
  <c r="S116" i="84"/>
  <c r="T116" i="84"/>
  <c r="U116" i="84"/>
  <c r="V116" i="84"/>
  <c r="W116" i="84"/>
  <c r="X116" i="84"/>
  <c r="Y116" i="84"/>
  <c r="Z116" i="84"/>
  <c r="AA116" i="84"/>
  <c r="D117" i="84"/>
  <c r="E117" i="84"/>
  <c r="F117" i="84"/>
  <c r="G117" i="84"/>
  <c r="H117" i="84"/>
  <c r="I117" i="84"/>
  <c r="J117" i="84"/>
  <c r="K117" i="84"/>
  <c r="L117" i="84"/>
  <c r="M117" i="84"/>
  <c r="N117" i="84"/>
  <c r="O117" i="84"/>
  <c r="P117" i="84"/>
  <c r="Q117" i="84"/>
  <c r="R117" i="84"/>
  <c r="S117" i="84"/>
  <c r="T117" i="84"/>
  <c r="U117" i="84"/>
  <c r="V117" i="84"/>
  <c r="W117" i="84"/>
  <c r="X117" i="84"/>
  <c r="Y117" i="84"/>
  <c r="Z117" i="84"/>
  <c r="AA117" i="84"/>
  <c r="D118" i="84"/>
  <c r="E118" i="84"/>
  <c r="F118" i="84"/>
  <c r="G118" i="84"/>
  <c r="H118" i="84"/>
  <c r="I118" i="84"/>
  <c r="J118" i="84"/>
  <c r="K118" i="84"/>
  <c r="L118" i="84"/>
  <c r="M118" i="84"/>
  <c r="N118" i="84"/>
  <c r="O118" i="84"/>
  <c r="P118" i="84"/>
  <c r="Q118" i="84"/>
  <c r="R118" i="84"/>
  <c r="S118" i="84"/>
  <c r="T118" i="84"/>
  <c r="U118" i="84"/>
  <c r="V118" i="84"/>
  <c r="W118" i="84"/>
  <c r="X118" i="84"/>
  <c r="Y118" i="84"/>
  <c r="Z118" i="84"/>
  <c r="AA118" i="84"/>
  <c r="D119" i="84"/>
  <c r="E119" i="84"/>
  <c r="F119" i="84"/>
  <c r="G119" i="84"/>
  <c r="H119" i="84"/>
  <c r="I119" i="84"/>
  <c r="J119" i="84"/>
  <c r="K119" i="84"/>
  <c r="L119" i="84"/>
  <c r="M119" i="84"/>
  <c r="N119" i="84"/>
  <c r="O119" i="84"/>
  <c r="P119" i="84"/>
  <c r="Q119" i="84"/>
  <c r="R119" i="84"/>
  <c r="S119" i="84"/>
  <c r="T119" i="84"/>
  <c r="U119" i="84"/>
  <c r="V119" i="84"/>
  <c r="W119" i="84"/>
  <c r="X119" i="84"/>
  <c r="Y119" i="84"/>
  <c r="Z119" i="84"/>
  <c r="AA119" i="84"/>
  <c r="D120" i="84"/>
  <c r="E120" i="84"/>
  <c r="F120" i="84"/>
  <c r="G120" i="84"/>
  <c r="H120" i="84"/>
  <c r="I120" i="84"/>
  <c r="J120" i="84"/>
  <c r="K120" i="84"/>
  <c r="L120" i="84"/>
  <c r="M120" i="84"/>
  <c r="N120" i="84"/>
  <c r="O120" i="84"/>
  <c r="P120" i="84"/>
  <c r="Q120" i="84"/>
  <c r="R120" i="84"/>
  <c r="S120" i="84"/>
  <c r="T120" i="84"/>
  <c r="U120" i="84"/>
  <c r="V120" i="84"/>
  <c r="W120" i="84"/>
  <c r="X120" i="84"/>
  <c r="Y120" i="84"/>
  <c r="Z120" i="84"/>
  <c r="AA120" i="84"/>
  <c r="D121" i="84"/>
  <c r="E121" i="84"/>
  <c r="F121" i="84"/>
  <c r="G121" i="84"/>
  <c r="H121" i="84"/>
  <c r="I121" i="84"/>
  <c r="J121" i="84"/>
  <c r="K121" i="84"/>
  <c r="L121" i="84"/>
  <c r="M121" i="84"/>
  <c r="N121" i="84"/>
  <c r="O121" i="84"/>
  <c r="P121" i="84"/>
  <c r="Q121" i="84"/>
  <c r="R121" i="84"/>
  <c r="S121" i="84"/>
  <c r="T121" i="84"/>
  <c r="U121" i="84"/>
  <c r="V121" i="84"/>
  <c r="W121" i="84"/>
  <c r="X121" i="84"/>
  <c r="Y121" i="84"/>
  <c r="Z121" i="84"/>
  <c r="AA121" i="84"/>
  <c r="D122" i="84"/>
  <c r="E122" i="84"/>
  <c r="F122" i="84"/>
  <c r="G122" i="84"/>
  <c r="H122" i="84"/>
  <c r="I122" i="84"/>
  <c r="J122" i="84"/>
  <c r="K122" i="84"/>
  <c r="L122" i="84"/>
  <c r="M122" i="84"/>
  <c r="N122" i="84"/>
  <c r="O122" i="84"/>
  <c r="P122" i="84"/>
  <c r="Q122" i="84"/>
  <c r="R122" i="84"/>
  <c r="S122" i="84"/>
  <c r="T122" i="84"/>
  <c r="U122" i="84"/>
  <c r="V122" i="84"/>
  <c r="W122" i="84"/>
  <c r="X122" i="84"/>
  <c r="Y122" i="84"/>
  <c r="Z122" i="84"/>
  <c r="AA122" i="84"/>
  <c r="D123" i="84"/>
  <c r="E123" i="84"/>
  <c r="F123" i="84"/>
  <c r="G123" i="84"/>
  <c r="H123" i="84"/>
  <c r="I123" i="84"/>
  <c r="J123" i="84"/>
  <c r="K123" i="84"/>
  <c r="L123" i="84"/>
  <c r="M123" i="84"/>
  <c r="N123" i="84"/>
  <c r="O123" i="84"/>
  <c r="P123" i="84"/>
  <c r="Q123" i="84"/>
  <c r="R123" i="84"/>
  <c r="S123" i="84"/>
  <c r="T123" i="84"/>
  <c r="U123" i="84"/>
  <c r="V123" i="84"/>
  <c r="W123" i="84"/>
  <c r="X123" i="84"/>
  <c r="Y123" i="84"/>
  <c r="Z123" i="84"/>
  <c r="AA123" i="84"/>
  <c r="D124" i="84"/>
  <c r="E124" i="84"/>
  <c r="F124" i="84"/>
  <c r="G124" i="84"/>
  <c r="H124" i="84"/>
  <c r="I124" i="84"/>
  <c r="J124" i="84"/>
  <c r="K124" i="84"/>
  <c r="L124" i="84"/>
  <c r="M124" i="84"/>
  <c r="N124" i="84"/>
  <c r="O124" i="84"/>
  <c r="P124" i="84"/>
  <c r="Q124" i="84"/>
  <c r="R124" i="84"/>
  <c r="S124" i="84"/>
  <c r="T124" i="84"/>
  <c r="U124" i="84"/>
  <c r="V124" i="84"/>
  <c r="W124" i="84"/>
  <c r="X124" i="84"/>
  <c r="Y124" i="84"/>
  <c r="Z124" i="84"/>
  <c r="AA124" i="84"/>
  <c r="D125" i="84"/>
  <c r="E125" i="84"/>
  <c r="F125" i="84"/>
  <c r="G125" i="84"/>
  <c r="H125" i="84"/>
  <c r="I125" i="84"/>
  <c r="J125" i="84"/>
  <c r="K125" i="84"/>
  <c r="L125" i="84"/>
  <c r="M125" i="84"/>
  <c r="N125" i="84"/>
  <c r="O125" i="84"/>
  <c r="P125" i="84"/>
  <c r="Q125" i="84"/>
  <c r="R125" i="84"/>
  <c r="S125" i="84"/>
  <c r="T125" i="84"/>
  <c r="U125" i="84"/>
  <c r="V125" i="84"/>
  <c r="W125" i="84"/>
  <c r="X125" i="84"/>
  <c r="Y125" i="84"/>
  <c r="Z125" i="84"/>
  <c r="AA125" i="84"/>
  <c r="D126" i="84"/>
  <c r="E126" i="84"/>
  <c r="F126" i="84"/>
  <c r="G126" i="84"/>
  <c r="H126" i="84"/>
  <c r="I126" i="84"/>
  <c r="J126" i="84"/>
  <c r="K126" i="84"/>
  <c r="L126" i="84"/>
  <c r="M126" i="84"/>
  <c r="N126" i="84"/>
  <c r="O126" i="84"/>
  <c r="P126" i="84"/>
  <c r="Q126" i="84"/>
  <c r="R126" i="84"/>
  <c r="S126" i="84"/>
  <c r="T126" i="84"/>
  <c r="U126" i="84"/>
  <c r="V126" i="84"/>
  <c r="W126" i="84"/>
  <c r="X126" i="84"/>
  <c r="Y126" i="84"/>
  <c r="Z126" i="84"/>
  <c r="AA126" i="84"/>
  <c r="D127" i="84"/>
  <c r="E127" i="84"/>
  <c r="F127" i="84"/>
  <c r="G127" i="84"/>
  <c r="H127" i="84"/>
  <c r="I127" i="84"/>
  <c r="J127" i="84"/>
  <c r="K127" i="84"/>
  <c r="L127" i="84"/>
  <c r="M127" i="84"/>
  <c r="N127" i="84"/>
  <c r="O127" i="84"/>
  <c r="P127" i="84"/>
  <c r="Q127" i="84"/>
  <c r="R127" i="84"/>
  <c r="S127" i="84"/>
  <c r="T127" i="84"/>
  <c r="U127" i="84"/>
  <c r="V127" i="84"/>
  <c r="W127" i="84"/>
  <c r="X127" i="84"/>
  <c r="Y127" i="84"/>
  <c r="Z127" i="84"/>
  <c r="AA127" i="84"/>
  <c r="D128" i="84"/>
  <c r="E128" i="84"/>
  <c r="F128" i="84"/>
  <c r="G128" i="84"/>
  <c r="H128" i="84"/>
  <c r="I128" i="84"/>
  <c r="J128" i="84"/>
  <c r="K128" i="84"/>
  <c r="L128" i="84"/>
  <c r="M128" i="84"/>
  <c r="N128" i="84"/>
  <c r="O128" i="84"/>
  <c r="P128" i="84"/>
  <c r="Q128" i="84"/>
  <c r="R128" i="84"/>
  <c r="S128" i="84"/>
  <c r="T128" i="84"/>
  <c r="U128" i="84"/>
  <c r="V128" i="84"/>
  <c r="W128" i="84"/>
  <c r="X128" i="84"/>
  <c r="Y128" i="84"/>
  <c r="Z128" i="84"/>
  <c r="AA128" i="84"/>
  <c r="D129" i="84"/>
  <c r="E129" i="84"/>
  <c r="F129" i="84"/>
  <c r="G129" i="84"/>
  <c r="H129" i="84"/>
  <c r="I129" i="84"/>
  <c r="J129" i="84"/>
  <c r="K129" i="84"/>
  <c r="L129" i="84"/>
  <c r="M129" i="84"/>
  <c r="N129" i="84"/>
  <c r="O129" i="84"/>
  <c r="P129" i="84"/>
  <c r="Q129" i="84"/>
  <c r="R129" i="84"/>
  <c r="S129" i="84"/>
  <c r="T129" i="84"/>
  <c r="U129" i="84"/>
  <c r="V129" i="84"/>
  <c r="W129" i="84"/>
  <c r="X129" i="84"/>
  <c r="Y129" i="84"/>
  <c r="Z129" i="84"/>
  <c r="AA129" i="84"/>
  <c r="D130" i="84"/>
  <c r="E130" i="84"/>
  <c r="F130" i="84"/>
  <c r="G130" i="84"/>
  <c r="H130" i="84"/>
  <c r="I130" i="84"/>
  <c r="J130" i="84"/>
  <c r="K130" i="84"/>
  <c r="L130" i="84"/>
  <c r="M130" i="84"/>
  <c r="N130" i="84"/>
  <c r="O130" i="84"/>
  <c r="P130" i="84"/>
  <c r="Q130" i="84"/>
  <c r="R130" i="84"/>
  <c r="S130" i="84"/>
  <c r="T130" i="84"/>
  <c r="U130" i="84"/>
  <c r="V130" i="84"/>
  <c r="W130" i="84"/>
  <c r="X130" i="84"/>
  <c r="Y130" i="84"/>
  <c r="Z130" i="84"/>
  <c r="AA130" i="84"/>
  <c r="D131" i="84"/>
  <c r="E131" i="84"/>
  <c r="F131" i="84"/>
  <c r="G131" i="84"/>
  <c r="H131" i="84"/>
  <c r="I131" i="84"/>
  <c r="J131" i="84"/>
  <c r="K131" i="84"/>
  <c r="L131" i="84"/>
  <c r="M131" i="84"/>
  <c r="N131" i="84"/>
  <c r="O131" i="84"/>
  <c r="P131" i="84"/>
  <c r="Q131" i="84"/>
  <c r="R131" i="84"/>
  <c r="S131" i="84"/>
  <c r="T131" i="84"/>
  <c r="U131" i="84"/>
  <c r="V131" i="84"/>
  <c r="W131" i="84"/>
  <c r="X131" i="84"/>
  <c r="Y131" i="84"/>
  <c r="Z131" i="84"/>
  <c r="AA131" i="84"/>
  <c r="D132" i="84"/>
  <c r="E132" i="84"/>
  <c r="F132" i="84"/>
  <c r="G132" i="84"/>
  <c r="H132" i="84"/>
  <c r="I132" i="84"/>
  <c r="J132" i="84"/>
  <c r="K132" i="84"/>
  <c r="L132" i="84"/>
  <c r="M132" i="84"/>
  <c r="N132" i="84"/>
  <c r="O132" i="84"/>
  <c r="P132" i="84"/>
  <c r="Q132" i="84"/>
  <c r="R132" i="84"/>
  <c r="S132" i="84"/>
  <c r="T132" i="84"/>
  <c r="U132" i="84"/>
  <c r="V132" i="84"/>
  <c r="W132" i="84"/>
  <c r="X132" i="84"/>
  <c r="Y132" i="84"/>
  <c r="Z132" i="84"/>
  <c r="AA132" i="84"/>
  <c r="D133" i="84"/>
  <c r="E133" i="84"/>
  <c r="F133" i="84"/>
  <c r="G133" i="84"/>
  <c r="H133" i="84"/>
  <c r="I133" i="84"/>
  <c r="J133" i="84"/>
  <c r="K133" i="84"/>
  <c r="L133" i="84"/>
  <c r="M133" i="84"/>
  <c r="N133" i="84"/>
  <c r="O133" i="84"/>
  <c r="P133" i="84"/>
  <c r="Q133" i="84"/>
  <c r="R133" i="84"/>
  <c r="S133" i="84"/>
  <c r="T133" i="84"/>
  <c r="U133" i="84"/>
  <c r="V133" i="84"/>
  <c r="W133" i="84"/>
  <c r="X133" i="84"/>
  <c r="Y133" i="84"/>
  <c r="Z133" i="84"/>
  <c r="AA133" i="84"/>
  <c r="D134" i="84"/>
  <c r="E134" i="84"/>
  <c r="F134" i="84"/>
  <c r="G134" i="84"/>
  <c r="H134" i="84"/>
  <c r="I134" i="84"/>
  <c r="J134" i="84"/>
  <c r="K134" i="84"/>
  <c r="L134" i="84"/>
  <c r="M134" i="84"/>
  <c r="N134" i="84"/>
  <c r="O134" i="84"/>
  <c r="P134" i="84"/>
  <c r="Q134" i="84"/>
  <c r="R134" i="84"/>
  <c r="S134" i="84"/>
  <c r="T134" i="84"/>
  <c r="U134" i="84"/>
  <c r="V134" i="84"/>
  <c r="W134" i="84"/>
  <c r="X134" i="84"/>
  <c r="Y134" i="84"/>
  <c r="Z134" i="84"/>
  <c r="AA134" i="84"/>
  <c r="D135" i="84"/>
  <c r="E135" i="84"/>
  <c r="F135" i="84"/>
  <c r="G135" i="84"/>
  <c r="H135" i="84"/>
  <c r="I135" i="84"/>
  <c r="J135" i="84"/>
  <c r="K135" i="84"/>
  <c r="L135" i="84"/>
  <c r="M135" i="84"/>
  <c r="N135" i="84"/>
  <c r="O135" i="84"/>
  <c r="P135" i="84"/>
  <c r="Q135" i="84"/>
  <c r="R135" i="84"/>
  <c r="S135" i="84"/>
  <c r="T135" i="84"/>
  <c r="U135" i="84"/>
  <c r="V135" i="84"/>
  <c r="W135" i="84"/>
  <c r="X135" i="84"/>
  <c r="Y135" i="84"/>
  <c r="Z135" i="84"/>
  <c r="AA135" i="84"/>
  <c r="D136" i="84"/>
  <c r="E136" i="84"/>
  <c r="F136" i="84"/>
  <c r="G136" i="84"/>
  <c r="H136" i="84"/>
  <c r="I136" i="84"/>
  <c r="J136" i="84"/>
  <c r="K136" i="84"/>
  <c r="L136" i="84"/>
  <c r="M136" i="84"/>
  <c r="N136" i="84"/>
  <c r="O136" i="84"/>
  <c r="P136" i="84"/>
  <c r="Q136" i="84"/>
  <c r="R136" i="84"/>
  <c r="S136" i="84"/>
  <c r="T136" i="84"/>
  <c r="U136" i="84"/>
  <c r="V136" i="84"/>
  <c r="W136" i="84"/>
  <c r="X136" i="84"/>
  <c r="Y136" i="84"/>
  <c r="Z136" i="84"/>
  <c r="AA136" i="84"/>
  <c r="D137" i="84"/>
  <c r="E137" i="84"/>
  <c r="F137" i="84"/>
  <c r="G137" i="84"/>
  <c r="H137" i="84"/>
  <c r="I137" i="84"/>
  <c r="J137" i="84"/>
  <c r="K137" i="84"/>
  <c r="L137" i="84"/>
  <c r="M137" i="84"/>
  <c r="N137" i="84"/>
  <c r="O137" i="84"/>
  <c r="P137" i="84"/>
  <c r="Q137" i="84"/>
  <c r="R137" i="84"/>
  <c r="S137" i="84"/>
  <c r="T137" i="84"/>
  <c r="U137" i="84"/>
  <c r="V137" i="84"/>
  <c r="W137" i="84"/>
  <c r="X137" i="84"/>
  <c r="Y137" i="84"/>
  <c r="Z137" i="84"/>
  <c r="AA137" i="84"/>
  <c r="D138" i="84"/>
  <c r="E138" i="84"/>
  <c r="F138" i="84"/>
  <c r="G138" i="84"/>
  <c r="H138" i="84"/>
  <c r="I138" i="84"/>
  <c r="J138" i="84"/>
  <c r="K138" i="84"/>
  <c r="L138" i="84"/>
  <c r="M138" i="84"/>
  <c r="N138" i="84"/>
  <c r="O138" i="84"/>
  <c r="P138" i="84"/>
  <c r="Q138" i="84"/>
  <c r="R138" i="84"/>
  <c r="S138" i="84"/>
  <c r="T138" i="84"/>
  <c r="U138" i="84"/>
  <c r="V138" i="84"/>
  <c r="W138" i="84"/>
  <c r="X138" i="84"/>
  <c r="Y138" i="84"/>
  <c r="Z138" i="84"/>
  <c r="AA138" i="84"/>
  <c r="D139" i="84"/>
  <c r="E139" i="84"/>
  <c r="F139" i="84"/>
  <c r="G139" i="84"/>
  <c r="H139" i="84"/>
  <c r="I139" i="84"/>
  <c r="J139" i="84"/>
  <c r="K139" i="84"/>
  <c r="L139" i="84"/>
  <c r="M139" i="84"/>
  <c r="N139" i="84"/>
  <c r="O139" i="84"/>
  <c r="P139" i="84"/>
  <c r="Q139" i="84"/>
  <c r="R139" i="84"/>
  <c r="S139" i="84"/>
  <c r="T139" i="84"/>
  <c r="U139" i="84"/>
  <c r="V139" i="84"/>
  <c r="W139" i="84"/>
  <c r="X139" i="84"/>
  <c r="Y139" i="84"/>
  <c r="Z139" i="84"/>
  <c r="AA139" i="84"/>
  <c r="D140" i="84"/>
  <c r="E140" i="84"/>
  <c r="F140" i="84"/>
  <c r="G140" i="84"/>
  <c r="H140" i="84"/>
  <c r="I140" i="84"/>
  <c r="J140" i="84"/>
  <c r="K140" i="84"/>
  <c r="L140" i="84"/>
  <c r="M140" i="84"/>
  <c r="N140" i="84"/>
  <c r="O140" i="84"/>
  <c r="P140" i="84"/>
  <c r="Q140" i="84"/>
  <c r="R140" i="84"/>
  <c r="S140" i="84"/>
  <c r="T140" i="84"/>
  <c r="U140" i="84"/>
  <c r="V140" i="84"/>
  <c r="W140" i="84"/>
  <c r="X140" i="84"/>
  <c r="Y140" i="84"/>
  <c r="Z140" i="84"/>
  <c r="AA140" i="84"/>
  <c r="D141" i="84"/>
  <c r="E141" i="84"/>
  <c r="F141" i="84"/>
  <c r="G141" i="84"/>
  <c r="H141" i="84"/>
  <c r="I141" i="84"/>
  <c r="J141" i="84"/>
  <c r="K141" i="84"/>
  <c r="L141" i="84"/>
  <c r="M141" i="84"/>
  <c r="N141" i="84"/>
  <c r="O141" i="84"/>
  <c r="P141" i="84"/>
  <c r="Q141" i="84"/>
  <c r="R141" i="84"/>
  <c r="S141" i="84"/>
  <c r="T141" i="84"/>
  <c r="U141" i="84"/>
  <c r="V141" i="84"/>
  <c r="W141" i="84"/>
  <c r="X141" i="84"/>
  <c r="Y141" i="84"/>
  <c r="Z141" i="84"/>
  <c r="AA141" i="84"/>
  <c r="D142" i="84"/>
  <c r="E142" i="84"/>
  <c r="F142" i="84"/>
  <c r="G142" i="84"/>
  <c r="H142" i="84"/>
  <c r="I142" i="84"/>
  <c r="J142" i="84"/>
  <c r="K142" i="84"/>
  <c r="L142" i="84"/>
  <c r="M142" i="84"/>
  <c r="N142" i="84"/>
  <c r="O142" i="84"/>
  <c r="P142" i="84"/>
  <c r="Q142" i="84"/>
  <c r="R142" i="84"/>
  <c r="S142" i="84"/>
  <c r="T142" i="84"/>
  <c r="U142" i="84"/>
  <c r="V142" i="84"/>
  <c r="W142" i="84"/>
  <c r="X142" i="84"/>
  <c r="Y142" i="84"/>
  <c r="Z142" i="84"/>
  <c r="AA142" i="84"/>
  <c r="D143" i="84"/>
  <c r="E143" i="84"/>
  <c r="F143" i="84"/>
  <c r="G143" i="84"/>
  <c r="H143" i="84"/>
  <c r="I143" i="84"/>
  <c r="J143" i="84"/>
  <c r="K143" i="84"/>
  <c r="L143" i="84"/>
  <c r="M143" i="84"/>
  <c r="N143" i="84"/>
  <c r="O143" i="84"/>
  <c r="P143" i="84"/>
  <c r="Q143" i="84"/>
  <c r="R143" i="84"/>
  <c r="S143" i="84"/>
  <c r="T143" i="84"/>
  <c r="U143" i="84"/>
  <c r="V143" i="84"/>
  <c r="W143" i="84"/>
  <c r="X143" i="84"/>
  <c r="Y143" i="84"/>
  <c r="Z143" i="84"/>
  <c r="AA143" i="84"/>
  <c r="D144" i="84"/>
  <c r="E144" i="84"/>
  <c r="F144" i="84"/>
  <c r="G144" i="84"/>
  <c r="H144" i="84"/>
  <c r="I144" i="84"/>
  <c r="J144" i="84"/>
  <c r="K144" i="84"/>
  <c r="L144" i="84"/>
  <c r="M144" i="84"/>
  <c r="N144" i="84"/>
  <c r="O144" i="84"/>
  <c r="P144" i="84"/>
  <c r="Q144" i="84"/>
  <c r="R144" i="84"/>
  <c r="S144" i="84"/>
  <c r="T144" i="84"/>
  <c r="U144" i="84"/>
  <c r="V144" i="84"/>
  <c r="W144" i="84"/>
  <c r="X144" i="84"/>
  <c r="Y144" i="84"/>
  <c r="Z144" i="84"/>
  <c r="AA144" i="84"/>
  <c r="D145" i="84"/>
  <c r="E145" i="84"/>
  <c r="F145" i="84"/>
  <c r="G145" i="84"/>
  <c r="H145" i="84"/>
  <c r="I145" i="84"/>
  <c r="J145" i="84"/>
  <c r="K145" i="84"/>
  <c r="L145" i="84"/>
  <c r="M145" i="84"/>
  <c r="N145" i="84"/>
  <c r="O145" i="84"/>
  <c r="P145" i="84"/>
  <c r="Q145" i="84"/>
  <c r="R145" i="84"/>
  <c r="S145" i="84"/>
  <c r="T145" i="84"/>
  <c r="U145" i="84"/>
  <c r="V145" i="84"/>
  <c r="W145" i="84"/>
  <c r="X145" i="84"/>
  <c r="Y145" i="84"/>
  <c r="Z145" i="84"/>
  <c r="AA145" i="84"/>
  <c r="D146" i="84"/>
  <c r="E146" i="84"/>
  <c r="F146" i="84"/>
  <c r="G146" i="84"/>
  <c r="H146" i="84"/>
  <c r="I146" i="84"/>
  <c r="J146" i="84"/>
  <c r="K146" i="84"/>
  <c r="L146" i="84"/>
  <c r="M146" i="84"/>
  <c r="N146" i="84"/>
  <c r="O146" i="84"/>
  <c r="P146" i="84"/>
  <c r="Q146" i="84"/>
  <c r="R146" i="84"/>
  <c r="S146" i="84"/>
  <c r="T146" i="84"/>
  <c r="U146" i="84"/>
  <c r="V146" i="84"/>
  <c r="W146" i="84"/>
  <c r="X146" i="84"/>
  <c r="Y146" i="84"/>
  <c r="Z146" i="84"/>
  <c r="AA146" i="84"/>
  <c r="D147" i="84"/>
  <c r="E147" i="84"/>
  <c r="F147" i="84"/>
  <c r="G147" i="84"/>
  <c r="H147" i="84"/>
  <c r="I147" i="84"/>
  <c r="J147" i="84"/>
  <c r="K147" i="84"/>
  <c r="L147" i="84"/>
  <c r="M147" i="84"/>
  <c r="N147" i="84"/>
  <c r="O147" i="84"/>
  <c r="P147" i="84"/>
  <c r="Q147" i="84"/>
  <c r="R147" i="84"/>
  <c r="S147" i="84"/>
  <c r="T147" i="84"/>
  <c r="U147" i="84"/>
  <c r="V147" i="84"/>
  <c r="W147" i="84"/>
  <c r="X147" i="84"/>
  <c r="Y147" i="84"/>
  <c r="Z147" i="84"/>
  <c r="AA147" i="84"/>
  <c r="D148" i="84"/>
  <c r="E148" i="84"/>
  <c r="F148" i="84"/>
  <c r="G148" i="84"/>
  <c r="H148" i="84"/>
  <c r="I148" i="84"/>
  <c r="J148" i="84"/>
  <c r="K148" i="84"/>
  <c r="L148" i="84"/>
  <c r="M148" i="84"/>
  <c r="N148" i="84"/>
  <c r="O148" i="84"/>
  <c r="P148" i="84"/>
  <c r="Q148" i="84"/>
  <c r="R148" i="84"/>
  <c r="S148" i="84"/>
  <c r="T148" i="84"/>
  <c r="U148" i="84"/>
  <c r="V148" i="84"/>
  <c r="W148" i="84"/>
  <c r="X148" i="84"/>
  <c r="Y148" i="84"/>
  <c r="Z148" i="84"/>
  <c r="AA148" i="84"/>
  <c r="D149" i="84"/>
  <c r="E149" i="84"/>
  <c r="F149" i="84"/>
  <c r="G149" i="84"/>
  <c r="H149" i="84"/>
  <c r="I149" i="84"/>
  <c r="J149" i="84"/>
  <c r="K149" i="84"/>
  <c r="L149" i="84"/>
  <c r="M149" i="84"/>
  <c r="N149" i="84"/>
  <c r="O149" i="84"/>
  <c r="P149" i="84"/>
  <c r="Q149" i="84"/>
  <c r="R149" i="84"/>
  <c r="S149" i="84"/>
  <c r="T149" i="84"/>
  <c r="U149" i="84"/>
  <c r="V149" i="84"/>
  <c r="W149" i="84"/>
  <c r="X149" i="84"/>
  <c r="Y149" i="84"/>
  <c r="Z149" i="84"/>
  <c r="AA149" i="84"/>
  <c r="D150" i="84"/>
  <c r="E150" i="84"/>
  <c r="F150" i="84"/>
  <c r="G150" i="84"/>
  <c r="H150" i="84"/>
  <c r="I150" i="84"/>
  <c r="J150" i="84"/>
  <c r="K150" i="84"/>
  <c r="L150" i="84"/>
  <c r="M150" i="84"/>
  <c r="N150" i="84"/>
  <c r="O150" i="84"/>
  <c r="P150" i="84"/>
  <c r="Q150" i="84"/>
  <c r="R150" i="84"/>
  <c r="S150" i="84"/>
  <c r="T150" i="84"/>
  <c r="U150" i="84"/>
  <c r="V150" i="84"/>
  <c r="W150" i="84"/>
  <c r="X150" i="84"/>
  <c r="Y150" i="84"/>
  <c r="Z150" i="84"/>
  <c r="AA150" i="84"/>
  <c r="D151" i="84"/>
  <c r="E151" i="84"/>
  <c r="F151" i="84"/>
  <c r="G151" i="84"/>
  <c r="H151" i="84"/>
  <c r="I151" i="84"/>
  <c r="J151" i="84"/>
  <c r="K151" i="84"/>
  <c r="L151" i="84"/>
  <c r="M151" i="84"/>
  <c r="N151" i="84"/>
  <c r="O151" i="84"/>
  <c r="P151" i="84"/>
  <c r="Q151" i="84"/>
  <c r="R151" i="84"/>
  <c r="S151" i="84"/>
  <c r="T151" i="84"/>
  <c r="U151" i="84"/>
  <c r="V151" i="84"/>
  <c r="W151" i="84"/>
  <c r="X151" i="84"/>
  <c r="Y151" i="84"/>
  <c r="Z151" i="84"/>
  <c r="AA151" i="84"/>
  <c r="D152" i="84"/>
  <c r="E152" i="84"/>
  <c r="F152" i="84"/>
  <c r="G152" i="84"/>
  <c r="H152" i="84"/>
  <c r="I152" i="84"/>
  <c r="J152" i="84"/>
  <c r="K152" i="84"/>
  <c r="L152" i="84"/>
  <c r="M152" i="84"/>
  <c r="N152" i="84"/>
  <c r="O152" i="84"/>
  <c r="P152" i="84"/>
  <c r="Q152" i="84"/>
  <c r="R152" i="84"/>
  <c r="S152" i="84"/>
  <c r="T152" i="84"/>
  <c r="U152" i="84"/>
  <c r="V152" i="84"/>
  <c r="W152" i="84"/>
  <c r="X152" i="84"/>
  <c r="Y152" i="84"/>
  <c r="Z152" i="84"/>
  <c r="AA152" i="84"/>
  <c r="D153" i="84"/>
  <c r="E153" i="84"/>
  <c r="F153" i="84"/>
  <c r="G153" i="84"/>
  <c r="H153" i="84"/>
  <c r="I153" i="84"/>
  <c r="J153" i="84"/>
  <c r="K153" i="84"/>
  <c r="L153" i="84"/>
  <c r="M153" i="84"/>
  <c r="N153" i="84"/>
  <c r="O153" i="84"/>
  <c r="P153" i="84"/>
  <c r="Q153" i="84"/>
  <c r="R153" i="84"/>
  <c r="S153" i="84"/>
  <c r="T153" i="84"/>
  <c r="U153" i="84"/>
  <c r="V153" i="84"/>
  <c r="W153" i="84"/>
  <c r="X153" i="84"/>
  <c r="Y153" i="84"/>
  <c r="Z153" i="84"/>
  <c r="AA153" i="84"/>
  <c r="D154" i="84"/>
  <c r="E154" i="84"/>
  <c r="F154" i="84"/>
  <c r="G154" i="84"/>
  <c r="H154" i="84"/>
  <c r="I154" i="84"/>
  <c r="J154" i="84"/>
  <c r="K154" i="84"/>
  <c r="L154" i="84"/>
  <c r="M154" i="84"/>
  <c r="N154" i="84"/>
  <c r="O154" i="84"/>
  <c r="P154" i="84"/>
  <c r="Q154" i="84"/>
  <c r="R154" i="84"/>
  <c r="S154" i="84"/>
  <c r="T154" i="84"/>
  <c r="U154" i="84"/>
  <c r="V154" i="84"/>
  <c r="W154" i="84"/>
  <c r="X154" i="84"/>
  <c r="Y154" i="84"/>
  <c r="Z154" i="84"/>
  <c r="AA154" i="84"/>
  <c r="D155" i="84"/>
  <c r="E155" i="84"/>
  <c r="F155" i="84"/>
  <c r="G155" i="84"/>
  <c r="H155" i="84"/>
  <c r="I155" i="84"/>
  <c r="J155" i="84"/>
  <c r="K155" i="84"/>
  <c r="L155" i="84"/>
  <c r="M155" i="84"/>
  <c r="N155" i="84"/>
  <c r="O155" i="84"/>
  <c r="P155" i="84"/>
  <c r="Q155" i="84"/>
  <c r="R155" i="84"/>
  <c r="S155" i="84"/>
  <c r="T155" i="84"/>
  <c r="U155" i="84"/>
  <c r="V155" i="84"/>
  <c r="W155" i="84"/>
  <c r="X155" i="84"/>
  <c r="Y155" i="84"/>
  <c r="Z155" i="84"/>
  <c r="AA155" i="84"/>
  <c r="D156" i="84"/>
  <c r="E156" i="84"/>
  <c r="F156" i="84"/>
  <c r="G156" i="84"/>
  <c r="H156" i="84"/>
  <c r="I156" i="84"/>
  <c r="J156" i="84"/>
  <c r="K156" i="84"/>
  <c r="L156" i="84"/>
  <c r="M156" i="84"/>
  <c r="N156" i="84"/>
  <c r="O156" i="84"/>
  <c r="P156" i="84"/>
  <c r="Q156" i="84"/>
  <c r="R156" i="84"/>
  <c r="S156" i="84"/>
  <c r="T156" i="84"/>
  <c r="U156" i="84"/>
  <c r="V156" i="84"/>
  <c r="W156" i="84"/>
  <c r="X156" i="84"/>
  <c r="Y156" i="84"/>
  <c r="Z156" i="84"/>
  <c r="AA156" i="84"/>
  <c r="D157" i="84"/>
  <c r="E157" i="84"/>
  <c r="F157" i="84"/>
  <c r="G157" i="84"/>
  <c r="H157" i="84"/>
  <c r="I157" i="84"/>
  <c r="J157" i="84"/>
  <c r="K157" i="84"/>
  <c r="L157" i="84"/>
  <c r="M157" i="84"/>
  <c r="N157" i="84"/>
  <c r="O157" i="84"/>
  <c r="P157" i="84"/>
  <c r="Q157" i="84"/>
  <c r="R157" i="84"/>
  <c r="S157" i="84"/>
  <c r="T157" i="84"/>
  <c r="U157" i="84"/>
  <c r="V157" i="84"/>
  <c r="W157" i="84"/>
  <c r="X157" i="84"/>
  <c r="Y157" i="84"/>
  <c r="Z157" i="84"/>
  <c r="AA157" i="84"/>
  <c r="D158" i="84"/>
  <c r="E158" i="84"/>
  <c r="F158" i="84"/>
  <c r="G158" i="84"/>
  <c r="H158" i="84"/>
  <c r="I158" i="84"/>
  <c r="J158" i="84"/>
  <c r="K158" i="84"/>
  <c r="L158" i="84"/>
  <c r="M158" i="84"/>
  <c r="N158" i="84"/>
  <c r="O158" i="84"/>
  <c r="P158" i="84"/>
  <c r="Q158" i="84"/>
  <c r="R158" i="84"/>
  <c r="S158" i="84"/>
  <c r="T158" i="84"/>
  <c r="U158" i="84"/>
  <c r="V158" i="84"/>
  <c r="W158" i="84"/>
  <c r="X158" i="84"/>
  <c r="Y158" i="84"/>
  <c r="Z158" i="84"/>
  <c r="AA158" i="84"/>
  <c r="D159" i="84"/>
  <c r="E159" i="84"/>
  <c r="F159" i="84"/>
  <c r="G159" i="84"/>
  <c r="H159" i="84"/>
  <c r="I159" i="84"/>
  <c r="J159" i="84"/>
  <c r="K159" i="84"/>
  <c r="L159" i="84"/>
  <c r="M159" i="84"/>
  <c r="N159" i="84"/>
  <c r="O159" i="84"/>
  <c r="P159" i="84"/>
  <c r="Q159" i="84"/>
  <c r="R159" i="84"/>
  <c r="S159" i="84"/>
  <c r="T159" i="84"/>
  <c r="U159" i="84"/>
  <c r="V159" i="84"/>
  <c r="W159" i="84"/>
  <c r="X159" i="84"/>
  <c r="Y159" i="84"/>
  <c r="Z159" i="84"/>
  <c r="AA159" i="84"/>
  <c r="D160" i="84"/>
  <c r="E160" i="84"/>
  <c r="F160" i="84"/>
  <c r="G160" i="84"/>
  <c r="H160" i="84"/>
  <c r="I160" i="84"/>
  <c r="J160" i="84"/>
  <c r="K160" i="84"/>
  <c r="L160" i="84"/>
  <c r="M160" i="84"/>
  <c r="N160" i="84"/>
  <c r="O160" i="84"/>
  <c r="P160" i="84"/>
  <c r="Q160" i="84"/>
  <c r="R160" i="84"/>
  <c r="S160" i="84"/>
  <c r="T160" i="84"/>
  <c r="U160" i="84"/>
  <c r="V160" i="84"/>
  <c r="W160" i="84"/>
  <c r="X160" i="84"/>
  <c r="Y160" i="84"/>
  <c r="Z160" i="84"/>
  <c r="AA160" i="84"/>
  <c r="D161" i="84"/>
  <c r="E161" i="84"/>
  <c r="F161" i="84"/>
  <c r="G161" i="84"/>
  <c r="H161" i="84"/>
  <c r="I161" i="84"/>
  <c r="J161" i="84"/>
  <c r="K161" i="84"/>
  <c r="L161" i="84"/>
  <c r="M161" i="84"/>
  <c r="N161" i="84"/>
  <c r="O161" i="84"/>
  <c r="P161" i="84"/>
  <c r="Q161" i="84"/>
  <c r="R161" i="84"/>
  <c r="S161" i="84"/>
  <c r="T161" i="84"/>
  <c r="U161" i="84"/>
  <c r="V161" i="84"/>
  <c r="W161" i="84"/>
  <c r="X161" i="84"/>
  <c r="Y161" i="84"/>
  <c r="Z161" i="84"/>
  <c r="AA161" i="84"/>
  <c r="D162" i="84"/>
  <c r="E162" i="84"/>
  <c r="F162" i="84"/>
  <c r="G162" i="84"/>
  <c r="H162" i="84"/>
  <c r="I162" i="84"/>
  <c r="J162" i="84"/>
  <c r="K162" i="84"/>
  <c r="L162" i="84"/>
  <c r="M162" i="84"/>
  <c r="N162" i="84"/>
  <c r="O162" i="84"/>
  <c r="P162" i="84"/>
  <c r="Q162" i="84"/>
  <c r="R162" i="84"/>
  <c r="S162" i="84"/>
  <c r="T162" i="84"/>
  <c r="U162" i="84"/>
  <c r="V162" i="84"/>
  <c r="W162" i="84"/>
  <c r="X162" i="84"/>
  <c r="Y162" i="84"/>
  <c r="Z162" i="84"/>
  <c r="AA162" i="84"/>
  <c r="D163" i="84"/>
  <c r="E163" i="84"/>
  <c r="F163" i="84"/>
  <c r="G163" i="84"/>
  <c r="H163" i="84"/>
  <c r="I163" i="84"/>
  <c r="J163" i="84"/>
  <c r="K163" i="84"/>
  <c r="L163" i="84"/>
  <c r="M163" i="84"/>
  <c r="N163" i="84"/>
  <c r="O163" i="84"/>
  <c r="P163" i="84"/>
  <c r="Q163" i="84"/>
  <c r="R163" i="84"/>
  <c r="S163" i="84"/>
  <c r="T163" i="84"/>
  <c r="U163" i="84"/>
  <c r="V163" i="84"/>
  <c r="W163" i="84"/>
  <c r="X163" i="84"/>
  <c r="Y163" i="84"/>
  <c r="Z163" i="84"/>
  <c r="AA163" i="84"/>
  <c r="D164" i="84"/>
  <c r="E164" i="84"/>
  <c r="F164" i="84"/>
  <c r="G164" i="84"/>
  <c r="H164" i="84"/>
  <c r="I164" i="84"/>
  <c r="J164" i="84"/>
  <c r="K164" i="84"/>
  <c r="L164" i="84"/>
  <c r="M164" i="84"/>
  <c r="N164" i="84"/>
  <c r="O164" i="84"/>
  <c r="P164" i="84"/>
  <c r="Q164" i="84"/>
  <c r="R164" i="84"/>
  <c r="S164" i="84"/>
  <c r="T164" i="84"/>
  <c r="U164" i="84"/>
  <c r="V164" i="84"/>
  <c r="W164" i="84"/>
  <c r="X164" i="84"/>
  <c r="Y164" i="84"/>
  <c r="Z164" i="84"/>
  <c r="AA164" i="84"/>
  <c r="D165" i="84"/>
  <c r="E165" i="84"/>
  <c r="F165" i="84"/>
  <c r="G165" i="84"/>
  <c r="H165" i="84"/>
  <c r="I165" i="84"/>
  <c r="J165" i="84"/>
  <c r="K165" i="84"/>
  <c r="L165" i="84"/>
  <c r="M165" i="84"/>
  <c r="N165" i="84"/>
  <c r="O165" i="84"/>
  <c r="P165" i="84"/>
  <c r="Q165" i="84"/>
  <c r="R165" i="84"/>
  <c r="S165" i="84"/>
  <c r="T165" i="84"/>
  <c r="U165" i="84"/>
  <c r="V165" i="84"/>
  <c r="W165" i="84"/>
  <c r="X165" i="84"/>
  <c r="Y165" i="84"/>
  <c r="Z165" i="84"/>
  <c r="AA165" i="84"/>
  <c r="D166" i="84"/>
  <c r="E166" i="84"/>
  <c r="F166" i="84"/>
  <c r="G166" i="84"/>
  <c r="H166" i="84"/>
  <c r="I166" i="84"/>
  <c r="J166" i="84"/>
  <c r="K166" i="84"/>
  <c r="L166" i="84"/>
  <c r="M166" i="84"/>
  <c r="N166" i="84"/>
  <c r="O166" i="84"/>
  <c r="P166" i="84"/>
  <c r="Q166" i="84"/>
  <c r="R166" i="84"/>
  <c r="S166" i="84"/>
  <c r="T166" i="84"/>
  <c r="U166" i="84"/>
  <c r="V166" i="84"/>
  <c r="W166" i="84"/>
  <c r="X166" i="84"/>
  <c r="Y166" i="84"/>
  <c r="Z166" i="84"/>
  <c r="AA166" i="84"/>
  <c r="D167" i="84"/>
  <c r="E167" i="84"/>
  <c r="F167" i="84"/>
  <c r="G167" i="84"/>
  <c r="H167" i="84"/>
  <c r="I167" i="84"/>
  <c r="J167" i="84"/>
  <c r="K167" i="84"/>
  <c r="L167" i="84"/>
  <c r="M167" i="84"/>
  <c r="N167" i="84"/>
  <c r="O167" i="84"/>
  <c r="P167" i="84"/>
  <c r="Q167" i="84"/>
  <c r="R167" i="84"/>
  <c r="S167" i="84"/>
  <c r="T167" i="84"/>
  <c r="U167" i="84"/>
  <c r="V167" i="84"/>
  <c r="W167" i="84"/>
  <c r="X167" i="84"/>
  <c r="Y167" i="84"/>
  <c r="Z167" i="84"/>
  <c r="AA167" i="84"/>
  <c r="D168" i="84"/>
  <c r="E168" i="84"/>
  <c r="F168" i="84"/>
  <c r="G168" i="84"/>
  <c r="H168" i="84"/>
  <c r="I168" i="84"/>
  <c r="J168" i="84"/>
  <c r="K168" i="84"/>
  <c r="L168" i="84"/>
  <c r="M168" i="84"/>
  <c r="N168" i="84"/>
  <c r="O168" i="84"/>
  <c r="P168" i="84"/>
  <c r="Q168" i="84"/>
  <c r="R168" i="84"/>
  <c r="S168" i="84"/>
  <c r="T168" i="84"/>
  <c r="U168" i="84"/>
  <c r="V168" i="84"/>
  <c r="W168" i="84"/>
  <c r="X168" i="84"/>
  <c r="Y168" i="84"/>
  <c r="Z168" i="84"/>
  <c r="AA168" i="84"/>
  <c r="D169" i="84"/>
  <c r="E169" i="84"/>
  <c r="F169" i="84"/>
  <c r="G169" i="84"/>
  <c r="H169" i="84"/>
  <c r="I169" i="84"/>
  <c r="J169" i="84"/>
  <c r="K169" i="84"/>
  <c r="L169" i="84"/>
  <c r="M169" i="84"/>
  <c r="N169" i="84"/>
  <c r="O169" i="84"/>
  <c r="P169" i="84"/>
  <c r="Q169" i="84"/>
  <c r="R169" i="84"/>
  <c r="S169" i="84"/>
  <c r="T169" i="84"/>
  <c r="U169" i="84"/>
  <c r="V169" i="84"/>
  <c r="W169" i="84"/>
  <c r="X169" i="84"/>
  <c r="Y169" i="84"/>
  <c r="Z169" i="84"/>
  <c r="AA169" i="84"/>
  <c r="D170" i="84"/>
  <c r="E170" i="84"/>
  <c r="F170" i="84"/>
  <c r="G170" i="84"/>
  <c r="H170" i="84"/>
  <c r="I170" i="84"/>
  <c r="J170" i="84"/>
  <c r="K170" i="84"/>
  <c r="L170" i="84"/>
  <c r="M170" i="84"/>
  <c r="N170" i="84"/>
  <c r="O170" i="84"/>
  <c r="P170" i="84"/>
  <c r="Q170" i="84"/>
  <c r="R170" i="84"/>
  <c r="S170" i="84"/>
  <c r="T170" i="84"/>
  <c r="U170" i="84"/>
  <c r="V170" i="84"/>
  <c r="W170" i="84"/>
  <c r="X170" i="84"/>
  <c r="Y170" i="84"/>
  <c r="Z170" i="84"/>
  <c r="AA170" i="84"/>
  <c r="D171" i="84"/>
  <c r="E171" i="84"/>
  <c r="F171" i="84"/>
  <c r="G171" i="84"/>
  <c r="H171" i="84"/>
  <c r="I171" i="84"/>
  <c r="J171" i="84"/>
  <c r="K171" i="84"/>
  <c r="L171" i="84"/>
  <c r="M171" i="84"/>
  <c r="N171" i="84"/>
  <c r="O171" i="84"/>
  <c r="P171" i="84"/>
  <c r="Q171" i="84"/>
  <c r="R171" i="84"/>
  <c r="S171" i="84"/>
  <c r="T171" i="84"/>
  <c r="U171" i="84"/>
  <c r="V171" i="84"/>
  <c r="W171" i="84"/>
  <c r="X171" i="84"/>
  <c r="Y171" i="84"/>
  <c r="Z171" i="84"/>
  <c r="AA171" i="84"/>
  <c r="D172" i="84"/>
  <c r="E172" i="84"/>
  <c r="F172" i="84"/>
  <c r="G172" i="84"/>
  <c r="H172" i="84"/>
  <c r="I172" i="84"/>
  <c r="J172" i="84"/>
  <c r="K172" i="84"/>
  <c r="L172" i="84"/>
  <c r="M172" i="84"/>
  <c r="N172" i="84"/>
  <c r="O172" i="84"/>
  <c r="P172" i="84"/>
  <c r="Q172" i="84"/>
  <c r="R172" i="84"/>
  <c r="S172" i="84"/>
  <c r="T172" i="84"/>
  <c r="U172" i="84"/>
  <c r="V172" i="84"/>
  <c r="W172" i="84"/>
  <c r="X172" i="84"/>
  <c r="Y172" i="84"/>
  <c r="Z172" i="84"/>
  <c r="AA172" i="84"/>
  <c r="D173" i="84"/>
  <c r="E173" i="84"/>
  <c r="F173" i="84"/>
  <c r="G173" i="84"/>
  <c r="H173" i="84"/>
  <c r="I173" i="84"/>
  <c r="J173" i="84"/>
  <c r="K173" i="84"/>
  <c r="L173" i="84"/>
  <c r="M173" i="84"/>
  <c r="N173" i="84"/>
  <c r="O173" i="84"/>
  <c r="P173" i="84"/>
  <c r="Q173" i="84"/>
  <c r="R173" i="84"/>
  <c r="S173" i="84"/>
  <c r="T173" i="84"/>
  <c r="U173" i="84"/>
  <c r="V173" i="84"/>
  <c r="W173" i="84"/>
  <c r="X173" i="84"/>
  <c r="Y173" i="84"/>
  <c r="Z173" i="84"/>
  <c r="AA173" i="84"/>
  <c r="D174" i="84"/>
  <c r="E174" i="84"/>
  <c r="F174" i="84"/>
  <c r="G174" i="84"/>
  <c r="H174" i="84"/>
  <c r="I174" i="84"/>
  <c r="J174" i="84"/>
  <c r="K174" i="84"/>
  <c r="L174" i="84"/>
  <c r="M174" i="84"/>
  <c r="N174" i="84"/>
  <c r="O174" i="84"/>
  <c r="P174" i="84"/>
  <c r="Q174" i="84"/>
  <c r="R174" i="84"/>
  <c r="S174" i="84"/>
  <c r="T174" i="84"/>
  <c r="U174" i="84"/>
  <c r="V174" i="84"/>
  <c r="W174" i="84"/>
  <c r="X174" i="84"/>
  <c r="Y174" i="84"/>
  <c r="Z174" i="84"/>
  <c r="AA174" i="84"/>
  <c r="D175" i="84"/>
  <c r="E175" i="84"/>
  <c r="F175" i="84"/>
  <c r="G175" i="84"/>
  <c r="H175" i="84"/>
  <c r="I175" i="84"/>
  <c r="J175" i="84"/>
  <c r="K175" i="84"/>
  <c r="L175" i="84"/>
  <c r="M175" i="84"/>
  <c r="N175" i="84"/>
  <c r="O175" i="84"/>
  <c r="P175" i="84"/>
  <c r="Q175" i="84"/>
  <c r="R175" i="84"/>
  <c r="S175" i="84"/>
  <c r="T175" i="84"/>
  <c r="U175" i="84"/>
  <c r="V175" i="84"/>
  <c r="W175" i="84"/>
  <c r="X175" i="84"/>
  <c r="Y175" i="84"/>
  <c r="Z175" i="84"/>
  <c r="AA175" i="84"/>
  <c r="E2" i="84"/>
  <c r="F2" i="84"/>
  <c r="G2" i="84"/>
  <c r="H2" i="84"/>
  <c r="I2" i="84"/>
  <c r="J2" i="84"/>
  <c r="K2" i="84"/>
  <c r="L2" i="84"/>
  <c r="M2" i="84"/>
  <c r="N2" i="84"/>
  <c r="O2" i="84"/>
  <c r="P2" i="84"/>
  <c r="Q2" i="84"/>
  <c r="R2" i="84"/>
  <c r="S2" i="84"/>
  <c r="T2" i="84"/>
  <c r="U2" i="84"/>
  <c r="V2" i="84"/>
  <c r="W2" i="84"/>
  <c r="X2" i="84"/>
  <c r="Y2" i="84"/>
  <c r="Z2" i="84"/>
  <c r="AA2" i="84"/>
  <c r="D2" i="84"/>
  <c r="H51" i="89"/>
  <c r="H45" i="89"/>
  <c r="H39" i="89"/>
  <c r="G51" i="89"/>
  <c r="G45" i="89"/>
  <c r="G39" i="89"/>
  <c r="H50" i="89"/>
  <c r="H44" i="89"/>
  <c r="H38" i="89"/>
  <c r="G50" i="89"/>
  <c r="G44" i="89"/>
  <c r="G43" i="89"/>
  <c r="G38" i="89"/>
  <c r="J167" i="86" s="1"/>
  <c r="J476" i="86" l="1"/>
  <c r="J367" i="86"/>
  <c r="J503" i="86"/>
  <c r="M847" i="86"/>
  <c r="M539" i="86"/>
  <c r="N539" i="86" s="1"/>
  <c r="V180" i="92" s="1"/>
  <c r="M639" i="86"/>
  <c r="M976" i="86"/>
  <c r="J406" i="86"/>
  <c r="M387" i="86"/>
  <c r="J923" i="86"/>
  <c r="J415" i="86"/>
  <c r="J382" i="86"/>
  <c r="J535" i="86"/>
  <c r="K535" i="86" s="1"/>
  <c r="V176" i="91" s="1"/>
  <c r="J724" i="86"/>
  <c r="J349" i="86"/>
  <c r="K349" i="86" s="1"/>
  <c r="E177" i="91" s="1"/>
  <c r="J461" i="86"/>
  <c r="K461" i="86" s="1"/>
  <c r="O179" i="91" s="1"/>
  <c r="M488" i="86"/>
  <c r="M334" i="86"/>
  <c r="J343" i="86"/>
  <c r="J366" i="86"/>
  <c r="J370" i="86"/>
  <c r="K370" i="86" s="1"/>
  <c r="G176" i="91" s="1"/>
  <c r="M394" i="86"/>
  <c r="J417" i="86"/>
  <c r="K417" i="86" s="1"/>
  <c r="K179" i="91" s="1"/>
  <c r="J432" i="86"/>
  <c r="K432" i="86" s="1"/>
  <c r="J460" i="86"/>
  <c r="K460" i="86" s="1"/>
  <c r="O178" i="91" s="1"/>
  <c r="M465" i="86"/>
  <c r="J491" i="86"/>
  <c r="M496" i="86"/>
  <c r="M506" i="86"/>
  <c r="N506" i="86" s="1"/>
  <c r="S180" i="92" s="1"/>
  <c r="J542" i="86"/>
  <c r="M548" i="86"/>
  <c r="N548" i="86" s="1"/>
  <c r="W178" i="92" s="1"/>
  <c r="M565" i="86"/>
  <c r="N565" i="86" s="1"/>
  <c r="J838" i="86"/>
  <c r="M880" i="86"/>
  <c r="J894" i="86"/>
  <c r="J348" i="86"/>
  <c r="M353" i="86"/>
  <c r="J362" i="86"/>
  <c r="M366" i="86"/>
  <c r="N366" i="86" s="1"/>
  <c r="J381" i="86"/>
  <c r="K381" i="86" s="1"/>
  <c r="H176" i="91" s="1"/>
  <c r="M386" i="86"/>
  <c r="N386" i="86" s="1"/>
  <c r="H181" i="92" s="1"/>
  <c r="J399" i="86"/>
  <c r="M405" i="86"/>
  <c r="J409" i="86"/>
  <c r="M414" i="86"/>
  <c r="N414" i="86" s="1"/>
  <c r="K176" i="92" s="1"/>
  <c r="M432" i="86"/>
  <c r="J437" i="86"/>
  <c r="M460" i="86"/>
  <c r="N460" i="86" s="1"/>
  <c r="O178" i="92" s="1"/>
  <c r="J470" i="86"/>
  <c r="K470" i="86" s="1"/>
  <c r="P177" i="91" s="1"/>
  <c r="M475" i="86"/>
  <c r="J483" i="86"/>
  <c r="M487" i="86"/>
  <c r="J502" i="86"/>
  <c r="K502" i="86" s="1"/>
  <c r="S176" i="91" s="1"/>
  <c r="J510" i="86"/>
  <c r="M515" i="86"/>
  <c r="J526" i="86"/>
  <c r="J560" i="86"/>
  <c r="J607" i="86"/>
  <c r="M657" i="86"/>
  <c r="J723" i="86"/>
  <c r="M729" i="86"/>
  <c r="N729" i="86" s="1"/>
  <c r="M795" i="86"/>
  <c r="M344" i="86"/>
  <c r="J359" i="86"/>
  <c r="K359" i="86" s="1"/>
  <c r="F176" i="91" s="1"/>
  <c r="M362" i="86"/>
  <c r="M377" i="86"/>
  <c r="M395" i="86"/>
  <c r="M429" i="86"/>
  <c r="J442" i="86"/>
  <c r="J452" i="86"/>
  <c r="M466" i="86"/>
  <c r="N466" i="86" s="1"/>
  <c r="M483" i="86"/>
  <c r="N483" i="86" s="1"/>
  <c r="Q179" i="92" s="1"/>
  <c r="J492" i="86"/>
  <c r="M507" i="86"/>
  <c r="M526" i="86"/>
  <c r="J530" i="86"/>
  <c r="J583" i="86"/>
  <c r="K583" i="86" s="1"/>
  <c r="Z180" i="91" s="1"/>
  <c r="M595" i="86"/>
  <c r="M614" i="86"/>
  <c r="N614" i="86" s="1"/>
  <c r="AJ178" i="92" s="1"/>
  <c r="J671" i="86"/>
  <c r="K671" i="86" s="1"/>
  <c r="AO180" i="91" s="1"/>
  <c r="J822" i="86"/>
  <c r="J833" i="86"/>
  <c r="M928" i="86"/>
  <c r="M372" i="86"/>
  <c r="M438" i="86"/>
  <c r="N438" i="86" s="1"/>
  <c r="M178" i="92" s="1"/>
  <c r="M498" i="86"/>
  <c r="M516" i="86"/>
  <c r="M758" i="86"/>
  <c r="N758" i="86" s="1"/>
  <c r="BE179" i="92" s="1"/>
  <c r="J338" i="86"/>
  <c r="M345" i="86"/>
  <c r="M355" i="86"/>
  <c r="J360" i="86"/>
  <c r="M378" i="86"/>
  <c r="J392" i="86"/>
  <c r="M396" i="86"/>
  <c r="M406" i="86"/>
  <c r="M411" i="86"/>
  <c r="J425" i="86"/>
  <c r="M430" i="86"/>
  <c r="J443" i="86"/>
  <c r="M449" i="86"/>
  <c r="J453" i="86"/>
  <c r="M458" i="86"/>
  <c r="M476" i="86"/>
  <c r="M481" i="86"/>
  <c r="N481" i="86" s="1"/>
  <c r="Q177" i="92" s="1"/>
  <c r="J484" i="86"/>
  <c r="J493" i="86"/>
  <c r="J508" i="86"/>
  <c r="J527" i="86"/>
  <c r="M531" i="86"/>
  <c r="J551" i="86"/>
  <c r="K551" i="86" s="1"/>
  <c r="W181" i="91" s="1"/>
  <c r="M557" i="86"/>
  <c r="N557" i="86" s="1"/>
  <c r="X176" i="92" s="1"/>
  <c r="M615" i="86"/>
  <c r="J810" i="86"/>
  <c r="J957" i="86"/>
  <c r="M338" i="86"/>
  <c r="J350" i="86"/>
  <c r="K350" i="86" s="1"/>
  <c r="E178" i="91" s="1"/>
  <c r="J364" i="86"/>
  <c r="M373" i="86"/>
  <c r="N373" i="86" s="1"/>
  <c r="G179" i="92" s="1"/>
  <c r="J388" i="86"/>
  <c r="K388" i="86" s="1"/>
  <c r="J416" i="86"/>
  <c r="K416" i="86" s="1"/>
  <c r="K178" i="91" s="1"/>
  <c r="M421" i="86"/>
  <c r="M439" i="86"/>
  <c r="M473" i="86"/>
  <c r="M527" i="86"/>
  <c r="N527" i="86" s="1"/>
  <c r="U179" i="92" s="1"/>
  <c r="J536" i="86"/>
  <c r="J568" i="86"/>
  <c r="K568" i="86" s="1"/>
  <c r="Y176" i="91" s="1"/>
  <c r="M574" i="86"/>
  <c r="M629" i="86"/>
  <c r="N629" i="86" s="1"/>
  <c r="J634" i="86"/>
  <c r="M824" i="86"/>
  <c r="M911" i="86"/>
  <c r="J333" i="86"/>
  <c r="K333" i="86" s="1"/>
  <c r="M340" i="86"/>
  <c r="M388" i="86"/>
  <c r="N388" i="86" s="1"/>
  <c r="J393" i="86"/>
  <c r="M416" i="86"/>
  <c r="N416" i="86" s="1"/>
  <c r="K178" i="92" s="1"/>
  <c r="J426" i="86"/>
  <c r="M431" i="86"/>
  <c r="J450" i="86"/>
  <c r="J459" i="86"/>
  <c r="J482" i="86"/>
  <c r="M505" i="86"/>
  <c r="N505" i="86" s="1"/>
  <c r="S179" i="92" s="1"/>
  <c r="J509" i="86"/>
  <c r="K509" i="86" s="1"/>
  <c r="J513" i="86"/>
  <c r="K513" i="86" s="1"/>
  <c r="T176" i="91" s="1"/>
  <c r="M532" i="86"/>
  <c r="J541" i="86"/>
  <c r="J558" i="86"/>
  <c r="M564" i="86"/>
  <c r="N564" i="86" s="1"/>
  <c r="M580" i="86"/>
  <c r="M586" i="86"/>
  <c r="N586" i="86" s="1"/>
  <c r="M592" i="86"/>
  <c r="N592" i="86" s="1"/>
  <c r="AA178" i="92" s="1"/>
  <c r="M648" i="86"/>
  <c r="J668" i="86"/>
  <c r="M674" i="86"/>
  <c r="M740" i="86"/>
  <c r="J778" i="86"/>
  <c r="K778" i="86" s="1"/>
  <c r="BG177" i="91" s="1"/>
  <c r="M945" i="86"/>
  <c r="M361" i="86"/>
  <c r="N361" i="86" s="1"/>
  <c r="F178" i="92" s="1"/>
  <c r="M385" i="86"/>
  <c r="N385" i="86" s="1"/>
  <c r="H180" i="92" s="1"/>
  <c r="J398" i="86"/>
  <c r="J408" i="86"/>
  <c r="M422" i="86"/>
  <c r="J436" i="86"/>
  <c r="M440" i="86"/>
  <c r="N440" i="86" s="1"/>
  <c r="M180" i="92" s="1"/>
  <c r="M450" i="86"/>
  <c r="M455" i="86"/>
  <c r="N455" i="86" s="1"/>
  <c r="J469" i="86"/>
  <c r="M474" i="86"/>
  <c r="N474" i="86" s="1"/>
  <c r="P181" i="92" s="1"/>
  <c r="M482" i="86"/>
  <c r="J486" i="86"/>
  <c r="M509" i="86"/>
  <c r="J519" i="86"/>
  <c r="K519" i="86" s="1"/>
  <c r="M525" i="86"/>
  <c r="J528" i="86"/>
  <c r="J537" i="86"/>
  <c r="J569" i="86"/>
  <c r="K569" i="86" s="1"/>
  <c r="Y177" i="91" s="1"/>
  <c r="M624" i="86"/>
  <c r="M630" i="86"/>
  <c r="J926" i="86"/>
  <c r="J332" i="86"/>
  <c r="M337" i="86"/>
  <c r="N337" i="86" s="1"/>
  <c r="D176" i="92" s="1"/>
  <c r="M343" i="86"/>
  <c r="N343" i="86" s="1"/>
  <c r="M352" i="86"/>
  <c r="N352" i="86" s="1"/>
  <c r="E180" i="92" s="1"/>
  <c r="J355" i="86"/>
  <c r="K355" i="86" s="1"/>
  <c r="J361" i="86"/>
  <c r="M370" i="86"/>
  <c r="N370" i="86" s="1"/>
  <c r="G176" i="92" s="1"/>
  <c r="J373" i="86"/>
  <c r="J365" i="86"/>
  <c r="K365" i="86" s="1"/>
  <c r="J378" i="86"/>
  <c r="M384" i="86"/>
  <c r="N384" i="86" s="1"/>
  <c r="H179" i="92" s="1"/>
  <c r="J387" i="86"/>
  <c r="M393" i="86"/>
  <c r="N393" i="86" s="1"/>
  <c r="I177" i="92" s="1"/>
  <c r="J396" i="86"/>
  <c r="J405" i="86"/>
  <c r="K405" i="86" s="1"/>
  <c r="J178" i="91" s="1"/>
  <c r="M410" i="86"/>
  <c r="J414" i="86"/>
  <c r="K414" i="86" s="1"/>
  <c r="K176" i="91" s="1"/>
  <c r="M419" i="86"/>
  <c r="J422" i="86"/>
  <c r="M428" i="86"/>
  <c r="N428" i="86" s="1"/>
  <c r="L179" i="92" s="1"/>
  <c r="J431" i="86"/>
  <c r="M437" i="86"/>
  <c r="J440" i="86"/>
  <c r="J449" i="86"/>
  <c r="M454" i="86"/>
  <c r="N454" i="86" s="1"/>
  <c r="J458" i="86"/>
  <c r="M463" i="86"/>
  <c r="N463" i="86" s="1"/>
  <c r="O181" i="92" s="1"/>
  <c r="J466" i="86"/>
  <c r="M472" i="86"/>
  <c r="N472" i="86" s="1"/>
  <c r="P179" i="92" s="1"/>
  <c r="J475" i="86"/>
  <c r="J481" i="86"/>
  <c r="K481" i="86" s="1"/>
  <c r="Q177" i="91" s="1"/>
  <c r="M486" i="86"/>
  <c r="M495" i="86"/>
  <c r="N495" i="86" s="1"/>
  <c r="R180" i="92" s="1"/>
  <c r="J498" i="86"/>
  <c r="M504" i="86"/>
  <c r="N504" i="86" s="1"/>
  <c r="S178" i="92" s="1"/>
  <c r="J507" i="86"/>
  <c r="K507" i="86" s="1"/>
  <c r="S181" i="91" s="1"/>
  <c r="M513" i="86"/>
  <c r="N513" i="86" s="1"/>
  <c r="T176" i="92" s="1"/>
  <c r="J516" i="86"/>
  <c r="M521" i="86"/>
  <c r="N521" i="86" s="1"/>
  <c r="J525" i="86"/>
  <c r="M530" i="86"/>
  <c r="N530" i="86" s="1"/>
  <c r="J539" i="86"/>
  <c r="J548" i="86"/>
  <c r="K548" i="86" s="1"/>
  <c r="W178" i="91" s="1"/>
  <c r="M553" i="86"/>
  <c r="N553" i="86" s="1"/>
  <c r="J557" i="86"/>
  <c r="K557" i="86" s="1"/>
  <c r="X176" i="91" s="1"/>
  <c r="M562" i="86"/>
  <c r="N562" i="86" s="1"/>
  <c r="X181" i="92" s="1"/>
  <c r="J565" i="86"/>
  <c r="M571" i="86"/>
  <c r="J574" i="86"/>
  <c r="J580" i="86"/>
  <c r="M585" i="86"/>
  <c r="J592" i="86"/>
  <c r="J595" i="86"/>
  <c r="M603" i="86"/>
  <c r="N603" i="86" s="1"/>
  <c r="AI178" i="92" s="1"/>
  <c r="J615" i="86"/>
  <c r="J624" i="86"/>
  <c r="M685" i="86"/>
  <c r="N685" i="86" s="1"/>
  <c r="M694" i="86"/>
  <c r="M714" i="86"/>
  <c r="N714" i="86" s="1"/>
  <c r="BA179" i="92" s="1"/>
  <c r="M719" i="86"/>
  <c r="N719" i="86" s="1"/>
  <c r="J752" i="86"/>
  <c r="J772" i="86"/>
  <c r="K772" i="86" s="1"/>
  <c r="M792" i="86"/>
  <c r="J796" i="86"/>
  <c r="M801" i="86"/>
  <c r="M818" i="86"/>
  <c r="J847" i="86"/>
  <c r="K847" i="86" s="1"/>
  <c r="BM180" i="91" s="1"/>
  <c r="M856" i="86"/>
  <c r="N856" i="86" s="1"/>
  <c r="BN178" i="92" s="1"/>
  <c r="M861" i="86"/>
  <c r="N861" i="86" s="1"/>
  <c r="M865" i="86"/>
  <c r="N865" i="86" s="1"/>
  <c r="BO176" i="92" s="1"/>
  <c r="M870" i="86"/>
  <c r="M889" i="86"/>
  <c r="M903" i="86"/>
  <c r="N903" i="86" s="1"/>
  <c r="BT181" i="92" s="1"/>
  <c r="M912" i="86"/>
  <c r="J917" i="86"/>
  <c r="K917" i="86" s="1"/>
  <c r="M932" i="86"/>
  <c r="J134" i="86"/>
  <c r="K134" i="86" s="1"/>
  <c r="J74" i="86"/>
  <c r="K74" i="86" s="1"/>
  <c r="CB177" i="91" s="1"/>
  <c r="J18" i="86"/>
  <c r="J129" i="86"/>
  <c r="J68" i="86"/>
  <c r="K68" i="86" s="1"/>
  <c r="J7" i="86"/>
  <c r="J139" i="86"/>
  <c r="K139" i="86" s="1"/>
  <c r="CH176" i="91" s="1"/>
  <c r="J123" i="86"/>
  <c r="K123" i="86" s="1"/>
  <c r="J976" i="86"/>
  <c r="J953" i="86"/>
  <c r="J118" i="86"/>
  <c r="J63" i="86"/>
  <c r="J35" i="86"/>
  <c r="J30" i="86"/>
  <c r="J24" i="86"/>
  <c r="J695" i="86"/>
  <c r="J981" i="86"/>
  <c r="J73" i="86"/>
  <c r="J57" i="86"/>
  <c r="J41" i="86"/>
  <c r="J19" i="86"/>
  <c r="K19" i="86" s="1"/>
  <c r="BW177" i="91" s="1"/>
  <c r="J701" i="86"/>
  <c r="J987" i="86"/>
  <c r="K987" i="86" s="1"/>
  <c r="CO177" i="91" s="1"/>
  <c r="J964" i="86"/>
  <c r="J128" i="86"/>
  <c r="K128" i="86" s="1"/>
  <c r="CG176" i="91" s="1"/>
  <c r="J112" i="86"/>
  <c r="J2" i="86"/>
  <c r="J761" i="86"/>
  <c r="J992" i="86"/>
  <c r="K992" i="86" s="1"/>
  <c r="J975" i="86"/>
  <c r="J943" i="86"/>
  <c r="K943" i="86" s="1"/>
  <c r="CK177" i="91" s="1"/>
  <c r="J140" i="86"/>
  <c r="J40" i="86"/>
  <c r="K40" i="86" s="1"/>
  <c r="BY176" i="91" s="1"/>
  <c r="J700" i="86"/>
  <c r="J986" i="86"/>
  <c r="J954" i="86"/>
  <c r="J766" i="86"/>
  <c r="K766" i="86" s="1"/>
  <c r="BF176" i="91" s="1"/>
  <c r="J998" i="86"/>
  <c r="J948" i="86"/>
  <c r="K948" i="86" s="1"/>
  <c r="J937" i="86"/>
  <c r="J920" i="86"/>
  <c r="K920" i="86" s="1"/>
  <c r="CI176" i="91" s="1"/>
  <c r="J888" i="86"/>
  <c r="J844" i="86"/>
  <c r="J783" i="86"/>
  <c r="J755" i="86"/>
  <c r="K755" i="86" s="1"/>
  <c r="BE176" i="91" s="1"/>
  <c r="J728" i="86"/>
  <c r="J711" i="86"/>
  <c r="K711" i="86" s="1"/>
  <c r="BA176" i="91" s="1"/>
  <c r="J673" i="86"/>
  <c r="J656" i="86"/>
  <c r="K656" i="86" s="1"/>
  <c r="AN176" i="91" s="1"/>
  <c r="J629" i="86"/>
  <c r="K629" i="86" s="1"/>
  <c r="J612" i="86"/>
  <c r="J62" i="86"/>
  <c r="J970" i="86"/>
  <c r="K970" i="86" s="1"/>
  <c r="J893" i="86"/>
  <c r="J876" i="86"/>
  <c r="J849" i="86"/>
  <c r="J832" i="86"/>
  <c r="J821" i="86"/>
  <c r="J789" i="86"/>
  <c r="J734" i="86"/>
  <c r="J679" i="86"/>
  <c r="K679" i="86" s="1"/>
  <c r="AT177" i="91" s="1"/>
  <c r="J635" i="86"/>
  <c r="J117" i="86"/>
  <c r="K117" i="86" s="1"/>
  <c r="CF176" i="91" s="1"/>
  <c r="J29" i="86"/>
  <c r="K29" i="86" s="1"/>
  <c r="BX176" i="91" s="1"/>
  <c r="J931" i="86"/>
  <c r="K931" i="86" s="1"/>
  <c r="CJ176" i="91" s="1"/>
  <c r="J904" i="86"/>
  <c r="J899" i="86"/>
  <c r="J855" i="86"/>
  <c r="J794" i="86"/>
  <c r="K794" i="86" s="1"/>
  <c r="J777" i="86"/>
  <c r="J739" i="86"/>
  <c r="K739" i="86" s="1"/>
  <c r="J722" i="86"/>
  <c r="K722" i="86" s="1"/>
  <c r="BB176" i="91" s="1"/>
  <c r="J684" i="86"/>
  <c r="K684" i="86" s="1"/>
  <c r="J667" i="86"/>
  <c r="K667" i="86" s="1"/>
  <c r="AO176" i="91" s="1"/>
  <c r="J640" i="86"/>
  <c r="J623" i="86"/>
  <c r="J767" i="86"/>
  <c r="J997" i="86"/>
  <c r="J965" i="86"/>
  <c r="J910" i="86"/>
  <c r="J887" i="86"/>
  <c r="K887" i="86" s="1"/>
  <c r="BS176" i="91" s="1"/>
  <c r="J860" i="86"/>
  <c r="J843" i="86"/>
  <c r="J800" i="86"/>
  <c r="J745" i="86"/>
  <c r="J690" i="86"/>
  <c r="J646" i="86"/>
  <c r="J602" i="86"/>
  <c r="J596" i="86"/>
  <c r="J959" i="86"/>
  <c r="K959" i="86" s="1"/>
  <c r="J942" i="86"/>
  <c r="J915" i="86"/>
  <c r="J13" i="86"/>
  <c r="J8" i="86"/>
  <c r="J921" i="86"/>
  <c r="J898" i="86"/>
  <c r="J871" i="86"/>
  <c r="K871" i="86" s="1"/>
  <c r="J854" i="86"/>
  <c r="K854" i="86" s="1"/>
  <c r="BN176" i="91" s="1"/>
  <c r="J816" i="86"/>
  <c r="J756" i="86"/>
  <c r="J712" i="86"/>
  <c r="K712" i="86" s="1"/>
  <c r="BA177" i="91" s="1"/>
  <c r="J657" i="86"/>
  <c r="J613" i="86"/>
  <c r="K613" i="86" s="1"/>
  <c r="AJ177" i="91" s="1"/>
  <c r="J334" i="86"/>
  <c r="J337" i="86"/>
  <c r="K337" i="86" s="1"/>
  <c r="D176" i="91" s="1"/>
  <c r="M339" i="86"/>
  <c r="N339" i="86" s="1"/>
  <c r="D178" i="92" s="1"/>
  <c r="J344" i="86"/>
  <c r="M350" i="86"/>
  <c r="J353" i="86"/>
  <c r="K353" i="86" s="1"/>
  <c r="E181" i="91" s="1"/>
  <c r="M359" i="86"/>
  <c r="N359" i="86" s="1"/>
  <c r="F176" i="92" s="1"/>
  <c r="M364" i="86"/>
  <c r="N364" i="86" s="1"/>
  <c r="F181" i="92" s="1"/>
  <c r="M367" i="86"/>
  <c r="J371" i="86"/>
  <c r="J376" i="86"/>
  <c r="K376" i="86" s="1"/>
  <c r="M382" i="86"/>
  <c r="J385" i="86"/>
  <c r="J394" i="86"/>
  <c r="K394" i="86" s="1"/>
  <c r="I178" i="91" s="1"/>
  <c r="M399" i="86"/>
  <c r="J403" i="86"/>
  <c r="K403" i="86" s="1"/>
  <c r="J176" i="91" s="1"/>
  <c r="M408" i="86"/>
  <c r="J411" i="86"/>
  <c r="M417" i="86"/>
  <c r="N417" i="86" s="1"/>
  <c r="K179" i="92" s="1"/>
  <c r="J420" i="86"/>
  <c r="M426" i="86"/>
  <c r="J429" i="86"/>
  <c r="J438" i="86"/>
  <c r="M443" i="86"/>
  <c r="N443" i="86" s="1"/>
  <c r="J447" i="86"/>
  <c r="M452" i="86"/>
  <c r="N452" i="86" s="1"/>
  <c r="N181" i="92" s="1"/>
  <c r="J455" i="86"/>
  <c r="K455" i="86" s="1"/>
  <c r="M461" i="86"/>
  <c r="J464" i="86"/>
  <c r="M470" i="86"/>
  <c r="N470" i="86" s="1"/>
  <c r="P177" i="92" s="1"/>
  <c r="J473" i="86"/>
  <c r="M484" i="86"/>
  <c r="J487" i="86"/>
  <c r="K487" i="86" s="1"/>
  <c r="M493" i="86"/>
  <c r="N493" i="86" s="1"/>
  <c r="R178" i="92" s="1"/>
  <c r="J496" i="86"/>
  <c r="K496" i="86" s="1"/>
  <c r="R181" i="91" s="1"/>
  <c r="M502" i="86"/>
  <c r="J505" i="86"/>
  <c r="M510" i="86"/>
  <c r="N510" i="86" s="1"/>
  <c r="J514" i="86"/>
  <c r="M519" i="86"/>
  <c r="N519" i="86" s="1"/>
  <c r="M528" i="86"/>
  <c r="N528" i="86" s="1"/>
  <c r="U180" i="92" s="1"/>
  <c r="J531" i="86"/>
  <c r="M537" i="86"/>
  <c r="N537" i="86" s="1"/>
  <c r="V178" i="92" s="1"/>
  <c r="M542" i="86"/>
  <c r="J546" i="86"/>
  <c r="M551" i="86"/>
  <c r="J554" i="86"/>
  <c r="M560" i="86"/>
  <c r="J563" i="86"/>
  <c r="K563" i="86" s="1"/>
  <c r="M569" i="86"/>
  <c r="N569" i="86" s="1"/>
  <c r="Y177" i="92" s="1"/>
  <c r="J572" i="86"/>
  <c r="M583" i="86"/>
  <c r="J586" i="86"/>
  <c r="J590" i="86"/>
  <c r="K590" i="86" s="1"/>
  <c r="AA176" i="91" s="1"/>
  <c r="M604" i="86"/>
  <c r="M612" i="86"/>
  <c r="N612" i="86" s="1"/>
  <c r="AJ176" i="92" s="1"/>
  <c r="M620" i="86"/>
  <c r="J653" i="86"/>
  <c r="J662" i="86"/>
  <c r="K662" i="86" s="1"/>
  <c r="M682" i="86"/>
  <c r="J686" i="86"/>
  <c r="M691" i="86"/>
  <c r="N691" i="86" s="1"/>
  <c r="AY178" i="92" s="1"/>
  <c r="J706" i="86"/>
  <c r="M711" i="86"/>
  <c r="N711" i="86" s="1"/>
  <c r="BA176" i="92" s="1"/>
  <c r="J715" i="86"/>
  <c r="K715" i="86" s="1"/>
  <c r="BA180" i="91" s="1"/>
  <c r="J735" i="86"/>
  <c r="K735" i="86" s="1"/>
  <c r="BC178" i="91" s="1"/>
  <c r="J740" i="86"/>
  <c r="J744" i="86"/>
  <c r="J749" i="86"/>
  <c r="J758" i="86"/>
  <c r="M778" i="86"/>
  <c r="M783" i="86"/>
  <c r="N783" i="86" s="1"/>
  <c r="J788" i="86"/>
  <c r="K788" i="86" s="1"/>
  <c r="BH176" i="91" s="1"/>
  <c r="M793" i="86"/>
  <c r="N793" i="86" s="1"/>
  <c r="BH181" i="92" s="1"/>
  <c r="M802" i="86"/>
  <c r="N802" i="86" s="1"/>
  <c r="BI179" i="92" s="1"/>
  <c r="M810" i="86"/>
  <c r="M815" i="86"/>
  <c r="M829" i="86"/>
  <c r="N829" i="86" s="1"/>
  <c r="M838" i="86"/>
  <c r="J857" i="86"/>
  <c r="K857" i="86" s="1"/>
  <c r="BN179" i="91" s="1"/>
  <c r="M862" i="86"/>
  <c r="J866" i="86"/>
  <c r="K866" i="86" s="1"/>
  <c r="BO177" i="91" s="1"/>
  <c r="M923" i="86"/>
  <c r="J971" i="86"/>
  <c r="M129" i="86"/>
  <c r="M68" i="86"/>
  <c r="M7" i="86"/>
  <c r="M139" i="86"/>
  <c r="M123" i="86"/>
  <c r="N123" i="86" s="1"/>
  <c r="M118" i="86"/>
  <c r="N118" i="86" s="1"/>
  <c r="CF177" i="92" s="1"/>
  <c r="M63" i="86"/>
  <c r="N63" i="86" s="1"/>
  <c r="CA177" i="92" s="1"/>
  <c r="M35" i="86"/>
  <c r="M30" i="86"/>
  <c r="M24" i="86"/>
  <c r="M695" i="86"/>
  <c r="M981" i="86"/>
  <c r="M73" i="86"/>
  <c r="N73" i="86" s="1"/>
  <c r="CB176" i="92" s="1"/>
  <c r="M57" i="86"/>
  <c r="N57" i="86" s="1"/>
  <c r="M41" i="86"/>
  <c r="N41" i="86" s="1"/>
  <c r="BY177" i="92" s="1"/>
  <c r="M19" i="86"/>
  <c r="M701" i="86"/>
  <c r="M987" i="86"/>
  <c r="N987" i="86" s="1"/>
  <c r="CO177" i="92" s="1"/>
  <c r="M964" i="86"/>
  <c r="M128" i="86"/>
  <c r="N128" i="86" s="1"/>
  <c r="CG176" i="92" s="1"/>
  <c r="M112" i="86"/>
  <c r="M2" i="86"/>
  <c r="M761" i="86"/>
  <c r="M992" i="86"/>
  <c r="M975" i="86"/>
  <c r="M943" i="86"/>
  <c r="M117" i="86"/>
  <c r="M62" i="86"/>
  <c r="N62" i="86" s="1"/>
  <c r="CA176" i="92" s="1"/>
  <c r="M29" i="86"/>
  <c r="M13" i="86"/>
  <c r="M8" i="86"/>
  <c r="M767" i="86"/>
  <c r="M998" i="86"/>
  <c r="M948" i="86"/>
  <c r="N948" i="86" s="1"/>
  <c r="M134" i="86"/>
  <c r="M74" i="86"/>
  <c r="N74" i="86" s="1"/>
  <c r="CB177" i="92" s="1"/>
  <c r="M18" i="86"/>
  <c r="M959" i="86"/>
  <c r="M942" i="86"/>
  <c r="M700" i="86"/>
  <c r="M970" i="86"/>
  <c r="M893" i="86"/>
  <c r="N893" i="86" s="1"/>
  <c r="M876" i="86"/>
  <c r="M849" i="86"/>
  <c r="M832" i="86"/>
  <c r="M821" i="86"/>
  <c r="M789" i="86"/>
  <c r="N789" i="86" s="1"/>
  <c r="BH177" i="92" s="1"/>
  <c r="M734" i="86"/>
  <c r="M679" i="86"/>
  <c r="M635" i="86"/>
  <c r="N635" i="86" s="1"/>
  <c r="AL177" i="92" s="1"/>
  <c r="M931" i="86"/>
  <c r="M904" i="86"/>
  <c r="M899" i="86"/>
  <c r="N899" i="86" s="1"/>
  <c r="BT177" i="92" s="1"/>
  <c r="M855" i="86"/>
  <c r="N855" i="86" s="1"/>
  <c r="BN177" i="92" s="1"/>
  <c r="M794" i="86"/>
  <c r="M777" i="86"/>
  <c r="M739" i="86"/>
  <c r="M722" i="86"/>
  <c r="N722" i="86" s="1"/>
  <c r="BB176" i="92" s="1"/>
  <c r="M684" i="86"/>
  <c r="M667" i="86"/>
  <c r="N667" i="86" s="1"/>
  <c r="AO176" i="92" s="1"/>
  <c r="M640" i="86"/>
  <c r="M623" i="86"/>
  <c r="M40" i="86"/>
  <c r="M997" i="86"/>
  <c r="M965" i="86"/>
  <c r="M910" i="86"/>
  <c r="M887" i="86"/>
  <c r="N887" i="86" s="1"/>
  <c r="BS176" i="92" s="1"/>
  <c r="M860" i="86"/>
  <c r="M843" i="86"/>
  <c r="N843" i="86" s="1"/>
  <c r="BM176" i="92" s="1"/>
  <c r="M800" i="86"/>
  <c r="M745" i="86"/>
  <c r="M690" i="86"/>
  <c r="M646" i="86"/>
  <c r="M602" i="86"/>
  <c r="M915" i="86"/>
  <c r="M866" i="86"/>
  <c r="M811" i="86"/>
  <c r="M805" i="86"/>
  <c r="N805" i="86" s="1"/>
  <c r="M788" i="86"/>
  <c r="M750" i="86"/>
  <c r="M733" i="86"/>
  <c r="M706" i="86"/>
  <c r="M678" i="86"/>
  <c r="N678" i="86" s="1"/>
  <c r="AT176" i="92" s="1"/>
  <c r="M651" i="86"/>
  <c r="N651" i="86" s="1"/>
  <c r="M634" i="86"/>
  <c r="N634" i="86" s="1"/>
  <c r="AL176" i="92" s="1"/>
  <c r="M607" i="86"/>
  <c r="N607" i="86" s="1"/>
  <c r="M921" i="86"/>
  <c r="N921" i="86" s="1"/>
  <c r="CI177" i="92" s="1"/>
  <c r="M140" i="86"/>
  <c r="M766" i="86"/>
  <c r="M954" i="86"/>
  <c r="M926" i="86"/>
  <c r="M909" i="86"/>
  <c r="M877" i="86"/>
  <c r="N877" i="86" s="1"/>
  <c r="BR177" i="92" s="1"/>
  <c r="M833" i="86"/>
  <c r="M827" i="86"/>
  <c r="M822" i="86"/>
  <c r="M799" i="86"/>
  <c r="M772" i="86"/>
  <c r="N772" i="86" s="1"/>
  <c r="M744" i="86"/>
  <c r="M717" i="86"/>
  <c r="M689" i="86"/>
  <c r="N689" i="86" s="1"/>
  <c r="AY176" i="92" s="1"/>
  <c r="M662" i="86"/>
  <c r="N662" i="86" s="1"/>
  <c r="M645" i="86"/>
  <c r="N645" i="86" s="1"/>
  <c r="AM176" i="92" s="1"/>
  <c r="M618" i="86"/>
  <c r="M601" i="86"/>
  <c r="J356" i="86"/>
  <c r="K356" i="86" s="1"/>
  <c r="M371" i="86"/>
  <c r="J374" i="86"/>
  <c r="K374" i="86" s="1"/>
  <c r="G180" i="91" s="1"/>
  <c r="M376" i="86"/>
  <c r="N376" i="86" s="1"/>
  <c r="J397" i="86"/>
  <c r="K397" i="86" s="1"/>
  <c r="I181" i="91" s="1"/>
  <c r="M403" i="86"/>
  <c r="N403" i="86" s="1"/>
  <c r="J176" i="92" s="1"/>
  <c r="M420" i="86"/>
  <c r="J441" i="86"/>
  <c r="M447" i="86"/>
  <c r="M464" i="86"/>
  <c r="N464" i="86" s="1"/>
  <c r="J499" i="86"/>
  <c r="M514" i="86"/>
  <c r="N514" i="86" s="1"/>
  <c r="T177" i="92" s="1"/>
  <c r="J517" i="86"/>
  <c r="K517" i="86" s="1"/>
  <c r="T180" i="91" s="1"/>
  <c r="J540" i="86"/>
  <c r="M546" i="86"/>
  <c r="J549" i="86"/>
  <c r="M554" i="86"/>
  <c r="M563" i="86"/>
  <c r="M572" i="86"/>
  <c r="J575" i="86"/>
  <c r="J581" i="86"/>
  <c r="K581" i="86" s="1"/>
  <c r="Z178" i="91" s="1"/>
  <c r="M590" i="86"/>
  <c r="J593" i="86"/>
  <c r="M596" i="86"/>
  <c r="J608" i="86"/>
  <c r="J616" i="86"/>
  <c r="J625" i="86"/>
  <c r="K625" i="86" s="1"/>
  <c r="AK178" i="91" s="1"/>
  <c r="M749" i="86"/>
  <c r="N749" i="86" s="1"/>
  <c r="BD181" i="92" s="1"/>
  <c r="M774" i="86"/>
  <c r="N774" i="86" s="1"/>
  <c r="M844" i="86"/>
  <c r="N844" i="86" s="1"/>
  <c r="BM177" i="92" s="1"/>
  <c r="J848" i="86"/>
  <c r="J891" i="86"/>
  <c r="J900" i="86"/>
  <c r="K900" i="86" s="1"/>
  <c r="BT178" i="91" s="1"/>
  <c r="J909" i="86"/>
  <c r="J914" i="86"/>
  <c r="J76" i="86"/>
  <c r="K76" i="86" s="1"/>
  <c r="CB179" i="91" s="1"/>
  <c r="J58" i="86"/>
  <c r="K58" i="86" s="1"/>
  <c r="J36" i="86"/>
  <c r="J20" i="86"/>
  <c r="J131" i="86"/>
  <c r="J113" i="86"/>
  <c r="K113" i="86" s="1"/>
  <c r="J42" i="86"/>
  <c r="J3" i="86"/>
  <c r="J762" i="86"/>
  <c r="J993" i="86"/>
  <c r="J944" i="86"/>
  <c r="K944" i="86" s="1"/>
  <c r="CK178" i="91" s="1"/>
  <c r="J141" i="86"/>
  <c r="K141" i="86" s="1"/>
  <c r="CH178" i="91" s="1"/>
  <c r="J120" i="86"/>
  <c r="J65" i="86"/>
  <c r="K65" i="86" s="1"/>
  <c r="CA179" i="91" s="1"/>
  <c r="J14" i="86"/>
  <c r="J9" i="86"/>
  <c r="K9" i="86" s="1"/>
  <c r="BV178" i="91" s="1"/>
  <c r="J768" i="86"/>
  <c r="K768" i="86" s="1"/>
  <c r="BF178" i="91" s="1"/>
  <c r="J999" i="86"/>
  <c r="J967" i="86"/>
  <c r="J135" i="86"/>
  <c r="J75" i="86"/>
  <c r="J32" i="86"/>
  <c r="J978" i="86"/>
  <c r="J955" i="86"/>
  <c r="K955" i="86" s="1"/>
  <c r="CL178" i="91" s="1"/>
  <c r="J130" i="86"/>
  <c r="K130" i="86" s="1"/>
  <c r="CG178" i="91" s="1"/>
  <c r="J69" i="86"/>
  <c r="K69" i="86" s="1"/>
  <c r="J21" i="86"/>
  <c r="J960" i="86"/>
  <c r="J124" i="86"/>
  <c r="J119" i="86"/>
  <c r="J64" i="86"/>
  <c r="K64" i="86" s="1"/>
  <c r="CA178" i="91" s="1"/>
  <c r="J31" i="86"/>
  <c r="K31" i="86" s="1"/>
  <c r="BX178" i="91" s="1"/>
  <c r="J25" i="86"/>
  <c r="K25" i="86" s="1"/>
  <c r="J10" i="86"/>
  <c r="K10" i="86" s="1"/>
  <c r="BV179" i="91" s="1"/>
  <c r="J977" i="86"/>
  <c r="J945" i="86"/>
  <c r="K945" i="86" s="1"/>
  <c r="CK179" i="91" s="1"/>
  <c r="J43" i="86"/>
  <c r="J696" i="86"/>
  <c r="K696" i="86" s="1"/>
  <c r="J142" i="86"/>
  <c r="J769" i="86"/>
  <c r="J989" i="86"/>
  <c r="K989" i="86" s="1"/>
  <c r="CO179" i="91" s="1"/>
  <c r="J966" i="86"/>
  <c r="K966" i="86" s="1"/>
  <c r="CM178" i="91" s="1"/>
  <c r="J911" i="86"/>
  <c r="J879" i="86"/>
  <c r="J861" i="86"/>
  <c r="J835" i="86"/>
  <c r="J824" i="86"/>
  <c r="J801" i="86"/>
  <c r="K801" i="86" s="1"/>
  <c r="BI178" i="91" s="1"/>
  <c r="J746" i="86"/>
  <c r="J691" i="86"/>
  <c r="K691" i="86" s="1"/>
  <c r="AY178" i="91" s="1"/>
  <c r="J647" i="86"/>
  <c r="K647" i="86" s="1"/>
  <c r="AM178" i="91" s="1"/>
  <c r="J603" i="86"/>
  <c r="J597" i="86"/>
  <c r="J934" i="86"/>
  <c r="J916" i="86"/>
  <c r="J867" i="86"/>
  <c r="J812" i="86"/>
  <c r="K812" i="86" s="1"/>
  <c r="BJ178" i="91" s="1"/>
  <c r="J806" i="86"/>
  <c r="K806" i="86" s="1"/>
  <c r="J780" i="86"/>
  <c r="J751" i="86"/>
  <c r="J725" i="86"/>
  <c r="J707" i="86"/>
  <c r="J670" i="86"/>
  <c r="J652" i="86"/>
  <c r="K652" i="86" s="1"/>
  <c r="J626" i="86"/>
  <c r="K626" i="86" s="1"/>
  <c r="AK179" i="91" s="1"/>
  <c r="J703" i="86"/>
  <c r="J956" i="86"/>
  <c r="K956" i="86" s="1"/>
  <c r="CL179" i="91" s="1"/>
  <c r="J922" i="86"/>
  <c r="J890" i="86"/>
  <c r="J872" i="86"/>
  <c r="K872" i="86" s="1"/>
  <c r="J846" i="86"/>
  <c r="J817" i="86"/>
  <c r="J757" i="86"/>
  <c r="J713" i="86"/>
  <c r="K713" i="86" s="1"/>
  <c r="BA178" i="91" s="1"/>
  <c r="J658" i="86"/>
  <c r="K658" i="86" s="1"/>
  <c r="AN178" i="91" s="1"/>
  <c r="J614" i="86"/>
  <c r="J988" i="86"/>
  <c r="J927" i="86"/>
  <c r="J901" i="86"/>
  <c r="J878" i="86"/>
  <c r="K878" i="86" s="1"/>
  <c r="BR178" i="91" s="1"/>
  <c r="J834" i="86"/>
  <c r="K834" i="86" s="1"/>
  <c r="BL178" i="91" s="1"/>
  <c r="J828" i="86"/>
  <c r="K828" i="86" s="1"/>
  <c r="J823" i="86"/>
  <c r="K823" i="86" s="1"/>
  <c r="BK178" i="91" s="1"/>
  <c r="J791" i="86"/>
  <c r="J773" i="86"/>
  <c r="J736" i="86"/>
  <c r="J718" i="86"/>
  <c r="J681" i="86"/>
  <c r="K681" i="86" s="1"/>
  <c r="AT179" i="91" s="1"/>
  <c r="J663" i="86"/>
  <c r="K663" i="86" s="1"/>
  <c r="J637" i="86"/>
  <c r="K637" i="86" s="1"/>
  <c r="AL179" i="91" s="1"/>
  <c r="J619" i="86"/>
  <c r="J982" i="86"/>
  <c r="J933" i="86"/>
  <c r="J702" i="86"/>
  <c r="J1000" i="86"/>
  <c r="J938" i="86"/>
  <c r="K938" i="86" s="1"/>
  <c r="J912" i="86"/>
  <c r="K912" i="86" s="1"/>
  <c r="BU179" i="91" s="1"/>
  <c r="J889" i="86"/>
  <c r="K889" i="86" s="1"/>
  <c r="BS178" i="91" s="1"/>
  <c r="J845" i="86"/>
  <c r="K845" i="86" s="1"/>
  <c r="BM178" i="91" s="1"/>
  <c r="J802" i="86"/>
  <c r="J784" i="86"/>
  <c r="J747" i="86"/>
  <c r="K747" i="86" s="1"/>
  <c r="BD179" i="91" s="1"/>
  <c r="J729" i="86"/>
  <c r="J692" i="86"/>
  <c r="K692" i="86" s="1"/>
  <c r="AY179" i="91" s="1"/>
  <c r="J674" i="86"/>
  <c r="K674" i="86" s="1"/>
  <c r="J648" i="86"/>
  <c r="J630" i="86"/>
  <c r="K630" i="86" s="1"/>
  <c r="J604" i="86"/>
  <c r="M332" i="86"/>
  <c r="J339" i="86"/>
  <c r="M341" i="86"/>
  <c r="M348" i="86"/>
  <c r="N348" i="86" s="1"/>
  <c r="E176" i="92" s="1"/>
  <c r="J351" i="86"/>
  <c r="K351" i="86" s="1"/>
  <c r="E179" i="91" s="1"/>
  <c r="M356" i="86"/>
  <c r="M365" i="86"/>
  <c r="N365" i="86" s="1"/>
  <c r="M374" i="86"/>
  <c r="J383" i="86"/>
  <c r="M397" i="86"/>
  <c r="J400" i="86"/>
  <c r="M415" i="86"/>
  <c r="N415" i="86" s="1"/>
  <c r="K177" i="92" s="1"/>
  <c r="J418" i="86"/>
  <c r="K418" i="86" s="1"/>
  <c r="K180" i="91" s="1"/>
  <c r="J427" i="86"/>
  <c r="M441" i="86"/>
  <c r="J444" i="86"/>
  <c r="M459" i="86"/>
  <c r="J462" i="86"/>
  <c r="J471" i="86"/>
  <c r="J485" i="86"/>
  <c r="K485" i="86" s="1"/>
  <c r="Q181" i="91" s="1"/>
  <c r="M491" i="86"/>
  <c r="N491" i="86" s="1"/>
  <c r="R176" i="92" s="1"/>
  <c r="J494" i="86"/>
  <c r="M499" i="86"/>
  <c r="M508" i="86"/>
  <c r="M517" i="86"/>
  <c r="J520" i="86"/>
  <c r="J529" i="86"/>
  <c r="M535" i="86"/>
  <c r="N535" i="86" s="1"/>
  <c r="V176" i="92" s="1"/>
  <c r="J538" i="86"/>
  <c r="M540" i="86"/>
  <c r="J543" i="86"/>
  <c r="K543" i="86" s="1"/>
  <c r="M549" i="86"/>
  <c r="J552" i="86"/>
  <c r="M558" i="86"/>
  <c r="J561" i="86"/>
  <c r="J570" i="86"/>
  <c r="K570" i="86" s="1"/>
  <c r="Y178" i="91" s="1"/>
  <c r="M575" i="86"/>
  <c r="N575" i="86" s="1"/>
  <c r="J579" i="86"/>
  <c r="M581" i="86"/>
  <c r="N581" i="86" s="1"/>
  <c r="Z178" i="92" s="1"/>
  <c r="J584" i="86"/>
  <c r="M605" i="86"/>
  <c r="M613" i="86"/>
  <c r="N613" i="86" s="1"/>
  <c r="AJ177" i="92" s="1"/>
  <c r="J636" i="86"/>
  <c r="J641" i="86"/>
  <c r="K641" i="86" s="1"/>
  <c r="J645" i="86"/>
  <c r="K645" i="86" s="1"/>
  <c r="AM176" i="91" s="1"/>
  <c r="J650" i="86"/>
  <c r="J659" i="86"/>
  <c r="M668" i="86"/>
  <c r="M673" i="86"/>
  <c r="J678" i="86"/>
  <c r="M683" i="86"/>
  <c r="M692" i="86"/>
  <c r="N692" i="86" s="1"/>
  <c r="AY179" i="92" s="1"/>
  <c r="M712" i="86"/>
  <c r="N712" i="86" s="1"/>
  <c r="BA177" i="92" s="1"/>
  <c r="J726" i="86"/>
  <c r="J779" i="86"/>
  <c r="M784" i="86"/>
  <c r="M807" i="86"/>
  <c r="J811" i="86"/>
  <c r="K811" i="86" s="1"/>
  <c r="BJ177" i="91" s="1"/>
  <c r="M816" i="86"/>
  <c r="N816" i="86" s="1"/>
  <c r="J825" i="86"/>
  <c r="K825" i="86" s="1"/>
  <c r="BK180" i="91" s="1"/>
  <c r="M835" i="86"/>
  <c r="J839" i="86"/>
  <c r="M854" i="86"/>
  <c r="N854" i="86" s="1"/>
  <c r="BN176" i="92" s="1"/>
  <c r="J877" i="86"/>
  <c r="J882" i="86"/>
  <c r="M891" i="86"/>
  <c r="M914" i="86"/>
  <c r="J935" i="86"/>
  <c r="K935" i="86" s="1"/>
  <c r="CJ180" i="91" s="1"/>
  <c r="M953" i="86"/>
  <c r="M131" i="86"/>
  <c r="M113" i="86"/>
  <c r="N113" i="86" s="1"/>
  <c r="M42" i="86"/>
  <c r="M141" i="86"/>
  <c r="M3" i="86"/>
  <c r="M120" i="86"/>
  <c r="M65" i="86"/>
  <c r="N65" i="86" s="1"/>
  <c r="CA179" i="92" s="1"/>
  <c r="M14" i="86"/>
  <c r="N14" i="86" s="1"/>
  <c r="M9" i="86"/>
  <c r="M768" i="86"/>
  <c r="N768" i="86" s="1"/>
  <c r="BF178" i="92" s="1"/>
  <c r="M999" i="86"/>
  <c r="M967" i="86"/>
  <c r="M949" i="86"/>
  <c r="M135" i="86"/>
  <c r="M75" i="86"/>
  <c r="N75" i="86" s="1"/>
  <c r="CB178" i="92" s="1"/>
  <c r="M32" i="86"/>
  <c r="M978" i="86"/>
  <c r="M955" i="86"/>
  <c r="N955" i="86" s="1"/>
  <c r="CL178" i="92" s="1"/>
  <c r="M130" i="86"/>
  <c r="M69" i="86"/>
  <c r="M21" i="86"/>
  <c r="M960" i="86"/>
  <c r="M142" i="86"/>
  <c r="N142" i="86" s="1"/>
  <c r="CH179" i="92" s="1"/>
  <c r="M43" i="86"/>
  <c r="N43" i="86" s="1"/>
  <c r="BY179" i="92" s="1"/>
  <c r="M703" i="86"/>
  <c r="M989" i="86"/>
  <c r="N989" i="86" s="1"/>
  <c r="CO179" i="92" s="1"/>
  <c r="M971" i="86"/>
  <c r="M966" i="86"/>
  <c r="M76" i="86"/>
  <c r="N76" i="86" s="1"/>
  <c r="CB179" i="92" s="1"/>
  <c r="M58" i="86"/>
  <c r="M36" i="86"/>
  <c r="M20" i="86"/>
  <c r="N20" i="86" s="1"/>
  <c r="BW178" i="92" s="1"/>
  <c r="M696" i="86"/>
  <c r="M769" i="86"/>
  <c r="M1000" i="86"/>
  <c r="M982" i="86"/>
  <c r="M119" i="86"/>
  <c r="N119" i="86" s="1"/>
  <c r="CF178" i="92" s="1"/>
  <c r="M31" i="86"/>
  <c r="M124" i="86"/>
  <c r="N124" i="86" s="1"/>
  <c r="M25" i="86"/>
  <c r="N25" i="86" s="1"/>
  <c r="M934" i="86"/>
  <c r="M916" i="86"/>
  <c r="N916" i="86" s="1"/>
  <c r="M867" i="86"/>
  <c r="M812" i="86"/>
  <c r="M806" i="86"/>
  <c r="N806" i="86" s="1"/>
  <c r="M780" i="86"/>
  <c r="M751" i="86"/>
  <c r="N751" i="86" s="1"/>
  <c r="M725" i="86"/>
  <c r="N725" i="86" s="1"/>
  <c r="BB179" i="92" s="1"/>
  <c r="M707" i="86"/>
  <c r="M670" i="86"/>
  <c r="N670" i="86" s="1"/>
  <c r="AO179" i="92" s="1"/>
  <c r="M652" i="86"/>
  <c r="M626" i="86"/>
  <c r="M608" i="86"/>
  <c r="M10" i="86"/>
  <c r="M956" i="86"/>
  <c r="N956" i="86" s="1"/>
  <c r="CL179" i="92" s="1"/>
  <c r="M944" i="86"/>
  <c r="N944" i="86" s="1"/>
  <c r="CK178" i="92" s="1"/>
  <c r="M922" i="86"/>
  <c r="N922" i="86" s="1"/>
  <c r="CI178" i="92" s="1"/>
  <c r="M890" i="86"/>
  <c r="M872" i="86"/>
  <c r="M846" i="86"/>
  <c r="M817" i="86"/>
  <c r="M757" i="86"/>
  <c r="M713" i="86"/>
  <c r="N713" i="86" s="1"/>
  <c r="BA178" i="92" s="1"/>
  <c r="M658" i="86"/>
  <c r="N658" i="86" s="1"/>
  <c r="AN178" i="92" s="1"/>
  <c r="M993" i="86"/>
  <c r="M988" i="86"/>
  <c r="M927" i="86"/>
  <c r="M901" i="86"/>
  <c r="M878" i="86"/>
  <c r="N878" i="86" s="1"/>
  <c r="BR178" i="92" s="1"/>
  <c r="M834" i="86"/>
  <c r="M828" i="86"/>
  <c r="N828" i="86" s="1"/>
  <c r="M823" i="86"/>
  <c r="N823" i="86" s="1"/>
  <c r="BK178" i="92" s="1"/>
  <c r="M791" i="86"/>
  <c r="M773" i="86"/>
  <c r="N773" i="86" s="1"/>
  <c r="M736" i="86"/>
  <c r="M718" i="86"/>
  <c r="M681" i="86"/>
  <c r="N681" i="86" s="1"/>
  <c r="AT179" i="92" s="1"/>
  <c r="M663" i="86"/>
  <c r="M637" i="86"/>
  <c r="M619" i="86"/>
  <c r="M933" i="86"/>
  <c r="M883" i="86"/>
  <c r="M857" i="86"/>
  <c r="M839" i="86"/>
  <c r="M779" i="86"/>
  <c r="M724" i="86"/>
  <c r="M669" i="86"/>
  <c r="M625" i="86"/>
  <c r="N625" i="86" s="1"/>
  <c r="AK178" i="92" s="1"/>
  <c r="M593" i="86"/>
  <c r="M702" i="86"/>
  <c r="M938" i="86"/>
  <c r="M64" i="86"/>
  <c r="M762" i="86"/>
  <c r="M977" i="86"/>
  <c r="M900" i="86"/>
  <c r="N900" i="86" s="1"/>
  <c r="BT178" i="92" s="1"/>
  <c r="M894" i="86"/>
  <c r="N894" i="86" s="1"/>
  <c r="M868" i="86"/>
  <c r="M850" i="86"/>
  <c r="N850" i="86" s="1"/>
  <c r="M813" i="86"/>
  <c r="M790" i="86"/>
  <c r="N790" i="86" s="1"/>
  <c r="BH178" i="92" s="1"/>
  <c r="M735" i="86"/>
  <c r="N735" i="86" s="1"/>
  <c r="BC178" i="92" s="1"/>
  <c r="M680" i="86"/>
  <c r="M636" i="86"/>
  <c r="N636" i="86" s="1"/>
  <c r="AL178" i="92" s="1"/>
  <c r="M333" i="86"/>
  <c r="N333" i="86" s="1"/>
  <c r="J340" i="86"/>
  <c r="M342" i="86"/>
  <c r="N342" i="86" s="1"/>
  <c r="D181" i="92" s="1"/>
  <c r="J345" i="86"/>
  <c r="M351" i="86"/>
  <c r="J354" i="86"/>
  <c r="M360" i="86"/>
  <c r="J372" i="86"/>
  <c r="K372" i="86" s="1"/>
  <c r="G178" i="91" s="1"/>
  <c r="J377" i="86"/>
  <c r="M383" i="86"/>
  <c r="J386" i="86"/>
  <c r="M392" i="86"/>
  <c r="J395" i="86"/>
  <c r="M400" i="86"/>
  <c r="N400" i="86" s="1"/>
  <c r="J404" i="86"/>
  <c r="M409" i="86"/>
  <c r="M418" i="86"/>
  <c r="N418" i="86" s="1"/>
  <c r="K180" i="92" s="1"/>
  <c r="J421" i="86"/>
  <c r="M427" i="86"/>
  <c r="N427" i="86" s="1"/>
  <c r="L178" i="92" s="1"/>
  <c r="J430" i="86"/>
  <c r="M436" i="86"/>
  <c r="N436" i="86" s="1"/>
  <c r="M176" i="92" s="1"/>
  <c r="J439" i="86"/>
  <c r="K439" i="86" s="1"/>
  <c r="M179" i="91" s="1"/>
  <c r="M444" i="86"/>
  <c r="J448" i="86"/>
  <c r="M453" i="86"/>
  <c r="N453" i="86" s="1"/>
  <c r="M462" i="86"/>
  <c r="J465" i="86"/>
  <c r="M471" i="86"/>
  <c r="N471" i="86" s="1"/>
  <c r="P178" i="92" s="1"/>
  <c r="J474" i="86"/>
  <c r="J480" i="86"/>
  <c r="K480" i="86" s="1"/>
  <c r="Q176" i="91" s="1"/>
  <c r="M485" i="86"/>
  <c r="J488" i="86"/>
  <c r="M494" i="86"/>
  <c r="N494" i="86" s="1"/>
  <c r="R179" i="92" s="1"/>
  <c r="J497" i="86"/>
  <c r="M503" i="86"/>
  <c r="J506" i="86"/>
  <c r="J515" i="86"/>
  <c r="M520" i="86"/>
  <c r="N520" i="86" s="1"/>
  <c r="J524" i="86"/>
  <c r="M529" i="86"/>
  <c r="N529" i="86" s="1"/>
  <c r="U181" i="92" s="1"/>
  <c r="J532" i="86"/>
  <c r="M538" i="86"/>
  <c r="M543" i="86"/>
  <c r="N543" i="86" s="1"/>
  <c r="J547" i="86"/>
  <c r="M552" i="86"/>
  <c r="M561" i="86"/>
  <c r="N561" i="86" s="1"/>
  <c r="X180" i="92" s="1"/>
  <c r="J564" i="86"/>
  <c r="M570" i="86"/>
  <c r="N570" i="86" s="1"/>
  <c r="Y178" i="92" s="1"/>
  <c r="J573" i="86"/>
  <c r="M579" i="86"/>
  <c r="M584" i="86"/>
  <c r="M587" i="86"/>
  <c r="J591" i="86"/>
  <c r="J594" i="86"/>
  <c r="K594" i="86" s="1"/>
  <c r="AA180" i="91" s="1"/>
  <c r="M597" i="86"/>
  <c r="J601" i="86"/>
  <c r="K601" i="86" s="1"/>
  <c r="AI176" i="91" s="1"/>
  <c r="J609" i="86"/>
  <c r="J617" i="86"/>
  <c r="M641" i="86"/>
  <c r="M650" i="86"/>
  <c r="M659" i="86"/>
  <c r="M664" i="86"/>
  <c r="N664" i="86" s="1"/>
  <c r="J708" i="86"/>
  <c r="J717" i="86"/>
  <c r="K717" i="86" s="1"/>
  <c r="M737" i="86"/>
  <c r="N737" i="86" s="1"/>
  <c r="BC180" i="92" s="1"/>
  <c r="J741" i="86"/>
  <c r="M746" i="86"/>
  <c r="J750" i="86"/>
  <c r="M755" i="86"/>
  <c r="J759" i="86"/>
  <c r="J790" i="86"/>
  <c r="J795" i="86"/>
  <c r="K795" i="86" s="1"/>
  <c r="J799" i="86"/>
  <c r="J804" i="86"/>
  <c r="M845" i="86"/>
  <c r="N845" i="86" s="1"/>
  <c r="BM178" i="92" s="1"/>
  <c r="J859" i="86"/>
  <c r="J868" i="86"/>
  <c r="K868" i="86" s="1"/>
  <c r="BO179" i="91" s="1"/>
  <c r="M882" i="86"/>
  <c r="M920" i="86"/>
  <c r="J121" i="86"/>
  <c r="K121" i="86" s="1"/>
  <c r="CF180" i="91" s="1"/>
  <c r="J78" i="86"/>
  <c r="K78" i="86" s="1"/>
  <c r="CB181" i="91" s="1"/>
  <c r="J66" i="86"/>
  <c r="K66" i="86" s="1"/>
  <c r="CA180" i="91" s="1"/>
  <c r="J45" i="86"/>
  <c r="J15" i="86"/>
  <c r="J136" i="86"/>
  <c r="K136" i="86" s="1"/>
  <c r="J33" i="86"/>
  <c r="K33" i="86" s="1"/>
  <c r="BX180" i="91" s="1"/>
  <c r="J22" i="86"/>
  <c r="J12" i="86"/>
  <c r="K12" i="86" s="1"/>
  <c r="BV181" i="91" s="1"/>
  <c r="J143" i="86"/>
  <c r="K143" i="86" s="1"/>
  <c r="CH180" i="91" s="1"/>
  <c r="J70" i="86"/>
  <c r="J771" i="86"/>
  <c r="J1002" i="86"/>
  <c r="J961" i="86"/>
  <c r="K961" i="86" s="1"/>
  <c r="J133" i="86"/>
  <c r="K133" i="86" s="1"/>
  <c r="CG181" i="91" s="1"/>
  <c r="J44" i="86"/>
  <c r="J704" i="86"/>
  <c r="K704" i="86" s="1"/>
  <c r="AZ180" i="91" s="1"/>
  <c r="J990" i="86"/>
  <c r="J972" i="86"/>
  <c r="J958" i="86"/>
  <c r="J125" i="86"/>
  <c r="J77" i="86"/>
  <c r="K77" i="86" s="1"/>
  <c r="CB180" i="91" s="1"/>
  <c r="J67" i="86"/>
  <c r="K67" i="86" s="1"/>
  <c r="CA181" i="91" s="1"/>
  <c r="J59" i="86"/>
  <c r="J26" i="86"/>
  <c r="K26" i="86" s="1"/>
  <c r="J11" i="86"/>
  <c r="J946" i="86"/>
  <c r="J122" i="86"/>
  <c r="K122" i="86" s="1"/>
  <c r="CF181" i="91" s="1"/>
  <c r="J37" i="86"/>
  <c r="J697" i="86"/>
  <c r="J770" i="86"/>
  <c r="K770" i="86" s="1"/>
  <c r="BF180" i="91" s="1"/>
  <c r="J1001" i="86"/>
  <c r="J983" i="86"/>
  <c r="J969" i="86"/>
  <c r="K969" i="86" s="1"/>
  <c r="CM181" i="91" s="1"/>
  <c r="J144" i="86"/>
  <c r="K144" i="86" s="1"/>
  <c r="CH181" i="91" s="1"/>
  <c r="J4" i="86"/>
  <c r="J763" i="86"/>
  <c r="J994" i="86"/>
  <c r="J705" i="86"/>
  <c r="J928" i="86"/>
  <c r="J902" i="86"/>
  <c r="J870" i="86"/>
  <c r="K870" i="86" s="1"/>
  <c r="BO181" i="91" s="1"/>
  <c r="J829" i="86"/>
  <c r="J815" i="86"/>
  <c r="J792" i="86"/>
  <c r="J774" i="86"/>
  <c r="K774" i="86" s="1"/>
  <c r="J737" i="86"/>
  <c r="K737" i="86" s="1"/>
  <c r="BC180" i="91" s="1"/>
  <c r="J719" i="86"/>
  <c r="J682" i="86"/>
  <c r="K682" i="86" s="1"/>
  <c r="AT180" i="91" s="1"/>
  <c r="J664" i="86"/>
  <c r="K664" i="86" s="1"/>
  <c r="J638" i="86"/>
  <c r="J620" i="86"/>
  <c r="J132" i="86"/>
  <c r="J114" i="86"/>
  <c r="K114" i="86" s="1"/>
  <c r="J925" i="86"/>
  <c r="J884" i="86"/>
  <c r="J858" i="86"/>
  <c r="J840" i="86"/>
  <c r="J826" i="86"/>
  <c r="J760" i="86"/>
  <c r="J716" i="86"/>
  <c r="J661" i="86"/>
  <c r="J34" i="86"/>
  <c r="J979" i="86"/>
  <c r="J939" i="86"/>
  <c r="K939" i="86" s="1"/>
  <c r="J913" i="86"/>
  <c r="K913" i="86" s="1"/>
  <c r="BU180" i="91" s="1"/>
  <c r="J881" i="86"/>
  <c r="J837" i="86"/>
  <c r="J803" i="86"/>
  <c r="J785" i="86"/>
  <c r="K785" i="86" s="1"/>
  <c r="J748" i="86"/>
  <c r="K748" i="86" s="1"/>
  <c r="BD180" i="91" s="1"/>
  <c r="J730" i="86"/>
  <c r="J693" i="86"/>
  <c r="J675" i="86"/>
  <c r="J649" i="86"/>
  <c r="J631" i="86"/>
  <c r="J605" i="86"/>
  <c r="J947" i="86"/>
  <c r="K947" i="86" s="1"/>
  <c r="CK181" i="91" s="1"/>
  <c r="J936" i="86"/>
  <c r="K936" i="86" s="1"/>
  <c r="CJ181" i="91" s="1"/>
  <c r="J895" i="86"/>
  <c r="J869" i="86"/>
  <c r="J851" i="86"/>
  <c r="K851" i="86" s="1"/>
  <c r="J814" i="86"/>
  <c r="J782" i="86"/>
  <c r="K782" i="86" s="1"/>
  <c r="BG181" i="91" s="1"/>
  <c r="J727" i="86"/>
  <c r="J672" i="86"/>
  <c r="J628" i="86"/>
  <c r="J587" i="86"/>
  <c r="J23" i="86"/>
  <c r="K23" i="86" s="1"/>
  <c r="BW181" i="91" s="1"/>
  <c r="J950" i="86"/>
  <c r="K950" i="86" s="1"/>
  <c r="J924" i="86"/>
  <c r="J991" i="86"/>
  <c r="K991" i="86" s="1"/>
  <c r="CO181" i="91" s="1"/>
  <c r="J968" i="86"/>
  <c r="J903" i="86"/>
  <c r="J880" i="86"/>
  <c r="K880" i="86" s="1"/>
  <c r="BR180" i="91" s="1"/>
  <c r="J862" i="86"/>
  <c r="J836" i="86"/>
  <c r="K836" i="86" s="1"/>
  <c r="BL180" i="91" s="1"/>
  <c r="J807" i="86"/>
  <c r="K807" i="86" s="1"/>
  <c r="J793" i="86"/>
  <c r="J738" i="86"/>
  <c r="K738" i="86" s="1"/>
  <c r="BC181" i="91" s="1"/>
  <c r="J683" i="86"/>
  <c r="J639" i="86"/>
  <c r="K639" i="86" s="1"/>
  <c r="AL181" i="91" s="1"/>
  <c r="J598" i="86"/>
  <c r="K598" i="86" s="1"/>
  <c r="J341" i="86"/>
  <c r="M354" i="86"/>
  <c r="J363" i="86"/>
  <c r="K363" i="86" s="1"/>
  <c r="F180" i="91" s="1"/>
  <c r="J375" i="86"/>
  <c r="J389" i="86"/>
  <c r="M404" i="86"/>
  <c r="J407" i="86"/>
  <c r="K407" i="86" s="1"/>
  <c r="J180" i="91" s="1"/>
  <c r="J433" i="86"/>
  <c r="M448" i="86"/>
  <c r="J451" i="86"/>
  <c r="K451" i="86" s="1"/>
  <c r="N180" i="91" s="1"/>
  <c r="J477" i="86"/>
  <c r="K477" i="86" s="1"/>
  <c r="M480" i="86"/>
  <c r="M497" i="86"/>
  <c r="N497" i="86" s="1"/>
  <c r="J518" i="86"/>
  <c r="M524" i="86"/>
  <c r="N524" i="86" s="1"/>
  <c r="U176" i="92" s="1"/>
  <c r="M547" i="86"/>
  <c r="N547" i="86" s="1"/>
  <c r="W177" i="92" s="1"/>
  <c r="J550" i="86"/>
  <c r="J559" i="86"/>
  <c r="K559" i="86" s="1"/>
  <c r="X178" i="91" s="1"/>
  <c r="M573" i="86"/>
  <c r="J576" i="86"/>
  <c r="J582" i="86"/>
  <c r="K582" i="86" s="1"/>
  <c r="Z179" i="91" s="1"/>
  <c r="M591" i="86"/>
  <c r="M594" i="86"/>
  <c r="N594" i="86" s="1"/>
  <c r="AA180" i="92" s="1"/>
  <c r="J606" i="86"/>
  <c r="K606" i="86" s="1"/>
  <c r="AI181" i="91" s="1"/>
  <c r="J627" i="86"/>
  <c r="J669" i="86"/>
  <c r="K669" i="86" s="1"/>
  <c r="AO178" i="91" s="1"/>
  <c r="M804" i="86"/>
  <c r="M836" i="86"/>
  <c r="J850" i="86"/>
  <c r="M873" i="86"/>
  <c r="M888" i="86"/>
  <c r="N888" i="86" s="1"/>
  <c r="BS177" i="92" s="1"/>
  <c r="J892" i="86"/>
  <c r="J906" i="86"/>
  <c r="J949" i="86"/>
  <c r="J980" i="86"/>
  <c r="M986" i="86"/>
  <c r="M136" i="86"/>
  <c r="N136" i="86" s="1"/>
  <c r="M33" i="86"/>
  <c r="M22" i="86"/>
  <c r="M12" i="86"/>
  <c r="N12" i="86" s="1"/>
  <c r="BV181" i="92" s="1"/>
  <c r="M143" i="86"/>
  <c r="M70" i="86"/>
  <c r="N70" i="86" s="1"/>
  <c r="M133" i="86"/>
  <c r="N133" i="86" s="1"/>
  <c r="CG181" i="92" s="1"/>
  <c r="M44" i="86"/>
  <c r="M704" i="86"/>
  <c r="N704" i="86" s="1"/>
  <c r="AZ180" i="92" s="1"/>
  <c r="M990" i="86"/>
  <c r="N990" i="86" s="1"/>
  <c r="CO180" i="92" s="1"/>
  <c r="M972" i="86"/>
  <c r="M958" i="86"/>
  <c r="M125" i="86"/>
  <c r="M77" i="86"/>
  <c r="N77" i="86" s="1"/>
  <c r="CB180" i="92" s="1"/>
  <c r="M67" i="86"/>
  <c r="N67" i="86" s="1"/>
  <c r="CA181" i="92" s="1"/>
  <c r="M59" i="86"/>
  <c r="N59" i="86" s="1"/>
  <c r="M26" i="86"/>
  <c r="N26" i="86" s="1"/>
  <c r="M11" i="86"/>
  <c r="M122" i="86"/>
  <c r="N122" i="86" s="1"/>
  <c r="CF181" i="92" s="1"/>
  <c r="M37" i="86"/>
  <c r="N37" i="86" s="1"/>
  <c r="M697" i="86"/>
  <c r="M770" i="86"/>
  <c r="N770" i="86" s="1"/>
  <c r="BF180" i="92" s="1"/>
  <c r="M1001" i="86"/>
  <c r="M983" i="86"/>
  <c r="M969" i="86"/>
  <c r="N969" i="86" s="1"/>
  <c r="CM181" i="92" s="1"/>
  <c r="M132" i="86"/>
  <c r="N132" i="86" s="1"/>
  <c r="CG180" i="92" s="1"/>
  <c r="M114" i="86"/>
  <c r="N114" i="86" s="1"/>
  <c r="M34" i="86"/>
  <c r="M23" i="86"/>
  <c r="M980" i="86"/>
  <c r="M957" i="86"/>
  <c r="M121" i="86"/>
  <c r="N121" i="86" s="1"/>
  <c r="CF180" i="92" s="1"/>
  <c r="M78" i="86"/>
  <c r="N78" i="86" s="1"/>
  <c r="CB181" i="92" s="1"/>
  <c r="M66" i="86"/>
  <c r="N66" i="86" s="1"/>
  <c r="CA180" i="92" s="1"/>
  <c r="M45" i="86"/>
  <c r="M15" i="86"/>
  <c r="N15" i="86" s="1"/>
  <c r="M705" i="86"/>
  <c r="M991" i="86"/>
  <c r="N991" i="86" s="1"/>
  <c r="CO181" i="92" s="1"/>
  <c r="M968" i="86"/>
  <c r="M950" i="86"/>
  <c r="M994" i="86"/>
  <c r="M925" i="86"/>
  <c r="M884" i="86"/>
  <c r="M858" i="86"/>
  <c r="M840" i="86"/>
  <c r="M826" i="86"/>
  <c r="N826" i="86" s="1"/>
  <c r="BK181" i="92" s="1"/>
  <c r="M760" i="86"/>
  <c r="M716" i="86"/>
  <c r="M661" i="86"/>
  <c r="M617" i="86"/>
  <c r="N617" i="86" s="1"/>
  <c r="AJ181" i="92" s="1"/>
  <c r="M979" i="86"/>
  <c r="M961" i="86"/>
  <c r="N961" i="86" s="1"/>
  <c r="M939" i="86"/>
  <c r="M913" i="86"/>
  <c r="N913" i="86" s="1"/>
  <c r="BU180" i="92" s="1"/>
  <c r="M881" i="86"/>
  <c r="N881" i="86" s="1"/>
  <c r="BR181" i="92" s="1"/>
  <c r="M837" i="86"/>
  <c r="M803" i="86"/>
  <c r="N803" i="86" s="1"/>
  <c r="BI180" i="92" s="1"/>
  <c r="M785" i="86"/>
  <c r="N785" i="86" s="1"/>
  <c r="M748" i="86"/>
  <c r="M730" i="86"/>
  <c r="M693" i="86"/>
  <c r="M675" i="86"/>
  <c r="M649" i="86"/>
  <c r="N649" i="86" s="1"/>
  <c r="AM180" i="92" s="1"/>
  <c r="M631" i="86"/>
  <c r="M1002" i="86"/>
  <c r="N1002" i="86" s="1"/>
  <c r="CP181" i="92" s="1"/>
  <c r="M947" i="86"/>
  <c r="M936" i="86"/>
  <c r="M895" i="86"/>
  <c r="N895" i="86" s="1"/>
  <c r="M869" i="86"/>
  <c r="M851" i="86"/>
  <c r="N851" i="86" s="1"/>
  <c r="M814" i="86"/>
  <c r="M782" i="86"/>
  <c r="M727" i="86"/>
  <c r="N727" i="86" s="1"/>
  <c r="BB181" i="92" s="1"/>
  <c r="M672" i="86"/>
  <c r="M628" i="86"/>
  <c r="M4" i="86"/>
  <c r="M763" i="86"/>
  <c r="M924" i="86"/>
  <c r="M906" i="86"/>
  <c r="N906" i="86" s="1"/>
  <c r="M892" i="86"/>
  <c r="M848" i="86"/>
  <c r="N848" i="86" s="1"/>
  <c r="BM181" i="92" s="1"/>
  <c r="M825" i="86"/>
  <c r="N825" i="86" s="1"/>
  <c r="BK180" i="92" s="1"/>
  <c r="M796" i="86"/>
  <c r="M759" i="86"/>
  <c r="N759" i="86" s="1"/>
  <c r="BE180" i="92" s="1"/>
  <c r="M741" i="86"/>
  <c r="M715" i="86"/>
  <c r="N715" i="86" s="1"/>
  <c r="BA180" i="92" s="1"/>
  <c r="M686" i="86"/>
  <c r="M660" i="86"/>
  <c r="M642" i="86"/>
  <c r="N642" i="86" s="1"/>
  <c r="M616" i="86"/>
  <c r="M144" i="86"/>
  <c r="N144" i="86" s="1"/>
  <c r="CH181" i="92" s="1"/>
  <c r="M771" i="86"/>
  <c r="N771" i="86" s="1"/>
  <c r="BF181" i="92" s="1"/>
  <c r="M946" i="86"/>
  <c r="M935" i="86"/>
  <c r="N935" i="86" s="1"/>
  <c r="CJ180" i="92" s="1"/>
  <c r="M917" i="86"/>
  <c r="N917" i="86" s="1"/>
  <c r="M859" i="86"/>
  <c r="M781" i="86"/>
  <c r="N781" i="86" s="1"/>
  <c r="BG180" i="92" s="1"/>
  <c r="M752" i="86"/>
  <c r="N752" i="86" s="1"/>
  <c r="M726" i="86"/>
  <c r="M708" i="86"/>
  <c r="M671" i="86"/>
  <c r="M653" i="86"/>
  <c r="M627" i="86"/>
  <c r="M609" i="86"/>
  <c r="J342" i="86"/>
  <c r="K342" i="86" s="1"/>
  <c r="D181" i="91" s="1"/>
  <c r="M349" i="86"/>
  <c r="N349" i="86" s="1"/>
  <c r="E177" i="92" s="1"/>
  <c r="J352" i="86"/>
  <c r="M363" i="86"/>
  <c r="N363" i="86" s="1"/>
  <c r="F180" i="92" s="1"/>
  <c r="M375" i="86"/>
  <c r="M381" i="86"/>
  <c r="N381" i="86" s="1"/>
  <c r="H176" i="92" s="1"/>
  <c r="J384" i="86"/>
  <c r="K384" i="86" s="1"/>
  <c r="H179" i="91" s="1"/>
  <c r="M389" i="86"/>
  <c r="M398" i="86"/>
  <c r="M407" i="86"/>
  <c r="J410" i="86"/>
  <c r="J419" i="86"/>
  <c r="K419" i="86" s="1"/>
  <c r="K181" i="91" s="1"/>
  <c r="M425" i="86"/>
  <c r="J428" i="86"/>
  <c r="M433" i="86"/>
  <c r="M442" i="86"/>
  <c r="M451" i="86"/>
  <c r="J454" i="86"/>
  <c r="K454" i="86" s="1"/>
  <c r="J463" i="86"/>
  <c r="M469" i="86"/>
  <c r="N469" i="86" s="1"/>
  <c r="P176" i="92" s="1"/>
  <c r="J472" i="86"/>
  <c r="M477" i="86"/>
  <c r="N477" i="86" s="1"/>
  <c r="M492" i="86"/>
  <c r="N492" i="86" s="1"/>
  <c r="R177" i="92" s="1"/>
  <c r="J495" i="86"/>
  <c r="J504" i="86"/>
  <c r="K504" i="86" s="1"/>
  <c r="S178" i="91" s="1"/>
  <c r="M518" i="86"/>
  <c r="J521" i="86"/>
  <c r="M536" i="86"/>
  <c r="N536" i="86" s="1"/>
  <c r="V177" i="92" s="1"/>
  <c r="M541" i="86"/>
  <c r="M550" i="86"/>
  <c r="N550" i="86" s="1"/>
  <c r="W180" i="92" s="1"/>
  <c r="J553" i="86"/>
  <c r="K553" i="86" s="1"/>
  <c r="M559" i="86"/>
  <c r="J562" i="86"/>
  <c r="K562" i="86" s="1"/>
  <c r="X181" i="91" s="1"/>
  <c r="M568" i="86"/>
  <c r="N568" i="86" s="1"/>
  <c r="Y176" i="92" s="1"/>
  <c r="J571" i="86"/>
  <c r="M576" i="86"/>
  <c r="N580" i="86"/>
  <c r="Z177" i="92" s="1"/>
  <c r="M582" i="86"/>
  <c r="N582" i="86" s="1"/>
  <c r="Z179" i="92" s="1"/>
  <c r="J585" i="86"/>
  <c r="M598" i="86"/>
  <c r="M606" i="86"/>
  <c r="N606" i="86" s="1"/>
  <c r="AI181" i="92" s="1"/>
  <c r="J618" i="86"/>
  <c r="M638" i="86"/>
  <c r="J642" i="86"/>
  <c r="K642" i="86" s="1"/>
  <c r="M647" i="86"/>
  <c r="J651" i="86"/>
  <c r="K651" i="86" s="1"/>
  <c r="M656" i="86"/>
  <c r="N656" i="86" s="1"/>
  <c r="AN176" i="92" s="1"/>
  <c r="J660" i="86"/>
  <c r="J680" i="86"/>
  <c r="J685" i="86"/>
  <c r="K685" i="86" s="1"/>
  <c r="J689" i="86"/>
  <c r="J694" i="86"/>
  <c r="K694" i="86" s="1"/>
  <c r="AY181" i="91" s="1"/>
  <c r="J714" i="86"/>
  <c r="M723" i="86"/>
  <c r="M728" i="86"/>
  <c r="N728" i="86" s="1"/>
  <c r="J733" i="86"/>
  <c r="M738" i="86"/>
  <c r="N738" i="86" s="1"/>
  <c r="BC181" i="92" s="1"/>
  <c r="M747" i="86"/>
  <c r="N747" i="86" s="1"/>
  <c r="BD179" i="92" s="1"/>
  <c r="M756" i="86"/>
  <c r="J781" i="86"/>
  <c r="K781" i="86" s="1"/>
  <c r="BG180" i="91" s="1"/>
  <c r="J813" i="86"/>
  <c r="J818" i="86"/>
  <c r="K818" i="86" s="1"/>
  <c r="J827" i="86"/>
  <c r="K827" i="86" s="1"/>
  <c r="J856" i="86"/>
  <c r="K856" i="86" s="1"/>
  <c r="BN178" i="91" s="1"/>
  <c r="J865" i="86"/>
  <c r="K865" i="86" s="1"/>
  <c r="BO176" i="91" s="1"/>
  <c r="M879" i="86"/>
  <c r="J883" i="86"/>
  <c r="M898" i="86"/>
  <c r="N898" i="86" s="1"/>
  <c r="BT176" i="92" s="1"/>
  <c r="J932" i="86"/>
  <c r="M937" i="86"/>
  <c r="K873" i="86"/>
  <c r="N117" i="86"/>
  <c r="CF176" i="92" s="1"/>
  <c r="N141" i="86"/>
  <c r="CH178" i="92" s="1"/>
  <c r="N139" i="86"/>
  <c r="CH176" i="92" s="1"/>
  <c r="N42" i="86"/>
  <c r="BY178" i="92" s="1"/>
  <c r="N31" i="86"/>
  <c r="BX178" i="92" s="1"/>
  <c r="N64" i="86"/>
  <c r="CA178" i="92" s="1"/>
  <c r="N478" i="86"/>
  <c r="N717" i="86"/>
  <c r="N335" i="86"/>
  <c r="N115" i="86"/>
  <c r="N68" i="86"/>
  <c r="K345" i="86"/>
  <c r="N475" i="86"/>
  <c r="H140" i="86"/>
  <c r="N140" i="86" s="1"/>
  <c r="CH177" i="92" s="1"/>
  <c r="H137" i="86"/>
  <c r="N137" i="86" s="1"/>
  <c r="F138" i="86"/>
  <c r="K132" i="86"/>
  <c r="CG180" i="91" s="1"/>
  <c r="H125" i="86"/>
  <c r="H121" i="86"/>
  <c r="F116" i="86"/>
  <c r="F72" i="86"/>
  <c r="H60" i="86"/>
  <c r="N60" i="86" s="1"/>
  <c r="H66" i="86"/>
  <c r="N143" i="86"/>
  <c r="CH180" i="92" s="1"/>
  <c r="K135" i="86"/>
  <c r="N135" i="86"/>
  <c r="K137" i="86"/>
  <c r="K142" i="86"/>
  <c r="CH179" i="91" s="1"/>
  <c r="N134" i="86"/>
  <c r="H138" i="86"/>
  <c r="I134" i="86" s="1"/>
  <c r="K124" i="86"/>
  <c r="N126" i="86"/>
  <c r="K126" i="86"/>
  <c r="N129" i="86"/>
  <c r="CG177" i="92" s="1"/>
  <c r="K129" i="86"/>
  <c r="CG177" i="91" s="1"/>
  <c r="K131" i="86"/>
  <c r="CG179" i="91" s="1"/>
  <c r="N131" i="86"/>
  <c r="CG179" i="92" s="1"/>
  <c r="N125" i="86"/>
  <c r="N130" i="86"/>
  <c r="CG178" i="92" s="1"/>
  <c r="K120" i="86"/>
  <c r="CF179" i="91" s="1"/>
  <c r="N120" i="86"/>
  <c r="CF179" i="92" s="1"/>
  <c r="K118" i="86"/>
  <c r="CF177" i="91" s="1"/>
  <c r="K119" i="86"/>
  <c r="CF178" i="91" s="1"/>
  <c r="H112" i="86"/>
  <c r="K115" i="86"/>
  <c r="K70" i="86"/>
  <c r="K75" i="86"/>
  <c r="CB178" i="91" s="1"/>
  <c r="N69" i="86"/>
  <c r="N71" i="86"/>
  <c r="K71" i="86"/>
  <c r="H72" i="86"/>
  <c r="I71" i="86" s="1"/>
  <c r="K73" i="86"/>
  <c r="CB176" i="91" s="1"/>
  <c r="N58" i="86"/>
  <c r="K60" i="86"/>
  <c r="K63" i="86"/>
  <c r="CA177" i="91" s="1"/>
  <c r="K59" i="86"/>
  <c r="K62" i="86"/>
  <c r="CA176" i="91" s="1"/>
  <c r="K57" i="86"/>
  <c r="H401" i="86"/>
  <c r="H548" i="86"/>
  <c r="H680" i="86"/>
  <c r="H735" i="86"/>
  <c r="H840" i="86"/>
  <c r="H867" i="86"/>
  <c r="H898" i="86"/>
  <c r="H903" i="86"/>
  <c r="H921" i="86"/>
  <c r="H938" i="86"/>
  <c r="F39" i="86"/>
  <c r="H425" i="86"/>
  <c r="N425" i="86" s="1"/>
  <c r="L176" i="92" s="1"/>
  <c r="H433" i="86"/>
  <c r="H535" i="86"/>
  <c r="H551" i="86"/>
  <c r="H569" i="86"/>
  <c r="H640" i="86"/>
  <c r="H649" i="86"/>
  <c r="H750" i="86"/>
  <c r="H796" i="86"/>
  <c r="H901" i="86"/>
  <c r="H982" i="86"/>
  <c r="H991" i="86"/>
  <c r="H357" i="86"/>
  <c r="H363" i="86"/>
  <c r="H372" i="86"/>
  <c r="N372" i="86" s="1"/>
  <c r="G178" i="92" s="1"/>
  <c r="H419" i="86"/>
  <c r="H428" i="86"/>
  <c r="H437" i="86"/>
  <c r="N437" i="86" s="1"/>
  <c r="M177" i="92" s="1"/>
  <c r="H445" i="86"/>
  <c r="H454" i="86"/>
  <c r="H538" i="86"/>
  <c r="H592" i="86"/>
  <c r="H626" i="86"/>
  <c r="H753" i="86"/>
  <c r="H819" i="86"/>
  <c r="N819" i="86" s="1"/>
  <c r="H833" i="86"/>
  <c r="H850" i="86"/>
  <c r="H859" i="86"/>
  <c r="H890" i="86"/>
  <c r="H366" i="86"/>
  <c r="H375" i="86"/>
  <c r="H595" i="86"/>
  <c r="N595" i="86" s="1"/>
  <c r="AA181" i="92" s="1"/>
  <c r="H684" i="86"/>
  <c r="H693" i="86"/>
  <c r="H722" i="86"/>
  <c r="N739" i="86"/>
  <c r="H836" i="86"/>
  <c r="H907" i="86"/>
  <c r="H934" i="86"/>
  <c r="N934" i="86" s="1"/>
  <c r="CJ179" i="92" s="1"/>
  <c r="H989" i="86"/>
  <c r="H813" i="86"/>
  <c r="K813" i="86" s="1"/>
  <c r="BJ179" i="91" s="1"/>
  <c r="H767" i="86"/>
  <c r="H634" i="86"/>
  <c r="H563" i="86"/>
  <c r="N563" i="86" s="1"/>
  <c r="H396" i="86"/>
  <c r="K396" i="86" s="1"/>
  <c r="I180" i="91" s="1"/>
  <c r="H422" i="86"/>
  <c r="N422" i="86" s="1"/>
  <c r="H458" i="86"/>
  <c r="H339" i="86"/>
  <c r="H472" i="86"/>
  <c r="H486" i="86"/>
  <c r="H495" i="86"/>
  <c r="H552" i="86"/>
  <c r="N552" i="86" s="1"/>
  <c r="H561" i="86"/>
  <c r="K561" i="86" s="1"/>
  <c r="X180" i="91" s="1"/>
  <c r="H579" i="86"/>
  <c r="N579" i="86" s="1"/>
  <c r="Z176" i="92" s="1"/>
  <c r="H590" i="86"/>
  <c r="H670" i="86"/>
  <c r="H687" i="86"/>
  <c r="K687" i="86" s="1"/>
  <c r="H725" i="86"/>
  <c r="K725" i="86" s="1"/>
  <c r="BB179" i="91" s="1"/>
  <c r="H789" i="86"/>
  <c r="H806" i="86"/>
  <c r="H877" i="86"/>
  <c r="K877" i="86" s="1"/>
  <c r="BR177" i="91" s="1"/>
  <c r="H981" i="86"/>
  <c r="H950" i="86"/>
  <c r="H788" i="86"/>
  <c r="H771" i="86"/>
  <c r="H758" i="86"/>
  <c r="H38" i="86"/>
  <c r="N38" i="86" s="1"/>
  <c r="H41" i="86"/>
  <c r="H481" i="86"/>
  <c r="H489" i="86"/>
  <c r="N489" i="86" s="1"/>
  <c r="H555" i="86"/>
  <c r="H783" i="86"/>
  <c r="H792" i="86"/>
  <c r="K792" i="86" s="1"/>
  <c r="BH180" i="91" s="1"/>
  <c r="N9" i="86"/>
  <c r="BV178" i="92" s="1"/>
  <c r="H393" i="86"/>
  <c r="H407" i="86"/>
  <c r="H498" i="86"/>
  <c r="H507" i="86"/>
  <c r="N507" i="86" s="1"/>
  <c r="S181" i="92" s="1"/>
  <c r="H516" i="86"/>
  <c r="N516" i="86" s="1"/>
  <c r="T179" i="92" s="1"/>
  <c r="H582" i="86"/>
  <c r="H630" i="86"/>
  <c r="H639" i="86"/>
  <c r="H657" i="86"/>
  <c r="N657" i="86" s="1"/>
  <c r="AN177" i="92" s="1"/>
  <c r="H740" i="86"/>
  <c r="H749" i="86"/>
  <c r="H815" i="86"/>
  <c r="H846" i="86"/>
  <c r="H894" i="86"/>
  <c r="H7" i="86"/>
  <c r="K7" i="86" s="1"/>
  <c r="BV176" i="91" s="1"/>
  <c r="H757" i="86"/>
  <c r="H773" i="86"/>
  <c r="K773" i="86" s="1"/>
  <c r="H817" i="86"/>
  <c r="F908" i="86"/>
  <c r="H8" i="86"/>
  <c r="H528" i="86"/>
  <c r="H559" i="86"/>
  <c r="H620" i="86"/>
  <c r="H782" i="86"/>
  <c r="H931" i="86"/>
  <c r="H990" i="86"/>
  <c r="H697" i="86"/>
  <c r="H679" i="86"/>
  <c r="H661" i="86"/>
  <c r="H621" i="86"/>
  <c r="H604" i="86"/>
  <c r="K604" i="86" s="1"/>
  <c r="AI179" i="91" s="1"/>
  <c r="F567" i="86"/>
  <c r="H547" i="86"/>
  <c r="H344" i="86"/>
  <c r="H353" i="86"/>
  <c r="H397" i="86"/>
  <c r="H406" i="86"/>
  <c r="H432" i="86"/>
  <c r="H450" i="86"/>
  <c r="K450" i="86" s="1"/>
  <c r="N179" i="91" s="1"/>
  <c r="H459" i="86"/>
  <c r="F479" i="86"/>
  <c r="H494" i="86"/>
  <c r="K494" i="86" s="1"/>
  <c r="R179" i="91" s="1"/>
  <c r="H340" i="86"/>
  <c r="N340" i="86" s="1"/>
  <c r="D179" i="92" s="1"/>
  <c r="H529" i="86"/>
  <c r="H21" i="86"/>
  <c r="H23" i="86"/>
  <c r="H484" i="86"/>
  <c r="H500" i="86"/>
  <c r="N500" i="86" s="1"/>
  <c r="H509" i="86"/>
  <c r="H888" i="86"/>
  <c r="H920" i="86"/>
  <c r="N920" i="86" s="1"/>
  <c r="CI176" i="92" s="1"/>
  <c r="H976" i="86"/>
  <c r="H751" i="86"/>
  <c r="H736" i="86"/>
  <c r="H723" i="86"/>
  <c r="K723" i="86" s="1"/>
  <c r="BB177" i="91" s="1"/>
  <c r="H696" i="86"/>
  <c r="H4" i="86"/>
  <c r="H32" i="86"/>
  <c r="H34" i="86"/>
  <c r="H338" i="86"/>
  <c r="N338" i="86" s="1"/>
  <c r="D177" i="92" s="1"/>
  <c r="H351" i="86"/>
  <c r="H387" i="86"/>
  <c r="H431" i="86"/>
  <c r="N431" i="86" s="1"/>
  <c r="H440" i="86"/>
  <c r="H449" i="86"/>
  <c r="H493" i="86"/>
  <c r="H647" i="86"/>
  <c r="N647" i="86" s="1"/>
  <c r="AM178" i="92" s="1"/>
  <c r="H706" i="86"/>
  <c r="N706" i="86" s="1"/>
  <c r="H774" i="86"/>
  <c r="H800" i="86"/>
  <c r="K800" i="86" s="1"/>
  <c r="BI177" i="91" s="1"/>
  <c r="H905" i="86"/>
  <c r="H914" i="86"/>
  <c r="N914" i="86" s="1"/>
  <c r="BU181" i="92" s="1"/>
  <c r="H971" i="86"/>
  <c r="K971" i="86" s="1"/>
  <c r="H967" i="86"/>
  <c r="H883" i="86"/>
  <c r="H866" i="86"/>
  <c r="N866" i="86" s="1"/>
  <c r="BO177" i="92" s="1"/>
  <c r="H795" i="86"/>
  <c r="N795" i="86" s="1"/>
  <c r="H804" i="86"/>
  <c r="K804" i="86" s="1"/>
  <c r="BI181" i="91" s="1"/>
  <c r="H791" i="86"/>
  <c r="H343" i="86"/>
  <c r="H347" i="86" s="1"/>
  <c r="I343" i="86" s="1"/>
  <c r="H360" i="86"/>
  <c r="N360" i="86" s="1"/>
  <c r="F177" i="92" s="1"/>
  <c r="H546" i="86"/>
  <c r="N546" i="86" s="1"/>
  <c r="W176" i="92" s="1"/>
  <c r="H659" i="86"/>
  <c r="H844" i="86"/>
  <c r="H932" i="86"/>
  <c r="H962" i="86"/>
  <c r="K962" i="86" s="1"/>
  <c r="N18" i="86"/>
  <c r="BW176" i="92" s="1"/>
  <c r="F28" i="86"/>
  <c r="N480" i="86"/>
  <c r="Q176" i="92" s="1"/>
  <c r="H518" i="86"/>
  <c r="H616" i="86"/>
  <c r="H733" i="86"/>
  <c r="N966" i="86"/>
  <c r="CM178" i="92" s="1"/>
  <c r="F644" i="86"/>
  <c r="F358" i="86"/>
  <c r="H15" i="86"/>
  <c r="H352" i="86"/>
  <c r="N394" i="86"/>
  <c r="I178" i="92" s="1"/>
  <c r="K505" i="86"/>
  <c r="S179" i="91" s="1"/>
  <c r="H527" i="86"/>
  <c r="H572" i="86"/>
  <c r="H603" i="86"/>
  <c r="H691" i="86"/>
  <c r="N750" i="86"/>
  <c r="H861" i="86"/>
  <c r="H769" i="86"/>
  <c r="H3" i="86"/>
  <c r="H5" i="86"/>
  <c r="H33" i="86"/>
  <c r="K20" i="86"/>
  <c r="BW178" i="91" s="1"/>
  <c r="H467" i="86"/>
  <c r="K467" i="86" s="1"/>
  <c r="K514" i="86"/>
  <c r="T177" i="91" s="1"/>
  <c r="H533" i="86"/>
  <c r="H573" i="86"/>
  <c r="H635" i="86"/>
  <c r="K635" i="86" s="1"/>
  <c r="AL177" i="91" s="1"/>
  <c r="H692" i="86"/>
  <c r="H999" i="86"/>
  <c r="N999" i="86" s="1"/>
  <c r="CP178" i="92" s="1"/>
  <c r="H986" i="86"/>
  <c r="K986" i="86" s="1"/>
  <c r="CO176" i="91" s="1"/>
  <c r="H972" i="86"/>
  <c r="N972" i="86" s="1"/>
  <c r="F963" i="86"/>
  <c r="H955" i="86"/>
  <c r="H942" i="86"/>
  <c r="K942" i="86" s="1"/>
  <c r="CK176" i="91" s="1"/>
  <c r="H928" i="86"/>
  <c r="N928" i="86" s="1"/>
  <c r="H915" i="86"/>
  <c r="N915" i="86" s="1"/>
  <c r="H924" i="86"/>
  <c r="H911" i="86"/>
  <c r="H341" i="86"/>
  <c r="K341" i="86" s="1"/>
  <c r="D180" i="91" s="1"/>
  <c r="H746" i="86"/>
  <c r="H521" i="86"/>
  <c r="F6" i="86"/>
  <c r="H14" i="86"/>
  <c r="H388" i="86"/>
  <c r="H520" i="86"/>
  <c r="H560" i="86"/>
  <c r="F798" i="86"/>
  <c r="H940" i="86"/>
  <c r="H954" i="86"/>
  <c r="H24" i="86"/>
  <c r="N24" i="86" s="1"/>
  <c r="H29" i="86"/>
  <c r="H36" i="86"/>
  <c r="H415" i="86"/>
  <c r="H608" i="86"/>
  <c r="H835" i="86"/>
  <c r="N870" i="86"/>
  <c r="BO181" i="92" s="1"/>
  <c r="H927" i="86"/>
  <c r="N970" i="86"/>
  <c r="H998" i="86"/>
  <c r="K998" i="86" s="1"/>
  <c r="CP177" i="91" s="1"/>
  <c r="F996" i="86"/>
  <c r="H1001" i="86"/>
  <c r="H43" i="86"/>
  <c r="H45" i="86"/>
  <c r="H476" i="86"/>
  <c r="H652" i="86"/>
  <c r="H665" i="86"/>
  <c r="N665" i="86" s="1"/>
  <c r="H709" i="86"/>
  <c r="H760" i="86"/>
  <c r="H892" i="86"/>
  <c r="N892" i="86" s="1"/>
  <c r="BS181" i="92" s="1"/>
  <c r="H11" i="86"/>
  <c r="F17" i="86"/>
  <c r="H362" i="86"/>
  <c r="K362" i="86" s="1"/>
  <c r="F179" i="91" s="1"/>
  <c r="H591" i="86"/>
  <c r="H879" i="86"/>
  <c r="K879" i="86" s="1"/>
  <c r="BR179" i="91" s="1"/>
  <c r="H936" i="86"/>
  <c r="H893" i="86"/>
  <c r="K893" i="86" s="1"/>
  <c r="H902" i="86"/>
  <c r="H889" i="86"/>
  <c r="H876" i="86"/>
  <c r="N876" i="86" s="1"/>
  <c r="BR176" i="92" s="1"/>
  <c r="H862" i="86"/>
  <c r="K862" i="86" s="1"/>
  <c r="H849" i="86"/>
  <c r="H858" i="86"/>
  <c r="H845" i="86"/>
  <c r="H832" i="86"/>
  <c r="H818" i="86"/>
  <c r="N818" i="86" s="1"/>
  <c r="H805" i="86"/>
  <c r="H814" i="86"/>
  <c r="H801" i="86"/>
  <c r="H371" i="86"/>
  <c r="N382" i="86"/>
  <c r="H177" i="92" s="1"/>
  <c r="N482" i="86"/>
  <c r="Q178" i="92" s="1"/>
  <c r="H503" i="86"/>
  <c r="N508" i="86"/>
  <c r="H617" i="86"/>
  <c r="K617" i="86" s="1"/>
  <c r="AJ181" i="91" s="1"/>
  <c r="N731" i="86"/>
  <c r="H778" i="86"/>
  <c r="H734" i="86"/>
  <c r="N734" i="86" s="1"/>
  <c r="BC177" i="92" s="1"/>
  <c r="H720" i="86"/>
  <c r="K720" i="86" s="1"/>
  <c r="H707" i="86"/>
  <c r="K707" i="86" s="1"/>
  <c r="H716" i="86"/>
  <c r="K716" i="86" s="1"/>
  <c r="BA181" i="91" s="1"/>
  <c r="H705" i="86"/>
  <c r="N705" i="86" s="1"/>
  <c r="AZ181" i="92" s="1"/>
  <c r="H676" i="86"/>
  <c r="N676" i="86" s="1"/>
  <c r="H663" i="86"/>
  <c r="H672" i="86"/>
  <c r="H646" i="86"/>
  <c r="N646" i="86" s="1"/>
  <c r="AM177" i="92" s="1"/>
  <c r="H632" i="86"/>
  <c r="K632" i="86" s="1"/>
  <c r="H619" i="86"/>
  <c r="H628" i="86"/>
  <c r="H615" i="86"/>
  <c r="K615" i="86" s="1"/>
  <c r="AJ179" i="91" s="1"/>
  <c r="H602" i="86"/>
  <c r="H588" i="86"/>
  <c r="N588" i="86" s="1"/>
  <c r="H575" i="86"/>
  <c r="H584" i="86"/>
  <c r="H571" i="86"/>
  <c r="H558" i="86"/>
  <c r="H544" i="86"/>
  <c r="H531" i="86"/>
  <c r="H540" i="86"/>
  <c r="N540" i="86" s="1"/>
  <c r="V181" i="92" s="1"/>
  <c r="H368" i="86"/>
  <c r="H377" i="86"/>
  <c r="N377" i="86" s="1"/>
  <c r="H386" i="86"/>
  <c r="H395" i="86"/>
  <c r="F424" i="86"/>
  <c r="H430" i="86"/>
  <c r="N430" i="86" s="1"/>
  <c r="L181" i="92" s="1"/>
  <c r="H439" i="86"/>
  <c r="N439" i="86" s="1"/>
  <c r="M179" i="92" s="1"/>
  <c r="H448" i="86"/>
  <c r="K448" i="86" s="1"/>
  <c r="N177" i="91" s="1"/>
  <c r="F457" i="86"/>
  <c r="H465" i="86"/>
  <c r="H474" i="86"/>
  <c r="K474" i="86" s="1"/>
  <c r="P181" i="91" s="1"/>
  <c r="H483" i="86"/>
  <c r="H492" i="86"/>
  <c r="H27" i="86"/>
  <c r="N27" i="86" s="1"/>
  <c r="H30" i="86"/>
  <c r="K30" i="86" s="1"/>
  <c r="BX177" i="91" s="1"/>
  <c r="H37" i="86"/>
  <c r="K37" i="86" s="1"/>
  <c r="H40" i="86"/>
  <c r="N357" i="86"/>
  <c r="H648" i="86"/>
  <c r="H839" i="86"/>
  <c r="N839" i="86" s="1"/>
  <c r="N871" i="86"/>
  <c r="H910" i="86"/>
  <c r="H923" i="86"/>
  <c r="K923" i="86" s="1"/>
  <c r="CI179" i="91" s="1"/>
  <c r="H993" i="86"/>
  <c r="H997" i="86"/>
  <c r="N997" i="86" s="1"/>
  <c r="CP176" i="92" s="1"/>
  <c r="F985" i="86"/>
  <c r="H770" i="86"/>
  <c r="H763" i="86"/>
  <c r="K763" i="86" s="1"/>
  <c r="H759" i="86"/>
  <c r="H744" i="86"/>
  <c r="K744" i="86" s="1"/>
  <c r="BD176" i="91" s="1"/>
  <c r="H35" i="86"/>
  <c r="N35" i="86" s="1"/>
  <c r="H44" i="86"/>
  <c r="K38" i="86"/>
  <c r="K41" i="86"/>
  <c r="BY177" i="91" s="1"/>
  <c r="K43" i="86"/>
  <c r="BY179" i="91" s="1"/>
  <c r="K42" i="86"/>
  <c r="BY178" i="91" s="1"/>
  <c r="N29" i="86"/>
  <c r="BX176" i="92" s="1"/>
  <c r="N16" i="86"/>
  <c r="K16" i="86"/>
  <c r="K22" i="86"/>
  <c r="BW180" i="91" s="1"/>
  <c r="N22" i="86"/>
  <c r="BW180" i="92" s="1"/>
  <c r="N19" i="86"/>
  <c r="BW177" i="92" s="1"/>
  <c r="K15" i="86"/>
  <c r="N23" i="86"/>
  <c r="BW181" i="92" s="1"/>
  <c r="H13" i="86"/>
  <c r="K18" i="86"/>
  <c r="BW176" i="91" s="1"/>
  <c r="N5" i="86"/>
  <c r="K5" i="86"/>
  <c r="N10" i="86"/>
  <c r="BV179" i="92" s="1"/>
  <c r="H2" i="86"/>
  <c r="K385" i="86"/>
  <c r="H180" i="91" s="1"/>
  <c r="N624" i="86"/>
  <c r="AK177" i="92" s="1"/>
  <c r="K624" i="86"/>
  <c r="AK177" i="91" s="1"/>
  <c r="N669" i="86"/>
  <c r="AO178" i="92" s="1"/>
  <c r="H404" i="86"/>
  <c r="N404" i="86" s="1"/>
  <c r="J177" i="92" s="1"/>
  <c r="H929" i="86"/>
  <c r="H916" i="86"/>
  <c r="K916" i="86" s="1"/>
  <c r="H925" i="86"/>
  <c r="H863" i="86"/>
  <c r="N863" i="86" s="1"/>
  <c r="H708" i="86"/>
  <c r="H700" i="86"/>
  <c r="N700" i="86" s="1"/>
  <c r="AZ176" i="92" s="1"/>
  <c r="H664" i="86"/>
  <c r="H576" i="86"/>
  <c r="H532" i="86"/>
  <c r="H378" i="86"/>
  <c r="K378" i="86" s="1"/>
  <c r="H466" i="86"/>
  <c r="H502" i="86"/>
  <c r="N502" i="86" s="1"/>
  <c r="S176" i="92" s="1"/>
  <c r="H779" i="86"/>
  <c r="K861" i="86"/>
  <c r="H961" i="86"/>
  <c r="F952" i="86"/>
  <c r="H957" i="86"/>
  <c r="F886" i="86"/>
  <c r="H891" i="86"/>
  <c r="K891" i="86" s="1"/>
  <c r="BS180" i="91" s="1"/>
  <c r="F842" i="86"/>
  <c r="H821" i="86"/>
  <c r="H794" i="86"/>
  <c r="H766" i="86"/>
  <c r="H752" i="86"/>
  <c r="H703" i="86"/>
  <c r="N703" i="86" s="1"/>
  <c r="AZ179" i="92" s="1"/>
  <c r="H577" i="86"/>
  <c r="N577" i="86" s="1"/>
  <c r="H423" i="86"/>
  <c r="N423" i="86" s="1"/>
  <c r="H968" i="86"/>
  <c r="H421" i="86"/>
  <c r="N813" i="86"/>
  <c r="BJ179" i="92" s="1"/>
  <c r="H949" i="86"/>
  <c r="H958" i="86"/>
  <c r="H896" i="86"/>
  <c r="F853" i="86"/>
  <c r="H822" i="86"/>
  <c r="H808" i="86"/>
  <c r="F776" i="86"/>
  <c r="H695" i="86"/>
  <c r="H699" i="86" s="1"/>
  <c r="H653" i="86"/>
  <c r="H609" i="86"/>
  <c r="N609" i="86" s="1"/>
  <c r="H596" i="86"/>
  <c r="N596" i="86" s="1"/>
  <c r="H389" i="86"/>
  <c r="H442" i="86"/>
  <c r="H451" i="86"/>
  <c r="H469" i="86"/>
  <c r="H525" i="86"/>
  <c r="N525" i="86" s="1"/>
  <c r="U177" i="92" s="1"/>
  <c r="H959" i="86"/>
  <c r="H994" i="86"/>
  <c r="H977" i="86"/>
  <c r="N977" i="86" s="1"/>
  <c r="CN178" i="92" s="1"/>
  <c r="H964" i="86"/>
  <c r="H937" i="86"/>
  <c r="H946" i="86"/>
  <c r="K946" i="86" s="1"/>
  <c r="CK180" i="91" s="1"/>
  <c r="H884" i="86"/>
  <c r="N884" i="86" s="1"/>
  <c r="F875" i="86"/>
  <c r="H854" i="86"/>
  <c r="F831" i="86"/>
  <c r="H755" i="86"/>
  <c r="H701" i="86"/>
  <c r="H610" i="86"/>
  <c r="N610" i="86" s="1"/>
  <c r="F347" i="86"/>
  <c r="H434" i="86"/>
  <c r="H741" i="86"/>
  <c r="K741" i="86" s="1"/>
  <c r="H526" i="86"/>
  <c r="N405" i="86"/>
  <c r="J178" i="92" s="1"/>
  <c r="F809" i="86"/>
  <c r="F897" i="86"/>
  <c r="H995" i="86"/>
  <c r="N995" i="86" s="1"/>
  <c r="H965" i="86"/>
  <c r="N965" i="86" s="1"/>
  <c r="CM177" i="92" s="1"/>
  <c r="H951" i="86"/>
  <c r="K951" i="86" s="1"/>
  <c r="H841" i="86"/>
  <c r="H797" i="86"/>
  <c r="K797" i="86" s="1"/>
  <c r="H730" i="86"/>
  <c r="H704" i="86"/>
  <c r="H686" i="86"/>
  <c r="F633" i="86"/>
  <c r="H554" i="86"/>
  <c r="H556" i="86" s="1"/>
  <c r="H400" i="86"/>
  <c r="H444" i="86"/>
  <c r="H462" i="86"/>
  <c r="H488" i="86"/>
  <c r="H490" i="86" s="1"/>
  <c r="I488" i="86" s="1"/>
  <c r="F501" i="86"/>
  <c r="H506" i="86"/>
  <c r="K506" i="86" s="1"/>
  <c r="S180" i="91" s="1"/>
  <c r="H412" i="86"/>
  <c r="N412" i="86" s="1"/>
  <c r="K586" i="86"/>
  <c r="N621" i="86"/>
  <c r="H690" i="86"/>
  <c r="K780" i="86"/>
  <c r="BG179" i="91" s="1"/>
  <c r="N992" i="86"/>
  <c r="F974" i="86"/>
  <c r="H979" i="86"/>
  <c r="H953" i="86"/>
  <c r="H926" i="86"/>
  <c r="N926" i="86" s="1"/>
  <c r="H909" i="86"/>
  <c r="H869" i="86"/>
  <c r="N869" i="86" s="1"/>
  <c r="BO180" i="92" s="1"/>
  <c r="H799" i="86"/>
  <c r="N799" i="86" s="1"/>
  <c r="BI176" i="92" s="1"/>
  <c r="H777" i="86"/>
  <c r="N777" i="86" s="1"/>
  <c r="BG176" i="92" s="1"/>
  <c r="F765" i="86"/>
  <c r="H463" i="86"/>
  <c r="F512" i="86"/>
  <c r="N757" i="86"/>
  <c r="BE178" i="92" s="1"/>
  <c r="H984" i="86"/>
  <c r="N984" i="86" s="1"/>
  <c r="H980" i="86"/>
  <c r="H874" i="86"/>
  <c r="N874" i="86" s="1"/>
  <c r="H826" i="86"/>
  <c r="H786" i="86"/>
  <c r="H787" i="86" s="1"/>
  <c r="H762" i="86"/>
  <c r="H719" i="86"/>
  <c r="H702" i="86"/>
  <c r="H675" i="86"/>
  <c r="H631" i="86"/>
  <c r="K631" i="86" s="1"/>
  <c r="H618" i="86"/>
  <c r="N618" i="86" s="1"/>
  <c r="H627" i="86"/>
  <c r="K627" i="86" s="1"/>
  <c r="AK180" i="91" s="1"/>
  <c r="H587" i="86"/>
  <c r="K587" i="86" s="1"/>
  <c r="H543" i="86"/>
  <c r="H367" i="86"/>
  <c r="F413" i="86"/>
  <c r="H447" i="86"/>
  <c r="N447" i="86" s="1"/>
  <c r="N176" i="92" s="1"/>
  <c r="F468" i="86"/>
  <c r="H473" i="86"/>
  <c r="H499" i="86"/>
  <c r="F523" i="86"/>
  <c r="H510" i="86"/>
  <c r="H515" i="86"/>
  <c r="F743" i="86"/>
  <c r="K516" i="86"/>
  <c r="T179" i="91" s="1"/>
  <c r="H742" i="86"/>
  <c r="K742" i="86" s="1"/>
  <c r="K511" i="86"/>
  <c r="F490" i="86"/>
  <c r="K493" i="86"/>
  <c r="R178" i="91" s="1"/>
  <c r="K482" i="86"/>
  <c r="Q178" i="91" s="1"/>
  <c r="H456" i="86"/>
  <c r="F446" i="86"/>
  <c r="F435" i="86"/>
  <c r="K427" i="86"/>
  <c r="L178" i="91" s="1"/>
  <c r="H411" i="86"/>
  <c r="F391" i="86"/>
  <c r="K382" i="86"/>
  <c r="H177" i="91" s="1"/>
  <c r="F380" i="86"/>
  <c r="F369" i="86"/>
  <c r="H346" i="86"/>
  <c r="N346" i="86" s="1"/>
  <c r="F534" i="86"/>
  <c r="F545" i="86"/>
  <c r="F556" i="86"/>
  <c r="F578" i="86"/>
  <c r="F589" i="86"/>
  <c r="F600" i="86"/>
  <c r="F611" i="86"/>
  <c r="F622" i="86"/>
  <c r="H623" i="86"/>
  <c r="N637" i="86"/>
  <c r="AL179" i="92" s="1"/>
  <c r="K634" i="86"/>
  <c r="AL176" i="91" s="1"/>
  <c r="H643" i="86"/>
  <c r="N643" i="86" s="1"/>
  <c r="F655" i="86"/>
  <c r="K657" i="86"/>
  <c r="AN177" i="91" s="1"/>
  <c r="F666" i="86"/>
  <c r="F677" i="86"/>
  <c r="F688" i="86"/>
  <c r="N701" i="86"/>
  <c r="AZ177" i="92" s="1"/>
  <c r="K701" i="86"/>
  <c r="AZ177" i="91" s="1"/>
  <c r="K700" i="86"/>
  <c r="AZ176" i="91" s="1"/>
  <c r="N697" i="86"/>
  <c r="K698" i="86"/>
  <c r="N696" i="86"/>
  <c r="N698" i="86"/>
  <c r="F699" i="86"/>
  <c r="F710" i="86"/>
  <c r="F721" i="86"/>
  <c r="K734" i="86"/>
  <c r="BC177" i="91" s="1"/>
  <c r="F732" i="86"/>
  <c r="H745" i="86"/>
  <c r="F754" i="86"/>
  <c r="H761" i="86"/>
  <c r="H764" i="86"/>
  <c r="N764" i="86" s="1"/>
  <c r="K767" i="86"/>
  <c r="BF177" i="91" s="1"/>
  <c r="N767" i="86"/>
  <c r="BF177" i="92" s="1"/>
  <c r="N763" i="86"/>
  <c r="N766" i="86"/>
  <c r="BF176" i="92" s="1"/>
  <c r="N780" i="86"/>
  <c r="BG179" i="92" s="1"/>
  <c r="F787" i="86"/>
  <c r="K789" i="86"/>
  <c r="BH177" i="91" s="1"/>
  <c r="F820" i="86"/>
  <c r="H827" i="86"/>
  <c r="H852" i="86"/>
  <c r="K852" i="86" s="1"/>
  <c r="N857" i="86"/>
  <c r="BN179" i="92" s="1"/>
  <c r="F864" i="86"/>
  <c r="H882" i="86"/>
  <c r="H906" i="86"/>
  <c r="K906" i="86" s="1"/>
  <c r="F919" i="86"/>
  <c r="H918" i="86"/>
  <c r="F930" i="86"/>
  <c r="F941" i="86"/>
  <c r="N945" i="86"/>
  <c r="CK179" i="92" s="1"/>
  <c r="H948" i="86"/>
  <c r="H983" i="86"/>
  <c r="H988" i="86"/>
  <c r="K988" i="86" s="1"/>
  <c r="CO178" i="91" s="1"/>
  <c r="K1001" i="86"/>
  <c r="CP180" i="91" s="1"/>
  <c r="N993" i="86"/>
  <c r="K1000" i="86"/>
  <c r="CP179" i="91" s="1"/>
  <c r="N1000" i="86"/>
  <c r="CP179" i="92" s="1"/>
  <c r="K1002" i="86"/>
  <c r="CP181" i="91" s="1"/>
  <c r="K982" i="86"/>
  <c r="N982" i="86"/>
  <c r="N986" i="86"/>
  <c r="CO176" i="92" s="1"/>
  <c r="K979" i="86"/>
  <c r="CN180" i="91" s="1"/>
  <c r="N979" i="86"/>
  <c r="CN180" i="92" s="1"/>
  <c r="N971" i="86"/>
  <c r="N973" i="86"/>
  <c r="K973" i="86"/>
  <c r="K978" i="86"/>
  <c r="CN179" i="91" s="1"/>
  <c r="N978" i="86"/>
  <c r="CN179" i="92" s="1"/>
  <c r="N975" i="86"/>
  <c r="CN176" i="92" s="1"/>
  <c r="K975" i="86"/>
  <c r="CN176" i="91" s="1"/>
  <c r="K968" i="86"/>
  <c r="CM180" i="91" s="1"/>
  <c r="N960" i="86"/>
  <c r="K960" i="86"/>
  <c r="N962" i="86"/>
  <c r="N964" i="86"/>
  <c r="CM176" i="92" s="1"/>
  <c r="K964" i="86"/>
  <c r="CM176" i="91" s="1"/>
  <c r="H963" i="86"/>
  <c r="N951" i="86"/>
  <c r="K954" i="86"/>
  <c r="CL177" i="91" s="1"/>
  <c r="N950" i="86"/>
  <c r="K940" i="86"/>
  <c r="N940" i="86"/>
  <c r="N943" i="86"/>
  <c r="CK177" i="92" s="1"/>
  <c r="N947" i="86"/>
  <c r="CK181" i="92" s="1"/>
  <c r="N938" i="86"/>
  <c r="N939" i="86"/>
  <c r="K932" i="86"/>
  <c r="CJ177" i="91" s="1"/>
  <c r="N932" i="86"/>
  <c r="CJ177" i="92" s="1"/>
  <c r="N936" i="86"/>
  <c r="CJ181" i="92" s="1"/>
  <c r="N931" i="86"/>
  <c r="CJ176" i="92" s="1"/>
  <c r="N933" i="86"/>
  <c r="CJ178" i="92" s="1"/>
  <c r="K933" i="86"/>
  <c r="CJ178" i="91" s="1"/>
  <c r="K928" i="86"/>
  <c r="K922" i="86"/>
  <c r="CI178" i="91" s="1"/>
  <c r="K915" i="86"/>
  <c r="N907" i="86"/>
  <c r="K907" i="86"/>
  <c r="N912" i="86"/>
  <c r="BU179" i="92" s="1"/>
  <c r="K914" i="86"/>
  <c r="BU181" i="91" s="1"/>
  <c r="K905" i="86"/>
  <c r="N905" i="86"/>
  <c r="N911" i="86"/>
  <c r="BU178" i="92" s="1"/>
  <c r="H904" i="86"/>
  <c r="K909" i="86"/>
  <c r="BU176" i="91" s="1"/>
  <c r="N902" i="86"/>
  <c r="BT180" i="92" s="1"/>
  <c r="N896" i="86"/>
  <c r="K899" i="86"/>
  <c r="BT177" i="91" s="1"/>
  <c r="K894" i="86"/>
  <c r="K898" i="86"/>
  <c r="BT176" i="91" s="1"/>
  <c r="K895" i="86"/>
  <c r="N889" i="86"/>
  <c r="BS178" i="92" s="1"/>
  <c r="N885" i="86"/>
  <c r="K885" i="86"/>
  <c r="K890" i="86"/>
  <c r="BS179" i="91" s="1"/>
  <c r="K881" i="86"/>
  <c r="BR181" i="91" s="1"/>
  <c r="N880" i="86"/>
  <c r="BR180" i="92" s="1"/>
  <c r="N872" i="86"/>
  <c r="N873" i="86"/>
  <c r="N868" i="86"/>
  <c r="BO179" i="92" s="1"/>
  <c r="H860" i="86"/>
  <c r="K850" i="86"/>
  <c r="K859" i="86"/>
  <c r="BN181" i="91" s="1"/>
  <c r="K855" i="86"/>
  <c r="BN177" i="91" s="1"/>
  <c r="N847" i="86"/>
  <c r="BM180" i="92" s="1"/>
  <c r="N841" i="86"/>
  <c r="K841" i="86"/>
  <c r="K844" i="86"/>
  <c r="BM177" i="91" s="1"/>
  <c r="N846" i="86"/>
  <c r="BM179" i="92" s="1"/>
  <c r="K848" i="86"/>
  <c r="BM181" i="91" s="1"/>
  <c r="H838" i="86"/>
  <c r="K843" i="86"/>
  <c r="BM176" i="91" s="1"/>
  <c r="N840" i="86"/>
  <c r="N834" i="86"/>
  <c r="BL178" i="92" s="1"/>
  <c r="N836" i="86"/>
  <c r="BL180" i="92" s="1"/>
  <c r="N830" i="86"/>
  <c r="K830" i="86"/>
  <c r="K833" i="86"/>
  <c r="BL177" i="91" s="1"/>
  <c r="N837" i="86"/>
  <c r="BL181" i="92" s="1"/>
  <c r="K837" i="86"/>
  <c r="BL181" i="91" s="1"/>
  <c r="K829" i="86"/>
  <c r="K824" i="86"/>
  <c r="BK179" i="91" s="1"/>
  <c r="N824" i="86"/>
  <c r="BK179" i="92" s="1"/>
  <c r="K826" i="86"/>
  <c r="BK181" i="91" s="1"/>
  <c r="K816" i="86"/>
  <c r="N808" i="86"/>
  <c r="K808" i="86"/>
  <c r="N811" i="86"/>
  <c r="BJ177" i="92" s="1"/>
  <c r="N815" i="86"/>
  <c r="BJ181" i="92" s="1"/>
  <c r="K810" i="86"/>
  <c r="BJ176" i="91" s="1"/>
  <c r="N810" i="86"/>
  <c r="BJ176" i="92" s="1"/>
  <c r="N812" i="86"/>
  <c r="BJ178" i="92" s="1"/>
  <c r="H809" i="86"/>
  <c r="I808" i="86" s="1"/>
  <c r="I805" i="86"/>
  <c r="N807" i="86"/>
  <c r="K805" i="86"/>
  <c r="K802" i="86"/>
  <c r="BI179" i="91" s="1"/>
  <c r="K803" i="86"/>
  <c r="BI180" i="91" s="1"/>
  <c r="K796" i="86"/>
  <c r="K784" i="86"/>
  <c r="N784" i="86"/>
  <c r="N792" i="86"/>
  <c r="BH180" i="92" s="1"/>
  <c r="K791" i="86"/>
  <c r="BH179" i="91" s="1"/>
  <c r="N791" i="86"/>
  <c r="BH179" i="92" s="1"/>
  <c r="K793" i="86"/>
  <c r="BH181" i="91" s="1"/>
  <c r="K790" i="86"/>
  <c r="BH178" i="91" s="1"/>
  <c r="K786" i="86"/>
  <c r="K783" i="86"/>
  <c r="N775" i="86"/>
  <c r="K775" i="86"/>
  <c r="N778" i="86"/>
  <c r="BG177" i="92" s="1"/>
  <c r="K751" i="86"/>
  <c r="K756" i="86"/>
  <c r="BE177" i="91" s="1"/>
  <c r="N756" i="86"/>
  <c r="BE177" i="92" s="1"/>
  <c r="N753" i="86"/>
  <c r="K753" i="86"/>
  <c r="K758" i="86"/>
  <c r="BE179" i="91" s="1"/>
  <c r="K750" i="86"/>
  <c r="N748" i="86"/>
  <c r="BD180" i="92" s="1"/>
  <c r="K749" i="86"/>
  <c r="BD181" i="91" s="1"/>
  <c r="N741" i="86"/>
  <c r="N744" i="86"/>
  <c r="BD176" i="92" s="1"/>
  <c r="K729" i="86"/>
  <c r="N736" i="86"/>
  <c r="BC179" i="92" s="1"/>
  <c r="N733" i="86"/>
  <c r="BC176" i="92" s="1"/>
  <c r="K733" i="86"/>
  <c r="BC176" i="91" s="1"/>
  <c r="K731" i="86"/>
  <c r="K728" i="86"/>
  <c r="N720" i="86"/>
  <c r="K727" i="86"/>
  <c r="BB181" i="91" s="1"/>
  <c r="N724" i="86"/>
  <c r="BB178" i="92" s="1"/>
  <c r="K724" i="86"/>
  <c r="BB178" i="91" s="1"/>
  <c r="K726" i="86"/>
  <c r="BB180" i="91" s="1"/>
  <c r="N726" i="86"/>
  <c r="BB180" i="92" s="1"/>
  <c r="K718" i="86"/>
  <c r="N718" i="86"/>
  <c r="K719" i="86"/>
  <c r="H721" i="86"/>
  <c r="I719" i="86" s="1"/>
  <c r="N707" i="86"/>
  <c r="K709" i="86"/>
  <c r="K714" i="86"/>
  <c r="BA179" i="91" s="1"/>
  <c r="N716" i="86"/>
  <c r="BA181" i="92" s="1"/>
  <c r="K706" i="86"/>
  <c r="N693" i="86"/>
  <c r="AY180" i="92" s="1"/>
  <c r="N687" i="86"/>
  <c r="K690" i="86"/>
  <c r="AY177" i="91" s="1"/>
  <c r="N690" i="86"/>
  <c r="AY177" i="92" s="1"/>
  <c r="N694" i="86"/>
  <c r="AY181" i="92" s="1"/>
  <c r="K689" i="86"/>
  <c r="AY176" i="91" s="1"/>
  <c r="K680" i="86"/>
  <c r="AT178" i="91" s="1"/>
  <c r="N680" i="86"/>
  <c r="AT178" i="92" s="1"/>
  <c r="N682" i="86"/>
  <c r="AT180" i="92" s="1"/>
  <c r="N674" i="86"/>
  <c r="K676" i="86"/>
  <c r="N679" i="86"/>
  <c r="AT177" i="92" s="1"/>
  <c r="N683" i="86"/>
  <c r="AT181" i="92" s="1"/>
  <c r="K683" i="86"/>
  <c r="AT181" i="91" s="1"/>
  <c r="H673" i="86"/>
  <c r="K678" i="86"/>
  <c r="AT176" i="91" s="1"/>
  <c r="N671" i="86"/>
  <c r="AO180" i="92" s="1"/>
  <c r="N663" i="86"/>
  <c r="N668" i="86"/>
  <c r="AO177" i="92" s="1"/>
  <c r="K668" i="86"/>
  <c r="AO177" i="91" s="1"/>
  <c r="K670" i="86"/>
  <c r="AO179" i="91" s="1"/>
  <c r="N652" i="86"/>
  <c r="K660" i="86"/>
  <c r="AN180" i="91" s="1"/>
  <c r="N660" i="86"/>
  <c r="AN180" i="92" s="1"/>
  <c r="K654" i="86"/>
  <c r="N641" i="86"/>
  <c r="K649" i="86"/>
  <c r="AM180" i="91" s="1"/>
  <c r="N650" i="86"/>
  <c r="AM181" i="92" s="1"/>
  <c r="K650" i="86"/>
  <c r="AM181" i="91" s="1"/>
  <c r="K640" i="86"/>
  <c r="K638" i="86"/>
  <c r="AL180" i="91" s="1"/>
  <c r="N638" i="86"/>
  <c r="AL180" i="92" s="1"/>
  <c r="N639" i="86"/>
  <c r="AL181" i="92" s="1"/>
  <c r="N632" i="86"/>
  <c r="K636" i="86"/>
  <c r="AL178" i="91" s="1"/>
  <c r="N630" i="86"/>
  <c r="N626" i="86"/>
  <c r="AK179" i="92" s="1"/>
  <c r="N628" i="86"/>
  <c r="AK181" i="92" s="1"/>
  <c r="K621" i="86"/>
  <c r="K618" i="86"/>
  <c r="K614" i="86"/>
  <c r="AJ178" i="91" s="1"/>
  <c r="K612" i="86"/>
  <c r="AJ176" i="91" s="1"/>
  <c r="K607" i="86"/>
  <c r="K605" i="86"/>
  <c r="AI180" i="91" s="1"/>
  <c r="N605" i="86"/>
  <c r="AI180" i="92" s="1"/>
  <c r="K597" i="86"/>
  <c r="N597" i="86"/>
  <c r="N599" i="86"/>
  <c r="K599" i="86"/>
  <c r="K602" i="86"/>
  <c r="AI177" i="91" s="1"/>
  <c r="N601" i="86"/>
  <c r="AI176" i="92" s="1"/>
  <c r="K603" i="86"/>
  <c r="AI178" i="91" s="1"/>
  <c r="H600" i="86"/>
  <c r="I599" i="86" s="1"/>
  <c r="N598" i="86"/>
  <c r="K593" i="86"/>
  <c r="AA179" i="91" s="1"/>
  <c r="N593" i="86"/>
  <c r="AA179" i="92" s="1"/>
  <c r="K592" i="86"/>
  <c r="AA178" i="91" s="1"/>
  <c r="H585" i="86"/>
  <c r="K588" i="86"/>
  <c r="K576" i="86"/>
  <c r="N583" i="86"/>
  <c r="Z180" i="92" s="1"/>
  <c r="H574" i="86"/>
  <c r="K580" i="86"/>
  <c r="Z177" i="91" s="1"/>
  <c r="K584" i="86"/>
  <c r="Z181" i="91" s="1"/>
  <c r="K564" i="86"/>
  <c r="N566" i="86"/>
  <c r="K566" i="86"/>
  <c r="K565" i="86"/>
  <c r="H567" i="86"/>
  <c r="N555" i="86"/>
  <c r="K555" i="86"/>
  <c r="N559" i="86"/>
  <c r="X178" i="92" s="1"/>
  <c r="K552" i="86"/>
  <c r="N541" i="86"/>
  <c r="K541" i="86"/>
  <c r="K550" i="86"/>
  <c r="W180" i="91" s="1"/>
  <c r="K542" i="86"/>
  <c r="N542" i="86"/>
  <c r="N544" i="86"/>
  <c r="K547" i="86"/>
  <c r="W177" i="91" s="1"/>
  <c r="K549" i="86"/>
  <c r="W179" i="91" s="1"/>
  <c r="N549" i="86"/>
  <c r="W179" i="92" s="1"/>
  <c r="K546" i="86"/>
  <c r="W176" i="91" s="1"/>
  <c r="K539" i="86"/>
  <c r="V180" i="91" s="1"/>
  <c r="N533" i="86"/>
  <c r="K533" i="86"/>
  <c r="K536" i="86"/>
  <c r="V177" i="91" s="1"/>
  <c r="N538" i="86"/>
  <c r="V179" i="92" s="1"/>
  <c r="N532" i="86"/>
  <c r="K537" i="86"/>
  <c r="V178" i="91" s="1"/>
  <c r="K530" i="86"/>
  <c r="K528" i="86"/>
  <c r="U180" i="91" s="1"/>
  <c r="N522" i="86"/>
  <c r="K522" i="86"/>
  <c r="K529" i="86"/>
  <c r="U181" i="91" s="1"/>
  <c r="N526" i="86"/>
  <c r="U178" i="92" s="1"/>
  <c r="K526" i="86"/>
  <c r="U178" i="91" s="1"/>
  <c r="K524" i="86"/>
  <c r="U176" i="91" s="1"/>
  <c r="K521" i="86"/>
  <c r="N517" i="86"/>
  <c r="T180" i="92" s="1"/>
  <c r="I510" i="86"/>
  <c r="K518" i="86"/>
  <c r="T181" i="91" s="1"/>
  <c r="N509" i="86"/>
  <c r="K515" i="86"/>
  <c r="T178" i="91" s="1"/>
  <c r="K510" i="86"/>
  <c r="H512" i="86"/>
  <c r="K508" i="86"/>
  <c r="N498" i="86"/>
  <c r="K498" i="86"/>
  <c r="K503" i="86"/>
  <c r="S177" i="91" s="1"/>
  <c r="N503" i="86"/>
  <c r="S177" i="92" s="1"/>
  <c r="K497" i="86"/>
  <c r="K489" i="86"/>
  <c r="N496" i="86"/>
  <c r="R181" i="92" s="1"/>
  <c r="N487" i="86"/>
  <c r="N486" i="86"/>
  <c r="K486" i="86"/>
  <c r="K495" i="86"/>
  <c r="R180" i="91" s="1"/>
  <c r="K491" i="86"/>
  <c r="R176" i="91" s="1"/>
  <c r="K483" i="86"/>
  <c r="Q179" i="91" s="1"/>
  <c r="N485" i="86"/>
  <c r="Q181" i="92" s="1"/>
  <c r="K476" i="86"/>
  <c r="K478" i="86"/>
  <c r="K475" i="86"/>
  <c r="K473" i="86"/>
  <c r="P180" i="91" s="1"/>
  <c r="N473" i="86"/>
  <c r="P180" i="92" s="1"/>
  <c r="N465" i="86"/>
  <c r="N467" i="86"/>
  <c r="K472" i="86"/>
  <c r="P179" i="91" s="1"/>
  <c r="K471" i="86"/>
  <c r="P178" i="91" s="1"/>
  <c r="K464" i="86"/>
  <c r="K456" i="86"/>
  <c r="N459" i="86"/>
  <c r="O177" i="92" s="1"/>
  <c r="N461" i="86"/>
  <c r="O179" i="92" s="1"/>
  <c r="K463" i="86"/>
  <c r="O181" i="91" s="1"/>
  <c r="N458" i="86"/>
  <c r="O176" i="92" s="1"/>
  <c r="K458" i="86"/>
  <c r="O176" i="91" s="1"/>
  <c r="K453" i="86"/>
  <c r="K449" i="86"/>
  <c r="N178" i="91" s="1"/>
  <c r="N451" i="86"/>
  <c r="N180" i="92" s="1"/>
  <c r="K443" i="86"/>
  <c r="N445" i="86"/>
  <c r="K445" i="86"/>
  <c r="N450" i="86"/>
  <c r="N179" i="92" s="1"/>
  <c r="K452" i="86"/>
  <c r="N181" i="91" s="1"/>
  <c r="N444" i="86"/>
  <c r="K444" i="86"/>
  <c r="N441" i="86"/>
  <c r="M181" i="92" s="1"/>
  <c r="K441" i="86"/>
  <c r="M181" i="91" s="1"/>
  <c r="N432" i="86"/>
  <c r="K438" i="86"/>
  <c r="M178" i="91" s="1"/>
  <c r="K436" i="86"/>
  <c r="M176" i="91" s="1"/>
  <c r="K429" i="86"/>
  <c r="L180" i="91" s="1"/>
  <c r="N429" i="86"/>
  <c r="L180" i="92" s="1"/>
  <c r="N426" i="86"/>
  <c r="L177" i="92" s="1"/>
  <c r="K426" i="86"/>
  <c r="L177" i="91" s="1"/>
  <c r="N420" i="86"/>
  <c r="K420" i="86"/>
  <c r="K430" i="86"/>
  <c r="L181" i="91" s="1"/>
  <c r="K421" i="86"/>
  <c r="N421" i="86"/>
  <c r="K410" i="86"/>
  <c r="N410" i="86"/>
  <c r="K415" i="86"/>
  <c r="K177" i="91" s="1"/>
  <c r="N419" i="86"/>
  <c r="K181" i="92" s="1"/>
  <c r="H409" i="86"/>
  <c r="K399" i="86"/>
  <c r="N399" i="86"/>
  <c r="N401" i="86"/>
  <c r="K401" i="86"/>
  <c r="K404" i="86"/>
  <c r="J177" i="91" s="1"/>
  <c r="N408" i="86"/>
  <c r="J181" i="92" s="1"/>
  <c r="K408" i="86"/>
  <c r="J181" i="91" s="1"/>
  <c r="K400" i="86"/>
  <c r="H398" i="86"/>
  <c r="N396" i="86"/>
  <c r="I180" i="92" s="1"/>
  <c r="N390" i="86"/>
  <c r="K390" i="86"/>
  <c r="K393" i="86"/>
  <c r="I177" i="91" s="1"/>
  <c r="K395" i="86"/>
  <c r="I179" i="91" s="1"/>
  <c r="N395" i="86"/>
  <c r="I179" i="92" s="1"/>
  <c r="N397" i="86"/>
  <c r="I181" i="92" s="1"/>
  <c r="N389" i="86"/>
  <c r="N392" i="86"/>
  <c r="I176" i="92" s="1"/>
  <c r="K392" i="86"/>
  <c r="I176" i="91" s="1"/>
  <c r="K387" i="86"/>
  <c r="N383" i="86"/>
  <c r="H178" i="92" s="1"/>
  <c r="K383" i="86"/>
  <c r="H178" i="91" s="1"/>
  <c r="K379" i="86"/>
  <c r="N374" i="86"/>
  <c r="G180" i="92" s="1"/>
  <c r="K366" i="86"/>
  <c r="N368" i="86"/>
  <c r="K368" i="86"/>
  <c r="N371" i="86"/>
  <c r="G177" i="92" s="1"/>
  <c r="K373" i="86"/>
  <c r="G179" i="91" s="1"/>
  <c r="N375" i="86"/>
  <c r="G181" i="92" s="1"/>
  <c r="K375" i="86"/>
  <c r="G181" i="91" s="1"/>
  <c r="K367" i="86"/>
  <c r="H369" i="86"/>
  <c r="I367" i="86" s="1"/>
  <c r="K361" i="86"/>
  <c r="F178" i="91" s="1"/>
  <c r="K364" i="86"/>
  <c r="F181" i="91" s="1"/>
  <c r="N355" i="86"/>
  <c r="H354" i="86"/>
  <c r="K357" i="86"/>
  <c r="N356" i="86"/>
  <c r="N350" i="86"/>
  <c r="E178" i="92" s="1"/>
  <c r="K352" i="86"/>
  <c r="E180" i="91" s="1"/>
  <c r="N351" i="86"/>
  <c r="E179" i="92" s="1"/>
  <c r="K343" i="86"/>
  <c r="K344" i="86"/>
  <c r="K348" i="86"/>
  <c r="E176" i="91" s="1"/>
  <c r="N345" i="86"/>
  <c r="K334" i="86"/>
  <c r="H332" i="86"/>
  <c r="H336" i="86" s="1"/>
  <c r="K335" i="86"/>
  <c r="F336" i="86"/>
  <c r="N334" i="86"/>
  <c r="AA5" i="101"/>
  <c r="Z5" i="101"/>
  <c r="Y5" i="101"/>
  <c r="X5" i="101"/>
  <c r="W5" i="101"/>
  <c r="V5" i="101"/>
  <c r="T5" i="101"/>
  <c r="AA5" i="102"/>
  <c r="Z5" i="102"/>
  <c r="Y5" i="102"/>
  <c r="X5" i="102"/>
  <c r="W5" i="102"/>
  <c r="V5" i="102"/>
  <c r="T5" i="102"/>
  <c r="AA5" i="95"/>
  <c r="Z5" i="95"/>
  <c r="Y5" i="95"/>
  <c r="X5" i="95"/>
  <c r="W5" i="95"/>
  <c r="V5" i="95"/>
  <c r="T5" i="95"/>
  <c r="V5" i="67"/>
  <c r="W5" i="67"/>
  <c r="X5" i="67"/>
  <c r="Y5" i="67"/>
  <c r="Z5" i="67"/>
  <c r="AA5" i="67"/>
  <c r="T5" i="67"/>
  <c r="N958" i="86" l="1"/>
  <c r="CL181" i="92" s="1"/>
  <c r="N832" i="86"/>
  <c r="BL176" i="92" s="1"/>
  <c r="K527" i="86"/>
  <c r="U179" i="91" s="1"/>
  <c r="K736" i="86"/>
  <c r="BC179" i="91" s="1"/>
  <c r="N620" i="86"/>
  <c r="N730" i="86"/>
  <c r="N406" i="86"/>
  <c r="J179" i="92" s="1"/>
  <c r="K469" i="86"/>
  <c r="P176" i="91" s="1"/>
  <c r="K927" i="86"/>
  <c r="N954" i="86"/>
  <c r="CL177" i="92" s="1"/>
  <c r="N353" i="86"/>
  <c r="E181" i="92" s="1"/>
  <c r="N640" i="86"/>
  <c r="N367" i="86"/>
  <c r="N602" i="86"/>
  <c r="AI177" i="92" s="1"/>
  <c r="N801" i="86"/>
  <c r="BI178" i="92" s="1"/>
  <c r="N476" i="86"/>
  <c r="N479" i="86" s="1"/>
  <c r="N968" i="86"/>
  <c r="CM180" i="92" s="1"/>
  <c r="K835" i="86"/>
  <c r="BL179" i="91" s="1"/>
  <c r="N449" i="86"/>
  <c r="N178" i="92" s="1"/>
  <c r="N551" i="86"/>
  <c r="W181" i="92" s="1"/>
  <c r="K466" i="86"/>
  <c r="N910" i="86"/>
  <c r="BU177" i="92" s="1"/>
  <c r="K459" i="86"/>
  <c r="O177" i="91" s="1"/>
  <c r="N702" i="86"/>
  <c r="AZ178" i="92" s="1"/>
  <c r="K386" i="86"/>
  <c r="H181" i="91" s="1"/>
  <c r="N584" i="86"/>
  <c r="Z181" i="92" s="1"/>
  <c r="K21" i="86"/>
  <c r="BW179" i="91" s="1"/>
  <c r="K465" i="86"/>
  <c r="N769" i="86"/>
  <c r="BF179" i="92" s="1"/>
  <c r="N590" i="86"/>
  <c r="AA176" i="92" s="1"/>
  <c r="K659" i="86"/>
  <c r="AN179" i="91" s="1"/>
  <c r="K815" i="86"/>
  <c r="BJ181" i="91" s="1"/>
  <c r="K389" i="86"/>
  <c r="N746" i="86"/>
  <c r="BD178" i="92" s="1"/>
  <c r="K967" i="86"/>
  <c r="CM179" i="91" s="1"/>
  <c r="N499" i="86"/>
  <c r="K45" i="86"/>
  <c r="BY181" i="91" s="1"/>
  <c r="K4" i="86"/>
  <c r="N890" i="86"/>
  <c r="BS179" i="92" s="1"/>
  <c r="N994" i="86"/>
  <c r="N996" i="86" s="1"/>
  <c r="O992" i="86" s="1"/>
  <c r="CP169" i="92" s="1"/>
  <c r="K911" i="86"/>
  <c r="BU178" i="91" s="1"/>
  <c r="K36" i="86"/>
  <c r="K771" i="86"/>
  <c r="BF181" i="91" s="1"/>
  <c r="N515" i="86"/>
  <c r="T178" i="92" s="1"/>
  <c r="N849" i="86"/>
  <c r="N853" i="86" s="1"/>
  <c r="O849" i="86" s="1"/>
  <c r="BN169" i="92" s="1"/>
  <c r="K3" i="86"/>
  <c r="N796" i="86"/>
  <c r="K883" i="86"/>
  <c r="N981" i="86"/>
  <c r="N442" i="86"/>
  <c r="N344" i="86"/>
  <c r="K817" i="86"/>
  <c r="K921" i="86"/>
  <c r="CI177" i="91" s="1"/>
  <c r="N44" i="86"/>
  <c r="BY180" i="92" s="1"/>
  <c r="K571" i="86"/>
  <c r="Y179" i="91" s="1"/>
  <c r="N484" i="86"/>
  <c r="Q180" i="92" s="1"/>
  <c r="N909" i="86"/>
  <c r="BU176" i="92" s="1"/>
  <c r="K858" i="86"/>
  <c r="BN180" i="91" s="1"/>
  <c r="K867" i="86"/>
  <c r="BO178" i="91" s="1"/>
  <c r="N859" i="86"/>
  <c r="BN181" i="92" s="1"/>
  <c r="K924" i="86"/>
  <c r="CI180" i="91" s="1"/>
  <c r="N782" i="86"/>
  <c r="BG181" i="92" s="1"/>
  <c r="N591" i="86"/>
  <c r="AA177" i="92" s="1"/>
  <c r="N407" i="86"/>
  <c r="J180" i="92" s="1"/>
  <c r="K125" i="86"/>
  <c r="K127" i="86" s="1"/>
  <c r="L123" i="86" s="1"/>
  <c r="CG169" i="91" s="1"/>
  <c r="N686" i="86"/>
  <c r="K925" i="86"/>
  <c r="CI181" i="91" s="1"/>
  <c r="K759" i="86"/>
  <c r="BE180" i="91" s="1"/>
  <c r="K14" i="86"/>
  <c r="K675" i="86"/>
  <c r="N573" i="86"/>
  <c r="Y181" i="92" s="1"/>
  <c r="N387" i="86"/>
  <c r="N391" i="86" s="1"/>
  <c r="O387" i="86" s="1"/>
  <c r="I169" i="92" s="1"/>
  <c r="N814" i="86"/>
  <c r="BJ180" i="92" s="1"/>
  <c r="N957" i="86"/>
  <c r="CL180" i="92" s="1"/>
  <c r="K462" i="86"/>
  <c r="O180" i="91" s="1"/>
  <c r="N576" i="86"/>
  <c r="K628" i="86"/>
  <c r="AK181" i="91" s="1"/>
  <c r="K11" i="86"/>
  <c r="BV180" i="91" s="1"/>
  <c r="K616" i="86"/>
  <c r="AJ180" i="91" s="1"/>
  <c r="K846" i="86"/>
  <c r="BM179" i="91" s="1"/>
  <c r="K339" i="86"/>
  <c r="D178" i="91" s="1"/>
  <c r="N684" i="86"/>
  <c r="N882" i="86"/>
  <c r="N558" i="86"/>
  <c r="X177" i="92" s="1"/>
  <c r="N34" i="86"/>
  <c r="BX181" i="92" s="1"/>
  <c r="N833" i="86"/>
  <c r="BL177" i="92" s="1"/>
  <c r="K901" i="86"/>
  <c r="BT179" i="91" s="1"/>
  <c r="K433" i="86"/>
  <c r="N32" i="86"/>
  <c r="BX179" i="92" s="1"/>
  <c r="K990" i="86"/>
  <c r="CO180" i="91" s="1"/>
  <c r="K840" i="86"/>
  <c r="N708" i="86"/>
  <c r="N710" i="86" s="1"/>
  <c r="O706" i="86" s="1"/>
  <c r="BA169" i="92" s="1"/>
  <c r="N760" i="86"/>
  <c r="BE181" i="92" s="1"/>
  <c r="N1001" i="86"/>
  <c r="CP180" i="92" s="1"/>
  <c r="K520" i="86"/>
  <c r="K523" i="86" s="1"/>
  <c r="L521" i="86" s="1"/>
  <c r="U171" i="91" s="1"/>
  <c r="N980" i="86"/>
  <c r="CN181" i="92" s="1"/>
  <c r="K822" i="86"/>
  <c r="BK177" i="91" s="1"/>
  <c r="K560" i="86"/>
  <c r="X179" i="91" s="1"/>
  <c r="K648" i="86"/>
  <c r="AM179" i="91" s="1"/>
  <c r="K531" i="86"/>
  <c r="K371" i="86"/>
  <c r="G177" i="91" s="1"/>
  <c r="K428" i="86"/>
  <c r="L179" i="91" s="1"/>
  <c r="N623" i="86"/>
  <c r="AK176" i="92" s="1"/>
  <c r="K411" i="86"/>
  <c r="N959" i="86"/>
  <c r="N963" i="86" s="1"/>
  <c r="O959" i="86" s="1"/>
  <c r="CM169" i="92" s="1"/>
  <c r="N953" i="86"/>
  <c r="CL176" i="92" s="1"/>
  <c r="K653" i="86"/>
  <c r="K949" i="86"/>
  <c r="K752" i="86"/>
  <c r="K754" i="86" s="1"/>
  <c r="L751" i="86" s="1"/>
  <c r="BE170" i="91" s="1"/>
  <c r="K492" i="86"/>
  <c r="R177" i="91" s="1"/>
  <c r="N619" i="86"/>
  <c r="N622" i="86" s="1"/>
  <c r="O618" i="86" s="1"/>
  <c r="AK169" i="92" s="1"/>
  <c r="K983" i="86"/>
  <c r="K902" i="86"/>
  <c r="BT180" i="91" s="1"/>
  <c r="K538" i="86"/>
  <c r="V179" i="91" s="1"/>
  <c r="N937" i="86"/>
  <c r="K976" i="86"/>
  <c r="CN177" i="91" s="1"/>
  <c r="K693" i="86"/>
  <c r="AY180" i="91" s="1"/>
  <c r="K757" i="86"/>
  <c r="BE178" i="91" s="1"/>
  <c r="N518" i="86"/>
  <c r="T181" i="92" s="1"/>
  <c r="K661" i="86"/>
  <c r="AN181" i="91" s="1"/>
  <c r="N761" i="86"/>
  <c r="N794" i="86"/>
  <c r="N33" i="86"/>
  <c r="BX180" i="92" s="1"/>
  <c r="K572" i="86"/>
  <c r="Y180" i="91" s="1"/>
  <c r="N827" i="86"/>
  <c r="N831" i="86" s="1"/>
  <c r="O827" i="86" s="1"/>
  <c r="BL169" i="92" s="1"/>
  <c r="K821" i="86"/>
  <c r="BK176" i="91" s="1"/>
  <c r="N779" i="86"/>
  <c r="BG178" i="92" s="1"/>
  <c r="K697" i="86"/>
  <c r="N745" i="86"/>
  <c r="BD177" i="92" s="1"/>
  <c r="K888" i="86"/>
  <c r="BS177" i="91" s="1"/>
  <c r="N8" i="86"/>
  <c r="BV177" i="92" s="1"/>
  <c r="N788" i="86"/>
  <c r="BH176" i="92" s="1"/>
  <c r="K903" i="86"/>
  <c r="BT181" i="91" s="1"/>
  <c r="K762" i="86"/>
  <c r="N755" i="86"/>
  <c r="BE176" i="92" s="1"/>
  <c r="N40" i="86"/>
  <c r="BY176" i="92" s="1"/>
  <c r="K575" i="86"/>
  <c r="K672" i="86"/>
  <c r="AO181" i="91" s="1"/>
  <c r="K440" i="86"/>
  <c r="M180" i="91" s="1"/>
  <c r="K740" i="86"/>
  <c r="K743" i="86" s="1"/>
  <c r="L739" i="86" s="1"/>
  <c r="BD169" i="91" s="1"/>
  <c r="I137" i="86"/>
  <c r="K140" i="86"/>
  <c r="CH177" i="91" s="1"/>
  <c r="H127" i="86"/>
  <c r="I68" i="86"/>
  <c r="I70" i="86"/>
  <c r="H61" i="86"/>
  <c r="I59" i="86" s="1"/>
  <c r="N61" i="86"/>
  <c r="O57" i="86" s="1"/>
  <c r="CA169" i="92" s="1"/>
  <c r="K24" i="86"/>
  <c r="K32" i="86"/>
  <c r="BX179" i="91" s="1"/>
  <c r="N21" i="86"/>
  <c r="BW179" i="92" s="1"/>
  <c r="K8" i="86"/>
  <c r="BV177" i="91" s="1"/>
  <c r="N7" i="86"/>
  <c r="BV176" i="92" s="1"/>
  <c r="N138" i="86"/>
  <c r="O136" i="86" s="1"/>
  <c r="CH171" i="92" s="1"/>
  <c r="I136" i="86"/>
  <c r="I135" i="86"/>
  <c r="I138" i="86" s="1"/>
  <c r="K138" i="86"/>
  <c r="L134" i="86" s="1"/>
  <c r="CH169" i="91" s="1"/>
  <c r="I123" i="86"/>
  <c r="N127" i="86"/>
  <c r="O126" i="86" s="1"/>
  <c r="CG172" i="92" s="1"/>
  <c r="N112" i="86"/>
  <c r="H116" i="86"/>
  <c r="I112" i="86" s="1"/>
  <c r="K112" i="86"/>
  <c r="I69" i="86"/>
  <c r="I72" i="86" s="1"/>
  <c r="K72" i="86"/>
  <c r="L69" i="86" s="1"/>
  <c r="CB170" i="91" s="1"/>
  <c r="N72" i="86"/>
  <c r="O68" i="86" s="1"/>
  <c r="CB169" i="92" s="1"/>
  <c r="I60" i="86"/>
  <c r="K61" i="86"/>
  <c r="L57" i="86" s="1"/>
  <c r="CA169" i="91" s="1"/>
  <c r="K579" i="86"/>
  <c r="Z176" i="91" s="1"/>
  <c r="N723" i="86"/>
  <c r="BB177" i="92" s="1"/>
  <c r="N804" i="86"/>
  <c r="BI181" i="92" s="1"/>
  <c r="K926" i="86"/>
  <c r="K340" i="86"/>
  <c r="D179" i="91" s="1"/>
  <c r="K346" i="86"/>
  <c r="K360" i="86"/>
  <c r="F177" i="91" s="1"/>
  <c r="H391" i="86"/>
  <c r="H479" i="86"/>
  <c r="I478" i="86" s="1"/>
  <c r="I564" i="86"/>
  <c r="N672" i="86"/>
  <c r="AO181" i="92" s="1"/>
  <c r="H754" i="86"/>
  <c r="I753" i="86" s="1"/>
  <c r="K814" i="86"/>
  <c r="BJ180" i="91" s="1"/>
  <c r="N927" i="86"/>
  <c r="K769" i="86"/>
  <c r="BF179" i="91" s="1"/>
  <c r="K646" i="86"/>
  <c r="AM177" i="91" s="1"/>
  <c r="N604" i="86"/>
  <c r="AI179" i="92" s="1"/>
  <c r="N433" i="86"/>
  <c r="N800" i="86"/>
  <c r="BI177" i="92" s="1"/>
  <c r="H820" i="86"/>
  <c r="I817" i="86" s="1"/>
  <c r="N879" i="86"/>
  <c r="BR179" i="92" s="1"/>
  <c r="N3" i="86"/>
  <c r="N30" i="86"/>
  <c r="BX177" i="92" s="1"/>
  <c r="K425" i="86"/>
  <c r="L176" i="91" s="1"/>
  <c r="K437" i="86"/>
  <c r="M177" i="91" s="1"/>
  <c r="K488" i="86"/>
  <c r="K490" i="86" s="1"/>
  <c r="L486" i="86" s="1"/>
  <c r="R169" i="91" s="1"/>
  <c r="K525" i="86"/>
  <c r="U177" i="91" s="1"/>
  <c r="K595" i="86"/>
  <c r="AA181" i="91" s="1"/>
  <c r="N648" i="86"/>
  <c r="AM179" i="92" s="1"/>
  <c r="K708" i="86"/>
  <c r="K710" i="86" s="1"/>
  <c r="L706" i="86" s="1"/>
  <c r="BA169" i="91" s="1"/>
  <c r="H732" i="86"/>
  <c r="I729" i="86" s="1"/>
  <c r="K746" i="86"/>
  <c r="BD178" i="91" s="1"/>
  <c r="N740" i="86"/>
  <c r="H776" i="86"/>
  <c r="I773" i="86" s="1"/>
  <c r="N821" i="86"/>
  <c r="BK176" i="92" s="1"/>
  <c r="K977" i="86"/>
  <c r="CN178" i="91" s="1"/>
  <c r="K819" i="86"/>
  <c r="N762" i="86"/>
  <c r="H457" i="86"/>
  <c r="I454" i="86" s="1"/>
  <c r="N4" i="86"/>
  <c r="N11" i="86"/>
  <c r="BV180" i="92" s="1"/>
  <c r="N45" i="86"/>
  <c r="BY181" i="92" s="1"/>
  <c r="N867" i="86"/>
  <c r="BO178" i="92" s="1"/>
  <c r="K431" i="86"/>
  <c r="N448" i="86"/>
  <c r="N177" i="92" s="1"/>
  <c r="N488" i="86"/>
  <c r="N490" i="86" s="1"/>
  <c r="O489" i="86" s="1"/>
  <c r="R172" i="92" s="1"/>
  <c r="N572" i="86"/>
  <c r="Y180" i="92" s="1"/>
  <c r="N587" i="86"/>
  <c r="N797" i="86"/>
  <c r="N858" i="86"/>
  <c r="BN180" i="92" s="1"/>
  <c r="N822" i="86"/>
  <c r="BK177" i="92" s="1"/>
  <c r="K484" i="86"/>
  <c r="Q180" i="91" s="1"/>
  <c r="K377" i="86"/>
  <c r="K380" i="86" s="1"/>
  <c r="L377" i="86" s="1"/>
  <c r="H170" i="91" s="1"/>
  <c r="H446" i="86"/>
  <c r="H501" i="86"/>
  <c r="I499" i="86" s="1"/>
  <c r="I508" i="86"/>
  <c r="K540" i="86"/>
  <c r="V181" i="91" s="1"/>
  <c r="N616" i="86"/>
  <c r="AJ180" i="92" s="1"/>
  <c r="K760" i="86"/>
  <c r="BE181" i="91" s="1"/>
  <c r="K779" i="86"/>
  <c r="BG178" i="91" s="1"/>
  <c r="N817" i="86"/>
  <c r="N820" i="86" s="1"/>
  <c r="K839" i="86"/>
  <c r="K869" i="86"/>
  <c r="BO180" i="91" s="1"/>
  <c r="H435" i="86"/>
  <c r="I431" i="86" s="1"/>
  <c r="K934" i="86"/>
  <c r="CJ179" i="91" s="1"/>
  <c r="K500" i="86"/>
  <c r="K730" i="86"/>
  <c r="K732" i="86" s="1"/>
  <c r="L728" i="86" s="1"/>
  <c r="BC169" i="91" s="1"/>
  <c r="N835" i="86"/>
  <c r="BL179" i="92" s="1"/>
  <c r="I960" i="86"/>
  <c r="K972" i="86"/>
  <c r="K974" i="86" s="1"/>
  <c r="L971" i="86" s="1"/>
  <c r="CN170" i="91" s="1"/>
  <c r="N901" i="86"/>
  <c r="BT179" i="92" s="1"/>
  <c r="K981" i="86"/>
  <c r="K422" i="86"/>
  <c r="K35" i="86"/>
  <c r="K39" i="86" s="1"/>
  <c r="L36" i="86" s="1"/>
  <c r="BY170" i="91" s="1"/>
  <c r="N976" i="86"/>
  <c r="CN177" i="92" s="1"/>
  <c r="K338" i="86"/>
  <c r="D177" i="91" s="1"/>
  <c r="K406" i="86"/>
  <c r="J179" i="91" s="1"/>
  <c r="K558" i="86"/>
  <c r="X177" i="91" s="1"/>
  <c r="K620" i="86"/>
  <c r="N661" i="86"/>
  <c r="AN181" i="92" s="1"/>
  <c r="H831" i="86"/>
  <c r="I829" i="86" s="1"/>
  <c r="K910" i="86"/>
  <c r="BU177" i="91" s="1"/>
  <c r="N924" i="86"/>
  <c r="CI180" i="92" s="1"/>
  <c r="H985" i="86"/>
  <c r="I982" i="86" s="1"/>
  <c r="N998" i="86"/>
  <c r="CP177" i="92" s="1"/>
  <c r="K34" i="86"/>
  <c r="BX181" i="91" s="1"/>
  <c r="H39" i="86"/>
  <c r="I36" i="86" s="1"/>
  <c r="N659" i="86"/>
  <c r="AN179" i="92" s="1"/>
  <c r="N675" i="86"/>
  <c r="N967" i="86"/>
  <c r="CM179" i="92" s="1"/>
  <c r="N988" i="86"/>
  <c r="CO178" i="92" s="1"/>
  <c r="H666" i="86"/>
  <c r="I663" i="86" s="1"/>
  <c r="K876" i="86"/>
  <c r="BR176" i="91" s="1"/>
  <c r="N923" i="86"/>
  <c r="CI179" i="92" s="1"/>
  <c r="K703" i="86"/>
  <c r="AZ179" i="91" s="1"/>
  <c r="I785" i="86"/>
  <c r="N36" i="86"/>
  <c r="N39" i="86" s="1"/>
  <c r="O35" i="86" s="1"/>
  <c r="BY169" i="92" s="1"/>
  <c r="H523" i="86"/>
  <c r="I522" i="86" s="1"/>
  <c r="N653" i="86"/>
  <c r="N655" i="86" s="1"/>
  <c r="O651" i="86" s="1"/>
  <c r="AN169" i="92" s="1"/>
  <c r="K665" i="86"/>
  <c r="K666" i="86" s="1"/>
  <c r="L664" i="86" s="1"/>
  <c r="AO171" i="91" s="1"/>
  <c r="N571" i="86"/>
  <c r="Y179" i="92" s="1"/>
  <c r="N362" i="86"/>
  <c r="F179" i="92" s="1"/>
  <c r="H622" i="86"/>
  <c r="K619" i="86"/>
  <c r="H688" i="86"/>
  <c r="I686" i="86" s="1"/>
  <c r="N883" i="86"/>
  <c r="N886" i="86" s="1"/>
  <c r="O884" i="86" s="1"/>
  <c r="BS171" i="92" s="1"/>
  <c r="N946" i="86"/>
  <c r="CK180" i="92" s="1"/>
  <c r="K999" i="86"/>
  <c r="CP178" i="91" s="1"/>
  <c r="K44" i="86"/>
  <c r="BY180" i="91" s="1"/>
  <c r="H611" i="86"/>
  <c r="I607" i="86" s="1"/>
  <c r="H996" i="86"/>
  <c r="I994" i="86" s="1"/>
  <c r="H545" i="86"/>
  <c r="H710" i="86"/>
  <c r="I706" i="86" s="1"/>
  <c r="I433" i="86"/>
  <c r="K608" i="86"/>
  <c r="K965" i="86"/>
  <c r="CM177" i="91" s="1"/>
  <c r="H974" i="86"/>
  <c r="I971" i="86" s="1"/>
  <c r="N341" i="86"/>
  <c r="D180" i="92" s="1"/>
  <c r="K499" i="86"/>
  <c r="K577" i="86"/>
  <c r="N608" i="86"/>
  <c r="N611" i="86" s="1"/>
  <c r="O609" i="86" s="1"/>
  <c r="AJ171" i="92" s="1"/>
  <c r="N709" i="86"/>
  <c r="K993" i="86"/>
  <c r="K705" i="86"/>
  <c r="AZ181" i="91" s="1"/>
  <c r="N560" i="86"/>
  <c r="X179" i="92" s="1"/>
  <c r="K591" i="86"/>
  <c r="AA177" i="91" s="1"/>
  <c r="H380" i="86"/>
  <c r="I378" i="86" s="1"/>
  <c r="N411" i="86"/>
  <c r="N462" i="86"/>
  <c r="O180" i="92" s="1"/>
  <c r="I511" i="86"/>
  <c r="K544" i="86"/>
  <c r="H655" i="86"/>
  <c r="K832" i="86"/>
  <c r="BL176" i="91" s="1"/>
  <c r="H952" i="86"/>
  <c r="I948" i="86" s="1"/>
  <c r="N983" i="86"/>
  <c r="H743" i="86"/>
  <c r="I740" i="86" s="1"/>
  <c r="H897" i="86"/>
  <c r="I896" i="86" s="1"/>
  <c r="H28" i="86"/>
  <c r="I26" i="86" s="1"/>
  <c r="K434" i="86"/>
  <c r="N615" i="86"/>
  <c r="AJ179" i="92" s="1"/>
  <c r="N942" i="86"/>
  <c r="CK176" i="92" s="1"/>
  <c r="K997" i="86"/>
  <c r="CP176" i="91" s="1"/>
  <c r="N378" i="86"/>
  <c r="K412" i="86"/>
  <c r="H424" i="86"/>
  <c r="I422" i="86" s="1"/>
  <c r="N434" i="86"/>
  <c r="N531" i="86"/>
  <c r="K573" i="86"/>
  <c r="Y181" i="91" s="1"/>
  <c r="N627" i="86"/>
  <c r="AK180" i="92" s="1"/>
  <c r="H798" i="86"/>
  <c r="I795" i="86" s="1"/>
  <c r="K849" i="86"/>
  <c r="K853" i="86" s="1"/>
  <c r="L850" i="86" s="1"/>
  <c r="BN170" i="91" s="1"/>
  <c r="N862" i="86"/>
  <c r="K884" i="86"/>
  <c r="K980" i="86"/>
  <c r="CN181" i="91" s="1"/>
  <c r="K984" i="86"/>
  <c r="H534" i="86"/>
  <c r="I531" i="86" s="1"/>
  <c r="H930" i="86"/>
  <c r="I927" i="86" s="1"/>
  <c r="K799" i="86"/>
  <c r="BI176" i="91" s="1"/>
  <c r="K892" i="86"/>
  <c r="BS181" i="91" s="1"/>
  <c r="N925" i="86"/>
  <c r="CI181" i="92" s="1"/>
  <c r="K953" i="86"/>
  <c r="CL176" i="91" s="1"/>
  <c r="N949" i="86"/>
  <c r="N952" i="86" s="1"/>
  <c r="O951" i="86" s="1"/>
  <c r="CL172" i="92" s="1"/>
  <c r="K994" i="86"/>
  <c r="K995" i="86"/>
  <c r="H919" i="86"/>
  <c r="I917" i="86" s="1"/>
  <c r="H853" i="86"/>
  <c r="I851" i="86" s="1"/>
  <c r="K27" i="86"/>
  <c r="N28" i="86"/>
  <c r="O24" i="86" s="1"/>
  <c r="BX169" i="92" s="1"/>
  <c r="H468" i="86"/>
  <c r="I464" i="86" s="1"/>
  <c r="K423" i="86"/>
  <c r="K442" i="86"/>
  <c r="K446" i="86" s="1"/>
  <c r="K554" i="86"/>
  <c r="K556" i="86" s="1"/>
  <c r="L554" i="86" s="1"/>
  <c r="X171" i="91" s="1"/>
  <c r="K623" i="86"/>
  <c r="AK176" i="91" s="1"/>
  <c r="K447" i="86"/>
  <c r="N176" i="91" s="1"/>
  <c r="K761" i="86"/>
  <c r="N13" i="86"/>
  <c r="H17" i="86"/>
  <c r="I13" i="86" s="1"/>
  <c r="K13" i="86"/>
  <c r="N2" i="86"/>
  <c r="H6" i="86"/>
  <c r="I2" i="86" s="1"/>
  <c r="K2" i="86"/>
  <c r="I895" i="86"/>
  <c r="I698" i="86"/>
  <c r="I696" i="86"/>
  <c r="I697" i="86"/>
  <c r="K532" i="86"/>
  <c r="K534" i="86" s="1"/>
  <c r="K610" i="86"/>
  <c r="K882" i="86"/>
  <c r="K896" i="86"/>
  <c r="I489" i="86"/>
  <c r="N631" i="86"/>
  <c r="N633" i="86" s="1"/>
  <c r="H644" i="86"/>
  <c r="K777" i="86"/>
  <c r="BG176" i="91" s="1"/>
  <c r="H875" i="86"/>
  <c r="I874" i="86" s="1"/>
  <c r="N897" i="86"/>
  <c r="O893" i="86" s="1"/>
  <c r="BT169" i="92" s="1"/>
  <c r="K929" i="86"/>
  <c r="K958" i="86"/>
  <c r="CL181" i="91" s="1"/>
  <c r="I949" i="86"/>
  <c r="K702" i="86"/>
  <c r="AZ178" i="91" s="1"/>
  <c r="I784" i="86"/>
  <c r="K596" i="86"/>
  <c r="K600" i="86" s="1"/>
  <c r="L599" i="86" s="1"/>
  <c r="AI172" i="91" s="1"/>
  <c r="H633" i="86"/>
  <c r="I631" i="86" s="1"/>
  <c r="K874" i="86"/>
  <c r="K875" i="86" s="1"/>
  <c r="L873" i="86" s="1"/>
  <c r="BR171" i="91" s="1"/>
  <c r="N929" i="86"/>
  <c r="N941" i="86"/>
  <c r="O937" i="86" s="1"/>
  <c r="CK169" i="92" s="1"/>
  <c r="I434" i="86"/>
  <c r="I783" i="86"/>
  <c r="N554" i="86"/>
  <c r="N556" i="86" s="1"/>
  <c r="K609" i="86"/>
  <c r="K686" i="86"/>
  <c r="K688" i="86" s="1"/>
  <c r="N721" i="86"/>
  <c r="O717" i="86" s="1"/>
  <c r="BB169" i="92" s="1"/>
  <c r="K745" i="86"/>
  <c r="BD177" i="91" s="1"/>
  <c r="K863" i="86"/>
  <c r="N891" i="86"/>
  <c r="BS180" i="92" s="1"/>
  <c r="K937" i="86"/>
  <c r="K941" i="86" s="1"/>
  <c r="L938" i="86" s="1"/>
  <c r="CK170" i="91" s="1"/>
  <c r="N695" i="86"/>
  <c r="N699" i="86" s="1"/>
  <c r="O698" i="86" s="1"/>
  <c r="AZ172" i="92" s="1"/>
  <c r="I442" i="86"/>
  <c r="N786" i="86"/>
  <c r="N787" i="86" s="1"/>
  <c r="I786" i="86"/>
  <c r="I432" i="86"/>
  <c r="I596" i="86"/>
  <c r="K957" i="86"/>
  <c r="CL180" i="91" s="1"/>
  <c r="K695" i="86"/>
  <c r="N501" i="86"/>
  <c r="O497" i="86" s="1"/>
  <c r="S169" i="92" s="1"/>
  <c r="I597" i="86"/>
  <c r="H941" i="86"/>
  <c r="N688" i="86"/>
  <c r="O684" i="86" s="1"/>
  <c r="AY169" i="92" s="1"/>
  <c r="N523" i="86"/>
  <c r="O519" i="86" s="1"/>
  <c r="U169" i="92" s="1"/>
  <c r="I333" i="86"/>
  <c r="I334" i="86"/>
  <c r="I335" i="86"/>
  <c r="N742" i="86"/>
  <c r="N743" i="86" s="1"/>
  <c r="N332" i="86"/>
  <c r="N336" i="86" s="1"/>
  <c r="O335" i="86" s="1"/>
  <c r="D172" i="92" s="1"/>
  <c r="I332" i="86"/>
  <c r="K332" i="86"/>
  <c r="K336" i="86" s="1"/>
  <c r="L334" i="86" s="1"/>
  <c r="D171" i="91" s="1"/>
  <c r="I509" i="86"/>
  <c r="I498" i="86"/>
  <c r="I486" i="86"/>
  <c r="I487" i="86"/>
  <c r="I467" i="86"/>
  <c r="I453" i="86"/>
  <c r="N456" i="86"/>
  <c r="N457" i="86" s="1"/>
  <c r="I444" i="86"/>
  <c r="I389" i="86"/>
  <c r="I379" i="86"/>
  <c r="I368" i="86"/>
  <c r="I541" i="86"/>
  <c r="I555" i="86"/>
  <c r="I554" i="86"/>
  <c r="I565" i="86"/>
  <c r="I563" i="86"/>
  <c r="I566" i="86"/>
  <c r="I598" i="86"/>
  <c r="I608" i="86"/>
  <c r="K643" i="86"/>
  <c r="K644" i="86" s="1"/>
  <c r="I685" i="86"/>
  <c r="I695" i="86"/>
  <c r="I718" i="86"/>
  <c r="I752" i="86"/>
  <c r="K764" i="86"/>
  <c r="H765" i="86"/>
  <c r="I764" i="86" s="1"/>
  <c r="N776" i="86"/>
  <c r="O772" i="86" s="1"/>
  <c r="BG169" i="92" s="1"/>
  <c r="N798" i="86"/>
  <c r="O794" i="86" s="1"/>
  <c r="BI169" i="92" s="1"/>
  <c r="I850" i="86"/>
  <c r="I849" i="86"/>
  <c r="N852" i="86"/>
  <c r="N875" i="86"/>
  <c r="O871" i="86" s="1"/>
  <c r="BR169" i="92" s="1"/>
  <c r="H886" i="86"/>
  <c r="I885" i="86" s="1"/>
  <c r="K918" i="86"/>
  <c r="K919" i="86" s="1"/>
  <c r="N918" i="86"/>
  <c r="N919" i="86" s="1"/>
  <c r="I983" i="86"/>
  <c r="I981" i="86"/>
  <c r="I993" i="86"/>
  <c r="I995" i="86"/>
  <c r="N985" i="86"/>
  <c r="O981" i="86" s="1"/>
  <c r="CO169" i="92" s="1"/>
  <c r="I973" i="86"/>
  <c r="N974" i="86"/>
  <c r="O970" i="86" s="1"/>
  <c r="CN169" i="92" s="1"/>
  <c r="K963" i="86"/>
  <c r="L959" i="86" s="1"/>
  <c r="CM169" i="91" s="1"/>
  <c r="I961" i="86"/>
  <c r="I959" i="86"/>
  <c r="I962" i="86"/>
  <c r="K952" i="86"/>
  <c r="L951" i="86" s="1"/>
  <c r="CL172" i="91" s="1"/>
  <c r="I938" i="86"/>
  <c r="I937" i="86"/>
  <c r="I926" i="86"/>
  <c r="N904" i="86"/>
  <c r="H908" i="86"/>
  <c r="I904" i="86" s="1"/>
  <c r="K904" i="86"/>
  <c r="I893" i="86"/>
  <c r="N860" i="86"/>
  <c r="H864" i="86"/>
  <c r="I860" i="86" s="1"/>
  <c r="K860" i="86"/>
  <c r="N838" i="86"/>
  <c r="H842" i="86"/>
  <c r="I838" i="86" s="1"/>
  <c r="K838" i="86"/>
  <c r="K831" i="86"/>
  <c r="L827" i="86" s="1"/>
  <c r="BL169" i="91" s="1"/>
  <c r="K820" i="86"/>
  <c r="L819" i="86" s="1"/>
  <c r="BK172" i="91" s="1"/>
  <c r="I816" i="86"/>
  <c r="I819" i="86"/>
  <c r="K809" i="86"/>
  <c r="L805" i="86" s="1"/>
  <c r="BJ169" i="91" s="1"/>
  <c r="I807" i="86"/>
  <c r="I806" i="86"/>
  <c r="N809" i="86"/>
  <c r="O805" i="86" s="1"/>
  <c r="BJ169" i="92" s="1"/>
  <c r="K798" i="86"/>
  <c r="L796" i="86" s="1"/>
  <c r="BI171" i="91" s="1"/>
  <c r="I797" i="86"/>
  <c r="K787" i="86"/>
  <c r="L784" i="86" s="1"/>
  <c r="BH170" i="91" s="1"/>
  <c r="K776" i="86"/>
  <c r="L775" i="86" s="1"/>
  <c r="BG172" i="91" s="1"/>
  <c r="I750" i="86"/>
  <c r="I751" i="86"/>
  <c r="N754" i="86"/>
  <c r="O750" i="86" s="1"/>
  <c r="BE169" i="92" s="1"/>
  <c r="N732" i="86"/>
  <c r="O730" i="86" s="1"/>
  <c r="BC171" i="92" s="1"/>
  <c r="I730" i="86"/>
  <c r="I731" i="86"/>
  <c r="K721" i="86"/>
  <c r="L718" i="86" s="1"/>
  <c r="BB170" i="91" s="1"/>
  <c r="I717" i="86"/>
  <c r="I720" i="86"/>
  <c r="O686" i="86"/>
  <c r="AY171" i="92" s="1"/>
  <c r="I687" i="86"/>
  <c r="N673" i="86"/>
  <c r="H677" i="86"/>
  <c r="I673" i="86" s="1"/>
  <c r="K673" i="86"/>
  <c r="I665" i="86"/>
  <c r="I662" i="86"/>
  <c r="N666" i="86"/>
  <c r="O662" i="86" s="1"/>
  <c r="AO169" i="92" s="1"/>
  <c r="K655" i="86"/>
  <c r="L651" i="86" s="1"/>
  <c r="AN169" i="91" s="1"/>
  <c r="N644" i="86"/>
  <c r="O641" i="86" s="1"/>
  <c r="AM170" i="92" s="1"/>
  <c r="K633" i="86"/>
  <c r="L631" i="86" s="1"/>
  <c r="AL171" i="91" s="1"/>
  <c r="I629" i="86"/>
  <c r="I621" i="86"/>
  <c r="I609" i="86"/>
  <c r="I610" i="86"/>
  <c r="N600" i="86"/>
  <c r="O596" i="86" s="1"/>
  <c r="AI169" i="92" s="1"/>
  <c r="N585" i="86"/>
  <c r="H589" i="86"/>
  <c r="I585" i="86" s="1"/>
  <c r="K585" i="86"/>
  <c r="N574" i="86"/>
  <c r="H578" i="86"/>
  <c r="I574" i="86" s="1"/>
  <c r="K574" i="86"/>
  <c r="K567" i="86"/>
  <c r="L566" i="86" s="1"/>
  <c r="Y172" i="91" s="1"/>
  <c r="N567" i="86"/>
  <c r="O563" i="86" s="1"/>
  <c r="Y169" i="92" s="1"/>
  <c r="I552" i="86"/>
  <c r="I553" i="86"/>
  <c r="N545" i="86"/>
  <c r="O541" i="86" s="1"/>
  <c r="W169" i="92" s="1"/>
  <c r="I543" i="86"/>
  <c r="I544" i="86"/>
  <c r="I542" i="86"/>
  <c r="K545" i="86"/>
  <c r="L544" i="86" s="1"/>
  <c r="W172" i="91" s="1"/>
  <c r="K512" i="86"/>
  <c r="L511" i="86" s="1"/>
  <c r="T172" i="91" s="1"/>
  <c r="N512" i="86"/>
  <c r="O510" i="86" s="1"/>
  <c r="T171" i="92" s="1"/>
  <c r="I497" i="86"/>
  <c r="I476" i="86"/>
  <c r="I477" i="86"/>
  <c r="K479" i="86"/>
  <c r="L477" i="86" s="1"/>
  <c r="Q171" i="91" s="1"/>
  <c r="I475" i="86"/>
  <c r="K468" i="86"/>
  <c r="L464" i="86" s="1"/>
  <c r="P169" i="91" s="1"/>
  <c r="I466" i="86"/>
  <c r="N468" i="86"/>
  <c r="O464" i="86" s="1"/>
  <c r="P169" i="92" s="1"/>
  <c r="K457" i="86"/>
  <c r="L453" i="86" s="1"/>
  <c r="O169" i="91" s="1"/>
  <c r="I456" i="86"/>
  <c r="I443" i="86"/>
  <c r="I445" i="86"/>
  <c r="N446" i="86"/>
  <c r="O442" i="86" s="1"/>
  <c r="N169" i="92" s="1"/>
  <c r="I420" i="86"/>
  <c r="N424" i="86"/>
  <c r="O422" i="86" s="1"/>
  <c r="L171" i="92" s="1"/>
  <c r="I423" i="86"/>
  <c r="N409" i="86"/>
  <c r="H413" i="86"/>
  <c r="I409" i="86" s="1"/>
  <c r="K409" i="86"/>
  <c r="N398" i="86"/>
  <c r="H402" i="86"/>
  <c r="I398" i="86" s="1"/>
  <c r="K398" i="86"/>
  <c r="I387" i="86"/>
  <c r="I390" i="86"/>
  <c r="I388" i="86"/>
  <c r="K391" i="86"/>
  <c r="L390" i="86" s="1"/>
  <c r="I172" i="91" s="1"/>
  <c r="N380" i="86"/>
  <c r="O379" i="86" s="1"/>
  <c r="H172" i="92" s="1"/>
  <c r="I365" i="86"/>
  <c r="I366" i="86"/>
  <c r="K369" i="86"/>
  <c r="L365" i="86" s="1"/>
  <c r="G169" i="91" s="1"/>
  <c r="N369" i="86"/>
  <c r="O365" i="86" s="1"/>
  <c r="G169" i="92" s="1"/>
  <c r="N354" i="86"/>
  <c r="H358" i="86"/>
  <c r="K354" i="86"/>
  <c r="I345" i="86"/>
  <c r="N347" i="86"/>
  <c r="O345" i="86" s="1"/>
  <c r="E171" i="92" s="1"/>
  <c r="I346" i="86"/>
  <c r="I344" i="86"/>
  <c r="K347" i="86"/>
  <c r="L345" i="86" s="1"/>
  <c r="E171" i="91" s="1"/>
  <c r="D66" i="94"/>
  <c r="E66" i="94"/>
  <c r="F66" i="94"/>
  <c r="G66" i="94"/>
  <c r="H66" i="94" s="1"/>
  <c r="D67" i="94"/>
  <c r="E67" i="94"/>
  <c r="F67" i="94"/>
  <c r="G67" i="94"/>
  <c r="H67" i="94" s="1"/>
  <c r="I67" i="94" s="1"/>
  <c r="J67" i="94" s="1"/>
  <c r="K67" i="94" s="1"/>
  <c r="D68" i="94"/>
  <c r="E68" i="94"/>
  <c r="F68" i="94"/>
  <c r="G68" i="94"/>
  <c r="H68" i="94" s="1"/>
  <c r="I68" i="94" s="1"/>
  <c r="J68" i="94" s="1"/>
  <c r="K68" i="94" s="1"/>
  <c r="D69" i="94"/>
  <c r="E69" i="94"/>
  <c r="F69" i="94"/>
  <c r="G69" i="94"/>
  <c r="H69" i="94" s="1"/>
  <c r="I69" i="94" s="1"/>
  <c r="J69" i="94" s="1"/>
  <c r="K69" i="94" s="1"/>
  <c r="D70" i="94"/>
  <c r="E70" i="94"/>
  <c r="F70" i="94"/>
  <c r="G70" i="94"/>
  <c r="H70" i="94" s="1"/>
  <c r="I70" i="94" s="1"/>
  <c r="J70" i="94" s="1"/>
  <c r="K70" i="94" s="1"/>
  <c r="D71" i="94"/>
  <c r="E71" i="94"/>
  <c r="F71" i="94"/>
  <c r="G71" i="94"/>
  <c r="H71" i="94" s="1"/>
  <c r="I71" i="94" s="1"/>
  <c r="J71" i="94" s="1"/>
  <c r="K699" i="86" l="1"/>
  <c r="L696" i="86" s="1"/>
  <c r="AZ170" i="91" s="1"/>
  <c r="N930" i="86"/>
  <c r="O926" i="86" s="1"/>
  <c r="CJ169" i="92" s="1"/>
  <c r="N765" i="86"/>
  <c r="O761" i="86" s="1"/>
  <c r="BF169" i="92" s="1"/>
  <c r="O685" i="86"/>
  <c r="AY170" i="92" s="1"/>
  <c r="O652" i="86"/>
  <c r="AN170" i="92" s="1"/>
  <c r="O775" i="86"/>
  <c r="BG172" i="92" s="1"/>
  <c r="K424" i="86"/>
  <c r="L422" i="86" s="1"/>
  <c r="L171" i="91" s="1"/>
  <c r="O654" i="86"/>
  <c r="AN172" i="92" s="1"/>
  <c r="K985" i="86"/>
  <c r="L981" i="86" s="1"/>
  <c r="CO169" i="91" s="1"/>
  <c r="O808" i="86"/>
  <c r="BJ172" i="92" s="1"/>
  <c r="K765" i="86"/>
  <c r="L762" i="86" s="1"/>
  <c r="BF170" i="91" s="1"/>
  <c r="K886" i="86"/>
  <c r="L884" i="86" s="1"/>
  <c r="BS171" i="91" s="1"/>
  <c r="O137" i="86"/>
  <c r="CH172" i="92" s="1"/>
  <c r="O819" i="86"/>
  <c r="BK172" i="92" s="1"/>
  <c r="O816" i="86"/>
  <c r="BK169" i="92" s="1"/>
  <c r="O817" i="86"/>
  <c r="BK170" i="92" s="1"/>
  <c r="O818" i="86"/>
  <c r="BK171" i="92" s="1"/>
  <c r="K28" i="86"/>
  <c r="L26" i="86" s="1"/>
  <c r="BX171" i="91" s="1"/>
  <c r="O500" i="86"/>
  <c r="S172" i="92" s="1"/>
  <c r="K622" i="86"/>
  <c r="L618" i="86" s="1"/>
  <c r="AK169" i="91" s="1"/>
  <c r="O499" i="86"/>
  <c r="S171" i="92" s="1"/>
  <c r="O894" i="86"/>
  <c r="BT170" i="92" s="1"/>
  <c r="O762" i="86"/>
  <c r="BF170" i="92" s="1"/>
  <c r="O719" i="86"/>
  <c r="BB171" i="92" s="1"/>
  <c r="O71" i="86"/>
  <c r="CB172" i="92" s="1"/>
  <c r="L71" i="86"/>
  <c r="CB172" i="91" s="1"/>
  <c r="O653" i="86"/>
  <c r="O939" i="86"/>
  <c r="CK171" i="92" s="1"/>
  <c r="O961" i="86"/>
  <c r="CM171" i="92" s="1"/>
  <c r="K611" i="86"/>
  <c r="L607" i="86" s="1"/>
  <c r="AJ169" i="91" s="1"/>
  <c r="O960" i="86"/>
  <c r="CM170" i="92" s="1"/>
  <c r="O621" i="86"/>
  <c r="AK172" i="92" s="1"/>
  <c r="O962" i="86"/>
  <c r="CM172" i="92" s="1"/>
  <c r="L68" i="86"/>
  <c r="L786" i="86"/>
  <c r="BH172" i="91" s="1"/>
  <c r="K435" i="86"/>
  <c r="L434" i="86" s="1"/>
  <c r="M172" i="91" s="1"/>
  <c r="L70" i="86"/>
  <c r="CB171" i="91" s="1"/>
  <c r="O123" i="86"/>
  <c r="CG169" i="92" s="1"/>
  <c r="O60" i="86"/>
  <c r="CA172" i="92" s="1"/>
  <c r="O58" i="86"/>
  <c r="CA170" i="92" s="1"/>
  <c r="O134" i="86"/>
  <c r="L136" i="86"/>
  <c r="CH171" i="91" s="1"/>
  <c r="L135" i="86"/>
  <c r="CH170" i="91" s="1"/>
  <c r="O135" i="86"/>
  <c r="CH170" i="92" s="1"/>
  <c r="O125" i="86"/>
  <c r="L126" i="86"/>
  <c r="CG172" i="91" s="1"/>
  <c r="O124" i="86"/>
  <c r="CG170" i="92" s="1"/>
  <c r="L125" i="86"/>
  <c r="CG171" i="91" s="1"/>
  <c r="L124" i="86"/>
  <c r="I124" i="86"/>
  <c r="I125" i="86"/>
  <c r="I126" i="86"/>
  <c r="I127" i="86" s="1"/>
  <c r="L59" i="86"/>
  <c r="CA171" i="91" s="1"/>
  <c r="O70" i="86"/>
  <c r="CB171" i="92" s="1"/>
  <c r="I58" i="86"/>
  <c r="O69" i="86"/>
  <c r="I57" i="86"/>
  <c r="O59" i="86"/>
  <c r="O38" i="86"/>
  <c r="BY172" i="92" s="1"/>
  <c r="L137" i="86"/>
  <c r="CH172" i="91" s="1"/>
  <c r="K116" i="86"/>
  <c r="I115" i="86"/>
  <c r="I114" i="86"/>
  <c r="I113" i="86"/>
  <c r="N116" i="86"/>
  <c r="I61" i="86"/>
  <c r="L58" i="86"/>
  <c r="CA170" i="91" s="1"/>
  <c r="L60" i="86"/>
  <c r="CA172" i="91" s="1"/>
  <c r="O389" i="86"/>
  <c r="I171" i="92" s="1"/>
  <c r="I794" i="86"/>
  <c r="O390" i="86"/>
  <c r="I172" i="92" s="1"/>
  <c r="I664" i="86"/>
  <c r="O708" i="86"/>
  <c r="BA171" i="92" s="1"/>
  <c r="I984" i="86"/>
  <c r="I985" i="86" s="1"/>
  <c r="I950" i="86"/>
  <c r="I774" i="86"/>
  <c r="I728" i="86"/>
  <c r="I732" i="86" s="1"/>
  <c r="I512" i="86"/>
  <c r="I796" i="86"/>
  <c r="K930" i="86"/>
  <c r="L926" i="86" s="1"/>
  <c r="CJ169" i="91" s="1"/>
  <c r="I500" i="86"/>
  <c r="I501" i="86" s="1"/>
  <c r="K996" i="86"/>
  <c r="L992" i="86" s="1"/>
  <c r="CP169" i="91" s="1"/>
  <c r="I818" i="86"/>
  <c r="K501" i="86"/>
  <c r="L499" i="86" s="1"/>
  <c r="S171" i="91" s="1"/>
  <c r="I918" i="86"/>
  <c r="O994" i="86"/>
  <c r="CP171" i="92" s="1"/>
  <c r="O764" i="86"/>
  <c r="BF172" i="92" s="1"/>
  <c r="I533" i="86"/>
  <c r="I455" i="86"/>
  <c r="I457" i="86" s="1"/>
  <c r="I787" i="86"/>
  <c r="N534" i="86"/>
  <c r="O531" i="86" s="1"/>
  <c r="V170" i="92" s="1"/>
  <c r="I35" i="86"/>
  <c r="N435" i="86"/>
  <c r="O433" i="86" s="1"/>
  <c r="M171" i="92" s="1"/>
  <c r="I951" i="86"/>
  <c r="I772" i="86"/>
  <c r="I739" i="86"/>
  <c r="O774" i="86"/>
  <c r="BG171" i="92" s="1"/>
  <c r="I376" i="86"/>
  <c r="I380" i="86" s="1"/>
  <c r="I775" i="86"/>
  <c r="I830" i="86"/>
  <c r="I915" i="86"/>
  <c r="L949" i="86"/>
  <c r="CL170" i="91" s="1"/>
  <c r="O993" i="86"/>
  <c r="CP170" i="92" s="1"/>
  <c r="O763" i="86"/>
  <c r="O368" i="86"/>
  <c r="G172" i="92" s="1"/>
  <c r="O488" i="86"/>
  <c r="R171" i="92" s="1"/>
  <c r="I928" i="86"/>
  <c r="I916" i="86"/>
  <c r="O486" i="86"/>
  <c r="R169" i="92" s="1"/>
  <c r="O687" i="86"/>
  <c r="O895" i="86"/>
  <c r="BT171" i="92" s="1"/>
  <c r="I929" i="86"/>
  <c r="O995" i="86"/>
  <c r="CP172" i="92" s="1"/>
  <c r="I972" i="86"/>
  <c r="O629" i="86"/>
  <c r="AL169" i="92" s="1"/>
  <c r="O632" i="86"/>
  <c r="AL172" i="92" s="1"/>
  <c r="O915" i="86"/>
  <c r="CI169" i="92" s="1"/>
  <c r="O917" i="86"/>
  <c r="CI171" i="92" s="1"/>
  <c r="I468" i="86"/>
  <c r="O445" i="86"/>
  <c r="N172" i="92" s="1"/>
  <c r="L552" i="86"/>
  <c r="X169" i="91" s="1"/>
  <c r="I39" i="86"/>
  <c r="I709" i="86"/>
  <c r="I684" i="86"/>
  <c r="I37" i="86"/>
  <c r="I465" i="86"/>
  <c r="I828" i="86"/>
  <c r="I992" i="86"/>
  <c r="L553" i="86"/>
  <c r="X170" i="91" s="1"/>
  <c r="I620" i="86"/>
  <c r="I622" i="86" s="1"/>
  <c r="I618" i="86"/>
  <c r="I377" i="86"/>
  <c r="L555" i="86"/>
  <c r="X172" i="91" s="1"/>
  <c r="O707" i="86"/>
  <c r="BA170" i="92" s="1"/>
  <c r="L455" i="86"/>
  <c r="O171" i="91" s="1"/>
  <c r="I707" i="86"/>
  <c r="O795" i="86"/>
  <c r="BI170" i="92" s="1"/>
  <c r="I827" i="86"/>
  <c r="I831" i="86" s="1"/>
  <c r="I708" i="86"/>
  <c r="I520" i="86"/>
  <c r="I435" i="86"/>
  <c r="I894" i="86"/>
  <c r="O26" i="86"/>
  <c r="BX171" i="92" s="1"/>
  <c r="O619" i="86"/>
  <c r="AK170" i="92" s="1"/>
  <c r="O663" i="86"/>
  <c r="AO170" i="92" s="1"/>
  <c r="I519" i="86"/>
  <c r="I523" i="86" s="1"/>
  <c r="O37" i="86"/>
  <c r="BY171" i="92" s="1"/>
  <c r="I38" i="86"/>
  <c r="L652" i="86"/>
  <c r="AN170" i="91" s="1"/>
  <c r="I530" i="86"/>
  <c r="I619" i="86"/>
  <c r="L654" i="86"/>
  <c r="AN172" i="91" s="1"/>
  <c r="O709" i="86"/>
  <c r="BA172" i="92" s="1"/>
  <c r="O773" i="86"/>
  <c r="I521" i="86"/>
  <c r="O36" i="86"/>
  <c r="BY170" i="92" s="1"/>
  <c r="O453" i="86"/>
  <c r="O169" i="92" s="1"/>
  <c r="O456" i="86"/>
  <c r="O172" i="92" s="1"/>
  <c r="O785" i="86"/>
  <c r="BH171" i="92" s="1"/>
  <c r="O783" i="86"/>
  <c r="BH169" i="92" s="1"/>
  <c r="L443" i="86"/>
  <c r="N170" i="91" s="1"/>
  <c r="L445" i="86"/>
  <c r="N172" i="91" s="1"/>
  <c r="O938" i="86"/>
  <c r="CK170" i="92" s="1"/>
  <c r="I742" i="86"/>
  <c r="I600" i="86"/>
  <c r="I421" i="86"/>
  <c r="I424" i="86" s="1"/>
  <c r="I446" i="86"/>
  <c r="I651" i="86"/>
  <c r="I654" i="86"/>
  <c r="I653" i="86"/>
  <c r="O25" i="86"/>
  <c r="BX170" i="92" s="1"/>
  <c r="L456" i="86"/>
  <c r="O172" i="91" s="1"/>
  <c r="O520" i="86"/>
  <c r="U170" i="92" s="1"/>
  <c r="L731" i="86"/>
  <c r="BC172" i="91" s="1"/>
  <c r="O27" i="86"/>
  <c r="BX172" i="92" s="1"/>
  <c r="I930" i="86"/>
  <c r="O940" i="86"/>
  <c r="CK172" i="92" s="1"/>
  <c r="O695" i="86"/>
  <c r="AZ169" i="92" s="1"/>
  <c r="O498" i="86"/>
  <c r="O522" i="86"/>
  <c r="U172" i="92" s="1"/>
  <c r="I545" i="86"/>
  <c r="O720" i="86"/>
  <c r="L939" i="86"/>
  <c r="CK171" i="91" s="1"/>
  <c r="I852" i="86"/>
  <c r="I853" i="86" s="1"/>
  <c r="I741" i="86"/>
  <c r="I743" i="86" s="1"/>
  <c r="I652" i="86"/>
  <c r="I27" i="86"/>
  <c r="I970" i="86"/>
  <c r="L388" i="86"/>
  <c r="I170" i="91" s="1"/>
  <c r="O807" i="86"/>
  <c r="I567" i="86"/>
  <c r="I776" i="86"/>
  <c r="O378" i="86"/>
  <c r="H171" i="92" s="1"/>
  <c r="L454" i="86"/>
  <c r="O521" i="86"/>
  <c r="O607" i="86"/>
  <c r="AJ169" i="92" s="1"/>
  <c r="L709" i="86"/>
  <c r="BA172" i="91" s="1"/>
  <c r="O896" i="86"/>
  <c r="BT172" i="92" s="1"/>
  <c r="I699" i="86"/>
  <c r="I532" i="86"/>
  <c r="I24" i="86"/>
  <c r="L597" i="86"/>
  <c r="AI170" i="91" s="1"/>
  <c r="O620" i="86"/>
  <c r="AK171" i="92" s="1"/>
  <c r="O642" i="86"/>
  <c r="AM171" i="92" s="1"/>
  <c r="O718" i="86"/>
  <c r="BB170" i="92" s="1"/>
  <c r="O806" i="86"/>
  <c r="BJ170" i="92" s="1"/>
  <c r="I25" i="86"/>
  <c r="I28" i="86" s="1"/>
  <c r="L38" i="86"/>
  <c r="BY172" i="91" s="1"/>
  <c r="L35" i="86"/>
  <c r="BY169" i="91" s="1"/>
  <c r="L37" i="86"/>
  <c r="BY171" i="91" s="1"/>
  <c r="I15" i="86"/>
  <c r="I14" i="86"/>
  <c r="I16" i="86"/>
  <c r="K17" i="86"/>
  <c r="L13" i="86" s="1"/>
  <c r="BW169" i="91" s="1"/>
  <c r="N17" i="86"/>
  <c r="O13" i="86" s="1"/>
  <c r="BW169" i="92" s="1"/>
  <c r="K6" i="86"/>
  <c r="I4" i="86"/>
  <c r="I5" i="86"/>
  <c r="I3" i="86"/>
  <c r="N6" i="86"/>
  <c r="O2" i="86" s="1"/>
  <c r="BV169" i="92" s="1"/>
  <c r="L686" i="86"/>
  <c r="AY171" i="91" s="1"/>
  <c r="L685" i="86"/>
  <c r="AY170" i="91" s="1"/>
  <c r="O739" i="86"/>
  <c r="BD169" i="92" s="1"/>
  <c r="O741" i="86"/>
  <c r="BD171" i="92" s="1"/>
  <c r="O740" i="86"/>
  <c r="BD170" i="92" s="1"/>
  <c r="L640" i="86"/>
  <c r="AM169" i="91" s="1"/>
  <c r="L642" i="86"/>
  <c r="AM171" i="91" s="1"/>
  <c r="O552" i="86"/>
  <c r="X169" i="92" s="1"/>
  <c r="O554" i="86"/>
  <c r="X171" i="92" s="1"/>
  <c r="O555" i="86"/>
  <c r="X172" i="92" s="1"/>
  <c r="O553" i="86"/>
  <c r="X170" i="92" s="1"/>
  <c r="L531" i="86"/>
  <c r="V170" i="91" s="1"/>
  <c r="L533" i="86"/>
  <c r="V172" i="91" s="1"/>
  <c r="L564" i="86"/>
  <c r="Y170" i="91" s="1"/>
  <c r="I630" i="86"/>
  <c r="O752" i="86"/>
  <c r="BE171" i="92" s="1"/>
  <c r="I809" i="86"/>
  <c r="O882" i="86"/>
  <c r="BS169" i="92" s="1"/>
  <c r="O948" i="86"/>
  <c r="CL169" i="92" s="1"/>
  <c r="L785" i="86"/>
  <c r="BH171" i="91" s="1"/>
  <c r="L807" i="86"/>
  <c r="BJ171" i="91" s="1"/>
  <c r="I641" i="86"/>
  <c r="I640" i="86"/>
  <c r="O487" i="86"/>
  <c r="R170" i="92" s="1"/>
  <c r="L532" i="86"/>
  <c r="V171" i="91" s="1"/>
  <c r="L541" i="86"/>
  <c r="W169" i="91" s="1"/>
  <c r="O751" i="86"/>
  <c r="BE170" i="92" s="1"/>
  <c r="L830" i="86"/>
  <c r="BL172" i="91" s="1"/>
  <c r="K897" i="86"/>
  <c r="L895" i="86" s="1"/>
  <c r="BT171" i="91" s="1"/>
  <c r="I643" i="86"/>
  <c r="I490" i="86"/>
  <c r="I906" i="86"/>
  <c r="I873" i="86"/>
  <c r="I871" i="86"/>
  <c r="O598" i="86"/>
  <c r="AI171" i="92" s="1"/>
  <c r="I632" i="86"/>
  <c r="L829" i="86"/>
  <c r="BL171" i="91" s="1"/>
  <c r="I952" i="86"/>
  <c r="I872" i="86"/>
  <c r="L697" i="86"/>
  <c r="AZ171" i="91" s="1"/>
  <c r="O784" i="86"/>
  <c r="BH170" i="92" s="1"/>
  <c r="L643" i="86"/>
  <c r="AM172" i="91" s="1"/>
  <c r="L389" i="86"/>
  <c r="I171" i="91" s="1"/>
  <c r="L828" i="86"/>
  <c r="BL170" i="91" s="1"/>
  <c r="L852" i="86"/>
  <c r="BN172" i="91" s="1"/>
  <c r="O883" i="86"/>
  <c r="BS170" i="92" s="1"/>
  <c r="I907" i="86"/>
  <c r="I905" i="86"/>
  <c r="O928" i="86"/>
  <c r="CJ171" i="92" s="1"/>
  <c r="O950" i="86"/>
  <c r="CL171" i="92" s="1"/>
  <c r="O918" i="86"/>
  <c r="CI172" i="92" s="1"/>
  <c r="I710" i="86"/>
  <c r="I940" i="86"/>
  <c r="I939" i="86"/>
  <c r="I941" i="86" s="1"/>
  <c r="O786" i="86"/>
  <c r="BH172" i="92" s="1"/>
  <c r="O377" i="86"/>
  <c r="H170" i="92" s="1"/>
  <c r="L444" i="86"/>
  <c r="N171" i="91" s="1"/>
  <c r="L465" i="86"/>
  <c r="P170" i="91" s="1"/>
  <c r="I642" i="86"/>
  <c r="L808" i="86"/>
  <c r="BJ172" i="91" s="1"/>
  <c r="L698" i="86"/>
  <c r="AZ172" i="91" s="1"/>
  <c r="L783" i="86"/>
  <c r="BH169" i="91" s="1"/>
  <c r="O343" i="86"/>
  <c r="E169" i="92" s="1"/>
  <c r="L542" i="86"/>
  <c r="W170" i="91" s="1"/>
  <c r="O753" i="86"/>
  <c r="BE172" i="92" s="1"/>
  <c r="L797" i="86"/>
  <c r="BI172" i="91" s="1"/>
  <c r="L695" i="86"/>
  <c r="AZ169" i="91" s="1"/>
  <c r="O334" i="86"/>
  <c r="D171" i="92" s="1"/>
  <c r="O333" i="86"/>
  <c r="D170" i="92" s="1"/>
  <c r="L333" i="86"/>
  <c r="D170" i="91" s="1"/>
  <c r="L508" i="86"/>
  <c r="T169" i="91" s="1"/>
  <c r="L740" i="86"/>
  <c r="BD170" i="91" s="1"/>
  <c r="L510" i="86"/>
  <c r="T171" i="91" s="1"/>
  <c r="O742" i="86"/>
  <c r="BD172" i="92" s="1"/>
  <c r="O332" i="86"/>
  <c r="D169" i="92" s="1"/>
  <c r="L335" i="86"/>
  <c r="D172" i="91" s="1"/>
  <c r="L332" i="86"/>
  <c r="D169" i="91" s="1"/>
  <c r="L509" i="86"/>
  <c r="T170" i="91" s="1"/>
  <c r="L488" i="86"/>
  <c r="R171" i="91" s="1"/>
  <c r="L489" i="86"/>
  <c r="R172" i="91" s="1"/>
  <c r="L487" i="86"/>
  <c r="R170" i="91" s="1"/>
  <c r="L467" i="86"/>
  <c r="P172" i="91" s="1"/>
  <c r="O455" i="86"/>
  <c r="O171" i="92" s="1"/>
  <c r="O454" i="86"/>
  <c r="L442" i="86"/>
  <c r="N169" i="91" s="1"/>
  <c r="O421" i="86"/>
  <c r="L170" i="92" s="1"/>
  <c r="O420" i="86"/>
  <c r="L169" i="92" s="1"/>
  <c r="O423" i="86"/>
  <c r="L172" i="92" s="1"/>
  <c r="O388" i="86"/>
  <c r="I170" i="92" s="1"/>
  <c r="L387" i="86"/>
  <c r="I169" i="91" s="1"/>
  <c r="O367" i="86"/>
  <c r="G171" i="92" s="1"/>
  <c r="O366" i="86"/>
  <c r="G170" i="92" s="1"/>
  <c r="I354" i="86"/>
  <c r="I357" i="86"/>
  <c r="I347" i="86"/>
  <c r="L530" i="86"/>
  <c r="V169" i="91" s="1"/>
  <c r="O542" i="86"/>
  <c r="W170" i="92" s="1"/>
  <c r="O544" i="86"/>
  <c r="W172" i="92" s="1"/>
  <c r="O543" i="86"/>
  <c r="W171" i="92" s="1"/>
  <c r="L543" i="86"/>
  <c r="W171" i="91" s="1"/>
  <c r="O565" i="86"/>
  <c r="Y171" i="92" s="1"/>
  <c r="O608" i="86"/>
  <c r="AJ170" i="92" s="1"/>
  <c r="O610" i="86"/>
  <c r="AJ172" i="92" s="1"/>
  <c r="L610" i="86"/>
  <c r="AJ172" i="91" s="1"/>
  <c r="I611" i="86"/>
  <c r="O631" i="86"/>
  <c r="AL171" i="92" s="1"/>
  <c r="O630" i="86"/>
  <c r="AL170" i="92" s="1"/>
  <c r="L641" i="86"/>
  <c r="AM170" i="91" s="1"/>
  <c r="L653" i="86"/>
  <c r="L665" i="86"/>
  <c r="AO172" i="91" s="1"/>
  <c r="O664" i="86"/>
  <c r="AO171" i="92" s="1"/>
  <c r="L663" i="86"/>
  <c r="AO170" i="91" s="1"/>
  <c r="I688" i="86"/>
  <c r="O696" i="86"/>
  <c r="AZ170" i="92" s="1"/>
  <c r="O697" i="86"/>
  <c r="AZ171" i="92" s="1"/>
  <c r="L708" i="86"/>
  <c r="BA171" i="91" s="1"/>
  <c r="L707" i="86"/>
  <c r="L729" i="86"/>
  <c r="BC170" i="91" s="1"/>
  <c r="L741" i="86"/>
  <c r="BD171" i="91" s="1"/>
  <c r="I763" i="86"/>
  <c r="I761" i="86"/>
  <c r="I762" i="86"/>
  <c r="L763" i="86"/>
  <c r="BF171" i="91" s="1"/>
  <c r="L773" i="86"/>
  <c r="BG170" i="91" s="1"/>
  <c r="L774" i="86"/>
  <c r="BG171" i="91" s="1"/>
  <c r="L772" i="86"/>
  <c r="BG169" i="91" s="1"/>
  <c r="O797" i="86"/>
  <c r="BI172" i="92" s="1"/>
  <c r="O796" i="86"/>
  <c r="BI171" i="92" s="1"/>
  <c r="L795" i="86"/>
  <c r="BI170" i="91" s="1"/>
  <c r="L794" i="86"/>
  <c r="BI169" i="91" s="1"/>
  <c r="L806" i="86"/>
  <c r="BJ170" i="91" s="1"/>
  <c r="O828" i="86"/>
  <c r="BL170" i="92" s="1"/>
  <c r="O830" i="86"/>
  <c r="BL172" i="92" s="1"/>
  <c r="O829" i="86"/>
  <c r="BL171" i="92" s="1"/>
  <c r="O852" i="86"/>
  <c r="BN172" i="92" s="1"/>
  <c r="L851" i="86"/>
  <c r="BN171" i="91" s="1"/>
  <c r="O851" i="86"/>
  <c r="BN171" i="92" s="1"/>
  <c r="O874" i="86"/>
  <c r="BR172" i="92" s="1"/>
  <c r="O872" i="86"/>
  <c r="BR170" i="92" s="1"/>
  <c r="O873" i="86"/>
  <c r="BR171" i="92" s="1"/>
  <c r="I882" i="86"/>
  <c r="I883" i="86"/>
  <c r="O885" i="86"/>
  <c r="BS172" i="92" s="1"/>
  <c r="I884" i="86"/>
  <c r="L917" i="86"/>
  <c r="CI171" i="91" s="1"/>
  <c r="L918" i="86"/>
  <c r="CI172" i="91" s="1"/>
  <c r="L916" i="86"/>
  <c r="CI170" i="91" s="1"/>
  <c r="L915" i="86"/>
  <c r="CI169" i="91" s="1"/>
  <c r="O916" i="86"/>
  <c r="CI170" i="92" s="1"/>
  <c r="L940" i="86"/>
  <c r="CK172" i="91" s="1"/>
  <c r="L937" i="86"/>
  <c r="CK169" i="91" s="1"/>
  <c r="L948" i="86"/>
  <c r="CL169" i="91" s="1"/>
  <c r="O949" i="86"/>
  <c r="CL170" i="92" s="1"/>
  <c r="L962" i="86"/>
  <c r="CM172" i="91" s="1"/>
  <c r="L961" i="86"/>
  <c r="CM171" i="91" s="1"/>
  <c r="L970" i="86"/>
  <c r="CN169" i="91" s="1"/>
  <c r="O972" i="86"/>
  <c r="CN171" i="92" s="1"/>
  <c r="O973" i="86"/>
  <c r="CN172" i="92" s="1"/>
  <c r="I996" i="86"/>
  <c r="L983" i="86"/>
  <c r="CO171" i="91" s="1"/>
  <c r="O982" i="86"/>
  <c r="CO170" i="92" s="1"/>
  <c r="L984" i="86"/>
  <c r="CO172" i="91" s="1"/>
  <c r="O983" i="86"/>
  <c r="CO171" i="92" s="1"/>
  <c r="L982" i="86"/>
  <c r="CO170" i="91" s="1"/>
  <c r="O984" i="86"/>
  <c r="CO172" i="92" s="1"/>
  <c r="L972" i="86"/>
  <c r="CN171" i="91" s="1"/>
  <c r="O971" i="86"/>
  <c r="CN170" i="92" s="1"/>
  <c r="L973" i="86"/>
  <c r="CN172" i="91" s="1"/>
  <c r="I963" i="86"/>
  <c r="L960" i="86"/>
  <c r="CM170" i="91" s="1"/>
  <c r="L950" i="86"/>
  <c r="CL171" i="91" s="1"/>
  <c r="I919" i="86"/>
  <c r="K908" i="86"/>
  <c r="N908" i="86"/>
  <c r="I897" i="86"/>
  <c r="L874" i="86"/>
  <c r="BR172" i="91" s="1"/>
  <c r="L872" i="86"/>
  <c r="BR170" i="91" s="1"/>
  <c r="L871" i="86"/>
  <c r="BR169" i="91" s="1"/>
  <c r="K864" i="86"/>
  <c r="L860" i="86" s="1"/>
  <c r="BO169" i="91" s="1"/>
  <c r="I863" i="86"/>
  <c r="I862" i="86"/>
  <c r="I861" i="86"/>
  <c r="N864" i="86"/>
  <c r="O860" i="86" s="1"/>
  <c r="BO169" i="92" s="1"/>
  <c r="L849" i="86"/>
  <c r="BN169" i="91" s="1"/>
  <c r="O850" i="86"/>
  <c r="BN170" i="92" s="1"/>
  <c r="K842" i="86"/>
  <c r="L838" i="86" s="1"/>
  <c r="BM169" i="91" s="1"/>
  <c r="I839" i="86"/>
  <c r="I841" i="86"/>
  <c r="I840" i="86"/>
  <c r="N842" i="86"/>
  <c r="O838" i="86" s="1"/>
  <c r="BM169" i="92" s="1"/>
  <c r="L818" i="86"/>
  <c r="BK171" i="91" s="1"/>
  <c r="L816" i="86"/>
  <c r="BK169" i="91" s="1"/>
  <c r="L817" i="86"/>
  <c r="BK170" i="91" s="1"/>
  <c r="I820" i="86"/>
  <c r="I798" i="86"/>
  <c r="L753" i="86"/>
  <c r="BE172" i="91" s="1"/>
  <c r="L750" i="86"/>
  <c r="BE169" i="91" s="1"/>
  <c r="L752" i="86"/>
  <c r="BE171" i="91" s="1"/>
  <c r="I754" i="86"/>
  <c r="L742" i="86"/>
  <c r="O731" i="86"/>
  <c r="BC172" i="92" s="1"/>
  <c r="O728" i="86"/>
  <c r="BC169" i="92" s="1"/>
  <c r="L730" i="86"/>
  <c r="BC171" i="91" s="1"/>
  <c r="O729" i="86"/>
  <c r="BC170" i="92" s="1"/>
  <c r="L720" i="86"/>
  <c r="BB172" i="91" s="1"/>
  <c r="L717" i="86"/>
  <c r="BB169" i="91" s="1"/>
  <c r="L719" i="86"/>
  <c r="BB171" i="91" s="1"/>
  <c r="I721" i="86"/>
  <c r="L687" i="86"/>
  <c r="AY172" i="91" s="1"/>
  <c r="L684" i="86"/>
  <c r="AY169" i="91" s="1"/>
  <c r="K677" i="86"/>
  <c r="L673" i="86" s="1"/>
  <c r="AT169" i="91" s="1"/>
  <c r="I674" i="86"/>
  <c r="I676" i="86"/>
  <c r="I675" i="86"/>
  <c r="N677" i="86"/>
  <c r="O673" i="86" s="1"/>
  <c r="AT169" i="92" s="1"/>
  <c r="L662" i="86"/>
  <c r="AO169" i="91" s="1"/>
  <c r="I666" i="86"/>
  <c r="O665" i="86"/>
  <c r="AO172" i="92" s="1"/>
  <c r="O643" i="86"/>
  <c r="AM172" i="92" s="1"/>
  <c r="O640" i="86"/>
  <c r="AM169" i="92" s="1"/>
  <c r="L629" i="86"/>
  <c r="AL169" i="91" s="1"/>
  <c r="L630" i="86"/>
  <c r="AL170" i="91" s="1"/>
  <c r="L632" i="86"/>
  <c r="AL172" i="91" s="1"/>
  <c r="L608" i="86"/>
  <c r="AJ170" i="91" s="1"/>
  <c r="O597" i="86"/>
  <c r="AI170" i="92" s="1"/>
  <c r="L596" i="86"/>
  <c r="AI169" i="91" s="1"/>
  <c r="L598" i="86"/>
  <c r="AI171" i="91" s="1"/>
  <c r="O599" i="86"/>
  <c r="AI172" i="92" s="1"/>
  <c r="K589" i="86"/>
  <c r="I588" i="86"/>
  <c r="I586" i="86"/>
  <c r="I587" i="86"/>
  <c r="N589" i="86"/>
  <c r="O585" i="86" s="1"/>
  <c r="AA169" i="92" s="1"/>
  <c r="K578" i="86"/>
  <c r="I577" i="86"/>
  <c r="I575" i="86"/>
  <c r="I576" i="86"/>
  <c r="N578" i="86"/>
  <c r="O574" i="86" s="1"/>
  <c r="Z169" i="92" s="1"/>
  <c r="O564" i="86"/>
  <c r="Y170" i="92" s="1"/>
  <c r="L563" i="86"/>
  <c r="Y169" i="91" s="1"/>
  <c r="L565" i="86"/>
  <c r="Y171" i="91" s="1"/>
  <c r="O566" i="86"/>
  <c r="Y172" i="92" s="1"/>
  <c r="I556" i="86"/>
  <c r="L519" i="86"/>
  <c r="U169" i="91" s="1"/>
  <c r="L520" i="86"/>
  <c r="U170" i="91" s="1"/>
  <c r="L522" i="86"/>
  <c r="U172" i="91" s="1"/>
  <c r="O511" i="86"/>
  <c r="T172" i="92" s="1"/>
  <c r="O508" i="86"/>
  <c r="T169" i="92" s="1"/>
  <c r="O509" i="86"/>
  <c r="T170" i="92" s="1"/>
  <c r="L475" i="86"/>
  <c r="Q169" i="91" s="1"/>
  <c r="O475" i="86"/>
  <c r="Q169" i="92" s="1"/>
  <c r="O478" i="86"/>
  <c r="Q172" i="92" s="1"/>
  <c r="O477" i="86"/>
  <c r="Q171" i="92" s="1"/>
  <c r="O476" i="86"/>
  <c r="Q170" i="92" s="1"/>
  <c r="L476" i="86"/>
  <c r="Q170" i="91" s="1"/>
  <c r="L478" i="86"/>
  <c r="Q172" i="91" s="1"/>
  <c r="I479" i="86"/>
  <c r="O467" i="86"/>
  <c r="P172" i="92" s="1"/>
  <c r="L466" i="86"/>
  <c r="P171" i="91" s="1"/>
  <c r="O465" i="86"/>
  <c r="P170" i="92" s="1"/>
  <c r="O466" i="86"/>
  <c r="P171" i="92" s="1"/>
  <c r="O444" i="86"/>
  <c r="N171" i="92" s="1"/>
  <c r="O443" i="86"/>
  <c r="N170" i="92" s="1"/>
  <c r="O431" i="86"/>
  <c r="M169" i="92" s="1"/>
  <c r="K413" i="86"/>
  <c r="L409" i="86" s="1"/>
  <c r="K169" i="91" s="1"/>
  <c r="N413" i="86"/>
  <c r="O409" i="86" s="1"/>
  <c r="K169" i="92" s="1"/>
  <c r="I410" i="86"/>
  <c r="I411" i="86"/>
  <c r="I412" i="86"/>
  <c r="K402" i="86"/>
  <c r="I399" i="86"/>
  <c r="I401" i="86"/>
  <c r="I400" i="86"/>
  <c r="N402" i="86"/>
  <c r="O398" i="86" s="1"/>
  <c r="J169" i="92" s="1"/>
  <c r="I391" i="86"/>
  <c r="O376" i="86"/>
  <c r="H169" i="92" s="1"/>
  <c r="L379" i="86"/>
  <c r="H172" i="91" s="1"/>
  <c r="L376" i="86"/>
  <c r="H169" i="91" s="1"/>
  <c r="L378" i="86"/>
  <c r="H171" i="91" s="1"/>
  <c r="L367" i="86"/>
  <c r="G171" i="91" s="1"/>
  <c r="L366" i="86"/>
  <c r="G170" i="91" s="1"/>
  <c r="L368" i="86"/>
  <c r="G172" i="91" s="1"/>
  <c r="I369" i="86"/>
  <c r="N358" i="86"/>
  <c r="O354" i="86" s="1"/>
  <c r="F169" i="92" s="1"/>
  <c r="I356" i="86"/>
  <c r="I355" i="86"/>
  <c r="K358" i="86"/>
  <c r="L356" i="86" s="1"/>
  <c r="F171" i="91" s="1"/>
  <c r="O344" i="86"/>
  <c r="E170" i="92" s="1"/>
  <c r="O346" i="86"/>
  <c r="E172" i="92" s="1"/>
  <c r="L343" i="86"/>
  <c r="E169" i="91" s="1"/>
  <c r="L344" i="86"/>
  <c r="E170" i="91" s="1"/>
  <c r="L346" i="86"/>
  <c r="E172" i="91" s="1"/>
  <c r="I336" i="86"/>
  <c r="E72" i="94"/>
  <c r="D72" i="94"/>
  <c r="F72" i="94"/>
  <c r="G72" i="94"/>
  <c r="K71" i="94"/>
  <c r="H72" i="94"/>
  <c r="I66" i="94"/>
  <c r="E20" i="103"/>
  <c r="E19" i="103"/>
  <c r="E18" i="103"/>
  <c r="E17" i="103"/>
  <c r="E16" i="103"/>
  <c r="E15" i="103"/>
  <c r="E14" i="103"/>
  <c r="E13" i="103"/>
  <c r="E12" i="103"/>
  <c r="E11" i="103"/>
  <c r="E10" i="103"/>
  <c r="E9" i="103"/>
  <c r="E8" i="103"/>
  <c r="E7" i="103"/>
  <c r="E6" i="103"/>
  <c r="E5" i="103"/>
  <c r="E4" i="103"/>
  <c r="E3" i="103"/>
  <c r="E2" i="103"/>
  <c r="E20" i="104"/>
  <c r="E19" i="104"/>
  <c r="E18" i="104"/>
  <c r="E17" i="104"/>
  <c r="E16" i="104"/>
  <c r="E15" i="104"/>
  <c r="E14" i="104"/>
  <c r="E13" i="104"/>
  <c r="E12" i="104"/>
  <c r="E11" i="104"/>
  <c r="E10" i="104"/>
  <c r="E9" i="104"/>
  <c r="E8" i="104"/>
  <c r="E7" i="104"/>
  <c r="E6" i="104"/>
  <c r="E5" i="104"/>
  <c r="E4" i="104"/>
  <c r="E3" i="104"/>
  <c r="E2" i="104"/>
  <c r="F20" i="96"/>
  <c r="G20" i="96" s="1"/>
  <c r="H20" i="96" s="1"/>
  <c r="I20" i="96" s="1"/>
  <c r="J20" i="96" s="1"/>
  <c r="K20" i="96" s="1"/>
  <c r="L20" i="96" s="1"/>
  <c r="F19" i="96"/>
  <c r="G19" i="96" s="1"/>
  <c r="H19" i="96" s="1"/>
  <c r="I19" i="96" s="1"/>
  <c r="J19" i="96" s="1"/>
  <c r="K19" i="96" s="1"/>
  <c r="L19" i="96" s="1"/>
  <c r="F18" i="96"/>
  <c r="G18" i="96" s="1"/>
  <c r="H18" i="96" s="1"/>
  <c r="I18" i="96" s="1"/>
  <c r="J18" i="96" s="1"/>
  <c r="K18" i="96" s="1"/>
  <c r="L18" i="96" s="1"/>
  <c r="F17" i="96"/>
  <c r="G17" i="96" s="1"/>
  <c r="H17" i="96" s="1"/>
  <c r="I17" i="96" s="1"/>
  <c r="J17" i="96" s="1"/>
  <c r="K17" i="96" s="1"/>
  <c r="L17" i="96" s="1"/>
  <c r="F16" i="96"/>
  <c r="G16" i="96" s="1"/>
  <c r="H16" i="96" s="1"/>
  <c r="I16" i="96" s="1"/>
  <c r="J16" i="96" s="1"/>
  <c r="K16" i="96" s="1"/>
  <c r="L16" i="96" s="1"/>
  <c r="F15" i="96"/>
  <c r="G15" i="96" s="1"/>
  <c r="H15" i="96" s="1"/>
  <c r="I15" i="96" s="1"/>
  <c r="J15" i="96" s="1"/>
  <c r="K15" i="96" s="1"/>
  <c r="L15" i="96" s="1"/>
  <c r="F14" i="96"/>
  <c r="G14" i="96" s="1"/>
  <c r="H14" i="96" s="1"/>
  <c r="I14" i="96" s="1"/>
  <c r="J14" i="96" s="1"/>
  <c r="K14" i="96" s="1"/>
  <c r="L14" i="96" s="1"/>
  <c r="F13" i="96"/>
  <c r="G13" i="96" s="1"/>
  <c r="H13" i="96" s="1"/>
  <c r="I13" i="96" s="1"/>
  <c r="J13" i="96" s="1"/>
  <c r="K13" i="96" s="1"/>
  <c r="L13" i="96" s="1"/>
  <c r="F12" i="96"/>
  <c r="G12" i="96" s="1"/>
  <c r="H12" i="96" s="1"/>
  <c r="I12" i="96" s="1"/>
  <c r="J12" i="96" s="1"/>
  <c r="K12" i="96" s="1"/>
  <c r="L12" i="96" s="1"/>
  <c r="F11" i="96"/>
  <c r="G11" i="96" s="1"/>
  <c r="H11" i="96" s="1"/>
  <c r="I11" i="96" s="1"/>
  <c r="J11" i="96" s="1"/>
  <c r="K11" i="96" s="1"/>
  <c r="L11" i="96" s="1"/>
  <c r="F10" i="96"/>
  <c r="G10" i="96" s="1"/>
  <c r="H10" i="96" s="1"/>
  <c r="I10" i="96" s="1"/>
  <c r="J10" i="96" s="1"/>
  <c r="K10" i="96" s="1"/>
  <c r="L10" i="96" s="1"/>
  <c r="F9" i="96"/>
  <c r="G9" i="96" s="1"/>
  <c r="H9" i="96" s="1"/>
  <c r="I9" i="96" s="1"/>
  <c r="J9" i="96" s="1"/>
  <c r="K9" i="96" s="1"/>
  <c r="L9" i="96" s="1"/>
  <c r="F8" i="96"/>
  <c r="G8" i="96" s="1"/>
  <c r="H8" i="96" s="1"/>
  <c r="I8" i="96" s="1"/>
  <c r="J8" i="96" s="1"/>
  <c r="K8" i="96" s="1"/>
  <c r="L8" i="96" s="1"/>
  <c r="F7" i="96"/>
  <c r="G7" i="96" s="1"/>
  <c r="H7" i="96" s="1"/>
  <c r="I7" i="96" s="1"/>
  <c r="J7" i="96" s="1"/>
  <c r="K7" i="96" s="1"/>
  <c r="L7" i="96" s="1"/>
  <c r="F5" i="96"/>
  <c r="G5" i="96" s="1"/>
  <c r="H5" i="96" s="1"/>
  <c r="I5" i="96" s="1"/>
  <c r="J5" i="96" s="1"/>
  <c r="K5" i="96" s="1"/>
  <c r="L5" i="96" s="1"/>
  <c r="F4" i="96"/>
  <c r="G4" i="96" s="1"/>
  <c r="H4" i="96" s="1"/>
  <c r="I4" i="96" s="1"/>
  <c r="F3" i="96"/>
  <c r="G3" i="96" s="1"/>
  <c r="H3" i="96" s="1"/>
  <c r="I3" i="96" s="1"/>
  <c r="F2" i="96"/>
  <c r="G2" i="96" s="1"/>
  <c r="H2" i="96" s="1"/>
  <c r="I2" i="96" s="1"/>
  <c r="J2" i="96" s="1"/>
  <c r="K2" i="96" s="1"/>
  <c r="L2" i="96" s="1"/>
  <c r="E20" i="96"/>
  <c r="E19" i="96"/>
  <c r="E18" i="96"/>
  <c r="E17" i="96"/>
  <c r="E16" i="96"/>
  <c r="E15" i="96"/>
  <c r="E14" i="96"/>
  <c r="E13" i="96"/>
  <c r="E12" i="96"/>
  <c r="E11" i="96"/>
  <c r="E10" i="96"/>
  <c r="E9" i="96"/>
  <c r="E8" i="96"/>
  <c r="E7" i="96"/>
  <c r="E6" i="96"/>
  <c r="F6" i="96" s="1"/>
  <c r="G6" i="96" s="1"/>
  <c r="H6" i="96" s="1"/>
  <c r="I6" i="96" s="1"/>
  <c r="J6" i="96" s="1"/>
  <c r="K6" i="96" s="1"/>
  <c r="L6" i="96" s="1"/>
  <c r="E5" i="96"/>
  <c r="E4" i="96"/>
  <c r="E3" i="96"/>
  <c r="E2" i="96"/>
  <c r="E6" i="68"/>
  <c r="E8" i="68"/>
  <c r="E9" i="68"/>
  <c r="E10" i="68"/>
  <c r="E11" i="68"/>
  <c r="E12" i="68"/>
  <c r="E13" i="68"/>
  <c r="E14" i="68"/>
  <c r="E15" i="68"/>
  <c r="E16" i="68"/>
  <c r="E17" i="68"/>
  <c r="E18" i="68"/>
  <c r="E19" i="68"/>
  <c r="E20" i="68"/>
  <c r="E7" i="68"/>
  <c r="L420" i="86" l="1"/>
  <c r="L169" i="91" s="1"/>
  <c r="O927" i="86"/>
  <c r="CJ170" i="92" s="1"/>
  <c r="O929" i="86"/>
  <c r="CJ172" i="92" s="1"/>
  <c r="L25" i="86"/>
  <c r="BX170" i="91" s="1"/>
  <c r="L761" i="86"/>
  <c r="BF169" i="91" s="1"/>
  <c r="L764" i="86"/>
  <c r="BF172" i="91" s="1"/>
  <c r="L621" i="86"/>
  <c r="AK172" i="91" s="1"/>
  <c r="L609" i="86"/>
  <c r="AJ171" i="91" s="1"/>
  <c r="L423" i="86"/>
  <c r="L172" i="91" s="1"/>
  <c r="L620" i="86"/>
  <c r="AK171" i="91" s="1"/>
  <c r="L893" i="86"/>
  <c r="BT169" i="91" s="1"/>
  <c r="L421" i="86"/>
  <c r="L170" i="91" s="1"/>
  <c r="L894" i="86"/>
  <c r="BT170" i="91" s="1"/>
  <c r="L883" i="86"/>
  <c r="BS170" i="91" s="1"/>
  <c r="L432" i="86"/>
  <c r="M170" i="91" s="1"/>
  <c r="L619" i="86"/>
  <c r="AK170" i="91" s="1"/>
  <c r="L433" i="86"/>
  <c r="M171" i="91" s="1"/>
  <c r="L497" i="86"/>
  <c r="S169" i="91" s="1"/>
  <c r="L885" i="86"/>
  <c r="BS172" i="91" s="1"/>
  <c r="L431" i="86"/>
  <c r="M169" i="91" s="1"/>
  <c r="L498" i="86"/>
  <c r="S170" i="91" s="1"/>
  <c r="L882" i="86"/>
  <c r="BS169" i="91" s="1"/>
  <c r="O622" i="86"/>
  <c r="O820" i="86"/>
  <c r="L27" i="86"/>
  <c r="BX172" i="91" s="1"/>
  <c r="O127" i="86"/>
  <c r="CG171" i="92"/>
  <c r="O655" i="86"/>
  <c r="AN171" i="92"/>
  <c r="L655" i="86"/>
  <c r="AN171" i="91"/>
  <c r="O809" i="86"/>
  <c r="BJ171" i="92"/>
  <c r="O721" i="86"/>
  <c r="BB172" i="92"/>
  <c r="O776" i="86"/>
  <c r="BG170" i="92"/>
  <c r="O61" i="86"/>
  <c r="CA171" i="92"/>
  <c r="L72" i="86"/>
  <c r="CB169" i="91"/>
  <c r="L710" i="86"/>
  <c r="BA170" i="91"/>
  <c r="L743" i="86"/>
  <c r="BD172" i="91"/>
  <c r="L24" i="86"/>
  <c r="BX169" i="91" s="1"/>
  <c r="L127" i="86"/>
  <c r="CG170" i="91"/>
  <c r="O138" i="86"/>
  <c r="CH169" i="92"/>
  <c r="O523" i="86"/>
  <c r="U171" i="92"/>
  <c r="O765" i="86"/>
  <c r="BF171" i="92"/>
  <c r="O72" i="86"/>
  <c r="CB170" i="92"/>
  <c r="L457" i="86"/>
  <c r="O170" i="91"/>
  <c r="O501" i="86"/>
  <c r="S170" i="92"/>
  <c r="O457" i="86"/>
  <c r="O170" i="92"/>
  <c r="O963" i="86"/>
  <c r="O688" i="86"/>
  <c r="AY172" i="92"/>
  <c r="L928" i="86"/>
  <c r="CJ171" i="91" s="1"/>
  <c r="O490" i="86"/>
  <c r="O432" i="86"/>
  <c r="L929" i="86"/>
  <c r="CJ172" i="91" s="1"/>
  <c r="L927" i="86"/>
  <c r="O897" i="86"/>
  <c r="O391" i="86"/>
  <c r="O611" i="86"/>
  <c r="L556" i="86"/>
  <c r="O996" i="86"/>
  <c r="O710" i="86"/>
  <c r="L138" i="86"/>
  <c r="O644" i="86"/>
  <c r="I116" i="86"/>
  <c r="L61" i="86"/>
  <c r="O28" i="86"/>
  <c r="L113" i="86"/>
  <c r="CF170" i="91" s="1"/>
  <c r="L115" i="86"/>
  <c r="CF172" i="91" s="1"/>
  <c r="L114" i="86"/>
  <c r="CF171" i="91" s="1"/>
  <c r="L112" i="86"/>
  <c r="CF169" i="91" s="1"/>
  <c r="O115" i="86"/>
  <c r="CF172" i="92" s="1"/>
  <c r="O114" i="86"/>
  <c r="CF171" i="92" s="1"/>
  <c r="O113" i="86"/>
  <c r="CF170" i="92" s="1"/>
  <c r="O112" i="86"/>
  <c r="CF169" i="92" s="1"/>
  <c r="O434" i="86"/>
  <c r="M172" i="92" s="1"/>
  <c r="O39" i="86"/>
  <c r="O530" i="86"/>
  <c r="V169" i="92" s="1"/>
  <c r="O532" i="86"/>
  <c r="V171" i="92" s="1"/>
  <c r="O533" i="86"/>
  <c r="V172" i="92" s="1"/>
  <c r="I886" i="86"/>
  <c r="O798" i="86"/>
  <c r="I974" i="86"/>
  <c r="L993" i="86"/>
  <c r="CP170" i="91" s="1"/>
  <c r="I17" i="86"/>
  <c r="L500" i="86"/>
  <c r="S172" i="91" s="1"/>
  <c r="L994" i="86"/>
  <c r="CP171" i="91" s="1"/>
  <c r="L545" i="86"/>
  <c r="I534" i="86"/>
  <c r="L995" i="86"/>
  <c r="CP172" i="91" s="1"/>
  <c r="I644" i="86"/>
  <c r="L896" i="86"/>
  <c r="O754" i="86"/>
  <c r="O600" i="86"/>
  <c r="O952" i="86"/>
  <c r="I908" i="86"/>
  <c r="O369" i="86"/>
  <c r="L699" i="86"/>
  <c r="O853" i="86"/>
  <c r="O985" i="86"/>
  <c r="L941" i="86"/>
  <c r="L787" i="86"/>
  <c r="I6" i="86"/>
  <c r="O941" i="86"/>
  <c r="L468" i="86"/>
  <c r="I864" i="86"/>
  <c r="O699" i="86"/>
  <c r="I655" i="86"/>
  <c r="O347" i="86"/>
  <c r="L853" i="86"/>
  <c r="O886" i="86"/>
  <c r="O545" i="86"/>
  <c r="L391" i="86"/>
  <c r="L446" i="86"/>
  <c r="O919" i="86"/>
  <c r="L776" i="86"/>
  <c r="L831" i="86"/>
  <c r="I633" i="86"/>
  <c r="L39" i="86"/>
  <c r="L14" i="86"/>
  <c r="BW170" i="91" s="1"/>
  <c r="L16" i="86"/>
  <c r="BW172" i="91" s="1"/>
  <c r="L15" i="86"/>
  <c r="BW171" i="91" s="1"/>
  <c r="O16" i="86"/>
  <c r="BW172" i="92" s="1"/>
  <c r="O15" i="86"/>
  <c r="BW171" i="92" s="1"/>
  <c r="O14" i="86"/>
  <c r="BW170" i="92" s="1"/>
  <c r="O5" i="86"/>
  <c r="BV172" i="92" s="1"/>
  <c r="O3" i="86"/>
  <c r="BV170" i="92" s="1"/>
  <c r="O4" i="86"/>
  <c r="BV171" i="92" s="1"/>
  <c r="L3" i="86"/>
  <c r="BV170" i="91" s="1"/>
  <c r="L5" i="86"/>
  <c r="BV172" i="91" s="1"/>
  <c r="L4" i="86"/>
  <c r="BV171" i="91" s="1"/>
  <c r="L2" i="86"/>
  <c r="BV169" i="91" s="1"/>
  <c r="O567" i="86"/>
  <c r="O424" i="86"/>
  <c r="L732" i="86"/>
  <c r="O336" i="86"/>
  <c r="I358" i="86"/>
  <c r="I413" i="86"/>
  <c r="L952" i="86"/>
  <c r="O666" i="86"/>
  <c r="O743" i="86"/>
  <c r="I875" i="86"/>
  <c r="L666" i="86"/>
  <c r="L963" i="86"/>
  <c r="O906" i="86"/>
  <c r="BU171" i="92" s="1"/>
  <c r="O907" i="86"/>
  <c r="BU172" i="92" s="1"/>
  <c r="O905" i="86"/>
  <c r="BU170" i="92" s="1"/>
  <c r="L809" i="86"/>
  <c r="L644" i="86"/>
  <c r="L534" i="86"/>
  <c r="L490" i="86"/>
  <c r="O380" i="86"/>
  <c r="L907" i="86"/>
  <c r="BU172" i="91" s="1"/>
  <c r="L905" i="86"/>
  <c r="BU170" i="91" s="1"/>
  <c r="L906" i="86"/>
  <c r="BU171" i="91" s="1"/>
  <c r="L974" i="86"/>
  <c r="L798" i="86"/>
  <c r="O633" i="86"/>
  <c r="O904" i="86"/>
  <c r="BU169" i="92" s="1"/>
  <c r="L904" i="86"/>
  <c r="BU169" i="91" s="1"/>
  <c r="O556" i="86"/>
  <c r="L336" i="86"/>
  <c r="L512" i="86"/>
  <c r="O468" i="86"/>
  <c r="O446" i="86"/>
  <c r="I402" i="86"/>
  <c r="L380" i="86"/>
  <c r="L567" i="86"/>
  <c r="I578" i="86"/>
  <c r="I589" i="86"/>
  <c r="L600" i="86"/>
  <c r="I677" i="86"/>
  <c r="L688" i="86"/>
  <c r="L754" i="86"/>
  <c r="I765" i="86"/>
  <c r="L820" i="86"/>
  <c r="O831" i="86"/>
  <c r="I842" i="86"/>
  <c r="O875" i="86"/>
  <c r="L919" i="86"/>
  <c r="O974" i="86"/>
  <c r="L985" i="86"/>
  <c r="L875" i="86"/>
  <c r="O863" i="86"/>
  <c r="BO172" i="92" s="1"/>
  <c r="O862" i="86"/>
  <c r="BO171" i="92" s="1"/>
  <c r="O861" i="86"/>
  <c r="BO170" i="92" s="1"/>
  <c r="L861" i="86"/>
  <c r="BO170" i="91" s="1"/>
  <c r="L862" i="86"/>
  <c r="BO171" i="91" s="1"/>
  <c r="L863" i="86"/>
  <c r="BO172" i="91" s="1"/>
  <c r="O839" i="86"/>
  <c r="BM170" i="92" s="1"/>
  <c r="O840" i="86"/>
  <c r="BM171" i="92" s="1"/>
  <c r="O841" i="86"/>
  <c r="BM172" i="92" s="1"/>
  <c r="L840" i="86"/>
  <c r="BM171" i="91" s="1"/>
  <c r="L839" i="86"/>
  <c r="BM170" i="91" s="1"/>
  <c r="L841" i="86"/>
  <c r="BM172" i="91" s="1"/>
  <c r="O787" i="86"/>
  <c r="O732" i="86"/>
  <c r="L721" i="86"/>
  <c r="O676" i="86"/>
  <c r="AT172" i="92" s="1"/>
  <c r="O674" i="86"/>
  <c r="AT170" i="92" s="1"/>
  <c r="O675" i="86"/>
  <c r="AT171" i="92" s="1"/>
  <c r="L675" i="86"/>
  <c r="AT171" i="91" s="1"/>
  <c r="L676" i="86"/>
  <c r="AT172" i="91" s="1"/>
  <c r="L674" i="86"/>
  <c r="AT170" i="91" s="1"/>
  <c r="L633" i="86"/>
  <c r="O588" i="86"/>
  <c r="AA172" i="92" s="1"/>
  <c r="O587" i="86"/>
  <c r="AA171" i="92" s="1"/>
  <c r="O586" i="86"/>
  <c r="AA170" i="92" s="1"/>
  <c r="L586" i="86"/>
  <c r="AA170" i="91" s="1"/>
  <c r="L588" i="86"/>
  <c r="AA172" i="91" s="1"/>
  <c r="L587" i="86"/>
  <c r="AA171" i="91" s="1"/>
  <c r="L585" i="86"/>
  <c r="AA169" i="91" s="1"/>
  <c r="O577" i="86"/>
  <c r="Z172" i="92" s="1"/>
  <c r="O576" i="86"/>
  <c r="Z171" i="92" s="1"/>
  <c r="O575" i="86"/>
  <c r="Z170" i="92" s="1"/>
  <c r="L575" i="86"/>
  <c r="Z170" i="91" s="1"/>
  <c r="L577" i="86"/>
  <c r="Z172" i="91" s="1"/>
  <c r="L576" i="86"/>
  <c r="Z171" i="91" s="1"/>
  <c r="L574" i="86"/>
  <c r="Z169" i="91" s="1"/>
  <c r="L523" i="86"/>
  <c r="O512" i="86"/>
  <c r="O479" i="86"/>
  <c r="L479" i="86"/>
  <c r="O410" i="86"/>
  <c r="K170" i="92" s="1"/>
  <c r="O412" i="86"/>
  <c r="K172" i="92" s="1"/>
  <c r="O411" i="86"/>
  <c r="K171" i="92" s="1"/>
  <c r="L411" i="86"/>
  <c r="K171" i="91" s="1"/>
  <c r="L410" i="86"/>
  <c r="K170" i="91" s="1"/>
  <c r="L412" i="86"/>
  <c r="K172" i="91" s="1"/>
  <c r="O401" i="86"/>
  <c r="J172" i="92" s="1"/>
  <c r="O399" i="86"/>
  <c r="J170" i="92" s="1"/>
  <c r="O400" i="86"/>
  <c r="J171" i="92" s="1"/>
  <c r="L401" i="86"/>
  <c r="J172" i="91" s="1"/>
  <c r="L400" i="86"/>
  <c r="J171" i="91" s="1"/>
  <c r="L399" i="86"/>
  <c r="J170" i="91" s="1"/>
  <c r="L398" i="86"/>
  <c r="J169" i="91" s="1"/>
  <c r="L369" i="86"/>
  <c r="L355" i="86"/>
  <c r="F170" i="91" s="1"/>
  <c r="L357" i="86"/>
  <c r="F172" i="91" s="1"/>
  <c r="L354" i="86"/>
  <c r="F169" i="91" s="1"/>
  <c r="O357" i="86"/>
  <c r="F172" i="92" s="1"/>
  <c r="O355" i="86"/>
  <c r="F170" i="92" s="1"/>
  <c r="O356" i="86"/>
  <c r="F171" i="92" s="1"/>
  <c r="L347" i="86"/>
  <c r="J3" i="96"/>
  <c r="J4" i="96"/>
  <c r="I72" i="94"/>
  <c r="J66" i="94"/>
  <c r="E3" i="68"/>
  <c r="E4" i="68"/>
  <c r="E5" i="68"/>
  <c r="L611" i="86" l="1"/>
  <c r="O930" i="86"/>
  <c r="L886" i="86"/>
  <c r="L765" i="86"/>
  <c r="L28" i="86"/>
  <c r="L435" i="86"/>
  <c r="L622" i="86"/>
  <c r="L424" i="86"/>
  <c r="L930" i="86"/>
  <c r="CJ170" i="91"/>
  <c r="L501" i="86"/>
  <c r="L897" i="86"/>
  <c r="BT172" i="91"/>
  <c r="O435" i="86"/>
  <c r="M170" i="92"/>
  <c r="L996" i="86"/>
  <c r="O578" i="86"/>
  <c r="L116" i="86"/>
  <c r="O17" i="86"/>
  <c r="O116" i="86"/>
  <c r="L6" i="86"/>
  <c r="L677" i="86"/>
  <c r="O534" i="86"/>
  <c r="L17" i="86"/>
  <c r="L908" i="86"/>
  <c r="O6" i="86"/>
  <c r="L864" i="86"/>
  <c r="O908" i="86"/>
  <c r="O358" i="86"/>
  <c r="O677" i="86"/>
  <c r="O864" i="86"/>
  <c r="L402" i="86"/>
  <c r="L589" i="86"/>
  <c r="O842" i="86"/>
  <c r="O589" i="86"/>
  <c r="L842" i="86"/>
  <c r="L413" i="86"/>
  <c r="O413" i="86"/>
  <c r="O402" i="86"/>
  <c r="L578" i="86"/>
  <c r="L358" i="86"/>
  <c r="K4" i="96"/>
  <c r="K66" i="94"/>
  <c r="K72" i="94" s="1"/>
  <c r="J72" i="94"/>
  <c r="K3" i="96"/>
  <c r="E2" i="68"/>
  <c r="G62" i="94"/>
  <c r="H62" i="94" s="1"/>
  <c r="I62" i="94" s="1"/>
  <c r="J62" i="94" s="1"/>
  <c r="K62" i="94" s="1"/>
  <c r="F62" i="94"/>
  <c r="E62" i="94"/>
  <c r="D62" i="94"/>
  <c r="G57" i="94"/>
  <c r="H57" i="94" s="1"/>
  <c r="I57" i="94" s="1"/>
  <c r="J57" i="94" s="1"/>
  <c r="K57" i="94" s="1"/>
  <c r="F57" i="94"/>
  <c r="E57" i="94"/>
  <c r="D57" i="94"/>
  <c r="G56" i="94"/>
  <c r="H56" i="94" s="1"/>
  <c r="I56" i="94" s="1"/>
  <c r="J56" i="94" s="1"/>
  <c r="K56" i="94" s="1"/>
  <c r="F56" i="94"/>
  <c r="E56" i="94"/>
  <c r="D56" i="94"/>
  <c r="G55" i="94"/>
  <c r="H55" i="94" s="1"/>
  <c r="I55" i="94" s="1"/>
  <c r="J55" i="94" s="1"/>
  <c r="K55" i="94" s="1"/>
  <c r="F55" i="94"/>
  <c r="E55" i="94"/>
  <c r="D55" i="94"/>
  <c r="G54" i="94"/>
  <c r="H54" i="94" s="1"/>
  <c r="I54" i="94" s="1"/>
  <c r="J54" i="94" s="1"/>
  <c r="K54" i="94" s="1"/>
  <c r="F54" i="94"/>
  <c r="E54" i="94"/>
  <c r="D54" i="94"/>
  <c r="G53" i="94"/>
  <c r="H53" i="94" s="1"/>
  <c r="I53" i="94" s="1"/>
  <c r="J53" i="94" s="1"/>
  <c r="K53" i="94" s="1"/>
  <c r="F53" i="94"/>
  <c r="E53" i="94"/>
  <c r="D53" i="94"/>
  <c r="G52" i="94"/>
  <c r="H52" i="94" s="1"/>
  <c r="I52" i="94" s="1"/>
  <c r="J52" i="94" s="1"/>
  <c r="K52" i="94" s="1"/>
  <c r="F52" i="94"/>
  <c r="E52" i="94"/>
  <c r="D52" i="94"/>
  <c r="G51" i="94"/>
  <c r="H51" i="94" s="1"/>
  <c r="I51" i="94" s="1"/>
  <c r="J51" i="94" s="1"/>
  <c r="K51" i="94" s="1"/>
  <c r="F51" i="94"/>
  <c r="E51" i="94"/>
  <c r="D51" i="94"/>
  <c r="G50" i="94"/>
  <c r="H50" i="94" s="1"/>
  <c r="I50" i="94" s="1"/>
  <c r="F50" i="94"/>
  <c r="E50" i="94"/>
  <c r="D50" i="94"/>
  <c r="G46" i="94"/>
  <c r="H46" i="94" s="1"/>
  <c r="I46" i="94" s="1"/>
  <c r="J46" i="94" s="1"/>
  <c r="K46" i="94" s="1"/>
  <c r="F46" i="94"/>
  <c r="E46" i="94"/>
  <c r="D46" i="94"/>
  <c r="G41" i="94"/>
  <c r="H41" i="94" s="1"/>
  <c r="I41" i="94" s="1"/>
  <c r="J41" i="94" s="1"/>
  <c r="K41" i="94" s="1"/>
  <c r="F41" i="94"/>
  <c r="E41" i="94"/>
  <c r="D41" i="94"/>
  <c r="G40" i="94"/>
  <c r="H40" i="94" s="1"/>
  <c r="I40" i="94" s="1"/>
  <c r="J40" i="94" s="1"/>
  <c r="K40" i="94" s="1"/>
  <c r="F40" i="94"/>
  <c r="E40" i="94"/>
  <c r="D40" i="94"/>
  <c r="G39" i="94"/>
  <c r="H39" i="94" s="1"/>
  <c r="I39" i="94" s="1"/>
  <c r="J39" i="94" s="1"/>
  <c r="K39" i="94" s="1"/>
  <c r="F39" i="94"/>
  <c r="E39" i="94"/>
  <c r="D39" i="94"/>
  <c r="G38" i="94"/>
  <c r="H38" i="94" s="1"/>
  <c r="I38" i="94" s="1"/>
  <c r="J38" i="94" s="1"/>
  <c r="K38" i="94" s="1"/>
  <c r="F38" i="94"/>
  <c r="E38" i="94"/>
  <c r="D38" i="94"/>
  <c r="G37" i="94"/>
  <c r="H37" i="94" s="1"/>
  <c r="I37" i="94" s="1"/>
  <c r="J37" i="94" s="1"/>
  <c r="K37" i="94" s="1"/>
  <c r="F37" i="94"/>
  <c r="E37" i="94"/>
  <c r="D37" i="94"/>
  <c r="G36" i="94"/>
  <c r="H36" i="94" s="1"/>
  <c r="I36" i="94" s="1"/>
  <c r="J36" i="94" s="1"/>
  <c r="K36" i="94" s="1"/>
  <c r="F36" i="94"/>
  <c r="E36" i="94"/>
  <c r="D36" i="94"/>
  <c r="G35" i="94"/>
  <c r="H35" i="94" s="1"/>
  <c r="I35" i="94" s="1"/>
  <c r="J35" i="94" s="1"/>
  <c r="K35" i="94" s="1"/>
  <c r="F35" i="94"/>
  <c r="E35" i="94"/>
  <c r="D35" i="94"/>
  <c r="G34" i="94"/>
  <c r="H34" i="94" s="1"/>
  <c r="F34" i="94"/>
  <c r="E34" i="94"/>
  <c r="D34" i="94"/>
  <c r="G71" i="98"/>
  <c r="H71" i="98" s="1"/>
  <c r="I71" i="98" s="1"/>
  <c r="J71" i="98" s="1"/>
  <c r="K71" i="98" s="1"/>
  <c r="F71" i="98"/>
  <c r="E71" i="98"/>
  <c r="D71" i="98"/>
  <c r="G70" i="98"/>
  <c r="H70" i="98" s="1"/>
  <c r="F70" i="98"/>
  <c r="E70" i="98"/>
  <c r="D70" i="98"/>
  <c r="G69" i="98"/>
  <c r="H69" i="98" s="1"/>
  <c r="F69" i="98"/>
  <c r="E69" i="98"/>
  <c r="D69" i="98"/>
  <c r="G68" i="98"/>
  <c r="H68" i="98" s="1"/>
  <c r="F68" i="98"/>
  <c r="E68" i="98"/>
  <c r="D68" i="98"/>
  <c r="G67" i="98"/>
  <c r="H67" i="98" s="1"/>
  <c r="F67" i="98"/>
  <c r="E67" i="98"/>
  <c r="D67" i="98"/>
  <c r="G66" i="98"/>
  <c r="H66" i="98" s="1"/>
  <c r="F66" i="98"/>
  <c r="E66" i="98"/>
  <c r="D66" i="98"/>
  <c r="G62" i="98"/>
  <c r="H62" i="98" s="1"/>
  <c r="I62" i="98" s="1"/>
  <c r="J62" i="98" s="1"/>
  <c r="K62" i="98" s="1"/>
  <c r="F62" i="98"/>
  <c r="E62" i="98"/>
  <c r="D62" i="98"/>
  <c r="G57" i="98"/>
  <c r="H57" i="98" s="1"/>
  <c r="I57" i="98" s="1"/>
  <c r="J57" i="98" s="1"/>
  <c r="K57" i="98" s="1"/>
  <c r="F57" i="98"/>
  <c r="E57" i="98"/>
  <c r="D57" i="98"/>
  <c r="G56" i="98"/>
  <c r="H56" i="98" s="1"/>
  <c r="I56" i="98" s="1"/>
  <c r="J56" i="98" s="1"/>
  <c r="K56" i="98" s="1"/>
  <c r="F56" i="98"/>
  <c r="E56" i="98"/>
  <c r="D56" i="98"/>
  <c r="G55" i="98"/>
  <c r="H55" i="98" s="1"/>
  <c r="I55" i="98" s="1"/>
  <c r="J55" i="98" s="1"/>
  <c r="K55" i="98" s="1"/>
  <c r="F55" i="98"/>
  <c r="E55" i="98"/>
  <c r="D55" i="98"/>
  <c r="G54" i="98"/>
  <c r="H54" i="98" s="1"/>
  <c r="I54" i="98" s="1"/>
  <c r="J54" i="98" s="1"/>
  <c r="K54" i="98" s="1"/>
  <c r="F54" i="98"/>
  <c r="E54" i="98"/>
  <c r="D54" i="98"/>
  <c r="G53" i="98"/>
  <c r="H53" i="98" s="1"/>
  <c r="I53" i="98" s="1"/>
  <c r="J53" i="98" s="1"/>
  <c r="K53" i="98" s="1"/>
  <c r="F53" i="98"/>
  <c r="E53" i="98"/>
  <c r="D53" i="98"/>
  <c r="G52" i="98"/>
  <c r="H52" i="98" s="1"/>
  <c r="I52" i="98" s="1"/>
  <c r="J52" i="98" s="1"/>
  <c r="K52" i="98" s="1"/>
  <c r="F52" i="98"/>
  <c r="E52" i="98"/>
  <c r="D52" i="98"/>
  <c r="G51" i="98"/>
  <c r="H51" i="98" s="1"/>
  <c r="I51" i="98" s="1"/>
  <c r="J51" i="98" s="1"/>
  <c r="K51" i="98" s="1"/>
  <c r="F51" i="98"/>
  <c r="E51" i="98"/>
  <c r="D51" i="98"/>
  <c r="G50" i="98"/>
  <c r="H50" i="98" s="1"/>
  <c r="F50" i="98"/>
  <c r="E50" i="98"/>
  <c r="D50" i="98"/>
  <c r="G46" i="98"/>
  <c r="H46" i="98" s="1"/>
  <c r="I46" i="98" s="1"/>
  <c r="J46" i="98" s="1"/>
  <c r="K46" i="98" s="1"/>
  <c r="F46" i="98"/>
  <c r="E46" i="98"/>
  <c r="D46" i="98"/>
  <c r="G41" i="98"/>
  <c r="H41" i="98" s="1"/>
  <c r="I41" i="98" s="1"/>
  <c r="J41" i="98" s="1"/>
  <c r="K41" i="98" s="1"/>
  <c r="F41" i="98"/>
  <c r="E41" i="98"/>
  <c r="D41" i="98"/>
  <c r="G40" i="98"/>
  <c r="H40" i="98" s="1"/>
  <c r="I40" i="98" s="1"/>
  <c r="J40" i="98" s="1"/>
  <c r="K40" i="98" s="1"/>
  <c r="F40" i="98"/>
  <c r="E40" i="98"/>
  <c r="D40" i="98"/>
  <c r="G39" i="98"/>
  <c r="H39" i="98" s="1"/>
  <c r="I39" i="98" s="1"/>
  <c r="J39" i="98" s="1"/>
  <c r="K39" i="98" s="1"/>
  <c r="F39" i="98"/>
  <c r="E39" i="98"/>
  <c r="D39" i="98"/>
  <c r="G38" i="98"/>
  <c r="H38" i="98" s="1"/>
  <c r="I38" i="98" s="1"/>
  <c r="J38" i="98" s="1"/>
  <c r="K38" i="98" s="1"/>
  <c r="F38" i="98"/>
  <c r="E38" i="98"/>
  <c r="D38" i="98"/>
  <c r="G37" i="98"/>
  <c r="H37" i="98" s="1"/>
  <c r="I37" i="98" s="1"/>
  <c r="J37" i="98" s="1"/>
  <c r="K37" i="98" s="1"/>
  <c r="F37" i="98"/>
  <c r="E37" i="98"/>
  <c r="D37" i="98"/>
  <c r="G36" i="98"/>
  <c r="H36" i="98" s="1"/>
  <c r="I36" i="98" s="1"/>
  <c r="J36" i="98" s="1"/>
  <c r="K36" i="98" s="1"/>
  <c r="F36" i="98"/>
  <c r="E36" i="98"/>
  <c r="D36" i="98"/>
  <c r="G35" i="98"/>
  <c r="H35" i="98" s="1"/>
  <c r="I35" i="98" s="1"/>
  <c r="J35" i="98" s="1"/>
  <c r="K35" i="98" s="1"/>
  <c r="F35" i="98"/>
  <c r="E35" i="98"/>
  <c r="D35" i="98"/>
  <c r="G34" i="98"/>
  <c r="F34" i="98"/>
  <c r="E34" i="98"/>
  <c r="D34" i="98"/>
  <c r="G62" i="97"/>
  <c r="H62" i="97" s="1"/>
  <c r="I62" i="97" s="1"/>
  <c r="J62" i="97" s="1"/>
  <c r="K62" i="97" s="1"/>
  <c r="F62" i="97"/>
  <c r="E62" i="97"/>
  <c r="D62" i="97"/>
  <c r="G57" i="97"/>
  <c r="H57" i="97" s="1"/>
  <c r="I57" i="97" s="1"/>
  <c r="J57" i="97" s="1"/>
  <c r="K57" i="97" s="1"/>
  <c r="F57" i="97"/>
  <c r="E57" i="97"/>
  <c r="D57" i="97"/>
  <c r="G56" i="97"/>
  <c r="H56" i="97" s="1"/>
  <c r="I56" i="97" s="1"/>
  <c r="J56" i="97" s="1"/>
  <c r="K56" i="97" s="1"/>
  <c r="F56" i="97"/>
  <c r="E56" i="97"/>
  <c r="D56" i="97"/>
  <c r="G55" i="97"/>
  <c r="H55" i="97" s="1"/>
  <c r="I55" i="97" s="1"/>
  <c r="J55" i="97" s="1"/>
  <c r="K55" i="97" s="1"/>
  <c r="F55" i="97"/>
  <c r="E55" i="97"/>
  <c r="D55" i="97"/>
  <c r="G54" i="97"/>
  <c r="H54" i="97" s="1"/>
  <c r="I54" i="97" s="1"/>
  <c r="J54" i="97" s="1"/>
  <c r="K54" i="97" s="1"/>
  <c r="F54" i="97"/>
  <c r="E54" i="97"/>
  <c r="D54" i="97"/>
  <c r="G53" i="97"/>
  <c r="H53" i="97" s="1"/>
  <c r="I53" i="97" s="1"/>
  <c r="J53" i="97" s="1"/>
  <c r="K53" i="97" s="1"/>
  <c r="F53" i="97"/>
  <c r="E53" i="97"/>
  <c r="D53" i="97"/>
  <c r="G52" i="97"/>
  <c r="H52" i="97" s="1"/>
  <c r="I52" i="97" s="1"/>
  <c r="J52" i="97" s="1"/>
  <c r="K52" i="97" s="1"/>
  <c r="F52" i="97"/>
  <c r="E52" i="97"/>
  <c r="D52" i="97"/>
  <c r="G51" i="97"/>
  <c r="H51" i="97" s="1"/>
  <c r="I51" i="97" s="1"/>
  <c r="J51" i="97" s="1"/>
  <c r="F51" i="97"/>
  <c r="E51" i="97"/>
  <c r="D51" i="97"/>
  <c r="G50" i="97"/>
  <c r="H50" i="97" s="1"/>
  <c r="I50" i="97" s="1"/>
  <c r="J50" i="97" s="1"/>
  <c r="K50" i="97" s="1"/>
  <c r="F50" i="97"/>
  <c r="E50" i="97"/>
  <c r="D50" i="97"/>
  <c r="G71" i="97"/>
  <c r="H71" i="97" s="1"/>
  <c r="I71" i="97" s="1"/>
  <c r="J71" i="97" s="1"/>
  <c r="K71" i="97" s="1"/>
  <c r="F71" i="97"/>
  <c r="E71" i="97"/>
  <c r="D71" i="97"/>
  <c r="G70" i="97"/>
  <c r="H70" i="97" s="1"/>
  <c r="F70" i="97"/>
  <c r="E70" i="97"/>
  <c r="D70" i="97"/>
  <c r="G69" i="97"/>
  <c r="H69" i="97" s="1"/>
  <c r="F69" i="97"/>
  <c r="E69" i="97"/>
  <c r="D69" i="97"/>
  <c r="G68" i="97"/>
  <c r="H68" i="97" s="1"/>
  <c r="F68" i="97"/>
  <c r="E68" i="97"/>
  <c r="D68" i="97"/>
  <c r="G67" i="97"/>
  <c r="H67" i="97" s="1"/>
  <c r="F67" i="97"/>
  <c r="E67" i="97"/>
  <c r="D67" i="97"/>
  <c r="G66" i="97"/>
  <c r="H66" i="97" s="1"/>
  <c r="I66" i="97" s="1"/>
  <c r="J66" i="97" s="1"/>
  <c r="K66" i="97" s="1"/>
  <c r="F66" i="97"/>
  <c r="E66" i="97"/>
  <c r="D66" i="97"/>
  <c r="G46" i="97"/>
  <c r="H46" i="97" s="1"/>
  <c r="I46" i="97" s="1"/>
  <c r="J46" i="97" s="1"/>
  <c r="K46" i="97" s="1"/>
  <c r="F46" i="97"/>
  <c r="E46" i="97"/>
  <c r="D46" i="97"/>
  <c r="G41" i="97"/>
  <c r="H41" i="97" s="1"/>
  <c r="I41" i="97" s="1"/>
  <c r="J41" i="97" s="1"/>
  <c r="K41" i="97" s="1"/>
  <c r="F41" i="97"/>
  <c r="E41" i="97"/>
  <c r="D41" i="97"/>
  <c r="G40" i="97"/>
  <c r="H40" i="97" s="1"/>
  <c r="I40" i="97" s="1"/>
  <c r="J40" i="97" s="1"/>
  <c r="K40" i="97" s="1"/>
  <c r="F40" i="97"/>
  <c r="E40" i="97"/>
  <c r="D40" i="97"/>
  <c r="G39" i="97"/>
  <c r="H39" i="97" s="1"/>
  <c r="I39" i="97" s="1"/>
  <c r="J39" i="97" s="1"/>
  <c r="K39" i="97" s="1"/>
  <c r="F39" i="97"/>
  <c r="E39" i="97"/>
  <c r="D39" i="97"/>
  <c r="G38" i="97"/>
  <c r="H38" i="97" s="1"/>
  <c r="I38" i="97" s="1"/>
  <c r="J38" i="97" s="1"/>
  <c r="K38" i="97" s="1"/>
  <c r="F38" i="97"/>
  <c r="E38" i="97"/>
  <c r="D38" i="97"/>
  <c r="G37" i="97"/>
  <c r="H37" i="97" s="1"/>
  <c r="I37" i="97" s="1"/>
  <c r="J37" i="97" s="1"/>
  <c r="K37" i="97" s="1"/>
  <c r="F37" i="97"/>
  <c r="E37" i="97"/>
  <c r="D37" i="97"/>
  <c r="G36" i="97"/>
  <c r="H36" i="97" s="1"/>
  <c r="I36" i="97" s="1"/>
  <c r="J36" i="97" s="1"/>
  <c r="K36" i="97" s="1"/>
  <c r="F36" i="97"/>
  <c r="E36" i="97"/>
  <c r="D36" i="97"/>
  <c r="G35" i="97"/>
  <c r="H35" i="97" s="1"/>
  <c r="I35" i="97" s="1"/>
  <c r="J35" i="97" s="1"/>
  <c r="K35" i="97" s="1"/>
  <c r="F35" i="97"/>
  <c r="E35" i="97"/>
  <c r="D35" i="97"/>
  <c r="D34" i="97"/>
  <c r="G34" i="97"/>
  <c r="H34" i="97" s="1"/>
  <c r="I34" i="97" s="1"/>
  <c r="J34" i="97" s="1"/>
  <c r="K34" i="97" s="1"/>
  <c r="F34" i="97"/>
  <c r="E34" i="97"/>
  <c r="K25" i="97"/>
  <c r="K26" i="97"/>
  <c r="K27" i="97"/>
  <c r="K19" i="97"/>
  <c r="K20" i="97"/>
  <c r="K21" i="97"/>
  <c r="K22" i="97"/>
  <c r="K23" i="97"/>
  <c r="K12" i="97"/>
  <c r="K13" i="97"/>
  <c r="K14" i="97"/>
  <c r="K15" i="97"/>
  <c r="K16" i="97"/>
  <c r="K5" i="97"/>
  <c r="K6" i="97"/>
  <c r="K7" i="97"/>
  <c r="K8" i="97"/>
  <c r="K9" i="97"/>
  <c r="D72" i="98" l="1"/>
  <c r="L3" i="96"/>
  <c r="F72" i="98"/>
  <c r="F5" i="104"/>
  <c r="G5" i="104" s="1"/>
  <c r="F8" i="104"/>
  <c r="G8" i="104" s="1"/>
  <c r="I67" i="97"/>
  <c r="J67" i="97" s="1"/>
  <c r="K67" i="97" s="1"/>
  <c r="F8" i="103"/>
  <c r="G8" i="103" s="1"/>
  <c r="H8" i="103" s="1"/>
  <c r="I8" i="103" s="1"/>
  <c r="E72" i="98"/>
  <c r="F3" i="104"/>
  <c r="G3" i="104" s="1"/>
  <c r="H3" i="104" s="1"/>
  <c r="I3" i="104" s="1"/>
  <c r="F4" i="104"/>
  <c r="G4" i="104" s="1"/>
  <c r="H4" i="104" s="1"/>
  <c r="I4" i="104" s="1"/>
  <c r="F7" i="104"/>
  <c r="G7" i="104" s="1"/>
  <c r="H7" i="104" s="1"/>
  <c r="I7" i="104" s="1"/>
  <c r="F18" i="104"/>
  <c r="G18" i="104" s="1"/>
  <c r="H18" i="104" s="1"/>
  <c r="I18" i="104" s="1"/>
  <c r="F10" i="104"/>
  <c r="G10" i="104" s="1"/>
  <c r="H10" i="104" s="1"/>
  <c r="I10" i="104" s="1"/>
  <c r="F2" i="104"/>
  <c r="G2" i="104" s="1"/>
  <c r="H2" i="104" s="1"/>
  <c r="I2" i="104" s="1"/>
  <c r="F17" i="104"/>
  <c r="G17" i="104" s="1"/>
  <c r="H17" i="104" s="1"/>
  <c r="I17" i="104" s="1"/>
  <c r="F9" i="104"/>
  <c r="G9" i="104" s="1"/>
  <c r="H9" i="104" s="1"/>
  <c r="I9" i="104" s="1"/>
  <c r="F16" i="104"/>
  <c r="G16" i="104" s="1"/>
  <c r="H16" i="104" s="1"/>
  <c r="I16" i="104" s="1"/>
  <c r="F11" i="104"/>
  <c r="G11" i="104" s="1"/>
  <c r="H11" i="104" s="1"/>
  <c r="I11" i="104" s="1"/>
  <c r="F15" i="104"/>
  <c r="G15" i="104" s="1"/>
  <c r="H15" i="104" s="1"/>
  <c r="I15" i="104" s="1"/>
  <c r="F14" i="104"/>
  <c r="G14" i="104" s="1"/>
  <c r="H14" i="104" s="1"/>
  <c r="I14" i="104" s="1"/>
  <c r="F13" i="104"/>
  <c r="G13" i="104" s="1"/>
  <c r="H13" i="104" s="1"/>
  <c r="I13" i="104" s="1"/>
  <c r="F20" i="104"/>
  <c r="G20" i="104" s="1"/>
  <c r="H20" i="104" s="1"/>
  <c r="I20" i="104" s="1"/>
  <c r="F12" i="104"/>
  <c r="G12" i="104" s="1"/>
  <c r="H12" i="104" s="1"/>
  <c r="I12" i="104" s="1"/>
  <c r="F19" i="104"/>
  <c r="G19" i="104" s="1"/>
  <c r="H19" i="104" s="1"/>
  <c r="I19" i="104" s="1"/>
  <c r="F6" i="104"/>
  <c r="G6" i="104" s="1"/>
  <c r="H6" i="104" s="1"/>
  <c r="I6" i="104" s="1"/>
  <c r="F5" i="103"/>
  <c r="G5" i="103" s="1"/>
  <c r="H5" i="103" s="1"/>
  <c r="I5" i="103" s="1"/>
  <c r="F3" i="103"/>
  <c r="G3" i="103" s="1"/>
  <c r="H3" i="103" s="1"/>
  <c r="I3" i="103" s="1"/>
  <c r="J3" i="103" s="1"/>
  <c r="K3" i="103" s="1"/>
  <c r="L3" i="103" s="1"/>
  <c r="F4" i="103"/>
  <c r="G4" i="103" s="1"/>
  <c r="H4" i="103" s="1"/>
  <c r="I4" i="103" s="1"/>
  <c r="J4" i="103" s="1"/>
  <c r="K4" i="103" s="1"/>
  <c r="L4" i="103" s="1"/>
  <c r="F7" i="103"/>
  <c r="G7" i="103" s="1"/>
  <c r="H7" i="103" s="1"/>
  <c r="I7" i="103" s="1"/>
  <c r="F18" i="103"/>
  <c r="G18" i="103" s="1"/>
  <c r="H18" i="103" s="1"/>
  <c r="I18" i="103" s="1"/>
  <c r="F10" i="103"/>
  <c r="G10" i="103" s="1"/>
  <c r="H10" i="103" s="1"/>
  <c r="I10" i="103" s="1"/>
  <c r="F17" i="103"/>
  <c r="G17" i="103" s="1"/>
  <c r="H17" i="103" s="1"/>
  <c r="I17" i="103" s="1"/>
  <c r="F9" i="103"/>
  <c r="G9" i="103" s="1"/>
  <c r="H9" i="103" s="1"/>
  <c r="I9" i="103" s="1"/>
  <c r="F16" i="103"/>
  <c r="G16" i="103" s="1"/>
  <c r="H16" i="103" s="1"/>
  <c r="I16" i="103" s="1"/>
  <c r="F2" i="103"/>
  <c r="G2" i="103" s="1"/>
  <c r="H2" i="103" s="1"/>
  <c r="I2" i="103" s="1"/>
  <c r="F14" i="103"/>
  <c r="G14" i="103" s="1"/>
  <c r="H14" i="103" s="1"/>
  <c r="I14" i="103" s="1"/>
  <c r="F15" i="103"/>
  <c r="G15" i="103" s="1"/>
  <c r="H15" i="103" s="1"/>
  <c r="I15" i="103" s="1"/>
  <c r="F6" i="103"/>
  <c r="G6" i="103" s="1"/>
  <c r="H6" i="103" s="1"/>
  <c r="I6" i="103" s="1"/>
  <c r="F20" i="103"/>
  <c r="G20" i="103" s="1"/>
  <c r="H20" i="103" s="1"/>
  <c r="I20" i="103" s="1"/>
  <c r="F13" i="103"/>
  <c r="G13" i="103" s="1"/>
  <c r="H13" i="103" s="1"/>
  <c r="I13" i="103" s="1"/>
  <c r="F11" i="103"/>
  <c r="G11" i="103" s="1"/>
  <c r="H11" i="103" s="1"/>
  <c r="I11" i="103" s="1"/>
  <c r="F19" i="103"/>
  <c r="G19" i="103" s="1"/>
  <c r="H19" i="103" s="1"/>
  <c r="I19" i="103" s="1"/>
  <c r="F12" i="103"/>
  <c r="G12" i="103" s="1"/>
  <c r="H12" i="103" s="1"/>
  <c r="I12" i="103" s="1"/>
  <c r="H5" i="104"/>
  <c r="I5" i="104" s="1"/>
  <c r="H8" i="104"/>
  <c r="I8" i="104" s="1"/>
  <c r="L4" i="96"/>
  <c r="I70" i="97"/>
  <c r="J70" i="97" s="1"/>
  <c r="K70" i="97" s="1"/>
  <c r="I69" i="97"/>
  <c r="J69" i="97" s="1"/>
  <c r="K69" i="97" s="1"/>
  <c r="I68" i="97"/>
  <c r="J68" i="97" s="1"/>
  <c r="K68" i="97" s="1"/>
  <c r="I70" i="98"/>
  <c r="J70" i="98" s="1"/>
  <c r="K70" i="98" s="1"/>
  <c r="I68" i="98"/>
  <c r="J68" i="98" s="1"/>
  <c r="K68" i="98" s="1"/>
  <c r="I67" i="98"/>
  <c r="J67" i="98" s="1"/>
  <c r="K67" i="98" s="1"/>
  <c r="I69" i="98"/>
  <c r="J69" i="98" s="1"/>
  <c r="K69" i="98" s="1"/>
  <c r="J50" i="94"/>
  <c r="I34" i="94"/>
  <c r="I66" i="98"/>
  <c r="H72" i="98"/>
  <c r="I50" i="98"/>
  <c r="G72" i="98"/>
  <c r="H34" i="98"/>
  <c r="K51" i="97"/>
  <c r="J31" i="97"/>
  <c r="J30" i="97"/>
  <c r="I31" i="97"/>
  <c r="I30" i="97"/>
  <c r="H31" i="97"/>
  <c r="H30" i="97"/>
  <c r="G31" i="97"/>
  <c r="G30" i="97"/>
  <c r="F31" i="97"/>
  <c r="F30" i="97"/>
  <c r="K32" i="97"/>
  <c r="J32" i="97"/>
  <c r="I32" i="97"/>
  <c r="H32" i="97"/>
  <c r="G32" i="97"/>
  <c r="F32" i="97"/>
  <c r="D32" i="97"/>
  <c r="E32" i="97" s="1"/>
  <c r="K31" i="97"/>
  <c r="D31" i="97"/>
  <c r="K30" i="97"/>
  <c r="D30" i="97"/>
  <c r="K28" i="97"/>
  <c r="J28" i="97"/>
  <c r="I28" i="97"/>
  <c r="H28" i="97"/>
  <c r="G28" i="97"/>
  <c r="F28" i="97"/>
  <c r="D28" i="97"/>
  <c r="E28" i="97" s="1"/>
  <c r="G27" i="97"/>
  <c r="J27" i="97"/>
  <c r="I27" i="97"/>
  <c r="H27" i="97"/>
  <c r="F27" i="97"/>
  <c r="D27" i="97"/>
  <c r="E27" i="97" s="1"/>
  <c r="G26" i="97"/>
  <c r="J26" i="97"/>
  <c r="I26" i="97"/>
  <c r="H26" i="97"/>
  <c r="F26" i="97"/>
  <c r="D26" i="97"/>
  <c r="E26" i="97" s="1"/>
  <c r="G25" i="97"/>
  <c r="J25" i="97"/>
  <c r="I25" i="97"/>
  <c r="H25" i="97"/>
  <c r="F25" i="97"/>
  <c r="D25" i="97"/>
  <c r="E25" i="97" s="1"/>
  <c r="G23" i="97"/>
  <c r="J23" i="97"/>
  <c r="I23" i="97"/>
  <c r="H23" i="97"/>
  <c r="F23" i="97"/>
  <c r="D23" i="97"/>
  <c r="E23" i="97" s="1"/>
  <c r="G21" i="97"/>
  <c r="J21" i="97"/>
  <c r="I21" i="97"/>
  <c r="H21" i="97"/>
  <c r="F21" i="97"/>
  <c r="D21" i="97"/>
  <c r="E21" i="97" s="1"/>
  <c r="K18" i="97"/>
  <c r="G16" i="97"/>
  <c r="J16" i="97"/>
  <c r="I16" i="97"/>
  <c r="H16" i="97"/>
  <c r="F16" i="97"/>
  <c r="D16" i="97"/>
  <c r="E16" i="97" s="1"/>
  <c r="G14" i="97"/>
  <c r="J14" i="97"/>
  <c r="I14" i="97"/>
  <c r="H14" i="97"/>
  <c r="F14" i="97"/>
  <c r="D14" i="97"/>
  <c r="E14" i="97" s="1"/>
  <c r="K11" i="97"/>
  <c r="G9" i="97"/>
  <c r="J9" i="97"/>
  <c r="I9" i="97"/>
  <c r="H9" i="97"/>
  <c r="F9" i="97"/>
  <c r="D9" i="97"/>
  <c r="E9" i="97" s="1"/>
  <c r="G8" i="97"/>
  <c r="J8" i="97"/>
  <c r="I8" i="97"/>
  <c r="H8" i="97"/>
  <c r="F8" i="97"/>
  <c r="D8" i="97"/>
  <c r="E8" i="97" s="1"/>
  <c r="G7" i="97"/>
  <c r="J7" i="97"/>
  <c r="I7" i="97"/>
  <c r="H7" i="97"/>
  <c r="F7" i="97"/>
  <c r="D7" i="97"/>
  <c r="E7" i="97" s="1"/>
  <c r="G6" i="97"/>
  <c r="J6" i="97"/>
  <c r="I6" i="97"/>
  <c r="H6" i="97"/>
  <c r="F6" i="97"/>
  <c r="D6" i="97"/>
  <c r="E6" i="97" s="1"/>
  <c r="G5" i="97"/>
  <c r="J5" i="97"/>
  <c r="I5" i="97"/>
  <c r="H5" i="97"/>
  <c r="F5" i="97"/>
  <c r="D5" i="97"/>
  <c r="E5" i="97" s="1"/>
  <c r="K4" i="97"/>
  <c r="G4" i="97" s="1"/>
  <c r="J4" i="97"/>
  <c r="I4" i="97"/>
  <c r="H4" i="97"/>
  <c r="F4" i="97"/>
  <c r="D4" i="97"/>
  <c r="E4" i="97" s="1"/>
  <c r="K25" i="98"/>
  <c r="K26" i="98"/>
  <c r="K27" i="98"/>
  <c r="K28" i="98"/>
  <c r="K21" i="98"/>
  <c r="J21" i="98" s="1"/>
  <c r="K19" i="98"/>
  <c r="K20" i="98"/>
  <c r="K23" i="98"/>
  <c r="J23" i="98" s="1"/>
  <c r="K22" i="98"/>
  <c r="K18" i="98"/>
  <c r="D23" i="98"/>
  <c r="D21" i="98"/>
  <c r="K13" i="98"/>
  <c r="K12" i="98"/>
  <c r="K14" i="98"/>
  <c r="K16" i="98"/>
  <c r="J16" i="98" s="1"/>
  <c r="K15" i="98"/>
  <c r="K11" i="98"/>
  <c r="D16" i="98"/>
  <c r="D14" i="98"/>
  <c r="K6" i="98"/>
  <c r="K5" i="98"/>
  <c r="K9" i="98"/>
  <c r="K8" i="98"/>
  <c r="K7" i="98"/>
  <c r="K4" i="98"/>
  <c r="K32" i="98"/>
  <c r="K31" i="98" s="1"/>
  <c r="D32" i="98"/>
  <c r="J32" i="98" s="1"/>
  <c r="D31" i="98"/>
  <c r="D30" i="98"/>
  <c r="D28" i="98"/>
  <c r="J28" i="98" s="1"/>
  <c r="J14" i="98"/>
  <c r="D9" i="98"/>
  <c r="D7" i="98"/>
  <c r="J31" i="94"/>
  <c r="J30" i="94"/>
  <c r="I31" i="94"/>
  <c r="I30" i="94"/>
  <c r="H31" i="94"/>
  <c r="H30" i="94"/>
  <c r="G31" i="94"/>
  <c r="G30" i="94"/>
  <c r="F31" i="94"/>
  <c r="F30" i="94"/>
  <c r="E32" i="51"/>
  <c r="K31" i="94"/>
  <c r="K30" i="94"/>
  <c r="K9" i="94"/>
  <c r="K8" i="94"/>
  <c r="K7" i="94"/>
  <c r="K6" i="94"/>
  <c r="K5" i="94"/>
  <c r="K4" i="94"/>
  <c r="K16" i="94"/>
  <c r="K15" i="94"/>
  <c r="K14" i="94"/>
  <c r="K13" i="94"/>
  <c r="K12" i="94"/>
  <c r="K11" i="94"/>
  <c r="D16" i="94"/>
  <c r="D14" i="94"/>
  <c r="K23" i="94"/>
  <c r="K22" i="94"/>
  <c r="K21" i="94"/>
  <c r="E21" i="94" s="1"/>
  <c r="K20" i="94"/>
  <c r="K19" i="94"/>
  <c r="K18" i="94"/>
  <c r="D23" i="94"/>
  <c r="D21" i="94"/>
  <c r="K25" i="94"/>
  <c r="K26" i="94"/>
  <c r="K27" i="94"/>
  <c r="K28" i="94"/>
  <c r="D22" i="94"/>
  <c r="D20" i="94"/>
  <c r="D19" i="94"/>
  <c r="D18" i="94"/>
  <c r="J17" i="104" l="1"/>
  <c r="K17" i="104" s="1"/>
  <c r="L17" i="104" s="1"/>
  <c r="J16" i="104"/>
  <c r="K16" i="104" s="1"/>
  <c r="L16" i="104" s="1"/>
  <c r="J20" i="104"/>
  <c r="K20" i="104" s="1"/>
  <c r="L20" i="104" s="1"/>
  <c r="J5" i="103"/>
  <c r="K5" i="103" s="1"/>
  <c r="L5" i="103" s="1"/>
  <c r="J3" i="104"/>
  <c r="J8" i="104"/>
  <c r="K8" i="104" s="1"/>
  <c r="L8" i="104" s="1"/>
  <c r="J13" i="104"/>
  <c r="K13" i="104" s="1"/>
  <c r="L13" i="104" s="1"/>
  <c r="J10" i="104"/>
  <c r="K10" i="104" s="1"/>
  <c r="L10" i="104" s="1"/>
  <c r="J14" i="104"/>
  <c r="K14" i="104" s="1"/>
  <c r="L14" i="104" s="1"/>
  <c r="J18" i="104"/>
  <c r="K18" i="104" s="1"/>
  <c r="L18" i="104" s="1"/>
  <c r="J15" i="104"/>
  <c r="K15" i="104" s="1"/>
  <c r="L15" i="104" s="1"/>
  <c r="J11" i="104"/>
  <c r="K11" i="104" s="1"/>
  <c r="L11" i="104" s="1"/>
  <c r="J12" i="104"/>
  <c r="K12" i="104" s="1"/>
  <c r="L12" i="104" s="1"/>
  <c r="J19" i="104"/>
  <c r="K19" i="104" s="1"/>
  <c r="L19" i="104" s="1"/>
  <c r="J9" i="104"/>
  <c r="K9" i="104" s="1"/>
  <c r="L9" i="104" s="1"/>
  <c r="J2" i="104"/>
  <c r="K2" i="104" s="1"/>
  <c r="L2" i="104" s="1"/>
  <c r="J6" i="104"/>
  <c r="K6" i="104" s="1"/>
  <c r="L6" i="104" s="1"/>
  <c r="J4" i="104"/>
  <c r="J9" i="103"/>
  <c r="K9" i="103" s="1"/>
  <c r="L9" i="103" s="1"/>
  <c r="J10" i="103"/>
  <c r="K10" i="103" s="1"/>
  <c r="L10" i="103" s="1"/>
  <c r="J7" i="103"/>
  <c r="K7" i="103" s="1"/>
  <c r="L7" i="103" s="1"/>
  <c r="J14" i="103"/>
  <c r="K14" i="103" s="1"/>
  <c r="L14" i="103" s="1"/>
  <c r="J18" i="103"/>
  <c r="K18" i="103" s="1"/>
  <c r="L18" i="103" s="1"/>
  <c r="J13" i="103"/>
  <c r="K13" i="103" s="1"/>
  <c r="L13" i="103" s="1"/>
  <c r="J8" i="103"/>
  <c r="K8" i="103" s="1"/>
  <c r="L8" i="103" s="1"/>
  <c r="J6" i="103"/>
  <c r="K6" i="103" s="1"/>
  <c r="L6" i="103" s="1"/>
  <c r="J15" i="103"/>
  <c r="K15" i="103" s="1"/>
  <c r="L15" i="103" s="1"/>
  <c r="J16" i="103"/>
  <c r="K16" i="103" s="1"/>
  <c r="L16" i="103" s="1"/>
  <c r="J2" i="103"/>
  <c r="K2" i="103" s="1"/>
  <c r="L2" i="103" s="1"/>
  <c r="J20" i="103"/>
  <c r="K20" i="103" s="1"/>
  <c r="L20" i="103" s="1"/>
  <c r="J17" i="103"/>
  <c r="K17" i="103" s="1"/>
  <c r="L17" i="103" s="1"/>
  <c r="J11" i="103"/>
  <c r="K11" i="103" s="1"/>
  <c r="L11" i="103" s="1"/>
  <c r="J19" i="103"/>
  <c r="K19" i="103" s="1"/>
  <c r="L19" i="103" s="1"/>
  <c r="J12" i="103"/>
  <c r="K12" i="103" s="1"/>
  <c r="L12" i="103" s="1"/>
  <c r="J5" i="104"/>
  <c r="K5" i="104" s="1"/>
  <c r="L5" i="104" s="1"/>
  <c r="J7" i="104"/>
  <c r="K7" i="104" s="1"/>
  <c r="L7" i="104" s="1"/>
  <c r="J34" i="94"/>
  <c r="K50" i="94"/>
  <c r="J66" i="98"/>
  <c r="I72" i="98"/>
  <c r="J50" i="98"/>
  <c r="I34" i="98"/>
  <c r="E31" i="97"/>
  <c r="E30" i="97"/>
  <c r="D11" i="97"/>
  <c r="D12" i="97"/>
  <c r="D13" i="97"/>
  <c r="D15" i="97"/>
  <c r="D18" i="97"/>
  <c r="D19" i="97"/>
  <c r="D20" i="97"/>
  <c r="D22" i="97"/>
  <c r="J7" i="98"/>
  <c r="J9" i="98"/>
  <c r="J31" i="98"/>
  <c r="J30" i="98"/>
  <c r="D22" i="98"/>
  <c r="K30" i="98"/>
  <c r="E7" i="98"/>
  <c r="E9" i="98"/>
  <c r="E14" i="98"/>
  <c r="E16" i="98"/>
  <c r="E21" i="98"/>
  <c r="E23" i="98"/>
  <c r="E28" i="98"/>
  <c r="E32" i="98"/>
  <c r="D5" i="98"/>
  <c r="D8" i="98"/>
  <c r="F7" i="98"/>
  <c r="F9" i="98"/>
  <c r="F14" i="98"/>
  <c r="F16" i="98"/>
  <c r="F21" i="98"/>
  <c r="F23" i="98"/>
  <c r="F28" i="98"/>
  <c r="F32" i="98"/>
  <c r="D13" i="98"/>
  <c r="D15" i="98"/>
  <c r="D19" i="98"/>
  <c r="D25" i="98"/>
  <c r="G9" i="98"/>
  <c r="G14" i="98"/>
  <c r="G16" i="98"/>
  <c r="G21" i="98"/>
  <c r="G23" i="98"/>
  <c r="G28" i="98"/>
  <c r="G32" i="98"/>
  <c r="D12" i="98"/>
  <c r="D18" i="98"/>
  <c r="D26" i="98"/>
  <c r="G7" i="98"/>
  <c r="H7" i="98"/>
  <c r="H9" i="98"/>
  <c r="H14" i="98"/>
  <c r="H16" i="98"/>
  <c r="H21" i="98"/>
  <c r="H23" i="98"/>
  <c r="H28" i="98"/>
  <c r="H32" i="98"/>
  <c r="D20" i="98"/>
  <c r="D27" i="98"/>
  <c r="I7" i="98"/>
  <c r="I9" i="98"/>
  <c r="I14" i="98"/>
  <c r="I16" i="98"/>
  <c r="I21" i="98"/>
  <c r="I23" i="98"/>
  <c r="I28" i="98"/>
  <c r="I32" i="98"/>
  <c r="D4" i="98"/>
  <c r="D6" i="98"/>
  <c r="D11" i="98"/>
  <c r="E18" i="94"/>
  <c r="J19" i="94"/>
  <c r="J20" i="94"/>
  <c r="J21" i="94"/>
  <c r="J22" i="94"/>
  <c r="H23" i="94"/>
  <c r="E19" i="94"/>
  <c r="E23" i="94"/>
  <c r="F20" i="94"/>
  <c r="F22" i="94"/>
  <c r="G18" i="94"/>
  <c r="G21" i="94"/>
  <c r="G23" i="94"/>
  <c r="H19" i="94"/>
  <c r="H21" i="94"/>
  <c r="I19" i="94"/>
  <c r="I21" i="94"/>
  <c r="I22" i="94"/>
  <c r="I23" i="94"/>
  <c r="E20" i="94"/>
  <c r="E22" i="94"/>
  <c r="F18" i="94"/>
  <c r="F19" i="94"/>
  <c r="F21" i="94"/>
  <c r="F23" i="94"/>
  <c r="G19" i="94"/>
  <c r="G20" i="94"/>
  <c r="G22" i="94"/>
  <c r="H18" i="94"/>
  <c r="H20" i="94"/>
  <c r="H22" i="94"/>
  <c r="I18" i="94"/>
  <c r="I20" i="94"/>
  <c r="J18" i="94"/>
  <c r="J23" i="94"/>
  <c r="D15" i="94"/>
  <c r="D13" i="94"/>
  <c r="D12" i="94"/>
  <c r="D11" i="94"/>
  <c r="K3" i="104" l="1"/>
  <c r="K4" i="104"/>
  <c r="K34" i="94"/>
  <c r="K66" i="98"/>
  <c r="K72" i="98" s="1"/>
  <c r="J72" i="98"/>
  <c r="J34" i="98"/>
  <c r="K50" i="98"/>
  <c r="J19" i="97"/>
  <c r="I19" i="97"/>
  <c r="H19" i="97"/>
  <c r="G19" i="97"/>
  <c r="F19" i="97"/>
  <c r="F19" i="99" s="1"/>
  <c r="E19" i="97"/>
  <c r="J12" i="97"/>
  <c r="H12" i="97"/>
  <c r="H14" i="99" s="1"/>
  <c r="G12" i="97"/>
  <c r="F12" i="97"/>
  <c r="E12" i="97"/>
  <c r="I12" i="97"/>
  <c r="I12" i="99" s="1"/>
  <c r="J20" i="97"/>
  <c r="I20" i="97"/>
  <c r="I20" i="99" s="1"/>
  <c r="H20" i="97"/>
  <c r="H21" i="99" s="1"/>
  <c r="G20" i="97"/>
  <c r="G20" i="99" s="1"/>
  <c r="F20" i="97"/>
  <c r="E20" i="97"/>
  <c r="E20" i="99" s="1"/>
  <c r="H18" i="97"/>
  <c r="G18" i="97"/>
  <c r="F18" i="97"/>
  <c r="E18" i="97"/>
  <c r="J18" i="97"/>
  <c r="J21" i="99" s="1"/>
  <c r="I18" i="97"/>
  <c r="J13" i="97"/>
  <c r="H13" i="97"/>
  <c r="H13" i="99" s="1"/>
  <c r="G13" i="97"/>
  <c r="F13" i="97"/>
  <c r="I13" i="97"/>
  <c r="I13" i="99" s="1"/>
  <c r="E13" i="97"/>
  <c r="J11" i="97"/>
  <c r="J11" i="99" s="1"/>
  <c r="G11" i="97"/>
  <c r="F11" i="97"/>
  <c r="I11" i="97"/>
  <c r="H11" i="97"/>
  <c r="E11" i="97"/>
  <c r="I15" i="97"/>
  <c r="I16" i="99" s="1"/>
  <c r="Q15" i="99" s="1"/>
  <c r="H15" i="97"/>
  <c r="H16" i="99" s="1"/>
  <c r="G15" i="97"/>
  <c r="G16" i="99" s="1"/>
  <c r="F15" i="97"/>
  <c r="F16" i="99" s="1"/>
  <c r="E15" i="97"/>
  <c r="J15" i="97"/>
  <c r="J16" i="99" s="1"/>
  <c r="J22" i="97"/>
  <c r="I22" i="97"/>
  <c r="H22" i="97"/>
  <c r="H22" i="99" s="1"/>
  <c r="G22" i="97"/>
  <c r="G23" i="99" s="1"/>
  <c r="F22" i="97"/>
  <c r="F23" i="99" s="1"/>
  <c r="E22" i="97"/>
  <c r="J15" i="98"/>
  <c r="J16" i="100" s="1"/>
  <c r="I15" i="98"/>
  <c r="G15" i="98"/>
  <c r="H15" i="98"/>
  <c r="H16" i="100" s="1"/>
  <c r="F15" i="98"/>
  <c r="F16" i="100" s="1"/>
  <c r="E15" i="98"/>
  <c r="E16" i="100" s="1"/>
  <c r="J4" i="98"/>
  <c r="J4" i="100" s="1"/>
  <c r="I4" i="98"/>
  <c r="I4" i="100" s="1"/>
  <c r="G4" i="98"/>
  <c r="G4" i="100" s="1"/>
  <c r="H4" i="98"/>
  <c r="F4" i="98"/>
  <c r="E4" i="98"/>
  <c r="J27" i="98"/>
  <c r="J27" i="100" s="1"/>
  <c r="I27" i="98"/>
  <c r="I28" i="100" s="1"/>
  <c r="H27" i="98"/>
  <c r="H28" i="100" s="1"/>
  <c r="G27" i="98"/>
  <c r="G27" i="100" s="1"/>
  <c r="F27" i="98"/>
  <c r="E27" i="98"/>
  <c r="F31" i="98"/>
  <c r="F30" i="98"/>
  <c r="J8" i="98"/>
  <c r="J9" i="100" s="1"/>
  <c r="R8" i="100" s="1"/>
  <c r="I8" i="98"/>
  <c r="G8" i="98"/>
  <c r="G9" i="100" s="1"/>
  <c r="H8" i="98"/>
  <c r="H9" i="100" s="1"/>
  <c r="F8" i="98"/>
  <c r="F9" i="100" s="1"/>
  <c r="E8" i="98"/>
  <c r="I31" i="98"/>
  <c r="I30" i="98"/>
  <c r="H31" i="98"/>
  <c r="H30" i="98"/>
  <c r="J5" i="98"/>
  <c r="J5" i="100" s="1"/>
  <c r="I5" i="98"/>
  <c r="I5" i="100" s="1"/>
  <c r="H5" i="98"/>
  <c r="H7" i="100" s="1"/>
  <c r="G5" i="98"/>
  <c r="F5" i="98"/>
  <c r="E5" i="98"/>
  <c r="J13" i="98"/>
  <c r="J13" i="100" s="1"/>
  <c r="I13" i="98"/>
  <c r="I13" i="100" s="1"/>
  <c r="H13" i="98"/>
  <c r="H13" i="100" s="1"/>
  <c r="G13" i="98"/>
  <c r="G13" i="100" s="1"/>
  <c r="F13" i="98"/>
  <c r="F13" i="100" s="1"/>
  <c r="E13" i="98"/>
  <c r="E13" i="100" s="1"/>
  <c r="J20" i="98"/>
  <c r="I20" i="98"/>
  <c r="I20" i="100" s="1"/>
  <c r="H20" i="98"/>
  <c r="G20" i="98"/>
  <c r="F20" i="98"/>
  <c r="F21" i="100" s="1"/>
  <c r="E20" i="98"/>
  <c r="J26" i="98"/>
  <c r="J26" i="100" s="1"/>
  <c r="I26" i="98"/>
  <c r="I26" i="100" s="1"/>
  <c r="H26" i="98"/>
  <c r="G26" i="98"/>
  <c r="G26" i="100" s="1"/>
  <c r="F26" i="98"/>
  <c r="E26" i="98"/>
  <c r="E31" i="98"/>
  <c r="E30" i="98"/>
  <c r="E32" i="100" s="1"/>
  <c r="J18" i="98"/>
  <c r="I18" i="98"/>
  <c r="H18" i="98"/>
  <c r="G18" i="98"/>
  <c r="F18" i="98"/>
  <c r="E18" i="98"/>
  <c r="J22" i="98"/>
  <c r="J23" i="100" s="1"/>
  <c r="I22" i="98"/>
  <c r="I23" i="100" s="1"/>
  <c r="H22" i="98"/>
  <c r="G22" i="98"/>
  <c r="F22" i="98"/>
  <c r="E22" i="98"/>
  <c r="E23" i="100" s="1"/>
  <c r="J11" i="98"/>
  <c r="J11" i="100" s="1"/>
  <c r="I11" i="98"/>
  <c r="I14" i="100" s="1"/>
  <c r="H11" i="98"/>
  <c r="H11" i="100" s="1"/>
  <c r="G11" i="98"/>
  <c r="F11" i="98"/>
  <c r="F11" i="100" s="1"/>
  <c r="E11" i="98"/>
  <c r="J12" i="98"/>
  <c r="I12" i="98"/>
  <c r="G12" i="98"/>
  <c r="G12" i="100" s="1"/>
  <c r="H12" i="98"/>
  <c r="H12" i="100" s="1"/>
  <c r="F12" i="98"/>
  <c r="F14" i="100" s="1"/>
  <c r="E12" i="98"/>
  <c r="J25" i="98"/>
  <c r="I25" i="98"/>
  <c r="H25" i="98"/>
  <c r="G25" i="98"/>
  <c r="G25" i="100" s="1"/>
  <c r="F25" i="98"/>
  <c r="F25" i="100" s="1"/>
  <c r="E25" i="98"/>
  <c r="E25" i="100" s="1"/>
  <c r="J6" i="98"/>
  <c r="J6" i="100" s="1"/>
  <c r="I6" i="98"/>
  <c r="G6" i="98"/>
  <c r="G6" i="100" s="1"/>
  <c r="H6" i="98"/>
  <c r="F6" i="98"/>
  <c r="E6" i="98"/>
  <c r="G31" i="98"/>
  <c r="G32" i="100" s="1"/>
  <c r="G30" i="98"/>
  <c r="J19" i="98"/>
  <c r="J21" i="100" s="1"/>
  <c r="I19" i="98"/>
  <c r="I21" i="100" s="1"/>
  <c r="H19" i="98"/>
  <c r="H19" i="100" s="1"/>
  <c r="G19" i="98"/>
  <c r="G19" i="100" s="1"/>
  <c r="F19" i="98"/>
  <c r="E19" i="98"/>
  <c r="E19" i="100" s="1"/>
  <c r="E21" i="93"/>
  <c r="J21" i="93"/>
  <c r="E19" i="93"/>
  <c r="G19" i="93"/>
  <c r="I21" i="93"/>
  <c r="F23" i="93"/>
  <c r="G23" i="93"/>
  <c r="I23" i="93"/>
  <c r="H21" i="93"/>
  <c r="I20" i="93"/>
  <c r="G8" i="94"/>
  <c r="F4" i="94"/>
  <c r="J6" i="94"/>
  <c r="I5" i="94"/>
  <c r="I4" i="94"/>
  <c r="I4" i="93" s="1"/>
  <c r="H4" i="94"/>
  <c r="G4" i="94"/>
  <c r="J8" i="94"/>
  <c r="I8" i="94"/>
  <c r="H8" i="94"/>
  <c r="F8" i="94"/>
  <c r="E8" i="94"/>
  <c r="J9" i="94"/>
  <c r="I9" i="94"/>
  <c r="H9" i="94"/>
  <c r="G9" i="94"/>
  <c r="F9" i="94"/>
  <c r="E9" i="94"/>
  <c r="D9" i="94"/>
  <c r="J7" i="94"/>
  <c r="I7" i="94"/>
  <c r="H7" i="94"/>
  <c r="G7" i="94"/>
  <c r="F7" i="94"/>
  <c r="E7" i="94"/>
  <c r="D7" i="94"/>
  <c r="C72" i="93"/>
  <c r="C71" i="93"/>
  <c r="C70" i="93"/>
  <c r="C69" i="93"/>
  <c r="C68" i="93"/>
  <c r="C67" i="93"/>
  <c r="C66" i="93"/>
  <c r="C63" i="93"/>
  <c r="C62" i="93"/>
  <c r="C61" i="93"/>
  <c r="C60" i="93"/>
  <c r="C59" i="93"/>
  <c r="C58" i="93"/>
  <c r="C57" i="93"/>
  <c r="C56" i="93"/>
  <c r="C55" i="93"/>
  <c r="C54" i="93"/>
  <c r="C53" i="93"/>
  <c r="C52" i="93"/>
  <c r="C51" i="93"/>
  <c r="C50" i="93"/>
  <c r="C47" i="93"/>
  <c r="C46" i="93"/>
  <c r="C45" i="93"/>
  <c r="C44" i="93"/>
  <c r="C43" i="93"/>
  <c r="C42" i="93"/>
  <c r="C41" i="93"/>
  <c r="C40" i="93"/>
  <c r="C39" i="93"/>
  <c r="C38" i="93"/>
  <c r="C37" i="93"/>
  <c r="C36" i="93"/>
  <c r="C35" i="93"/>
  <c r="C34" i="93"/>
  <c r="K32" i="93"/>
  <c r="E32" i="93"/>
  <c r="D32" i="93"/>
  <c r="C32" i="93"/>
  <c r="K31" i="93"/>
  <c r="J31" i="93"/>
  <c r="G31" i="93"/>
  <c r="E31" i="93"/>
  <c r="D31" i="93"/>
  <c r="C31" i="93"/>
  <c r="K30" i="93"/>
  <c r="F30" i="93"/>
  <c r="E30" i="93"/>
  <c r="D30" i="93"/>
  <c r="C30" i="93"/>
  <c r="K28" i="93"/>
  <c r="D28" i="93"/>
  <c r="C28" i="93"/>
  <c r="K27" i="93"/>
  <c r="D27" i="93"/>
  <c r="C27" i="93"/>
  <c r="K26" i="93"/>
  <c r="D26" i="93"/>
  <c r="C26" i="93"/>
  <c r="K25" i="93"/>
  <c r="D25" i="93"/>
  <c r="C25" i="93"/>
  <c r="K23" i="93"/>
  <c r="J23" i="93"/>
  <c r="H23" i="93"/>
  <c r="E23" i="93"/>
  <c r="D23" i="93"/>
  <c r="C23" i="93"/>
  <c r="K22" i="93"/>
  <c r="J22" i="93"/>
  <c r="I22" i="93"/>
  <c r="H22" i="93"/>
  <c r="P22" i="93" s="1"/>
  <c r="E22" i="93"/>
  <c r="D22" i="93"/>
  <c r="C22" i="93"/>
  <c r="K21" i="93"/>
  <c r="G21" i="93"/>
  <c r="F21" i="93"/>
  <c r="D21" i="93"/>
  <c r="C21" i="93"/>
  <c r="K20" i="93"/>
  <c r="J20" i="93"/>
  <c r="G20" i="93"/>
  <c r="F20" i="93"/>
  <c r="E20" i="93"/>
  <c r="D20" i="93"/>
  <c r="C20" i="93"/>
  <c r="K19" i="93"/>
  <c r="J19" i="93"/>
  <c r="I19" i="93"/>
  <c r="H19" i="93"/>
  <c r="F19" i="93"/>
  <c r="D19" i="93"/>
  <c r="C19" i="93"/>
  <c r="K18" i="93"/>
  <c r="J18" i="93"/>
  <c r="I18" i="93"/>
  <c r="H18" i="93"/>
  <c r="G18" i="93"/>
  <c r="F18" i="93"/>
  <c r="E18" i="93"/>
  <c r="D18" i="93"/>
  <c r="C18" i="93"/>
  <c r="C16" i="93"/>
  <c r="C15" i="93"/>
  <c r="C14" i="93"/>
  <c r="C13" i="93"/>
  <c r="C12" i="93"/>
  <c r="C11" i="93"/>
  <c r="D9" i="93"/>
  <c r="C9" i="93"/>
  <c r="C8" i="93"/>
  <c r="C7" i="93"/>
  <c r="C6" i="93"/>
  <c r="C5" i="93"/>
  <c r="C4" i="93"/>
  <c r="C72" i="100"/>
  <c r="C71" i="100"/>
  <c r="C70" i="100"/>
  <c r="C69" i="100"/>
  <c r="C68" i="100"/>
  <c r="C67" i="100"/>
  <c r="C66" i="100"/>
  <c r="C63" i="100"/>
  <c r="C62" i="100"/>
  <c r="C61" i="100"/>
  <c r="C60" i="100"/>
  <c r="C59" i="100"/>
  <c r="C58" i="100"/>
  <c r="C57" i="100"/>
  <c r="C56" i="100"/>
  <c r="C55" i="100"/>
  <c r="C54" i="100"/>
  <c r="C53" i="100"/>
  <c r="C52" i="100"/>
  <c r="C51" i="100"/>
  <c r="C50" i="100"/>
  <c r="C47" i="100"/>
  <c r="C46" i="100"/>
  <c r="C45" i="100"/>
  <c r="C44" i="100"/>
  <c r="C43" i="100"/>
  <c r="C42" i="100"/>
  <c r="C41" i="100"/>
  <c r="C40" i="100"/>
  <c r="C39" i="100"/>
  <c r="C38" i="100"/>
  <c r="C37" i="100"/>
  <c r="C36" i="100"/>
  <c r="C35" i="100"/>
  <c r="C34" i="100"/>
  <c r="K32" i="100"/>
  <c r="J32" i="100"/>
  <c r="I32" i="100"/>
  <c r="H32" i="100"/>
  <c r="F32" i="100"/>
  <c r="D32" i="100"/>
  <c r="C32" i="100"/>
  <c r="K31" i="100"/>
  <c r="J31" i="100"/>
  <c r="I31" i="100"/>
  <c r="H31" i="100"/>
  <c r="G31" i="100"/>
  <c r="F31" i="100"/>
  <c r="E31" i="100"/>
  <c r="D31" i="100"/>
  <c r="C31" i="100"/>
  <c r="K30" i="100"/>
  <c r="J30" i="100"/>
  <c r="I30" i="100"/>
  <c r="H30" i="100"/>
  <c r="G30" i="100"/>
  <c r="F30" i="100"/>
  <c r="E30" i="100"/>
  <c r="D30" i="100"/>
  <c r="C30" i="100"/>
  <c r="K28" i="100"/>
  <c r="D28" i="100"/>
  <c r="C28" i="100"/>
  <c r="K27" i="100"/>
  <c r="I27" i="100"/>
  <c r="E27" i="100"/>
  <c r="D27" i="100"/>
  <c r="C27" i="100"/>
  <c r="K26" i="100"/>
  <c r="H26" i="100"/>
  <c r="F26" i="100"/>
  <c r="E26" i="100"/>
  <c r="D26" i="100"/>
  <c r="C26" i="100"/>
  <c r="K25" i="100"/>
  <c r="I25" i="100"/>
  <c r="H25" i="100"/>
  <c r="D25" i="100"/>
  <c r="C25" i="100"/>
  <c r="K23" i="100"/>
  <c r="H23" i="100"/>
  <c r="G23" i="100"/>
  <c r="F23" i="100"/>
  <c r="D23" i="100"/>
  <c r="C23" i="100"/>
  <c r="K22" i="100"/>
  <c r="H22" i="100"/>
  <c r="G22" i="100"/>
  <c r="F22" i="100"/>
  <c r="N22" i="100" s="1"/>
  <c r="N23" i="100" s="1"/>
  <c r="D22" i="100"/>
  <c r="C22" i="100"/>
  <c r="K21" i="100"/>
  <c r="H21" i="100"/>
  <c r="D21" i="100"/>
  <c r="C21" i="100"/>
  <c r="K20" i="100"/>
  <c r="J20" i="100"/>
  <c r="H20" i="100"/>
  <c r="D20" i="100"/>
  <c r="C20" i="100"/>
  <c r="K19" i="100"/>
  <c r="F19" i="100"/>
  <c r="D19" i="100"/>
  <c r="C19" i="100"/>
  <c r="K18" i="100"/>
  <c r="J18" i="100"/>
  <c r="I18" i="100"/>
  <c r="H18" i="100"/>
  <c r="G18" i="100"/>
  <c r="F18" i="100"/>
  <c r="E18" i="100"/>
  <c r="D18" i="100"/>
  <c r="C18" i="100"/>
  <c r="K16" i="100"/>
  <c r="I16" i="100"/>
  <c r="G16" i="100"/>
  <c r="D16" i="100"/>
  <c r="C16" i="100"/>
  <c r="K15" i="100"/>
  <c r="I15" i="100"/>
  <c r="H15" i="100"/>
  <c r="G15" i="100"/>
  <c r="D15" i="100"/>
  <c r="C15" i="100"/>
  <c r="K14" i="100"/>
  <c r="D14" i="100"/>
  <c r="C14" i="100"/>
  <c r="K13" i="100"/>
  <c r="D13" i="100"/>
  <c r="C13" i="100"/>
  <c r="K12" i="100"/>
  <c r="J12" i="100"/>
  <c r="I12" i="100"/>
  <c r="D12" i="100"/>
  <c r="C12" i="100"/>
  <c r="K11" i="100"/>
  <c r="E11" i="100"/>
  <c r="D11" i="100"/>
  <c r="C11" i="100"/>
  <c r="K9" i="100"/>
  <c r="I9" i="100"/>
  <c r="Q8" i="100" s="1"/>
  <c r="Q9" i="100" s="1"/>
  <c r="E9" i="100"/>
  <c r="D9" i="100"/>
  <c r="C9" i="100"/>
  <c r="K8" i="100"/>
  <c r="J8" i="100"/>
  <c r="I8" i="100"/>
  <c r="E8" i="100"/>
  <c r="D8" i="100"/>
  <c r="C8" i="100"/>
  <c r="K7" i="100"/>
  <c r="G7" i="100"/>
  <c r="F7" i="100"/>
  <c r="E7" i="100"/>
  <c r="D7" i="100"/>
  <c r="C7" i="100"/>
  <c r="K6" i="100"/>
  <c r="I6" i="100"/>
  <c r="H6" i="100"/>
  <c r="F6" i="100"/>
  <c r="E6" i="100"/>
  <c r="D6" i="100"/>
  <c r="C6" i="100"/>
  <c r="K5" i="100"/>
  <c r="H5" i="100"/>
  <c r="G5" i="100"/>
  <c r="F5" i="100"/>
  <c r="E5" i="100"/>
  <c r="D5" i="100"/>
  <c r="C5" i="100"/>
  <c r="K4" i="100"/>
  <c r="H4" i="100"/>
  <c r="F4" i="100"/>
  <c r="E4" i="100"/>
  <c r="D4" i="100"/>
  <c r="C4" i="100"/>
  <c r="C72" i="99"/>
  <c r="C71" i="99"/>
  <c r="C70" i="99"/>
  <c r="C69" i="99"/>
  <c r="C68" i="99"/>
  <c r="C67" i="99"/>
  <c r="C66" i="99"/>
  <c r="C63" i="99"/>
  <c r="C62" i="99"/>
  <c r="C61" i="99"/>
  <c r="C60" i="99"/>
  <c r="C59" i="99"/>
  <c r="C58" i="99"/>
  <c r="C57" i="99"/>
  <c r="C56" i="99"/>
  <c r="C55" i="99"/>
  <c r="C54" i="99"/>
  <c r="C53" i="99"/>
  <c r="C52" i="99"/>
  <c r="C51" i="99"/>
  <c r="C50" i="99"/>
  <c r="C47" i="99"/>
  <c r="C46" i="99"/>
  <c r="C45" i="99"/>
  <c r="C44" i="99"/>
  <c r="C43" i="99"/>
  <c r="C42" i="99"/>
  <c r="C41" i="99"/>
  <c r="C40" i="99"/>
  <c r="C39" i="99"/>
  <c r="C38" i="99"/>
  <c r="C37" i="99"/>
  <c r="C36" i="99"/>
  <c r="C35" i="99"/>
  <c r="C34" i="99"/>
  <c r="K32" i="99"/>
  <c r="J32" i="99"/>
  <c r="I32" i="99"/>
  <c r="H32" i="99"/>
  <c r="G32" i="99"/>
  <c r="F32" i="99"/>
  <c r="E32" i="99"/>
  <c r="D32" i="99"/>
  <c r="C32" i="99"/>
  <c r="K31" i="99"/>
  <c r="J31" i="99"/>
  <c r="I31" i="99"/>
  <c r="H31" i="99"/>
  <c r="G31" i="99"/>
  <c r="F31" i="99"/>
  <c r="E31" i="99"/>
  <c r="D31" i="99"/>
  <c r="C31" i="99"/>
  <c r="K30" i="99"/>
  <c r="J30" i="99"/>
  <c r="I30" i="99"/>
  <c r="H30" i="99"/>
  <c r="G30" i="99"/>
  <c r="F30" i="99"/>
  <c r="E30" i="99"/>
  <c r="D30" i="99"/>
  <c r="C30" i="99"/>
  <c r="K28" i="99"/>
  <c r="J28" i="99"/>
  <c r="I28" i="99"/>
  <c r="H28" i="99"/>
  <c r="G28" i="99"/>
  <c r="F28" i="99"/>
  <c r="E28" i="99"/>
  <c r="D28" i="99"/>
  <c r="C28" i="99"/>
  <c r="K27" i="99"/>
  <c r="J27" i="99"/>
  <c r="I27" i="99"/>
  <c r="H27" i="99"/>
  <c r="G27" i="99"/>
  <c r="F27" i="99"/>
  <c r="E27" i="99"/>
  <c r="D27" i="99"/>
  <c r="C27" i="99"/>
  <c r="K26" i="99"/>
  <c r="J26" i="99"/>
  <c r="I26" i="99"/>
  <c r="H26" i="99"/>
  <c r="G26" i="99"/>
  <c r="F26" i="99"/>
  <c r="E26" i="99"/>
  <c r="D26" i="99"/>
  <c r="C26" i="99"/>
  <c r="K25" i="99"/>
  <c r="J25" i="99"/>
  <c r="I25" i="99"/>
  <c r="H25" i="99"/>
  <c r="G25" i="99"/>
  <c r="F25" i="99"/>
  <c r="E25" i="99"/>
  <c r="D25" i="99"/>
  <c r="C25" i="99"/>
  <c r="K23" i="99"/>
  <c r="S22" i="99" s="1"/>
  <c r="J23" i="99"/>
  <c r="I23" i="99"/>
  <c r="E23" i="99"/>
  <c r="D23" i="99"/>
  <c r="C23" i="99"/>
  <c r="K22" i="99"/>
  <c r="J22" i="99"/>
  <c r="R22" i="99" s="1"/>
  <c r="I22" i="99"/>
  <c r="Q22" i="99" s="1"/>
  <c r="E22" i="99"/>
  <c r="D22" i="99"/>
  <c r="L22" i="99" s="1"/>
  <c r="C22" i="99"/>
  <c r="K21" i="99"/>
  <c r="E21" i="99"/>
  <c r="D21" i="99"/>
  <c r="C21" i="99"/>
  <c r="K20" i="99"/>
  <c r="J20" i="99"/>
  <c r="F20" i="99"/>
  <c r="D20" i="99"/>
  <c r="C20" i="99"/>
  <c r="K19" i="99"/>
  <c r="J19" i="99"/>
  <c r="H19" i="99"/>
  <c r="G19" i="99"/>
  <c r="E19" i="99"/>
  <c r="D19" i="99"/>
  <c r="C19" i="99"/>
  <c r="K18" i="99"/>
  <c r="I18" i="99"/>
  <c r="H18" i="99"/>
  <c r="G18" i="99"/>
  <c r="F18" i="99"/>
  <c r="E18" i="99"/>
  <c r="D18" i="99"/>
  <c r="C18" i="99"/>
  <c r="K16" i="99"/>
  <c r="E16" i="99"/>
  <c r="D16" i="99"/>
  <c r="C16" i="99"/>
  <c r="K15" i="99"/>
  <c r="J15" i="99"/>
  <c r="R15" i="99" s="1"/>
  <c r="I15" i="99"/>
  <c r="H15" i="99"/>
  <c r="E15" i="99"/>
  <c r="D15" i="99"/>
  <c r="C15" i="99"/>
  <c r="K14" i="99"/>
  <c r="G14" i="99"/>
  <c r="E14" i="99"/>
  <c r="D14" i="99"/>
  <c r="C14" i="99"/>
  <c r="K13" i="99"/>
  <c r="J13" i="99"/>
  <c r="G13" i="99"/>
  <c r="F13" i="99"/>
  <c r="E13" i="99"/>
  <c r="D13" i="99"/>
  <c r="C13" i="99"/>
  <c r="K12" i="99"/>
  <c r="J12" i="99"/>
  <c r="G12" i="99"/>
  <c r="E12" i="99"/>
  <c r="D12" i="99"/>
  <c r="C12" i="99"/>
  <c r="K11" i="99"/>
  <c r="H11" i="99"/>
  <c r="G11" i="99"/>
  <c r="F11" i="99"/>
  <c r="E11" i="99"/>
  <c r="D11" i="99"/>
  <c r="C11" i="99"/>
  <c r="K9" i="99"/>
  <c r="J9" i="99"/>
  <c r="I9" i="99"/>
  <c r="H9" i="99"/>
  <c r="G9" i="99"/>
  <c r="O8" i="99" s="1"/>
  <c r="F9" i="99"/>
  <c r="E9" i="99"/>
  <c r="D9" i="99"/>
  <c r="L8" i="99" s="1"/>
  <c r="C9" i="99"/>
  <c r="K8" i="99"/>
  <c r="J8" i="99"/>
  <c r="I8" i="99"/>
  <c r="Q8" i="99" s="1"/>
  <c r="H8" i="99"/>
  <c r="P8" i="99" s="1"/>
  <c r="G8" i="99"/>
  <c r="F8" i="99"/>
  <c r="N8" i="99" s="1"/>
  <c r="E8" i="99"/>
  <c r="D8" i="99"/>
  <c r="C8" i="99"/>
  <c r="K7" i="99"/>
  <c r="J7" i="99"/>
  <c r="I7" i="99"/>
  <c r="H7" i="99"/>
  <c r="G7" i="99"/>
  <c r="F7" i="99"/>
  <c r="E7" i="99"/>
  <c r="D7" i="99"/>
  <c r="C7" i="99"/>
  <c r="K6" i="99"/>
  <c r="J6" i="99"/>
  <c r="I6" i="99"/>
  <c r="H6" i="99"/>
  <c r="G6" i="99"/>
  <c r="F6" i="99"/>
  <c r="E6" i="99"/>
  <c r="D6" i="99"/>
  <c r="C6" i="99"/>
  <c r="K5" i="99"/>
  <c r="J5" i="99"/>
  <c r="I5" i="99"/>
  <c r="H5" i="99"/>
  <c r="G5" i="99"/>
  <c r="F5" i="99"/>
  <c r="E5" i="99"/>
  <c r="D5" i="99"/>
  <c r="C5" i="99"/>
  <c r="K4" i="99"/>
  <c r="J4" i="99"/>
  <c r="I4" i="99"/>
  <c r="H4" i="99"/>
  <c r="G4" i="99"/>
  <c r="F4" i="99"/>
  <c r="E4" i="99"/>
  <c r="D4" i="99"/>
  <c r="C4" i="99"/>
  <c r="O22" i="100"/>
  <c r="L22" i="100"/>
  <c r="L15" i="100"/>
  <c r="C5" i="49"/>
  <c r="C6" i="49"/>
  <c r="C7" i="49"/>
  <c r="C8" i="49"/>
  <c r="C9" i="49"/>
  <c r="C11" i="49"/>
  <c r="C12" i="49"/>
  <c r="C13" i="49"/>
  <c r="C14" i="49"/>
  <c r="C15" i="49"/>
  <c r="C16" i="49"/>
  <c r="C18" i="49"/>
  <c r="C19" i="49"/>
  <c r="C20" i="49"/>
  <c r="C21" i="49"/>
  <c r="C22" i="49"/>
  <c r="C23" i="49"/>
  <c r="C25" i="49"/>
  <c r="C26" i="49"/>
  <c r="C27" i="49"/>
  <c r="C28" i="49"/>
  <c r="C30" i="49"/>
  <c r="C31" i="49"/>
  <c r="C32" i="49"/>
  <c r="C34" i="49"/>
  <c r="C35" i="49"/>
  <c r="C36" i="49"/>
  <c r="C37" i="49"/>
  <c r="C38" i="49"/>
  <c r="C39" i="49"/>
  <c r="C40" i="49"/>
  <c r="C41" i="49"/>
  <c r="C42" i="49"/>
  <c r="C43" i="49"/>
  <c r="C44" i="49"/>
  <c r="C45" i="49"/>
  <c r="C46" i="49"/>
  <c r="C47" i="49"/>
  <c r="C50" i="49"/>
  <c r="C51" i="49"/>
  <c r="C52" i="49"/>
  <c r="C53" i="49"/>
  <c r="C54" i="49"/>
  <c r="C55" i="49"/>
  <c r="C56" i="49"/>
  <c r="C57" i="49"/>
  <c r="C58" i="49"/>
  <c r="C59" i="49"/>
  <c r="C60" i="49"/>
  <c r="C61" i="49"/>
  <c r="C62" i="49"/>
  <c r="C63" i="49"/>
  <c r="C66" i="49"/>
  <c r="C67" i="49"/>
  <c r="C68" i="49"/>
  <c r="C69" i="49"/>
  <c r="C70" i="49"/>
  <c r="C71" i="49"/>
  <c r="C72" i="49"/>
  <c r="C4" i="49"/>
  <c r="K32" i="94"/>
  <c r="J32" i="94"/>
  <c r="I32" i="94"/>
  <c r="G32" i="94"/>
  <c r="F32" i="94"/>
  <c r="E32" i="94"/>
  <c r="D32" i="94"/>
  <c r="H32" i="94" s="1"/>
  <c r="F31" i="93"/>
  <c r="E31" i="94"/>
  <c r="D31" i="94"/>
  <c r="G32" i="93"/>
  <c r="F32" i="93"/>
  <c r="E30" i="94"/>
  <c r="J32" i="93" s="1"/>
  <c r="D30" i="94"/>
  <c r="J28" i="94"/>
  <c r="I28" i="94"/>
  <c r="G28" i="94"/>
  <c r="F28" i="94"/>
  <c r="E28" i="94"/>
  <c r="D28" i="94"/>
  <c r="H28" i="94" s="1"/>
  <c r="J27" i="94"/>
  <c r="J27" i="93" s="1"/>
  <c r="I27" i="94"/>
  <c r="I27" i="93" s="1"/>
  <c r="G27" i="94"/>
  <c r="G27" i="93" s="1"/>
  <c r="F27" i="94"/>
  <c r="F27" i="93" s="1"/>
  <c r="E27" i="94"/>
  <c r="E27" i="93" s="1"/>
  <c r="D27" i="94"/>
  <c r="H27" i="94" s="1"/>
  <c r="H27" i="93" s="1"/>
  <c r="J26" i="94"/>
  <c r="J26" i="93" s="1"/>
  <c r="I26" i="94"/>
  <c r="I26" i="93" s="1"/>
  <c r="G26" i="94"/>
  <c r="G26" i="93" s="1"/>
  <c r="F26" i="94"/>
  <c r="F26" i="93" s="1"/>
  <c r="E26" i="94"/>
  <c r="E26" i="93" s="1"/>
  <c r="D26" i="94"/>
  <c r="H26" i="94" s="1"/>
  <c r="H26" i="93" s="1"/>
  <c r="J25" i="94"/>
  <c r="J25" i="93" s="1"/>
  <c r="I25" i="94"/>
  <c r="I25" i="93" s="1"/>
  <c r="G25" i="94"/>
  <c r="F25" i="94"/>
  <c r="E25" i="94"/>
  <c r="D25" i="94"/>
  <c r="H25" i="94" s="1"/>
  <c r="J16" i="94"/>
  <c r="I16" i="94"/>
  <c r="G16" i="94"/>
  <c r="F16" i="94"/>
  <c r="E16" i="94"/>
  <c r="H16" i="94"/>
  <c r="H15" i="94"/>
  <c r="H16" i="93" s="1"/>
  <c r="J14" i="94"/>
  <c r="I14" i="94"/>
  <c r="G14" i="94"/>
  <c r="F14" i="94"/>
  <c r="E14" i="94"/>
  <c r="H14" i="94"/>
  <c r="J12" i="94"/>
  <c r="D8" i="94"/>
  <c r="D6" i="94"/>
  <c r="D6" i="93" s="1"/>
  <c r="D5" i="94"/>
  <c r="D5" i="93" s="1"/>
  <c r="D4" i="94"/>
  <c r="D7" i="93" s="1"/>
  <c r="E62" i="51"/>
  <c r="F62" i="51"/>
  <c r="G62" i="51"/>
  <c r="H62" i="51"/>
  <c r="I62" i="51"/>
  <c r="J62" i="51"/>
  <c r="K62" i="51"/>
  <c r="D62" i="51"/>
  <c r="E57" i="51"/>
  <c r="F57" i="51"/>
  <c r="G57" i="51"/>
  <c r="H57" i="51"/>
  <c r="I57" i="51"/>
  <c r="J57" i="51"/>
  <c r="K57" i="51"/>
  <c r="D57" i="51"/>
  <c r="E56" i="51"/>
  <c r="F56" i="51"/>
  <c r="G56" i="51"/>
  <c r="H56" i="51"/>
  <c r="I56" i="51"/>
  <c r="J56" i="51"/>
  <c r="K56" i="51"/>
  <c r="D56" i="51"/>
  <c r="E54" i="51"/>
  <c r="F54" i="51"/>
  <c r="G54" i="51"/>
  <c r="H54" i="51"/>
  <c r="I54" i="51"/>
  <c r="J54" i="51"/>
  <c r="K54" i="51"/>
  <c r="E55" i="51"/>
  <c r="F55" i="51"/>
  <c r="G55" i="51"/>
  <c r="H55" i="51"/>
  <c r="I55" i="51"/>
  <c r="J55" i="51"/>
  <c r="K55" i="51"/>
  <c r="D55" i="51"/>
  <c r="D54" i="51"/>
  <c r="E53" i="51"/>
  <c r="F53" i="51"/>
  <c r="G53" i="51"/>
  <c r="H53" i="51"/>
  <c r="I53" i="51"/>
  <c r="J53" i="51"/>
  <c r="K53" i="51"/>
  <c r="D53" i="51"/>
  <c r="E52" i="51"/>
  <c r="F52" i="51"/>
  <c r="G52" i="51"/>
  <c r="H52" i="51"/>
  <c r="I52" i="51"/>
  <c r="J52" i="51"/>
  <c r="K52" i="51"/>
  <c r="D52" i="51"/>
  <c r="E50" i="51"/>
  <c r="F50" i="51"/>
  <c r="G50" i="51"/>
  <c r="H50" i="51"/>
  <c r="I50" i="51"/>
  <c r="J50" i="51"/>
  <c r="K50" i="51"/>
  <c r="E51" i="51"/>
  <c r="F51" i="51"/>
  <c r="G51" i="51"/>
  <c r="H51" i="51"/>
  <c r="I51" i="51"/>
  <c r="J51" i="51"/>
  <c r="K51" i="51"/>
  <c r="D51" i="51"/>
  <c r="D50" i="51"/>
  <c r="E71" i="51"/>
  <c r="F71" i="51"/>
  <c r="G71" i="51"/>
  <c r="H71" i="51"/>
  <c r="I71" i="51"/>
  <c r="J71" i="51"/>
  <c r="K71" i="51"/>
  <c r="D71" i="51"/>
  <c r="E69" i="51"/>
  <c r="F69" i="51"/>
  <c r="G69" i="51"/>
  <c r="H69" i="51"/>
  <c r="I69" i="51"/>
  <c r="J69" i="51"/>
  <c r="K69" i="51"/>
  <c r="E70" i="51"/>
  <c r="F70" i="51"/>
  <c r="G70" i="51"/>
  <c r="H70" i="51"/>
  <c r="I70" i="51"/>
  <c r="J70" i="51"/>
  <c r="K70" i="51"/>
  <c r="D70" i="51"/>
  <c r="D69" i="51"/>
  <c r="E67" i="51"/>
  <c r="F67" i="51"/>
  <c r="G67" i="51"/>
  <c r="H67" i="51"/>
  <c r="I67" i="51"/>
  <c r="J67" i="51"/>
  <c r="K67" i="51"/>
  <c r="E68" i="51"/>
  <c r="F68" i="51"/>
  <c r="G68" i="51"/>
  <c r="H68" i="51"/>
  <c r="I68" i="51"/>
  <c r="J68" i="51"/>
  <c r="K68" i="51"/>
  <c r="D68" i="51"/>
  <c r="E66" i="51"/>
  <c r="F66" i="51"/>
  <c r="G66" i="51"/>
  <c r="H66" i="51"/>
  <c r="I66" i="51"/>
  <c r="J66" i="51"/>
  <c r="K66" i="51"/>
  <c r="D67" i="51"/>
  <c r="D66" i="51"/>
  <c r="N22" i="49"/>
  <c r="O22" i="49"/>
  <c r="P22" i="49"/>
  <c r="Q22" i="49"/>
  <c r="R22" i="49"/>
  <c r="S22" i="49"/>
  <c r="L22" i="49"/>
  <c r="N15" i="49"/>
  <c r="O15" i="49"/>
  <c r="P15" i="49"/>
  <c r="Q15" i="49"/>
  <c r="R15" i="49"/>
  <c r="S15" i="49"/>
  <c r="L15" i="49"/>
  <c r="N8" i="49"/>
  <c r="O8" i="49"/>
  <c r="P8" i="49"/>
  <c r="Q8" i="49"/>
  <c r="R8" i="49"/>
  <c r="S8" i="49"/>
  <c r="L8" i="49"/>
  <c r="E46" i="51"/>
  <c r="F46" i="51"/>
  <c r="G46" i="51"/>
  <c r="H46" i="51"/>
  <c r="I46" i="51"/>
  <c r="J46" i="51"/>
  <c r="K46" i="51"/>
  <c r="D46" i="51"/>
  <c r="E41" i="51"/>
  <c r="F41" i="51"/>
  <c r="G41" i="51"/>
  <c r="H41" i="51"/>
  <c r="I41" i="51"/>
  <c r="J41" i="51"/>
  <c r="K41" i="51"/>
  <c r="D41" i="51"/>
  <c r="E40" i="51"/>
  <c r="F40" i="51"/>
  <c r="G40" i="51"/>
  <c r="H40" i="51"/>
  <c r="I40" i="51"/>
  <c r="J40" i="51"/>
  <c r="K40" i="51"/>
  <c r="D40" i="51"/>
  <c r="K39" i="51"/>
  <c r="J39" i="51"/>
  <c r="I39" i="51"/>
  <c r="H39" i="51"/>
  <c r="G39" i="51"/>
  <c r="F39" i="51"/>
  <c r="E39" i="51"/>
  <c r="K38" i="51"/>
  <c r="J38" i="51"/>
  <c r="I38" i="51"/>
  <c r="H38" i="51"/>
  <c r="G38" i="51"/>
  <c r="F38" i="51"/>
  <c r="E38" i="51"/>
  <c r="D39" i="51"/>
  <c r="D38" i="51"/>
  <c r="E37" i="51"/>
  <c r="F37" i="51"/>
  <c r="G37" i="51"/>
  <c r="H37" i="51"/>
  <c r="I37" i="51"/>
  <c r="J37" i="51"/>
  <c r="K37" i="51"/>
  <c r="D37" i="51"/>
  <c r="K36" i="51"/>
  <c r="J36" i="51"/>
  <c r="I36" i="51"/>
  <c r="H36" i="51"/>
  <c r="G36" i="51"/>
  <c r="F36" i="51"/>
  <c r="E36" i="51"/>
  <c r="D36" i="51"/>
  <c r="K35" i="51"/>
  <c r="J35" i="51"/>
  <c r="I35" i="51"/>
  <c r="H35" i="51"/>
  <c r="G35" i="51"/>
  <c r="F35" i="51"/>
  <c r="E35" i="51"/>
  <c r="D35" i="51"/>
  <c r="E34" i="51"/>
  <c r="F34" i="51"/>
  <c r="G34" i="51"/>
  <c r="H34" i="51"/>
  <c r="I34" i="51"/>
  <c r="J34" i="51"/>
  <c r="K34" i="51"/>
  <c r="D34" i="51"/>
  <c r="E25" i="49"/>
  <c r="F25" i="49"/>
  <c r="G25" i="49"/>
  <c r="H25" i="49"/>
  <c r="I25" i="49"/>
  <c r="J25" i="49"/>
  <c r="K25" i="49"/>
  <c r="E26" i="49"/>
  <c r="F26" i="49"/>
  <c r="G26" i="49"/>
  <c r="H26" i="49"/>
  <c r="I26" i="49"/>
  <c r="J26" i="49"/>
  <c r="K26" i="49"/>
  <c r="E27" i="49"/>
  <c r="F27" i="49"/>
  <c r="G27" i="49"/>
  <c r="H27" i="49"/>
  <c r="I27" i="49"/>
  <c r="J27" i="49"/>
  <c r="K27" i="49"/>
  <c r="D26" i="49"/>
  <c r="D27" i="49"/>
  <c r="D25" i="49"/>
  <c r="D28" i="49"/>
  <c r="K28" i="49"/>
  <c r="J28" i="49"/>
  <c r="I28" i="49"/>
  <c r="H28" i="49"/>
  <c r="G28" i="49"/>
  <c r="F28" i="49"/>
  <c r="E28" i="49"/>
  <c r="J27" i="51"/>
  <c r="I27" i="51"/>
  <c r="H27" i="51"/>
  <c r="G27" i="51"/>
  <c r="F27" i="51"/>
  <c r="E27" i="51"/>
  <c r="J26" i="51"/>
  <c r="I26" i="51"/>
  <c r="H26" i="51"/>
  <c r="G26" i="51"/>
  <c r="F26" i="51"/>
  <c r="E26" i="51"/>
  <c r="J25" i="51"/>
  <c r="I25" i="51"/>
  <c r="H25" i="51"/>
  <c r="G25" i="51"/>
  <c r="F25" i="51"/>
  <c r="E25" i="51"/>
  <c r="K27" i="51"/>
  <c r="K26" i="51"/>
  <c r="K25" i="51"/>
  <c r="D27" i="51"/>
  <c r="D26" i="51"/>
  <c r="D25" i="51"/>
  <c r="D28" i="51"/>
  <c r="J28" i="51"/>
  <c r="I28" i="51"/>
  <c r="H28" i="51"/>
  <c r="G28" i="51"/>
  <c r="F28" i="51"/>
  <c r="E28" i="51"/>
  <c r="K28" i="51"/>
  <c r="E22" i="49"/>
  <c r="F22" i="49"/>
  <c r="G22" i="49"/>
  <c r="H22" i="49"/>
  <c r="I22" i="49"/>
  <c r="J22" i="49"/>
  <c r="K22" i="49"/>
  <c r="D22" i="49"/>
  <c r="E18" i="49"/>
  <c r="F18" i="49"/>
  <c r="G18" i="49"/>
  <c r="H18" i="49"/>
  <c r="I18" i="49"/>
  <c r="J18" i="49"/>
  <c r="K18" i="49"/>
  <c r="E19" i="49"/>
  <c r="F19" i="49"/>
  <c r="G19" i="49"/>
  <c r="H19" i="49"/>
  <c r="I19" i="49"/>
  <c r="J19" i="49"/>
  <c r="K19" i="49"/>
  <c r="E20" i="49"/>
  <c r="F20" i="49"/>
  <c r="G20" i="49"/>
  <c r="H20" i="49"/>
  <c r="I20" i="49"/>
  <c r="J20" i="49"/>
  <c r="K20" i="49"/>
  <c r="D19" i="49"/>
  <c r="D20" i="49"/>
  <c r="D18" i="49"/>
  <c r="K23" i="49"/>
  <c r="J23" i="49"/>
  <c r="I23" i="49"/>
  <c r="H23" i="49"/>
  <c r="G23" i="49"/>
  <c r="F23" i="49"/>
  <c r="E23" i="49"/>
  <c r="D23" i="49"/>
  <c r="K21" i="49"/>
  <c r="J21" i="49"/>
  <c r="I21" i="49"/>
  <c r="H21" i="49"/>
  <c r="G21" i="49"/>
  <c r="F21" i="49"/>
  <c r="E21" i="49"/>
  <c r="D21" i="49"/>
  <c r="J20" i="51"/>
  <c r="I20" i="51"/>
  <c r="H20" i="51"/>
  <c r="G20" i="51"/>
  <c r="F20" i="51"/>
  <c r="E20" i="51"/>
  <c r="J19" i="51"/>
  <c r="I19" i="51"/>
  <c r="H19" i="51"/>
  <c r="G19" i="51"/>
  <c r="F19" i="51"/>
  <c r="E19" i="51"/>
  <c r="J18" i="51"/>
  <c r="I18" i="51"/>
  <c r="H18" i="51"/>
  <c r="G18" i="51"/>
  <c r="F18" i="51"/>
  <c r="E18" i="51"/>
  <c r="K20" i="51"/>
  <c r="K19" i="51"/>
  <c r="K18" i="51"/>
  <c r="K22" i="51"/>
  <c r="I22" i="51"/>
  <c r="J23" i="51"/>
  <c r="I23" i="51"/>
  <c r="H23" i="51"/>
  <c r="G23" i="51"/>
  <c r="F23" i="51"/>
  <c r="E23" i="51"/>
  <c r="K23" i="51"/>
  <c r="K21" i="51"/>
  <c r="D23" i="51"/>
  <c r="D22" i="51" s="1"/>
  <c r="D21" i="51"/>
  <c r="D15" i="51"/>
  <c r="F9" i="51"/>
  <c r="F7" i="51"/>
  <c r="D9" i="51"/>
  <c r="D7" i="51"/>
  <c r="D14" i="51"/>
  <c r="F7" i="68" l="1"/>
  <c r="G7" i="68" s="1"/>
  <c r="H7" i="68" s="1"/>
  <c r="I7" i="68" s="1"/>
  <c r="J7" i="68" s="1"/>
  <c r="K7" i="68" s="1"/>
  <c r="L7" i="68" s="1"/>
  <c r="F5" i="68"/>
  <c r="G5" i="68" s="1"/>
  <c r="H5" i="68" s="1"/>
  <c r="I5" i="68" s="1"/>
  <c r="J5" i="68" s="1"/>
  <c r="K5" i="68" s="1"/>
  <c r="L5" i="68" s="1"/>
  <c r="F8" i="68"/>
  <c r="G8" i="68" s="1"/>
  <c r="H8" i="68" s="1"/>
  <c r="I8" i="68" s="1"/>
  <c r="J8" i="68" s="1"/>
  <c r="K8" i="68" s="1"/>
  <c r="L8" i="68" s="1"/>
  <c r="F19" i="68"/>
  <c r="G19" i="68" s="1"/>
  <c r="H19" i="68" s="1"/>
  <c r="I19" i="68" s="1"/>
  <c r="J19" i="68" s="1"/>
  <c r="K19" i="68" s="1"/>
  <c r="L19" i="68" s="1"/>
  <c r="F11" i="68"/>
  <c r="G11" i="68" s="1"/>
  <c r="H11" i="68" s="1"/>
  <c r="I11" i="68" s="1"/>
  <c r="J11" i="68" s="1"/>
  <c r="K11" i="68" s="1"/>
  <c r="L11" i="68" s="1"/>
  <c r="F18" i="68"/>
  <c r="G18" i="68" s="1"/>
  <c r="H18" i="68" s="1"/>
  <c r="I18" i="68" s="1"/>
  <c r="J18" i="68" s="1"/>
  <c r="K18" i="68" s="1"/>
  <c r="L18" i="68" s="1"/>
  <c r="F10" i="68"/>
  <c r="G10" i="68" s="1"/>
  <c r="H10" i="68" s="1"/>
  <c r="I10" i="68" s="1"/>
  <c r="J10" i="68" s="1"/>
  <c r="K10" i="68" s="1"/>
  <c r="L10" i="68" s="1"/>
  <c r="F2" i="68"/>
  <c r="G2" i="68" s="1"/>
  <c r="H2" i="68" s="1"/>
  <c r="I2" i="68" s="1"/>
  <c r="J2" i="68" s="1"/>
  <c r="K2" i="68" s="1"/>
  <c r="L2" i="68" s="1"/>
  <c r="F15" i="68"/>
  <c r="G15" i="68" s="1"/>
  <c r="H15" i="68" s="1"/>
  <c r="I15" i="68" s="1"/>
  <c r="J15" i="68" s="1"/>
  <c r="K15" i="68" s="1"/>
  <c r="L15" i="68" s="1"/>
  <c r="F20" i="68"/>
  <c r="G20" i="68" s="1"/>
  <c r="H20" i="68" s="1"/>
  <c r="I20" i="68" s="1"/>
  <c r="J20" i="68" s="1"/>
  <c r="K20" i="68" s="1"/>
  <c r="L20" i="68" s="1"/>
  <c r="F17" i="68"/>
  <c r="G17" i="68" s="1"/>
  <c r="H17" i="68" s="1"/>
  <c r="I17" i="68" s="1"/>
  <c r="J17" i="68" s="1"/>
  <c r="K17" i="68" s="1"/>
  <c r="L17" i="68" s="1"/>
  <c r="F9" i="68"/>
  <c r="G9" i="68" s="1"/>
  <c r="H9" i="68" s="1"/>
  <c r="I9" i="68" s="1"/>
  <c r="J9" i="68" s="1"/>
  <c r="K9" i="68" s="1"/>
  <c r="L9" i="68" s="1"/>
  <c r="F16" i="68"/>
  <c r="G16" i="68" s="1"/>
  <c r="H16" i="68" s="1"/>
  <c r="I16" i="68" s="1"/>
  <c r="J16" i="68" s="1"/>
  <c r="K16" i="68" s="1"/>
  <c r="L16" i="68" s="1"/>
  <c r="F12" i="68"/>
  <c r="G12" i="68" s="1"/>
  <c r="H12" i="68" s="1"/>
  <c r="I12" i="68" s="1"/>
  <c r="J12" i="68" s="1"/>
  <c r="K12" i="68" s="1"/>
  <c r="L12" i="68" s="1"/>
  <c r="F14" i="68"/>
  <c r="G14" i="68" s="1"/>
  <c r="H14" i="68" s="1"/>
  <c r="I14" i="68" s="1"/>
  <c r="J14" i="68" s="1"/>
  <c r="K14" i="68" s="1"/>
  <c r="L14" i="68" s="1"/>
  <c r="F6" i="68"/>
  <c r="G6" i="68" s="1"/>
  <c r="H6" i="68" s="1"/>
  <c r="I6" i="68" s="1"/>
  <c r="J6" i="68" s="1"/>
  <c r="K6" i="68" s="1"/>
  <c r="L6" i="68" s="1"/>
  <c r="F13" i="68"/>
  <c r="G13" i="68" s="1"/>
  <c r="H13" i="68" s="1"/>
  <c r="I13" i="68" s="1"/>
  <c r="J13" i="68" s="1"/>
  <c r="K13" i="68" s="1"/>
  <c r="L13" i="68" s="1"/>
  <c r="F3" i="68"/>
  <c r="G3" i="68" s="1"/>
  <c r="H3" i="68" s="1"/>
  <c r="I3" i="68" s="1"/>
  <c r="J3" i="68" s="1"/>
  <c r="K3" i="68" s="1"/>
  <c r="L3" i="68" s="1"/>
  <c r="F4" i="68"/>
  <c r="G4" i="68" s="1"/>
  <c r="H4" i="68" s="1"/>
  <c r="I4" i="68" s="1"/>
  <c r="J4" i="68" s="1"/>
  <c r="K4" i="68" s="1"/>
  <c r="L4" i="68" s="1"/>
  <c r="L4" i="104"/>
  <c r="L3" i="104"/>
  <c r="K34" i="98"/>
  <c r="E69" i="93"/>
  <c r="M69" i="93" s="1"/>
  <c r="G67" i="93"/>
  <c r="O67" i="93" s="1"/>
  <c r="G68" i="93"/>
  <c r="O68" i="93" s="1"/>
  <c r="G69" i="93"/>
  <c r="O69" i="93" s="1"/>
  <c r="G70" i="93"/>
  <c r="O70" i="93" s="1"/>
  <c r="G71" i="93"/>
  <c r="O71" i="93" s="1"/>
  <c r="E68" i="93"/>
  <c r="M68" i="93" s="1"/>
  <c r="E71" i="93"/>
  <c r="M71" i="93" s="1"/>
  <c r="I71" i="93"/>
  <c r="Q71" i="93" s="1"/>
  <c r="E67" i="93"/>
  <c r="M67" i="93" s="1"/>
  <c r="E70" i="93"/>
  <c r="M70" i="93" s="1"/>
  <c r="F67" i="99"/>
  <c r="N67" i="99" s="1"/>
  <c r="J67" i="93"/>
  <c r="R67" i="93" s="1"/>
  <c r="F21" i="99"/>
  <c r="G21" i="99"/>
  <c r="I21" i="99"/>
  <c r="P22" i="99"/>
  <c r="P23" i="99" s="1"/>
  <c r="H23" i="99"/>
  <c r="H12" i="99"/>
  <c r="I14" i="99"/>
  <c r="F14" i="99"/>
  <c r="S15" i="99"/>
  <c r="P15" i="99"/>
  <c r="F15" i="99"/>
  <c r="N15" i="99" s="1"/>
  <c r="N16" i="99" s="1"/>
  <c r="G15" i="99"/>
  <c r="O15" i="99" s="1"/>
  <c r="O16" i="99" s="1"/>
  <c r="J14" i="99"/>
  <c r="F12" i="99"/>
  <c r="J18" i="99"/>
  <c r="I19" i="99"/>
  <c r="H20" i="99"/>
  <c r="F22" i="99"/>
  <c r="N22" i="99" s="1"/>
  <c r="N23" i="99" s="1"/>
  <c r="R8" i="99"/>
  <c r="R9" i="99" s="1"/>
  <c r="Z9" i="99" s="1"/>
  <c r="I11" i="99"/>
  <c r="L15" i="99"/>
  <c r="G22" i="99"/>
  <c r="O22" i="99" s="1"/>
  <c r="E28" i="100"/>
  <c r="F28" i="100"/>
  <c r="J28" i="100"/>
  <c r="G28" i="100"/>
  <c r="F27" i="100"/>
  <c r="J25" i="100"/>
  <c r="H27" i="100"/>
  <c r="E21" i="100"/>
  <c r="G21" i="100"/>
  <c r="G20" i="100"/>
  <c r="P22" i="100"/>
  <c r="S22" i="100"/>
  <c r="F20" i="100"/>
  <c r="J19" i="100"/>
  <c r="J22" i="100"/>
  <c r="R22" i="100" s="1"/>
  <c r="R23" i="100" s="1"/>
  <c r="Z22" i="100" s="1"/>
  <c r="E20" i="100"/>
  <c r="E22" i="100"/>
  <c r="O15" i="100"/>
  <c r="S15" i="100"/>
  <c r="S16" i="100" s="1"/>
  <c r="J14" i="100"/>
  <c r="J15" i="100"/>
  <c r="R15" i="100" s="1"/>
  <c r="R16" i="100" s="1"/>
  <c r="F15" i="100"/>
  <c r="N15" i="100" s="1"/>
  <c r="N16" i="100" s="1"/>
  <c r="I11" i="100"/>
  <c r="P15" i="100"/>
  <c r="P16" i="100" s="1"/>
  <c r="X16" i="100" s="1"/>
  <c r="E14" i="100"/>
  <c r="G14" i="100"/>
  <c r="Q15" i="100"/>
  <c r="Q16" i="100" s="1"/>
  <c r="E15" i="100"/>
  <c r="F12" i="100"/>
  <c r="H14" i="100"/>
  <c r="J7" i="100"/>
  <c r="S8" i="100"/>
  <c r="S9" i="100" s="1"/>
  <c r="F8" i="100"/>
  <c r="G8" i="100"/>
  <c r="O8" i="100" s="1"/>
  <c r="O9" i="100" s="1"/>
  <c r="I7" i="100"/>
  <c r="H8" i="100"/>
  <c r="P8" i="100" s="1"/>
  <c r="P9" i="100" s="1"/>
  <c r="E12" i="100"/>
  <c r="G11" i="100"/>
  <c r="I19" i="100"/>
  <c r="I22" i="100"/>
  <c r="Q22" i="100" s="1"/>
  <c r="Q23" i="100" s="1"/>
  <c r="Y22" i="100" s="1"/>
  <c r="G30" i="93"/>
  <c r="J30" i="93"/>
  <c r="S22" i="93"/>
  <c r="S23" i="93" s="1"/>
  <c r="AA22" i="93" s="1"/>
  <c r="R22" i="93"/>
  <c r="I28" i="93"/>
  <c r="E28" i="93"/>
  <c r="E25" i="93"/>
  <c r="F28" i="93"/>
  <c r="G28" i="93"/>
  <c r="H28" i="93"/>
  <c r="J28" i="93"/>
  <c r="F25" i="93"/>
  <c r="G25" i="93"/>
  <c r="H25" i="93"/>
  <c r="Q22" i="93"/>
  <c r="Q23" i="93" s="1"/>
  <c r="Y22" i="93" s="1"/>
  <c r="L22" i="93"/>
  <c r="H20" i="93"/>
  <c r="F22" i="93"/>
  <c r="N22" i="93" s="1"/>
  <c r="N23" i="93" s="1"/>
  <c r="G22" i="93"/>
  <c r="O22" i="93" s="1"/>
  <c r="O23" i="93" s="1"/>
  <c r="J67" i="100"/>
  <c r="R67" i="100" s="1"/>
  <c r="J68" i="100"/>
  <c r="R68" i="100" s="1"/>
  <c r="J69" i="100"/>
  <c r="R69" i="100" s="1"/>
  <c r="J70" i="100"/>
  <c r="R70" i="100" s="1"/>
  <c r="J71" i="100"/>
  <c r="R71" i="100" s="1"/>
  <c r="H67" i="99"/>
  <c r="P67" i="99" s="1"/>
  <c r="H68" i="99"/>
  <c r="P68" i="99" s="1"/>
  <c r="H69" i="99"/>
  <c r="P69" i="99" s="1"/>
  <c r="H70" i="99"/>
  <c r="P70" i="99" s="1"/>
  <c r="H71" i="99"/>
  <c r="P71" i="99" s="1"/>
  <c r="J67" i="99"/>
  <c r="R67" i="99" s="1"/>
  <c r="J68" i="99"/>
  <c r="R68" i="99" s="1"/>
  <c r="J69" i="99"/>
  <c r="R69" i="99" s="1"/>
  <c r="J70" i="99"/>
  <c r="R70" i="99" s="1"/>
  <c r="J71" i="99"/>
  <c r="R71" i="99" s="1"/>
  <c r="E67" i="99"/>
  <c r="M67" i="99" s="1"/>
  <c r="E68" i="99"/>
  <c r="M68" i="99" s="1"/>
  <c r="E69" i="99"/>
  <c r="M69" i="99" s="1"/>
  <c r="E70" i="99"/>
  <c r="M70" i="99" s="1"/>
  <c r="E71" i="99"/>
  <c r="M71" i="99" s="1"/>
  <c r="K13" i="93"/>
  <c r="D16" i="93"/>
  <c r="E15" i="94"/>
  <c r="E16" i="93" s="1"/>
  <c r="K16" i="93"/>
  <c r="I15" i="94"/>
  <c r="I16" i="93" s="1"/>
  <c r="F15" i="94"/>
  <c r="F16" i="93" s="1"/>
  <c r="G15" i="94"/>
  <c r="G16" i="93" s="1"/>
  <c r="D11" i="93"/>
  <c r="J12" i="93"/>
  <c r="D13" i="93"/>
  <c r="D12" i="93"/>
  <c r="J11" i="94"/>
  <c r="J11" i="93" s="1"/>
  <c r="D14" i="93"/>
  <c r="J15" i="94"/>
  <c r="J15" i="93" s="1"/>
  <c r="D15" i="93"/>
  <c r="L15" i="93" s="1"/>
  <c r="K15" i="93"/>
  <c r="H15" i="93"/>
  <c r="P15" i="93" s="1"/>
  <c r="P16" i="93" s="1"/>
  <c r="H13" i="94"/>
  <c r="H13" i="93" s="1"/>
  <c r="E13" i="94"/>
  <c r="E13" i="93" s="1"/>
  <c r="F13" i="94"/>
  <c r="F13" i="93" s="1"/>
  <c r="G13" i="94"/>
  <c r="G13" i="93" s="1"/>
  <c r="I13" i="94"/>
  <c r="I13" i="93" s="1"/>
  <c r="K14" i="93"/>
  <c r="J13" i="94"/>
  <c r="J13" i="93" s="1"/>
  <c r="H12" i="94"/>
  <c r="H12" i="93" s="1"/>
  <c r="H11" i="94"/>
  <c r="E12" i="94"/>
  <c r="E12" i="93" s="1"/>
  <c r="E11" i="94"/>
  <c r="F12" i="94"/>
  <c r="F12" i="93" s="1"/>
  <c r="K11" i="93"/>
  <c r="F11" i="94"/>
  <c r="G12" i="94"/>
  <c r="G12" i="93" s="1"/>
  <c r="K12" i="93"/>
  <c r="G11" i="94"/>
  <c r="I12" i="94"/>
  <c r="I12" i="93" s="1"/>
  <c r="I11" i="94"/>
  <c r="D66" i="93"/>
  <c r="L66" i="93" s="1"/>
  <c r="D72" i="93"/>
  <c r="D67" i="93"/>
  <c r="L67" i="93" s="1"/>
  <c r="D68" i="93"/>
  <c r="L68" i="93" s="1"/>
  <c r="D69" i="93"/>
  <c r="L69" i="93" s="1"/>
  <c r="D70" i="93"/>
  <c r="L70" i="93" s="1"/>
  <c r="D71" i="93"/>
  <c r="L71" i="93" s="1"/>
  <c r="I66" i="100"/>
  <c r="Q66" i="100" s="1"/>
  <c r="I72" i="100"/>
  <c r="I67" i="100"/>
  <c r="Q67" i="100" s="1"/>
  <c r="I68" i="100"/>
  <c r="Q68" i="100" s="1"/>
  <c r="I69" i="100"/>
  <c r="Q69" i="100" s="1"/>
  <c r="I70" i="100"/>
  <c r="Q70" i="100" s="1"/>
  <c r="I71" i="100"/>
  <c r="Q71" i="100" s="1"/>
  <c r="J72" i="97"/>
  <c r="J66" i="99"/>
  <c r="R66" i="99" s="1"/>
  <c r="J72" i="99"/>
  <c r="F72" i="93"/>
  <c r="F66" i="93"/>
  <c r="N66" i="93" s="1"/>
  <c r="F67" i="93"/>
  <c r="N67" i="93" s="1"/>
  <c r="F68" i="93"/>
  <c r="N68" i="93" s="1"/>
  <c r="F69" i="93"/>
  <c r="N69" i="93" s="1"/>
  <c r="F70" i="93"/>
  <c r="N70" i="93" s="1"/>
  <c r="F71" i="93"/>
  <c r="N71" i="93" s="1"/>
  <c r="K72" i="100"/>
  <c r="K66" i="100"/>
  <c r="S66" i="100" s="1"/>
  <c r="K67" i="100"/>
  <c r="S67" i="100" s="1"/>
  <c r="K68" i="100"/>
  <c r="S68" i="100" s="1"/>
  <c r="K69" i="100"/>
  <c r="S69" i="100" s="1"/>
  <c r="K70" i="100"/>
  <c r="S70" i="100" s="1"/>
  <c r="K71" i="100"/>
  <c r="S71" i="100" s="1"/>
  <c r="G72" i="93"/>
  <c r="G66" i="93"/>
  <c r="O66" i="93" s="1"/>
  <c r="D72" i="100"/>
  <c r="D66" i="100"/>
  <c r="L66" i="100" s="1"/>
  <c r="D67" i="100"/>
  <c r="L67" i="100" s="1"/>
  <c r="D68" i="100"/>
  <c r="L68" i="100" s="1"/>
  <c r="D69" i="100"/>
  <c r="L69" i="100" s="1"/>
  <c r="D70" i="100"/>
  <c r="L70" i="100" s="1"/>
  <c r="D71" i="100"/>
  <c r="L71" i="100" s="1"/>
  <c r="E72" i="97"/>
  <c r="E66" i="99"/>
  <c r="M66" i="99" s="1"/>
  <c r="E72" i="99"/>
  <c r="H72" i="93"/>
  <c r="H66" i="93"/>
  <c r="P66" i="93" s="1"/>
  <c r="H67" i="93"/>
  <c r="P67" i="93" s="1"/>
  <c r="H68" i="93"/>
  <c r="P68" i="93" s="1"/>
  <c r="H69" i="93"/>
  <c r="P69" i="93" s="1"/>
  <c r="H70" i="93"/>
  <c r="P70" i="93" s="1"/>
  <c r="H71" i="93"/>
  <c r="P71" i="93" s="1"/>
  <c r="E66" i="100"/>
  <c r="M66" i="100" s="1"/>
  <c r="E72" i="100"/>
  <c r="E67" i="100"/>
  <c r="M67" i="100" s="1"/>
  <c r="E68" i="100"/>
  <c r="M68" i="100" s="1"/>
  <c r="E69" i="100"/>
  <c r="M69" i="100" s="1"/>
  <c r="E70" i="100"/>
  <c r="M70" i="100" s="1"/>
  <c r="E71" i="100"/>
  <c r="M71" i="100" s="1"/>
  <c r="I66" i="93"/>
  <c r="Q66" i="93" s="1"/>
  <c r="I72" i="93"/>
  <c r="I67" i="93"/>
  <c r="Q67" i="93" s="1"/>
  <c r="I68" i="93"/>
  <c r="Q68" i="93" s="1"/>
  <c r="I69" i="93"/>
  <c r="Q69" i="93" s="1"/>
  <c r="I70" i="93"/>
  <c r="Q70" i="93" s="1"/>
  <c r="F66" i="100"/>
  <c r="N66" i="100" s="1"/>
  <c r="F72" i="100"/>
  <c r="F67" i="100"/>
  <c r="N67" i="100" s="1"/>
  <c r="F68" i="100"/>
  <c r="N68" i="100" s="1"/>
  <c r="F69" i="100"/>
  <c r="N69" i="100" s="1"/>
  <c r="F70" i="100"/>
  <c r="N70" i="100" s="1"/>
  <c r="F71" i="100"/>
  <c r="N71" i="100" s="1"/>
  <c r="J66" i="93"/>
  <c r="R66" i="93" s="1"/>
  <c r="J72" i="93"/>
  <c r="J68" i="93"/>
  <c r="R68" i="93" s="1"/>
  <c r="J69" i="93"/>
  <c r="R69" i="93" s="1"/>
  <c r="J70" i="93"/>
  <c r="R70" i="93" s="1"/>
  <c r="J71" i="93"/>
  <c r="R71" i="93" s="1"/>
  <c r="G66" i="100"/>
  <c r="O66" i="100" s="1"/>
  <c r="G72" i="100"/>
  <c r="G67" i="100"/>
  <c r="O67" i="100" s="1"/>
  <c r="G68" i="100"/>
  <c r="O68" i="100" s="1"/>
  <c r="G69" i="100"/>
  <c r="O69" i="100" s="1"/>
  <c r="G70" i="100"/>
  <c r="O70" i="100" s="1"/>
  <c r="G71" i="100"/>
  <c r="O71" i="100" s="1"/>
  <c r="H72" i="97"/>
  <c r="H72" i="99"/>
  <c r="H66" i="99"/>
  <c r="P66" i="99" s="1"/>
  <c r="E66" i="93"/>
  <c r="M66" i="93" s="1"/>
  <c r="E72" i="93"/>
  <c r="J66" i="100"/>
  <c r="R66" i="100" s="1"/>
  <c r="J72" i="100"/>
  <c r="K66" i="93"/>
  <c r="S66" i="93" s="1"/>
  <c r="K72" i="93"/>
  <c r="K67" i="93"/>
  <c r="S67" i="93" s="1"/>
  <c r="K68" i="93"/>
  <c r="S68" i="93" s="1"/>
  <c r="K69" i="93"/>
  <c r="S69" i="93" s="1"/>
  <c r="K70" i="93"/>
  <c r="S70" i="93" s="1"/>
  <c r="K71" i="93"/>
  <c r="S71" i="93" s="1"/>
  <c r="H66" i="100"/>
  <c r="P66" i="100" s="1"/>
  <c r="H72" i="100"/>
  <c r="H67" i="100"/>
  <c r="P67" i="100" s="1"/>
  <c r="H68" i="100"/>
  <c r="P68" i="100" s="1"/>
  <c r="H69" i="100"/>
  <c r="P69" i="100" s="1"/>
  <c r="H70" i="100"/>
  <c r="P70" i="100" s="1"/>
  <c r="H71" i="100"/>
  <c r="P71" i="100" s="1"/>
  <c r="I72" i="97"/>
  <c r="I66" i="99"/>
  <c r="Q66" i="99" s="1"/>
  <c r="I72" i="99"/>
  <c r="I67" i="99"/>
  <c r="Q67" i="99" s="1"/>
  <c r="I68" i="99"/>
  <c r="Q68" i="99" s="1"/>
  <c r="I69" i="99"/>
  <c r="Q69" i="99" s="1"/>
  <c r="I70" i="99"/>
  <c r="Q70" i="99" s="1"/>
  <c r="I71" i="99"/>
  <c r="Q71" i="99" s="1"/>
  <c r="K72" i="97"/>
  <c r="K66" i="99"/>
  <c r="S66" i="99" s="1"/>
  <c r="K72" i="99"/>
  <c r="K67" i="99"/>
  <c r="S67" i="99" s="1"/>
  <c r="K68" i="99"/>
  <c r="S68" i="99" s="1"/>
  <c r="K69" i="99"/>
  <c r="S69" i="99" s="1"/>
  <c r="K70" i="99"/>
  <c r="S70" i="99" s="1"/>
  <c r="K71" i="99"/>
  <c r="S71" i="99" s="1"/>
  <c r="D72" i="97"/>
  <c r="D66" i="99"/>
  <c r="L66" i="99" s="1"/>
  <c r="D72" i="99"/>
  <c r="D67" i="99"/>
  <c r="L67" i="99" s="1"/>
  <c r="D68" i="99"/>
  <c r="L68" i="99" s="1"/>
  <c r="D69" i="99"/>
  <c r="L69" i="99" s="1"/>
  <c r="D70" i="99"/>
  <c r="L70" i="99" s="1"/>
  <c r="D71" i="99"/>
  <c r="L71" i="99" s="1"/>
  <c r="F72" i="97"/>
  <c r="F66" i="99"/>
  <c r="N66" i="99" s="1"/>
  <c r="F72" i="99"/>
  <c r="F68" i="99"/>
  <c r="N68" i="99" s="1"/>
  <c r="F69" i="99"/>
  <c r="N69" i="99" s="1"/>
  <c r="F70" i="99"/>
  <c r="N70" i="99" s="1"/>
  <c r="F71" i="99"/>
  <c r="N71" i="99" s="1"/>
  <c r="G72" i="97"/>
  <c r="G72" i="99"/>
  <c r="G66" i="99"/>
  <c r="O66" i="99" s="1"/>
  <c r="G67" i="99"/>
  <c r="O67" i="99" s="1"/>
  <c r="G68" i="99"/>
  <c r="O68" i="99" s="1"/>
  <c r="G69" i="99"/>
  <c r="O69" i="99" s="1"/>
  <c r="G70" i="99"/>
  <c r="O70" i="99" s="1"/>
  <c r="G71" i="99"/>
  <c r="O71" i="99" s="1"/>
  <c r="J4" i="94"/>
  <c r="E6" i="94"/>
  <c r="G6" i="94"/>
  <c r="H6" i="94"/>
  <c r="F6" i="94"/>
  <c r="I6" i="94"/>
  <c r="I7" i="93" s="1"/>
  <c r="J5" i="94"/>
  <c r="J5" i="93" s="1"/>
  <c r="E5" i="94"/>
  <c r="E5" i="93" s="1"/>
  <c r="F5" i="94"/>
  <c r="G5" i="94"/>
  <c r="G5" i="93" s="1"/>
  <c r="H5" i="94"/>
  <c r="H5" i="93" s="1"/>
  <c r="E4" i="94"/>
  <c r="J8" i="93"/>
  <c r="J9" i="93"/>
  <c r="D8" i="93"/>
  <c r="L8" i="93" s="1"/>
  <c r="L9" i="93" s="1"/>
  <c r="T9" i="93" s="1"/>
  <c r="K9" i="93"/>
  <c r="F8" i="93"/>
  <c r="G8" i="93"/>
  <c r="F9" i="93"/>
  <c r="I8" i="93"/>
  <c r="I9" i="93"/>
  <c r="K8" i="93"/>
  <c r="J6" i="93"/>
  <c r="J4" i="93"/>
  <c r="I5" i="93"/>
  <c r="K4" i="93"/>
  <c r="D4" i="93"/>
  <c r="K5" i="93"/>
  <c r="K6" i="93"/>
  <c r="K7" i="93"/>
  <c r="F5" i="93"/>
  <c r="L9" i="99"/>
  <c r="T9" i="99" s="1"/>
  <c r="T8" i="99"/>
  <c r="Q9" i="99"/>
  <c r="S23" i="99"/>
  <c r="P9" i="99"/>
  <c r="L23" i="99"/>
  <c r="T23" i="99" s="1"/>
  <c r="P16" i="99"/>
  <c r="S8" i="99"/>
  <c r="Q16" i="99"/>
  <c r="O23" i="99"/>
  <c r="R16" i="99"/>
  <c r="S16" i="99"/>
  <c r="Q23" i="99"/>
  <c r="N9" i="99"/>
  <c r="L16" i="99"/>
  <c r="T16" i="99" s="1"/>
  <c r="R23" i="99"/>
  <c r="Z23" i="99" s="1"/>
  <c r="O9" i="99"/>
  <c r="W9" i="99" s="1"/>
  <c r="L23" i="100"/>
  <c r="T23" i="100" s="1"/>
  <c r="T22" i="100"/>
  <c r="L16" i="100"/>
  <c r="T16" i="100" s="1"/>
  <c r="R9" i="100"/>
  <c r="O16" i="100"/>
  <c r="S23" i="100"/>
  <c r="AA22" i="100" s="1"/>
  <c r="L8" i="100"/>
  <c r="O23" i="100"/>
  <c r="W22" i="100" s="1"/>
  <c r="V22" i="100"/>
  <c r="P23" i="100"/>
  <c r="X22" i="100" s="1"/>
  <c r="N8" i="100"/>
  <c r="P23" i="93"/>
  <c r="X22" i="93" s="1"/>
  <c r="R23" i="93"/>
  <c r="L23" i="93"/>
  <c r="T23" i="93" s="1"/>
  <c r="T22" i="93" s="1"/>
  <c r="G9" i="93"/>
  <c r="H9" i="93"/>
  <c r="F7" i="93"/>
  <c r="H31" i="93"/>
  <c r="F6" i="93"/>
  <c r="I31" i="93"/>
  <c r="E22" i="51"/>
  <c r="H22" i="51"/>
  <c r="J22" i="51"/>
  <c r="F22" i="51"/>
  <c r="G22" i="51"/>
  <c r="J21" i="51"/>
  <c r="F21" i="51"/>
  <c r="D19" i="51"/>
  <c r="D20" i="51"/>
  <c r="I21" i="51"/>
  <c r="E21" i="51"/>
  <c r="D18" i="51"/>
  <c r="G21" i="51"/>
  <c r="H21" i="51"/>
  <c r="E15" i="49"/>
  <c r="F15" i="49"/>
  <c r="G15" i="49"/>
  <c r="H15" i="49"/>
  <c r="I15" i="49"/>
  <c r="J15" i="49"/>
  <c r="K15" i="49"/>
  <c r="D15" i="49"/>
  <c r="K16" i="49"/>
  <c r="J16" i="49"/>
  <c r="I16" i="49"/>
  <c r="H16" i="49"/>
  <c r="G16" i="49"/>
  <c r="F16" i="49"/>
  <c r="E16" i="49"/>
  <c r="D16" i="49"/>
  <c r="I12" i="51"/>
  <c r="K13" i="51"/>
  <c r="K12" i="51"/>
  <c r="K11" i="51"/>
  <c r="D13" i="51"/>
  <c r="J13" i="51" s="1"/>
  <c r="J13" i="49" s="1"/>
  <c r="D12" i="51"/>
  <c r="H12" i="51" s="1"/>
  <c r="D11" i="51"/>
  <c r="D4" i="51"/>
  <c r="I7" i="49" s="1"/>
  <c r="J15" i="51"/>
  <c r="I15" i="51"/>
  <c r="H15" i="51"/>
  <c r="G15" i="51"/>
  <c r="F15" i="51"/>
  <c r="E15" i="51"/>
  <c r="K15" i="51"/>
  <c r="J16" i="51"/>
  <c r="I16" i="51"/>
  <c r="H16" i="51"/>
  <c r="G16" i="51"/>
  <c r="F16" i="51"/>
  <c r="J14" i="51"/>
  <c r="I14" i="51"/>
  <c r="H14" i="51"/>
  <c r="G14" i="51"/>
  <c r="F14" i="51"/>
  <c r="E16" i="51"/>
  <c r="E14" i="51"/>
  <c r="K16" i="51"/>
  <c r="K14" i="51"/>
  <c r="D16" i="51"/>
  <c r="K30" i="49"/>
  <c r="K31" i="49"/>
  <c r="D31" i="49"/>
  <c r="D30" i="49"/>
  <c r="K32" i="49"/>
  <c r="D32" i="49"/>
  <c r="G32" i="51"/>
  <c r="H32" i="51"/>
  <c r="I32" i="51"/>
  <c r="J32" i="51"/>
  <c r="F32" i="51"/>
  <c r="D31" i="51"/>
  <c r="D30" i="51"/>
  <c r="K31" i="51"/>
  <c r="K30" i="51"/>
  <c r="K4" i="51"/>
  <c r="K32" i="51"/>
  <c r="D32" i="51"/>
  <c r="J5" i="51"/>
  <c r="J6" i="51"/>
  <c r="J4" i="51"/>
  <c r="H5" i="51"/>
  <c r="K6" i="51"/>
  <c r="K5" i="51"/>
  <c r="I4" i="51"/>
  <c r="I6" i="51"/>
  <c r="I5" i="51"/>
  <c r="F6" i="51"/>
  <c r="G6" i="51" s="1"/>
  <c r="F5" i="51"/>
  <c r="G5" i="51" s="1"/>
  <c r="F4" i="51"/>
  <c r="G4" i="51" s="1"/>
  <c r="J8" i="51"/>
  <c r="G7" i="51"/>
  <c r="F8" i="51"/>
  <c r="G8" i="51" s="1"/>
  <c r="I8" i="51"/>
  <c r="K8" i="51"/>
  <c r="D8" i="51"/>
  <c r="I9" i="49" s="1"/>
  <c r="D6" i="51"/>
  <c r="D6" i="49" s="1"/>
  <c r="D5" i="51"/>
  <c r="D5" i="49" s="1"/>
  <c r="K9" i="51"/>
  <c r="I9" i="51"/>
  <c r="J9" i="51" s="1"/>
  <c r="E9" i="51"/>
  <c r="K7" i="51"/>
  <c r="N72" i="100" l="1"/>
  <c r="O72" i="93"/>
  <c r="M72" i="93"/>
  <c r="N72" i="93"/>
  <c r="O72" i="100"/>
  <c r="M72" i="99"/>
  <c r="P72" i="100"/>
  <c r="P72" i="99"/>
  <c r="S72" i="93"/>
  <c r="R72" i="100"/>
  <c r="X22" i="99"/>
  <c r="X16" i="99"/>
  <c r="Y9" i="99"/>
  <c r="Y8" i="99" s="1"/>
  <c r="H32" i="93"/>
  <c r="H30" i="93"/>
  <c r="I32" i="93"/>
  <c r="I30" i="93"/>
  <c r="S15" i="93"/>
  <c r="S16" i="93" s="1"/>
  <c r="AA16" i="93" s="1"/>
  <c r="AA23" i="93"/>
  <c r="V23" i="93"/>
  <c r="V22" i="93"/>
  <c r="O72" i="99"/>
  <c r="Q72" i="99"/>
  <c r="R72" i="93"/>
  <c r="Q72" i="93"/>
  <c r="M72" i="100"/>
  <c r="P72" i="93"/>
  <c r="S72" i="100"/>
  <c r="R72" i="99"/>
  <c r="Q72" i="100"/>
  <c r="L72" i="93"/>
  <c r="S72" i="99"/>
  <c r="N72" i="99"/>
  <c r="L72" i="99"/>
  <c r="F15" i="93"/>
  <c r="N15" i="93" s="1"/>
  <c r="N16" i="93" s="1"/>
  <c r="V16" i="93" s="1"/>
  <c r="V15" i="93" s="1"/>
  <c r="I15" i="93"/>
  <c r="Q15" i="93" s="1"/>
  <c r="Q16" i="93" s="1"/>
  <c r="E15" i="93"/>
  <c r="G15" i="93"/>
  <c r="O15" i="93" s="1"/>
  <c r="O16" i="93" s="1"/>
  <c r="L16" i="93"/>
  <c r="T16" i="93" s="1"/>
  <c r="J16" i="93"/>
  <c r="R15" i="93" s="1"/>
  <c r="R16" i="93" s="1"/>
  <c r="Z16" i="93" s="1"/>
  <c r="J14" i="93"/>
  <c r="G11" i="93"/>
  <c r="G14" i="93"/>
  <c r="H11" i="93"/>
  <c r="H14" i="93"/>
  <c r="F11" i="93"/>
  <c r="F14" i="93"/>
  <c r="I14" i="93"/>
  <c r="I11" i="93"/>
  <c r="E11" i="93"/>
  <c r="E14" i="93"/>
  <c r="L72" i="100"/>
  <c r="T72" i="100" s="1"/>
  <c r="T69" i="100" s="1"/>
  <c r="I6" i="93"/>
  <c r="H8" i="93"/>
  <c r="P8" i="93" s="1"/>
  <c r="P9" i="93" s="1"/>
  <c r="X9" i="93" s="1"/>
  <c r="X8" i="93" s="1"/>
  <c r="R8" i="93"/>
  <c r="R9" i="93" s="1"/>
  <c r="Z9" i="93" s="1"/>
  <c r="Z8" i="93" s="1"/>
  <c r="E9" i="93"/>
  <c r="E8" i="93"/>
  <c r="S8" i="93"/>
  <c r="S9" i="93" s="1"/>
  <c r="AA9" i="93" s="1"/>
  <c r="AA8" i="93" s="1"/>
  <c r="O8" i="93"/>
  <c r="O9" i="93" s="1"/>
  <c r="W9" i="93" s="1"/>
  <c r="W8" i="93" s="1"/>
  <c r="N8" i="93"/>
  <c r="N9" i="93" s="1"/>
  <c r="V9" i="93" s="1"/>
  <c r="Q8" i="93"/>
  <c r="Q9" i="93" s="1"/>
  <c r="Y9" i="93" s="1"/>
  <c r="Y8" i="93" s="1"/>
  <c r="F4" i="93"/>
  <c r="J7" i="93"/>
  <c r="Z23" i="93"/>
  <c r="T8" i="93"/>
  <c r="W23" i="93"/>
  <c r="W23" i="100"/>
  <c r="X15" i="100"/>
  <c r="W16" i="100"/>
  <c r="W15" i="100" s="1"/>
  <c r="T15" i="100"/>
  <c r="X23" i="100"/>
  <c r="Z16" i="100"/>
  <c r="Z15" i="100" s="1"/>
  <c r="AA16" i="100"/>
  <c r="AA15" i="100" s="1"/>
  <c r="Y16" i="100"/>
  <c r="Y15" i="100" s="1"/>
  <c r="W8" i="99"/>
  <c r="Y23" i="99"/>
  <c r="AA23" i="99"/>
  <c r="Z22" i="99"/>
  <c r="Y22" i="99"/>
  <c r="X15" i="99"/>
  <c r="T22" i="99"/>
  <c r="X9" i="99"/>
  <c r="X8" i="99" s="1"/>
  <c r="AA22" i="99"/>
  <c r="Z16" i="99"/>
  <c r="Z15" i="99" s="1"/>
  <c r="V23" i="99"/>
  <c r="V22" i="99"/>
  <c r="Y16" i="99"/>
  <c r="Y15" i="99" s="1"/>
  <c r="V16" i="99"/>
  <c r="V15" i="99" s="1"/>
  <c r="V9" i="99"/>
  <c r="V8" i="99" s="1"/>
  <c r="W23" i="99"/>
  <c r="S9" i="99"/>
  <c r="AA9" i="99" s="1"/>
  <c r="T15" i="99"/>
  <c r="AA16" i="99"/>
  <c r="AA15" i="99" s="1"/>
  <c r="W22" i="99"/>
  <c r="Z8" i="99"/>
  <c r="X23" i="99"/>
  <c r="W16" i="99"/>
  <c r="W15" i="99" s="1"/>
  <c r="AA23" i="100"/>
  <c r="V23" i="100"/>
  <c r="L9" i="100"/>
  <c r="N9" i="100"/>
  <c r="Z9" i="100"/>
  <c r="Z8" i="100" s="1"/>
  <c r="Y23" i="100"/>
  <c r="Z23" i="100"/>
  <c r="V16" i="100"/>
  <c r="V15" i="100" s="1"/>
  <c r="X9" i="100"/>
  <c r="X8" i="100" s="1"/>
  <c r="Y23" i="93"/>
  <c r="Z22" i="93"/>
  <c r="X23" i="93"/>
  <c r="W22" i="93"/>
  <c r="H6" i="93"/>
  <c r="G6" i="93"/>
  <c r="E6" i="93"/>
  <c r="G9" i="49"/>
  <c r="G8" i="49"/>
  <c r="H8" i="51"/>
  <c r="H6" i="51"/>
  <c r="F8" i="49"/>
  <c r="F9" i="49"/>
  <c r="D8" i="49"/>
  <c r="D9" i="49"/>
  <c r="K8" i="49"/>
  <c r="K9" i="49"/>
  <c r="E8" i="51"/>
  <c r="J8" i="49"/>
  <c r="J9" i="49"/>
  <c r="I8" i="49"/>
  <c r="G6" i="49"/>
  <c r="G7" i="49"/>
  <c r="G4" i="49"/>
  <c r="H5" i="49"/>
  <c r="I6" i="49"/>
  <c r="F7" i="49"/>
  <c r="H6" i="49"/>
  <c r="I5" i="49"/>
  <c r="J6" i="49"/>
  <c r="F4" i="49"/>
  <c r="E4" i="51"/>
  <c r="I4" i="49"/>
  <c r="J5" i="49"/>
  <c r="K6" i="49"/>
  <c r="D7" i="49"/>
  <c r="F5" i="49"/>
  <c r="G5" i="49"/>
  <c r="E5" i="51"/>
  <c r="E5" i="49" s="1"/>
  <c r="D4" i="49"/>
  <c r="J4" i="49"/>
  <c r="K5" i="49"/>
  <c r="K7" i="49"/>
  <c r="E6" i="51"/>
  <c r="E6" i="49" s="1"/>
  <c r="K4" i="49"/>
  <c r="J7" i="49"/>
  <c r="F6" i="49"/>
  <c r="K11" i="49"/>
  <c r="I12" i="49"/>
  <c r="F13" i="51"/>
  <c r="F13" i="49" s="1"/>
  <c r="K14" i="49"/>
  <c r="G13" i="51"/>
  <c r="H12" i="49"/>
  <c r="H13" i="51"/>
  <c r="H13" i="49" s="1"/>
  <c r="G13" i="49"/>
  <c r="H11" i="51"/>
  <c r="J12" i="51"/>
  <c r="J12" i="49" s="1"/>
  <c r="D13" i="49"/>
  <c r="I11" i="51"/>
  <c r="E13" i="51"/>
  <c r="E13" i="49" s="1"/>
  <c r="D12" i="49"/>
  <c r="G11" i="51"/>
  <c r="K12" i="49"/>
  <c r="E12" i="51"/>
  <c r="E12" i="49" s="1"/>
  <c r="K13" i="49"/>
  <c r="D11" i="49"/>
  <c r="F12" i="51"/>
  <c r="F12" i="49" s="1"/>
  <c r="E11" i="51"/>
  <c r="G12" i="51"/>
  <c r="G12" i="49" s="1"/>
  <c r="I13" i="51"/>
  <c r="I13" i="49" s="1"/>
  <c r="D14" i="49"/>
  <c r="J11" i="51"/>
  <c r="F11" i="51"/>
  <c r="G9" i="51"/>
  <c r="H9" i="51"/>
  <c r="U72" i="93" l="1"/>
  <c r="U70" i="93" s="1"/>
  <c r="T66" i="100"/>
  <c r="Z72" i="100"/>
  <c r="Z67" i="100" s="1"/>
  <c r="Y72" i="100"/>
  <c r="Y70" i="100" s="1"/>
  <c r="U72" i="100"/>
  <c r="U71" i="100" s="1"/>
  <c r="X72" i="100"/>
  <c r="X69" i="100" s="1"/>
  <c r="W72" i="100"/>
  <c r="W70" i="100" s="1"/>
  <c r="T67" i="100"/>
  <c r="T70" i="100"/>
  <c r="V72" i="100"/>
  <c r="V71" i="100" s="1"/>
  <c r="T71" i="100"/>
  <c r="X72" i="99"/>
  <c r="X68" i="99" s="1"/>
  <c r="Z72" i="99"/>
  <c r="Z71" i="99" s="1"/>
  <c r="T72" i="99"/>
  <c r="V72" i="99"/>
  <c r="V67" i="99" s="1"/>
  <c r="Y72" i="99"/>
  <c r="Y70" i="99" s="1"/>
  <c r="W72" i="99"/>
  <c r="W70" i="99" s="1"/>
  <c r="U72" i="99"/>
  <c r="U67" i="99" s="1"/>
  <c r="X72" i="93"/>
  <c r="X69" i="93" s="1"/>
  <c r="Z72" i="93"/>
  <c r="Z70" i="93" s="1"/>
  <c r="AA72" i="93"/>
  <c r="W72" i="93"/>
  <c r="W70" i="93" s="1"/>
  <c r="Y72" i="93"/>
  <c r="Y69" i="93" s="1"/>
  <c r="AA8" i="99"/>
  <c r="AA72" i="99"/>
  <c r="AA71" i="99" s="1"/>
  <c r="T72" i="93"/>
  <c r="V72" i="93"/>
  <c r="T68" i="100"/>
  <c r="T15" i="93"/>
  <c r="W16" i="93"/>
  <c r="W15" i="93" s="1"/>
  <c r="Y16" i="93"/>
  <c r="Y15" i="93" s="1"/>
  <c r="AA15" i="93"/>
  <c r="X16" i="93"/>
  <c r="X15" i="93" s="1"/>
  <c r="Z15" i="93"/>
  <c r="AA72" i="100"/>
  <c r="V8" i="93"/>
  <c r="G7" i="93"/>
  <c r="G4" i="93"/>
  <c r="H4" i="93"/>
  <c r="H7" i="93"/>
  <c r="E4" i="93"/>
  <c r="E7" i="93"/>
  <c r="W9" i="100"/>
  <c r="W8" i="100" s="1"/>
  <c r="V9" i="100"/>
  <c r="V8" i="100" s="1"/>
  <c r="T9" i="100"/>
  <c r="T8" i="100" s="1"/>
  <c r="Y9" i="100"/>
  <c r="Y8" i="100" s="1"/>
  <c r="AA9" i="100"/>
  <c r="AA8" i="100" s="1"/>
  <c r="H9" i="49"/>
  <c r="H8" i="49"/>
  <c r="E8" i="49"/>
  <c r="E9" i="49"/>
  <c r="E4" i="49"/>
  <c r="E7" i="49"/>
  <c r="E11" i="49"/>
  <c r="E14" i="49"/>
  <c r="I14" i="49"/>
  <c r="I11" i="49"/>
  <c r="G11" i="49"/>
  <c r="G14" i="49"/>
  <c r="F11" i="49"/>
  <c r="F14" i="49"/>
  <c r="J14" i="49"/>
  <c r="J11" i="49"/>
  <c r="H11" i="49"/>
  <c r="H14" i="49"/>
  <c r="I7" i="51"/>
  <c r="J7" i="51" s="1"/>
  <c r="U70" i="99" l="1"/>
  <c r="U66" i="93"/>
  <c r="U67" i="93"/>
  <c r="U69" i="93"/>
  <c r="U68" i="93"/>
  <c r="U71" i="93"/>
  <c r="Z68" i="93"/>
  <c r="U70" i="100"/>
  <c r="U67" i="100"/>
  <c r="U68" i="100"/>
  <c r="Y71" i="100"/>
  <c r="Z71" i="100"/>
  <c r="X66" i="100"/>
  <c r="Z68" i="100"/>
  <c r="X70" i="100"/>
  <c r="U69" i="100"/>
  <c r="W71" i="93"/>
  <c r="U66" i="100"/>
  <c r="X67" i="100"/>
  <c r="Z69" i="100"/>
  <c r="Z66" i="100"/>
  <c r="Y67" i="100"/>
  <c r="Z70" i="100"/>
  <c r="X68" i="100"/>
  <c r="X71" i="100"/>
  <c r="Y66" i="100"/>
  <c r="Y68" i="100"/>
  <c r="Y69" i="100"/>
  <c r="W66" i="100"/>
  <c r="W68" i="100"/>
  <c r="V66" i="99"/>
  <c r="Y66" i="93"/>
  <c r="V69" i="99"/>
  <c r="Y70" i="93"/>
  <c r="W67" i="100"/>
  <c r="Y67" i="93"/>
  <c r="W69" i="100"/>
  <c r="V70" i="99"/>
  <c r="W71" i="100"/>
  <c r="V66" i="100"/>
  <c r="V70" i="100"/>
  <c r="V71" i="99"/>
  <c r="V69" i="100"/>
  <c r="V68" i="100"/>
  <c r="V67" i="100"/>
  <c r="X70" i="93"/>
  <c r="Y68" i="93"/>
  <c r="Y71" i="93"/>
  <c r="W67" i="93"/>
  <c r="Z71" i="93"/>
  <c r="Z66" i="93"/>
  <c r="Z67" i="93"/>
  <c r="Z69" i="93"/>
  <c r="X71" i="93"/>
  <c r="Z66" i="99"/>
  <c r="X70" i="99"/>
  <c r="X71" i="99"/>
  <c r="X67" i="99"/>
  <c r="Z67" i="99"/>
  <c r="X69" i="99"/>
  <c r="X66" i="99"/>
  <c r="AA67" i="99"/>
  <c r="Y69" i="99"/>
  <c r="Z68" i="99"/>
  <c r="Y71" i="99"/>
  <c r="Y68" i="99"/>
  <c r="V68" i="99"/>
  <c r="U71" i="99"/>
  <c r="Y67" i="99"/>
  <c r="W69" i="99"/>
  <c r="Y66" i="99"/>
  <c r="W66" i="99"/>
  <c r="T68" i="99"/>
  <c r="T71" i="99"/>
  <c r="U68" i="99"/>
  <c r="T70" i="99"/>
  <c r="W71" i="99"/>
  <c r="Z70" i="99"/>
  <c r="W68" i="99"/>
  <c r="U69" i="99"/>
  <c r="T69" i="99"/>
  <c r="T67" i="99"/>
  <c r="T66" i="99"/>
  <c r="Z69" i="99"/>
  <c r="U66" i="99"/>
  <c r="W67" i="99"/>
  <c r="X67" i="93"/>
  <c r="W69" i="93"/>
  <c r="X66" i="93"/>
  <c r="W68" i="93"/>
  <c r="X68" i="93"/>
  <c r="AA71" i="93"/>
  <c r="AA67" i="93"/>
  <c r="AA68" i="93"/>
  <c r="AA69" i="93"/>
  <c r="AA70" i="93"/>
  <c r="AA66" i="93"/>
  <c r="W66" i="93"/>
  <c r="AA69" i="99"/>
  <c r="V69" i="93"/>
  <c r="V67" i="93"/>
  <c r="V68" i="93"/>
  <c r="V66" i="93"/>
  <c r="V71" i="93"/>
  <c r="V70" i="93"/>
  <c r="AA70" i="99"/>
  <c r="AA68" i="99"/>
  <c r="T70" i="93"/>
  <c r="T66" i="93"/>
  <c r="T68" i="93"/>
  <c r="T71" i="93"/>
  <c r="T69" i="93"/>
  <c r="T67" i="93"/>
  <c r="AA66" i="99"/>
  <c r="AA71" i="100"/>
  <c r="AA66" i="100"/>
  <c r="AA70" i="100"/>
  <c r="AA68" i="100"/>
  <c r="AA67" i="100"/>
  <c r="AA69" i="100"/>
  <c r="F24" i="105"/>
  <c r="C24" i="105"/>
  <c r="F23" i="105"/>
  <c r="C23" i="105"/>
  <c r="C21" i="105"/>
  <c r="C20" i="105"/>
  <c r="C19" i="105"/>
  <c r="J17" i="105"/>
  <c r="I17" i="105"/>
  <c r="H17" i="105"/>
  <c r="G17" i="105"/>
  <c r="F17" i="105"/>
  <c r="E17" i="105"/>
  <c r="D17" i="105"/>
  <c r="C16" i="105"/>
  <c r="C15" i="105"/>
  <c r="C14" i="105"/>
  <c r="J12" i="105"/>
  <c r="I12" i="105"/>
  <c r="H12" i="105"/>
  <c r="G12" i="105"/>
  <c r="F12" i="105"/>
  <c r="E12" i="105"/>
  <c r="D12" i="105"/>
  <c r="C11" i="105"/>
  <c r="C10" i="105"/>
  <c r="C9" i="105"/>
  <c r="J7" i="105"/>
  <c r="I7" i="105"/>
  <c r="H7" i="105"/>
  <c r="G7" i="105"/>
  <c r="F7" i="105"/>
  <c r="E7" i="105"/>
  <c r="D7" i="105"/>
  <c r="C6" i="105"/>
  <c r="C5" i="105"/>
  <c r="C4" i="105"/>
  <c r="I19" i="105" l="1"/>
  <c r="L25" i="49"/>
  <c r="L25" i="100"/>
  <c r="L25" i="93"/>
  <c r="L25" i="99"/>
  <c r="D16" i="105"/>
  <c r="L20" i="93"/>
  <c r="L20" i="49"/>
  <c r="L20" i="99"/>
  <c r="L20" i="100"/>
  <c r="I4" i="105"/>
  <c r="L4" i="100"/>
  <c r="L4" i="49"/>
  <c r="L4" i="93"/>
  <c r="L4" i="99"/>
  <c r="E21" i="105"/>
  <c r="L27" i="49"/>
  <c r="L27" i="93"/>
  <c r="L27" i="99"/>
  <c r="L27" i="100"/>
  <c r="L30" i="49"/>
  <c r="L30" i="100"/>
  <c r="L30" i="93"/>
  <c r="L30" i="99"/>
  <c r="D9" i="105"/>
  <c r="L11" i="49"/>
  <c r="L11" i="100"/>
  <c r="L11" i="99"/>
  <c r="L11" i="93"/>
  <c r="G23" i="105"/>
  <c r="O30" i="93"/>
  <c r="O30" i="100"/>
  <c r="O30" i="99"/>
  <c r="I20" i="105"/>
  <c r="L26" i="100"/>
  <c r="L26" i="49"/>
  <c r="L26" i="93"/>
  <c r="L26" i="99"/>
  <c r="M8" i="49"/>
  <c r="M8" i="100"/>
  <c r="M9" i="100" s="1"/>
  <c r="U9" i="100" s="1"/>
  <c r="U8" i="100" s="1"/>
  <c r="M8" i="99"/>
  <c r="M9" i="99" s="1"/>
  <c r="U9" i="99" s="1"/>
  <c r="U8" i="99" s="1"/>
  <c r="M8" i="93"/>
  <c r="M9" i="93" s="1"/>
  <c r="U9" i="93" s="1"/>
  <c r="L31" i="49"/>
  <c r="L31" i="93"/>
  <c r="L31" i="100"/>
  <c r="L31" i="99"/>
  <c r="I5" i="105"/>
  <c r="L5" i="100"/>
  <c r="L5" i="49"/>
  <c r="L5" i="99"/>
  <c r="L5" i="93"/>
  <c r="I6" i="105"/>
  <c r="L6" i="49"/>
  <c r="L6" i="100"/>
  <c r="L6" i="99"/>
  <c r="L6" i="93"/>
  <c r="J10" i="105"/>
  <c r="L12" i="99"/>
  <c r="L12" i="49"/>
  <c r="L12" i="100"/>
  <c r="L12" i="93"/>
  <c r="E14" i="105"/>
  <c r="L18" i="49"/>
  <c r="L18" i="99"/>
  <c r="L18" i="100"/>
  <c r="L18" i="93"/>
  <c r="G24" i="105"/>
  <c r="O31" i="99"/>
  <c r="O31" i="93"/>
  <c r="O31" i="100"/>
  <c r="M22" i="99"/>
  <c r="M22" i="49"/>
  <c r="M22" i="93"/>
  <c r="M23" i="93" s="1"/>
  <c r="M22" i="100"/>
  <c r="H11" i="105"/>
  <c r="L13" i="49"/>
  <c r="L13" i="100"/>
  <c r="L13" i="99"/>
  <c r="L13" i="93"/>
  <c r="M15" i="49"/>
  <c r="M15" i="99"/>
  <c r="M16" i="99" s="1"/>
  <c r="U16" i="99" s="1"/>
  <c r="U15" i="99" s="1"/>
  <c r="M15" i="100"/>
  <c r="M16" i="100" s="1"/>
  <c r="U16" i="100" s="1"/>
  <c r="U15" i="100" s="1"/>
  <c r="M15" i="93"/>
  <c r="M16" i="93" s="1"/>
  <c r="U16" i="93" s="1"/>
  <c r="U15" i="93" s="1"/>
  <c r="F15" i="105"/>
  <c r="L19" i="93"/>
  <c r="L19" i="49"/>
  <c r="L19" i="99"/>
  <c r="L19" i="100"/>
  <c r="E23" i="105"/>
  <c r="J4" i="105"/>
  <c r="J14" i="105"/>
  <c r="G4" i="105"/>
  <c r="H4" i="105"/>
  <c r="H6" i="105"/>
  <c r="F5" i="105"/>
  <c r="J21" i="105"/>
  <c r="J6" i="105"/>
  <c r="G5" i="105"/>
  <c r="E4" i="105"/>
  <c r="H5" i="105"/>
  <c r="H14" i="105"/>
  <c r="F4" i="105"/>
  <c r="J5" i="105"/>
  <c r="I14" i="105"/>
  <c r="G6" i="105"/>
  <c r="G15" i="105"/>
  <c r="D4" i="105"/>
  <c r="E5" i="105"/>
  <c r="F6" i="105"/>
  <c r="G14" i="105"/>
  <c r="F9" i="105"/>
  <c r="D6" i="105"/>
  <c r="I15" i="105"/>
  <c r="D5" i="105"/>
  <c r="E6" i="105"/>
  <c r="D14" i="105"/>
  <c r="I24" i="105"/>
  <c r="J20" i="105"/>
  <c r="E16" i="105"/>
  <c r="F16" i="105"/>
  <c r="D21" i="105"/>
  <c r="H23" i="105"/>
  <c r="G11" i="105"/>
  <c r="I11" i="105"/>
  <c r="D19" i="105"/>
  <c r="F21" i="105"/>
  <c r="I23" i="105"/>
  <c r="J11" i="105"/>
  <c r="E15" i="105"/>
  <c r="E19" i="105"/>
  <c r="G21" i="105"/>
  <c r="E24" i="105"/>
  <c r="F19" i="105"/>
  <c r="H21" i="105"/>
  <c r="E9" i="105"/>
  <c r="F14" i="105"/>
  <c r="H15" i="105"/>
  <c r="J19" i="105"/>
  <c r="I21" i="105"/>
  <c r="H24" i="105"/>
  <c r="G16" i="105"/>
  <c r="D20" i="105"/>
  <c r="J23" i="105"/>
  <c r="J24" i="105"/>
  <c r="H9" i="105"/>
  <c r="F10" i="105"/>
  <c r="D11" i="105"/>
  <c r="J15" i="105"/>
  <c r="H16" i="105"/>
  <c r="G19" i="105"/>
  <c r="E20" i="105"/>
  <c r="G9" i="105"/>
  <c r="E10" i="105"/>
  <c r="I9" i="105"/>
  <c r="D10" i="105"/>
  <c r="G10" i="105"/>
  <c r="E11" i="105"/>
  <c r="I16" i="105"/>
  <c r="H19" i="105"/>
  <c r="F20" i="105"/>
  <c r="D23" i="105"/>
  <c r="D24" i="105"/>
  <c r="J9" i="105"/>
  <c r="H10" i="105"/>
  <c r="F11" i="105"/>
  <c r="D15" i="105"/>
  <c r="J16" i="105"/>
  <c r="G20" i="105"/>
  <c r="I10" i="105"/>
  <c r="H20" i="105"/>
  <c r="T31" i="102"/>
  <c r="T30" i="102"/>
  <c r="AI29" i="102"/>
  <c r="AH29" i="102"/>
  <c r="AG29" i="102"/>
  <c r="AF29" i="102"/>
  <c r="AE29" i="102"/>
  <c r="AD29" i="102"/>
  <c r="AC29" i="102"/>
  <c r="AB29" i="102"/>
  <c r="T29" i="102"/>
  <c r="T28" i="102"/>
  <c r="T27" i="102"/>
  <c r="T26" i="102"/>
  <c r="T25" i="102"/>
  <c r="T24" i="102"/>
  <c r="T23" i="102"/>
  <c r="T22" i="102"/>
  <c r="T21" i="102"/>
  <c r="T20" i="102"/>
  <c r="T19" i="102"/>
  <c r="T31" i="101"/>
  <c r="T30" i="101"/>
  <c r="AI29" i="101"/>
  <c r="AH29" i="101"/>
  <c r="AG29" i="101"/>
  <c r="AF29" i="101"/>
  <c r="AE29" i="101"/>
  <c r="AD29" i="101"/>
  <c r="AC29" i="101"/>
  <c r="AB29" i="101"/>
  <c r="T29" i="101"/>
  <c r="T28" i="101"/>
  <c r="T27" i="101"/>
  <c r="T26" i="101"/>
  <c r="T25" i="101"/>
  <c r="T24" i="101"/>
  <c r="T23" i="101"/>
  <c r="T22" i="101"/>
  <c r="T21" i="101"/>
  <c r="T20" i="101"/>
  <c r="T19" i="101"/>
  <c r="S18" i="69"/>
  <c r="T18" i="69"/>
  <c r="U18" i="69"/>
  <c r="V18" i="69"/>
  <c r="W18" i="69"/>
  <c r="X18" i="69"/>
  <c r="S12" i="69"/>
  <c r="T12" i="69"/>
  <c r="U12" i="69"/>
  <c r="V12" i="69"/>
  <c r="W12" i="69"/>
  <c r="X12" i="69"/>
  <c r="R18" i="69"/>
  <c r="R12" i="69"/>
  <c r="S6" i="69"/>
  <c r="T6" i="69"/>
  <c r="U6" i="69"/>
  <c r="V6" i="69"/>
  <c r="W6" i="69"/>
  <c r="X6" i="69"/>
  <c r="R6" i="69"/>
  <c r="T24" i="69"/>
  <c r="X24" i="69" s="1"/>
  <c r="T25" i="69"/>
  <c r="W25" i="69" s="1"/>
  <c r="U8" i="93" l="1"/>
  <c r="V25" i="69"/>
  <c r="P20" i="49"/>
  <c r="P20" i="99"/>
  <c r="P20" i="100"/>
  <c r="P20" i="93"/>
  <c r="O32" i="99"/>
  <c r="Q12" i="49"/>
  <c r="Q12" i="100"/>
  <c r="Q12" i="99"/>
  <c r="Q12" i="93"/>
  <c r="P12" i="49"/>
  <c r="P12" i="99"/>
  <c r="P12" i="100"/>
  <c r="P12" i="93"/>
  <c r="S19" i="99"/>
  <c r="S19" i="49"/>
  <c r="S19" i="100"/>
  <c r="S19" i="93"/>
  <c r="Q31" i="99"/>
  <c r="Q31" i="100"/>
  <c r="Q31" i="93"/>
  <c r="N31" i="100"/>
  <c r="N31" i="93"/>
  <c r="N31" i="99"/>
  <c r="R13" i="49"/>
  <c r="R13" i="99"/>
  <c r="R13" i="100"/>
  <c r="R13" i="93"/>
  <c r="M18" i="49"/>
  <c r="M18" i="93"/>
  <c r="M18" i="99"/>
  <c r="M18" i="100"/>
  <c r="N5" i="49"/>
  <c r="N5" i="100"/>
  <c r="N5" i="99"/>
  <c r="N5" i="93"/>
  <c r="Q5" i="49"/>
  <c r="Q5" i="99"/>
  <c r="Q5" i="100"/>
  <c r="Q5" i="93"/>
  <c r="P4" i="49"/>
  <c r="P4" i="99"/>
  <c r="P4" i="100"/>
  <c r="P4" i="93"/>
  <c r="L21" i="99"/>
  <c r="T21" i="99" s="1"/>
  <c r="O32" i="100"/>
  <c r="L32" i="99"/>
  <c r="T32" i="99" s="1"/>
  <c r="N27" i="49"/>
  <c r="N27" i="99"/>
  <c r="N27" i="93"/>
  <c r="N27" i="100"/>
  <c r="W24" i="69"/>
  <c r="Q20" i="49"/>
  <c r="Q20" i="100"/>
  <c r="Q20" i="93"/>
  <c r="Q20" i="99"/>
  <c r="O25" i="49"/>
  <c r="O25" i="99"/>
  <c r="O25" i="93"/>
  <c r="O25" i="100"/>
  <c r="O6" i="49"/>
  <c r="O6" i="100"/>
  <c r="O6" i="99"/>
  <c r="O6" i="93"/>
  <c r="Q4" i="49"/>
  <c r="Q4" i="99"/>
  <c r="Q4" i="100"/>
  <c r="Q4" i="93"/>
  <c r="U22" i="93"/>
  <c r="U23" i="93"/>
  <c r="S12" i="49"/>
  <c r="S12" i="100"/>
  <c r="S12" i="99"/>
  <c r="S12" i="93"/>
  <c r="M11" i="49"/>
  <c r="M11" i="99"/>
  <c r="M11" i="100"/>
  <c r="M11" i="93"/>
  <c r="U25" i="69"/>
  <c r="S11" i="49"/>
  <c r="S11" i="99"/>
  <c r="S11" i="100"/>
  <c r="S11" i="93"/>
  <c r="M12" i="49"/>
  <c r="M12" i="99"/>
  <c r="M12" i="100"/>
  <c r="M12" i="93"/>
  <c r="M13" i="49"/>
  <c r="M13" i="99"/>
  <c r="M13" i="100"/>
  <c r="M13" i="93"/>
  <c r="R27" i="49"/>
  <c r="R27" i="99"/>
  <c r="R27" i="100"/>
  <c r="R27" i="93"/>
  <c r="P27" i="49"/>
  <c r="P27" i="99"/>
  <c r="P27" i="93"/>
  <c r="P27" i="100"/>
  <c r="P13" i="49"/>
  <c r="P13" i="100"/>
  <c r="P13" i="99"/>
  <c r="P13" i="93"/>
  <c r="N6" i="49"/>
  <c r="N6" i="99"/>
  <c r="N6" i="100"/>
  <c r="N6" i="93"/>
  <c r="M4" i="49"/>
  <c r="M4" i="99"/>
  <c r="M4" i="100"/>
  <c r="M4" i="93"/>
  <c r="N4" i="99"/>
  <c r="N4" i="100"/>
  <c r="N4" i="49"/>
  <c r="N4" i="93"/>
  <c r="S18" i="49"/>
  <c r="S18" i="99"/>
  <c r="S18" i="93"/>
  <c r="S18" i="100"/>
  <c r="M23" i="99"/>
  <c r="U23" i="99" s="1"/>
  <c r="R5" i="49"/>
  <c r="R5" i="99"/>
  <c r="R5" i="100"/>
  <c r="R5" i="93"/>
  <c r="O32" i="93"/>
  <c r="L32" i="93"/>
  <c r="T32" i="93" s="1"/>
  <c r="L7" i="99"/>
  <c r="T7" i="99" s="1"/>
  <c r="N13" i="49"/>
  <c r="N13" i="100"/>
  <c r="N13" i="99"/>
  <c r="N13" i="93"/>
  <c r="M25" i="49"/>
  <c r="M25" i="99"/>
  <c r="M25" i="100"/>
  <c r="M25" i="93"/>
  <c r="Q18" i="49"/>
  <c r="Q18" i="100"/>
  <c r="Q18" i="93"/>
  <c r="Q18" i="99"/>
  <c r="V24" i="69"/>
  <c r="X25" i="69"/>
  <c r="Q26" i="49"/>
  <c r="Q26" i="99"/>
  <c r="Q26" i="100"/>
  <c r="Q26" i="93"/>
  <c r="M31" i="93"/>
  <c r="M31" i="100"/>
  <c r="M31" i="99"/>
  <c r="R11" i="49"/>
  <c r="R11" i="100"/>
  <c r="R11" i="99"/>
  <c r="R11" i="93"/>
  <c r="O12" i="49"/>
  <c r="O12" i="99"/>
  <c r="O12" i="100"/>
  <c r="O12" i="93"/>
  <c r="S25" i="49"/>
  <c r="S25" i="99"/>
  <c r="S25" i="93"/>
  <c r="S25" i="100"/>
  <c r="N25" i="49"/>
  <c r="N25" i="99"/>
  <c r="N25" i="100"/>
  <c r="N25" i="93"/>
  <c r="Q30" i="99"/>
  <c r="Q30" i="100"/>
  <c r="Q30" i="93"/>
  <c r="M5" i="49"/>
  <c r="M5" i="100"/>
  <c r="M5" i="99"/>
  <c r="M5" i="93"/>
  <c r="P19" i="49"/>
  <c r="P19" i="99"/>
  <c r="P19" i="93"/>
  <c r="P19" i="100"/>
  <c r="P5" i="49"/>
  <c r="P5" i="100"/>
  <c r="P5" i="99"/>
  <c r="P5" i="93"/>
  <c r="S4" i="49"/>
  <c r="S4" i="99"/>
  <c r="S4" i="100"/>
  <c r="S4" i="93"/>
  <c r="N18" i="49"/>
  <c r="N18" i="93"/>
  <c r="N18" i="100"/>
  <c r="N18" i="99"/>
  <c r="P30" i="100"/>
  <c r="P30" i="99"/>
  <c r="P30" i="93"/>
  <c r="L32" i="100"/>
  <c r="T32" i="100" s="1"/>
  <c r="L7" i="93"/>
  <c r="T7" i="93" s="1"/>
  <c r="T4" i="93" s="1"/>
  <c r="M20" i="49"/>
  <c r="M20" i="93"/>
  <c r="M20" i="99"/>
  <c r="M20" i="100"/>
  <c r="O13" i="49"/>
  <c r="O13" i="99"/>
  <c r="O13" i="100"/>
  <c r="O13" i="93"/>
  <c r="R12" i="49"/>
  <c r="R12" i="100"/>
  <c r="R12" i="99"/>
  <c r="R12" i="93"/>
  <c r="M30" i="93"/>
  <c r="M30" i="100"/>
  <c r="M30" i="99"/>
  <c r="N12" i="49"/>
  <c r="N12" i="100"/>
  <c r="N12" i="99"/>
  <c r="N12" i="93"/>
  <c r="Q11" i="49"/>
  <c r="Q11" i="100"/>
  <c r="Q11" i="99"/>
  <c r="Q11" i="93"/>
  <c r="Q19" i="49"/>
  <c r="Q19" i="93"/>
  <c r="Q19" i="99"/>
  <c r="Q19" i="100"/>
  <c r="N19" i="49"/>
  <c r="N19" i="93"/>
  <c r="N19" i="100"/>
  <c r="N19" i="99"/>
  <c r="M27" i="49"/>
  <c r="M27" i="99"/>
  <c r="M27" i="93"/>
  <c r="M27" i="100"/>
  <c r="R19" i="49"/>
  <c r="R19" i="93"/>
  <c r="R19" i="99"/>
  <c r="R19" i="100"/>
  <c r="P6" i="49"/>
  <c r="P6" i="99"/>
  <c r="P6" i="100"/>
  <c r="P6" i="93"/>
  <c r="S6" i="49"/>
  <c r="S6" i="100"/>
  <c r="S6" i="99"/>
  <c r="S6" i="93"/>
  <c r="N30" i="100"/>
  <c r="N30" i="99"/>
  <c r="N30" i="93"/>
  <c r="L14" i="93"/>
  <c r="T14" i="93" s="1"/>
  <c r="T11" i="93" s="1"/>
  <c r="L28" i="99"/>
  <c r="O20" i="49"/>
  <c r="O20" i="93"/>
  <c r="O20" i="100"/>
  <c r="O20" i="99"/>
  <c r="L14" i="99"/>
  <c r="T14" i="99" s="1"/>
  <c r="L28" i="93"/>
  <c r="T28" i="93" s="1"/>
  <c r="P26" i="49"/>
  <c r="P26" i="100"/>
  <c r="P26" i="99"/>
  <c r="P26" i="93"/>
  <c r="P11" i="49"/>
  <c r="P11" i="99"/>
  <c r="P11" i="100"/>
  <c r="P11" i="93"/>
  <c r="S31" i="99"/>
  <c r="S31" i="49"/>
  <c r="S31" i="100"/>
  <c r="S31" i="93"/>
  <c r="S13" i="49"/>
  <c r="S13" i="100"/>
  <c r="S13" i="99"/>
  <c r="S13" i="93"/>
  <c r="R18" i="49"/>
  <c r="R18" i="100"/>
  <c r="R18" i="93"/>
  <c r="R18" i="99"/>
  <c r="S27" i="49"/>
  <c r="S27" i="100"/>
  <c r="S27" i="93"/>
  <c r="S27" i="99"/>
  <c r="R6" i="49"/>
  <c r="R6" i="99"/>
  <c r="R6" i="100"/>
  <c r="R6" i="93"/>
  <c r="L7" i="100"/>
  <c r="T7" i="100" s="1"/>
  <c r="U24" i="69"/>
  <c r="S20" i="99"/>
  <c r="S20" i="49"/>
  <c r="S20" i="93"/>
  <c r="S20" i="100"/>
  <c r="Q25" i="49"/>
  <c r="Q25" i="99"/>
  <c r="Q25" i="100"/>
  <c r="Q25" i="93"/>
  <c r="N26" i="49"/>
  <c r="N26" i="99"/>
  <c r="N26" i="93"/>
  <c r="N26" i="100"/>
  <c r="S30" i="49"/>
  <c r="S30" i="99"/>
  <c r="S30" i="100"/>
  <c r="S30" i="93"/>
  <c r="N11" i="49"/>
  <c r="N11" i="100"/>
  <c r="N11" i="99"/>
  <c r="N11" i="93"/>
  <c r="R30" i="100"/>
  <c r="R30" i="99"/>
  <c r="R30" i="93"/>
  <c r="N20" i="49"/>
  <c r="N20" i="99"/>
  <c r="N20" i="93"/>
  <c r="N20" i="100"/>
  <c r="O11" i="49"/>
  <c r="O11" i="99"/>
  <c r="O11" i="100"/>
  <c r="O11" i="93"/>
  <c r="S5" i="49"/>
  <c r="S5" i="100"/>
  <c r="S5" i="99"/>
  <c r="S5" i="93"/>
  <c r="O5" i="49"/>
  <c r="O5" i="99"/>
  <c r="O5" i="100"/>
  <c r="O5" i="93"/>
  <c r="Q13" i="49"/>
  <c r="Q13" i="100"/>
  <c r="Q13" i="99"/>
  <c r="Q13" i="93"/>
  <c r="P31" i="100"/>
  <c r="P31" i="99"/>
  <c r="P31" i="93"/>
  <c r="L14" i="100"/>
  <c r="T14" i="100" s="1"/>
  <c r="R4" i="49"/>
  <c r="R4" i="99"/>
  <c r="R4" i="100"/>
  <c r="R4" i="93"/>
  <c r="L28" i="100"/>
  <c r="T28" i="100" s="1"/>
  <c r="O26" i="49"/>
  <c r="O26" i="99"/>
  <c r="O26" i="93"/>
  <c r="O26" i="100"/>
  <c r="O18" i="49"/>
  <c r="O18" i="93"/>
  <c r="O18" i="100"/>
  <c r="O18" i="99"/>
  <c r="M6" i="49"/>
  <c r="M6" i="100"/>
  <c r="M6" i="99"/>
  <c r="M6" i="93"/>
  <c r="O19" i="49"/>
  <c r="O19" i="100"/>
  <c r="O19" i="93"/>
  <c r="O19" i="99"/>
  <c r="M19" i="49"/>
  <c r="M19" i="99"/>
  <c r="M19" i="93"/>
  <c r="M19" i="100"/>
  <c r="R20" i="49"/>
  <c r="R20" i="99"/>
  <c r="R20" i="100"/>
  <c r="R20" i="93"/>
  <c r="P25" i="99"/>
  <c r="P25" i="49"/>
  <c r="P25" i="100"/>
  <c r="P25" i="93"/>
  <c r="M26" i="49"/>
  <c r="M26" i="99"/>
  <c r="M26" i="100"/>
  <c r="M26" i="93"/>
  <c r="Q27" i="49"/>
  <c r="Q27" i="99"/>
  <c r="Q27" i="100"/>
  <c r="Q27" i="93"/>
  <c r="O27" i="49"/>
  <c r="O27" i="99"/>
  <c r="O27" i="93"/>
  <c r="O27" i="100"/>
  <c r="S26" i="49"/>
  <c r="S26" i="93"/>
  <c r="S26" i="99"/>
  <c r="S26" i="100"/>
  <c r="P18" i="49"/>
  <c r="P18" i="93"/>
  <c r="P18" i="100"/>
  <c r="P18" i="99"/>
  <c r="O4" i="49"/>
  <c r="O4" i="99"/>
  <c r="O4" i="100"/>
  <c r="O4" i="93"/>
  <c r="Q6" i="49"/>
  <c r="Q6" i="99"/>
  <c r="Q6" i="100"/>
  <c r="Q6" i="93"/>
  <c r="M23" i="100"/>
  <c r="U23" i="100" s="1"/>
  <c r="L21" i="93"/>
  <c r="T21" i="93" s="1"/>
  <c r="R26" i="49"/>
  <c r="R26" i="99"/>
  <c r="R26" i="100"/>
  <c r="R26" i="93"/>
  <c r="L21" i="100"/>
  <c r="T21" i="100" s="1"/>
  <c r="R31" i="100"/>
  <c r="R31" i="99"/>
  <c r="R31" i="93"/>
  <c r="R25" i="49"/>
  <c r="R25" i="99"/>
  <c r="R25" i="100"/>
  <c r="R25" i="93"/>
  <c r="AM29" i="101"/>
  <c r="AQ29" i="101"/>
  <c r="AQ29" i="102"/>
  <c r="AK29" i="101"/>
  <c r="AO29" i="102"/>
  <c r="AO29" i="101"/>
  <c r="AN29" i="102"/>
  <c r="AL29" i="101"/>
  <c r="AP29" i="102"/>
  <c r="AN29" i="101"/>
  <c r="AP29" i="101"/>
  <c r="AL29" i="102"/>
  <c r="AM29" i="102"/>
  <c r="AK29" i="102"/>
  <c r="D12" i="102"/>
  <c r="D16" i="102"/>
  <c r="T16" i="102" s="1"/>
  <c r="J5" i="102"/>
  <c r="K5" i="102"/>
  <c r="F5" i="101"/>
  <c r="G5" i="101"/>
  <c r="T31" i="95"/>
  <c r="T30" i="95"/>
  <c r="AI29" i="95"/>
  <c r="AH29" i="95"/>
  <c r="AG29" i="95"/>
  <c r="AF29" i="95"/>
  <c r="AE29" i="95"/>
  <c r="AD29" i="95"/>
  <c r="AC29" i="95"/>
  <c r="AB29" i="95"/>
  <c r="T29" i="95"/>
  <c r="T28" i="95"/>
  <c r="T27" i="95"/>
  <c r="T26" i="95"/>
  <c r="T25" i="95"/>
  <c r="T24" i="95"/>
  <c r="T23" i="95"/>
  <c r="T22" i="95"/>
  <c r="T21" i="95"/>
  <c r="T20" i="95"/>
  <c r="T19" i="95"/>
  <c r="Q32" i="99" l="1"/>
  <c r="Y32" i="99" s="1"/>
  <c r="Y30" i="99" s="1"/>
  <c r="T5" i="99"/>
  <c r="T4" i="99"/>
  <c r="T27" i="93"/>
  <c r="T20" i="99"/>
  <c r="T13" i="100"/>
  <c r="P21" i="100"/>
  <c r="X20" i="100" s="1"/>
  <c r="T31" i="100"/>
  <c r="O7" i="93"/>
  <c r="W7" i="93" s="1"/>
  <c r="T18" i="99"/>
  <c r="T31" i="93"/>
  <c r="W32" i="93"/>
  <c r="W31" i="93" s="1"/>
  <c r="P28" i="100"/>
  <c r="X25" i="100" s="1"/>
  <c r="T31" i="99"/>
  <c r="T12" i="99"/>
  <c r="T30" i="99"/>
  <c r="T20" i="100"/>
  <c r="N14" i="93"/>
  <c r="V14" i="93" s="1"/>
  <c r="V11" i="93" s="1"/>
  <c r="U22" i="100"/>
  <c r="P14" i="93"/>
  <c r="X12" i="93" s="1"/>
  <c r="T25" i="93"/>
  <c r="T12" i="100"/>
  <c r="T26" i="100"/>
  <c r="T26" i="93"/>
  <c r="T13" i="93"/>
  <c r="N7" i="100"/>
  <c r="V7" i="100" s="1"/>
  <c r="V4" i="100" s="1"/>
  <c r="T25" i="100"/>
  <c r="T5" i="93"/>
  <c r="O14" i="93"/>
  <c r="W13" i="93" s="1"/>
  <c r="T19" i="99"/>
  <c r="Q14" i="100"/>
  <c r="Y13" i="100" s="1"/>
  <c r="M32" i="93"/>
  <c r="U32" i="93" s="1"/>
  <c r="P32" i="93"/>
  <c r="N21" i="93"/>
  <c r="V19" i="93" s="1"/>
  <c r="Q21" i="93"/>
  <c r="Y21" i="93" s="1"/>
  <c r="N14" i="99"/>
  <c r="V14" i="99" s="1"/>
  <c r="Q7" i="99"/>
  <c r="Y7" i="99" s="1"/>
  <c r="O28" i="99"/>
  <c r="W27" i="99" s="1"/>
  <c r="T6" i="93"/>
  <c r="M21" i="100"/>
  <c r="U21" i="100" s="1"/>
  <c r="R28" i="93"/>
  <c r="Z25" i="93" s="1"/>
  <c r="S32" i="93"/>
  <c r="AA32" i="93" s="1"/>
  <c r="Q21" i="100"/>
  <c r="Y18" i="100" s="1"/>
  <c r="S14" i="99"/>
  <c r="AA14" i="99" s="1"/>
  <c r="R28" i="100"/>
  <c r="Z28" i="100" s="1"/>
  <c r="O21" i="100"/>
  <c r="W21" i="100" s="1"/>
  <c r="R32" i="93"/>
  <c r="Z32" i="93" s="1"/>
  <c r="Q28" i="100"/>
  <c r="Y27" i="100" s="1"/>
  <c r="T4" i="100"/>
  <c r="T19" i="93"/>
  <c r="M21" i="99"/>
  <c r="U19" i="99" s="1"/>
  <c r="P32" i="100"/>
  <c r="X32" i="100" s="1"/>
  <c r="X30" i="100" s="1"/>
  <c r="T13" i="99"/>
  <c r="D11" i="101" s="1"/>
  <c r="S28" i="100"/>
  <c r="AA25" i="100" s="1"/>
  <c r="K6" i="102" s="1"/>
  <c r="AA6" i="102" s="1"/>
  <c r="R14" i="93"/>
  <c r="Z13" i="93" s="1"/>
  <c r="N7" i="99"/>
  <c r="V7" i="99" s="1"/>
  <c r="V5" i="99" s="1"/>
  <c r="S14" i="100"/>
  <c r="AA12" i="100" s="1"/>
  <c r="Q21" i="99"/>
  <c r="Y21" i="99" s="1"/>
  <c r="M21" i="93"/>
  <c r="U20" i="93" s="1"/>
  <c r="P32" i="99"/>
  <c r="X32" i="99" s="1"/>
  <c r="R28" i="99"/>
  <c r="Z27" i="99" s="1"/>
  <c r="T18" i="93"/>
  <c r="Q28" i="93"/>
  <c r="Y27" i="93" s="1"/>
  <c r="P28" i="93"/>
  <c r="X28" i="93" s="1"/>
  <c r="O21" i="93"/>
  <c r="W21" i="93" s="1"/>
  <c r="R7" i="93"/>
  <c r="Z7" i="93" s="1"/>
  <c r="O14" i="100"/>
  <c r="W14" i="100" s="1"/>
  <c r="R32" i="99"/>
  <c r="Z32" i="99" s="1"/>
  <c r="Z30" i="99" s="1"/>
  <c r="S32" i="99"/>
  <c r="AA32" i="99" s="1"/>
  <c r="Q28" i="99"/>
  <c r="Y26" i="99" s="1"/>
  <c r="T11" i="99"/>
  <c r="D9" i="101" s="1"/>
  <c r="T28" i="99"/>
  <c r="T27" i="99" s="1"/>
  <c r="N32" i="93"/>
  <c r="V32" i="93" s="1"/>
  <c r="S7" i="93"/>
  <c r="AA7" i="93" s="1"/>
  <c r="AA4" i="93" s="1"/>
  <c r="Q32" i="93"/>
  <c r="Y32" i="93" s="1"/>
  <c r="S28" i="93"/>
  <c r="AA28" i="93" s="1"/>
  <c r="R14" i="99"/>
  <c r="Z14" i="99" s="1"/>
  <c r="Z11" i="99" s="1"/>
  <c r="M28" i="93"/>
  <c r="U27" i="93" s="1"/>
  <c r="T20" i="93"/>
  <c r="R7" i="100"/>
  <c r="Z7" i="100" s="1"/>
  <c r="Z4" i="100" s="1"/>
  <c r="M7" i="93"/>
  <c r="T19" i="100"/>
  <c r="P14" i="100"/>
  <c r="X14" i="100" s="1"/>
  <c r="X11" i="100" s="1"/>
  <c r="W32" i="99"/>
  <c r="O14" i="99"/>
  <c r="W14" i="99" s="1"/>
  <c r="R32" i="100"/>
  <c r="Z32" i="100" s="1"/>
  <c r="Z30" i="100" s="1"/>
  <c r="N32" i="99"/>
  <c r="V32" i="99" s="1"/>
  <c r="S7" i="100"/>
  <c r="AA7" i="100" s="1"/>
  <c r="AA6" i="100" s="1"/>
  <c r="Q32" i="100"/>
  <c r="Y32" i="100" s="1"/>
  <c r="Y31" i="100" s="1"/>
  <c r="M28" i="100"/>
  <c r="U26" i="100" s="1"/>
  <c r="S21" i="93"/>
  <c r="AA18" i="93" s="1"/>
  <c r="M7" i="100"/>
  <c r="U7" i="100" s="1"/>
  <c r="U6" i="100" s="1"/>
  <c r="M14" i="93"/>
  <c r="U14" i="93" s="1"/>
  <c r="U11" i="93" s="1"/>
  <c r="P7" i="93"/>
  <c r="X7" i="93" s="1"/>
  <c r="X5" i="93" s="1"/>
  <c r="P14" i="99"/>
  <c r="X14" i="99" s="1"/>
  <c r="X11" i="99" s="1"/>
  <c r="P21" i="93"/>
  <c r="X21" i="93" s="1"/>
  <c r="O7" i="100"/>
  <c r="W7" i="100" s="1"/>
  <c r="O7" i="99"/>
  <c r="W7" i="99" s="1"/>
  <c r="R7" i="99"/>
  <c r="Z7" i="99" s="1"/>
  <c r="R21" i="99"/>
  <c r="Z18" i="99" s="1"/>
  <c r="N32" i="100"/>
  <c r="V32" i="100" s="1"/>
  <c r="V31" i="100" s="1"/>
  <c r="T6" i="100"/>
  <c r="S7" i="99"/>
  <c r="AA7" i="99" s="1"/>
  <c r="M28" i="99"/>
  <c r="S21" i="99"/>
  <c r="AA18" i="99" s="1"/>
  <c r="M7" i="99"/>
  <c r="U7" i="99" s="1"/>
  <c r="U4" i="99" s="1"/>
  <c r="M14" i="100"/>
  <c r="P7" i="100"/>
  <c r="X7" i="100" s="1"/>
  <c r="X4" i="100" s="1"/>
  <c r="R14" i="100"/>
  <c r="Z14" i="100" s="1"/>
  <c r="T18" i="100"/>
  <c r="P28" i="99"/>
  <c r="X25" i="99" s="1"/>
  <c r="R21" i="93"/>
  <c r="Z21" i="93" s="1"/>
  <c r="S32" i="100"/>
  <c r="AA32" i="100" s="1"/>
  <c r="O21" i="99"/>
  <c r="W21" i="99" s="1"/>
  <c r="Q14" i="93"/>
  <c r="Y12" i="93" s="1"/>
  <c r="M32" i="99"/>
  <c r="U32" i="99" s="1"/>
  <c r="T30" i="100"/>
  <c r="N21" i="99"/>
  <c r="V18" i="99" s="1"/>
  <c r="N28" i="93"/>
  <c r="V25" i="93" s="1"/>
  <c r="T30" i="93"/>
  <c r="T6" i="99"/>
  <c r="M14" i="99"/>
  <c r="U14" i="99" s="1"/>
  <c r="U11" i="99" s="1"/>
  <c r="Q7" i="93"/>
  <c r="Y7" i="93" s="1"/>
  <c r="W32" i="100"/>
  <c r="P7" i="99"/>
  <c r="X7" i="99" s="1"/>
  <c r="X5" i="99" s="1"/>
  <c r="S28" i="99"/>
  <c r="AA28" i="99" s="1"/>
  <c r="P21" i="99"/>
  <c r="X21" i="99" s="1"/>
  <c r="O28" i="100"/>
  <c r="W28" i="100" s="1"/>
  <c r="T27" i="100"/>
  <c r="T11" i="100"/>
  <c r="Q14" i="99"/>
  <c r="Y14" i="99" s="1"/>
  <c r="N14" i="100"/>
  <c r="V13" i="100" s="1"/>
  <c r="N28" i="99"/>
  <c r="V28" i="99" s="1"/>
  <c r="R21" i="100"/>
  <c r="Z20" i="100" s="1"/>
  <c r="T12" i="93"/>
  <c r="N21" i="100"/>
  <c r="V21" i="100" s="1"/>
  <c r="M32" i="100"/>
  <c r="U32" i="100" s="1"/>
  <c r="N28" i="100"/>
  <c r="V25" i="100" s="1"/>
  <c r="U22" i="99"/>
  <c r="E5" i="101" s="1"/>
  <c r="U5" i="101" s="1"/>
  <c r="N7" i="93"/>
  <c r="V7" i="93" s="1"/>
  <c r="S14" i="93"/>
  <c r="AA13" i="93" s="1"/>
  <c r="Q7" i="100"/>
  <c r="Y7" i="100" s="1"/>
  <c r="O28" i="93"/>
  <c r="W28" i="93" s="1"/>
  <c r="T5" i="100"/>
  <c r="S21" i="100"/>
  <c r="AA21" i="100" s="1"/>
  <c r="AN29" i="95"/>
  <c r="AL29" i="95"/>
  <c r="F16" i="102"/>
  <c r="V16" i="102" s="1"/>
  <c r="K16" i="102"/>
  <c r="AA16" i="102" s="1"/>
  <c r="K12" i="102"/>
  <c r="AA12" i="102" s="1"/>
  <c r="D5" i="95"/>
  <c r="L5" i="95" s="1"/>
  <c r="G16" i="95"/>
  <c r="W16" i="95" s="1"/>
  <c r="R5" i="102"/>
  <c r="S5" i="102"/>
  <c r="T12" i="102"/>
  <c r="L12" i="102"/>
  <c r="L16" i="102"/>
  <c r="F12" i="102"/>
  <c r="H12" i="102"/>
  <c r="I16" i="102"/>
  <c r="G12" i="102"/>
  <c r="J16" i="102"/>
  <c r="D5" i="101"/>
  <c r="O5" i="101"/>
  <c r="N5" i="101"/>
  <c r="D16" i="101"/>
  <c r="AQ29" i="95"/>
  <c r="AM29" i="95"/>
  <c r="AO29" i="95"/>
  <c r="AP29" i="95"/>
  <c r="AK29" i="95"/>
  <c r="G16" i="102"/>
  <c r="H5" i="102"/>
  <c r="I12" i="102"/>
  <c r="H16" i="102"/>
  <c r="D5" i="102"/>
  <c r="I5" i="102"/>
  <c r="G5" i="102"/>
  <c r="E16" i="102"/>
  <c r="J12" i="102"/>
  <c r="K16" i="101"/>
  <c r="I5" i="101"/>
  <c r="K12" i="101"/>
  <c r="H12" i="101"/>
  <c r="F16" i="101"/>
  <c r="H16" i="95"/>
  <c r="J5" i="95"/>
  <c r="F16" i="95"/>
  <c r="V16" i="95" s="1"/>
  <c r="I16" i="95"/>
  <c r="Y16" i="95" s="1"/>
  <c r="E5" i="95"/>
  <c r="U5" i="95" s="1"/>
  <c r="W12" i="93" l="1"/>
  <c r="X27" i="100"/>
  <c r="H8" i="102" s="1"/>
  <c r="V13" i="93"/>
  <c r="W14" i="93"/>
  <c r="W11" i="93" s="1"/>
  <c r="W11" i="100"/>
  <c r="G9" i="102" s="1"/>
  <c r="V12" i="93"/>
  <c r="Y12" i="99"/>
  <c r="V5" i="100"/>
  <c r="AA19" i="100"/>
  <c r="V4" i="93"/>
  <c r="X31" i="100"/>
  <c r="AA31" i="93"/>
  <c r="U26" i="93"/>
  <c r="E7" i="95" s="1"/>
  <c r="W6" i="100"/>
  <c r="X12" i="100"/>
  <c r="H10" i="102" s="1"/>
  <c r="X10" i="102" s="1"/>
  <c r="X21" i="100"/>
  <c r="X20" i="99"/>
  <c r="W12" i="100"/>
  <c r="G10" i="102" s="1"/>
  <c r="X31" i="99"/>
  <c r="V6" i="93"/>
  <c r="U30" i="99"/>
  <c r="W5" i="93"/>
  <c r="W6" i="93"/>
  <c r="X13" i="93"/>
  <c r="H11" i="95" s="1"/>
  <c r="X26" i="100"/>
  <c r="X28" i="100"/>
  <c r="U4" i="100"/>
  <c r="X14" i="93"/>
  <c r="X11" i="93" s="1"/>
  <c r="Z5" i="93"/>
  <c r="Y6" i="99"/>
  <c r="Y26" i="100"/>
  <c r="I7" i="102" s="1"/>
  <c r="Y19" i="100"/>
  <c r="I3" i="102" s="1"/>
  <c r="Y3" i="102" s="1"/>
  <c r="V6" i="100"/>
  <c r="AA27" i="100"/>
  <c r="K8" i="102" s="1"/>
  <c r="AA8" i="102" s="1"/>
  <c r="Z18" i="93"/>
  <c r="J2" i="95" s="1"/>
  <c r="Z2" i="95" s="1"/>
  <c r="Y5" i="99"/>
  <c r="W27" i="100"/>
  <c r="G8" i="102" s="1"/>
  <c r="U18" i="93"/>
  <c r="AA11" i="99"/>
  <c r="K9" i="101" s="1"/>
  <c r="AA9" i="101" s="1"/>
  <c r="W4" i="93"/>
  <c r="U30" i="100"/>
  <c r="X18" i="100"/>
  <c r="H2" i="102" s="1"/>
  <c r="X2" i="102" s="1"/>
  <c r="X19" i="100"/>
  <c r="H3" i="102" s="1"/>
  <c r="X3" i="102" s="1"/>
  <c r="Y18" i="93"/>
  <c r="W26" i="99"/>
  <c r="G7" i="101" s="1"/>
  <c r="Z20" i="93"/>
  <c r="J4" i="95" s="1"/>
  <c r="Z4" i="95" s="1"/>
  <c r="Z13" i="99"/>
  <c r="V27" i="100"/>
  <c r="F8" i="102" s="1"/>
  <c r="AA6" i="99"/>
  <c r="U31" i="99"/>
  <c r="AA6" i="93"/>
  <c r="AA5" i="93"/>
  <c r="Z6" i="99"/>
  <c r="Z27" i="100"/>
  <c r="J8" i="102" s="1"/>
  <c r="Z8" i="102" s="1"/>
  <c r="Y19" i="93"/>
  <c r="AA5" i="99"/>
  <c r="Y13" i="99"/>
  <c r="W20" i="99"/>
  <c r="G4" i="101" s="1"/>
  <c r="W4" i="101" s="1"/>
  <c r="W26" i="93"/>
  <c r="G7" i="95" s="1"/>
  <c r="W7" i="95" s="1"/>
  <c r="Z6" i="93"/>
  <c r="Y20" i="93"/>
  <c r="X28" i="99"/>
  <c r="Z4" i="93"/>
  <c r="Z25" i="99"/>
  <c r="W20" i="100"/>
  <c r="G4" i="102" s="1"/>
  <c r="W4" i="102" s="1"/>
  <c r="AA30" i="100"/>
  <c r="AA26" i="93"/>
  <c r="K7" i="95" s="1"/>
  <c r="AA7" i="95" s="1"/>
  <c r="Y4" i="93"/>
  <c r="AA31" i="100"/>
  <c r="Y30" i="93"/>
  <c r="U5" i="100"/>
  <c r="W30" i="93"/>
  <c r="Z18" i="100"/>
  <c r="Y30" i="100"/>
  <c r="I17" i="102" s="1"/>
  <c r="Z5" i="100"/>
  <c r="W19" i="100"/>
  <c r="G3" i="102" s="1"/>
  <c r="W3" i="102" s="1"/>
  <c r="X26" i="93"/>
  <c r="V31" i="99"/>
  <c r="F18" i="101" s="1"/>
  <c r="U6" i="99"/>
  <c r="Y31" i="99"/>
  <c r="X19" i="93"/>
  <c r="Y31" i="93"/>
  <c r="Z26" i="93"/>
  <c r="W13" i="99"/>
  <c r="X18" i="99"/>
  <c r="W13" i="100"/>
  <c r="G11" i="102" s="1"/>
  <c r="X19" i="99"/>
  <c r="Z6" i="100"/>
  <c r="X18" i="93"/>
  <c r="AA4" i="100"/>
  <c r="W11" i="99"/>
  <c r="U27" i="100"/>
  <c r="W20" i="93"/>
  <c r="G4" i="95" s="1"/>
  <c r="W4" i="95" s="1"/>
  <c r="W19" i="93"/>
  <c r="G3" i="95" s="1"/>
  <c r="W3" i="95" s="1"/>
  <c r="V27" i="93"/>
  <c r="U31" i="93"/>
  <c r="AA31" i="99"/>
  <c r="K18" i="101" s="1"/>
  <c r="W25" i="93"/>
  <c r="G6" i="95" s="1"/>
  <c r="W6" i="95" s="1"/>
  <c r="Y6" i="93"/>
  <c r="I15" i="95" s="1"/>
  <c r="X4" i="99"/>
  <c r="X12" i="99"/>
  <c r="W5" i="99"/>
  <c r="U12" i="93"/>
  <c r="AA30" i="99"/>
  <c r="K17" i="101" s="1"/>
  <c r="W18" i="93"/>
  <c r="AA13" i="99"/>
  <c r="K11" i="101" s="1"/>
  <c r="AA11" i="101" s="1"/>
  <c r="Z25" i="100"/>
  <c r="J6" i="102" s="1"/>
  <c r="Z6" i="102" s="1"/>
  <c r="U20" i="100"/>
  <c r="T26" i="99"/>
  <c r="D7" i="101" s="1"/>
  <c r="T7" i="101" s="1"/>
  <c r="X6" i="93"/>
  <c r="H15" i="95" s="1"/>
  <c r="V19" i="100"/>
  <c r="V26" i="99"/>
  <c r="F7" i="101" s="1"/>
  <c r="Z31" i="93"/>
  <c r="W26" i="100"/>
  <c r="G7" i="102" s="1"/>
  <c r="X6" i="99"/>
  <c r="AA25" i="93"/>
  <c r="K6" i="95" s="1"/>
  <c r="AA6" i="95" s="1"/>
  <c r="X30" i="99"/>
  <c r="Y4" i="100"/>
  <c r="V11" i="99"/>
  <c r="X13" i="100"/>
  <c r="H11" i="102" s="1"/>
  <c r="X11" i="102" s="1"/>
  <c r="W4" i="99"/>
  <c r="V30" i="99"/>
  <c r="U19" i="100"/>
  <c r="U30" i="93"/>
  <c r="U25" i="99"/>
  <c r="U28" i="99"/>
  <c r="W5" i="100"/>
  <c r="W25" i="100"/>
  <c r="G6" i="102" s="1"/>
  <c r="X13" i="99"/>
  <c r="AA25" i="99"/>
  <c r="K6" i="101" s="1"/>
  <c r="Y25" i="99"/>
  <c r="I6" i="101" s="1"/>
  <c r="Y28" i="99"/>
  <c r="AA26" i="100"/>
  <c r="K7" i="102" s="1"/>
  <c r="AA7" i="102" s="1"/>
  <c r="AA28" i="100"/>
  <c r="X5" i="100"/>
  <c r="U18" i="100"/>
  <c r="E2" i="102" s="1"/>
  <c r="U2" i="102" s="1"/>
  <c r="X27" i="93"/>
  <c r="W12" i="99"/>
  <c r="V26" i="100"/>
  <c r="F7" i="102" s="1"/>
  <c r="V28" i="100"/>
  <c r="W31" i="100"/>
  <c r="G18" i="102" s="1"/>
  <c r="W18" i="102" s="1"/>
  <c r="W30" i="100"/>
  <c r="U27" i="99"/>
  <c r="AA12" i="93"/>
  <c r="K10" i="95" s="1"/>
  <c r="AA14" i="93"/>
  <c r="AA11" i="93" s="1"/>
  <c r="Y13" i="93"/>
  <c r="Y14" i="93"/>
  <c r="Y11" i="93" s="1"/>
  <c r="AA20" i="100"/>
  <c r="K4" i="102" s="1"/>
  <c r="AA4" i="102" s="1"/>
  <c r="X6" i="100"/>
  <c r="Y25" i="93"/>
  <c r="Y28" i="93"/>
  <c r="W18" i="99"/>
  <c r="G2" i="101" s="1"/>
  <c r="W2" i="101" s="1"/>
  <c r="AA13" i="100"/>
  <c r="K11" i="102" s="1"/>
  <c r="AA11" i="102" s="1"/>
  <c r="AA14" i="100"/>
  <c r="AA11" i="100" s="1"/>
  <c r="K9" i="102" s="1"/>
  <c r="AA19" i="99"/>
  <c r="K3" i="101" s="1"/>
  <c r="AA3" i="101" s="1"/>
  <c r="U13" i="99"/>
  <c r="V25" i="99"/>
  <c r="F6" i="101" s="1"/>
  <c r="Z19" i="93"/>
  <c r="J3" i="95" s="1"/>
  <c r="Z3" i="95" s="1"/>
  <c r="W27" i="93"/>
  <c r="G8" i="95" s="1"/>
  <c r="Y18" i="99"/>
  <c r="I2" i="101" s="1"/>
  <c r="Y2" i="101" s="1"/>
  <c r="U13" i="93"/>
  <c r="U31" i="100"/>
  <c r="Y11" i="99"/>
  <c r="Z19" i="100"/>
  <c r="J3" i="102" s="1"/>
  <c r="Z3" i="102" s="1"/>
  <c r="Z21" i="100"/>
  <c r="AA19" i="93"/>
  <c r="K3" i="95" s="1"/>
  <c r="AA3" i="95" s="1"/>
  <c r="V26" i="93"/>
  <c r="V28" i="93"/>
  <c r="V19" i="99"/>
  <c r="Z26" i="100"/>
  <c r="J7" i="102" s="1"/>
  <c r="Z7" i="102" s="1"/>
  <c r="Z13" i="100"/>
  <c r="J11" i="102" s="1"/>
  <c r="Z11" i="102" s="1"/>
  <c r="V30" i="100"/>
  <c r="W4" i="100"/>
  <c r="V5" i="93"/>
  <c r="AA27" i="99"/>
  <c r="K8" i="101" s="1"/>
  <c r="AA8" i="101" s="1"/>
  <c r="W6" i="99"/>
  <c r="U25" i="93"/>
  <c r="U28" i="93"/>
  <c r="V30" i="93"/>
  <c r="Z31" i="100"/>
  <c r="V4" i="99"/>
  <c r="AA27" i="93"/>
  <c r="K8" i="95" s="1"/>
  <c r="AA8" i="95" s="1"/>
  <c r="W18" i="100"/>
  <c r="G2" i="102" s="1"/>
  <c r="W2" i="102" s="1"/>
  <c r="V31" i="93"/>
  <c r="X27" i="99"/>
  <c r="H8" i="101" s="1"/>
  <c r="X8" i="101" s="1"/>
  <c r="AA30" i="93"/>
  <c r="Y5" i="93"/>
  <c r="U5" i="99"/>
  <c r="AA20" i="99"/>
  <c r="AA21" i="99"/>
  <c r="Z4" i="99"/>
  <c r="Z20" i="99"/>
  <c r="J4" i="101" s="1"/>
  <c r="Z4" i="101" s="1"/>
  <c r="U20" i="99"/>
  <c r="U21" i="99"/>
  <c r="U18" i="99"/>
  <c r="V6" i="99"/>
  <c r="V13" i="99"/>
  <c r="F11" i="101" s="1"/>
  <c r="V18" i="93"/>
  <c r="F2" i="95" s="1"/>
  <c r="V2" i="95" s="1"/>
  <c r="V21" i="93"/>
  <c r="AA20" i="93"/>
  <c r="K4" i="95" s="1"/>
  <c r="AA4" i="95" s="1"/>
  <c r="AA21" i="93"/>
  <c r="W30" i="99"/>
  <c r="W31" i="99"/>
  <c r="Z26" i="99"/>
  <c r="J7" i="101" s="1"/>
  <c r="Z28" i="99"/>
  <c r="U19" i="93"/>
  <c r="U21" i="93"/>
  <c r="Z12" i="99"/>
  <c r="Y25" i="100"/>
  <c r="I6" i="102" s="1"/>
  <c r="Y28" i="100"/>
  <c r="Y5" i="100"/>
  <c r="W19" i="99"/>
  <c r="G3" i="101" s="1"/>
  <c r="W3" i="101" s="1"/>
  <c r="X32" i="93"/>
  <c r="X30" i="93" s="1"/>
  <c r="Y6" i="100"/>
  <c r="U7" i="93"/>
  <c r="U4" i="93" s="1"/>
  <c r="Z12" i="100"/>
  <c r="J10" i="102" s="1"/>
  <c r="Z10" i="102" s="1"/>
  <c r="V27" i="99"/>
  <c r="F8" i="101" s="1"/>
  <c r="V8" i="101" s="1"/>
  <c r="W25" i="99"/>
  <c r="W28" i="99"/>
  <c r="AA5" i="100"/>
  <c r="Z31" i="99"/>
  <c r="V20" i="99"/>
  <c r="V21" i="99"/>
  <c r="V12" i="100"/>
  <c r="F10" i="102" s="1"/>
  <c r="V14" i="100"/>
  <c r="V11" i="100" s="1"/>
  <c r="F9" i="102" s="1"/>
  <c r="V20" i="100"/>
  <c r="U13" i="100"/>
  <c r="U14" i="100"/>
  <c r="U11" i="100" s="1"/>
  <c r="Z5" i="99"/>
  <c r="X4" i="93"/>
  <c r="V18" i="100"/>
  <c r="F2" i="102" s="1"/>
  <c r="V2" i="102" s="1"/>
  <c r="V20" i="93"/>
  <c r="AA26" i="99"/>
  <c r="K7" i="101" s="1"/>
  <c r="AA7" i="101" s="1"/>
  <c r="X26" i="99"/>
  <c r="H7" i="101" s="1"/>
  <c r="U12" i="99"/>
  <c r="AA4" i="99"/>
  <c r="Y27" i="99"/>
  <c r="I8" i="101" s="1"/>
  <c r="Y8" i="101" s="1"/>
  <c r="X20" i="93"/>
  <c r="U12" i="100"/>
  <c r="U25" i="100"/>
  <c r="E6" i="102" s="1"/>
  <c r="U6" i="102" s="1"/>
  <c r="U28" i="100"/>
  <c r="AA18" i="100"/>
  <c r="K2" i="102" s="1"/>
  <c r="AA2" i="102" s="1"/>
  <c r="V12" i="99"/>
  <c r="X25" i="93"/>
  <c r="Y20" i="99"/>
  <c r="I4" i="101" s="1"/>
  <c r="Y4" i="101" s="1"/>
  <c r="Z12" i="93"/>
  <c r="J10" i="95" s="1"/>
  <c r="Z14" i="93"/>
  <c r="Z11" i="93" s="1"/>
  <c r="Z30" i="93"/>
  <c r="Y26" i="93"/>
  <c r="I7" i="95" s="1"/>
  <c r="AA12" i="99"/>
  <c r="K10" i="101" s="1"/>
  <c r="AA10" i="101" s="1"/>
  <c r="Y20" i="100"/>
  <c r="I4" i="102" s="1"/>
  <c r="Y4" i="102" s="1"/>
  <c r="Y21" i="100"/>
  <c r="Z27" i="93"/>
  <c r="J8" i="95" s="1"/>
  <c r="Z28" i="93"/>
  <c r="Y4" i="99"/>
  <c r="U26" i="99"/>
  <c r="E7" i="101" s="1"/>
  <c r="Z19" i="99"/>
  <c r="J3" i="101" s="1"/>
  <c r="Z3" i="101" s="1"/>
  <c r="Z21" i="99"/>
  <c r="Z11" i="100"/>
  <c r="J9" i="102" s="1"/>
  <c r="Y19" i="99"/>
  <c r="I3" i="101" s="1"/>
  <c r="Y3" i="101" s="1"/>
  <c r="Y12" i="100"/>
  <c r="Y14" i="100"/>
  <c r="Y11" i="100" s="1"/>
  <c r="I9" i="102" s="1"/>
  <c r="T25" i="99"/>
  <c r="D6" i="101" s="1"/>
  <c r="T6" i="101" s="1"/>
  <c r="S12" i="102"/>
  <c r="S16" i="102"/>
  <c r="N16" i="102"/>
  <c r="H18" i="102"/>
  <c r="X18" i="102" s="1"/>
  <c r="D10" i="101"/>
  <c r="T10" i="101" s="1"/>
  <c r="D8" i="101"/>
  <c r="T8" i="101" s="1"/>
  <c r="G12" i="101"/>
  <c r="O12" i="101" s="1"/>
  <c r="J16" i="101"/>
  <c r="Z16" i="101" s="1"/>
  <c r="K5" i="101"/>
  <c r="K10" i="102"/>
  <c r="AA10" i="102" s="1"/>
  <c r="H12" i="95"/>
  <c r="X12" i="95" s="1"/>
  <c r="H5" i="95"/>
  <c r="P5" i="95" s="1"/>
  <c r="O16" i="95"/>
  <c r="I8" i="102"/>
  <c r="Y12" i="102"/>
  <c r="Q12" i="102"/>
  <c r="P5" i="102"/>
  <c r="L5" i="102"/>
  <c r="W16" i="102"/>
  <c r="O16" i="102"/>
  <c r="O5" i="102"/>
  <c r="K3" i="102"/>
  <c r="Y16" i="102"/>
  <c r="Q16" i="102"/>
  <c r="Q5" i="102"/>
  <c r="X12" i="102"/>
  <c r="P12" i="102"/>
  <c r="U16" i="102"/>
  <c r="M16" i="102"/>
  <c r="Z16" i="102"/>
  <c r="R16" i="102"/>
  <c r="W12" i="102"/>
  <c r="O12" i="102"/>
  <c r="Z12" i="102"/>
  <c r="R12" i="102"/>
  <c r="X16" i="102"/>
  <c r="P16" i="102"/>
  <c r="V12" i="102"/>
  <c r="N12" i="102"/>
  <c r="AA16" i="101"/>
  <c r="S16" i="101"/>
  <c r="AA12" i="101"/>
  <c r="S12" i="101"/>
  <c r="T9" i="101"/>
  <c r="J5" i="101"/>
  <c r="H5" i="101"/>
  <c r="M5" i="101"/>
  <c r="T16" i="101"/>
  <c r="L16" i="101"/>
  <c r="V16" i="101"/>
  <c r="N16" i="101"/>
  <c r="T11" i="101"/>
  <c r="L5" i="101"/>
  <c r="X12" i="101"/>
  <c r="P12" i="101"/>
  <c r="G16" i="101"/>
  <c r="Q5" i="101"/>
  <c r="H16" i="101"/>
  <c r="D9" i="102"/>
  <c r="D10" i="102"/>
  <c r="H9" i="102"/>
  <c r="F5" i="102"/>
  <c r="E5" i="102"/>
  <c r="U5" i="102" s="1"/>
  <c r="D17" i="102"/>
  <c r="F6" i="102"/>
  <c r="I18" i="102"/>
  <c r="H4" i="102"/>
  <c r="X4" i="102" s="1"/>
  <c r="D11" i="102"/>
  <c r="I2" i="102"/>
  <c r="Y2" i="102" s="1"/>
  <c r="F11" i="102"/>
  <c r="E12" i="102"/>
  <c r="H17" i="102"/>
  <c r="J2" i="101"/>
  <c r="Z2" i="101" s="1"/>
  <c r="H6" i="101"/>
  <c r="E12" i="101"/>
  <c r="E16" i="101"/>
  <c r="F2" i="101"/>
  <c r="V2" i="101" s="1"/>
  <c r="D18" i="101"/>
  <c r="I7" i="101"/>
  <c r="J12" i="101"/>
  <c r="D13" i="101"/>
  <c r="D12" i="101"/>
  <c r="I16" i="101"/>
  <c r="I12" i="101"/>
  <c r="F12" i="101"/>
  <c r="D12" i="95"/>
  <c r="G12" i="95"/>
  <c r="K12" i="95"/>
  <c r="S12" i="95" s="1"/>
  <c r="M5" i="95"/>
  <c r="J12" i="95"/>
  <c r="D9" i="95"/>
  <c r="F3" i="95"/>
  <c r="V3" i="95" s="1"/>
  <c r="F6" i="95"/>
  <c r="D14" i="95"/>
  <c r="R5" i="95"/>
  <c r="G10" i="95"/>
  <c r="G11" i="95"/>
  <c r="W11" i="95" s="1"/>
  <c r="E16" i="95"/>
  <c r="I12" i="95"/>
  <c r="I5" i="95"/>
  <c r="G5" i="95"/>
  <c r="F12" i="95"/>
  <c r="V12" i="95" s="1"/>
  <c r="K5" i="95"/>
  <c r="D11" i="95"/>
  <c r="X16" i="95"/>
  <c r="P16" i="95"/>
  <c r="D10" i="95"/>
  <c r="J16" i="95"/>
  <c r="N16" i="95"/>
  <c r="F5" i="95"/>
  <c r="D16" i="95"/>
  <c r="K16" i="95"/>
  <c r="Q16" i="95"/>
  <c r="E12" i="95"/>
  <c r="H10" i="95"/>
  <c r="T31" i="67"/>
  <c r="T30" i="67"/>
  <c r="T29" i="67"/>
  <c r="T28" i="67"/>
  <c r="T27" i="67"/>
  <c r="T26" i="67"/>
  <c r="T25" i="67"/>
  <c r="T24" i="67"/>
  <c r="T23" i="67"/>
  <c r="T22" i="67"/>
  <c r="T21" i="67"/>
  <c r="T20" i="67"/>
  <c r="T19" i="67"/>
  <c r="P11" i="102" l="1"/>
  <c r="P18" i="102"/>
  <c r="S7" i="102"/>
  <c r="X31" i="93"/>
  <c r="S8" i="102"/>
  <c r="O2" i="102"/>
  <c r="S6" i="102"/>
  <c r="L6" i="101"/>
  <c r="O4" i="102"/>
  <c r="O3" i="102"/>
  <c r="S2" i="102"/>
  <c r="AA3" i="102"/>
  <c r="U6" i="93"/>
  <c r="E15" i="95" s="1"/>
  <c r="U5" i="93"/>
  <c r="S8" i="95"/>
  <c r="S6" i="95"/>
  <c r="S7" i="95"/>
  <c r="R8" i="102"/>
  <c r="R16" i="101"/>
  <c r="L10" i="101"/>
  <c r="L9" i="101"/>
  <c r="L11" i="101"/>
  <c r="S10" i="101"/>
  <c r="W12" i="101"/>
  <c r="S11" i="101"/>
  <c r="S9" i="101"/>
  <c r="R10" i="102"/>
  <c r="P2" i="102"/>
  <c r="Q3" i="102"/>
  <c r="P12" i="95"/>
  <c r="F17" i="101"/>
  <c r="N18" i="101" s="1"/>
  <c r="E7" i="102"/>
  <c r="U7" i="102" s="1"/>
  <c r="G17" i="102"/>
  <c r="O18" i="102" s="1"/>
  <c r="S10" i="102"/>
  <c r="L7" i="101"/>
  <c r="S5" i="101"/>
  <c r="D14" i="101"/>
  <c r="T14" i="101" s="1"/>
  <c r="L8" i="101"/>
  <c r="D15" i="101"/>
  <c r="T15" i="101" s="1"/>
  <c r="J6" i="101"/>
  <c r="Z6" i="101" s="1"/>
  <c r="J8" i="101"/>
  <c r="Z8" i="101" s="1"/>
  <c r="H17" i="101"/>
  <c r="X17" i="101" s="1"/>
  <c r="J11" i="101"/>
  <c r="Z11" i="101" s="1"/>
  <c r="D17" i="101"/>
  <c r="L17" i="101" s="1"/>
  <c r="E8" i="101"/>
  <c r="U8" i="101" s="1"/>
  <c r="R7" i="102"/>
  <c r="R6" i="102"/>
  <c r="E8" i="102"/>
  <c r="E6" i="95"/>
  <c r="U6" i="95" s="1"/>
  <c r="H13" i="95"/>
  <c r="X13" i="95" s="1"/>
  <c r="H14" i="95"/>
  <c r="X14" i="95" s="1"/>
  <c r="U16" i="95"/>
  <c r="M16" i="95"/>
  <c r="I13" i="95"/>
  <c r="Y13" i="95" s="1"/>
  <c r="R2" i="95"/>
  <c r="F7" i="95"/>
  <c r="V7" i="95" s="1"/>
  <c r="O7" i="95"/>
  <c r="N12" i="95"/>
  <c r="T17" i="102"/>
  <c r="I13" i="102"/>
  <c r="I14" i="102"/>
  <c r="I15" i="102"/>
  <c r="W9" i="102"/>
  <c r="O9" i="102"/>
  <c r="Y8" i="102"/>
  <c r="Q8" i="102"/>
  <c r="Y17" i="102"/>
  <c r="Q17" i="102"/>
  <c r="W8" i="102"/>
  <c r="O8" i="102"/>
  <c r="S3" i="102"/>
  <c r="W7" i="102"/>
  <c r="O7" i="102"/>
  <c r="AA9" i="102"/>
  <c r="S9" i="102"/>
  <c r="M12" i="102"/>
  <c r="U12" i="102"/>
  <c r="T10" i="102"/>
  <c r="L10" i="102"/>
  <c r="Q4" i="102"/>
  <c r="D6" i="102"/>
  <c r="W6" i="102"/>
  <c r="O6" i="102"/>
  <c r="P4" i="102"/>
  <c r="Y9" i="102"/>
  <c r="V8" i="102"/>
  <c r="N8" i="102"/>
  <c r="X17" i="102"/>
  <c r="P17" i="102"/>
  <c r="V11" i="102"/>
  <c r="N11" i="102"/>
  <c r="V9" i="102"/>
  <c r="N9" i="102"/>
  <c r="T9" i="102"/>
  <c r="L9" i="102"/>
  <c r="Y6" i="102"/>
  <c r="Q6" i="102"/>
  <c r="Q2" i="102"/>
  <c r="X8" i="102"/>
  <c r="Z9" i="102"/>
  <c r="R9" i="102"/>
  <c r="T11" i="102"/>
  <c r="L11" i="102"/>
  <c r="E3" i="102"/>
  <c r="U3" i="102" s="1"/>
  <c r="W11" i="102"/>
  <c r="O11" i="102"/>
  <c r="M5" i="102"/>
  <c r="R11" i="102"/>
  <c r="S11" i="102"/>
  <c r="I11" i="102"/>
  <c r="I10" i="102"/>
  <c r="X9" i="102"/>
  <c r="P9" i="102"/>
  <c r="V6" i="102"/>
  <c r="N6" i="102"/>
  <c r="H6" i="102"/>
  <c r="H7" i="102"/>
  <c r="Y18" i="102"/>
  <c r="Q18" i="102"/>
  <c r="S4" i="102"/>
  <c r="V7" i="102"/>
  <c r="N7" i="102"/>
  <c r="V10" i="102"/>
  <c r="N10" i="102"/>
  <c r="P10" i="102"/>
  <c r="W10" i="102"/>
  <c r="O10" i="102"/>
  <c r="D18" i="102"/>
  <c r="L17" i="102" s="1"/>
  <c r="N5" i="102"/>
  <c r="P3" i="102"/>
  <c r="J2" i="102"/>
  <c r="Z2" i="102" s="1"/>
  <c r="J4" i="102"/>
  <c r="Z4" i="102" s="1"/>
  <c r="Y7" i="102"/>
  <c r="Q7" i="102"/>
  <c r="V18" i="101"/>
  <c r="Q3" i="101"/>
  <c r="T12" i="101"/>
  <c r="L12" i="101"/>
  <c r="X7" i="101"/>
  <c r="P7" i="101"/>
  <c r="O4" i="101"/>
  <c r="R3" i="101"/>
  <c r="U16" i="101"/>
  <c r="M16" i="101"/>
  <c r="U12" i="101"/>
  <c r="M12" i="101"/>
  <c r="J17" i="101"/>
  <c r="AA17" i="101"/>
  <c r="S17" i="101"/>
  <c r="X16" i="101"/>
  <c r="P16" i="101"/>
  <c r="AA18" i="101"/>
  <c r="S18" i="101"/>
  <c r="W16" i="101"/>
  <c r="O16" i="101"/>
  <c r="V11" i="101"/>
  <c r="V6" i="101"/>
  <c r="N6" i="101"/>
  <c r="Q4" i="101"/>
  <c r="W7" i="101"/>
  <c r="O3" i="101"/>
  <c r="O2" i="101"/>
  <c r="Y12" i="101"/>
  <c r="Q12" i="101"/>
  <c r="V7" i="101"/>
  <c r="N7" i="101"/>
  <c r="R2" i="101"/>
  <c r="G9" i="101"/>
  <c r="Y16" i="101"/>
  <c r="Q16" i="101"/>
  <c r="T13" i="101"/>
  <c r="Y6" i="101"/>
  <c r="Q6" i="101"/>
  <c r="J10" i="101"/>
  <c r="AA6" i="101"/>
  <c r="S6" i="101"/>
  <c r="X6" i="101"/>
  <c r="P6" i="101"/>
  <c r="R4" i="101"/>
  <c r="G6" i="101"/>
  <c r="G8" i="101"/>
  <c r="P8" i="101"/>
  <c r="T18" i="101"/>
  <c r="S8" i="101"/>
  <c r="S7" i="101"/>
  <c r="P5" i="101"/>
  <c r="Q2" i="101"/>
  <c r="J18" i="101"/>
  <c r="Z7" i="101"/>
  <c r="Y7" i="101"/>
  <c r="Q7" i="101"/>
  <c r="V12" i="101"/>
  <c r="N12" i="101"/>
  <c r="H11" i="101"/>
  <c r="Z12" i="101"/>
  <c r="R12" i="101"/>
  <c r="U7" i="101"/>
  <c r="J9" i="101"/>
  <c r="H9" i="101"/>
  <c r="N8" i="101"/>
  <c r="R5" i="101"/>
  <c r="Q8" i="101"/>
  <c r="E9" i="102"/>
  <c r="E10" i="102"/>
  <c r="D2" i="102"/>
  <c r="T2" i="102" s="1"/>
  <c r="K17" i="102"/>
  <c r="K18" i="102"/>
  <c r="J17" i="102"/>
  <c r="J18" i="102"/>
  <c r="E14" i="102"/>
  <c r="E11" i="102"/>
  <c r="F3" i="102"/>
  <c r="V3" i="102" s="1"/>
  <c r="F4" i="102"/>
  <c r="V4" i="102" s="1"/>
  <c r="E17" i="102"/>
  <c r="E18" i="102"/>
  <c r="E4" i="102"/>
  <c r="U4" i="102" s="1"/>
  <c r="F13" i="102"/>
  <c r="F14" i="102"/>
  <c r="F17" i="102"/>
  <c r="F18" i="102"/>
  <c r="I15" i="101"/>
  <c r="D2" i="101"/>
  <c r="T2" i="101" s="1"/>
  <c r="E3" i="101"/>
  <c r="U3" i="101" s="1"/>
  <c r="H13" i="101"/>
  <c r="E2" i="101"/>
  <c r="U2" i="101" s="1"/>
  <c r="G13" i="101"/>
  <c r="G15" i="101"/>
  <c r="G14" i="101"/>
  <c r="E9" i="101"/>
  <c r="E10" i="101"/>
  <c r="J13" i="101"/>
  <c r="F3" i="101"/>
  <c r="V3" i="101" s="1"/>
  <c r="E18" i="101"/>
  <c r="F4" i="101"/>
  <c r="V4" i="101" s="1"/>
  <c r="K13" i="101"/>
  <c r="E6" i="101"/>
  <c r="I9" i="101"/>
  <c r="F9" i="101"/>
  <c r="F10" i="101"/>
  <c r="G11" i="101"/>
  <c r="H4" i="101"/>
  <c r="X4" i="101" s="1"/>
  <c r="E4" i="101"/>
  <c r="U4" i="101" s="1"/>
  <c r="E11" i="101"/>
  <c r="H2" i="101"/>
  <c r="X2" i="101" s="1"/>
  <c r="I18" i="101"/>
  <c r="I11" i="101"/>
  <c r="G18" i="101"/>
  <c r="K2" i="101"/>
  <c r="AA2" i="101" s="1"/>
  <c r="K4" i="101"/>
  <c r="AA4" i="101" s="1"/>
  <c r="I17" i="101"/>
  <c r="G17" i="101"/>
  <c r="H18" i="101"/>
  <c r="H3" i="101"/>
  <c r="X3" i="101" s="1"/>
  <c r="G10" i="101"/>
  <c r="H10" i="101"/>
  <c r="I10" i="101"/>
  <c r="L12" i="95"/>
  <c r="T12" i="95"/>
  <c r="H7" i="95"/>
  <c r="X7" i="95" s="1"/>
  <c r="H8" i="95"/>
  <c r="F15" i="95"/>
  <c r="K9" i="95"/>
  <c r="K11" i="95"/>
  <c r="AA11" i="95" s="1"/>
  <c r="G13" i="95"/>
  <c r="D17" i="95"/>
  <c r="I11" i="95"/>
  <c r="Y11" i="95" s="1"/>
  <c r="I14" i="95"/>
  <c r="Y14" i="95" s="1"/>
  <c r="D7" i="95"/>
  <c r="T7" i="95" s="1"/>
  <c r="K13" i="95"/>
  <c r="K15" i="95"/>
  <c r="AA15" i="95" s="1"/>
  <c r="K14" i="95"/>
  <c r="AA14" i="95" s="1"/>
  <c r="E2" i="95"/>
  <c r="U2" i="95" s="1"/>
  <c r="I10" i="95"/>
  <c r="Y10" i="95" s="1"/>
  <c r="F8" i="95"/>
  <c r="F14" i="95"/>
  <c r="F17" i="95"/>
  <c r="H2" i="95"/>
  <c r="X2" i="95" s="1"/>
  <c r="Y7" i="95"/>
  <c r="Z8" i="95"/>
  <c r="H9" i="95"/>
  <c r="P9" i="95" s="1"/>
  <c r="G9" i="95"/>
  <c r="W9" i="95" s="1"/>
  <c r="I8" i="95"/>
  <c r="I2" i="95"/>
  <c r="Y2" i="95" s="1"/>
  <c r="I3" i="95"/>
  <c r="Y3" i="95" s="1"/>
  <c r="AA12" i="95"/>
  <c r="Q5" i="95"/>
  <c r="W8" i="95"/>
  <c r="O8" i="95"/>
  <c r="H4" i="95"/>
  <c r="X4" i="95" s="1"/>
  <c r="O6" i="95"/>
  <c r="D13" i="95"/>
  <c r="F11" i="95"/>
  <c r="V11" i="95" s="1"/>
  <c r="H3" i="95"/>
  <c r="X3" i="95" s="1"/>
  <c r="O5" i="95"/>
  <c r="T14" i="95"/>
  <c r="J7" i="95"/>
  <c r="I4" i="95"/>
  <c r="Y4" i="95" s="1"/>
  <c r="S5" i="95"/>
  <c r="Y12" i="95"/>
  <c r="Q12" i="95"/>
  <c r="K2" i="95"/>
  <c r="AA2" i="95" s="1"/>
  <c r="G2" i="95"/>
  <c r="D15" i="95"/>
  <c r="Z10" i="95"/>
  <c r="U12" i="95"/>
  <c r="M12" i="95"/>
  <c r="U7" i="95"/>
  <c r="L16" i="95"/>
  <c r="T16" i="95"/>
  <c r="F10" i="95"/>
  <c r="W12" i="95"/>
  <c r="O12" i="95"/>
  <c r="F13" i="95"/>
  <c r="J15" i="95"/>
  <c r="R4" i="95"/>
  <c r="Y15" i="95"/>
  <c r="AA16" i="95"/>
  <c r="S16" i="95"/>
  <c r="H6" i="95"/>
  <c r="Z12" i="95"/>
  <c r="R12" i="95"/>
  <c r="E4" i="95"/>
  <c r="U4" i="95" s="1"/>
  <c r="F9" i="95"/>
  <c r="Z16" i="95"/>
  <c r="R16" i="95"/>
  <c r="J9" i="95"/>
  <c r="E17" i="95"/>
  <c r="N5" i="95"/>
  <c r="X15" i="95"/>
  <c r="E8" i="95"/>
  <c r="F4" i="95"/>
  <c r="V4" i="95" s="1"/>
  <c r="T9" i="95"/>
  <c r="L9" i="95"/>
  <c r="J14" i="95"/>
  <c r="E9" i="95"/>
  <c r="E3" i="95"/>
  <c r="U3" i="95" s="1"/>
  <c r="T11" i="95"/>
  <c r="L11" i="95"/>
  <c r="W10" i="95"/>
  <c r="J11" i="95"/>
  <c r="T10" i="95"/>
  <c r="L10" i="95"/>
  <c r="R3" i="95"/>
  <c r="X11" i="95"/>
  <c r="X10" i="95"/>
  <c r="E11" i="95"/>
  <c r="V6" i="95"/>
  <c r="AA10" i="95"/>
  <c r="E10" i="95"/>
  <c r="G74" i="30"/>
  <c r="S9" i="49"/>
  <c r="L9" i="49"/>
  <c r="T17" i="101" l="1"/>
  <c r="L18" i="101"/>
  <c r="O3" i="95"/>
  <c r="W2" i="95"/>
  <c r="Q9" i="102"/>
  <c r="Q15" i="95"/>
  <c r="L14" i="95"/>
  <c r="M8" i="101"/>
  <c r="N17" i="101"/>
  <c r="V17" i="101"/>
  <c r="L13" i="101"/>
  <c r="P15" i="95"/>
  <c r="P13" i="95"/>
  <c r="P14" i="95"/>
  <c r="M7" i="95"/>
  <c r="S14" i="95"/>
  <c r="O17" i="102"/>
  <c r="P8" i="102"/>
  <c r="W17" i="102"/>
  <c r="R8" i="101"/>
  <c r="R7" i="101"/>
  <c r="R6" i="101"/>
  <c r="E13" i="101"/>
  <c r="E15" i="101"/>
  <c r="F14" i="101"/>
  <c r="F15" i="101"/>
  <c r="F13" i="101"/>
  <c r="I13" i="101"/>
  <c r="Y13" i="101" s="1"/>
  <c r="L14" i="101"/>
  <c r="D4" i="101"/>
  <c r="T4" i="101" s="1"/>
  <c r="L15" i="101"/>
  <c r="E14" i="101"/>
  <c r="K15" i="101"/>
  <c r="AA15" i="101" s="1"/>
  <c r="U8" i="102"/>
  <c r="M6" i="102"/>
  <c r="M7" i="102"/>
  <c r="N2" i="102"/>
  <c r="M8" i="102"/>
  <c r="S10" i="95"/>
  <c r="AA9" i="95"/>
  <c r="S9" i="95"/>
  <c r="S11" i="95"/>
  <c r="P10" i="95"/>
  <c r="O10" i="95"/>
  <c r="O11" i="95"/>
  <c r="P11" i="95"/>
  <c r="X9" i="95"/>
  <c r="AA9" i="49"/>
  <c r="AA8" i="49" s="1"/>
  <c r="K16" i="67" s="1"/>
  <c r="AA16" i="67" s="1"/>
  <c r="T9" i="49"/>
  <c r="T8" i="49" s="1"/>
  <c r="D16" i="67" s="1"/>
  <c r="T16" i="67" s="1"/>
  <c r="S16" i="49"/>
  <c r="L16" i="49"/>
  <c r="T16" i="49" s="1"/>
  <c r="T15" i="49" s="1"/>
  <c r="D12" i="67" s="1"/>
  <c r="L12" i="67" s="1"/>
  <c r="O16" i="49"/>
  <c r="I17" i="95"/>
  <c r="E18" i="95"/>
  <c r="M18" i="95" s="1"/>
  <c r="Q14" i="95"/>
  <c r="Q13" i="95"/>
  <c r="U11" i="102"/>
  <c r="M11" i="102"/>
  <c r="AA18" i="102"/>
  <c r="S18" i="102"/>
  <c r="Z18" i="102"/>
  <c r="R18" i="102"/>
  <c r="AA17" i="102"/>
  <c r="S17" i="102"/>
  <c r="R4" i="102"/>
  <c r="T6" i="102"/>
  <c r="Y15" i="102"/>
  <c r="Q15" i="102"/>
  <c r="Z17" i="102"/>
  <c r="R17" i="102"/>
  <c r="D4" i="102"/>
  <c r="T4" i="102" s="1"/>
  <c r="R2" i="102"/>
  <c r="Y14" i="102"/>
  <c r="Q14" i="102"/>
  <c r="V18" i="102"/>
  <c r="N18" i="102"/>
  <c r="X7" i="102"/>
  <c r="P7" i="102"/>
  <c r="Y10" i="102"/>
  <c r="Q10" i="102"/>
  <c r="M3" i="102"/>
  <c r="U14" i="102"/>
  <c r="V17" i="102"/>
  <c r="N17" i="102"/>
  <c r="M4" i="102"/>
  <c r="M18" i="102"/>
  <c r="U18" i="102"/>
  <c r="N4" i="102"/>
  <c r="U9" i="102"/>
  <c r="M9" i="102"/>
  <c r="Y11" i="102"/>
  <c r="Q11" i="102"/>
  <c r="V14" i="102"/>
  <c r="U17" i="102"/>
  <c r="M17" i="102"/>
  <c r="N3" i="102"/>
  <c r="D7" i="102"/>
  <c r="T18" i="102"/>
  <c r="L18" i="102"/>
  <c r="X6" i="102"/>
  <c r="P6" i="102"/>
  <c r="D8" i="102"/>
  <c r="R3" i="102"/>
  <c r="M2" i="102"/>
  <c r="Y13" i="102"/>
  <c r="Q13" i="102"/>
  <c r="M10" i="102"/>
  <c r="U10" i="102"/>
  <c r="V13" i="102"/>
  <c r="Y15" i="101"/>
  <c r="U18" i="101"/>
  <c r="U11" i="101"/>
  <c r="M11" i="101"/>
  <c r="W11" i="101"/>
  <c r="O11" i="101"/>
  <c r="Y10" i="101"/>
  <c r="Q10" i="101"/>
  <c r="W10" i="101"/>
  <c r="O10" i="101"/>
  <c r="V10" i="101"/>
  <c r="N10" i="101"/>
  <c r="N3" i="101"/>
  <c r="E17" i="101"/>
  <c r="M18" i="101" s="1"/>
  <c r="Z9" i="101"/>
  <c r="R9" i="101"/>
  <c r="R11" i="101"/>
  <c r="W6" i="101"/>
  <c r="O6" i="101"/>
  <c r="P3" i="101"/>
  <c r="P2" i="101"/>
  <c r="V9" i="101"/>
  <c r="N9" i="101"/>
  <c r="X13" i="101"/>
  <c r="M7" i="101"/>
  <c r="X18" i="101"/>
  <c r="P18" i="101"/>
  <c r="M4" i="101"/>
  <c r="Z18" i="101"/>
  <c r="R18" i="101"/>
  <c r="S2" i="101"/>
  <c r="M9" i="101"/>
  <c r="U9" i="101"/>
  <c r="P17" i="101"/>
  <c r="M3" i="101"/>
  <c r="W17" i="101"/>
  <c r="O17" i="101"/>
  <c r="U6" i="101"/>
  <c r="M6" i="101"/>
  <c r="W14" i="101"/>
  <c r="O14" i="101"/>
  <c r="I14" i="101"/>
  <c r="X9" i="101"/>
  <c r="P9" i="101"/>
  <c r="X11" i="101"/>
  <c r="P11" i="101"/>
  <c r="Y17" i="101"/>
  <c r="Q17" i="101"/>
  <c r="S4" i="101"/>
  <c r="M10" i="101"/>
  <c r="U10" i="101"/>
  <c r="P4" i="101"/>
  <c r="W18" i="101"/>
  <c r="O18" i="101"/>
  <c r="AA13" i="101"/>
  <c r="W15" i="101"/>
  <c r="O15" i="101"/>
  <c r="Z10" i="101"/>
  <c r="R10" i="101"/>
  <c r="O7" i="101"/>
  <c r="N11" i="101"/>
  <c r="Z17" i="101"/>
  <c r="R17" i="101"/>
  <c r="Y9" i="101"/>
  <c r="Q9" i="101"/>
  <c r="X10" i="101"/>
  <c r="P10" i="101"/>
  <c r="Y11" i="101"/>
  <c r="Q11" i="101"/>
  <c r="W13" i="101"/>
  <c r="O13" i="101"/>
  <c r="W8" i="101"/>
  <c r="O8" i="101"/>
  <c r="N2" i="101"/>
  <c r="W9" i="101"/>
  <c r="O9" i="101"/>
  <c r="S3" i="101"/>
  <c r="Z13" i="101"/>
  <c r="N4" i="101"/>
  <c r="Y18" i="101"/>
  <c r="Q18" i="101"/>
  <c r="M2" i="101"/>
  <c r="H13" i="102"/>
  <c r="H14" i="102"/>
  <c r="H15" i="102"/>
  <c r="K14" i="102"/>
  <c r="K13" i="102"/>
  <c r="K15" i="102"/>
  <c r="D13" i="102"/>
  <c r="D15" i="102"/>
  <c r="F15" i="102"/>
  <c r="N14" i="102" s="1"/>
  <c r="E15" i="102"/>
  <c r="E13" i="102"/>
  <c r="G13" i="102"/>
  <c r="G14" i="102"/>
  <c r="G15" i="102"/>
  <c r="J15" i="102"/>
  <c r="J14" i="102"/>
  <c r="J13" i="102"/>
  <c r="D14" i="102"/>
  <c r="D3" i="102"/>
  <c r="T3" i="102" s="1"/>
  <c r="H15" i="101"/>
  <c r="K14" i="101"/>
  <c r="D3" i="101"/>
  <c r="J14" i="101"/>
  <c r="J15" i="101"/>
  <c r="H14" i="101"/>
  <c r="D6" i="95"/>
  <c r="G17" i="95"/>
  <c r="G18" i="95"/>
  <c r="D18" i="95"/>
  <c r="L17" i="95" s="1"/>
  <c r="H17" i="95"/>
  <c r="X17" i="95" s="1"/>
  <c r="H18" i="95"/>
  <c r="X18" i="95" s="1"/>
  <c r="O9" i="95"/>
  <c r="J18" i="95"/>
  <c r="J17" i="95"/>
  <c r="D8" i="95"/>
  <c r="T8" i="95" s="1"/>
  <c r="K18" i="95"/>
  <c r="K17" i="95"/>
  <c r="Q2" i="95"/>
  <c r="S2" i="95"/>
  <c r="S4" i="95"/>
  <c r="S3" i="95"/>
  <c r="Q4" i="95"/>
  <c r="I6" i="95"/>
  <c r="Q8" i="95" s="1"/>
  <c r="Z7" i="95"/>
  <c r="J13" i="95"/>
  <c r="R15" i="95" s="1"/>
  <c r="Y8" i="95"/>
  <c r="O2" i="95"/>
  <c r="O4" i="95"/>
  <c r="AA13" i="95"/>
  <c r="S13" i="95"/>
  <c r="S15" i="95"/>
  <c r="P3" i="95"/>
  <c r="I9" i="95"/>
  <c r="P2" i="95"/>
  <c r="P4" i="95"/>
  <c r="T15" i="95"/>
  <c r="L15" i="95"/>
  <c r="L13" i="95"/>
  <c r="T13" i="95"/>
  <c r="J6" i="95"/>
  <c r="Q3" i="95"/>
  <c r="E13" i="95"/>
  <c r="U13" i="95" s="1"/>
  <c r="E14" i="95"/>
  <c r="V9" i="95"/>
  <c r="N9" i="95"/>
  <c r="N11" i="95"/>
  <c r="U17" i="95"/>
  <c r="W13" i="95"/>
  <c r="Z9" i="95"/>
  <c r="R9" i="95"/>
  <c r="R10" i="95"/>
  <c r="U9" i="95"/>
  <c r="M9" i="95"/>
  <c r="U15" i="95"/>
  <c r="U11" i="95"/>
  <c r="M11" i="95"/>
  <c r="N4" i="95"/>
  <c r="N3" i="95"/>
  <c r="Z15" i="95"/>
  <c r="G14" i="95"/>
  <c r="X6" i="95"/>
  <c r="P6" i="95"/>
  <c r="V13" i="95"/>
  <c r="N13" i="95"/>
  <c r="T17" i="95"/>
  <c r="U10" i="95"/>
  <c r="M10" i="95"/>
  <c r="F18" i="95"/>
  <c r="N17" i="95" s="1"/>
  <c r="M3" i="95"/>
  <c r="U8" i="95"/>
  <c r="M8" i="95"/>
  <c r="N2" i="95"/>
  <c r="X8" i="95"/>
  <c r="P8" i="95"/>
  <c r="G15" i="95"/>
  <c r="V14" i="95"/>
  <c r="N14" i="95"/>
  <c r="P7" i="95"/>
  <c r="M6" i="95"/>
  <c r="V8" i="95"/>
  <c r="N8" i="95"/>
  <c r="V17" i="95"/>
  <c r="V15" i="95"/>
  <c r="N15" i="95"/>
  <c r="N6" i="95"/>
  <c r="Z14" i="95"/>
  <c r="I18" i="95"/>
  <c r="V10" i="95"/>
  <c r="N10" i="95"/>
  <c r="M2" i="95"/>
  <c r="D3" i="95"/>
  <c r="T3" i="95" s="1"/>
  <c r="D2" i="95"/>
  <c r="T2" i="95" s="1"/>
  <c r="Z11" i="95"/>
  <c r="R11" i="95"/>
  <c r="N7" i="95"/>
  <c r="M4" i="95"/>
  <c r="D4" i="95"/>
  <c r="T4" i="95" s="1"/>
  <c r="O23" i="49"/>
  <c r="W22" i="49" s="1"/>
  <c r="G5" i="67" s="1"/>
  <c r="S23" i="49"/>
  <c r="AA22" i="49" s="1"/>
  <c r="K5" i="67" s="1"/>
  <c r="M23" i="49"/>
  <c r="U22" i="49" s="1"/>
  <c r="E5" i="67" s="1"/>
  <c r="U5" i="67" s="1"/>
  <c r="Q9" i="49"/>
  <c r="Y9" i="49" s="1"/>
  <c r="Y8" i="49" s="1"/>
  <c r="I16" i="67" s="1"/>
  <c r="R9" i="49"/>
  <c r="Z9" i="49" s="1"/>
  <c r="Z8" i="49" s="1"/>
  <c r="J16" i="67" s="1"/>
  <c r="O9" i="49"/>
  <c r="W9" i="49" s="1"/>
  <c r="W8" i="49" s="1"/>
  <c r="G16" i="67" s="1"/>
  <c r="N9" i="49"/>
  <c r="V9" i="49" s="1"/>
  <c r="V8" i="49" s="1"/>
  <c r="F16" i="67" s="1"/>
  <c r="P9" i="49"/>
  <c r="X9" i="49" s="1"/>
  <c r="X8" i="49" s="1"/>
  <c r="H16" i="67" s="1"/>
  <c r="M9" i="49"/>
  <c r="U9" i="49" s="1"/>
  <c r="U8" i="49" s="1"/>
  <c r="E16" i="67" s="1"/>
  <c r="U18" i="95" l="1"/>
  <c r="L2" i="101"/>
  <c r="T3" i="101"/>
  <c r="S13" i="101"/>
  <c r="L16" i="67"/>
  <c r="S16" i="67"/>
  <c r="N13" i="101"/>
  <c r="V13" i="101"/>
  <c r="U14" i="101"/>
  <c r="M14" i="101"/>
  <c r="V15" i="101"/>
  <c r="N15" i="101"/>
  <c r="Q13" i="101"/>
  <c r="V14" i="101"/>
  <c r="N14" i="101"/>
  <c r="U15" i="101"/>
  <c r="M15" i="101"/>
  <c r="U13" i="101"/>
  <c r="M13" i="101"/>
  <c r="R13" i="101"/>
  <c r="S14" i="49"/>
  <c r="AA13" i="49" s="1"/>
  <c r="K11" i="67" s="1"/>
  <c r="AA11" i="67" s="1"/>
  <c r="W16" i="49"/>
  <c r="W15" i="49" s="1"/>
  <c r="G12" i="67" s="1"/>
  <c r="L14" i="49"/>
  <c r="T14" i="49" s="1"/>
  <c r="N23" i="49"/>
  <c r="V22" i="49" s="1"/>
  <c r="F5" i="67" s="1"/>
  <c r="Q16" i="49"/>
  <c r="P23" i="49"/>
  <c r="X22" i="49" s="1"/>
  <c r="H5" i="67" s="1"/>
  <c r="R23" i="49"/>
  <c r="Z22" i="49" s="1"/>
  <c r="J5" i="67" s="1"/>
  <c r="T12" i="67"/>
  <c r="M16" i="49"/>
  <c r="R16" i="49"/>
  <c r="L32" i="49"/>
  <c r="AA16" i="49"/>
  <c r="AA15" i="49" s="1"/>
  <c r="K12" i="67" s="1"/>
  <c r="O21" i="49"/>
  <c r="W20" i="49" s="1"/>
  <c r="G4" i="67" s="1"/>
  <c r="W4" i="67" s="1"/>
  <c r="P16" i="49"/>
  <c r="L7" i="49"/>
  <c r="T7" i="49" s="1"/>
  <c r="T4" i="49" s="1"/>
  <c r="D13" i="67" s="1"/>
  <c r="T13" i="67" s="1"/>
  <c r="N16" i="49"/>
  <c r="V16" i="49" s="1"/>
  <c r="L21" i="49"/>
  <c r="T21" i="49" s="1"/>
  <c r="T19" i="49" s="1"/>
  <c r="D3" i="67" s="1"/>
  <c r="T3" i="67" s="1"/>
  <c r="Q23" i="49"/>
  <c r="Y22" i="49" s="1"/>
  <c r="I5" i="67" s="1"/>
  <c r="M17" i="95"/>
  <c r="M14" i="95"/>
  <c r="W15" i="102"/>
  <c r="O15" i="102"/>
  <c r="W14" i="102"/>
  <c r="O14" i="102"/>
  <c r="AA13" i="102"/>
  <c r="S13" i="102"/>
  <c r="L4" i="102"/>
  <c r="AA15" i="102"/>
  <c r="S15" i="102"/>
  <c r="W13" i="102"/>
  <c r="O13" i="102"/>
  <c r="AA14" i="102"/>
  <c r="S14" i="102"/>
  <c r="L3" i="102"/>
  <c r="T14" i="102"/>
  <c r="L14" i="102"/>
  <c r="U15" i="102"/>
  <c r="M15" i="102"/>
  <c r="X14" i="102"/>
  <c r="P14" i="102"/>
  <c r="U13" i="102"/>
  <c r="M13" i="102"/>
  <c r="Z13" i="102"/>
  <c r="R13" i="102"/>
  <c r="V15" i="102"/>
  <c r="N15" i="102"/>
  <c r="X13" i="102"/>
  <c r="P13" i="102"/>
  <c r="L2" i="102"/>
  <c r="X15" i="102"/>
  <c r="P15" i="102"/>
  <c r="M14" i="102"/>
  <c r="Z14" i="102"/>
  <c r="R14" i="102"/>
  <c r="T15" i="102"/>
  <c r="L15" i="102"/>
  <c r="N13" i="102"/>
  <c r="T8" i="102"/>
  <c r="L8" i="102"/>
  <c r="L7" i="102"/>
  <c r="T7" i="102"/>
  <c r="Z15" i="102"/>
  <c r="R15" i="102"/>
  <c r="T13" i="102"/>
  <c r="L13" i="102"/>
  <c r="L6" i="102"/>
  <c r="Y14" i="101"/>
  <c r="Q14" i="101"/>
  <c r="X14" i="101"/>
  <c r="P14" i="101"/>
  <c r="Z15" i="101"/>
  <c r="R15" i="101"/>
  <c r="S15" i="101"/>
  <c r="Z14" i="101"/>
  <c r="R14" i="101"/>
  <c r="P13" i="101"/>
  <c r="U17" i="101"/>
  <c r="M17" i="101"/>
  <c r="X15" i="101"/>
  <c r="P15" i="101"/>
  <c r="L3" i="101"/>
  <c r="L4" i="101"/>
  <c r="Q15" i="101"/>
  <c r="AA14" i="101"/>
  <c r="S14" i="101"/>
  <c r="M13" i="95"/>
  <c r="R14" i="95"/>
  <c r="R13" i="95"/>
  <c r="P17" i="95"/>
  <c r="U14" i="95"/>
  <c r="T6" i="95"/>
  <c r="L6" i="95"/>
  <c r="L7" i="95"/>
  <c r="P18" i="95"/>
  <c r="L8" i="95"/>
  <c r="Z6" i="95"/>
  <c r="R6" i="95"/>
  <c r="R8" i="95"/>
  <c r="R7" i="95"/>
  <c r="Y6" i="95"/>
  <c r="Q6" i="95"/>
  <c r="Q7" i="95"/>
  <c r="O13" i="95"/>
  <c r="Y9" i="95"/>
  <c r="Q9" i="95"/>
  <c r="Q10" i="95"/>
  <c r="Q11" i="95"/>
  <c r="Z13" i="95"/>
  <c r="M15" i="95"/>
  <c r="Z17" i="95"/>
  <c r="R17" i="95"/>
  <c r="W17" i="95"/>
  <c r="O17" i="95"/>
  <c r="AA17" i="95"/>
  <c r="S17" i="95"/>
  <c r="AA18" i="95"/>
  <c r="S18" i="95"/>
  <c r="T18" i="95"/>
  <c r="L18" i="95"/>
  <c r="L4" i="95"/>
  <c r="Y17" i="95"/>
  <c r="Q17" i="95"/>
  <c r="Y18" i="95"/>
  <c r="Q18" i="95"/>
  <c r="W15" i="95"/>
  <c r="O15" i="95"/>
  <c r="L2" i="95"/>
  <c r="V18" i="95"/>
  <c r="N18" i="95"/>
  <c r="L3" i="95"/>
  <c r="W14" i="95"/>
  <c r="O14" i="95"/>
  <c r="Z18" i="95"/>
  <c r="R18" i="95"/>
  <c r="W18" i="95"/>
  <c r="O18" i="95"/>
  <c r="S32" i="49"/>
  <c r="U16" i="67"/>
  <c r="M16" i="67"/>
  <c r="X16" i="67"/>
  <c r="P16" i="67"/>
  <c r="O5" i="67"/>
  <c r="S5" i="67"/>
  <c r="V16" i="67"/>
  <c r="N16" i="67"/>
  <c r="W16" i="67"/>
  <c r="O16" i="67"/>
  <c r="Z16" i="67"/>
  <c r="R16" i="67"/>
  <c r="Y16" i="67"/>
  <c r="Q16" i="67"/>
  <c r="M5" i="67"/>
  <c r="M331" i="86"/>
  <c r="M330" i="86"/>
  <c r="M329" i="86"/>
  <c r="M328" i="86"/>
  <c r="M327" i="86"/>
  <c r="M326" i="86"/>
  <c r="M324" i="86"/>
  <c r="M323" i="86"/>
  <c r="M322" i="86"/>
  <c r="M321" i="86"/>
  <c r="M320" i="86"/>
  <c r="M319" i="86"/>
  <c r="M318" i="86"/>
  <c r="M317" i="86"/>
  <c r="M316" i="86"/>
  <c r="M315" i="86"/>
  <c r="M313" i="86"/>
  <c r="M312" i="86"/>
  <c r="M311" i="86"/>
  <c r="M310" i="86"/>
  <c r="M309" i="86"/>
  <c r="M308" i="86"/>
  <c r="M307" i="86"/>
  <c r="M306" i="86"/>
  <c r="M305" i="86"/>
  <c r="M304" i="86"/>
  <c r="M302" i="86"/>
  <c r="M301" i="86"/>
  <c r="M300" i="86"/>
  <c r="M299" i="86"/>
  <c r="M298" i="86"/>
  <c r="M297" i="86"/>
  <c r="M296" i="86"/>
  <c r="M295" i="86"/>
  <c r="M294" i="86"/>
  <c r="M293" i="86"/>
  <c r="M291" i="86"/>
  <c r="M290" i="86"/>
  <c r="M289" i="86"/>
  <c r="M288" i="86"/>
  <c r="M287" i="86"/>
  <c r="M286" i="86"/>
  <c r="M285" i="86"/>
  <c r="M284" i="86"/>
  <c r="M283" i="86"/>
  <c r="M282" i="86"/>
  <c r="M280" i="86"/>
  <c r="M279" i="86"/>
  <c r="M278" i="86"/>
  <c r="M277" i="86"/>
  <c r="M276" i="86"/>
  <c r="M275" i="86"/>
  <c r="M274" i="86"/>
  <c r="M273" i="86"/>
  <c r="M272" i="86"/>
  <c r="M271" i="86"/>
  <c r="M269" i="86"/>
  <c r="M268" i="86"/>
  <c r="M267" i="86"/>
  <c r="M266" i="86"/>
  <c r="M265" i="86"/>
  <c r="M264" i="86"/>
  <c r="M263" i="86"/>
  <c r="M262" i="86"/>
  <c r="M261" i="86"/>
  <c r="M260" i="86"/>
  <c r="M258" i="86"/>
  <c r="M257" i="86"/>
  <c r="M256" i="86"/>
  <c r="M255" i="86"/>
  <c r="M254" i="86"/>
  <c r="M253" i="86"/>
  <c r="M252" i="86"/>
  <c r="M251" i="86"/>
  <c r="M250" i="86"/>
  <c r="M249" i="86"/>
  <c r="M247" i="86"/>
  <c r="M246" i="86"/>
  <c r="M245" i="86"/>
  <c r="M244" i="86"/>
  <c r="M243" i="86"/>
  <c r="M242" i="86"/>
  <c r="M241" i="86"/>
  <c r="M240" i="86"/>
  <c r="M239" i="86"/>
  <c r="M238" i="86"/>
  <c r="M236" i="86"/>
  <c r="M235" i="86"/>
  <c r="M234" i="86"/>
  <c r="M233" i="86"/>
  <c r="M232" i="86"/>
  <c r="M231" i="86"/>
  <c r="M230" i="86"/>
  <c r="M229" i="86"/>
  <c r="M228" i="86"/>
  <c r="M227" i="86"/>
  <c r="M225" i="86"/>
  <c r="M224" i="86"/>
  <c r="M223" i="86"/>
  <c r="M222" i="86"/>
  <c r="M221" i="86"/>
  <c r="M220" i="86"/>
  <c r="M219" i="86"/>
  <c r="M218" i="86"/>
  <c r="M217" i="86"/>
  <c r="M216" i="86"/>
  <c r="M214" i="86"/>
  <c r="M213" i="86"/>
  <c r="M212" i="86"/>
  <c r="M211" i="86"/>
  <c r="M210" i="86"/>
  <c r="M209" i="86"/>
  <c r="M208" i="86"/>
  <c r="M207" i="86"/>
  <c r="M206" i="86"/>
  <c r="M205" i="86"/>
  <c r="M203" i="86"/>
  <c r="M202" i="86"/>
  <c r="M201" i="86"/>
  <c r="M200" i="86"/>
  <c r="J331" i="86"/>
  <c r="J330" i="86"/>
  <c r="J329" i="86"/>
  <c r="J328" i="86"/>
  <c r="J327" i="86"/>
  <c r="J326" i="86"/>
  <c r="J324" i="86"/>
  <c r="J323" i="86"/>
  <c r="J322" i="86"/>
  <c r="J321" i="86"/>
  <c r="J320" i="86"/>
  <c r="J319" i="86"/>
  <c r="J318" i="86"/>
  <c r="J317" i="86"/>
  <c r="J316" i="86"/>
  <c r="J315" i="86"/>
  <c r="J313" i="86"/>
  <c r="J312" i="86"/>
  <c r="J311" i="86"/>
  <c r="J310" i="86"/>
  <c r="J309" i="86"/>
  <c r="J308" i="86"/>
  <c r="J307" i="86"/>
  <c r="J306" i="86"/>
  <c r="J305" i="86"/>
  <c r="J304" i="86"/>
  <c r="J302" i="86"/>
  <c r="J301" i="86"/>
  <c r="J300" i="86"/>
  <c r="J299" i="86"/>
  <c r="J298" i="86"/>
  <c r="J297" i="86"/>
  <c r="J296" i="86"/>
  <c r="J295" i="86"/>
  <c r="J294" i="86"/>
  <c r="J293" i="86"/>
  <c r="J291" i="86"/>
  <c r="J290" i="86"/>
  <c r="J289" i="86"/>
  <c r="J288" i="86"/>
  <c r="J287" i="86"/>
  <c r="J286" i="86"/>
  <c r="J285" i="86"/>
  <c r="J284" i="86"/>
  <c r="J283" i="86"/>
  <c r="J282" i="86"/>
  <c r="J280" i="86"/>
  <c r="J279" i="86"/>
  <c r="J278" i="86"/>
  <c r="J277" i="86"/>
  <c r="J276" i="86"/>
  <c r="J275" i="86"/>
  <c r="J274" i="86"/>
  <c r="J273" i="86"/>
  <c r="J272" i="86"/>
  <c r="J271" i="86"/>
  <c r="J269" i="86"/>
  <c r="J268" i="86"/>
  <c r="J267" i="86"/>
  <c r="J266" i="86"/>
  <c r="J265" i="86"/>
  <c r="J264" i="86"/>
  <c r="J263" i="86"/>
  <c r="J262" i="86"/>
  <c r="J261" i="86"/>
  <c r="J260" i="86"/>
  <c r="J258" i="86"/>
  <c r="J257" i="86"/>
  <c r="J256" i="86"/>
  <c r="J255" i="86"/>
  <c r="J254" i="86"/>
  <c r="J253" i="86"/>
  <c r="J252" i="86"/>
  <c r="J251" i="86"/>
  <c r="J250" i="86"/>
  <c r="J249" i="86"/>
  <c r="J247" i="86"/>
  <c r="J246" i="86"/>
  <c r="J245" i="86"/>
  <c r="J244" i="86"/>
  <c r="J243" i="86"/>
  <c r="J242" i="86"/>
  <c r="J241" i="86"/>
  <c r="J240" i="86"/>
  <c r="J239" i="86"/>
  <c r="J238" i="86"/>
  <c r="J236" i="86"/>
  <c r="J235" i="86"/>
  <c r="J234" i="86"/>
  <c r="J233" i="86"/>
  <c r="J232" i="86"/>
  <c r="J231" i="86"/>
  <c r="J230" i="86"/>
  <c r="J229" i="86"/>
  <c r="J228" i="86"/>
  <c r="J227" i="86"/>
  <c r="J225" i="86"/>
  <c r="J224" i="86"/>
  <c r="J223" i="86"/>
  <c r="J222" i="86"/>
  <c r="J221" i="86"/>
  <c r="J220" i="86"/>
  <c r="J219" i="86"/>
  <c r="J218" i="86"/>
  <c r="J217" i="86"/>
  <c r="J216" i="86"/>
  <c r="J214" i="86"/>
  <c r="J213" i="86"/>
  <c r="J212" i="86"/>
  <c r="J211" i="86"/>
  <c r="J210" i="86"/>
  <c r="J209" i="86"/>
  <c r="J208" i="86"/>
  <c r="J207" i="86"/>
  <c r="J206" i="86"/>
  <c r="J205" i="86"/>
  <c r="J203" i="86"/>
  <c r="J202" i="86"/>
  <c r="J201" i="86"/>
  <c r="J200" i="86"/>
  <c r="G331" i="86"/>
  <c r="G330" i="86"/>
  <c r="G329" i="86"/>
  <c r="G328" i="86"/>
  <c r="G327" i="86"/>
  <c r="G326" i="86"/>
  <c r="G324" i="86"/>
  <c r="G323" i="86"/>
  <c r="G322" i="86"/>
  <c r="G321" i="86"/>
  <c r="G320" i="86"/>
  <c r="G319" i="86"/>
  <c r="G318" i="86"/>
  <c r="G317" i="86"/>
  <c r="G316" i="86"/>
  <c r="G315" i="86"/>
  <c r="G313" i="86"/>
  <c r="G312" i="86"/>
  <c r="G311" i="86"/>
  <c r="G310" i="86"/>
  <c r="G309" i="86"/>
  <c r="G308" i="86"/>
  <c r="G307" i="86"/>
  <c r="G306" i="86"/>
  <c r="G305" i="86"/>
  <c r="G304" i="86"/>
  <c r="G302" i="86"/>
  <c r="G301" i="86"/>
  <c r="G300" i="86"/>
  <c r="G299" i="86"/>
  <c r="G298" i="86"/>
  <c r="G297" i="86"/>
  <c r="G296" i="86"/>
  <c r="G295" i="86"/>
  <c r="G294" i="86"/>
  <c r="G293" i="86"/>
  <c r="G291" i="86"/>
  <c r="G290" i="86"/>
  <c r="G289" i="86"/>
  <c r="G288" i="86"/>
  <c r="G287" i="86"/>
  <c r="G286" i="86"/>
  <c r="G285" i="86"/>
  <c r="G284" i="86"/>
  <c r="G283" i="86"/>
  <c r="G282" i="86"/>
  <c r="G280" i="86"/>
  <c r="G279" i="86"/>
  <c r="G278" i="86"/>
  <c r="G277" i="86"/>
  <c r="G276" i="86"/>
  <c r="G275" i="86"/>
  <c r="G274" i="86"/>
  <c r="G273" i="86"/>
  <c r="G272" i="86"/>
  <c r="G271" i="86"/>
  <c r="G269" i="86"/>
  <c r="G268" i="86"/>
  <c r="G267" i="86"/>
  <c r="G266" i="86"/>
  <c r="G265" i="86"/>
  <c r="G264" i="86"/>
  <c r="G263" i="86"/>
  <c r="G262" i="86"/>
  <c r="G261" i="86"/>
  <c r="G260" i="86"/>
  <c r="G258" i="86"/>
  <c r="G257" i="86"/>
  <c r="G256" i="86"/>
  <c r="G255" i="86"/>
  <c r="G254" i="86"/>
  <c r="G253" i="86"/>
  <c r="G252" i="86"/>
  <c r="G251" i="86"/>
  <c r="G250" i="86"/>
  <c r="G249" i="86"/>
  <c r="G247" i="86"/>
  <c r="G246" i="86"/>
  <c r="G245" i="86"/>
  <c r="G244" i="86"/>
  <c r="G243" i="86"/>
  <c r="G242" i="86"/>
  <c r="G241" i="86"/>
  <c r="G240" i="86"/>
  <c r="G239" i="86"/>
  <c r="G238" i="86"/>
  <c r="G236" i="86"/>
  <c r="G235" i="86"/>
  <c r="G234" i="86"/>
  <c r="G233" i="86"/>
  <c r="G232" i="86"/>
  <c r="G231" i="86"/>
  <c r="G230" i="86"/>
  <c r="G229" i="86"/>
  <c r="G228" i="86"/>
  <c r="G227" i="86"/>
  <c r="G225" i="86"/>
  <c r="G224" i="86"/>
  <c r="G223" i="86"/>
  <c r="G222" i="86"/>
  <c r="G221" i="86"/>
  <c r="G220" i="86"/>
  <c r="G219" i="86"/>
  <c r="G218" i="86"/>
  <c r="G217" i="86"/>
  <c r="G216" i="86"/>
  <c r="G214" i="86"/>
  <c r="G212" i="86"/>
  <c r="G213" i="86"/>
  <c r="G211" i="86"/>
  <c r="G210" i="86"/>
  <c r="G209" i="86"/>
  <c r="G208" i="86"/>
  <c r="G207" i="86"/>
  <c r="G206" i="86"/>
  <c r="G205" i="86"/>
  <c r="G203" i="86"/>
  <c r="G202" i="86"/>
  <c r="G201" i="86"/>
  <c r="G200" i="86"/>
  <c r="M199" i="86"/>
  <c r="M198" i="86"/>
  <c r="M197" i="86"/>
  <c r="M196" i="86"/>
  <c r="M195" i="86"/>
  <c r="M194" i="86"/>
  <c r="M192" i="86"/>
  <c r="M191" i="86"/>
  <c r="M190" i="86"/>
  <c r="M189" i="86"/>
  <c r="J199" i="86"/>
  <c r="J198" i="86"/>
  <c r="J197" i="86"/>
  <c r="J196" i="86"/>
  <c r="J195" i="86"/>
  <c r="J194" i="86"/>
  <c r="J192" i="86"/>
  <c r="J191" i="86"/>
  <c r="J190" i="86"/>
  <c r="J189" i="86"/>
  <c r="G199" i="86"/>
  <c r="G198" i="86"/>
  <c r="G197" i="86"/>
  <c r="G196" i="86"/>
  <c r="G195" i="86"/>
  <c r="G194" i="86"/>
  <c r="G192" i="86"/>
  <c r="G191" i="86"/>
  <c r="G190" i="86"/>
  <c r="G189" i="86"/>
  <c r="M188" i="86"/>
  <c r="M187" i="86"/>
  <c r="M186" i="86"/>
  <c r="M185" i="86"/>
  <c r="M184" i="86"/>
  <c r="M183" i="86"/>
  <c r="M181" i="86"/>
  <c r="M180" i="86"/>
  <c r="M179" i="86"/>
  <c r="M178" i="86"/>
  <c r="J188" i="86"/>
  <c r="J187" i="86"/>
  <c r="J186" i="86"/>
  <c r="J185" i="86"/>
  <c r="J184" i="86"/>
  <c r="J183" i="86"/>
  <c r="J181" i="86"/>
  <c r="J180" i="86"/>
  <c r="J179" i="86"/>
  <c r="J178" i="86"/>
  <c r="G188" i="86"/>
  <c r="G187" i="86"/>
  <c r="G186" i="86"/>
  <c r="G185" i="86"/>
  <c r="G184" i="86"/>
  <c r="G183" i="86"/>
  <c r="G181" i="86"/>
  <c r="G180" i="86"/>
  <c r="G179" i="86"/>
  <c r="G178" i="86"/>
  <c r="M177" i="86"/>
  <c r="M176" i="86"/>
  <c r="M175" i="86"/>
  <c r="M174" i="86"/>
  <c r="M173" i="86"/>
  <c r="M172" i="86"/>
  <c r="M170" i="86"/>
  <c r="M169" i="86"/>
  <c r="M168" i="86"/>
  <c r="M167" i="86"/>
  <c r="J177" i="86"/>
  <c r="J176" i="86"/>
  <c r="J175" i="86"/>
  <c r="J174" i="86"/>
  <c r="J173" i="86"/>
  <c r="J172" i="86"/>
  <c r="J170" i="86"/>
  <c r="J169" i="86"/>
  <c r="J168" i="86"/>
  <c r="G177" i="86"/>
  <c r="G176" i="86"/>
  <c r="G175" i="86"/>
  <c r="G174" i="86"/>
  <c r="G173" i="86"/>
  <c r="G172" i="86"/>
  <c r="G170" i="86"/>
  <c r="G169" i="86"/>
  <c r="G168" i="86"/>
  <c r="G167" i="86"/>
  <c r="M155" i="86"/>
  <c r="M154" i="86"/>
  <c r="M153" i="86"/>
  <c r="M152" i="86"/>
  <c r="M151" i="86"/>
  <c r="M150" i="86"/>
  <c r="M148" i="86"/>
  <c r="M147" i="86"/>
  <c r="M146" i="86"/>
  <c r="M145" i="86"/>
  <c r="J155" i="86"/>
  <c r="J154" i="86"/>
  <c r="J153" i="86"/>
  <c r="J152" i="86"/>
  <c r="J151" i="86"/>
  <c r="J150" i="86"/>
  <c r="J148" i="86"/>
  <c r="J147" i="86"/>
  <c r="J146" i="86"/>
  <c r="J145" i="86"/>
  <c r="M166" i="86"/>
  <c r="M165" i="86"/>
  <c r="M164" i="86"/>
  <c r="M163" i="86"/>
  <c r="M162" i="86"/>
  <c r="M161" i="86"/>
  <c r="M159" i="86"/>
  <c r="M158" i="86"/>
  <c r="M157" i="86"/>
  <c r="M156" i="86"/>
  <c r="J166" i="86"/>
  <c r="J165" i="86"/>
  <c r="J164" i="86"/>
  <c r="J163" i="86"/>
  <c r="J162" i="86"/>
  <c r="J161" i="86"/>
  <c r="J159" i="86"/>
  <c r="J158" i="86"/>
  <c r="J157" i="86"/>
  <c r="J156" i="86"/>
  <c r="G166" i="86"/>
  <c r="G165" i="86"/>
  <c r="G164" i="86"/>
  <c r="G163" i="86"/>
  <c r="G162" i="86"/>
  <c r="G161" i="86"/>
  <c r="G159" i="86"/>
  <c r="G158" i="86"/>
  <c r="G157" i="86"/>
  <c r="G147" i="86"/>
  <c r="G146" i="86"/>
  <c r="G156" i="86"/>
  <c r="G155" i="86"/>
  <c r="G154" i="86"/>
  <c r="G153" i="86"/>
  <c r="G152" i="86"/>
  <c r="G151" i="86"/>
  <c r="G150" i="86"/>
  <c r="G148" i="86"/>
  <c r="G145" i="86"/>
  <c r="M111" i="86"/>
  <c r="M110" i="86"/>
  <c r="M109" i="86"/>
  <c r="M108" i="86"/>
  <c r="M107" i="86"/>
  <c r="M106" i="86"/>
  <c r="M104" i="86"/>
  <c r="M103" i="86"/>
  <c r="M102" i="86"/>
  <c r="M101" i="86"/>
  <c r="J111" i="86"/>
  <c r="J110" i="86"/>
  <c r="J109" i="86"/>
  <c r="J108" i="86"/>
  <c r="J107" i="86"/>
  <c r="J106" i="86"/>
  <c r="J104" i="86"/>
  <c r="J103" i="86"/>
  <c r="J102" i="86"/>
  <c r="J101" i="86"/>
  <c r="G111" i="86"/>
  <c r="G110" i="86"/>
  <c r="G109" i="86"/>
  <c r="G108" i="86"/>
  <c r="G107" i="86"/>
  <c r="G106" i="86"/>
  <c r="G104" i="86"/>
  <c r="G103" i="86"/>
  <c r="G102" i="86"/>
  <c r="G101" i="86"/>
  <c r="G100" i="86"/>
  <c r="G99" i="86"/>
  <c r="G98" i="86"/>
  <c r="G97" i="86"/>
  <c r="G96" i="86"/>
  <c r="G95" i="86"/>
  <c r="G93" i="86"/>
  <c r="G92" i="86"/>
  <c r="G91" i="86"/>
  <c r="G90" i="86"/>
  <c r="G89" i="86"/>
  <c r="G88" i="86"/>
  <c r="G87" i="86"/>
  <c r="G86" i="86"/>
  <c r="G85" i="86"/>
  <c r="G84" i="86"/>
  <c r="G82" i="86"/>
  <c r="G81" i="86"/>
  <c r="G80" i="86"/>
  <c r="G79" i="86"/>
  <c r="G56" i="86"/>
  <c r="G55" i="86"/>
  <c r="G54" i="86"/>
  <c r="G53" i="86"/>
  <c r="G52" i="86"/>
  <c r="G51" i="86"/>
  <c r="G49" i="86"/>
  <c r="G48" i="86"/>
  <c r="G47" i="86"/>
  <c r="G46" i="86"/>
  <c r="M100" i="86"/>
  <c r="M99" i="86"/>
  <c r="M98" i="86"/>
  <c r="M97" i="86"/>
  <c r="M96" i="86"/>
  <c r="M95" i="86"/>
  <c r="M93" i="86"/>
  <c r="M92" i="86"/>
  <c r="M91" i="86"/>
  <c r="M90" i="86"/>
  <c r="J100" i="86"/>
  <c r="J99" i="86"/>
  <c r="J98" i="86"/>
  <c r="J97" i="86"/>
  <c r="J96" i="86"/>
  <c r="J95" i="86"/>
  <c r="J93" i="86"/>
  <c r="J92" i="86"/>
  <c r="J91" i="86"/>
  <c r="J90" i="86"/>
  <c r="M14" i="49" l="1"/>
  <c r="U14" i="49" s="1"/>
  <c r="U11" i="49" s="1"/>
  <c r="E9" i="67" s="1"/>
  <c r="U9" i="67" s="1"/>
  <c r="T13" i="49"/>
  <c r="D11" i="67" s="1"/>
  <c r="T11" i="67" s="1"/>
  <c r="Q21" i="49"/>
  <c r="Y20" i="49" s="1"/>
  <c r="I4" i="67" s="1"/>
  <c r="Y4" i="67" s="1"/>
  <c r="Q14" i="49"/>
  <c r="Y14" i="49" s="1"/>
  <c r="Y11" i="49" s="1"/>
  <c r="I9" i="67" s="1"/>
  <c r="Y9" i="67" s="1"/>
  <c r="T12" i="49"/>
  <c r="D10" i="67" s="1"/>
  <c r="T10" i="67" s="1"/>
  <c r="W18" i="49"/>
  <c r="G2" i="67" s="1"/>
  <c r="W2" i="67" s="1"/>
  <c r="P14" i="49"/>
  <c r="X12" i="49" s="1"/>
  <c r="H10" i="67" s="1"/>
  <c r="AA14" i="49"/>
  <c r="AA11" i="49" s="1"/>
  <c r="K9" i="67" s="1"/>
  <c r="AA12" i="49"/>
  <c r="K10" i="67" s="1"/>
  <c r="AA10" i="67" s="1"/>
  <c r="Q5" i="67"/>
  <c r="R5" i="67"/>
  <c r="P5" i="67"/>
  <c r="N5" i="67"/>
  <c r="W12" i="67"/>
  <c r="O12" i="67"/>
  <c r="V15" i="49"/>
  <c r="F12" i="67" s="1"/>
  <c r="T5" i="49"/>
  <c r="D14" i="67" s="1"/>
  <c r="P21" i="49"/>
  <c r="X18" i="49" s="1"/>
  <c r="H2" i="67" s="1"/>
  <c r="X2" i="67" s="1"/>
  <c r="T6" i="49"/>
  <c r="D15" i="67" s="1"/>
  <c r="Z16" i="49"/>
  <c r="Z15" i="49" s="1"/>
  <c r="J12" i="67" s="1"/>
  <c r="S12" i="67"/>
  <c r="AA12" i="67"/>
  <c r="T20" i="49"/>
  <c r="D4" i="67" s="1"/>
  <c r="T4" i="67" s="1"/>
  <c r="R21" i="49"/>
  <c r="Z21" i="49" s="1"/>
  <c r="T32" i="49"/>
  <c r="T31" i="49" s="1"/>
  <c r="D18" i="67" s="1"/>
  <c r="T18" i="67" s="1"/>
  <c r="U16" i="49"/>
  <c r="U15" i="49" s="1"/>
  <c r="E12" i="67" s="1"/>
  <c r="M21" i="49"/>
  <c r="U18" i="49" s="1"/>
  <c r="E2" i="67" s="1"/>
  <c r="U2" i="67" s="1"/>
  <c r="R14" i="49"/>
  <c r="T18" i="49"/>
  <c r="D2" i="67" s="1"/>
  <c r="T2" i="67" s="1"/>
  <c r="S21" i="49"/>
  <c r="W21" i="49"/>
  <c r="W19" i="49"/>
  <c r="G3" i="67" s="1"/>
  <c r="W3" i="67" s="1"/>
  <c r="Y16" i="49"/>
  <c r="Y15" i="49" s="1"/>
  <c r="I12" i="67" s="1"/>
  <c r="N14" i="49"/>
  <c r="V14" i="49" s="1"/>
  <c r="V11" i="49" s="1"/>
  <c r="F9" i="67" s="1"/>
  <c r="V9" i="67" s="1"/>
  <c r="X16" i="49"/>
  <c r="X15" i="49" s="1"/>
  <c r="H12" i="67" s="1"/>
  <c r="N21" i="49"/>
  <c r="V18" i="49" s="1"/>
  <c r="F2" i="67" s="1"/>
  <c r="V2" i="67" s="1"/>
  <c r="O14" i="49"/>
  <c r="W13" i="49" s="1"/>
  <c r="G11" i="67" s="1"/>
  <c r="AA32" i="49"/>
  <c r="AA30" i="49" s="1"/>
  <c r="K17" i="67" s="1"/>
  <c r="M89" i="86"/>
  <c r="M88" i="86"/>
  <c r="M87" i="86"/>
  <c r="M86" i="86"/>
  <c r="M85" i="86"/>
  <c r="M84" i="86"/>
  <c r="M82" i="86"/>
  <c r="M81" i="86"/>
  <c r="M80" i="86"/>
  <c r="M79" i="86"/>
  <c r="J89" i="86"/>
  <c r="J88" i="86"/>
  <c r="J87" i="86"/>
  <c r="J86" i="86"/>
  <c r="J85" i="86"/>
  <c r="J84" i="86"/>
  <c r="J82" i="86"/>
  <c r="J81" i="86"/>
  <c r="J80" i="86"/>
  <c r="J79" i="86"/>
  <c r="Y21" i="49" l="1"/>
  <c r="Y19" i="49"/>
  <c r="I3" i="67" s="1"/>
  <c r="Y3" i="67" s="1"/>
  <c r="Y18" i="49"/>
  <c r="I2" i="67" s="1"/>
  <c r="Y2" i="67" s="1"/>
  <c r="U13" i="49"/>
  <c r="E11" i="67" s="1"/>
  <c r="U11" i="67" s="1"/>
  <c r="Y12" i="49"/>
  <c r="I10" i="67" s="1"/>
  <c r="Y10" i="67" s="1"/>
  <c r="X13" i="49"/>
  <c r="H11" i="67" s="1"/>
  <c r="X11" i="67" s="1"/>
  <c r="X14" i="49"/>
  <c r="X11" i="49" s="1"/>
  <c r="H9" i="67" s="1"/>
  <c r="X9" i="67" s="1"/>
  <c r="U12" i="49"/>
  <c r="E10" i="67" s="1"/>
  <c r="Y13" i="49"/>
  <c r="I11" i="67" s="1"/>
  <c r="Y11" i="67" s="1"/>
  <c r="V13" i="49"/>
  <c r="F11" i="67" s="1"/>
  <c r="V11" i="67" s="1"/>
  <c r="L13" i="67"/>
  <c r="Z20" i="49"/>
  <c r="J4" i="67" s="1"/>
  <c r="Z4" i="67" s="1"/>
  <c r="L3" i="67"/>
  <c r="AA9" i="67"/>
  <c r="S9" i="67"/>
  <c r="Z18" i="49"/>
  <c r="J2" i="67" s="1"/>
  <c r="Z2" i="67" s="1"/>
  <c r="T30" i="49"/>
  <c r="D17" i="67" s="1"/>
  <c r="Z19" i="49"/>
  <c r="J3" i="67" s="1"/>
  <c r="Z3" i="67" s="1"/>
  <c r="S10" i="67"/>
  <c r="X10" i="67"/>
  <c r="S11" i="67"/>
  <c r="Z12" i="67"/>
  <c r="R12" i="67"/>
  <c r="P12" i="67"/>
  <c r="X12" i="67"/>
  <c r="U12" i="67"/>
  <c r="M12" i="67"/>
  <c r="Y12" i="67"/>
  <c r="Q12" i="67"/>
  <c r="Z13" i="49"/>
  <c r="J11" i="67" s="1"/>
  <c r="Z14" i="49"/>
  <c r="Z11" i="49" s="1"/>
  <c r="J9" i="67" s="1"/>
  <c r="L4" i="67"/>
  <c r="AA31" i="49"/>
  <c r="K18" i="67" s="1"/>
  <c r="S17" i="67" s="1"/>
  <c r="X20" i="49"/>
  <c r="H4" i="67" s="1"/>
  <c r="X4" i="67" s="1"/>
  <c r="X21" i="49"/>
  <c r="X19" i="49"/>
  <c r="H3" i="67" s="1"/>
  <c r="U20" i="49"/>
  <c r="E4" i="67" s="1"/>
  <c r="U4" i="67" s="1"/>
  <c r="U21" i="49"/>
  <c r="U19" i="49"/>
  <c r="E3" i="67" s="1"/>
  <c r="U3" i="67" s="1"/>
  <c r="AA21" i="49"/>
  <c r="AA20" i="49"/>
  <c r="K4" i="67" s="1"/>
  <c r="AA4" i="67" s="1"/>
  <c r="AA19" i="49"/>
  <c r="K3" i="67" s="1"/>
  <c r="AA3" i="67" s="1"/>
  <c r="T14" i="67"/>
  <c r="L14" i="67"/>
  <c r="O4" i="67"/>
  <c r="O3" i="67"/>
  <c r="Z12" i="49"/>
  <c r="J10" i="67" s="1"/>
  <c r="V20" i="49"/>
  <c r="F4" i="67" s="1"/>
  <c r="V4" i="67" s="1"/>
  <c r="V21" i="49"/>
  <c r="V19" i="49"/>
  <c r="F3" i="67" s="1"/>
  <c r="V3" i="67" s="1"/>
  <c r="AA18" i="49"/>
  <c r="K2" i="67" s="1"/>
  <c r="AA2" i="67" s="1"/>
  <c r="N12" i="67"/>
  <c r="V12" i="67"/>
  <c r="V12" i="49"/>
  <c r="F10" i="67" s="1"/>
  <c r="W12" i="49"/>
  <c r="G10" i="67" s="1"/>
  <c r="W14" i="49"/>
  <c r="W11" i="49" s="1"/>
  <c r="G9" i="67" s="1"/>
  <c r="L2" i="67"/>
  <c r="T15" i="67"/>
  <c r="L15" i="67"/>
  <c r="W11" i="67"/>
  <c r="O2" i="67"/>
  <c r="AA17" i="67"/>
  <c r="H103" i="89"/>
  <c r="G103" i="89"/>
  <c r="F103" i="89"/>
  <c r="H97" i="89"/>
  <c r="G97" i="89"/>
  <c r="F97" i="89"/>
  <c r="H91" i="89"/>
  <c r="G91" i="89"/>
  <c r="F91" i="89"/>
  <c r="H85" i="89"/>
  <c r="G85" i="89"/>
  <c r="F85" i="89"/>
  <c r="H79" i="89"/>
  <c r="G79" i="89"/>
  <c r="F79" i="89"/>
  <c r="H73" i="89"/>
  <c r="G73" i="89"/>
  <c r="F73" i="89"/>
  <c r="H67" i="89"/>
  <c r="G67" i="89"/>
  <c r="F67" i="89"/>
  <c r="H61" i="89"/>
  <c r="G61" i="89"/>
  <c r="F61" i="89"/>
  <c r="H55" i="89"/>
  <c r="G55" i="89"/>
  <c r="F55" i="89"/>
  <c r="H49" i="89"/>
  <c r="G49" i="89"/>
  <c r="F49" i="89"/>
  <c r="H43" i="89"/>
  <c r="F43" i="89"/>
  <c r="M56" i="86"/>
  <c r="M55" i="86"/>
  <c r="M54" i="86"/>
  <c r="M53" i="86"/>
  <c r="M52" i="86"/>
  <c r="M51" i="86"/>
  <c r="M49" i="86"/>
  <c r="M48" i="86"/>
  <c r="M47" i="86"/>
  <c r="M46" i="86"/>
  <c r="J56" i="86"/>
  <c r="J55" i="86"/>
  <c r="J54" i="86"/>
  <c r="J53" i="86"/>
  <c r="J52" i="86"/>
  <c r="J51" i="86"/>
  <c r="J49" i="86"/>
  <c r="J48" i="86"/>
  <c r="J47" i="86"/>
  <c r="J46" i="86"/>
  <c r="Q4" i="67" l="1"/>
  <c r="Q3" i="67"/>
  <c r="Q2" i="67"/>
  <c r="M9" i="67"/>
  <c r="P11" i="67"/>
  <c r="P2" i="67"/>
  <c r="X3" i="67"/>
  <c r="N9" i="67"/>
  <c r="P9" i="67"/>
  <c r="P10" i="67"/>
  <c r="M11" i="67"/>
  <c r="U10" i="67"/>
  <c r="M10" i="67"/>
  <c r="Q11" i="67"/>
  <c r="Q10" i="67"/>
  <c r="Q9" i="67"/>
  <c r="S18" i="67"/>
  <c r="AA18" i="67"/>
  <c r="O11" i="67"/>
  <c r="T17" i="67"/>
  <c r="L17" i="67"/>
  <c r="L18" i="67"/>
  <c r="R2" i="67"/>
  <c r="R3" i="67"/>
  <c r="R4" i="67"/>
  <c r="W10" i="67"/>
  <c r="O10" i="67"/>
  <c r="Z11" i="67"/>
  <c r="R11" i="67"/>
  <c r="V10" i="67"/>
  <c r="N10" i="67"/>
  <c r="S3" i="67"/>
  <c r="N11" i="67"/>
  <c r="S4" i="67"/>
  <c r="P4" i="67"/>
  <c r="R10" i="67"/>
  <c r="Z10" i="67"/>
  <c r="S2" i="67"/>
  <c r="M3" i="67"/>
  <c r="N3" i="67"/>
  <c r="N2" i="67"/>
  <c r="M4" i="67"/>
  <c r="W9" i="67"/>
  <c r="O9" i="67"/>
  <c r="N4" i="67"/>
  <c r="P3" i="67"/>
  <c r="Z9" i="67"/>
  <c r="R9" i="67"/>
  <c r="M2" i="67"/>
  <c r="F13" i="89"/>
  <c r="G13" i="89"/>
  <c r="H13" i="89"/>
  <c r="F19" i="89"/>
  <c r="G19" i="89"/>
  <c r="H19" i="89"/>
  <c r="F25" i="89"/>
  <c r="G25" i="89"/>
  <c r="H25" i="89"/>
  <c r="F31" i="89"/>
  <c r="G31" i="89"/>
  <c r="H31" i="89"/>
  <c r="F37" i="89"/>
  <c r="G37" i="89"/>
  <c r="H37" i="89"/>
  <c r="F109" i="89"/>
  <c r="G109" i="89"/>
  <c r="H109" i="89"/>
  <c r="F115" i="89"/>
  <c r="G115" i="89"/>
  <c r="H115" i="89"/>
  <c r="F121" i="89"/>
  <c r="G121" i="89"/>
  <c r="H121" i="89"/>
  <c r="F127" i="89"/>
  <c r="G127" i="89"/>
  <c r="H127" i="89"/>
  <c r="H7" i="89"/>
  <c r="G7" i="89"/>
  <c r="F7" i="89"/>
  <c r="AC176" i="84" l="1"/>
  <c r="AE176" i="90" s="1"/>
  <c r="F205" i="86" s="1"/>
  <c r="H205" i="86" s="1"/>
  <c r="AD176" i="84"/>
  <c r="AL176" i="84"/>
  <c r="AM176" i="84"/>
  <c r="AS176" i="90" s="1"/>
  <c r="F282" i="86" s="1"/>
  <c r="H282" i="86" s="1"/>
  <c r="AO176" i="84"/>
  <c r="AP176" i="84"/>
  <c r="AX176" i="90" s="1"/>
  <c r="F326" i="86" s="1"/>
  <c r="H326" i="86" s="1"/>
  <c r="BH176" i="84"/>
  <c r="BM176" i="84"/>
  <c r="BN176" i="84"/>
  <c r="BO176" i="84"/>
  <c r="BP176" i="84"/>
  <c r="BQ176" i="84"/>
  <c r="BZ176" i="90" s="1"/>
  <c r="F51" i="86" s="1"/>
  <c r="H51" i="86" s="1"/>
  <c r="BR176" i="84"/>
  <c r="BS176" i="84"/>
  <c r="BT176" i="84"/>
  <c r="CC176" i="90" s="1"/>
  <c r="F84" i="86" s="1"/>
  <c r="H84" i="86" s="1"/>
  <c r="BU176" i="84"/>
  <c r="CD176" i="90" s="1"/>
  <c r="H95" i="86" s="1"/>
  <c r="BV176" i="84"/>
  <c r="CE176" i="90" s="1"/>
  <c r="F106" i="86" s="1"/>
  <c r="H106" i="86" s="1"/>
  <c r="BW176" i="84"/>
  <c r="BX176" i="84"/>
  <c r="BY176" i="84"/>
  <c r="AC177" i="84"/>
  <c r="AE177" i="90" s="1"/>
  <c r="F206" i="86" s="1"/>
  <c r="H206" i="86" s="1"/>
  <c r="AD177" i="84"/>
  <c r="AL177" i="84"/>
  <c r="AM177" i="84"/>
  <c r="AS177" i="90" s="1"/>
  <c r="F283" i="86" s="1"/>
  <c r="H283" i="86" s="1"/>
  <c r="AO177" i="84"/>
  <c r="AP177" i="84"/>
  <c r="AX177" i="90" s="1"/>
  <c r="F327" i="86" s="1"/>
  <c r="H327" i="86" s="1"/>
  <c r="BH177" i="84"/>
  <c r="BM177" i="84"/>
  <c r="BN177" i="84"/>
  <c r="BO177" i="84"/>
  <c r="BP177" i="84"/>
  <c r="BQ177" i="84"/>
  <c r="BZ177" i="90" s="1"/>
  <c r="F52" i="86" s="1"/>
  <c r="H52" i="86" s="1"/>
  <c r="BZ177" i="79" s="1"/>
  <c r="BR177" i="84"/>
  <c r="BS177" i="84"/>
  <c r="BT177" i="84"/>
  <c r="CC177" i="90" s="1"/>
  <c r="F85" i="86" s="1"/>
  <c r="H85" i="86" s="1"/>
  <c r="BU177" i="84"/>
  <c r="CD177" i="90" s="1"/>
  <c r="H96" i="86" s="1"/>
  <c r="BV177" i="84"/>
  <c r="CE177" i="90" s="1"/>
  <c r="F107" i="86" s="1"/>
  <c r="H107" i="86" s="1"/>
  <c r="BW177" i="84"/>
  <c r="BX177" i="84"/>
  <c r="BY177" i="84"/>
  <c r="AC178" i="84"/>
  <c r="AE178" i="90" s="1"/>
  <c r="F207" i="86" s="1"/>
  <c r="H207" i="86" s="1"/>
  <c r="AD178" i="84"/>
  <c r="AL178" i="84"/>
  <c r="AM178" i="84"/>
  <c r="AS178" i="90" s="1"/>
  <c r="F284" i="86" s="1"/>
  <c r="H284" i="86" s="1"/>
  <c r="AO178" i="84"/>
  <c r="AP178" i="84"/>
  <c r="AX178" i="90" s="1"/>
  <c r="F328" i="86" s="1"/>
  <c r="H328" i="86" s="1"/>
  <c r="BH178" i="84"/>
  <c r="BM178" i="84"/>
  <c r="BN178" i="84"/>
  <c r="BO178" i="84"/>
  <c r="BP178" i="84"/>
  <c r="BQ178" i="84"/>
  <c r="BZ178" i="90" s="1"/>
  <c r="F53" i="86" s="1"/>
  <c r="H53" i="86" s="1"/>
  <c r="BR178" i="84"/>
  <c r="BS178" i="84"/>
  <c r="BT178" i="84"/>
  <c r="CC178" i="90" s="1"/>
  <c r="F86" i="86" s="1"/>
  <c r="H86" i="86" s="1"/>
  <c r="BU178" i="84"/>
  <c r="CD178" i="90" s="1"/>
  <c r="H97" i="86" s="1"/>
  <c r="BV178" i="84"/>
  <c r="CE178" i="90" s="1"/>
  <c r="F108" i="86" s="1"/>
  <c r="H108" i="86" s="1"/>
  <c r="BW178" i="84"/>
  <c r="BX178" i="84"/>
  <c r="BY178" i="84"/>
  <c r="AC179" i="84"/>
  <c r="AE179" i="90" s="1"/>
  <c r="F208" i="86" s="1"/>
  <c r="H208" i="86" s="1"/>
  <c r="AD179" i="84"/>
  <c r="AL179" i="84"/>
  <c r="AM179" i="84"/>
  <c r="AS179" i="90" s="1"/>
  <c r="F285" i="86" s="1"/>
  <c r="H285" i="86" s="1"/>
  <c r="AO179" i="84"/>
  <c r="AP179" i="84"/>
  <c r="AX179" i="90" s="1"/>
  <c r="F329" i="86" s="1"/>
  <c r="H329" i="86" s="1"/>
  <c r="BH179" i="84"/>
  <c r="BM179" i="84"/>
  <c r="BN179" i="84"/>
  <c r="BO179" i="84"/>
  <c r="BP179" i="84"/>
  <c r="BQ179" i="84"/>
  <c r="BZ179" i="90" s="1"/>
  <c r="F54" i="86" s="1"/>
  <c r="H54" i="86" s="1"/>
  <c r="BR179" i="84"/>
  <c r="BS179" i="84"/>
  <c r="BT179" i="84"/>
  <c r="CC179" i="90" s="1"/>
  <c r="F87" i="86" s="1"/>
  <c r="H87" i="86" s="1"/>
  <c r="BU179" i="84"/>
  <c r="CD179" i="90" s="1"/>
  <c r="H98" i="86" s="1"/>
  <c r="BV179" i="84"/>
  <c r="CE179" i="90" s="1"/>
  <c r="F109" i="86" s="1"/>
  <c r="H109" i="86" s="1"/>
  <c r="BW179" i="84"/>
  <c r="BX179" i="84"/>
  <c r="BY179" i="84"/>
  <c r="AC180" i="84"/>
  <c r="AE180" i="90" s="1"/>
  <c r="F209" i="86" s="1"/>
  <c r="H209" i="86" s="1"/>
  <c r="AD180" i="84"/>
  <c r="AL180" i="84"/>
  <c r="AM180" i="84"/>
  <c r="AS180" i="90" s="1"/>
  <c r="F286" i="86" s="1"/>
  <c r="H286" i="86" s="1"/>
  <c r="AO180" i="84"/>
  <c r="AP180" i="84"/>
  <c r="AX180" i="90" s="1"/>
  <c r="F330" i="86" s="1"/>
  <c r="H330" i="86" s="1"/>
  <c r="BH180" i="84"/>
  <c r="BM180" i="84"/>
  <c r="BN180" i="84"/>
  <c r="BO180" i="84"/>
  <c r="BP180" i="84"/>
  <c r="BQ180" i="84"/>
  <c r="BZ180" i="90" s="1"/>
  <c r="F55" i="86" s="1"/>
  <c r="H55" i="86" s="1"/>
  <c r="BR180" i="84"/>
  <c r="BS180" i="84"/>
  <c r="BT180" i="84"/>
  <c r="CC180" i="90" s="1"/>
  <c r="F88" i="86" s="1"/>
  <c r="H88" i="86" s="1"/>
  <c r="BU180" i="84"/>
  <c r="CD180" i="90" s="1"/>
  <c r="H99" i="86" s="1"/>
  <c r="BV180" i="84"/>
  <c r="CE180" i="90" s="1"/>
  <c r="F110" i="86" s="1"/>
  <c r="H110" i="86" s="1"/>
  <c r="BW180" i="84"/>
  <c r="BX180" i="84"/>
  <c r="BY180" i="84"/>
  <c r="AC181" i="84"/>
  <c r="AE181" i="90" s="1"/>
  <c r="F210" i="86" s="1"/>
  <c r="H210" i="86" s="1"/>
  <c r="AD181" i="84"/>
  <c r="AL181" i="84"/>
  <c r="AM181" i="84"/>
  <c r="AS181" i="90" s="1"/>
  <c r="F287" i="86" s="1"/>
  <c r="H287" i="86" s="1"/>
  <c r="AO181" i="84"/>
  <c r="AP181" i="84"/>
  <c r="AX181" i="90" s="1"/>
  <c r="F331" i="86" s="1"/>
  <c r="H331" i="86" s="1"/>
  <c r="BH181" i="84"/>
  <c r="BM181" i="84"/>
  <c r="BN181" i="84"/>
  <c r="BO181" i="84"/>
  <c r="BP181" i="84"/>
  <c r="BQ181" i="84"/>
  <c r="BZ181" i="90" s="1"/>
  <c r="F56" i="86" s="1"/>
  <c r="H56" i="86" s="1"/>
  <c r="BZ181" i="79" s="1"/>
  <c r="BR181" i="84"/>
  <c r="BS181" i="84"/>
  <c r="BT181" i="84"/>
  <c r="CC181" i="90" s="1"/>
  <c r="F89" i="86" s="1"/>
  <c r="H89" i="86" s="1"/>
  <c r="BU181" i="84"/>
  <c r="CD181" i="90" s="1"/>
  <c r="H100" i="86" s="1"/>
  <c r="BV181" i="84"/>
  <c r="CE181" i="90" s="1"/>
  <c r="F111" i="86" s="1"/>
  <c r="H111" i="86" s="1"/>
  <c r="BW181" i="84"/>
  <c r="BX181" i="84"/>
  <c r="BY181" i="84"/>
  <c r="AB177" i="84"/>
  <c r="AB178" i="84"/>
  <c r="AB179" i="84"/>
  <c r="AB180" i="84"/>
  <c r="AB181" i="84"/>
  <c r="AB176" i="84"/>
  <c r="AB175" i="84"/>
  <c r="H115" i="30"/>
  <c r="BY181" i="90" l="1"/>
  <c r="CG179" i="90"/>
  <c r="BP178" i="90"/>
  <c r="F152" i="86" s="1"/>
  <c r="H152" i="86" s="1"/>
  <c r="BQ178" i="90"/>
  <c r="F163" i="86" s="1"/>
  <c r="H163" i="86" s="1"/>
  <c r="BQ176" i="90"/>
  <c r="F161" i="86" s="1"/>
  <c r="H161" i="86" s="1"/>
  <c r="BP176" i="90"/>
  <c r="F150" i="86" s="1"/>
  <c r="H150" i="86" s="1"/>
  <c r="AF181" i="90"/>
  <c r="F221" i="86" s="1"/>
  <c r="H221" i="86" s="1"/>
  <c r="AG181" i="90"/>
  <c r="F232" i="86" s="1"/>
  <c r="H232" i="86" s="1"/>
  <c r="AH181" i="90"/>
  <c r="F243" i="86" s="1"/>
  <c r="H243" i="86" s="1"/>
  <c r="BX179" i="90"/>
  <c r="BX177" i="90"/>
  <c r="AE181" i="79"/>
  <c r="N210" i="86"/>
  <c r="AE181" i="92" s="1"/>
  <c r="K210" i="86"/>
  <c r="AE181" i="91" s="1"/>
  <c r="N109" i="86"/>
  <c r="CE179" i="92" s="1"/>
  <c r="K109" i="86"/>
  <c r="CE179" i="91" s="1"/>
  <c r="CE179" i="79"/>
  <c r="BW179" i="90"/>
  <c r="N208" i="86"/>
  <c r="AE179" i="92" s="1"/>
  <c r="AE179" i="79"/>
  <c r="K208" i="86"/>
  <c r="AE179" i="91" s="1"/>
  <c r="CA178" i="90"/>
  <c r="AU178" i="90"/>
  <c r="F295" i="86" s="1"/>
  <c r="H295" i="86" s="1"/>
  <c r="AW178" i="90"/>
  <c r="F317" i="86" s="1"/>
  <c r="H317" i="86" s="1"/>
  <c r="AV178" i="90"/>
  <c r="F306" i="86" s="1"/>
  <c r="H306" i="86" s="1"/>
  <c r="K107" i="86"/>
  <c r="CE177" i="91" s="1"/>
  <c r="CE177" i="79"/>
  <c r="N107" i="86"/>
  <c r="CE177" i="92" s="1"/>
  <c r="BW177" i="90"/>
  <c r="AE177" i="79"/>
  <c r="K206" i="86"/>
  <c r="AE177" i="91" s="1"/>
  <c r="N206" i="86"/>
  <c r="AE177" i="92" s="1"/>
  <c r="CA176" i="90"/>
  <c r="AV176" i="90"/>
  <c r="F304" i="86" s="1"/>
  <c r="H304" i="86" s="1"/>
  <c r="AW176" i="90"/>
  <c r="F315" i="86" s="1"/>
  <c r="H315" i="86" s="1"/>
  <c r="AU176" i="90"/>
  <c r="F293" i="86" s="1"/>
  <c r="H293" i="86" s="1"/>
  <c r="AP179" i="90"/>
  <c r="F252" i="86" s="1"/>
  <c r="H252" i="86" s="1"/>
  <c r="AQ179" i="90"/>
  <c r="F263" i="86" s="1"/>
  <c r="H263" i="86" s="1"/>
  <c r="AR179" i="90"/>
  <c r="F274" i="86" s="1"/>
  <c r="H274" i="86" s="1"/>
  <c r="AB176" i="90"/>
  <c r="F172" i="86" s="1"/>
  <c r="H172" i="86" s="1"/>
  <c r="AC176" i="90"/>
  <c r="F183" i="86" s="1"/>
  <c r="H183" i="86" s="1"/>
  <c r="AD176" i="90"/>
  <c r="H194" i="86" s="1"/>
  <c r="AF179" i="90"/>
  <c r="F219" i="86" s="1"/>
  <c r="H219" i="86" s="1"/>
  <c r="AH179" i="90"/>
  <c r="F241" i="86" s="1"/>
  <c r="H241" i="86" s="1"/>
  <c r="AG179" i="90"/>
  <c r="F230" i="86" s="1"/>
  <c r="H230" i="86" s="1"/>
  <c r="BW181" i="90"/>
  <c r="CH180" i="90"/>
  <c r="BV179" i="90"/>
  <c r="CD177" i="79"/>
  <c r="N96" i="86"/>
  <c r="CD177" i="92" s="1"/>
  <c r="K96" i="86"/>
  <c r="CD177" i="91" s="1"/>
  <c r="CH176" i="90"/>
  <c r="AS176" i="79"/>
  <c r="K282" i="86"/>
  <c r="AS176" i="91" s="1"/>
  <c r="N282" i="86"/>
  <c r="AS176" i="92" s="1"/>
  <c r="AR181" i="90"/>
  <c r="F276" i="86" s="1"/>
  <c r="H276" i="86" s="1"/>
  <c r="AQ181" i="90"/>
  <c r="F265" i="86" s="1"/>
  <c r="H265" i="86" s="1"/>
  <c r="AP181" i="90"/>
  <c r="F254" i="86" s="1"/>
  <c r="H254" i="86" s="1"/>
  <c r="CC176" i="79"/>
  <c r="K84" i="86"/>
  <c r="CC176" i="91" s="1"/>
  <c r="N84" i="86"/>
  <c r="CC176" i="92" s="1"/>
  <c r="AX180" i="79"/>
  <c r="N330" i="86"/>
  <c r="AX180" i="92" s="1"/>
  <c r="K330" i="86"/>
  <c r="AX180" i="91" s="1"/>
  <c r="CB178" i="90"/>
  <c r="AG177" i="90"/>
  <c r="F228" i="86" s="1"/>
  <c r="H228" i="86" s="1"/>
  <c r="AH177" i="90"/>
  <c r="F239" i="86" s="1"/>
  <c r="H239" i="86" s="1"/>
  <c r="AF177" i="90"/>
  <c r="F217" i="86" s="1"/>
  <c r="H217" i="86" s="1"/>
  <c r="K100" i="86"/>
  <c r="CD181" i="91" s="1"/>
  <c r="N100" i="86"/>
  <c r="CD181" i="92" s="1"/>
  <c r="CD181" i="79"/>
  <c r="CD179" i="79"/>
  <c r="K98" i="86"/>
  <c r="CD179" i="91" s="1"/>
  <c r="N98" i="86"/>
  <c r="CD179" i="92" s="1"/>
  <c r="CH178" i="90"/>
  <c r="K284" i="86"/>
  <c r="AS178" i="91" s="1"/>
  <c r="AS178" i="79"/>
  <c r="N284" i="86"/>
  <c r="AS178" i="92" s="1"/>
  <c r="BV177" i="90"/>
  <c r="AB179" i="90"/>
  <c r="F175" i="86" s="1"/>
  <c r="H175" i="86" s="1"/>
  <c r="AC179" i="90"/>
  <c r="F186" i="86" s="1"/>
  <c r="H186" i="86" s="1"/>
  <c r="AD179" i="90"/>
  <c r="H197" i="86" s="1"/>
  <c r="CC181" i="79"/>
  <c r="K89" i="86"/>
  <c r="CC181" i="91" s="1"/>
  <c r="N89" i="86"/>
  <c r="CC181" i="92" s="1"/>
  <c r="BP181" i="90"/>
  <c r="F155" i="86" s="1"/>
  <c r="H155" i="86" s="1"/>
  <c r="BQ181" i="90"/>
  <c r="F166" i="86" s="1"/>
  <c r="H166" i="86" s="1"/>
  <c r="CG180" i="90"/>
  <c r="BY180" i="90"/>
  <c r="AQ180" i="90"/>
  <c r="F264" i="86" s="1"/>
  <c r="H264" i="86" s="1"/>
  <c r="AR180" i="90"/>
  <c r="F275" i="86" s="1"/>
  <c r="H275" i="86" s="1"/>
  <c r="AP180" i="90"/>
  <c r="F253" i="86" s="1"/>
  <c r="H253" i="86" s="1"/>
  <c r="N87" i="86"/>
  <c r="CC179" i="92" s="1"/>
  <c r="K87" i="86"/>
  <c r="CC179" i="91" s="1"/>
  <c r="CC179" i="79"/>
  <c r="BP179" i="90"/>
  <c r="F153" i="86" s="1"/>
  <c r="H153" i="86" s="1"/>
  <c r="BQ179" i="90"/>
  <c r="F164" i="86" s="1"/>
  <c r="H164" i="86" s="1"/>
  <c r="CG178" i="90"/>
  <c r="BY178" i="90"/>
  <c r="AP178" i="90"/>
  <c r="F251" i="86" s="1"/>
  <c r="H251" i="86" s="1"/>
  <c r="AQ178" i="90"/>
  <c r="F262" i="86" s="1"/>
  <c r="H262" i="86" s="1"/>
  <c r="AR178" i="90"/>
  <c r="F273" i="86" s="1"/>
  <c r="H273" i="86" s="1"/>
  <c r="K85" i="86"/>
  <c r="CC177" i="91" s="1"/>
  <c r="CC177" i="79"/>
  <c r="N85" i="86"/>
  <c r="CC177" i="92" s="1"/>
  <c r="BP177" i="90"/>
  <c r="F151" i="86" s="1"/>
  <c r="H151" i="86" s="1"/>
  <c r="BQ177" i="90"/>
  <c r="F162" i="86" s="1"/>
  <c r="H162" i="86" s="1"/>
  <c r="CG176" i="90"/>
  <c r="BY176" i="90"/>
  <c r="AP176" i="90"/>
  <c r="F249" i="86" s="1"/>
  <c r="H249" i="86" s="1"/>
  <c r="AQ176" i="90"/>
  <c r="F260" i="86" s="1"/>
  <c r="H260" i="86" s="1"/>
  <c r="AR176" i="90"/>
  <c r="F271" i="86" s="1"/>
  <c r="H271" i="86" s="1"/>
  <c r="CG181" i="90"/>
  <c r="K86" i="86"/>
  <c r="CC178" i="91" s="1"/>
  <c r="CC178" i="79"/>
  <c r="N86" i="86"/>
  <c r="CC178" i="92" s="1"/>
  <c r="AP177" i="90"/>
  <c r="F250" i="86" s="1"/>
  <c r="H250" i="86" s="1"/>
  <c r="AQ177" i="90"/>
  <c r="F261" i="86" s="1"/>
  <c r="H261" i="86" s="1"/>
  <c r="AR177" i="90"/>
  <c r="F272" i="86" s="1"/>
  <c r="H272" i="86" s="1"/>
  <c r="BX181" i="90"/>
  <c r="AX178" i="79"/>
  <c r="K328" i="86"/>
  <c r="AX178" i="91" s="1"/>
  <c r="N328" i="86"/>
  <c r="AX178" i="92" s="1"/>
  <c r="CB176" i="90"/>
  <c r="CA180" i="90"/>
  <c r="AB178" i="90"/>
  <c r="F174" i="86" s="1"/>
  <c r="H174" i="86" s="1"/>
  <c r="AC178" i="90"/>
  <c r="F185" i="86" s="1"/>
  <c r="H185" i="86" s="1"/>
  <c r="AD178" i="90"/>
  <c r="H196" i="86" s="1"/>
  <c r="CB181" i="90"/>
  <c r="K331" i="86"/>
  <c r="AX181" i="91" s="1"/>
  <c r="AX181" i="79"/>
  <c r="N331" i="86"/>
  <c r="AX181" i="92" s="1"/>
  <c r="CF180" i="90"/>
  <c r="BX180" i="90"/>
  <c r="AF180" i="90"/>
  <c r="F220" i="86" s="1"/>
  <c r="H220" i="86" s="1"/>
  <c r="AG180" i="90"/>
  <c r="F231" i="86" s="1"/>
  <c r="H231" i="86" s="1"/>
  <c r="AH180" i="90"/>
  <c r="F242" i="86" s="1"/>
  <c r="H242" i="86" s="1"/>
  <c r="CB179" i="90"/>
  <c r="N329" i="86"/>
  <c r="AX179" i="92" s="1"/>
  <c r="AX179" i="79"/>
  <c r="K329" i="86"/>
  <c r="AX179" i="91" s="1"/>
  <c r="CF178" i="90"/>
  <c r="BX178" i="90"/>
  <c r="AH178" i="90"/>
  <c r="F240" i="86" s="1"/>
  <c r="H240" i="86" s="1"/>
  <c r="AG178" i="90"/>
  <c r="F229" i="86" s="1"/>
  <c r="H229" i="86" s="1"/>
  <c r="AF178" i="90"/>
  <c r="F218" i="86" s="1"/>
  <c r="H218" i="86" s="1"/>
  <c r="CB177" i="90"/>
  <c r="AX177" i="79"/>
  <c r="N327" i="86"/>
  <c r="AX177" i="92" s="1"/>
  <c r="K327" i="86"/>
  <c r="AX177" i="91" s="1"/>
  <c r="CF176" i="90"/>
  <c r="BX176" i="90"/>
  <c r="AF176" i="90"/>
  <c r="F216" i="86" s="1"/>
  <c r="H216" i="86" s="1"/>
  <c r="AG176" i="90"/>
  <c r="F227" i="86" s="1"/>
  <c r="H227" i="86" s="1"/>
  <c r="AH176" i="90"/>
  <c r="F238" i="86" s="1"/>
  <c r="H238" i="86" s="1"/>
  <c r="AC175" i="92"/>
  <c r="AD175" i="92"/>
  <c r="AB175" i="92"/>
  <c r="AD175" i="91"/>
  <c r="AC175" i="91"/>
  <c r="AB175" i="91"/>
  <c r="AB175" i="90"/>
  <c r="AC175" i="90"/>
  <c r="AD175" i="90"/>
  <c r="BQ180" i="90"/>
  <c r="F165" i="86" s="1"/>
  <c r="H165" i="86" s="1"/>
  <c r="BP180" i="90"/>
  <c r="F154" i="86" s="1"/>
  <c r="H154" i="86" s="1"/>
  <c r="CG177" i="90"/>
  <c r="CB180" i="90"/>
  <c r="AX176" i="79"/>
  <c r="K326" i="86"/>
  <c r="AX176" i="91" s="1"/>
  <c r="N326" i="86"/>
  <c r="AX176" i="92" s="1"/>
  <c r="AC181" i="90"/>
  <c r="F188" i="86" s="1"/>
  <c r="H188" i="86" s="1"/>
  <c r="AD181" i="90"/>
  <c r="H199" i="86" s="1"/>
  <c r="AB181" i="90"/>
  <c r="F177" i="86" s="1"/>
  <c r="H177" i="86" s="1"/>
  <c r="AS180" i="79"/>
  <c r="K286" i="86"/>
  <c r="AS180" i="91" s="1"/>
  <c r="N286" i="86"/>
  <c r="AS180" i="92" s="1"/>
  <c r="AB177" i="90"/>
  <c r="F173" i="86" s="1"/>
  <c r="H173" i="86" s="1"/>
  <c r="AC177" i="90"/>
  <c r="F184" i="86" s="1"/>
  <c r="H184" i="86" s="1"/>
  <c r="AD177" i="90"/>
  <c r="H195" i="86" s="1"/>
  <c r="CA181" i="90"/>
  <c r="AU181" i="90"/>
  <c r="F298" i="86" s="1"/>
  <c r="H298" i="86" s="1"/>
  <c r="AV181" i="90"/>
  <c r="F309" i="86" s="1"/>
  <c r="H309" i="86" s="1"/>
  <c r="AW181" i="90"/>
  <c r="F320" i="86" s="1"/>
  <c r="H320" i="86" s="1"/>
  <c r="CE180" i="79"/>
  <c r="N110" i="86"/>
  <c r="CE180" i="92" s="1"/>
  <c r="K110" i="86"/>
  <c r="CE180" i="91" s="1"/>
  <c r="BW180" i="90"/>
  <c r="K209" i="86"/>
  <c r="AE180" i="91" s="1"/>
  <c r="N209" i="86"/>
  <c r="AE180" i="92" s="1"/>
  <c r="AE180" i="79"/>
  <c r="CA179" i="90"/>
  <c r="AU179" i="90"/>
  <c r="F296" i="86" s="1"/>
  <c r="H296" i="86" s="1"/>
  <c r="AV179" i="90"/>
  <c r="F307" i="86" s="1"/>
  <c r="H307" i="86" s="1"/>
  <c r="AW179" i="90"/>
  <c r="F318" i="86" s="1"/>
  <c r="H318" i="86" s="1"/>
  <c r="K108" i="86"/>
  <c r="CE178" i="91" s="1"/>
  <c r="N108" i="86"/>
  <c r="CE178" i="92" s="1"/>
  <c r="CE178" i="79"/>
  <c r="BW178" i="90"/>
  <c r="N207" i="86"/>
  <c r="AE178" i="92" s="1"/>
  <c r="AE178" i="79"/>
  <c r="K207" i="86"/>
  <c r="AE178" i="91" s="1"/>
  <c r="CA177" i="90"/>
  <c r="AW177" i="90"/>
  <c r="F316" i="86" s="1"/>
  <c r="H316" i="86" s="1"/>
  <c r="AV177" i="90"/>
  <c r="F305" i="86" s="1"/>
  <c r="H305" i="86" s="1"/>
  <c r="AU177" i="90"/>
  <c r="F294" i="86" s="1"/>
  <c r="H294" i="86" s="1"/>
  <c r="K106" i="86"/>
  <c r="CE176" i="91" s="1"/>
  <c r="N106" i="86"/>
  <c r="CE176" i="92" s="1"/>
  <c r="BW176" i="90"/>
  <c r="AE176" i="79"/>
  <c r="N205" i="86"/>
  <c r="AE176" i="92" s="1"/>
  <c r="K205" i="86"/>
  <c r="AE176" i="91" s="1"/>
  <c r="CC180" i="79"/>
  <c r="N88" i="86"/>
  <c r="CC180" i="92" s="1"/>
  <c r="K88" i="86"/>
  <c r="CC180" i="91" s="1"/>
  <c r="BY179" i="90"/>
  <c r="BY177" i="90"/>
  <c r="CF181" i="90"/>
  <c r="CF179" i="90"/>
  <c r="CF177" i="90"/>
  <c r="K111" i="86"/>
  <c r="CE181" i="91" s="1"/>
  <c r="N111" i="86"/>
  <c r="CE181" i="92" s="1"/>
  <c r="CE181" i="79"/>
  <c r="AU180" i="90"/>
  <c r="F297" i="86" s="1"/>
  <c r="H297" i="86" s="1"/>
  <c r="AV180" i="90"/>
  <c r="F308" i="86" s="1"/>
  <c r="H308" i="86" s="1"/>
  <c r="AW180" i="90"/>
  <c r="F319" i="86" s="1"/>
  <c r="H319" i="86" s="1"/>
  <c r="AB180" i="90"/>
  <c r="F176" i="86" s="1"/>
  <c r="H176" i="86" s="1"/>
  <c r="AC180" i="90"/>
  <c r="F187" i="86" s="1"/>
  <c r="H187" i="86" s="1"/>
  <c r="AD180" i="90"/>
  <c r="H198" i="86" s="1"/>
  <c r="BV181" i="90"/>
  <c r="CH181" i="90"/>
  <c r="N287" i="86"/>
  <c r="AS181" i="92" s="1"/>
  <c r="K287" i="86"/>
  <c r="AS181" i="91" s="1"/>
  <c r="AS181" i="79"/>
  <c r="CD180" i="79"/>
  <c r="N99" i="86"/>
  <c r="CD180" i="92" s="1"/>
  <c r="K99" i="86"/>
  <c r="CD180" i="91" s="1"/>
  <c r="BV180" i="90"/>
  <c r="CH179" i="90"/>
  <c r="K285" i="86"/>
  <c r="AS179" i="91" s="1"/>
  <c r="N285" i="86"/>
  <c r="AS179" i="92" s="1"/>
  <c r="AS179" i="79"/>
  <c r="N97" i="86"/>
  <c r="CD178" i="92" s="1"/>
  <c r="K97" i="86"/>
  <c r="CD178" i="91" s="1"/>
  <c r="CD178" i="79"/>
  <c r="BV178" i="90"/>
  <c r="CH177" i="90"/>
  <c r="N283" i="86"/>
  <c r="AS177" i="92" s="1"/>
  <c r="AS177" i="79"/>
  <c r="K283" i="86"/>
  <c r="AS177" i="91" s="1"/>
  <c r="K95" i="86"/>
  <c r="CD176" i="91" s="1"/>
  <c r="N95" i="86"/>
  <c r="CD176" i="92" s="1"/>
  <c r="CD176" i="79"/>
  <c r="BV176" i="90"/>
  <c r="K54" i="86"/>
  <c r="BZ179" i="91" s="1"/>
  <c r="BZ179" i="79"/>
  <c r="N55" i="86"/>
  <c r="BZ180" i="92" s="1"/>
  <c r="BZ180" i="79"/>
  <c r="N53" i="86"/>
  <c r="BZ178" i="92" s="1"/>
  <c r="BZ178" i="79"/>
  <c r="K51" i="86"/>
  <c r="BZ176" i="91" s="1"/>
  <c r="BZ176" i="79"/>
  <c r="N54" i="86"/>
  <c r="BZ179" i="92" s="1"/>
  <c r="K55" i="86"/>
  <c r="BZ180" i="91" s="1"/>
  <c r="N56" i="86"/>
  <c r="BZ181" i="92" s="1"/>
  <c r="K56" i="86"/>
  <c r="BZ181" i="91" s="1"/>
  <c r="N51" i="86"/>
  <c r="BZ176" i="92" s="1"/>
  <c r="K53" i="86"/>
  <c r="BZ178" i="91" s="1"/>
  <c r="K52" i="86"/>
  <c r="BZ177" i="91" s="1"/>
  <c r="N52" i="86"/>
  <c r="BZ177" i="92" s="1"/>
  <c r="I529" i="30"/>
  <c r="AV180" i="79" l="1"/>
  <c r="N308" i="86"/>
  <c r="AV180" i="92" s="1"/>
  <c r="K308" i="86"/>
  <c r="AV180" i="91" s="1"/>
  <c r="N199" i="86"/>
  <c r="AD181" i="92" s="1"/>
  <c r="K199" i="86"/>
  <c r="AD181" i="91" s="1"/>
  <c r="AD181" i="79"/>
  <c r="N185" i="86"/>
  <c r="AC178" i="92" s="1"/>
  <c r="K185" i="86"/>
  <c r="AC178" i="91" s="1"/>
  <c r="AC178" i="79"/>
  <c r="K275" i="86"/>
  <c r="AR180" i="91" s="1"/>
  <c r="AR180" i="79"/>
  <c r="N275" i="86"/>
  <c r="AR180" i="92" s="1"/>
  <c r="K174" i="86"/>
  <c r="AB178" i="91" s="1"/>
  <c r="AB178" i="79"/>
  <c r="N174" i="86"/>
  <c r="AB178" i="92" s="1"/>
  <c r="AR178" i="79"/>
  <c r="K273" i="86"/>
  <c r="AR178" i="91" s="1"/>
  <c r="N273" i="86"/>
  <c r="AR178" i="92" s="1"/>
  <c r="N228" i="86"/>
  <c r="AG177" i="92" s="1"/>
  <c r="AG177" i="79"/>
  <c r="K228" i="86"/>
  <c r="AG177" i="91" s="1"/>
  <c r="K319" i="86"/>
  <c r="AW180" i="91" s="1"/>
  <c r="N319" i="86"/>
  <c r="AW180" i="92" s="1"/>
  <c r="AW180" i="79"/>
  <c r="AW177" i="79"/>
  <c r="N316" i="86"/>
  <c r="AW177" i="92" s="1"/>
  <c r="K316" i="86"/>
  <c r="AW177" i="91" s="1"/>
  <c r="N177" i="86"/>
  <c r="AB181" i="92" s="1"/>
  <c r="AB181" i="79"/>
  <c r="K177" i="86"/>
  <c r="AB181" i="91" s="1"/>
  <c r="N196" i="86"/>
  <c r="AD178" i="92" s="1"/>
  <c r="AD178" i="79"/>
  <c r="K196" i="86"/>
  <c r="AD178" i="91" s="1"/>
  <c r="N253" i="86"/>
  <c r="AP180" i="92" s="1"/>
  <c r="K253" i="86"/>
  <c r="AP180" i="91" s="1"/>
  <c r="AP180" i="79"/>
  <c r="AB179" i="79"/>
  <c r="K175" i="86"/>
  <c r="AB179" i="91" s="1"/>
  <c r="N175" i="86"/>
  <c r="AB179" i="92" s="1"/>
  <c r="AF177" i="79"/>
  <c r="N217" i="86"/>
  <c r="AF177" i="92" s="1"/>
  <c r="K217" i="86"/>
  <c r="AF177" i="91" s="1"/>
  <c r="AQ179" i="79"/>
  <c r="N263" i="86"/>
  <c r="AQ179" i="92" s="1"/>
  <c r="K263" i="86"/>
  <c r="AQ179" i="91" s="1"/>
  <c r="N163" i="86"/>
  <c r="BQ178" i="92" s="1"/>
  <c r="K163" i="86"/>
  <c r="BQ178" i="91" s="1"/>
  <c r="BQ178" i="79"/>
  <c r="AU180" i="79"/>
  <c r="N297" i="86"/>
  <c r="AU180" i="92" s="1"/>
  <c r="K297" i="86"/>
  <c r="AU180" i="91" s="1"/>
  <c r="N231" i="86"/>
  <c r="AG180" i="92" s="1"/>
  <c r="K231" i="86"/>
  <c r="AG180" i="91" s="1"/>
  <c r="AG180" i="79"/>
  <c r="AH176" i="79"/>
  <c r="N238" i="86"/>
  <c r="AH176" i="92" s="1"/>
  <c r="K238" i="86"/>
  <c r="AH176" i="91" s="1"/>
  <c r="AG178" i="79"/>
  <c r="K229" i="86"/>
  <c r="AG178" i="91" s="1"/>
  <c r="N229" i="86"/>
  <c r="AG178" i="92" s="1"/>
  <c r="K220" i="86"/>
  <c r="AF180" i="91" s="1"/>
  <c r="N220" i="86"/>
  <c r="AF180" i="92" s="1"/>
  <c r="AF180" i="79"/>
  <c r="AP177" i="79"/>
  <c r="N250" i="86"/>
  <c r="AP177" i="92" s="1"/>
  <c r="K250" i="86"/>
  <c r="AP177" i="91" s="1"/>
  <c r="AQ178" i="79"/>
  <c r="K262" i="86"/>
  <c r="AQ178" i="91" s="1"/>
  <c r="N262" i="86"/>
  <c r="AQ178" i="92" s="1"/>
  <c r="K164" i="86"/>
  <c r="BQ179" i="91" s="1"/>
  <c r="N164" i="86"/>
  <c r="BQ179" i="92" s="1"/>
  <c r="BQ179" i="79"/>
  <c r="N219" i="86"/>
  <c r="AF179" i="92" s="1"/>
  <c r="K219" i="86"/>
  <c r="AF179" i="91" s="1"/>
  <c r="AF179" i="79"/>
  <c r="AV178" i="79"/>
  <c r="N306" i="86"/>
  <c r="AV178" i="92" s="1"/>
  <c r="K306" i="86"/>
  <c r="AV178" i="91" s="1"/>
  <c r="N243" i="86"/>
  <c r="AH181" i="92" s="1"/>
  <c r="K243" i="86"/>
  <c r="AH181" i="91" s="1"/>
  <c r="AH181" i="79"/>
  <c r="K252" i="86"/>
  <c r="AP179" i="91" s="1"/>
  <c r="N252" i="86"/>
  <c r="AP179" i="92" s="1"/>
  <c r="AP179" i="79"/>
  <c r="AD177" i="79"/>
  <c r="K195" i="86"/>
  <c r="AD177" i="91" s="1"/>
  <c r="N195" i="86"/>
  <c r="AD177" i="92" s="1"/>
  <c r="AF178" i="79"/>
  <c r="K218" i="86"/>
  <c r="AF178" i="91" s="1"/>
  <c r="N218" i="86"/>
  <c r="AF178" i="92" s="1"/>
  <c r="BP181" i="79"/>
  <c r="N155" i="86"/>
  <c r="BP181" i="92" s="1"/>
  <c r="K155" i="86"/>
  <c r="BP181" i="91" s="1"/>
  <c r="AH179" i="79"/>
  <c r="K241" i="86"/>
  <c r="AH179" i="91" s="1"/>
  <c r="N241" i="86"/>
  <c r="AH179" i="92" s="1"/>
  <c r="AW181" i="79"/>
  <c r="K320" i="86"/>
  <c r="AW181" i="91" s="1"/>
  <c r="N320" i="86"/>
  <c r="AW181" i="92" s="1"/>
  <c r="AB177" i="79"/>
  <c r="N173" i="86"/>
  <c r="AB177" i="92" s="1"/>
  <c r="K173" i="86"/>
  <c r="AB177" i="91" s="1"/>
  <c r="BP180" i="79"/>
  <c r="K154" i="86"/>
  <c r="BP180" i="91" s="1"/>
  <c r="N154" i="86"/>
  <c r="BP180" i="92" s="1"/>
  <c r="AG176" i="79"/>
  <c r="K227" i="86"/>
  <c r="AG176" i="91" s="1"/>
  <c r="N227" i="86"/>
  <c r="AG176" i="92" s="1"/>
  <c r="K240" i="86"/>
  <c r="AH178" i="91" s="1"/>
  <c r="AH178" i="79"/>
  <c r="N240" i="86"/>
  <c r="AH178" i="92" s="1"/>
  <c r="N271" i="86"/>
  <c r="AR176" i="92" s="1"/>
  <c r="AR176" i="79"/>
  <c r="K271" i="86"/>
  <c r="AR176" i="91" s="1"/>
  <c r="K251" i="86"/>
  <c r="AP178" i="91" s="1"/>
  <c r="N251" i="86"/>
  <c r="AP178" i="92" s="1"/>
  <c r="AP178" i="79"/>
  <c r="BP179" i="79"/>
  <c r="K153" i="86"/>
  <c r="BP179" i="91" s="1"/>
  <c r="N153" i="86"/>
  <c r="BP179" i="92" s="1"/>
  <c r="N254" i="86"/>
  <c r="AP181" i="92" s="1"/>
  <c r="K254" i="86"/>
  <c r="AP181" i="91" s="1"/>
  <c r="AP181" i="79"/>
  <c r="K194" i="86"/>
  <c r="AD176" i="91" s="1"/>
  <c r="AD176" i="79"/>
  <c r="N194" i="86"/>
  <c r="AD176" i="92" s="1"/>
  <c r="AU176" i="79"/>
  <c r="N293" i="86"/>
  <c r="AU176" i="92" s="1"/>
  <c r="K293" i="86"/>
  <c r="AU176" i="91" s="1"/>
  <c r="AW178" i="79"/>
  <c r="K317" i="86"/>
  <c r="AW178" i="91" s="1"/>
  <c r="N317" i="86"/>
  <c r="AW178" i="92" s="1"/>
  <c r="K232" i="86"/>
  <c r="AG181" i="91" s="1"/>
  <c r="N232" i="86"/>
  <c r="AG181" i="92" s="1"/>
  <c r="AG181" i="79"/>
  <c r="N272" i="86"/>
  <c r="AR177" i="92" s="1"/>
  <c r="AR177" i="79"/>
  <c r="K272" i="86"/>
  <c r="AR177" i="91" s="1"/>
  <c r="BP178" i="79"/>
  <c r="K152" i="86"/>
  <c r="BP178" i="91" s="1"/>
  <c r="N152" i="86"/>
  <c r="BP178" i="92" s="1"/>
  <c r="K264" i="86"/>
  <c r="AQ180" i="91" s="1"/>
  <c r="AQ180" i="79"/>
  <c r="N264" i="86"/>
  <c r="AQ180" i="92" s="1"/>
  <c r="K198" i="86"/>
  <c r="AD180" i="91" s="1"/>
  <c r="N198" i="86"/>
  <c r="AD180" i="92" s="1"/>
  <c r="AD180" i="79"/>
  <c r="AW179" i="79"/>
  <c r="N318" i="86"/>
  <c r="AW179" i="92" s="1"/>
  <c r="K318" i="86"/>
  <c r="AW179" i="91" s="1"/>
  <c r="AV181" i="79"/>
  <c r="K309" i="86"/>
  <c r="AV181" i="91" s="1"/>
  <c r="N309" i="86"/>
  <c r="AV181" i="92" s="1"/>
  <c r="BQ180" i="79"/>
  <c r="K165" i="86"/>
  <c r="BQ180" i="91" s="1"/>
  <c r="N165" i="86"/>
  <c r="BQ180" i="92" s="1"/>
  <c r="AF176" i="79"/>
  <c r="K216" i="86"/>
  <c r="AF176" i="91" s="1"/>
  <c r="N216" i="86"/>
  <c r="AF176" i="92" s="1"/>
  <c r="AQ176" i="79"/>
  <c r="N260" i="86"/>
  <c r="AQ176" i="92" s="1"/>
  <c r="K260" i="86"/>
  <c r="AQ176" i="91" s="1"/>
  <c r="K162" i="86"/>
  <c r="BQ177" i="91" s="1"/>
  <c r="BQ177" i="79"/>
  <c r="N162" i="86"/>
  <c r="BQ177" i="92" s="1"/>
  <c r="AQ181" i="79"/>
  <c r="K265" i="86"/>
  <c r="AQ181" i="91" s="1"/>
  <c r="N265" i="86"/>
  <c r="AQ181" i="92" s="1"/>
  <c r="N183" i="86"/>
  <c r="AC176" i="92" s="1"/>
  <c r="K183" i="86"/>
  <c r="AC176" i="91" s="1"/>
  <c r="AC176" i="79"/>
  <c r="AW176" i="79"/>
  <c r="K315" i="86"/>
  <c r="AW176" i="91" s="1"/>
  <c r="N315" i="86"/>
  <c r="AW176" i="92" s="1"/>
  <c r="AU178" i="79"/>
  <c r="N295" i="86"/>
  <c r="AU178" i="92" s="1"/>
  <c r="K295" i="86"/>
  <c r="AU178" i="91" s="1"/>
  <c r="N221" i="86"/>
  <c r="AF181" i="92" s="1"/>
  <c r="AF181" i="79"/>
  <c r="K221" i="86"/>
  <c r="AF181" i="91" s="1"/>
  <c r="N239" i="86"/>
  <c r="AH177" i="92" s="1"/>
  <c r="AH177" i="79"/>
  <c r="K239" i="86"/>
  <c r="AH177" i="91" s="1"/>
  <c r="AC181" i="79"/>
  <c r="N188" i="86"/>
  <c r="AC181" i="92" s="1"/>
  <c r="K188" i="86"/>
  <c r="AC181" i="91" s="1"/>
  <c r="AC177" i="79"/>
  <c r="K184" i="86"/>
  <c r="AC177" i="91" s="1"/>
  <c r="N184" i="86"/>
  <c r="AC177" i="92" s="1"/>
  <c r="AC180" i="79"/>
  <c r="K187" i="86"/>
  <c r="AC180" i="91" s="1"/>
  <c r="N187" i="86"/>
  <c r="AC180" i="92" s="1"/>
  <c r="K294" i="86"/>
  <c r="AU177" i="91" s="1"/>
  <c r="N294" i="86"/>
  <c r="AU177" i="92" s="1"/>
  <c r="AU177" i="79"/>
  <c r="AV179" i="79"/>
  <c r="N307" i="86"/>
  <c r="AV179" i="92" s="1"/>
  <c r="K307" i="86"/>
  <c r="AV179" i="91" s="1"/>
  <c r="N298" i="86"/>
  <c r="AU181" i="92" s="1"/>
  <c r="AU181" i="79"/>
  <c r="K298" i="86"/>
  <c r="AU181" i="91" s="1"/>
  <c r="AP176" i="79"/>
  <c r="K249" i="86"/>
  <c r="AP176" i="91" s="1"/>
  <c r="N249" i="86"/>
  <c r="AP176" i="92" s="1"/>
  <c r="BP177" i="79"/>
  <c r="N151" i="86"/>
  <c r="BP177" i="92" s="1"/>
  <c r="K151" i="86"/>
  <c r="BP177" i="91" s="1"/>
  <c r="K197" i="86"/>
  <c r="AD179" i="91" s="1"/>
  <c r="AD179" i="79"/>
  <c r="N197" i="86"/>
  <c r="AD179" i="92" s="1"/>
  <c r="K276" i="86"/>
  <c r="AR181" i="91" s="1"/>
  <c r="N276" i="86"/>
  <c r="AR181" i="92" s="1"/>
  <c r="AR181" i="79"/>
  <c r="AB176" i="79"/>
  <c r="K172" i="86"/>
  <c r="AB176" i="91" s="1"/>
  <c r="N172" i="86"/>
  <c r="AB176" i="92" s="1"/>
  <c r="AV176" i="79"/>
  <c r="K304" i="86"/>
  <c r="AV176" i="91" s="1"/>
  <c r="N304" i="86"/>
  <c r="AV176" i="92" s="1"/>
  <c r="BP176" i="79"/>
  <c r="K150" i="86"/>
  <c r="BP176" i="91" s="1"/>
  <c r="N150" i="86"/>
  <c r="BP176" i="92" s="1"/>
  <c r="N242" i="86"/>
  <c r="AH180" i="92" s="1"/>
  <c r="AH180" i="79"/>
  <c r="K242" i="86"/>
  <c r="AH180" i="91" s="1"/>
  <c r="K166" i="86"/>
  <c r="BQ181" i="91" s="1"/>
  <c r="N166" i="86"/>
  <c r="BQ181" i="92" s="1"/>
  <c r="BQ181" i="79"/>
  <c r="AG179" i="79"/>
  <c r="N230" i="86"/>
  <c r="AG179" i="92" s="1"/>
  <c r="K230" i="86"/>
  <c r="AG179" i="91" s="1"/>
  <c r="AQ177" i="79"/>
  <c r="K261" i="86"/>
  <c r="AQ177" i="91" s="1"/>
  <c r="N261" i="86"/>
  <c r="AQ177" i="92" s="1"/>
  <c r="AB180" i="79"/>
  <c r="K176" i="86"/>
  <c r="AB180" i="91" s="1"/>
  <c r="N176" i="86"/>
  <c r="AB180" i="92" s="1"/>
  <c r="AV177" i="79"/>
  <c r="N305" i="86"/>
  <c r="AV177" i="92" s="1"/>
  <c r="K305" i="86"/>
  <c r="AV177" i="91" s="1"/>
  <c r="AU179" i="79"/>
  <c r="N296" i="86"/>
  <c r="AU179" i="92" s="1"/>
  <c r="K296" i="86"/>
  <c r="AU179" i="91" s="1"/>
  <c r="AC179" i="79"/>
  <c r="N186" i="86"/>
  <c r="AC179" i="92" s="1"/>
  <c r="K186" i="86"/>
  <c r="AC179" i="91" s="1"/>
  <c r="AR179" i="79"/>
  <c r="N274" i="86"/>
  <c r="AR179" i="92" s="1"/>
  <c r="K274" i="86"/>
  <c r="AR179" i="91" s="1"/>
  <c r="BQ176" i="79"/>
  <c r="N161" i="86"/>
  <c r="BQ176" i="92" s="1"/>
  <c r="K161" i="86"/>
  <c r="BQ176" i="91" s="1"/>
  <c r="I642" i="30"/>
  <c r="I641" i="30"/>
  <c r="I640" i="30"/>
  <c r="I639" i="30"/>
  <c r="I638" i="30"/>
  <c r="I543" i="30"/>
  <c r="I542" i="30"/>
  <c r="I541" i="30"/>
  <c r="I540" i="30"/>
  <c r="I539" i="30"/>
  <c r="I538" i="30"/>
  <c r="I537" i="30"/>
  <c r="I536" i="30"/>
  <c r="I535" i="30"/>
  <c r="I534" i="30"/>
  <c r="I533" i="30"/>
  <c r="I532" i="30"/>
  <c r="I531" i="30"/>
  <c r="I530" i="30"/>
  <c r="I404" i="30"/>
  <c r="I403" i="30"/>
  <c r="I385" i="30"/>
  <c r="I348" i="30"/>
  <c r="I349" i="30"/>
  <c r="H156" i="30"/>
  <c r="H152" i="30"/>
  <c r="H151" i="30"/>
  <c r="H149" i="30"/>
  <c r="H113" i="30"/>
  <c r="H109" i="30"/>
  <c r="H108" i="30"/>
  <c r="H110" i="30"/>
  <c r="H106" i="30"/>
  <c r="G106" i="30"/>
  <c r="G105" i="30"/>
  <c r="G104" i="30"/>
  <c r="I106" i="30" l="1"/>
  <c r="N154" i="30"/>
  <c r="G156" i="30"/>
  <c r="I156" i="30" s="1"/>
  <c r="G155" i="30"/>
  <c r="G152" i="30"/>
  <c r="I152" i="30" s="1"/>
  <c r="G151" i="30"/>
  <c r="I151" i="30" s="1"/>
  <c r="G113" i="30"/>
  <c r="I113" i="30" s="1"/>
  <c r="G112" i="30"/>
  <c r="G109" i="30"/>
  <c r="I109" i="30" s="1"/>
  <c r="G108" i="30"/>
  <c r="I383" i="30" l="1"/>
  <c r="I384" i="30"/>
  <c r="I347" i="30"/>
  <c r="I280" i="30"/>
  <c r="I282" i="30"/>
  <c r="I279" i="30"/>
  <c r="I229" i="30"/>
  <c r="I230" i="30"/>
  <c r="I228" i="30"/>
  <c r="I184" i="30"/>
  <c r="I185" i="30"/>
  <c r="I183" i="30" l="1"/>
  <c r="N158" i="30" l="1"/>
  <c r="N150" i="30"/>
  <c r="N148" i="30"/>
  <c r="N147" i="30"/>
  <c r="N115" i="30"/>
  <c r="N111" i="30"/>
  <c r="N107" i="30"/>
  <c r="N104" i="30"/>
  <c r="N105" i="30"/>
  <c r="H150" i="30" l="1"/>
  <c r="G158" i="30" l="1"/>
  <c r="G115" i="30"/>
  <c r="G157" i="30"/>
  <c r="G154" i="30"/>
  <c r="G111" i="30"/>
  <c r="G153" i="30"/>
  <c r="G150" i="30"/>
  <c r="I150" i="30" s="1"/>
  <c r="G107" i="30"/>
  <c r="G114" i="30"/>
  <c r="G110" i="30"/>
  <c r="H158" i="30" l="1"/>
  <c r="I158" i="30" s="1"/>
  <c r="I115" i="30"/>
  <c r="H157" i="30"/>
  <c r="I157" i="30" s="1"/>
  <c r="H155" i="30"/>
  <c r="I155" i="30" s="1"/>
  <c r="H154" i="30"/>
  <c r="I154" i="30" s="1"/>
  <c r="H153" i="30"/>
  <c r="I153" i="30" s="1"/>
  <c r="H114" i="30"/>
  <c r="I114" i="30" s="1"/>
  <c r="H112" i="30"/>
  <c r="I112" i="30" s="1"/>
  <c r="H111" i="30"/>
  <c r="I111" i="30" s="1"/>
  <c r="I110" i="30"/>
  <c r="I108" i="30"/>
  <c r="H107" i="30"/>
  <c r="I107" i="30" s="1"/>
  <c r="G60" i="77" l="1"/>
  <c r="G61" i="77"/>
  <c r="G64" i="77" s="1"/>
  <c r="G62" i="77"/>
  <c r="G63" i="77"/>
  <c r="G59" i="77"/>
  <c r="G46" i="77"/>
  <c r="G47" i="77"/>
  <c r="G48" i="77"/>
  <c r="G49" i="77"/>
  <c r="G45" i="77"/>
  <c r="H39" i="77"/>
  <c r="I39" i="77"/>
  <c r="H40" i="77"/>
  <c r="I40" i="77"/>
  <c r="H41" i="77"/>
  <c r="I41" i="77"/>
  <c r="H42" i="77"/>
  <c r="I42" i="77"/>
  <c r="H43" i="77"/>
  <c r="I43" i="77"/>
  <c r="H44" i="77"/>
  <c r="I44" i="77"/>
  <c r="I37" i="77"/>
  <c r="H52" i="77"/>
  <c r="I52" i="77"/>
  <c r="H53" i="77"/>
  <c r="I53" i="77"/>
  <c r="H54" i="77"/>
  <c r="I54" i="77"/>
  <c r="H55" i="77"/>
  <c r="I55" i="77"/>
  <c r="H56" i="77"/>
  <c r="I56" i="77"/>
  <c r="H57" i="77"/>
  <c r="I57" i="77"/>
  <c r="H58" i="77"/>
  <c r="I58" i="77"/>
  <c r="I51" i="77"/>
  <c r="F59" i="77"/>
  <c r="H51" i="77"/>
  <c r="H37" i="77"/>
  <c r="F45" i="77"/>
  <c r="F60" i="77"/>
  <c r="F61" i="77"/>
  <c r="F62" i="77"/>
  <c r="F63" i="77"/>
  <c r="BY175" i="84"/>
  <c r="BX175" i="84"/>
  <c r="BW175" i="84"/>
  <c r="BV175" i="84"/>
  <c r="BU175" i="84"/>
  <c r="BT175" i="84"/>
  <c r="BS175" i="84"/>
  <c r="BR175" i="84"/>
  <c r="BQ175" i="84"/>
  <c r="BP175" i="84"/>
  <c r="BO175" i="84"/>
  <c r="BN175" i="84"/>
  <c r="BM175" i="84"/>
  <c r="BH175" i="84"/>
  <c r="AP175" i="84"/>
  <c r="AO175" i="84"/>
  <c r="AM175" i="84"/>
  <c r="AL175" i="84"/>
  <c r="AD175" i="84"/>
  <c r="AC175" i="84"/>
  <c r="BY174" i="84"/>
  <c r="BX174" i="84"/>
  <c r="BW174" i="84"/>
  <c r="BV174" i="84"/>
  <c r="BU174" i="84"/>
  <c r="BT174" i="84"/>
  <c r="BS174" i="84"/>
  <c r="BR174" i="84"/>
  <c r="BQ174" i="84"/>
  <c r="BP174" i="84"/>
  <c r="BO174" i="84"/>
  <c r="BN174" i="84"/>
  <c r="BM174" i="84"/>
  <c r="BH174" i="84"/>
  <c r="AP174" i="84"/>
  <c r="AO174" i="84"/>
  <c r="AM174" i="84"/>
  <c r="AL174" i="84"/>
  <c r="AD174" i="84"/>
  <c r="AC174" i="84"/>
  <c r="AB174" i="84"/>
  <c r="BY173" i="84"/>
  <c r="BX173" i="84"/>
  <c r="BW173" i="84"/>
  <c r="BV173" i="84"/>
  <c r="BU173" i="84"/>
  <c r="BT173" i="84"/>
  <c r="BS173" i="84"/>
  <c r="BR173" i="84"/>
  <c r="BQ173" i="84"/>
  <c r="BP173" i="84"/>
  <c r="BO173" i="84"/>
  <c r="BN173" i="84"/>
  <c r="BM173" i="84"/>
  <c r="BH173" i="84"/>
  <c r="AP173" i="84"/>
  <c r="AO173" i="84"/>
  <c r="AM173" i="84"/>
  <c r="AL173" i="84"/>
  <c r="AD173" i="84"/>
  <c r="AC173" i="84"/>
  <c r="AB173" i="84"/>
  <c r="BY172" i="84"/>
  <c r="BX172" i="84"/>
  <c r="BW172" i="84"/>
  <c r="BV172" i="84"/>
  <c r="CE172" i="90" s="1"/>
  <c r="F104" i="86" s="1"/>
  <c r="H104" i="86" s="1"/>
  <c r="BU172" i="84"/>
  <c r="CD172" i="90" s="1"/>
  <c r="H93" i="86" s="1"/>
  <c r="BT172" i="84"/>
  <c r="CC172" i="90" s="1"/>
  <c r="F82" i="86" s="1"/>
  <c r="H82" i="86" s="1"/>
  <c r="BS172" i="84"/>
  <c r="BR172" i="84"/>
  <c r="BQ172" i="84"/>
  <c r="BZ172" i="90" s="1"/>
  <c r="F49" i="86" s="1"/>
  <c r="H49" i="86" s="1"/>
  <c r="BP172" i="84"/>
  <c r="BO172" i="84"/>
  <c r="BN172" i="84"/>
  <c r="BM172" i="84"/>
  <c r="BH172" i="84"/>
  <c r="AP172" i="84"/>
  <c r="AX172" i="90" s="1"/>
  <c r="F324" i="86" s="1"/>
  <c r="H324" i="86" s="1"/>
  <c r="AO172" i="84"/>
  <c r="AM172" i="84"/>
  <c r="AS172" i="90" s="1"/>
  <c r="F280" i="86" s="1"/>
  <c r="H280" i="86" s="1"/>
  <c r="AL172" i="84"/>
  <c r="AD172" i="84"/>
  <c r="AC172" i="84"/>
  <c r="AE172" i="90" s="1"/>
  <c r="F203" i="86" s="1"/>
  <c r="H203" i="86" s="1"/>
  <c r="AB172" i="84"/>
  <c r="BY171" i="84"/>
  <c r="BX171" i="84"/>
  <c r="BW171" i="84"/>
  <c r="BV171" i="84"/>
  <c r="CE171" i="90" s="1"/>
  <c r="F103" i="86" s="1"/>
  <c r="H103" i="86" s="1"/>
  <c r="BU171" i="84"/>
  <c r="CD171" i="90" s="1"/>
  <c r="H92" i="86" s="1"/>
  <c r="BT171" i="84"/>
  <c r="CC171" i="90" s="1"/>
  <c r="F81" i="86" s="1"/>
  <c r="H81" i="86" s="1"/>
  <c r="BS171" i="84"/>
  <c r="BR171" i="84"/>
  <c r="BQ171" i="84"/>
  <c r="BZ171" i="90" s="1"/>
  <c r="F48" i="86" s="1"/>
  <c r="H48" i="86" s="1"/>
  <c r="BP171" i="84"/>
  <c r="BO171" i="84"/>
  <c r="BN171" i="84"/>
  <c r="BM171" i="84"/>
  <c r="BH171" i="84"/>
  <c r="AP171" i="84"/>
  <c r="AX171" i="90" s="1"/>
  <c r="F323" i="86" s="1"/>
  <c r="AO171" i="84"/>
  <c r="AM171" i="84"/>
  <c r="AS171" i="90" s="1"/>
  <c r="F279" i="86" s="1"/>
  <c r="H279" i="86" s="1"/>
  <c r="AL171" i="84"/>
  <c r="AD171" i="84"/>
  <c r="AC171" i="84"/>
  <c r="AE171" i="90" s="1"/>
  <c r="F202" i="86" s="1"/>
  <c r="H202" i="86" s="1"/>
  <c r="AB171" i="84"/>
  <c r="BY170" i="84"/>
  <c r="BX170" i="84"/>
  <c r="BW170" i="84"/>
  <c r="BV170" i="84"/>
  <c r="CE170" i="90" s="1"/>
  <c r="F102" i="86" s="1"/>
  <c r="H102" i="86" s="1"/>
  <c r="BU170" i="84"/>
  <c r="CD170" i="90" s="1"/>
  <c r="H91" i="86" s="1"/>
  <c r="BT170" i="84"/>
  <c r="CC170" i="90" s="1"/>
  <c r="F80" i="86" s="1"/>
  <c r="H80" i="86" s="1"/>
  <c r="BS170" i="84"/>
  <c r="BR170" i="84"/>
  <c r="BQ170" i="84"/>
  <c r="BZ170" i="90" s="1"/>
  <c r="F47" i="86" s="1"/>
  <c r="H47" i="86" s="1"/>
  <c r="BP170" i="84"/>
  <c r="BO170" i="84"/>
  <c r="BN170" i="84"/>
  <c r="BM170" i="84"/>
  <c r="BH170" i="84"/>
  <c r="J141" i="30" s="1"/>
  <c r="AP170" i="84"/>
  <c r="AX170" i="90" s="1"/>
  <c r="F322" i="86" s="1"/>
  <c r="H322" i="86" s="1"/>
  <c r="AO170" i="84"/>
  <c r="AM170" i="84"/>
  <c r="AS170" i="90" s="1"/>
  <c r="F278" i="86" s="1"/>
  <c r="H278" i="86" s="1"/>
  <c r="AL170" i="84"/>
  <c r="AD170" i="84"/>
  <c r="AC170" i="84"/>
  <c r="AE170" i="90" s="1"/>
  <c r="F201" i="86" s="1"/>
  <c r="H201" i="86" s="1"/>
  <c r="AB170" i="84"/>
  <c r="BY169" i="84"/>
  <c r="BX169" i="84"/>
  <c r="BW169" i="84"/>
  <c r="BV169" i="84"/>
  <c r="CE169" i="90" s="1"/>
  <c r="F101" i="86" s="1"/>
  <c r="BU169" i="84"/>
  <c r="CD169" i="90" s="1"/>
  <c r="BT169" i="84"/>
  <c r="CC169" i="90" s="1"/>
  <c r="F79" i="86" s="1"/>
  <c r="BS169" i="84"/>
  <c r="BR169" i="84"/>
  <c r="BQ169" i="84"/>
  <c r="BZ169" i="90" s="1"/>
  <c r="F46" i="86" s="1"/>
  <c r="BP169" i="84"/>
  <c r="BO169" i="84"/>
  <c r="BN169" i="84"/>
  <c r="BM169" i="84"/>
  <c r="BH169" i="84"/>
  <c r="J140" i="30" s="1"/>
  <c r="AP169" i="84"/>
  <c r="AX169" i="90" s="1"/>
  <c r="F321" i="86" s="1"/>
  <c r="H321" i="86" s="1"/>
  <c r="AO169" i="84"/>
  <c r="AM169" i="84"/>
  <c r="AS169" i="90" s="1"/>
  <c r="F277" i="86" s="1"/>
  <c r="AL169" i="84"/>
  <c r="AD169" i="84"/>
  <c r="AC169" i="84"/>
  <c r="AE169" i="90" s="1"/>
  <c r="F200" i="86" s="1"/>
  <c r="AB169" i="84"/>
  <c r="BY168" i="84"/>
  <c r="BX168" i="84"/>
  <c r="BW168" i="84"/>
  <c r="BV168" i="84"/>
  <c r="BU168" i="84"/>
  <c r="BT168" i="84"/>
  <c r="BS168" i="84"/>
  <c r="BR168" i="84"/>
  <c r="BQ168" i="84"/>
  <c r="BP168" i="84"/>
  <c r="BO168" i="84"/>
  <c r="BN168" i="84"/>
  <c r="BM168" i="84"/>
  <c r="BH168" i="84"/>
  <c r="AP168" i="84"/>
  <c r="AO168" i="84"/>
  <c r="AM168" i="84"/>
  <c r="AL168" i="84"/>
  <c r="AD168" i="84"/>
  <c r="AC168" i="84"/>
  <c r="AB168" i="84"/>
  <c r="BY167" i="84"/>
  <c r="BX167" i="84"/>
  <c r="BW167" i="84"/>
  <c r="BV167" i="84"/>
  <c r="BU167" i="84"/>
  <c r="BT167" i="84"/>
  <c r="BS167" i="84"/>
  <c r="BR167" i="84"/>
  <c r="BQ167" i="84"/>
  <c r="BP167" i="84"/>
  <c r="BO167" i="84"/>
  <c r="BN167" i="84"/>
  <c r="BM167" i="84"/>
  <c r="BH167" i="84"/>
  <c r="AP167" i="84"/>
  <c r="AO167" i="84"/>
  <c r="AM167" i="84"/>
  <c r="AL167" i="84"/>
  <c r="AD167" i="84"/>
  <c r="AC167" i="84"/>
  <c r="AB167" i="84"/>
  <c r="BY166" i="84"/>
  <c r="BX166" i="84"/>
  <c r="BW166" i="84"/>
  <c r="BV166" i="84"/>
  <c r="BU166" i="84"/>
  <c r="BT166" i="84"/>
  <c r="BS166" i="84"/>
  <c r="BR166" i="84"/>
  <c r="BQ166" i="84"/>
  <c r="BP166" i="84"/>
  <c r="BO166" i="84"/>
  <c r="BN166" i="84"/>
  <c r="BM166" i="84"/>
  <c r="BH166" i="84"/>
  <c r="AP166" i="84"/>
  <c r="AO166" i="84"/>
  <c r="AM166" i="84"/>
  <c r="AL166" i="84"/>
  <c r="AD166" i="84"/>
  <c r="AC166" i="84"/>
  <c r="AB166" i="84"/>
  <c r="BY165" i="84"/>
  <c r="BX165" i="84"/>
  <c r="BW165" i="84"/>
  <c r="BV165" i="84"/>
  <c r="BU165" i="84"/>
  <c r="BT165" i="84"/>
  <c r="BS165" i="84"/>
  <c r="BR165" i="84"/>
  <c r="BQ165" i="84"/>
  <c r="BP165" i="84"/>
  <c r="BO165" i="84"/>
  <c r="BN165" i="84"/>
  <c r="BM165" i="84"/>
  <c r="BH165" i="84"/>
  <c r="AP165" i="84"/>
  <c r="AO165" i="84"/>
  <c r="AM165" i="84"/>
  <c r="AL165" i="84"/>
  <c r="AD165" i="84"/>
  <c r="AC165" i="84"/>
  <c r="AB165" i="84"/>
  <c r="BY164" i="84"/>
  <c r="BX164" i="84"/>
  <c r="BW164" i="84"/>
  <c r="BV164" i="84"/>
  <c r="BU164" i="84"/>
  <c r="BT164" i="84"/>
  <c r="BS164" i="84"/>
  <c r="BR164" i="84"/>
  <c r="BQ164" i="84"/>
  <c r="BP164" i="84"/>
  <c r="BO164" i="84"/>
  <c r="BN164" i="84"/>
  <c r="BM164" i="84"/>
  <c r="BH164" i="84"/>
  <c r="AP164" i="84"/>
  <c r="AO164" i="84"/>
  <c r="AM164" i="84"/>
  <c r="AL164" i="84"/>
  <c r="AD164" i="84"/>
  <c r="AC164" i="84"/>
  <c r="AB164" i="84"/>
  <c r="BY163" i="84"/>
  <c r="BX163" i="84"/>
  <c r="BW163" i="84"/>
  <c r="BV163" i="84"/>
  <c r="BU163" i="84"/>
  <c r="BT163" i="84"/>
  <c r="BS163" i="84"/>
  <c r="BR163" i="84"/>
  <c r="BQ163" i="84"/>
  <c r="BP163" i="84"/>
  <c r="BO163" i="84"/>
  <c r="BN163" i="84"/>
  <c r="BM163" i="84"/>
  <c r="BH163" i="84"/>
  <c r="AP163" i="84"/>
  <c r="AO163" i="84"/>
  <c r="AM163" i="84"/>
  <c r="AL163" i="84"/>
  <c r="AD163" i="84"/>
  <c r="AC163" i="84"/>
  <c r="AB163" i="84"/>
  <c r="BY162" i="84"/>
  <c r="BX162" i="84"/>
  <c r="BW162" i="84"/>
  <c r="BV162" i="84"/>
  <c r="BU162" i="84"/>
  <c r="BT162" i="84"/>
  <c r="BS162" i="84"/>
  <c r="BR162" i="84"/>
  <c r="BQ162" i="84"/>
  <c r="BP162" i="84"/>
  <c r="BO162" i="84"/>
  <c r="BN162" i="84"/>
  <c r="BM162" i="84"/>
  <c r="BH162" i="84"/>
  <c r="AP162" i="84"/>
  <c r="AO162" i="84"/>
  <c r="AM162" i="84"/>
  <c r="AL162" i="84"/>
  <c r="AD162" i="84"/>
  <c r="AC162" i="84"/>
  <c r="AB162" i="84"/>
  <c r="BY161" i="84"/>
  <c r="BX161" i="84"/>
  <c r="BW161" i="84"/>
  <c r="BV161" i="84"/>
  <c r="BU161" i="84"/>
  <c r="BT161" i="84"/>
  <c r="BS161" i="84"/>
  <c r="BR161" i="84"/>
  <c r="BQ161" i="84"/>
  <c r="BP161" i="84"/>
  <c r="BO161" i="84"/>
  <c r="BN161" i="84"/>
  <c r="BM161" i="84"/>
  <c r="BH161" i="84"/>
  <c r="AP161" i="84"/>
  <c r="AO161" i="84"/>
  <c r="AM161" i="84"/>
  <c r="AL161" i="84"/>
  <c r="AD161" i="84"/>
  <c r="AC161" i="84"/>
  <c r="AB161" i="84"/>
  <c r="BY160" i="84"/>
  <c r="BX160" i="84"/>
  <c r="BW160" i="84"/>
  <c r="BV160" i="84"/>
  <c r="BU160" i="84"/>
  <c r="BT160" i="84"/>
  <c r="BS160" i="84"/>
  <c r="BR160" i="84"/>
  <c r="BQ160" i="84"/>
  <c r="BP160" i="84"/>
  <c r="BO160" i="84"/>
  <c r="BN160" i="84"/>
  <c r="BM160" i="84"/>
  <c r="BH160" i="84"/>
  <c r="AP160" i="84"/>
  <c r="AO160" i="84"/>
  <c r="AM160" i="84"/>
  <c r="AL160" i="84"/>
  <c r="AD160" i="84"/>
  <c r="AC160" i="84"/>
  <c r="AB160" i="84"/>
  <c r="BY159" i="84"/>
  <c r="BX159" i="84"/>
  <c r="BW159" i="84"/>
  <c r="BV159" i="84"/>
  <c r="BU159" i="84"/>
  <c r="BT159" i="84"/>
  <c r="BS159" i="84"/>
  <c r="BR159" i="84"/>
  <c r="BQ159" i="84"/>
  <c r="BP159" i="84"/>
  <c r="BO159" i="84"/>
  <c r="BN159" i="84"/>
  <c r="BM159" i="84"/>
  <c r="BH159" i="84"/>
  <c r="AP159" i="84"/>
  <c r="AO159" i="84"/>
  <c r="AM159" i="84"/>
  <c r="AL159" i="84"/>
  <c r="AD159" i="84"/>
  <c r="AC159" i="84"/>
  <c r="AB159" i="84"/>
  <c r="BY158" i="84"/>
  <c r="BX158" i="84"/>
  <c r="BW158" i="84"/>
  <c r="BV158" i="84"/>
  <c r="BU158" i="84"/>
  <c r="BT158" i="84"/>
  <c r="BS158" i="84"/>
  <c r="BR158" i="84"/>
  <c r="BQ158" i="84"/>
  <c r="BP158" i="84"/>
  <c r="BO158" i="84"/>
  <c r="BN158" i="84"/>
  <c r="BM158" i="84"/>
  <c r="BH158" i="84"/>
  <c r="AP158" i="84"/>
  <c r="AO158" i="84"/>
  <c r="AM158" i="84"/>
  <c r="AL158" i="84"/>
  <c r="AD158" i="84"/>
  <c r="AC158" i="84"/>
  <c r="AB158" i="84"/>
  <c r="BY157" i="84"/>
  <c r="BX157" i="84"/>
  <c r="BW157" i="84"/>
  <c r="BV157" i="84"/>
  <c r="BU157" i="84"/>
  <c r="BT157" i="84"/>
  <c r="BS157" i="84"/>
  <c r="BR157" i="84"/>
  <c r="BQ157" i="84"/>
  <c r="BP157" i="84"/>
  <c r="BO157" i="84"/>
  <c r="BN157" i="84"/>
  <c r="BM157" i="84"/>
  <c r="BH157" i="84"/>
  <c r="AP157" i="84"/>
  <c r="AO157" i="84"/>
  <c r="AM157" i="84"/>
  <c r="AL157" i="84"/>
  <c r="AD157" i="84"/>
  <c r="AC157" i="84"/>
  <c r="AB157" i="84"/>
  <c r="BY156" i="84"/>
  <c r="BX156" i="84"/>
  <c r="BW156" i="84"/>
  <c r="BV156" i="84"/>
  <c r="BU156" i="84"/>
  <c r="BT156" i="84"/>
  <c r="BS156" i="84"/>
  <c r="BR156" i="84"/>
  <c r="BQ156" i="84"/>
  <c r="BP156" i="84"/>
  <c r="BO156" i="84"/>
  <c r="BN156" i="84"/>
  <c r="BM156" i="84"/>
  <c r="BH156" i="84"/>
  <c r="AP156" i="84"/>
  <c r="AO156" i="84"/>
  <c r="AM156" i="84"/>
  <c r="AL156" i="84"/>
  <c r="AD156" i="84"/>
  <c r="AC156" i="84"/>
  <c r="AB156" i="84"/>
  <c r="BY155" i="84"/>
  <c r="BX155" i="84"/>
  <c r="BW155" i="84"/>
  <c r="BV155" i="84"/>
  <c r="BU155" i="84"/>
  <c r="BT155" i="84"/>
  <c r="BS155" i="84"/>
  <c r="BR155" i="84"/>
  <c r="BQ155" i="84"/>
  <c r="BP155" i="84"/>
  <c r="BO155" i="84"/>
  <c r="BN155" i="84"/>
  <c r="BM155" i="84"/>
  <c r="BH155" i="84"/>
  <c r="AP155" i="84"/>
  <c r="AO155" i="84"/>
  <c r="AM155" i="84"/>
  <c r="AL155" i="84"/>
  <c r="AD155" i="84"/>
  <c r="AC155" i="84"/>
  <c r="AB155" i="84"/>
  <c r="BY154" i="84"/>
  <c r="BX154" i="84"/>
  <c r="BW154" i="84"/>
  <c r="BV154" i="84"/>
  <c r="BU154" i="84"/>
  <c r="BT154" i="84"/>
  <c r="BS154" i="84"/>
  <c r="BR154" i="84"/>
  <c r="BQ154" i="84"/>
  <c r="BP154" i="84"/>
  <c r="BO154" i="84"/>
  <c r="BN154" i="84"/>
  <c r="BM154" i="84"/>
  <c r="BH154" i="84"/>
  <c r="AP154" i="84"/>
  <c r="AO154" i="84"/>
  <c r="AM154" i="84"/>
  <c r="AL154" i="84"/>
  <c r="AD154" i="84"/>
  <c r="AC154" i="84"/>
  <c r="AB154" i="84"/>
  <c r="BY153" i="84"/>
  <c r="BX153" i="84"/>
  <c r="BW153" i="84"/>
  <c r="BV153" i="84"/>
  <c r="BU153" i="84"/>
  <c r="BT153" i="84"/>
  <c r="BS153" i="84"/>
  <c r="BR153" i="84"/>
  <c r="BQ153" i="84"/>
  <c r="BP153" i="84"/>
  <c r="BO153" i="84"/>
  <c r="BN153" i="84"/>
  <c r="BM153" i="84"/>
  <c r="BH153" i="84"/>
  <c r="AP153" i="84"/>
  <c r="AO153" i="84"/>
  <c r="AM153" i="84"/>
  <c r="AL153" i="84"/>
  <c r="AD153" i="84"/>
  <c r="AC153" i="84"/>
  <c r="AB153" i="84"/>
  <c r="BY152" i="84"/>
  <c r="BX152" i="84"/>
  <c r="BW152" i="84"/>
  <c r="BV152" i="84"/>
  <c r="BU152" i="84"/>
  <c r="BT152" i="84"/>
  <c r="BS152" i="84"/>
  <c r="BR152" i="84"/>
  <c r="BQ152" i="84"/>
  <c r="BP152" i="84"/>
  <c r="BO152" i="84"/>
  <c r="BN152" i="84"/>
  <c r="BM152" i="84"/>
  <c r="BH152" i="84"/>
  <c r="AP152" i="84"/>
  <c r="AO152" i="84"/>
  <c r="AM152" i="84"/>
  <c r="AL152" i="84"/>
  <c r="AD152" i="84"/>
  <c r="AC152" i="84"/>
  <c r="AB152" i="84"/>
  <c r="BY151" i="84"/>
  <c r="BX151" i="84"/>
  <c r="BW151" i="84"/>
  <c r="BV151" i="84"/>
  <c r="BU151" i="84"/>
  <c r="BT151" i="84"/>
  <c r="BS151" i="84"/>
  <c r="BR151" i="84"/>
  <c r="BQ151" i="84"/>
  <c r="BP151" i="84"/>
  <c r="BO151" i="84"/>
  <c r="BN151" i="84"/>
  <c r="BM151" i="84"/>
  <c r="BH151" i="84"/>
  <c r="AP151" i="84"/>
  <c r="AO151" i="84"/>
  <c r="AM151" i="84"/>
  <c r="AL151" i="84"/>
  <c r="AD151" i="84"/>
  <c r="AC151" i="84"/>
  <c r="AB151" i="84"/>
  <c r="BY150" i="84"/>
  <c r="BX150" i="84"/>
  <c r="BW150" i="84"/>
  <c r="BV150" i="84"/>
  <c r="BU150" i="84"/>
  <c r="BT150" i="84"/>
  <c r="BS150" i="84"/>
  <c r="BR150" i="84"/>
  <c r="BQ150" i="84"/>
  <c r="BP150" i="84"/>
  <c r="BO150" i="84"/>
  <c r="BN150" i="84"/>
  <c r="BM150" i="84"/>
  <c r="BH150" i="84"/>
  <c r="AP150" i="84"/>
  <c r="AO150" i="84"/>
  <c r="AM150" i="84"/>
  <c r="AL150" i="84"/>
  <c r="AD150" i="84"/>
  <c r="AC150" i="84"/>
  <c r="AB150" i="84"/>
  <c r="BY149" i="84"/>
  <c r="BX149" i="84"/>
  <c r="BW149" i="84"/>
  <c r="BV149" i="84"/>
  <c r="BU149" i="84"/>
  <c r="BT149" i="84"/>
  <c r="BS149" i="84"/>
  <c r="BR149" i="84"/>
  <c r="BQ149" i="84"/>
  <c r="BP149" i="84"/>
  <c r="BO149" i="84"/>
  <c r="BN149" i="84"/>
  <c r="BM149" i="84"/>
  <c r="BH149" i="84"/>
  <c r="AP149" i="84"/>
  <c r="AO149" i="84"/>
  <c r="AM149" i="84"/>
  <c r="AL149" i="84"/>
  <c r="AD149" i="84"/>
  <c r="AC149" i="84"/>
  <c r="AB149" i="84"/>
  <c r="BY148" i="84"/>
  <c r="BX148" i="84"/>
  <c r="BW148" i="84"/>
  <c r="BV148" i="84"/>
  <c r="BU148" i="84"/>
  <c r="BT148" i="84"/>
  <c r="BS148" i="84"/>
  <c r="BR148" i="84"/>
  <c r="BQ148" i="84"/>
  <c r="BP148" i="84"/>
  <c r="BO148" i="84"/>
  <c r="BN148" i="84"/>
  <c r="BM148" i="84"/>
  <c r="BH148" i="84"/>
  <c r="AP148" i="84"/>
  <c r="AO148" i="84"/>
  <c r="AM148" i="84"/>
  <c r="AL148" i="84"/>
  <c r="AD148" i="84"/>
  <c r="AC148" i="84"/>
  <c r="AB148" i="84"/>
  <c r="BY147" i="84"/>
  <c r="BX147" i="84"/>
  <c r="BW147" i="84"/>
  <c r="BV147" i="84"/>
  <c r="BU147" i="84"/>
  <c r="BT147" i="84"/>
  <c r="BS147" i="84"/>
  <c r="BR147" i="84"/>
  <c r="BQ147" i="84"/>
  <c r="BP147" i="84"/>
  <c r="BO147" i="84"/>
  <c r="BN147" i="84"/>
  <c r="BM147" i="84"/>
  <c r="BH147" i="84"/>
  <c r="AP147" i="84"/>
  <c r="AO147" i="84"/>
  <c r="AM147" i="84"/>
  <c r="AL147" i="84"/>
  <c r="AD147" i="84"/>
  <c r="AC147" i="84"/>
  <c r="AB147" i="84"/>
  <c r="BY146" i="84"/>
  <c r="BX146" i="84"/>
  <c r="BW146" i="84"/>
  <c r="BV146" i="84"/>
  <c r="BU146" i="84"/>
  <c r="BT146" i="84"/>
  <c r="BS146" i="84"/>
  <c r="BR146" i="84"/>
  <c r="BQ146" i="84"/>
  <c r="BP146" i="84"/>
  <c r="BO146" i="84"/>
  <c r="BN146" i="84"/>
  <c r="BM146" i="84"/>
  <c r="BH146" i="84"/>
  <c r="AP146" i="84"/>
  <c r="AO146" i="84"/>
  <c r="AM146" i="84"/>
  <c r="AL146" i="84"/>
  <c r="AD146" i="84"/>
  <c r="AC146" i="84"/>
  <c r="AB146" i="84"/>
  <c r="BY145" i="84"/>
  <c r="BX145" i="84"/>
  <c r="BW145" i="84"/>
  <c r="BV145" i="84"/>
  <c r="BU145" i="84"/>
  <c r="BT145" i="84"/>
  <c r="BS145" i="84"/>
  <c r="BR145" i="84"/>
  <c r="BQ145" i="84"/>
  <c r="BP145" i="84"/>
  <c r="BO145" i="84"/>
  <c r="BN145" i="84"/>
  <c r="BM145" i="84"/>
  <c r="BH145" i="84"/>
  <c r="AP145" i="84"/>
  <c r="AO145" i="84"/>
  <c r="AM145" i="84"/>
  <c r="AL145" i="84"/>
  <c r="AD145" i="84"/>
  <c r="AC145" i="84"/>
  <c r="AB145" i="84"/>
  <c r="BY144" i="84"/>
  <c r="BX144" i="84"/>
  <c r="BW144" i="84"/>
  <c r="BV144" i="84"/>
  <c r="BU144" i="84"/>
  <c r="BT144" i="84"/>
  <c r="BS144" i="84"/>
  <c r="BR144" i="84"/>
  <c r="BQ144" i="84"/>
  <c r="BP144" i="84"/>
  <c r="BO144" i="84"/>
  <c r="BN144" i="84"/>
  <c r="BM144" i="84"/>
  <c r="BH144" i="84"/>
  <c r="AP144" i="84"/>
  <c r="AO144" i="84"/>
  <c r="AM144" i="84"/>
  <c r="AL144" i="84"/>
  <c r="AD144" i="84"/>
  <c r="AC144" i="84"/>
  <c r="AB144" i="84"/>
  <c r="BY143" i="84"/>
  <c r="BX143" i="84"/>
  <c r="BW143" i="84"/>
  <c r="BV143" i="84"/>
  <c r="BU143" i="84"/>
  <c r="BT143" i="84"/>
  <c r="BS143" i="84"/>
  <c r="BR143" i="84"/>
  <c r="BQ143" i="84"/>
  <c r="BP143" i="84"/>
  <c r="BO143" i="84"/>
  <c r="BN143" i="84"/>
  <c r="BM143" i="84"/>
  <c r="BH143" i="84"/>
  <c r="AP143" i="84"/>
  <c r="AO143" i="84"/>
  <c r="AM143" i="84"/>
  <c r="AL143" i="84"/>
  <c r="AD143" i="84"/>
  <c r="AC143" i="84"/>
  <c r="AB143" i="84"/>
  <c r="BY142" i="84"/>
  <c r="BX142" i="84"/>
  <c r="BW142" i="84"/>
  <c r="BV142" i="84"/>
  <c r="BU142" i="84"/>
  <c r="BT142" i="84"/>
  <c r="BS142" i="84"/>
  <c r="BR142" i="84"/>
  <c r="BQ142" i="84"/>
  <c r="BP142" i="84"/>
  <c r="BO142" i="84"/>
  <c r="BN142" i="84"/>
  <c r="BM142" i="84"/>
  <c r="BH142" i="84"/>
  <c r="AP142" i="84"/>
  <c r="AO142" i="84"/>
  <c r="AM142" i="84"/>
  <c r="AL142" i="84"/>
  <c r="AD142" i="84"/>
  <c r="AC142" i="84"/>
  <c r="AB142" i="84"/>
  <c r="BY141" i="84"/>
  <c r="BX141" i="84"/>
  <c r="BW141" i="84"/>
  <c r="BV141" i="84"/>
  <c r="BU141" i="84"/>
  <c r="BT141" i="84"/>
  <c r="BS141" i="84"/>
  <c r="BR141" i="84"/>
  <c r="BQ141" i="84"/>
  <c r="BP141" i="84"/>
  <c r="BO141" i="84"/>
  <c r="BN141" i="84"/>
  <c r="BM141" i="84"/>
  <c r="BH141" i="84"/>
  <c r="AP141" i="84"/>
  <c r="AO141" i="84"/>
  <c r="AM141" i="84"/>
  <c r="AL141" i="84"/>
  <c r="AD141" i="84"/>
  <c r="AC141" i="84"/>
  <c r="AB141" i="84"/>
  <c r="BY140" i="84"/>
  <c r="BX140" i="84"/>
  <c r="BW140" i="84"/>
  <c r="BV140" i="84"/>
  <c r="BU140" i="84"/>
  <c r="BT140" i="84"/>
  <c r="BS140" i="84"/>
  <c r="BR140" i="84"/>
  <c r="BQ140" i="84"/>
  <c r="BP140" i="84"/>
  <c r="BO140" i="84"/>
  <c r="BN140" i="84"/>
  <c r="BM140" i="84"/>
  <c r="BH140" i="84"/>
  <c r="AP140" i="84"/>
  <c r="AO140" i="84"/>
  <c r="AM140" i="84"/>
  <c r="AL140" i="84"/>
  <c r="AD140" i="84"/>
  <c r="AC140" i="84"/>
  <c r="AB140" i="84"/>
  <c r="BY139" i="84"/>
  <c r="BX139" i="84"/>
  <c r="BW139" i="84"/>
  <c r="BV139" i="84"/>
  <c r="BU139" i="84"/>
  <c r="BT139" i="84"/>
  <c r="BS139" i="84"/>
  <c r="BR139" i="84"/>
  <c r="BQ139" i="84"/>
  <c r="BP139" i="84"/>
  <c r="BO139" i="84"/>
  <c r="BN139" i="84"/>
  <c r="BM139" i="84"/>
  <c r="BH139" i="84"/>
  <c r="AP139" i="84"/>
  <c r="AO139" i="84"/>
  <c r="AM139" i="84"/>
  <c r="AL139" i="84"/>
  <c r="AD139" i="84"/>
  <c r="AC139" i="84"/>
  <c r="AB139" i="84"/>
  <c r="BY138" i="84"/>
  <c r="BX138" i="84"/>
  <c r="BW138" i="84"/>
  <c r="BV138" i="84"/>
  <c r="BU138" i="84"/>
  <c r="BT138" i="84"/>
  <c r="BS138" i="84"/>
  <c r="BR138" i="84"/>
  <c r="BQ138" i="84"/>
  <c r="BP138" i="84"/>
  <c r="BO138" i="84"/>
  <c r="BN138" i="84"/>
  <c r="BM138" i="84"/>
  <c r="BH138" i="84"/>
  <c r="AP138" i="84"/>
  <c r="AO138" i="84"/>
  <c r="AM138" i="84"/>
  <c r="AL138" i="84"/>
  <c r="AD138" i="84"/>
  <c r="AC138" i="84"/>
  <c r="AB138" i="84"/>
  <c r="BY137" i="84"/>
  <c r="BX137" i="84"/>
  <c r="BW137" i="84"/>
  <c r="BV137" i="84"/>
  <c r="BU137" i="84"/>
  <c r="BT137" i="84"/>
  <c r="BS137" i="84"/>
  <c r="BR137" i="84"/>
  <c r="BQ137" i="84"/>
  <c r="BP137" i="84"/>
  <c r="BO137" i="84"/>
  <c r="BN137" i="84"/>
  <c r="BM137" i="84"/>
  <c r="BH137" i="84"/>
  <c r="AP137" i="84"/>
  <c r="AO137" i="84"/>
  <c r="AM137" i="84"/>
  <c r="AL137" i="84"/>
  <c r="AD137" i="84"/>
  <c r="AC137" i="84"/>
  <c r="AB137" i="84"/>
  <c r="BY136" i="84"/>
  <c r="BX136" i="84"/>
  <c r="BW136" i="84"/>
  <c r="BV136" i="84"/>
  <c r="BU136" i="84"/>
  <c r="BT136" i="84"/>
  <c r="BS136" i="84"/>
  <c r="BR136" i="84"/>
  <c r="BQ136" i="84"/>
  <c r="BP136" i="84"/>
  <c r="BO136" i="84"/>
  <c r="BN136" i="84"/>
  <c r="BM136" i="84"/>
  <c r="BH136" i="84"/>
  <c r="AP136" i="84"/>
  <c r="AO136" i="84"/>
  <c r="AM136" i="84"/>
  <c r="AL136" i="84"/>
  <c r="AD136" i="84"/>
  <c r="AC136" i="84"/>
  <c r="AB136" i="84"/>
  <c r="BY135" i="84"/>
  <c r="BX135" i="84"/>
  <c r="BW135" i="84"/>
  <c r="BV135" i="84"/>
  <c r="BU135" i="84"/>
  <c r="BT135" i="84"/>
  <c r="BS135" i="84"/>
  <c r="BR135" i="84"/>
  <c r="BQ135" i="84"/>
  <c r="BP135" i="84"/>
  <c r="BO135" i="84"/>
  <c r="BN135" i="84"/>
  <c r="BM135" i="84"/>
  <c r="BH135" i="84"/>
  <c r="AP135" i="84"/>
  <c r="AO135" i="84"/>
  <c r="AM135" i="84"/>
  <c r="AL135" i="84"/>
  <c r="AD135" i="84"/>
  <c r="AC135" i="84"/>
  <c r="AB135" i="84"/>
  <c r="BY134" i="84"/>
  <c r="BX134" i="84"/>
  <c r="BW134" i="84"/>
  <c r="BV134" i="84"/>
  <c r="BU134" i="84"/>
  <c r="BT134" i="84"/>
  <c r="BS134" i="84"/>
  <c r="BR134" i="84"/>
  <c r="BQ134" i="84"/>
  <c r="BP134" i="84"/>
  <c r="BO134" i="84"/>
  <c r="BN134" i="84"/>
  <c r="BM134" i="84"/>
  <c r="BH134" i="84"/>
  <c r="AP134" i="84"/>
  <c r="AO134" i="84"/>
  <c r="AM134" i="84"/>
  <c r="AL134" i="84"/>
  <c r="AD134" i="84"/>
  <c r="AC134" i="84"/>
  <c r="AB134" i="84"/>
  <c r="BY133" i="84"/>
  <c r="BX133" i="84"/>
  <c r="BW133" i="84"/>
  <c r="BV133" i="84"/>
  <c r="BU133" i="84"/>
  <c r="BT133" i="84"/>
  <c r="BS133" i="84"/>
  <c r="BR133" i="84"/>
  <c r="BQ133" i="84"/>
  <c r="BP133" i="84"/>
  <c r="BO133" i="84"/>
  <c r="BN133" i="84"/>
  <c r="BM133" i="84"/>
  <c r="BH133" i="84"/>
  <c r="AP133" i="84"/>
  <c r="AO133" i="84"/>
  <c r="AM133" i="84"/>
  <c r="AL133" i="84"/>
  <c r="AD133" i="84"/>
  <c r="AC133" i="84"/>
  <c r="AB133" i="84"/>
  <c r="BY132" i="84"/>
  <c r="BX132" i="84"/>
  <c r="BW132" i="84"/>
  <c r="BV132" i="84"/>
  <c r="BU132" i="84"/>
  <c r="BT132" i="84"/>
  <c r="BS132" i="84"/>
  <c r="BR132" i="84"/>
  <c r="BQ132" i="84"/>
  <c r="BP132" i="84"/>
  <c r="BO132" i="84"/>
  <c r="BN132" i="84"/>
  <c r="BM132" i="84"/>
  <c r="BH132" i="84"/>
  <c r="AP132" i="84"/>
  <c r="AO132" i="84"/>
  <c r="AM132" i="84"/>
  <c r="AL132" i="84"/>
  <c r="AD132" i="84"/>
  <c r="AC132" i="84"/>
  <c r="AB132" i="84"/>
  <c r="BY131" i="84"/>
  <c r="BX131" i="84"/>
  <c r="BW131" i="84"/>
  <c r="BV131" i="84"/>
  <c r="BU131" i="84"/>
  <c r="BT131" i="84"/>
  <c r="BS131" i="84"/>
  <c r="BR131" i="84"/>
  <c r="BQ131" i="84"/>
  <c r="BP131" i="84"/>
  <c r="BO131" i="84"/>
  <c r="BN131" i="84"/>
  <c r="BM131" i="84"/>
  <c r="BH131" i="84"/>
  <c r="AP131" i="84"/>
  <c r="AO131" i="84"/>
  <c r="AM131" i="84"/>
  <c r="AL131" i="84"/>
  <c r="AD131" i="84"/>
  <c r="AC131" i="84"/>
  <c r="AB131" i="84"/>
  <c r="BY130" i="84"/>
  <c r="BX130" i="84"/>
  <c r="BW130" i="84"/>
  <c r="BV130" i="84"/>
  <c r="BU130" i="84"/>
  <c r="BT130" i="84"/>
  <c r="BS130" i="84"/>
  <c r="BR130" i="84"/>
  <c r="BQ130" i="84"/>
  <c r="BP130" i="84"/>
  <c r="BO130" i="84"/>
  <c r="BN130" i="84"/>
  <c r="BM130" i="84"/>
  <c r="BH130" i="84"/>
  <c r="AP130" i="84"/>
  <c r="AO130" i="84"/>
  <c r="AM130" i="84"/>
  <c r="AL130" i="84"/>
  <c r="AD130" i="84"/>
  <c r="AC130" i="84"/>
  <c r="AB130" i="84"/>
  <c r="BY129" i="84"/>
  <c r="BX129" i="84"/>
  <c r="BW129" i="84"/>
  <c r="BV129" i="84"/>
  <c r="BU129" i="84"/>
  <c r="BT129" i="84"/>
  <c r="BS129" i="84"/>
  <c r="BR129" i="84"/>
  <c r="BQ129" i="84"/>
  <c r="BP129" i="84"/>
  <c r="BO129" i="84"/>
  <c r="BN129" i="84"/>
  <c r="BM129" i="84"/>
  <c r="BH129" i="84"/>
  <c r="AP129" i="84"/>
  <c r="AO129" i="84"/>
  <c r="AM129" i="84"/>
  <c r="AL129" i="84"/>
  <c r="AD129" i="84"/>
  <c r="AC129" i="84"/>
  <c r="AB129" i="84"/>
  <c r="BY128" i="84"/>
  <c r="BX128" i="84"/>
  <c r="BW128" i="84"/>
  <c r="BV128" i="84"/>
  <c r="BU128" i="84"/>
  <c r="BT128" i="84"/>
  <c r="BS128" i="84"/>
  <c r="BR128" i="84"/>
  <c r="BQ128" i="84"/>
  <c r="BP128" i="84"/>
  <c r="BO128" i="84"/>
  <c r="BN128" i="84"/>
  <c r="BM128" i="84"/>
  <c r="BH128" i="84"/>
  <c r="AP128" i="84"/>
  <c r="AO128" i="84"/>
  <c r="AM128" i="84"/>
  <c r="AL128" i="84"/>
  <c r="AD128" i="84"/>
  <c r="AC128" i="84"/>
  <c r="AB128" i="84"/>
  <c r="BY127" i="84"/>
  <c r="BX127" i="84"/>
  <c r="BW127" i="84"/>
  <c r="BV127" i="84"/>
  <c r="BU127" i="84"/>
  <c r="BT127" i="84"/>
  <c r="BS127" i="84"/>
  <c r="BR127" i="84"/>
  <c r="BQ127" i="84"/>
  <c r="BP127" i="84"/>
  <c r="BO127" i="84"/>
  <c r="BN127" i="84"/>
  <c r="BM127" i="84"/>
  <c r="BH127" i="84"/>
  <c r="AP127" i="84"/>
  <c r="AO127" i="84"/>
  <c r="AM127" i="84"/>
  <c r="AL127" i="84"/>
  <c r="AD127" i="84"/>
  <c r="AC127" i="84"/>
  <c r="AB127" i="84"/>
  <c r="BY126" i="84"/>
  <c r="BX126" i="84"/>
  <c r="BW126" i="84"/>
  <c r="BV126" i="84"/>
  <c r="BU126" i="84"/>
  <c r="BT126" i="84"/>
  <c r="BS126" i="84"/>
  <c r="BR126" i="84"/>
  <c r="BQ126" i="84"/>
  <c r="BP126" i="84"/>
  <c r="BO126" i="84"/>
  <c r="BN126" i="84"/>
  <c r="BM126" i="84"/>
  <c r="BH126" i="84"/>
  <c r="AP126" i="84"/>
  <c r="AO126" i="84"/>
  <c r="AM126" i="84"/>
  <c r="AL126" i="84"/>
  <c r="AD126" i="84"/>
  <c r="AC126" i="84"/>
  <c r="AB126" i="84"/>
  <c r="BY125" i="84"/>
  <c r="BX125" i="84"/>
  <c r="BW125" i="84"/>
  <c r="BV125" i="84"/>
  <c r="BU125" i="84"/>
  <c r="BT125" i="84"/>
  <c r="BS125" i="84"/>
  <c r="BR125" i="84"/>
  <c r="BQ125" i="84"/>
  <c r="BP125" i="84"/>
  <c r="BO125" i="84"/>
  <c r="BN125" i="84"/>
  <c r="BM125" i="84"/>
  <c r="BH125" i="84"/>
  <c r="AP125" i="84"/>
  <c r="AO125" i="84"/>
  <c r="AM125" i="84"/>
  <c r="AL125" i="84"/>
  <c r="AD125" i="84"/>
  <c r="AC125" i="84"/>
  <c r="AB125" i="84"/>
  <c r="BY124" i="84"/>
  <c r="BX124" i="84"/>
  <c r="BW124" i="84"/>
  <c r="BV124" i="84"/>
  <c r="BU124" i="84"/>
  <c r="BT124" i="84"/>
  <c r="BS124" i="84"/>
  <c r="BR124" i="84"/>
  <c r="BQ124" i="84"/>
  <c r="BP124" i="84"/>
  <c r="BO124" i="84"/>
  <c r="BN124" i="84"/>
  <c r="BM124" i="84"/>
  <c r="BH124" i="84"/>
  <c r="AP124" i="84"/>
  <c r="AO124" i="84"/>
  <c r="AM124" i="84"/>
  <c r="AL124" i="84"/>
  <c r="AD124" i="84"/>
  <c r="AC124" i="84"/>
  <c r="AB124" i="84"/>
  <c r="BY123" i="84"/>
  <c r="BX123" i="84"/>
  <c r="BW123" i="84"/>
  <c r="BV123" i="84"/>
  <c r="BU123" i="84"/>
  <c r="BT123" i="84"/>
  <c r="BS123" i="84"/>
  <c r="BR123" i="84"/>
  <c r="BQ123" i="84"/>
  <c r="BP123" i="84"/>
  <c r="BO123" i="84"/>
  <c r="BN123" i="84"/>
  <c r="BM123" i="84"/>
  <c r="BH123" i="84"/>
  <c r="AP123" i="84"/>
  <c r="AO123" i="84"/>
  <c r="AM123" i="84"/>
  <c r="AL123" i="84"/>
  <c r="AD123" i="84"/>
  <c r="AC123" i="84"/>
  <c r="AB123" i="84"/>
  <c r="BY122" i="84"/>
  <c r="BX122" i="84"/>
  <c r="BW122" i="84"/>
  <c r="BV122" i="84"/>
  <c r="BU122" i="84"/>
  <c r="BT122" i="84"/>
  <c r="BS122" i="84"/>
  <c r="BR122" i="84"/>
  <c r="BQ122" i="84"/>
  <c r="BP122" i="84"/>
  <c r="BO122" i="84"/>
  <c r="BN122" i="84"/>
  <c r="BM122" i="84"/>
  <c r="BH122" i="84"/>
  <c r="AP122" i="84"/>
  <c r="AO122" i="84"/>
  <c r="AM122" i="84"/>
  <c r="AL122" i="84"/>
  <c r="AD122" i="84"/>
  <c r="AC122" i="84"/>
  <c r="AB122" i="84"/>
  <c r="BY121" i="84"/>
  <c r="BX121" i="84"/>
  <c r="BW121" i="84"/>
  <c r="BV121" i="84"/>
  <c r="BU121" i="84"/>
  <c r="BT121" i="84"/>
  <c r="BS121" i="84"/>
  <c r="BR121" i="84"/>
  <c r="BQ121" i="84"/>
  <c r="BP121" i="84"/>
  <c r="BO121" i="84"/>
  <c r="BN121" i="84"/>
  <c r="BM121" i="84"/>
  <c r="BH121" i="84"/>
  <c r="AP121" i="84"/>
  <c r="AO121" i="84"/>
  <c r="AM121" i="84"/>
  <c r="AL121" i="84"/>
  <c r="AD121" i="84"/>
  <c r="AC121" i="84"/>
  <c r="AB121" i="84"/>
  <c r="BY120" i="84"/>
  <c r="BX120" i="84"/>
  <c r="BW120" i="84"/>
  <c r="BV120" i="84"/>
  <c r="BU120" i="84"/>
  <c r="BT120" i="84"/>
  <c r="BS120" i="84"/>
  <c r="BR120" i="84"/>
  <c r="BQ120" i="84"/>
  <c r="BP120" i="84"/>
  <c r="BO120" i="84"/>
  <c r="BN120" i="84"/>
  <c r="BM120" i="84"/>
  <c r="BH120" i="84"/>
  <c r="AP120" i="84"/>
  <c r="AO120" i="84"/>
  <c r="AM120" i="84"/>
  <c r="AL120" i="84"/>
  <c r="AD120" i="84"/>
  <c r="AC120" i="84"/>
  <c r="AB120" i="84"/>
  <c r="BY119" i="84"/>
  <c r="BX119" i="84"/>
  <c r="BW119" i="84"/>
  <c r="BV119" i="84"/>
  <c r="BU119" i="84"/>
  <c r="BT119" i="84"/>
  <c r="BS119" i="84"/>
  <c r="BR119" i="84"/>
  <c r="BQ119" i="84"/>
  <c r="BP119" i="84"/>
  <c r="BO119" i="84"/>
  <c r="BN119" i="84"/>
  <c r="BM119" i="84"/>
  <c r="BH119" i="84"/>
  <c r="AP119" i="84"/>
  <c r="AO119" i="84"/>
  <c r="AM119" i="84"/>
  <c r="AL119" i="84"/>
  <c r="AD119" i="84"/>
  <c r="AC119" i="84"/>
  <c r="AB119" i="84"/>
  <c r="BY118" i="84"/>
  <c r="BX118" i="84"/>
  <c r="BW118" i="84"/>
  <c r="BV118" i="84"/>
  <c r="BU118" i="84"/>
  <c r="BT118" i="84"/>
  <c r="BS118" i="84"/>
  <c r="BR118" i="84"/>
  <c r="BQ118" i="84"/>
  <c r="BP118" i="84"/>
  <c r="BO118" i="84"/>
  <c r="BN118" i="84"/>
  <c r="BM118" i="84"/>
  <c r="BH118" i="84"/>
  <c r="AP118" i="84"/>
  <c r="AO118" i="84"/>
  <c r="AM118" i="84"/>
  <c r="AL118" i="84"/>
  <c r="AD118" i="84"/>
  <c r="AC118" i="84"/>
  <c r="AB118" i="84"/>
  <c r="BY117" i="84"/>
  <c r="BX117" i="84"/>
  <c r="BW117" i="84"/>
  <c r="BV117" i="84"/>
  <c r="BU117" i="84"/>
  <c r="BT117" i="84"/>
  <c r="BS117" i="84"/>
  <c r="BR117" i="84"/>
  <c r="BQ117" i="84"/>
  <c r="BP117" i="84"/>
  <c r="BO117" i="84"/>
  <c r="BN117" i="84"/>
  <c r="BM117" i="84"/>
  <c r="BH117" i="84"/>
  <c r="AP117" i="84"/>
  <c r="AO117" i="84"/>
  <c r="AM117" i="84"/>
  <c r="AL117" i="84"/>
  <c r="AD117" i="84"/>
  <c r="AC117" i="84"/>
  <c r="AB117" i="84"/>
  <c r="BY116" i="84"/>
  <c r="BX116" i="84"/>
  <c r="BW116" i="84"/>
  <c r="BV116" i="84"/>
  <c r="BU116" i="84"/>
  <c r="BT116" i="84"/>
  <c r="BS116" i="84"/>
  <c r="BR116" i="84"/>
  <c r="BQ116" i="84"/>
  <c r="BP116" i="84"/>
  <c r="BO116" i="84"/>
  <c r="BN116" i="84"/>
  <c r="BM116" i="84"/>
  <c r="BH116" i="84"/>
  <c r="AP116" i="84"/>
  <c r="AO116" i="84"/>
  <c r="AM116" i="84"/>
  <c r="AL116" i="84"/>
  <c r="AD116" i="84"/>
  <c r="AC116" i="84"/>
  <c r="AB116" i="84"/>
  <c r="BY115" i="84"/>
  <c r="BX115" i="84"/>
  <c r="BW115" i="84"/>
  <c r="BV115" i="84"/>
  <c r="BU115" i="84"/>
  <c r="BT115" i="84"/>
  <c r="BS115" i="84"/>
  <c r="BR115" i="84"/>
  <c r="BQ115" i="84"/>
  <c r="BP115" i="84"/>
  <c r="BO115" i="84"/>
  <c r="BN115" i="84"/>
  <c r="BM115" i="84"/>
  <c r="BH115" i="84"/>
  <c r="AP115" i="84"/>
  <c r="AO115" i="84"/>
  <c r="AM115" i="84"/>
  <c r="AL115" i="84"/>
  <c r="AD115" i="84"/>
  <c r="AC115" i="84"/>
  <c r="AB115" i="84"/>
  <c r="BY114" i="84"/>
  <c r="BX114" i="84"/>
  <c r="BW114" i="84"/>
  <c r="BV114" i="84"/>
  <c r="BU114" i="84"/>
  <c r="BT114" i="84"/>
  <c r="BS114" i="84"/>
  <c r="BR114" i="84"/>
  <c r="BQ114" i="84"/>
  <c r="BP114" i="84"/>
  <c r="BO114" i="84"/>
  <c r="BN114" i="84"/>
  <c r="BM114" i="84"/>
  <c r="BH114" i="84"/>
  <c r="AP114" i="84"/>
  <c r="AO114" i="84"/>
  <c r="AM114" i="84"/>
  <c r="AL114" i="84"/>
  <c r="AD114" i="84"/>
  <c r="AC114" i="84"/>
  <c r="AB114" i="84"/>
  <c r="BY113" i="84"/>
  <c r="BX113" i="84"/>
  <c r="BW113" i="84"/>
  <c r="BV113" i="84"/>
  <c r="BU113" i="84"/>
  <c r="BT113" i="84"/>
  <c r="BS113" i="84"/>
  <c r="BR113" i="84"/>
  <c r="BQ113" i="84"/>
  <c r="BP113" i="84"/>
  <c r="BO113" i="84"/>
  <c r="BN113" i="84"/>
  <c r="BM113" i="84"/>
  <c r="BH113" i="84"/>
  <c r="AP113" i="84"/>
  <c r="AO113" i="84"/>
  <c r="AM113" i="84"/>
  <c r="AL113" i="84"/>
  <c r="AD113" i="84"/>
  <c r="AC113" i="84"/>
  <c r="AB113" i="84"/>
  <c r="BY112" i="84"/>
  <c r="BX112" i="84"/>
  <c r="BW112" i="84"/>
  <c r="BV112" i="84"/>
  <c r="BU112" i="84"/>
  <c r="BT112" i="84"/>
  <c r="BS112" i="84"/>
  <c r="BR112" i="84"/>
  <c r="BQ112" i="84"/>
  <c r="BP112" i="84"/>
  <c r="BO112" i="84"/>
  <c r="BN112" i="84"/>
  <c r="BM112" i="84"/>
  <c r="BH112" i="84"/>
  <c r="AP112" i="84"/>
  <c r="AO112" i="84"/>
  <c r="AM112" i="84"/>
  <c r="AL112" i="84"/>
  <c r="AD112" i="84"/>
  <c r="AC112" i="84"/>
  <c r="AB112" i="84"/>
  <c r="BY111" i="84"/>
  <c r="BX111" i="84"/>
  <c r="BW111" i="84"/>
  <c r="BV111" i="84"/>
  <c r="BU111" i="84"/>
  <c r="BT111" i="84"/>
  <c r="BS111" i="84"/>
  <c r="BR111" i="84"/>
  <c r="BQ111" i="84"/>
  <c r="BP111" i="84"/>
  <c r="BO111" i="84"/>
  <c r="BN111" i="84"/>
  <c r="BM111" i="84"/>
  <c r="BH111" i="84"/>
  <c r="AP111" i="84"/>
  <c r="AO111" i="84"/>
  <c r="AM111" i="84"/>
  <c r="AL111" i="84"/>
  <c r="AD111" i="84"/>
  <c r="AC111" i="84"/>
  <c r="AB111" i="84"/>
  <c r="BY110" i="84"/>
  <c r="BX110" i="84"/>
  <c r="BW110" i="84"/>
  <c r="BV110" i="84"/>
  <c r="BU110" i="84"/>
  <c r="BT110" i="84"/>
  <c r="BS110" i="84"/>
  <c r="BR110" i="84"/>
  <c r="BQ110" i="84"/>
  <c r="BP110" i="84"/>
  <c r="BO110" i="84"/>
  <c r="BN110" i="84"/>
  <c r="BM110" i="84"/>
  <c r="BH110" i="84"/>
  <c r="AP110" i="84"/>
  <c r="AO110" i="84"/>
  <c r="AM110" i="84"/>
  <c r="AL110" i="84"/>
  <c r="AD110" i="84"/>
  <c r="AC110" i="84"/>
  <c r="AB110" i="84"/>
  <c r="BY109" i="84"/>
  <c r="BX109" i="84"/>
  <c r="BW109" i="84"/>
  <c r="BV109" i="84"/>
  <c r="BU109" i="84"/>
  <c r="BT109" i="84"/>
  <c r="BS109" i="84"/>
  <c r="BR109" i="84"/>
  <c r="BQ109" i="84"/>
  <c r="BP109" i="84"/>
  <c r="BO109" i="84"/>
  <c r="BN109" i="84"/>
  <c r="BM109" i="84"/>
  <c r="BH109" i="84"/>
  <c r="AP109" i="84"/>
  <c r="AO109" i="84"/>
  <c r="AM109" i="84"/>
  <c r="AL109" i="84"/>
  <c r="AD109" i="84"/>
  <c r="AC109" i="84"/>
  <c r="AB109" i="84"/>
  <c r="BY108" i="84"/>
  <c r="BX108" i="84"/>
  <c r="BW108" i="84"/>
  <c r="BV108" i="84"/>
  <c r="BU108" i="84"/>
  <c r="BT108" i="84"/>
  <c r="BS108" i="84"/>
  <c r="BR108" i="84"/>
  <c r="BQ108" i="84"/>
  <c r="BP108" i="84"/>
  <c r="BO108" i="84"/>
  <c r="BN108" i="84"/>
  <c r="BM108" i="84"/>
  <c r="BH108" i="84"/>
  <c r="AP108" i="84"/>
  <c r="AO108" i="84"/>
  <c r="AM108" i="84"/>
  <c r="AL108" i="84"/>
  <c r="AD108" i="84"/>
  <c r="AC108" i="84"/>
  <c r="AB108" i="84"/>
  <c r="BY107" i="84"/>
  <c r="BX107" i="84"/>
  <c r="BW107" i="84"/>
  <c r="BV107" i="84"/>
  <c r="BU107" i="84"/>
  <c r="BT107" i="84"/>
  <c r="BS107" i="84"/>
  <c r="BR107" i="84"/>
  <c r="BQ107" i="84"/>
  <c r="BP107" i="84"/>
  <c r="BO107" i="84"/>
  <c r="BN107" i="84"/>
  <c r="BM107" i="84"/>
  <c r="BH107" i="84"/>
  <c r="AP107" i="84"/>
  <c r="AO107" i="84"/>
  <c r="AM107" i="84"/>
  <c r="AL107" i="84"/>
  <c r="AD107" i="84"/>
  <c r="AC107" i="84"/>
  <c r="AB107" i="84"/>
  <c r="BY106" i="84"/>
  <c r="BX106" i="84"/>
  <c r="BW106" i="84"/>
  <c r="BV106" i="84"/>
  <c r="BU106" i="84"/>
  <c r="BT106" i="84"/>
  <c r="BS106" i="84"/>
  <c r="BR106" i="84"/>
  <c r="BQ106" i="84"/>
  <c r="BP106" i="84"/>
  <c r="BO106" i="84"/>
  <c r="BN106" i="84"/>
  <c r="BM106" i="84"/>
  <c r="BH106" i="84"/>
  <c r="AP106" i="84"/>
  <c r="AO106" i="84"/>
  <c r="AM106" i="84"/>
  <c r="AL106" i="84"/>
  <c r="AD106" i="84"/>
  <c r="AC106" i="84"/>
  <c r="AB106" i="84"/>
  <c r="BY105" i="84"/>
  <c r="BX105" i="84"/>
  <c r="BW105" i="84"/>
  <c r="BV105" i="84"/>
  <c r="BU105" i="84"/>
  <c r="BT105" i="84"/>
  <c r="BS105" i="84"/>
  <c r="BR105" i="84"/>
  <c r="BQ105" i="84"/>
  <c r="BP105" i="84"/>
  <c r="BO105" i="84"/>
  <c r="BN105" i="84"/>
  <c r="BM105" i="84"/>
  <c r="BH105" i="84"/>
  <c r="AP105" i="84"/>
  <c r="AO105" i="84"/>
  <c r="AM105" i="84"/>
  <c r="AL105" i="84"/>
  <c r="AD105" i="84"/>
  <c r="AC105" i="84"/>
  <c r="AB105" i="84"/>
  <c r="BY104" i="84"/>
  <c r="BX104" i="84"/>
  <c r="BW104" i="84"/>
  <c r="BV104" i="84"/>
  <c r="BU104" i="84"/>
  <c r="BT104" i="84"/>
  <c r="BS104" i="84"/>
  <c r="BR104" i="84"/>
  <c r="BQ104" i="84"/>
  <c r="BP104" i="84"/>
  <c r="BO104" i="84"/>
  <c r="BN104" i="84"/>
  <c r="BM104" i="84"/>
  <c r="BH104" i="84"/>
  <c r="AP104" i="84"/>
  <c r="AO104" i="84"/>
  <c r="AM104" i="84"/>
  <c r="AL104" i="84"/>
  <c r="AD104" i="84"/>
  <c r="AC104" i="84"/>
  <c r="AB104" i="84"/>
  <c r="BY103" i="84"/>
  <c r="BX103" i="84"/>
  <c r="BW103" i="84"/>
  <c r="BV103" i="84"/>
  <c r="BU103" i="84"/>
  <c r="BT103" i="84"/>
  <c r="BS103" i="84"/>
  <c r="BR103" i="84"/>
  <c r="BQ103" i="84"/>
  <c r="BP103" i="84"/>
  <c r="BO103" i="84"/>
  <c r="BN103" i="84"/>
  <c r="BM103" i="84"/>
  <c r="BH103" i="84"/>
  <c r="AP103" i="84"/>
  <c r="AO103" i="84"/>
  <c r="AM103" i="84"/>
  <c r="AL103" i="84"/>
  <c r="AD103" i="84"/>
  <c r="AC103" i="84"/>
  <c r="AB103" i="84"/>
  <c r="BY102" i="84"/>
  <c r="BX102" i="84"/>
  <c r="BW102" i="84"/>
  <c r="BV102" i="84"/>
  <c r="BU102" i="84"/>
  <c r="BT102" i="84"/>
  <c r="BS102" i="84"/>
  <c r="BR102" i="84"/>
  <c r="BQ102" i="84"/>
  <c r="BP102" i="84"/>
  <c r="BO102" i="84"/>
  <c r="BN102" i="84"/>
  <c r="BM102" i="84"/>
  <c r="BH102" i="84"/>
  <c r="AP102" i="84"/>
  <c r="AO102" i="84"/>
  <c r="AM102" i="84"/>
  <c r="AL102" i="84"/>
  <c r="AD102" i="84"/>
  <c r="AC102" i="84"/>
  <c r="AB102" i="84"/>
  <c r="BY101" i="84"/>
  <c r="BX101" i="84"/>
  <c r="BW101" i="84"/>
  <c r="BV101" i="84"/>
  <c r="BU101" i="84"/>
  <c r="BT101" i="84"/>
  <c r="BS101" i="84"/>
  <c r="BR101" i="84"/>
  <c r="BQ101" i="84"/>
  <c r="BP101" i="84"/>
  <c r="BO101" i="84"/>
  <c r="BN101" i="84"/>
  <c r="BM101" i="84"/>
  <c r="BH101" i="84"/>
  <c r="AP101" i="84"/>
  <c r="AO101" i="84"/>
  <c r="AM101" i="84"/>
  <c r="AL101" i="84"/>
  <c r="AD101" i="84"/>
  <c r="AC101" i="84"/>
  <c r="AB101" i="84"/>
  <c r="BY100" i="84"/>
  <c r="BX100" i="84"/>
  <c r="BW100" i="84"/>
  <c r="BV100" i="84"/>
  <c r="BU100" i="84"/>
  <c r="BT100" i="84"/>
  <c r="BS100" i="84"/>
  <c r="BR100" i="84"/>
  <c r="BQ100" i="84"/>
  <c r="BP100" i="84"/>
  <c r="BO100" i="84"/>
  <c r="BN100" i="84"/>
  <c r="BM100" i="84"/>
  <c r="BH100" i="84"/>
  <c r="AP100" i="84"/>
  <c r="AO100" i="84"/>
  <c r="AM100" i="84"/>
  <c r="AL100" i="84"/>
  <c r="AD100" i="84"/>
  <c r="AC100" i="84"/>
  <c r="AB100" i="84"/>
  <c r="BY99" i="84"/>
  <c r="BX99" i="84"/>
  <c r="BW99" i="84"/>
  <c r="BV99" i="84"/>
  <c r="BU99" i="84"/>
  <c r="BT99" i="84"/>
  <c r="BS99" i="84"/>
  <c r="BR99" i="84"/>
  <c r="BQ99" i="84"/>
  <c r="BP99" i="84"/>
  <c r="BO99" i="84"/>
  <c r="BN99" i="84"/>
  <c r="BM99" i="84"/>
  <c r="BH99" i="84"/>
  <c r="AP99" i="84"/>
  <c r="AO99" i="84"/>
  <c r="AM99" i="84"/>
  <c r="AL99" i="84"/>
  <c r="AD99" i="84"/>
  <c r="AC99" i="84"/>
  <c r="AB99" i="84"/>
  <c r="BY98" i="84"/>
  <c r="BX98" i="84"/>
  <c r="BW98" i="84"/>
  <c r="BV98" i="84"/>
  <c r="BU98" i="84"/>
  <c r="BT98" i="84"/>
  <c r="BS98" i="84"/>
  <c r="BR98" i="84"/>
  <c r="BQ98" i="84"/>
  <c r="BP98" i="84"/>
  <c r="BO98" i="84"/>
  <c r="BN98" i="84"/>
  <c r="BM98" i="84"/>
  <c r="BH98" i="84"/>
  <c r="AP98" i="84"/>
  <c r="AO98" i="84"/>
  <c r="AM98" i="84"/>
  <c r="AL98" i="84"/>
  <c r="AD98" i="84"/>
  <c r="AC98" i="84"/>
  <c r="AB98" i="84"/>
  <c r="BY97" i="84"/>
  <c r="BX97" i="84"/>
  <c r="BW97" i="84"/>
  <c r="BV97" i="84"/>
  <c r="BU97" i="84"/>
  <c r="BT97" i="84"/>
  <c r="BS97" i="84"/>
  <c r="BR97" i="84"/>
  <c r="BQ97" i="84"/>
  <c r="BP97" i="84"/>
  <c r="BO97" i="84"/>
  <c r="BN97" i="84"/>
  <c r="BM97" i="84"/>
  <c r="BH97" i="84"/>
  <c r="AP97" i="84"/>
  <c r="AO97" i="84"/>
  <c r="AM97" i="84"/>
  <c r="AL97" i="84"/>
  <c r="AD97" i="84"/>
  <c r="AC97" i="84"/>
  <c r="AB97" i="84"/>
  <c r="BY96" i="84"/>
  <c r="BX96" i="84"/>
  <c r="BW96" i="84"/>
  <c r="BV96" i="84"/>
  <c r="BU96" i="84"/>
  <c r="BT96" i="84"/>
  <c r="BS96" i="84"/>
  <c r="BR96" i="84"/>
  <c r="BQ96" i="84"/>
  <c r="BP96" i="84"/>
  <c r="BO96" i="84"/>
  <c r="BN96" i="84"/>
  <c r="BM96" i="84"/>
  <c r="BH96" i="84"/>
  <c r="AP96" i="84"/>
  <c r="AO96" i="84"/>
  <c r="AM96" i="84"/>
  <c r="AL96" i="84"/>
  <c r="AD96" i="84"/>
  <c r="AC96" i="84"/>
  <c r="AB96" i="84"/>
  <c r="BY95" i="84"/>
  <c r="BX95" i="84"/>
  <c r="BW95" i="84"/>
  <c r="BV95" i="84"/>
  <c r="BU95" i="84"/>
  <c r="BT95" i="84"/>
  <c r="BS95" i="84"/>
  <c r="BR95" i="84"/>
  <c r="BQ95" i="84"/>
  <c r="BP95" i="84"/>
  <c r="BO95" i="84"/>
  <c r="BN95" i="84"/>
  <c r="BM95" i="84"/>
  <c r="BH95" i="84"/>
  <c r="AP95" i="84"/>
  <c r="AO95" i="84"/>
  <c r="AM95" i="84"/>
  <c r="AL95" i="84"/>
  <c r="AD95" i="84"/>
  <c r="AC95" i="84"/>
  <c r="AB95" i="84"/>
  <c r="BY94" i="84"/>
  <c r="BX94" i="84"/>
  <c r="BW94" i="84"/>
  <c r="BV94" i="84"/>
  <c r="BU94" i="84"/>
  <c r="BT94" i="84"/>
  <c r="BS94" i="84"/>
  <c r="BR94" i="84"/>
  <c r="BQ94" i="84"/>
  <c r="BP94" i="84"/>
  <c r="BO94" i="84"/>
  <c r="BN94" i="84"/>
  <c r="BM94" i="84"/>
  <c r="BH94" i="84"/>
  <c r="AP94" i="84"/>
  <c r="AO94" i="84"/>
  <c r="AM94" i="84"/>
  <c r="AL94" i="84"/>
  <c r="AD94" i="84"/>
  <c r="AC94" i="84"/>
  <c r="AB94" i="84"/>
  <c r="BY93" i="84"/>
  <c r="BX93" i="84"/>
  <c r="BW93" i="84"/>
  <c r="BV93" i="84"/>
  <c r="BU93" i="84"/>
  <c r="BT93" i="84"/>
  <c r="BS93" i="84"/>
  <c r="BR93" i="84"/>
  <c r="BQ93" i="84"/>
  <c r="BP93" i="84"/>
  <c r="BO93" i="84"/>
  <c r="BN93" i="84"/>
  <c r="BM93" i="84"/>
  <c r="BH93" i="84"/>
  <c r="AP93" i="84"/>
  <c r="AO93" i="84"/>
  <c r="AM93" i="84"/>
  <c r="AL93" i="84"/>
  <c r="AD93" i="84"/>
  <c r="AC93" i="84"/>
  <c r="AB93" i="84"/>
  <c r="BY92" i="84"/>
  <c r="BX92" i="84"/>
  <c r="BW92" i="84"/>
  <c r="BV92" i="84"/>
  <c r="BU92" i="84"/>
  <c r="BT92" i="84"/>
  <c r="BS92" i="84"/>
  <c r="BR92" i="84"/>
  <c r="BQ92" i="84"/>
  <c r="BP92" i="84"/>
  <c r="BO92" i="84"/>
  <c r="BN92" i="84"/>
  <c r="BM92" i="84"/>
  <c r="BH92" i="84"/>
  <c r="AP92" i="84"/>
  <c r="AO92" i="84"/>
  <c r="AM92" i="84"/>
  <c r="AL92" i="84"/>
  <c r="AD92" i="84"/>
  <c r="AC92" i="84"/>
  <c r="AB92" i="84"/>
  <c r="BY91" i="84"/>
  <c r="BX91" i="84"/>
  <c r="BW91" i="84"/>
  <c r="BV91" i="84"/>
  <c r="BU91" i="84"/>
  <c r="BT91" i="84"/>
  <c r="BS91" i="84"/>
  <c r="BR91" i="84"/>
  <c r="BQ91" i="84"/>
  <c r="BP91" i="84"/>
  <c r="BO91" i="84"/>
  <c r="BN91" i="84"/>
  <c r="BM91" i="84"/>
  <c r="BH91" i="84"/>
  <c r="AP91" i="84"/>
  <c r="AO91" i="84"/>
  <c r="AM91" i="84"/>
  <c r="AL91" i="84"/>
  <c r="AD91" i="84"/>
  <c r="AC91" i="84"/>
  <c r="AB91" i="84"/>
  <c r="BY90" i="84"/>
  <c r="BX90" i="84"/>
  <c r="BW90" i="84"/>
  <c r="BV90" i="84"/>
  <c r="BU90" i="84"/>
  <c r="BT90" i="84"/>
  <c r="BS90" i="84"/>
  <c r="BR90" i="84"/>
  <c r="BQ90" i="84"/>
  <c r="BP90" i="84"/>
  <c r="BO90" i="84"/>
  <c r="BN90" i="84"/>
  <c r="BM90" i="84"/>
  <c r="BH90" i="84"/>
  <c r="AP90" i="84"/>
  <c r="AO90" i="84"/>
  <c r="AM90" i="84"/>
  <c r="AL90" i="84"/>
  <c r="AD90" i="84"/>
  <c r="AC90" i="84"/>
  <c r="AB90" i="84"/>
  <c r="BY89" i="84"/>
  <c r="BX89" i="84"/>
  <c r="BW89" i="84"/>
  <c r="BV89" i="84"/>
  <c r="BU89" i="84"/>
  <c r="BT89" i="84"/>
  <c r="BS89" i="84"/>
  <c r="BR89" i="84"/>
  <c r="BQ89" i="84"/>
  <c r="BP89" i="84"/>
  <c r="BO89" i="84"/>
  <c r="BN89" i="84"/>
  <c r="BM89" i="84"/>
  <c r="BH89" i="84"/>
  <c r="AP89" i="84"/>
  <c r="AO89" i="84"/>
  <c r="AM89" i="84"/>
  <c r="AL89" i="84"/>
  <c r="AD89" i="84"/>
  <c r="AC89" i="84"/>
  <c r="AB89" i="84"/>
  <c r="BY88" i="84"/>
  <c r="BX88" i="84"/>
  <c r="BW88" i="84"/>
  <c r="BV88" i="84"/>
  <c r="BU88" i="84"/>
  <c r="BT88" i="84"/>
  <c r="BS88" i="84"/>
  <c r="BR88" i="84"/>
  <c r="BQ88" i="84"/>
  <c r="BP88" i="84"/>
  <c r="BO88" i="84"/>
  <c r="BN88" i="84"/>
  <c r="BM88" i="84"/>
  <c r="BH88" i="84"/>
  <c r="AP88" i="84"/>
  <c r="AO88" i="84"/>
  <c r="AM88" i="84"/>
  <c r="AL88" i="84"/>
  <c r="AD88" i="84"/>
  <c r="AC88" i="84"/>
  <c r="AB88" i="84"/>
  <c r="BY87" i="84"/>
  <c r="BX87" i="84"/>
  <c r="BW87" i="84"/>
  <c r="BV87" i="84"/>
  <c r="BU87" i="84"/>
  <c r="BT87" i="84"/>
  <c r="BS87" i="84"/>
  <c r="BR87" i="84"/>
  <c r="BQ87" i="84"/>
  <c r="BP87" i="84"/>
  <c r="BO87" i="84"/>
  <c r="BN87" i="84"/>
  <c r="BM87" i="84"/>
  <c r="BH87" i="84"/>
  <c r="J137" i="30" s="1"/>
  <c r="AP87" i="84"/>
  <c r="AO87" i="84"/>
  <c r="AM87" i="84"/>
  <c r="AL87" i="84"/>
  <c r="AD87" i="84"/>
  <c r="AC87" i="84"/>
  <c r="AB87" i="84"/>
  <c r="BY86" i="84"/>
  <c r="BX86" i="84"/>
  <c r="BW86" i="84"/>
  <c r="BV86" i="84"/>
  <c r="BU86" i="84"/>
  <c r="BT86" i="84"/>
  <c r="BS86" i="84"/>
  <c r="BR86" i="84"/>
  <c r="BQ86" i="84"/>
  <c r="BP86" i="84"/>
  <c r="BO86" i="84"/>
  <c r="BN86" i="84"/>
  <c r="BM86" i="84"/>
  <c r="BH86" i="84"/>
  <c r="AP86" i="84"/>
  <c r="AO86" i="84"/>
  <c r="AM86" i="84"/>
  <c r="AL86" i="84"/>
  <c r="AD86" i="84"/>
  <c r="AC86" i="84"/>
  <c r="AB86" i="84"/>
  <c r="BY85" i="84"/>
  <c r="BX85" i="84"/>
  <c r="BW85" i="84"/>
  <c r="BV85" i="84"/>
  <c r="BU85" i="84"/>
  <c r="BT85" i="84"/>
  <c r="BS85" i="84"/>
  <c r="BR85" i="84"/>
  <c r="BQ85" i="84"/>
  <c r="BP85" i="84"/>
  <c r="BO85" i="84"/>
  <c r="BN85" i="84"/>
  <c r="BM85" i="84"/>
  <c r="BH85" i="84"/>
  <c r="AP85" i="84"/>
  <c r="AO85" i="84"/>
  <c r="AM85" i="84"/>
  <c r="AL85" i="84"/>
  <c r="AD85" i="84"/>
  <c r="AC85" i="84"/>
  <c r="AB85" i="84"/>
  <c r="BY84" i="84"/>
  <c r="BX84" i="84"/>
  <c r="BW84" i="84"/>
  <c r="BV84" i="84"/>
  <c r="BU84" i="84"/>
  <c r="BT84" i="84"/>
  <c r="BS84" i="84"/>
  <c r="BR84" i="84"/>
  <c r="BQ84" i="84"/>
  <c r="BP84" i="84"/>
  <c r="BO84" i="84"/>
  <c r="BN84" i="84"/>
  <c r="BM84" i="84"/>
  <c r="BH84" i="84"/>
  <c r="AP84" i="84"/>
  <c r="AO84" i="84"/>
  <c r="AM84" i="84"/>
  <c r="AL84" i="84"/>
  <c r="AD84" i="84"/>
  <c r="AC84" i="84"/>
  <c r="AB84" i="84"/>
  <c r="BY83" i="84"/>
  <c r="BX83" i="84"/>
  <c r="BW83" i="84"/>
  <c r="BV83" i="84"/>
  <c r="BU83" i="84"/>
  <c r="BT83" i="84"/>
  <c r="BS83" i="84"/>
  <c r="BR83" i="84"/>
  <c r="BQ83" i="84"/>
  <c r="BP83" i="84"/>
  <c r="BO83" i="84"/>
  <c r="BN83" i="84"/>
  <c r="BM83" i="84"/>
  <c r="BH83" i="84"/>
  <c r="AP83" i="84"/>
  <c r="AO83" i="84"/>
  <c r="AM83" i="84"/>
  <c r="AL83" i="84"/>
  <c r="AD83" i="84"/>
  <c r="AC83" i="84"/>
  <c r="AB83" i="84"/>
  <c r="BY82" i="84"/>
  <c r="BX82" i="84"/>
  <c r="BW82" i="84"/>
  <c r="BV82" i="84"/>
  <c r="BU82" i="84"/>
  <c r="BT82" i="84"/>
  <c r="BS82" i="84"/>
  <c r="BR82" i="84"/>
  <c r="BQ82" i="84"/>
  <c r="BP82" i="84"/>
  <c r="BO82" i="84"/>
  <c r="BN82" i="84"/>
  <c r="BM82" i="84"/>
  <c r="BH82" i="84"/>
  <c r="AP82" i="84"/>
  <c r="AO82" i="84"/>
  <c r="AM82" i="84"/>
  <c r="AL82" i="84"/>
  <c r="AD82" i="84"/>
  <c r="AC82" i="84"/>
  <c r="AB82" i="84"/>
  <c r="BY81" i="84"/>
  <c r="BX81" i="84"/>
  <c r="BW81" i="84"/>
  <c r="BV81" i="84"/>
  <c r="BU81" i="84"/>
  <c r="BT81" i="84"/>
  <c r="BS81" i="84"/>
  <c r="BR81" i="84"/>
  <c r="BQ81" i="84"/>
  <c r="BP81" i="84"/>
  <c r="BO81" i="84"/>
  <c r="BN81" i="84"/>
  <c r="BM81" i="84"/>
  <c r="BH81" i="84"/>
  <c r="AP81" i="84"/>
  <c r="AO81" i="84"/>
  <c r="AM81" i="84"/>
  <c r="AL81" i="84"/>
  <c r="AD81" i="84"/>
  <c r="AC81" i="84"/>
  <c r="AB81" i="84"/>
  <c r="BY80" i="84"/>
  <c r="BX80" i="84"/>
  <c r="BW80" i="84"/>
  <c r="BV80" i="84"/>
  <c r="BU80" i="84"/>
  <c r="BT80" i="84"/>
  <c r="BS80" i="84"/>
  <c r="BR80" i="84"/>
  <c r="BQ80" i="84"/>
  <c r="BP80" i="84"/>
  <c r="BO80" i="84"/>
  <c r="BN80" i="84"/>
  <c r="BM80" i="84"/>
  <c r="BH80" i="84"/>
  <c r="AP80" i="84"/>
  <c r="AO80" i="84"/>
  <c r="AM80" i="84"/>
  <c r="AL80" i="84"/>
  <c r="AD80" i="84"/>
  <c r="AC80" i="84"/>
  <c r="AB80" i="84"/>
  <c r="BY79" i="84"/>
  <c r="BX79" i="84"/>
  <c r="BW79" i="84"/>
  <c r="BV79" i="84"/>
  <c r="BU79" i="84"/>
  <c r="BT79" i="84"/>
  <c r="BS79" i="84"/>
  <c r="BR79" i="84"/>
  <c r="BQ79" i="84"/>
  <c r="BP79" i="84"/>
  <c r="BO79" i="84"/>
  <c r="BN79" i="84"/>
  <c r="BM79" i="84"/>
  <c r="BH79" i="84"/>
  <c r="AP79" i="84"/>
  <c r="AO79" i="84"/>
  <c r="AM79" i="84"/>
  <c r="AL79" i="84"/>
  <c r="AD79" i="84"/>
  <c r="AC79" i="84"/>
  <c r="AB79" i="84"/>
  <c r="BY78" i="84"/>
  <c r="BX78" i="84"/>
  <c r="BW78" i="84"/>
  <c r="BV78" i="84"/>
  <c r="BU78" i="84"/>
  <c r="BT78" i="84"/>
  <c r="BS78" i="84"/>
  <c r="BR78" i="84"/>
  <c r="BQ78" i="84"/>
  <c r="BP78" i="84"/>
  <c r="BO78" i="84"/>
  <c r="BN78" i="84"/>
  <c r="BM78" i="84"/>
  <c r="BH78" i="84"/>
  <c r="AP78" i="84"/>
  <c r="AO78" i="84"/>
  <c r="AM78" i="84"/>
  <c r="AL78" i="84"/>
  <c r="AD78" i="84"/>
  <c r="AC78" i="84"/>
  <c r="AB78" i="84"/>
  <c r="BY77" i="84"/>
  <c r="BX77" i="84"/>
  <c r="BW77" i="84"/>
  <c r="BV77" i="84"/>
  <c r="BU77" i="84"/>
  <c r="BT77" i="84"/>
  <c r="BS77" i="84"/>
  <c r="BR77" i="84"/>
  <c r="BQ77" i="84"/>
  <c r="BP77" i="84"/>
  <c r="BO77" i="84"/>
  <c r="BN77" i="84"/>
  <c r="BM77" i="84"/>
  <c r="BH77" i="84"/>
  <c r="AP77" i="84"/>
  <c r="AO77" i="84"/>
  <c r="AM77" i="84"/>
  <c r="AL77" i="84"/>
  <c r="AD77" i="84"/>
  <c r="AC77" i="84"/>
  <c r="AB77" i="84"/>
  <c r="BY76" i="84"/>
  <c r="BX76" i="84"/>
  <c r="BW76" i="84"/>
  <c r="BV76" i="84"/>
  <c r="BU76" i="84"/>
  <c r="BT76" i="84"/>
  <c r="BS76" i="84"/>
  <c r="BR76" i="84"/>
  <c r="BQ76" i="84"/>
  <c r="BP76" i="84"/>
  <c r="BO76" i="84"/>
  <c r="BN76" i="84"/>
  <c r="BM76" i="84"/>
  <c r="BH76" i="84"/>
  <c r="AP76" i="84"/>
  <c r="AO76" i="84"/>
  <c r="AM76" i="84"/>
  <c r="AL76" i="84"/>
  <c r="AD76" i="84"/>
  <c r="AC76" i="84"/>
  <c r="AB76" i="84"/>
  <c r="BY75" i="84"/>
  <c r="BX75" i="84"/>
  <c r="BW75" i="84"/>
  <c r="BV75" i="84"/>
  <c r="BU75" i="84"/>
  <c r="BT75" i="84"/>
  <c r="BS75" i="84"/>
  <c r="BR75" i="84"/>
  <c r="BQ75" i="84"/>
  <c r="BP75" i="84"/>
  <c r="BO75" i="84"/>
  <c r="BN75" i="84"/>
  <c r="BM75" i="84"/>
  <c r="BH75" i="84"/>
  <c r="AP75" i="84"/>
  <c r="AO75" i="84"/>
  <c r="AM75" i="84"/>
  <c r="AL75" i="84"/>
  <c r="AD75" i="84"/>
  <c r="AC75" i="84"/>
  <c r="AB75" i="84"/>
  <c r="BY74" i="84"/>
  <c r="BX74" i="84"/>
  <c r="BW74" i="84"/>
  <c r="BV74" i="84"/>
  <c r="BU74" i="84"/>
  <c r="BT74" i="84"/>
  <c r="BS74" i="84"/>
  <c r="BR74" i="84"/>
  <c r="BQ74" i="84"/>
  <c r="BP74" i="84"/>
  <c r="BO74" i="84"/>
  <c r="BN74" i="84"/>
  <c r="BM74" i="84"/>
  <c r="BH74" i="84"/>
  <c r="AP74" i="84"/>
  <c r="AO74" i="84"/>
  <c r="AM74" i="84"/>
  <c r="AL74" i="84"/>
  <c r="AD74" i="84"/>
  <c r="AC74" i="84"/>
  <c r="AB74" i="84"/>
  <c r="BY73" i="84"/>
  <c r="BX73" i="84"/>
  <c r="BW73" i="84"/>
  <c r="BV73" i="84"/>
  <c r="BU73" i="84"/>
  <c r="BT73" i="84"/>
  <c r="BS73" i="84"/>
  <c r="BR73" i="84"/>
  <c r="BQ73" i="84"/>
  <c r="BP73" i="84"/>
  <c r="BO73" i="84"/>
  <c r="BN73" i="84"/>
  <c r="BM73" i="84"/>
  <c r="BH73" i="84"/>
  <c r="AP73" i="84"/>
  <c r="AO73" i="84"/>
  <c r="AM73" i="84"/>
  <c r="AL73" i="84"/>
  <c r="AD73" i="84"/>
  <c r="AC73" i="84"/>
  <c r="AB73" i="84"/>
  <c r="BY72" i="84"/>
  <c r="BX72" i="84"/>
  <c r="BW72" i="84"/>
  <c r="BV72" i="84"/>
  <c r="BU72" i="84"/>
  <c r="BT72" i="84"/>
  <c r="BS72" i="84"/>
  <c r="BR72" i="84"/>
  <c r="BQ72" i="84"/>
  <c r="BP72" i="84"/>
  <c r="BO72" i="84"/>
  <c r="BN72" i="84"/>
  <c r="BM72" i="84"/>
  <c r="BH72" i="84"/>
  <c r="AP72" i="84"/>
  <c r="AO72" i="84"/>
  <c r="AM72" i="84"/>
  <c r="AL72" i="84"/>
  <c r="AD72" i="84"/>
  <c r="AC72" i="84"/>
  <c r="AB72" i="84"/>
  <c r="BY71" i="84"/>
  <c r="BX71" i="84"/>
  <c r="BW71" i="84"/>
  <c r="BV71" i="84"/>
  <c r="BU71" i="84"/>
  <c r="BT71" i="84"/>
  <c r="BS71" i="84"/>
  <c r="BR71" i="84"/>
  <c r="BQ71" i="84"/>
  <c r="BP71" i="84"/>
  <c r="BO71" i="84"/>
  <c r="BN71" i="84"/>
  <c r="BM71" i="84"/>
  <c r="BH71" i="84"/>
  <c r="AP71" i="84"/>
  <c r="AO71" i="84"/>
  <c r="AM71" i="84"/>
  <c r="AL71" i="84"/>
  <c r="AD71" i="84"/>
  <c r="AC71" i="84"/>
  <c r="AB71" i="84"/>
  <c r="BY70" i="84"/>
  <c r="BX70" i="84"/>
  <c r="BW70" i="84"/>
  <c r="BV70" i="84"/>
  <c r="BU70" i="84"/>
  <c r="BT70" i="84"/>
  <c r="BS70" i="84"/>
  <c r="BR70" i="84"/>
  <c r="BQ70" i="84"/>
  <c r="BP70" i="84"/>
  <c r="BO70" i="84"/>
  <c r="BN70" i="84"/>
  <c r="BM70" i="84"/>
  <c r="BH70" i="84"/>
  <c r="AP70" i="84"/>
  <c r="AO70" i="84"/>
  <c r="AM70" i="84"/>
  <c r="AL70" i="84"/>
  <c r="AD70" i="84"/>
  <c r="AC70" i="84"/>
  <c r="AB70" i="84"/>
  <c r="BY69" i="84"/>
  <c r="BX69" i="84"/>
  <c r="BW69" i="84"/>
  <c r="BV69" i="84"/>
  <c r="BU69" i="84"/>
  <c r="BT69" i="84"/>
  <c r="BS69" i="84"/>
  <c r="BR69" i="84"/>
  <c r="BQ69" i="84"/>
  <c r="BP69" i="84"/>
  <c r="BO69" i="84"/>
  <c r="BN69" i="84"/>
  <c r="BM69" i="84"/>
  <c r="BH69" i="84"/>
  <c r="AP69" i="84"/>
  <c r="AO69" i="84"/>
  <c r="AM69" i="84"/>
  <c r="AL69" i="84"/>
  <c r="AD69" i="84"/>
  <c r="AC69" i="84"/>
  <c r="AB69" i="84"/>
  <c r="BY68" i="84"/>
  <c r="BX68" i="84"/>
  <c r="BW68" i="84"/>
  <c r="BV68" i="84"/>
  <c r="BU68" i="84"/>
  <c r="BT68" i="84"/>
  <c r="BS68" i="84"/>
  <c r="BR68" i="84"/>
  <c r="BQ68" i="84"/>
  <c r="BP68" i="84"/>
  <c r="BO68" i="84"/>
  <c r="BN68" i="84"/>
  <c r="BM68" i="84"/>
  <c r="BH68" i="84"/>
  <c r="AP68" i="84"/>
  <c r="AO68" i="84"/>
  <c r="AM68" i="84"/>
  <c r="AL68" i="84"/>
  <c r="AD68" i="84"/>
  <c r="AC68" i="84"/>
  <c r="AB68" i="84"/>
  <c r="BY67" i="84"/>
  <c r="BX67" i="84"/>
  <c r="BW67" i="84"/>
  <c r="BV67" i="84"/>
  <c r="BU67" i="84"/>
  <c r="BT67" i="84"/>
  <c r="BS67" i="84"/>
  <c r="BR67" i="84"/>
  <c r="BQ67" i="84"/>
  <c r="BP67" i="84"/>
  <c r="BO67" i="84"/>
  <c r="BN67" i="84"/>
  <c r="BM67" i="84"/>
  <c r="BH67" i="84"/>
  <c r="AP67" i="84"/>
  <c r="AO67" i="84"/>
  <c r="AM67" i="84"/>
  <c r="AL67" i="84"/>
  <c r="AD67" i="84"/>
  <c r="AC67" i="84"/>
  <c r="AB67" i="84"/>
  <c r="BY66" i="84"/>
  <c r="BX66" i="84"/>
  <c r="BW66" i="84"/>
  <c r="BV66" i="84"/>
  <c r="BU66" i="84"/>
  <c r="BT66" i="84"/>
  <c r="BS66" i="84"/>
  <c r="BR66" i="84"/>
  <c r="BQ66" i="84"/>
  <c r="BP66" i="84"/>
  <c r="BO66" i="84"/>
  <c r="BN66" i="84"/>
  <c r="BM66" i="84"/>
  <c r="BH66" i="84"/>
  <c r="AP66" i="84"/>
  <c r="AO66" i="84"/>
  <c r="AM66" i="84"/>
  <c r="AL66" i="84"/>
  <c r="AD66" i="84"/>
  <c r="AC66" i="84"/>
  <c r="AB66" i="84"/>
  <c r="BY65" i="84"/>
  <c r="BX65" i="84"/>
  <c r="BW65" i="84"/>
  <c r="BV65" i="84"/>
  <c r="BU65" i="84"/>
  <c r="BT65" i="84"/>
  <c r="BS65" i="84"/>
  <c r="BR65" i="84"/>
  <c r="BQ65" i="84"/>
  <c r="BP65" i="84"/>
  <c r="BO65" i="84"/>
  <c r="BN65" i="84"/>
  <c r="BM65" i="84"/>
  <c r="BH65" i="84"/>
  <c r="J131" i="30" s="1"/>
  <c r="AP65" i="84"/>
  <c r="AO65" i="84"/>
  <c r="AM65" i="84"/>
  <c r="AL65" i="84"/>
  <c r="AD65" i="84"/>
  <c r="AC65" i="84"/>
  <c r="AB65" i="84"/>
  <c r="BY64" i="84"/>
  <c r="BX64" i="84"/>
  <c r="BW64" i="84"/>
  <c r="BV64" i="84"/>
  <c r="BU64" i="84"/>
  <c r="BT64" i="84"/>
  <c r="BS64" i="84"/>
  <c r="BR64" i="84"/>
  <c r="BQ64" i="84"/>
  <c r="BP64" i="84"/>
  <c r="BO64" i="84"/>
  <c r="BN64" i="84"/>
  <c r="BM64" i="84"/>
  <c r="BH64" i="84"/>
  <c r="AP64" i="84"/>
  <c r="AO64" i="84"/>
  <c r="AM64" i="84"/>
  <c r="AL64" i="84"/>
  <c r="AD64" i="84"/>
  <c r="J314" i="30" s="1"/>
  <c r="AC64" i="84"/>
  <c r="AB64" i="84"/>
  <c r="BY63" i="84"/>
  <c r="BX63" i="84"/>
  <c r="BW63" i="84"/>
  <c r="BV63" i="84"/>
  <c r="BU63" i="84"/>
  <c r="BT63" i="84"/>
  <c r="BS63" i="84"/>
  <c r="BR63" i="84"/>
  <c r="BQ63" i="84"/>
  <c r="BP63" i="84"/>
  <c r="BO63" i="84"/>
  <c r="BN63" i="84"/>
  <c r="BM63" i="84"/>
  <c r="BH63" i="84"/>
  <c r="AP63" i="84"/>
  <c r="AO63" i="84"/>
  <c r="AM63" i="84"/>
  <c r="AL63" i="84"/>
  <c r="AD63" i="84"/>
  <c r="AC63" i="84"/>
  <c r="AB63" i="84"/>
  <c r="BY62" i="84"/>
  <c r="BX62" i="84"/>
  <c r="BW62" i="84"/>
  <c r="BV62" i="84"/>
  <c r="BU62" i="84"/>
  <c r="BT62" i="84"/>
  <c r="BS62" i="84"/>
  <c r="BR62" i="84"/>
  <c r="BQ62" i="84"/>
  <c r="BP62" i="84"/>
  <c r="BO62" i="84"/>
  <c r="BN62" i="84"/>
  <c r="BM62" i="84"/>
  <c r="BH62" i="84"/>
  <c r="AP62" i="84"/>
  <c r="AO62" i="84"/>
  <c r="AM62" i="84"/>
  <c r="AL62" i="84"/>
  <c r="AD62" i="84"/>
  <c r="AC62" i="84"/>
  <c r="AB62" i="84"/>
  <c r="BY61" i="84"/>
  <c r="BX61" i="84"/>
  <c r="BW61" i="84"/>
  <c r="BV61" i="84"/>
  <c r="BU61" i="84"/>
  <c r="BT61" i="84"/>
  <c r="BS61" i="84"/>
  <c r="BR61" i="84"/>
  <c r="BQ61" i="84"/>
  <c r="BP61" i="84"/>
  <c r="BO61" i="84"/>
  <c r="BN61" i="84"/>
  <c r="BM61" i="84"/>
  <c r="BH61" i="84"/>
  <c r="AP61" i="84"/>
  <c r="AO61" i="84"/>
  <c r="AM61" i="84"/>
  <c r="AL61" i="84"/>
  <c r="AD61" i="84"/>
  <c r="AC61" i="84"/>
  <c r="AB61" i="84"/>
  <c r="BY60" i="84"/>
  <c r="BX60" i="84"/>
  <c r="BW60" i="84"/>
  <c r="BV60" i="84"/>
  <c r="BU60" i="84"/>
  <c r="BT60" i="84"/>
  <c r="BS60" i="84"/>
  <c r="BR60" i="84"/>
  <c r="BQ60" i="84"/>
  <c r="BP60" i="84"/>
  <c r="BO60" i="84"/>
  <c r="BN60" i="84"/>
  <c r="BM60" i="84"/>
  <c r="BH60" i="84"/>
  <c r="AP60" i="84"/>
  <c r="AO60" i="84"/>
  <c r="AM60" i="84"/>
  <c r="AL60" i="84"/>
  <c r="AD60" i="84"/>
  <c r="AC60" i="84"/>
  <c r="AB60" i="84"/>
  <c r="BY59" i="84"/>
  <c r="BX59" i="84"/>
  <c r="BW59" i="84"/>
  <c r="BV59" i="84"/>
  <c r="BU59" i="84"/>
  <c r="BT59" i="84"/>
  <c r="BS59" i="84"/>
  <c r="BR59" i="84"/>
  <c r="BQ59" i="84"/>
  <c r="BP59" i="84"/>
  <c r="BO59" i="84"/>
  <c r="BN59" i="84"/>
  <c r="BM59" i="84"/>
  <c r="BH59" i="84"/>
  <c r="AP59" i="84"/>
  <c r="AO59" i="84"/>
  <c r="AM59" i="84"/>
  <c r="AL59" i="84"/>
  <c r="AD59" i="84"/>
  <c r="AC59" i="84"/>
  <c r="AB59" i="84"/>
  <c r="BY58" i="84"/>
  <c r="BX58" i="84"/>
  <c r="BW58" i="84"/>
  <c r="BV58" i="84"/>
  <c r="BU58" i="84"/>
  <c r="BT58" i="84"/>
  <c r="BS58" i="84"/>
  <c r="BR58" i="84"/>
  <c r="BQ58" i="84"/>
  <c r="BP58" i="84"/>
  <c r="BO58" i="84"/>
  <c r="BN58" i="84"/>
  <c r="BM58" i="84"/>
  <c r="BH58" i="84"/>
  <c r="AP58" i="84"/>
  <c r="AO58" i="84"/>
  <c r="AM58" i="84"/>
  <c r="AL58" i="84"/>
  <c r="AD58" i="84"/>
  <c r="AC58" i="84"/>
  <c r="AB58" i="84"/>
  <c r="BY57" i="84"/>
  <c r="BX57" i="84"/>
  <c r="BW57" i="84"/>
  <c r="BV57" i="84"/>
  <c r="BU57" i="84"/>
  <c r="BT57" i="84"/>
  <c r="BS57" i="84"/>
  <c r="BR57" i="84"/>
  <c r="BQ57" i="84"/>
  <c r="BP57" i="84"/>
  <c r="BO57" i="84"/>
  <c r="BN57" i="84"/>
  <c r="BM57" i="84"/>
  <c r="BH57" i="84"/>
  <c r="AP57" i="84"/>
  <c r="AO57" i="84"/>
  <c r="AM57" i="84"/>
  <c r="AL57" i="84"/>
  <c r="AD57" i="84"/>
  <c r="AC57" i="84"/>
  <c r="AB57" i="84"/>
  <c r="BY56" i="84"/>
  <c r="BX56" i="84"/>
  <c r="BW56" i="84"/>
  <c r="BV56" i="84"/>
  <c r="BU56" i="84"/>
  <c r="BT56" i="84"/>
  <c r="BS56" i="84"/>
  <c r="BR56" i="84"/>
  <c r="BQ56" i="84"/>
  <c r="BP56" i="84"/>
  <c r="BO56" i="84"/>
  <c r="BN56" i="84"/>
  <c r="BM56" i="84"/>
  <c r="BH56" i="84"/>
  <c r="AP56" i="84"/>
  <c r="AO56" i="84"/>
  <c r="AM56" i="84"/>
  <c r="AL56" i="84"/>
  <c r="AD56" i="84"/>
  <c r="AC56" i="84"/>
  <c r="AB56" i="84"/>
  <c r="BY55" i="84"/>
  <c r="BX55" i="84"/>
  <c r="BW55" i="84"/>
  <c r="BV55" i="84"/>
  <c r="BU55" i="84"/>
  <c r="BT55" i="84"/>
  <c r="BS55" i="84"/>
  <c r="BR55" i="84"/>
  <c r="BQ55" i="84"/>
  <c r="BP55" i="84"/>
  <c r="BO55" i="84"/>
  <c r="BN55" i="84"/>
  <c r="BM55" i="84"/>
  <c r="BH55" i="84"/>
  <c r="AP55" i="84"/>
  <c r="AO55" i="84"/>
  <c r="AM55" i="84"/>
  <c r="AL55" i="84"/>
  <c r="AD55" i="84"/>
  <c r="AC55" i="84"/>
  <c r="AB55" i="84"/>
  <c r="BY54" i="84"/>
  <c r="BX54" i="84"/>
  <c r="BW54" i="84"/>
  <c r="BV54" i="84"/>
  <c r="BU54" i="84"/>
  <c r="BT54" i="84"/>
  <c r="BS54" i="84"/>
  <c r="BR54" i="84"/>
  <c r="BQ54" i="84"/>
  <c r="BP54" i="84"/>
  <c r="BO54" i="84"/>
  <c r="BN54" i="84"/>
  <c r="BM54" i="84"/>
  <c r="BH54" i="84"/>
  <c r="AP54" i="84"/>
  <c r="AO54" i="84"/>
  <c r="AM54" i="84"/>
  <c r="AL54" i="84"/>
  <c r="AD54" i="84"/>
  <c r="AC54" i="84"/>
  <c r="AB54" i="84"/>
  <c r="BY53" i="84"/>
  <c r="BX53" i="84"/>
  <c r="BW53" i="84"/>
  <c r="BV53" i="84"/>
  <c r="BU53" i="84"/>
  <c r="BT53" i="84"/>
  <c r="BS53" i="84"/>
  <c r="BR53" i="84"/>
  <c r="BQ53" i="84"/>
  <c r="BP53" i="84"/>
  <c r="BO53" i="84"/>
  <c r="BN53" i="84"/>
  <c r="BM53" i="84"/>
  <c r="BH53" i="84"/>
  <c r="AP53" i="84"/>
  <c r="AO53" i="84"/>
  <c r="AM53" i="84"/>
  <c r="AL53" i="84"/>
  <c r="AD53" i="84"/>
  <c r="AC53" i="84"/>
  <c r="AB53" i="84"/>
  <c r="BY52" i="84"/>
  <c r="BX52" i="84"/>
  <c r="BW52" i="84"/>
  <c r="BV52" i="84"/>
  <c r="BU52" i="84"/>
  <c r="BT52" i="84"/>
  <c r="BS52" i="84"/>
  <c r="BR52" i="84"/>
  <c r="BQ52" i="84"/>
  <c r="BP52" i="84"/>
  <c r="BO52" i="84"/>
  <c r="BN52" i="84"/>
  <c r="BM52" i="84"/>
  <c r="BH52" i="84"/>
  <c r="AP52" i="84"/>
  <c r="AO52" i="84"/>
  <c r="AM52" i="84"/>
  <c r="AL52" i="84"/>
  <c r="AD52" i="84"/>
  <c r="AC52" i="84"/>
  <c r="AB52" i="84"/>
  <c r="BY51" i="84"/>
  <c r="BX51" i="84"/>
  <c r="BW51" i="84"/>
  <c r="BV51" i="84"/>
  <c r="BU51" i="84"/>
  <c r="BT51" i="84"/>
  <c r="BS51" i="84"/>
  <c r="BR51" i="84"/>
  <c r="BQ51" i="84"/>
  <c r="BP51" i="84"/>
  <c r="BO51" i="84"/>
  <c r="BN51" i="84"/>
  <c r="BM51" i="84"/>
  <c r="BH51" i="84"/>
  <c r="AP51" i="84"/>
  <c r="AO51" i="84"/>
  <c r="AM51" i="84"/>
  <c r="AL51" i="84"/>
  <c r="AD51" i="84"/>
  <c r="AC51" i="84"/>
  <c r="AB51" i="84"/>
  <c r="BY50" i="84"/>
  <c r="BX50" i="84"/>
  <c r="BW50" i="84"/>
  <c r="BV50" i="84"/>
  <c r="BU50" i="84"/>
  <c r="BT50" i="84"/>
  <c r="BS50" i="84"/>
  <c r="BR50" i="84"/>
  <c r="BQ50" i="84"/>
  <c r="BP50" i="84"/>
  <c r="BO50" i="84"/>
  <c r="BN50" i="84"/>
  <c r="BM50" i="84"/>
  <c r="BH50" i="84"/>
  <c r="AP50" i="84"/>
  <c r="AO50" i="84"/>
  <c r="AM50" i="84"/>
  <c r="AL50" i="84"/>
  <c r="AD50" i="84"/>
  <c r="AC50" i="84"/>
  <c r="AB50" i="84"/>
  <c r="BY49" i="84"/>
  <c r="BX49" i="84"/>
  <c r="BW49" i="84"/>
  <c r="BV49" i="84"/>
  <c r="BU49" i="84"/>
  <c r="BT49" i="84"/>
  <c r="BS49" i="84"/>
  <c r="BR49" i="84"/>
  <c r="BQ49" i="84"/>
  <c r="BP49" i="84"/>
  <c r="BO49" i="84"/>
  <c r="BN49" i="84"/>
  <c r="BM49" i="84"/>
  <c r="BH49" i="84"/>
  <c r="AP49" i="84"/>
  <c r="AO49" i="84"/>
  <c r="AM49" i="84"/>
  <c r="AL49" i="84"/>
  <c r="AD49" i="84"/>
  <c r="AC49" i="84"/>
  <c r="AB49" i="84"/>
  <c r="BY48" i="84"/>
  <c r="BX48" i="84"/>
  <c r="BW48" i="84"/>
  <c r="BV48" i="84"/>
  <c r="BU48" i="84"/>
  <c r="BT48" i="84"/>
  <c r="BS48" i="84"/>
  <c r="BR48" i="84"/>
  <c r="BQ48" i="84"/>
  <c r="BP48" i="84"/>
  <c r="BO48" i="84"/>
  <c r="BN48" i="84"/>
  <c r="BM48" i="84"/>
  <c r="BH48" i="84"/>
  <c r="J85" i="30" s="1"/>
  <c r="AP48" i="84"/>
  <c r="AO48" i="84"/>
  <c r="AM48" i="84"/>
  <c r="AL48" i="84"/>
  <c r="AD48" i="84"/>
  <c r="AC48" i="84"/>
  <c r="AB48" i="84"/>
  <c r="BY47" i="84"/>
  <c r="BX47" i="84"/>
  <c r="BW47" i="84"/>
  <c r="BV47" i="84"/>
  <c r="BU47" i="84"/>
  <c r="BT47" i="84"/>
  <c r="BS47" i="84"/>
  <c r="BR47" i="84"/>
  <c r="BQ47" i="84"/>
  <c r="BP47" i="84"/>
  <c r="BO47" i="84"/>
  <c r="BN47" i="84"/>
  <c r="BM47" i="84"/>
  <c r="BH47" i="84"/>
  <c r="AP47" i="84"/>
  <c r="AO47" i="84"/>
  <c r="AM47" i="84"/>
  <c r="AL47" i="84"/>
  <c r="AD47" i="84"/>
  <c r="AC47" i="84"/>
  <c r="AB47" i="84"/>
  <c r="BY46" i="84"/>
  <c r="BX46" i="84"/>
  <c r="BW46" i="84"/>
  <c r="BV46" i="84"/>
  <c r="BU46" i="84"/>
  <c r="BT46" i="84"/>
  <c r="BS46" i="84"/>
  <c r="BR46" i="84"/>
  <c r="BQ46" i="84"/>
  <c r="BP46" i="84"/>
  <c r="BO46" i="84"/>
  <c r="BN46" i="84"/>
  <c r="BM46" i="84"/>
  <c r="BH46" i="84"/>
  <c r="AP46" i="84"/>
  <c r="AO46" i="84"/>
  <c r="AM46" i="84"/>
  <c r="AL46" i="84"/>
  <c r="AD46" i="84"/>
  <c r="AC46" i="84"/>
  <c r="AB46" i="84"/>
  <c r="BY45" i="84"/>
  <c r="BX45" i="84"/>
  <c r="BW45" i="84"/>
  <c r="BV45" i="84"/>
  <c r="BU45" i="84"/>
  <c r="BT45" i="84"/>
  <c r="BS45" i="84"/>
  <c r="BR45" i="84"/>
  <c r="BQ45" i="84"/>
  <c r="BP45" i="84"/>
  <c r="BO45" i="84"/>
  <c r="BN45" i="84"/>
  <c r="BM45" i="84"/>
  <c r="BH45" i="84"/>
  <c r="AP45" i="84"/>
  <c r="AO45" i="84"/>
  <c r="AM45" i="84"/>
  <c r="AL45" i="84"/>
  <c r="AD45" i="84"/>
  <c r="AC45" i="84"/>
  <c r="AB45" i="84"/>
  <c r="BY44" i="84"/>
  <c r="BX44" i="84"/>
  <c r="BW44" i="84"/>
  <c r="BV44" i="84"/>
  <c r="BU44" i="84"/>
  <c r="BT44" i="84"/>
  <c r="BS44" i="84"/>
  <c r="BR44" i="84"/>
  <c r="BQ44" i="84"/>
  <c r="BP44" i="84"/>
  <c r="BO44" i="84"/>
  <c r="BN44" i="84"/>
  <c r="BM44" i="84"/>
  <c r="BH44" i="84"/>
  <c r="AP44" i="84"/>
  <c r="AO44" i="84"/>
  <c r="AM44" i="84"/>
  <c r="AL44" i="84"/>
  <c r="AD44" i="84"/>
  <c r="AC44" i="84"/>
  <c r="AB44" i="84"/>
  <c r="BY43" i="84"/>
  <c r="BX43" i="84"/>
  <c r="BW43" i="84"/>
  <c r="BV43" i="84"/>
  <c r="BU43" i="84"/>
  <c r="BT43" i="84"/>
  <c r="BS43" i="84"/>
  <c r="BR43" i="84"/>
  <c r="BQ43" i="84"/>
  <c r="BP43" i="84"/>
  <c r="BO43" i="84"/>
  <c r="BN43" i="84"/>
  <c r="BM43" i="84"/>
  <c r="BH43" i="84"/>
  <c r="AP43" i="84"/>
  <c r="AO43" i="84"/>
  <c r="AM43" i="84"/>
  <c r="AL43" i="84"/>
  <c r="AD43" i="84"/>
  <c r="AC43" i="84"/>
  <c r="AB43" i="84"/>
  <c r="BY42" i="84"/>
  <c r="BX42" i="84"/>
  <c r="BW42" i="84"/>
  <c r="BV42" i="84"/>
  <c r="BU42" i="84"/>
  <c r="BT42" i="84"/>
  <c r="BS42" i="84"/>
  <c r="BR42" i="84"/>
  <c r="BQ42" i="84"/>
  <c r="BP42" i="84"/>
  <c r="BO42" i="84"/>
  <c r="BN42" i="84"/>
  <c r="BM42" i="84"/>
  <c r="BH42" i="84"/>
  <c r="AP42" i="84"/>
  <c r="AO42" i="84"/>
  <c r="AM42" i="84"/>
  <c r="AL42" i="84"/>
  <c r="AD42" i="84"/>
  <c r="AC42" i="84"/>
  <c r="AB42" i="84"/>
  <c r="BY41" i="84"/>
  <c r="BX41" i="84"/>
  <c r="BW41" i="84"/>
  <c r="BV41" i="84"/>
  <c r="BU41" i="84"/>
  <c r="BT41" i="84"/>
  <c r="BS41" i="84"/>
  <c r="BR41" i="84"/>
  <c r="BQ41" i="84"/>
  <c r="BP41" i="84"/>
  <c r="BO41" i="84"/>
  <c r="BN41" i="84"/>
  <c r="BM41" i="84"/>
  <c r="BH41" i="84"/>
  <c r="AP41" i="84"/>
  <c r="AO41" i="84"/>
  <c r="AM41" i="84"/>
  <c r="AL41" i="84"/>
  <c r="AD41" i="84"/>
  <c r="AC41" i="84"/>
  <c r="AB41" i="84"/>
  <c r="BY40" i="84"/>
  <c r="BX40" i="84"/>
  <c r="BW40" i="84"/>
  <c r="BV40" i="84"/>
  <c r="BU40" i="84"/>
  <c r="BT40" i="84"/>
  <c r="BS40" i="84"/>
  <c r="BR40" i="84"/>
  <c r="BQ40" i="84"/>
  <c r="BP40" i="84"/>
  <c r="BO40" i="84"/>
  <c r="BN40" i="84"/>
  <c r="BM40" i="84"/>
  <c r="BH40" i="84"/>
  <c r="AP40" i="84"/>
  <c r="AO40" i="84"/>
  <c r="AM40" i="84"/>
  <c r="AL40" i="84"/>
  <c r="AD40" i="84"/>
  <c r="AC40" i="84"/>
  <c r="AB40" i="84"/>
  <c r="BY39" i="84"/>
  <c r="BX39" i="84"/>
  <c r="BW39" i="84"/>
  <c r="BV39" i="84"/>
  <c r="BU39" i="84"/>
  <c r="BT39" i="84"/>
  <c r="BS39" i="84"/>
  <c r="BR39" i="84"/>
  <c r="BQ39" i="84"/>
  <c r="BP39" i="84"/>
  <c r="BO39" i="84"/>
  <c r="BN39" i="84"/>
  <c r="BM39" i="84"/>
  <c r="BH39" i="84"/>
  <c r="AP39" i="84"/>
  <c r="AO39" i="84"/>
  <c r="AM39" i="84"/>
  <c r="AL39" i="84"/>
  <c r="AD39" i="84"/>
  <c r="AC39" i="84"/>
  <c r="AB39" i="84"/>
  <c r="BY38" i="84"/>
  <c r="BX38" i="84"/>
  <c r="BW38" i="84"/>
  <c r="BV38" i="84"/>
  <c r="BU38" i="84"/>
  <c r="BT38" i="84"/>
  <c r="BS38" i="84"/>
  <c r="BR38" i="84"/>
  <c r="BQ38" i="84"/>
  <c r="BP38" i="84"/>
  <c r="BO38" i="84"/>
  <c r="BN38" i="84"/>
  <c r="BM38" i="84"/>
  <c r="BH38" i="84"/>
  <c r="AP38" i="84"/>
  <c r="AO38" i="84"/>
  <c r="AM38" i="84"/>
  <c r="AL38" i="84"/>
  <c r="AD38" i="84"/>
  <c r="AC38" i="84"/>
  <c r="AB38" i="84"/>
  <c r="BY37" i="84"/>
  <c r="BX37" i="84"/>
  <c r="BW37" i="84"/>
  <c r="BV37" i="84"/>
  <c r="BU37" i="84"/>
  <c r="BT37" i="84"/>
  <c r="BS37" i="84"/>
  <c r="BR37" i="84"/>
  <c r="BQ37" i="84"/>
  <c r="BP37" i="84"/>
  <c r="BO37" i="84"/>
  <c r="BN37" i="84"/>
  <c r="BM37" i="84"/>
  <c r="BH37" i="84"/>
  <c r="AP37" i="84"/>
  <c r="AO37" i="84"/>
  <c r="AM37" i="84"/>
  <c r="AL37" i="84"/>
  <c r="AD37" i="84"/>
  <c r="AC37" i="84"/>
  <c r="AB37" i="84"/>
  <c r="BY36" i="84"/>
  <c r="BX36" i="84"/>
  <c r="BW36" i="84"/>
  <c r="BV36" i="84"/>
  <c r="BU36" i="84"/>
  <c r="BT36" i="84"/>
  <c r="BS36" i="84"/>
  <c r="BR36" i="84"/>
  <c r="BQ36" i="84"/>
  <c r="BP36" i="84"/>
  <c r="BO36" i="84"/>
  <c r="BN36" i="84"/>
  <c r="BM36" i="84"/>
  <c r="BH36" i="84"/>
  <c r="AP36" i="84"/>
  <c r="AO36" i="84"/>
  <c r="AM36" i="84"/>
  <c r="AL36" i="84"/>
  <c r="AD36" i="84"/>
  <c r="AC36" i="84"/>
  <c r="AB36" i="84"/>
  <c r="BY35" i="84"/>
  <c r="BX35" i="84"/>
  <c r="BW35" i="84"/>
  <c r="BV35" i="84"/>
  <c r="BU35" i="84"/>
  <c r="BT35" i="84"/>
  <c r="BS35" i="84"/>
  <c r="BR35" i="84"/>
  <c r="BQ35" i="84"/>
  <c r="BP35" i="84"/>
  <c r="BO35" i="84"/>
  <c r="BN35" i="84"/>
  <c r="BM35" i="84"/>
  <c r="BH35" i="84"/>
  <c r="AP35" i="84"/>
  <c r="AO35" i="84"/>
  <c r="AM35" i="84"/>
  <c r="AL35" i="84"/>
  <c r="AD35" i="84"/>
  <c r="AC35" i="84"/>
  <c r="AB35" i="84"/>
  <c r="BY34" i="84"/>
  <c r="BX34" i="84"/>
  <c r="BW34" i="84"/>
  <c r="BV34" i="84"/>
  <c r="BU34" i="84"/>
  <c r="BT34" i="84"/>
  <c r="BS34" i="84"/>
  <c r="BR34" i="84"/>
  <c r="BQ34" i="84"/>
  <c r="BP34" i="84"/>
  <c r="BO34" i="84"/>
  <c r="BN34" i="84"/>
  <c r="BM34" i="84"/>
  <c r="BH34" i="84"/>
  <c r="AP34" i="84"/>
  <c r="AO34" i="84"/>
  <c r="AM34" i="84"/>
  <c r="AL34" i="84"/>
  <c r="AD34" i="84"/>
  <c r="AC34" i="84"/>
  <c r="AB34" i="84"/>
  <c r="BY33" i="84"/>
  <c r="BX33" i="84"/>
  <c r="BW33" i="84"/>
  <c r="BV33" i="84"/>
  <c r="BU33" i="84"/>
  <c r="BT33" i="84"/>
  <c r="BS33" i="84"/>
  <c r="BR33" i="84"/>
  <c r="BQ33" i="84"/>
  <c r="BP33" i="84"/>
  <c r="BO33" i="84"/>
  <c r="BN33" i="84"/>
  <c r="BM33" i="84"/>
  <c r="BH33" i="84"/>
  <c r="AP33" i="84"/>
  <c r="AO33" i="84"/>
  <c r="AM33" i="84"/>
  <c r="AL33" i="84"/>
  <c r="AD33" i="84"/>
  <c r="AC33" i="84"/>
  <c r="AB33" i="84"/>
  <c r="BY32" i="84"/>
  <c r="BX32" i="84"/>
  <c r="BW32" i="84"/>
  <c r="BV32" i="84"/>
  <c r="BU32" i="84"/>
  <c r="BT32" i="84"/>
  <c r="BS32" i="84"/>
  <c r="BR32" i="84"/>
  <c r="BQ32" i="84"/>
  <c r="BP32" i="84"/>
  <c r="BO32" i="84"/>
  <c r="BN32" i="84"/>
  <c r="BM32" i="84"/>
  <c r="BH32" i="84"/>
  <c r="AP32" i="84"/>
  <c r="AO32" i="84"/>
  <c r="AM32" i="84"/>
  <c r="AL32" i="84"/>
  <c r="AD32" i="84"/>
  <c r="AC32" i="84"/>
  <c r="AB32" i="84"/>
  <c r="BY31" i="84"/>
  <c r="BX31" i="84"/>
  <c r="BW31" i="84"/>
  <c r="BV31" i="84"/>
  <c r="BU31" i="84"/>
  <c r="BT31" i="84"/>
  <c r="BS31" i="84"/>
  <c r="BR31" i="84"/>
  <c r="BQ31" i="84"/>
  <c r="BP31" i="84"/>
  <c r="BO31" i="84"/>
  <c r="BN31" i="84"/>
  <c r="BM31" i="84"/>
  <c r="BH31" i="84"/>
  <c r="AP31" i="84"/>
  <c r="AO31" i="84"/>
  <c r="AM31" i="84"/>
  <c r="AL31" i="84"/>
  <c r="AD31" i="84"/>
  <c r="AC31" i="84"/>
  <c r="AB31" i="84"/>
  <c r="BY30" i="84"/>
  <c r="BX30" i="84"/>
  <c r="BW30" i="84"/>
  <c r="BV30" i="84"/>
  <c r="BU30" i="84"/>
  <c r="BT30" i="84"/>
  <c r="BS30" i="84"/>
  <c r="BR30" i="84"/>
  <c r="BQ30" i="84"/>
  <c r="BP30" i="84"/>
  <c r="BO30" i="84"/>
  <c r="BN30" i="84"/>
  <c r="BM30" i="84"/>
  <c r="BH30" i="84"/>
  <c r="AP30" i="84"/>
  <c r="AO30" i="84"/>
  <c r="AM30" i="84"/>
  <c r="AL30" i="84"/>
  <c r="AD30" i="84"/>
  <c r="AC30" i="84"/>
  <c r="AB30" i="84"/>
  <c r="BY29" i="84"/>
  <c r="BX29" i="84"/>
  <c r="BW29" i="84"/>
  <c r="BV29" i="84"/>
  <c r="BU29" i="84"/>
  <c r="BT29" i="84"/>
  <c r="BS29" i="84"/>
  <c r="BR29" i="84"/>
  <c r="BQ29" i="84"/>
  <c r="BP29" i="84"/>
  <c r="BO29" i="84"/>
  <c r="BN29" i="84"/>
  <c r="BM29" i="84"/>
  <c r="BH29" i="84"/>
  <c r="AP29" i="84"/>
  <c r="AO29" i="84"/>
  <c r="AM29" i="84"/>
  <c r="AL29" i="84"/>
  <c r="AD29" i="84"/>
  <c r="AC29" i="84"/>
  <c r="AB29" i="84"/>
  <c r="BY28" i="84"/>
  <c r="BX28" i="84"/>
  <c r="BW28" i="84"/>
  <c r="BV28" i="84"/>
  <c r="BU28" i="84"/>
  <c r="BT28" i="84"/>
  <c r="BS28" i="84"/>
  <c r="BR28" i="84"/>
  <c r="BQ28" i="84"/>
  <c r="BP28" i="84"/>
  <c r="BO28" i="84"/>
  <c r="BN28" i="84"/>
  <c r="BM28" i="84"/>
  <c r="BH28" i="84"/>
  <c r="AP28" i="84"/>
  <c r="AO28" i="84"/>
  <c r="AM28" i="84"/>
  <c r="AL28" i="84"/>
  <c r="AD28" i="84"/>
  <c r="AC28" i="84"/>
  <c r="AB28" i="84"/>
  <c r="BY27" i="84"/>
  <c r="BX27" i="84"/>
  <c r="BW27" i="84"/>
  <c r="BV27" i="84"/>
  <c r="BU27" i="84"/>
  <c r="BT27" i="84"/>
  <c r="BS27" i="84"/>
  <c r="BR27" i="84"/>
  <c r="BQ27" i="84"/>
  <c r="BP27" i="84"/>
  <c r="BO27" i="84"/>
  <c r="BN27" i="84"/>
  <c r="BM27" i="84"/>
  <c r="BH27" i="84"/>
  <c r="AP27" i="84"/>
  <c r="AO27" i="84"/>
  <c r="AM27" i="84"/>
  <c r="AL27" i="84"/>
  <c r="AD27" i="84"/>
  <c r="AC27" i="84"/>
  <c r="AB27" i="84"/>
  <c r="BY26" i="84"/>
  <c r="BX26" i="84"/>
  <c r="BW26" i="84"/>
  <c r="BV26" i="84"/>
  <c r="BU26" i="84"/>
  <c r="BT26" i="84"/>
  <c r="BS26" i="84"/>
  <c r="BR26" i="84"/>
  <c r="BQ26" i="84"/>
  <c r="BP26" i="84"/>
  <c r="BO26" i="84"/>
  <c r="BN26" i="84"/>
  <c r="BM26" i="84"/>
  <c r="BH26" i="84"/>
  <c r="AP26" i="84"/>
  <c r="AO26" i="84"/>
  <c r="AM26" i="84"/>
  <c r="AL26" i="84"/>
  <c r="AD26" i="84"/>
  <c r="AC26" i="84"/>
  <c r="AB26" i="84"/>
  <c r="BY25" i="84"/>
  <c r="BX25" i="84"/>
  <c r="BW25" i="84"/>
  <c r="BV25" i="84"/>
  <c r="BU25" i="84"/>
  <c r="BT25" i="84"/>
  <c r="BS25" i="84"/>
  <c r="BR25" i="84"/>
  <c r="BQ25" i="84"/>
  <c r="BP25" i="84"/>
  <c r="BO25" i="84"/>
  <c r="BN25" i="84"/>
  <c r="BM25" i="84"/>
  <c r="BH25" i="84"/>
  <c r="AP25" i="84"/>
  <c r="AO25" i="84"/>
  <c r="AM25" i="84"/>
  <c r="AL25" i="84"/>
  <c r="AD25" i="84"/>
  <c r="AC25" i="84"/>
  <c r="AB25" i="84"/>
  <c r="BY24" i="84"/>
  <c r="BX24" i="84"/>
  <c r="BW24" i="84"/>
  <c r="BV24" i="84"/>
  <c r="BU24" i="84"/>
  <c r="BT24" i="84"/>
  <c r="BS24" i="84"/>
  <c r="BR24" i="84"/>
  <c r="BQ24" i="84"/>
  <c r="BP24" i="84"/>
  <c r="BO24" i="84"/>
  <c r="BN24" i="84"/>
  <c r="BM24" i="84"/>
  <c r="BH24" i="84"/>
  <c r="AP24" i="84"/>
  <c r="AO24" i="84"/>
  <c r="AM24" i="84"/>
  <c r="AL24" i="84"/>
  <c r="AD24" i="84"/>
  <c r="AC24" i="84"/>
  <c r="AB24" i="84"/>
  <c r="BY23" i="84"/>
  <c r="BX23" i="84"/>
  <c r="BW23" i="84"/>
  <c r="BV23" i="84"/>
  <c r="BU23" i="84"/>
  <c r="BT23" i="84"/>
  <c r="BS23" i="84"/>
  <c r="BR23" i="84"/>
  <c r="BQ23" i="84"/>
  <c r="BP23" i="84"/>
  <c r="BO23" i="84"/>
  <c r="BN23" i="84"/>
  <c r="BM23" i="84"/>
  <c r="BH23" i="84"/>
  <c r="AP23" i="84"/>
  <c r="AO23" i="84"/>
  <c r="AM23" i="84"/>
  <c r="AL23" i="84"/>
  <c r="AD23" i="84"/>
  <c r="AC23" i="84"/>
  <c r="AB23" i="84"/>
  <c r="BY22" i="84"/>
  <c r="BX22" i="84"/>
  <c r="BW22" i="84"/>
  <c r="BV22" i="84"/>
  <c r="BU22" i="84"/>
  <c r="BT22" i="84"/>
  <c r="BS22" i="84"/>
  <c r="BR22" i="84"/>
  <c r="BQ22" i="84"/>
  <c r="BP22" i="84"/>
  <c r="BO22" i="84"/>
  <c r="BN22" i="84"/>
  <c r="BM22" i="84"/>
  <c r="BH22" i="84"/>
  <c r="AP22" i="84"/>
  <c r="AO22" i="84"/>
  <c r="AM22" i="84"/>
  <c r="AL22" i="84"/>
  <c r="AD22" i="84"/>
  <c r="AC22" i="84"/>
  <c r="AB22" i="84"/>
  <c r="BY21" i="84"/>
  <c r="BX21" i="84"/>
  <c r="BW21" i="84"/>
  <c r="BV21" i="84"/>
  <c r="BU21" i="84"/>
  <c r="BT21" i="84"/>
  <c r="BS21" i="84"/>
  <c r="BR21" i="84"/>
  <c r="BQ21" i="84"/>
  <c r="BP21" i="84"/>
  <c r="BO21" i="84"/>
  <c r="BN21" i="84"/>
  <c r="BM21" i="84"/>
  <c r="BH21" i="84"/>
  <c r="AP21" i="84"/>
  <c r="AO21" i="84"/>
  <c r="AM21" i="84"/>
  <c r="AL21" i="84"/>
  <c r="AD21" i="84"/>
  <c r="AC21" i="84"/>
  <c r="AB21" i="84"/>
  <c r="BY20" i="84"/>
  <c r="BX20" i="84"/>
  <c r="BW20" i="84"/>
  <c r="BV20" i="84"/>
  <c r="BU20" i="84"/>
  <c r="BT20" i="84"/>
  <c r="BS20" i="84"/>
  <c r="BR20" i="84"/>
  <c r="BQ20" i="84"/>
  <c r="BP20" i="84"/>
  <c r="BO20" i="84"/>
  <c r="BN20" i="84"/>
  <c r="BM20" i="84"/>
  <c r="BH20" i="84"/>
  <c r="AP20" i="84"/>
  <c r="AO20" i="84"/>
  <c r="AM20" i="84"/>
  <c r="AL20" i="84"/>
  <c r="AD20" i="84"/>
  <c r="AC20" i="84"/>
  <c r="AB20" i="84"/>
  <c r="BY19" i="84"/>
  <c r="BX19" i="84"/>
  <c r="BW19" i="84"/>
  <c r="BV19" i="84"/>
  <c r="BU19" i="84"/>
  <c r="BT19" i="84"/>
  <c r="BS19" i="84"/>
  <c r="BR19" i="84"/>
  <c r="BQ19" i="84"/>
  <c r="BP19" i="84"/>
  <c r="BO19" i="84"/>
  <c r="BN19" i="84"/>
  <c r="BM19" i="84"/>
  <c r="BH19" i="84"/>
  <c r="AP19" i="84"/>
  <c r="AO19" i="84"/>
  <c r="AM19" i="84"/>
  <c r="AL19" i="84"/>
  <c r="AD19" i="84"/>
  <c r="AC19" i="84"/>
  <c r="AB19" i="84"/>
  <c r="BY18" i="84"/>
  <c r="BX18" i="84"/>
  <c r="BW18" i="84"/>
  <c r="BV18" i="84"/>
  <c r="BU18" i="84"/>
  <c r="BT18" i="84"/>
  <c r="BS18" i="84"/>
  <c r="BR18" i="84"/>
  <c r="BQ18" i="84"/>
  <c r="BP18" i="84"/>
  <c r="BO18" i="84"/>
  <c r="BN18" i="84"/>
  <c r="BM18" i="84"/>
  <c r="BH18" i="84"/>
  <c r="AP18" i="84"/>
  <c r="AO18" i="84"/>
  <c r="AM18" i="84"/>
  <c r="AL18" i="84"/>
  <c r="AD18" i="84"/>
  <c r="AC18" i="84"/>
  <c r="AB18" i="84"/>
  <c r="BY17" i="84"/>
  <c r="BX17" i="84"/>
  <c r="BW17" i="84"/>
  <c r="BV17" i="84"/>
  <c r="BU17" i="84"/>
  <c r="BT17" i="84"/>
  <c r="BS17" i="84"/>
  <c r="BR17" i="84"/>
  <c r="BQ17" i="84"/>
  <c r="BP17" i="84"/>
  <c r="BO17" i="84"/>
  <c r="BN17" i="84"/>
  <c r="BM17" i="84"/>
  <c r="BH17" i="84"/>
  <c r="AP17" i="84"/>
  <c r="AO17" i="84"/>
  <c r="AM17" i="84"/>
  <c r="AL17" i="84"/>
  <c r="AD17" i="84"/>
  <c r="AC17" i="84"/>
  <c r="AB17" i="84"/>
  <c r="BY16" i="84"/>
  <c r="BX16" i="84"/>
  <c r="BW16" i="84"/>
  <c r="BV16" i="84"/>
  <c r="BU16" i="84"/>
  <c r="BT16" i="84"/>
  <c r="BS16" i="84"/>
  <c r="BR16" i="84"/>
  <c r="BQ16" i="84"/>
  <c r="BP16" i="84"/>
  <c r="BO16" i="84"/>
  <c r="BN16" i="84"/>
  <c r="BM16" i="84"/>
  <c r="BH16" i="84"/>
  <c r="AP16" i="84"/>
  <c r="AO16" i="84"/>
  <c r="AM16" i="84"/>
  <c r="AL16" i="84"/>
  <c r="AD16" i="84"/>
  <c r="AC16" i="84"/>
  <c r="AB16" i="84"/>
  <c r="BY15" i="84"/>
  <c r="BX15" i="84"/>
  <c r="BW15" i="84"/>
  <c r="BV15" i="84"/>
  <c r="BU15" i="84"/>
  <c r="BT15" i="84"/>
  <c r="BS15" i="84"/>
  <c r="BR15" i="84"/>
  <c r="BQ15" i="84"/>
  <c r="BP15" i="84"/>
  <c r="BO15" i="84"/>
  <c r="BN15" i="84"/>
  <c r="BM15" i="84"/>
  <c r="BH15" i="84"/>
  <c r="AP15" i="84"/>
  <c r="AO15" i="84"/>
  <c r="AM15" i="84"/>
  <c r="AL15" i="84"/>
  <c r="AD15" i="84"/>
  <c r="AC15" i="84"/>
  <c r="AB15" i="84"/>
  <c r="BY14" i="84"/>
  <c r="BX14" i="84"/>
  <c r="BW14" i="84"/>
  <c r="BV14" i="84"/>
  <c r="BU14" i="84"/>
  <c r="BT14" i="84"/>
  <c r="BS14" i="84"/>
  <c r="BR14" i="84"/>
  <c r="BQ14" i="84"/>
  <c r="BP14" i="84"/>
  <c r="BO14" i="84"/>
  <c r="BN14" i="84"/>
  <c r="BM14" i="84"/>
  <c r="BH14" i="84"/>
  <c r="AP14" i="84"/>
  <c r="AO14" i="84"/>
  <c r="AM14" i="84"/>
  <c r="AL14" i="84"/>
  <c r="AD14" i="84"/>
  <c r="AC14" i="84"/>
  <c r="AB14" i="84"/>
  <c r="BY13" i="84"/>
  <c r="BX13" i="84"/>
  <c r="BW13" i="84"/>
  <c r="BV13" i="84"/>
  <c r="BU13" i="84"/>
  <c r="BT13" i="84"/>
  <c r="BS13" i="84"/>
  <c r="BR13" i="84"/>
  <c r="BQ13" i="84"/>
  <c r="BP13" i="84"/>
  <c r="BO13" i="84"/>
  <c r="BN13" i="84"/>
  <c r="BM13" i="84"/>
  <c r="BH13" i="84"/>
  <c r="AP13" i="84"/>
  <c r="AO13" i="84"/>
  <c r="AM13" i="84"/>
  <c r="AL13" i="84"/>
  <c r="AD13" i="84"/>
  <c r="AC13" i="84"/>
  <c r="AB13" i="84"/>
  <c r="BY12" i="84"/>
  <c r="BX12" i="84"/>
  <c r="BW12" i="84"/>
  <c r="BV12" i="84"/>
  <c r="BU12" i="84"/>
  <c r="BT12" i="84"/>
  <c r="BS12" i="84"/>
  <c r="BR12" i="84"/>
  <c r="BQ12" i="84"/>
  <c r="BP12" i="84"/>
  <c r="BO12" i="84"/>
  <c r="BN12" i="84"/>
  <c r="BM12" i="84"/>
  <c r="BH12" i="84"/>
  <c r="AP12" i="84"/>
  <c r="AO12" i="84"/>
  <c r="AM12" i="84"/>
  <c r="AL12" i="84"/>
  <c r="AD12" i="84"/>
  <c r="AC12" i="84"/>
  <c r="AB12" i="84"/>
  <c r="BY11" i="84"/>
  <c r="BX11" i="84"/>
  <c r="BW11" i="84"/>
  <c r="BV11" i="84"/>
  <c r="BU11" i="84"/>
  <c r="BT11" i="84"/>
  <c r="BS11" i="84"/>
  <c r="BR11" i="84"/>
  <c r="BQ11" i="84"/>
  <c r="BP11" i="84"/>
  <c r="BO11" i="84"/>
  <c r="BN11" i="84"/>
  <c r="BM11" i="84"/>
  <c r="BH11" i="84"/>
  <c r="AP11" i="84"/>
  <c r="AO11" i="84"/>
  <c r="AM11" i="84"/>
  <c r="AL11" i="84"/>
  <c r="AD11" i="84"/>
  <c r="AC11" i="84"/>
  <c r="AB11" i="84"/>
  <c r="BY10" i="84"/>
  <c r="BX10" i="84"/>
  <c r="BW10" i="84"/>
  <c r="BV10" i="84"/>
  <c r="BU10" i="84"/>
  <c r="BT10" i="84"/>
  <c r="BS10" i="84"/>
  <c r="BR10" i="84"/>
  <c r="BQ10" i="84"/>
  <c r="BP10" i="84"/>
  <c r="BO10" i="84"/>
  <c r="BN10" i="84"/>
  <c r="BM10" i="84"/>
  <c r="BH10" i="84"/>
  <c r="AP10" i="84"/>
  <c r="AO10" i="84"/>
  <c r="AM10" i="84"/>
  <c r="AL10" i="84"/>
  <c r="AD10" i="84"/>
  <c r="AC10" i="84"/>
  <c r="AB10" i="84"/>
  <c r="BY9" i="84"/>
  <c r="BX9" i="84"/>
  <c r="BW9" i="84"/>
  <c r="BV9" i="84"/>
  <c r="BU9" i="84"/>
  <c r="BT9" i="84"/>
  <c r="BS9" i="84"/>
  <c r="BR9" i="84"/>
  <c r="BQ9" i="84"/>
  <c r="BP9" i="84"/>
  <c r="BO9" i="84"/>
  <c r="BN9" i="84"/>
  <c r="BM9" i="84"/>
  <c r="BH9" i="84"/>
  <c r="AP9" i="84"/>
  <c r="AO9" i="84"/>
  <c r="AM9" i="84"/>
  <c r="AL9" i="84"/>
  <c r="AD9" i="84"/>
  <c r="AC9" i="84"/>
  <c r="AB9" i="84"/>
  <c r="BY8" i="84"/>
  <c r="BX8" i="84"/>
  <c r="BW8" i="84"/>
  <c r="BV8" i="84"/>
  <c r="BU8" i="84"/>
  <c r="BT8" i="84"/>
  <c r="BS8" i="84"/>
  <c r="BR8" i="84"/>
  <c r="BQ8" i="84"/>
  <c r="BP8" i="84"/>
  <c r="BO8" i="84"/>
  <c r="BN8" i="84"/>
  <c r="BM8" i="84"/>
  <c r="BH8" i="84"/>
  <c r="AP8" i="84"/>
  <c r="AO8" i="84"/>
  <c r="AM8" i="84"/>
  <c r="AL8" i="84"/>
  <c r="AD8" i="84"/>
  <c r="AC8" i="84"/>
  <c r="AB8" i="84"/>
  <c r="BY7" i="84"/>
  <c r="BX7" i="84"/>
  <c r="BW7" i="84"/>
  <c r="BV7" i="84"/>
  <c r="BU7" i="84"/>
  <c r="BT7" i="84"/>
  <c r="BS7" i="84"/>
  <c r="BR7" i="84"/>
  <c r="BQ7" i="84"/>
  <c r="BP7" i="84"/>
  <c r="BO7" i="84"/>
  <c r="BN7" i="84"/>
  <c r="BM7" i="84"/>
  <c r="BH7" i="84"/>
  <c r="AP7" i="84"/>
  <c r="AO7" i="84"/>
  <c r="AM7" i="84"/>
  <c r="AL7" i="84"/>
  <c r="AD7" i="84"/>
  <c r="AC7" i="84"/>
  <c r="AB7" i="84"/>
  <c r="BY6" i="84"/>
  <c r="BX6" i="84"/>
  <c r="BW6" i="84"/>
  <c r="BV6" i="84"/>
  <c r="BU6" i="84"/>
  <c r="BT6" i="84"/>
  <c r="BS6" i="84"/>
  <c r="BR6" i="84"/>
  <c r="BQ6" i="84"/>
  <c r="BP6" i="84"/>
  <c r="BO6" i="84"/>
  <c r="BN6" i="84"/>
  <c r="BM6" i="84"/>
  <c r="BH6" i="84"/>
  <c r="AP6" i="84"/>
  <c r="AO6" i="84"/>
  <c r="AM6" i="84"/>
  <c r="AL6" i="84"/>
  <c r="AD6" i="84"/>
  <c r="AC6" i="84"/>
  <c r="AB6" i="84"/>
  <c r="BY5" i="84"/>
  <c r="BX5" i="84"/>
  <c r="BW5" i="84"/>
  <c r="BV5" i="84"/>
  <c r="BU5" i="84"/>
  <c r="BT5" i="84"/>
  <c r="BS5" i="84"/>
  <c r="BR5" i="84"/>
  <c r="BQ5" i="84"/>
  <c r="BP5" i="84"/>
  <c r="BO5" i="84"/>
  <c r="BN5" i="84"/>
  <c r="BM5" i="84"/>
  <c r="BH5" i="84"/>
  <c r="AP5" i="84"/>
  <c r="AO5" i="84"/>
  <c r="AM5" i="84"/>
  <c r="AL5" i="84"/>
  <c r="AD5" i="84"/>
  <c r="AC5" i="84"/>
  <c r="AB5" i="84"/>
  <c r="BY4" i="84"/>
  <c r="BX4" i="84"/>
  <c r="BW4" i="84"/>
  <c r="BV4" i="84"/>
  <c r="BU4" i="84"/>
  <c r="BT4" i="84"/>
  <c r="BS4" i="84"/>
  <c r="BR4" i="84"/>
  <c r="BQ4" i="84"/>
  <c r="BP4" i="84"/>
  <c r="BO4" i="84"/>
  <c r="BN4" i="84"/>
  <c r="BM4" i="84"/>
  <c r="BH4" i="84"/>
  <c r="AP4" i="84"/>
  <c r="AO4" i="84"/>
  <c r="AM4" i="84"/>
  <c r="AL4" i="84"/>
  <c r="AD4" i="84"/>
  <c r="AC4" i="84"/>
  <c r="AB4" i="84"/>
  <c r="BY3" i="84"/>
  <c r="BX3" i="84"/>
  <c r="BW3" i="84"/>
  <c r="BV3" i="84"/>
  <c r="BU3" i="84"/>
  <c r="BT3" i="84"/>
  <c r="BS3" i="84"/>
  <c r="BR3" i="84"/>
  <c r="BQ3" i="84"/>
  <c r="BP3" i="84"/>
  <c r="BO3" i="84"/>
  <c r="BN3" i="84"/>
  <c r="BM3" i="84"/>
  <c r="BH3" i="84"/>
  <c r="AP3" i="84"/>
  <c r="AO3" i="84"/>
  <c r="AM3" i="84"/>
  <c r="AL3" i="84"/>
  <c r="AD3" i="84"/>
  <c r="AC3" i="84"/>
  <c r="AB3" i="84"/>
  <c r="BY2" i="84"/>
  <c r="BX2" i="84"/>
  <c r="BW2" i="84"/>
  <c r="BV2" i="84"/>
  <c r="BU2" i="84"/>
  <c r="BT2" i="84"/>
  <c r="BS2" i="84"/>
  <c r="BR2" i="84"/>
  <c r="BQ2" i="84"/>
  <c r="BP2" i="84"/>
  <c r="BO2" i="84"/>
  <c r="BN2" i="84"/>
  <c r="BM2" i="84"/>
  <c r="BH2" i="84"/>
  <c r="AP2" i="84"/>
  <c r="AO2" i="84"/>
  <c r="AM2" i="84"/>
  <c r="AL2" i="84"/>
  <c r="AD2" i="84"/>
  <c r="AC2" i="84"/>
  <c r="AB2" i="84"/>
  <c r="F46" i="77"/>
  <c r="F47" i="77"/>
  <c r="F48" i="77"/>
  <c r="F49" i="77"/>
  <c r="G50" i="77"/>
  <c r="CD145" i="79" l="1"/>
  <c r="CD145" i="92"/>
  <c r="CD145" i="91"/>
  <c r="CD145" i="90"/>
  <c r="AX3" i="79"/>
  <c r="AX3" i="92"/>
  <c r="AX3" i="91"/>
  <c r="AX3" i="90"/>
  <c r="BZ5" i="79"/>
  <c r="BZ5" i="92"/>
  <c r="BZ5" i="91"/>
  <c r="BZ5" i="90"/>
  <c r="AB9" i="92"/>
  <c r="AD9" i="92"/>
  <c r="AC9" i="92"/>
  <c r="AD9" i="91"/>
  <c r="AC9" i="91"/>
  <c r="AB9" i="91"/>
  <c r="AD9" i="90"/>
  <c r="AC9" i="90"/>
  <c r="AB9" i="90"/>
  <c r="CG10" i="79"/>
  <c r="CG10" i="92"/>
  <c r="CG10" i="91"/>
  <c r="CG10" i="90"/>
  <c r="CH13" i="79"/>
  <c r="CH13" i="92"/>
  <c r="CH13" i="91"/>
  <c r="CH13" i="90"/>
  <c r="AW16" i="92"/>
  <c r="AV16" i="92"/>
  <c r="AU16" i="92"/>
  <c r="AW16" i="91"/>
  <c r="AV16" i="91"/>
  <c r="AU16" i="91"/>
  <c r="AV16" i="90"/>
  <c r="AW16" i="90"/>
  <c r="AU16" i="90"/>
  <c r="AR18" i="92"/>
  <c r="AQ18" i="92"/>
  <c r="AP18" i="92"/>
  <c r="AR18" i="91"/>
  <c r="AQ18" i="91"/>
  <c r="AP18" i="91"/>
  <c r="AQ18" i="90"/>
  <c r="AR18" i="90"/>
  <c r="AP18" i="90"/>
  <c r="BW20" i="79"/>
  <c r="BW20" i="92"/>
  <c r="BW20" i="91"/>
  <c r="BW20" i="90"/>
  <c r="AB25" i="92"/>
  <c r="AD25" i="92"/>
  <c r="AC25" i="92"/>
  <c r="AC25" i="91"/>
  <c r="AB25" i="91"/>
  <c r="AD25" i="91"/>
  <c r="AD25" i="90"/>
  <c r="AC25" i="90"/>
  <c r="AB25" i="90"/>
  <c r="CG26" i="79"/>
  <c r="CG26" i="92"/>
  <c r="CG26" i="91"/>
  <c r="CG26" i="90"/>
  <c r="CE28" i="79"/>
  <c r="CE28" i="92"/>
  <c r="CE28" i="91"/>
  <c r="CE28" i="90"/>
  <c r="BP30" i="79"/>
  <c r="BQ30" i="92"/>
  <c r="BP30" i="92"/>
  <c r="BQ30" i="91"/>
  <c r="BP30" i="91"/>
  <c r="BQ30" i="90"/>
  <c r="BP30" i="90"/>
  <c r="AB33" i="92"/>
  <c r="AD33" i="92"/>
  <c r="AC33" i="92"/>
  <c r="AC33" i="91"/>
  <c r="AB33" i="91"/>
  <c r="AD33" i="91"/>
  <c r="AD33" i="90"/>
  <c r="AC33" i="90"/>
  <c r="AB33" i="90"/>
  <c r="CB35" i="79"/>
  <c r="CB35" i="92"/>
  <c r="CB35" i="91"/>
  <c r="CB35" i="90"/>
  <c r="BZ37" i="79"/>
  <c r="BZ37" i="92"/>
  <c r="BZ37" i="91"/>
  <c r="BZ37" i="90"/>
  <c r="BX39" i="79"/>
  <c r="BX39" i="92"/>
  <c r="BX39" i="91"/>
  <c r="BX39" i="90"/>
  <c r="CD41" i="79"/>
  <c r="CD41" i="92"/>
  <c r="CD41" i="91"/>
  <c r="CD41" i="90"/>
  <c r="AE44" i="79"/>
  <c r="AE44" i="92"/>
  <c r="AE44" i="91"/>
  <c r="AE44" i="90"/>
  <c r="CC46" i="79"/>
  <c r="CC46" i="92"/>
  <c r="CC46" i="91"/>
  <c r="CC46" i="90"/>
  <c r="AB49" i="92"/>
  <c r="AC49" i="92"/>
  <c r="AD49" i="92"/>
  <c r="AB49" i="91"/>
  <c r="AD49" i="91"/>
  <c r="AC49" i="91"/>
  <c r="AD49" i="90"/>
  <c r="AC49" i="90"/>
  <c r="AB49" i="90"/>
  <c r="CG50" i="79"/>
  <c r="CG50" i="92"/>
  <c r="CG50" i="91"/>
  <c r="CG50" i="90"/>
  <c r="BZ53" i="79"/>
  <c r="BZ53" i="92"/>
  <c r="BZ53" i="91"/>
  <c r="BZ53" i="90"/>
  <c r="CF55" i="79"/>
  <c r="CF55" i="92"/>
  <c r="CF55" i="91"/>
  <c r="CF55" i="90"/>
  <c r="CD57" i="79"/>
  <c r="CD57" i="92"/>
  <c r="CD57" i="91"/>
  <c r="CD57" i="90"/>
  <c r="BW60" i="79"/>
  <c r="BW60" i="92"/>
  <c r="BW60" i="91"/>
  <c r="BW60" i="90"/>
  <c r="CC62" i="79"/>
  <c r="CC62" i="92"/>
  <c r="CC62" i="91"/>
  <c r="CC62" i="90"/>
  <c r="CD65" i="79"/>
  <c r="CD65" i="92"/>
  <c r="CD65" i="91"/>
  <c r="CD65" i="90"/>
  <c r="AE68" i="79"/>
  <c r="AE68" i="92"/>
  <c r="AE68" i="91"/>
  <c r="AE68" i="90"/>
  <c r="BZ69" i="79"/>
  <c r="BZ69" i="92"/>
  <c r="BZ69" i="91"/>
  <c r="BZ69" i="90"/>
  <c r="BX71" i="79"/>
  <c r="BX71" i="92"/>
  <c r="BX71" i="91"/>
  <c r="BX71" i="90"/>
  <c r="AR74" i="92"/>
  <c r="AQ74" i="92"/>
  <c r="AP74" i="92"/>
  <c r="AR74" i="91"/>
  <c r="AQ74" i="91"/>
  <c r="AP74" i="91"/>
  <c r="AR74" i="90"/>
  <c r="AQ74" i="90"/>
  <c r="AP74" i="90"/>
  <c r="BW76" i="79"/>
  <c r="BW76" i="92"/>
  <c r="BW76" i="91"/>
  <c r="BW76" i="90"/>
  <c r="CC78" i="79"/>
  <c r="CC78" i="92"/>
  <c r="CC78" i="91"/>
  <c r="CC78" i="90"/>
  <c r="AD81" i="92"/>
  <c r="AB81" i="92"/>
  <c r="AC81" i="92"/>
  <c r="AB81" i="91"/>
  <c r="AD81" i="91"/>
  <c r="AC81" i="91"/>
  <c r="AD81" i="90"/>
  <c r="AB81" i="90"/>
  <c r="AC81" i="90"/>
  <c r="AP82" i="92"/>
  <c r="AR82" i="92"/>
  <c r="AQ82" i="92"/>
  <c r="AR82" i="91"/>
  <c r="AQ82" i="91"/>
  <c r="AP82" i="91"/>
  <c r="AR82" i="90"/>
  <c r="AQ82" i="90"/>
  <c r="AP82" i="90"/>
  <c r="BW84" i="79"/>
  <c r="BW84" i="92"/>
  <c r="BW84" i="91"/>
  <c r="BW84" i="90"/>
  <c r="AW88" i="92"/>
  <c r="AV88" i="92"/>
  <c r="AU88" i="92"/>
  <c r="AW88" i="91"/>
  <c r="AV88" i="91"/>
  <c r="AU88" i="91"/>
  <c r="AW88" i="90"/>
  <c r="AV88" i="90"/>
  <c r="AU88" i="90"/>
  <c r="BY90" i="79"/>
  <c r="BY90" i="92"/>
  <c r="BY90" i="91"/>
  <c r="BY90" i="90"/>
  <c r="CB91" i="79"/>
  <c r="CB91" i="92"/>
  <c r="CB91" i="91"/>
  <c r="CB91" i="90"/>
  <c r="AS93" i="79"/>
  <c r="AS93" i="92"/>
  <c r="AS93" i="91"/>
  <c r="AS93" i="90"/>
  <c r="AF95" i="92"/>
  <c r="AH95" i="92"/>
  <c r="AG95" i="92"/>
  <c r="AH95" i="91"/>
  <c r="AG95" i="91"/>
  <c r="AF95" i="91"/>
  <c r="AH95" i="90"/>
  <c r="AG95" i="90"/>
  <c r="AF95" i="90"/>
  <c r="CD97" i="79"/>
  <c r="CD97" i="92"/>
  <c r="CD97" i="91"/>
  <c r="CD97" i="90"/>
  <c r="CE100" i="79"/>
  <c r="CE100" i="92"/>
  <c r="CE100" i="91"/>
  <c r="CE100" i="90"/>
  <c r="AE108" i="79"/>
  <c r="AE108" i="92"/>
  <c r="AE108" i="91"/>
  <c r="AE108" i="90"/>
  <c r="AC113" i="92"/>
  <c r="AB113" i="92"/>
  <c r="AD113" i="92"/>
  <c r="AD113" i="91"/>
  <c r="AC113" i="91"/>
  <c r="AB113" i="91"/>
  <c r="AD113" i="90"/>
  <c r="AC113" i="90"/>
  <c r="AB113" i="90"/>
  <c r="AX115" i="79"/>
  <c r="AX115" i="92"/>
  <c r="AX115" i="91"/>
  <c r="AX115" i="90"/>
  <c r="AS117" i="79"/>
  <c r="AS117" i="92"/>
  <c r="AS117" i="91"/>
  <c r="AS117" i="90"/>
  <c r="AH119" i="92"/>
  <c r="AG119" i="92"/>
  <c r="AF119" i="92"/>
  <c r="AH119" i="91"/>
  <c r="AG119" i="91"/>
  <c r="AF119" i="91"/>
  <c r="AH119" i="90"/>
  <c r="AG119" i="90"/>
  <c r="AF119" i="90"/>
  <c r="CB123" i="79"/>
  <c r="CB123" i="92"/>
  <c r="CB123" i="91"/>
  <c r="CB123" i="90"/>
  <c r="CH125" i="79"/>
  <c r="CH125" i="92"/>
  <c r="CH125" i="91"/>
  <c r="CH125" i="90"/>
  <c r="CG130" i="79"/>
  <c r="CG130" i="92"/>
  <c r="CG130" i="91"/>
  <c r="CG130" i="90"/>
  <c r="BW132" i="79"/>
  <c r="BW132" i="92"/>
  <c r="BW132" i="91"/>
  <c r="BW132" i="90"/>
  <c r="CC134" i="79"/>
  <c r="CC134" i="92"/>
  <c r="CC134" i="91"/>
  <c r="CC134" i="90"/>
  <c r="AW136" i="92"/>
  <c r="AV136" i="92"/>
  <c r="AU136" i="92"/>
  <c r="AW136" i="91"/>
  <c r="AU136" i="91"/>
  <c r="AV136" i="91"/>
  <c r="AW136" i="90"/>
  <c r="AV136" i="90"/>
  <c r="AU136" i="90"/>
  <c r="CD137" i="79"/>
  <c r="CD137" i="92"/>
  <c r="CD137" i="91"/>
  <c r="CD137" i="90"/>
  <c r="CG138" i="79"/>
  <c r="CG138" i="92"/>
  <c r="CG138" i="91"/>
  <c r="CG138" i="90"/>
  <c r="BW140" i="79"/>
  <c r="BW140" i="92"/>
  <c r="BW140" i="91"/>
  <c r="BW140" i="90"/>
  <c r="BZ141" i="79"/>
  <c r="BZ141" i="92"/>
  <c r="BZ141" i="91"/>
  <c r="BZ141" i="90"/>
  <c r="BP142" i="79"/>
  <c r="BQ142" i="92"/>
  <c r="BP142" i="92"/>
  <c r="BP142" i="91"/>
  <c r="BQ142" i="91"/>
  <c r="BP142" i="90"/>
  <c r="BQ142" i="90"/>
  <c r="AH143" i="92"/>
  <c r="AG143" i="92"/>
  <c r="AF143" i="92"/>
  <c r="AH143" i="91"/>
  <c r="AF143" i="91"/>
  <c r="AG143" i="91"/>
  <c r="AH143" i="90"/>
  <c r="AG143" i="90"/>
  <c r="AF143" i="90"/>
  <c r="AW144" i="92"/>
  <c r="AV144" i="92"/>
  <c r="AU144" i="92"/>
  <c r="AU144" i="91"/>
  <c r="AW144" i="91"/>
  <c r="AV144" i="91"/>
  <c r="AW144" i="90"/>
  <c r="AU144" i="90"/>
  <c r="AV144" i="90"/>
  <c r="CA2" i="92"/>
  <c r="CA2" i="91"/>
  <c r="CA2" i="90"/>
  <c r="CG4" i="79"/>
  <c r="CG4" i="92"/>
  <c r="CG4" i="91"/>
  <c r="CG4" i="90"/>
  <c r="BW6" i="79"/>
  <c r="BW6" i="92"/>
  <c r="BW6" i="91"/>
  <c r="BW6" i="90"/>
  <c r="BQ8" i="79"/>
  <c r="BQ8" i="92"/>
  <c r="BP8" i="92"/>
  <c r="BQ8" i="91"/>
  <c r="BP8" i="91"/>
  <c r="BQ8" i="90"/>
  <c r="BP8" i="90"/>
  <c r="AW10" i="92"/>
  <c r="AV10" i="92"/>
  <c r="AU10" i="92"/>
  <c r="AV10" i="91"/>
  <c r="AW10" i="91"/>
  <c r="AU10" i="91"/>
  <c r="AW10" i="90"/>
  <c r="AV10" i="90"/>
  <c r="AU10" i="90"/>
  <c r="AR12" i="92"/>
  <c r="AQ12" i="92"/>
  <c r="AP12" i="92"/>
  <c r="AQ12" i="91"/>
  <c r="AR12" i="91"/>
  <c r="AP12" i="91"/>
  <c r="AR12" i="90"/>
  <c r="AQ12" i="90"/>
  <c r="AP12" i="90"/>
  <c r="AX13" i="79"/>
  <c r="AX13" i="92"/>
  <c r="AX13" i="91"/>
  <c r="AX13" i="90"/>
  <c r="CH15" i="79"/>
  <c r="CH15" i="92"/>
  <c r="CH15" i="91"/>
  <c r="CH15" i="90"/>
  <c r="CA18" i="79"/>
  <c r="CA18" i="92"/>
  <c r="CA18" i="91"/>
  <c r="CA18" i="90"/>
  <c r="AX21" i="79"/>
  <c r="AX21" i="92"/>
  <c r="AX21" i="91"/>
  <c r="AX21" i="90"/>
  <c r="BZ23" i="79"/>
  <c r="BZ23" i="92"/>
  <c r="BZ23" i="91"/>
  <c r="BZ23" i="90"/>
  <c r="CA26" i="79"/>
  <c r="CA26" i="92"/>
  <c r="CA26" i="91"/>
  <c r="CA26" i="90"/>
  <c r="BY28" i="79"/>
  <c r="BY28" i="92"/>
  <c r="BY28" i="91"/>
  <c r="BY28" i="90"/>
  <c r="CE30" i="79"/>
  <c r="CE30" i="92"/>
  <c r="CE30" i="91"/>
  <c r="CE30" i="90"/>
  <c r="CC32" i="79"/>
  <c r="CC32" i="92"/>
  <c r="CC32" i="91"/>
  <c r="CC32" i="90"/>
  <c r="BV35" i="79"/>
  <c r="BV35" i="92"/>
  <c r="BV35" i="91"/>
  <c r="BV35" i="90"/>
  <c r="CG36" i="79"/>
  <c r="CG36" i="92"/>
  <c r="CG36" i="91"/>
  <c r="CG36" i="90"/>
  <c r="AS39" i="79"/>
  <c r="AS39" i="92"/>
  <c r="AS39" i="91"/>
  <c r="AS39" i="90"/>
  <c r="BX41" i="79"/>
  <c r="BX41" i="92"/>
  <c r="BX41" i="91"/>
  <c r="BX41" i="90"/>
  <c r="BV43" i="79"/>
  <c r="BV43" i="92"/>
  <c r="BV43" i="91"/>
  <c r="BV43" i="90"/>
  <c r="CB45" i="79"/>
  <c r="CB45" i="92"/>
  <c r="CB45" i="91"/>
  <c r="CB45" i="90"/>
  <c r="BZ47" i="79"/>
  <c r="BZ47" i="92"/>
  <c r="BZ47" i="91"/>
  <c r="BZ47" i="90"/>
  <c r="CC48" i="79"/>
  <c r="CC48" i="92"/>
  <c r="CC48" i="91"/>
  <c r="CC48" i="90"/>
  <c r="CA50" i="79"/>
  <c r="CA50" i="92"/>
  <c r="CA50" i="91"/>
  <c r="CA50" i="90"/>
  <c r="BV51" i="79"/>
  <c r="BV51" i="92"/>
  <c r="BV51" i="91"/>
  <c r="BV51" i="90"/>
  <c r="AP52" i="92"/>
  <c r="AQ52" i="92"/>
  <c r="AR52" i="92"/>
  <c r="AP52" i="91"/>
  <c r="AR52" i="91"/>
  <c r="AQ52" i="91"/>
  <c r="AR52" i="90"/>
  <c r="AQ52" i="90"/>
  <c r="AP52" i="90"/>
  <c r="CB53" i="79"/>
  <c r="CB53" i="92"/>
  <c r="CB53" i="91"/>
  <c r="CB53" i="90"/>
  <c r="BW54" i="79"/>
  <c r="BW54" i="92"/>
  <c r="BW54" i="91"/>
  <c r="BW54" i="90"/>
  <c r="CE54" i="79"/>
  <c r="CE54" i="92"/>
  <c r="CE54" i="91"/>
  <c r="CE54" i="90"/>
  <c r="AS55" i="79"/>
  <c r="AS55" i="92"/>
  <c r="AS55" i="91"/>
  <c r="AS55" i="90"/>
  <c r="BZ55" i="79"/>
  <c r="BZ55" i="92"/>
  <c r="BZ55" i="91"/>
  <c r="BZ55" i="90"/>
  <c r="CH55" i="79"/>
  <c r="CH55" i="92"/>
  <c r="CH55" i="91"/>
  <c r="CH55" i="90"/>
  <c r="BP56" i="79"/>
  <c r="BP56" i="92"/>
  <c r="BQ56" i="92"/>
  <c r="BP56" i="91"/>
  <c r="BQ56" i="91"/>
  <c r="BQ56" i="90"/>
  <c r="BP56" i="90"/>
  <c r="CC56" i="79"/>
  <c r="CC56" i="92"/>
  <c r="CC56" i="91"/>
  <c r="CC56" i="90"/>
  <c r="AH57" i="92"/>
  <c r="AG57" i="92"/>
  <c r="AF57" i="92"/>
  <c r="AH57" i="91"/>
  <c r="AG57" i="91"/>
  <c r="AF57" i="91"/>
  <c r="AH57" i="90"/>
  <c r="AG57" i="90"/>
  <c r="AF57" i="90"/>
  <c r="BX57" i="79"/>
  <c r="BX57" i="92"/>
  <c r="BX57" i="91"/>
  <c r="BX57" i="90"/>
  <c r="CF57" i="79"/>
  <c r="CF57" i="92"/>
  <c r="CF57" i="91"/>
  <c r="CF57" i="90"/>
  <c r="CA58" i="79"/>
  <c r="CA58" i="92"/>
  <c r="CA58" i="91"/>
  <c r="CA58" i="90"/>
  <c r="AC59" i="92"/>
  <c r="AB59" i="92"/>
  <c r="AD59" i="92"/>
  <c r="AD59" i="91"/>
  <c r="AC59" i="91"/>
  <c r="AB59" i="91"/>
  <c r="AD59" i="90"/>
  <c r="AC59" i="90"/>
  <c r="AB59" i="90"/>
  <c r="BV59" i="79"/>
  <c r="BV59" i="92"/>
  <c r="BV59" i="91"/>
  <c r="BV59" i="90"/>
  <c r="CD59" i="79"/>
  <c r="CD59" i="92"/>
  <c r="CD59" i="91"/>
  <c r="CD59" i="90"/>
  <c r="AR60" i="92"/>
  <c r="AQ60" i="92"/>
  <c r="AP60" i="92"/>
  <c r="AR60" i="91"/>
  <c r="AP60" i="91"/>
  <c r="AQ60" i="91"/>
  <c r="AR60" i="90"/>
  <c r="AQ60" i="90"/>
  <c r="AP60" i="90"/>
  <c r="AX61" i="79"/>
  <c r="AX61" i="92"/>
  <c r="AX61" i="91"/>
  <c r="AX61" i="90"/>
  <c r="AE62" i="79"/>
  <c r="AE62" i="92"/>
  <c r="AE62" i="91"/>
  <c r="AE62" i="90"/>
  <c r="AS63" i="79"/>
  <c r="AS63" i="92"/>
  <c r="AS63" i="91"/>
  <c r="AS63" i="90"/>
  <c r="BZ63" i="79"/>
  <c r="BZ63" i="92"/>
  <c r="BZ63" i="91"/>
  <c r="BZ63" i="90"/>
  <c r="CH63" i="79"/>
  <c r="CH63" i="92"/>
  <c r="CH63" i="91"/>
  <c r="CH63" i="90"/>
  <c r="BP64" i="79"/>
  <c r="BQ64" i="92"/>
  <c r="BP64" i="92"/>
  <c r="BP64" i="91"/>
  <c r="BQ64" i="91"/>
  <c r="BQ64" i="90"/>
  <c r="BP64" i="90"/>
  <c r="CC64" i="79"/>
  <c r="CC64" i="92"/>
  <c r="CC64" i="91"/>
  <c r="CC64" i="90"/>
  <c r="AH65" i="92"/>
  <c r="AG65" i="92"/>
  <c r="AF65" i="92"/>
  <c r="AH65" i="91"/>
  <c r="AG65" i="91"/>
  <c r="AF65" i="91"/>
  <c r="AG65" i="90"/>
  <c r="AF65" i="90"/>
  <c r="AH65" i="90"/>
  <c r="BX65" i="79"/>
  <c r="BX65" i="92"/>
  <c r="BX65" i="91"/>
  <c r="BX65" i="90"/>
  <c r="CF65" i="79"/>
  <c r="CF65" i="92"/>
  <c r="CF65" i="91"/>
  <c r="CF65" i="90"/>
  <c r="AW66" i="92"/>
  <c r="AV66" i="92"/>
  <c r="AU66" i="92"/>
  <c r="AV66" i="91"/>
  <c r="AU66" i="91"/>
  <c r="AW66" i="91"/>
  <c r="AW66" i="90"/>
  <c r="AV66" i="90"/>
  <c r="AU66" i="90"/>
  <c r="CA66" i="79"/>
  <c r="CA66" i="92"/>
  <c r="CA66" i="91"/>
  <c r="CA66" i="90"/>
  <c r="AD67" i="92"/>
  <c r="AC67" i="92"/>
  <c r="AB67" i="92"/>
  <c r="AD67" i="91"/>
  <c r="AC67" i="91"/>
  <c r="AB67" i="91"/>
  <c r="AD67" i="90"/>
  <c r="AC67" i="90"/>
  <c r="AB67" i="90"/>
  <c r="BV67" i="79"/>
  <c r="BV67" i="92"/>
  <c r="BV67" i="91"/>
  <c r="BV67" i="90"/>
  <c r="CD67" i="79"/>
  <c r="CD67" i="92"/>
  <c r="CD67" i="91"/>
  <c r="CD67" i="90"/>
  <c r="AR68" i="92"/>
  <c r="AQ68" i="92"/>
  <c r="AP68" i="92"/>
  <c r="AQ68" i="91"/>
  <c r="AP68" i="91"/>
  <c r="AR68" i="91"/>
  <c r="AR68" i="90"/>
  <c r="AQ68" i="90"/>
  <c r="AP68" i="90"/>
  <c r="BY68" i="79"/>
  <c r="BY68" i="92"/>
  <c r="BY68" i="91"/>
  <c r="BY68" i="90"/>
  <c r="CG68" i="79"/>
  <c r="CG68" i="92"/>
  <c r="CG68" i="91"/>
  <c r="CG68" i="90"/>
  <c r="AX69" i="79"/>
  <c r="AX69" i="92"/>
  <c r="AX69" i="91"/>
  <c r="AX69" i="90"/>
  <c r="CB69" i="79"/>
  <c r="CB69" i="92"/>
  <c r="CB69" i="91"/>
  <c r="CB69" i="90"/>
  <c r="AE70" i="79"/>
  <c r="AE70" i="92"/>
  <c r="AE70" i="91"/>
  <c r="AE70" i="90"/>
  <c r="BW70" i="79"/>
  <c r="BW70" i="92"/>
  <c r="BW70" i="91"/>
  <c r="BW70" i="90"/>
  <c r="CE70" i="79"/>
  <c r="CE70" i="92"/>
  <c r="CE70" i="91"/>
  <c r="CE70" i="90"/>
  <c r="AS71" i="79"/>
  <c r="AS71" i="92"/>
  <c r="AS71" i="91"/>
  <c r="AS71" i="90"/>
  <c r="BZ71" i="79"/>
  <c r="BZ71" i="92"/>
  <c r="BZ71" i="91"/>
  <c r="BZ71" i="90"/>
  <c r="CH71" i="79"/>
  <c r="CH71" i="92"/>
  <c r="CH71" i="91"/>
  <c r="CH71" i="90"/>
  <c r="BP72" i="79"/>
  <c r="BQ72" i="92"/>
  <c r="BP72" i="92"/>
  <c r="BQ72" i="91"/>
  <c r="BP72" i="91"/>
  <c r="BQ72" i="90"/>
  <c r="BP72" i="90"/>
  <c r="CC72" i="79"/>
  <c r="CC72" i="92"/>
  <c r="CC72" i="91"/>
  <c r="CC72" i="90"/>
  <c r="AH73" i="92"/>
  <c r="AG73" i="92"/>
  <c r="AF73" i="92"/>
  <c r="AH73" i="91"/>
  <c r="AG73" i="91"/>
  <c r="AF73" i="91"/>
  <c r="AH73" i="90"/>
  <c r="AG73" i="90"/>
  <c r="AF73" i="90"/>
  <c r="BX73" i="79"/>
  <c r="BX73" i="92"/>
  <c r="BX73" i="91"/>
  <c r="BX73" i="90"/>
  <c r="CF73" i="79"/>
  <c r="CF73" i="92"/>
  <c r="CF73" i="91"/>
  <c r="CF73" i="90"/>
  <c r="CA74" i="79"/>
  <c r="CA74" i="92"/>
  <c r="CA74" i="91"/>
  <c r="CA74" i="90"/>
  <c r="AD75" i="92"/>
  <c r="AC75" i="92"/>
  <c r="AB75" i="92"/>
  <c r="AD75" i="91"/>
  <c r="AC75" i="91"/>
  <c r="AB75" i="91"/>
  <c r="AD75" i="90"/>
  <c r="AC75" i="90"/>
  <c r="AB75" i="90"/>
  <c r="BV75" i="79"/>
  <c r="BV75" i="92"/>
  <c r="BV75" i="91"/>
  <c r="BV75" i="90"/>
  <c r="CD75" i="79"/>
  <c r="CD75" i="92"/>
  <c r="CD75" i="91"/>
  <c r="CD75" i="90"/>
  <c r="AR76" i="92"/>
  <c r="AQ76" i="92"/>
  <c r="AP76" i="92"/>
  <c r="AR76" i="91"/>
  <c r="AQ76" i="91"/>
  <c r="AP76" i="91"/>
  <c r="AR76" i="90"/>
  <c r="AQ76" i="90"/>
  <c r="AP76" i="90"/>
  <c r="BY76" i="79"/>
  <c r="BY76" i="92"/>
  <c r="BY76" i="91"/>
  <c r="BY76" i="90"/>
  <c r="CG76" i="79"/>
  <c r="CG76" i="92"/>
  <c r="CG76" i="91"/>
  <c r="CG76" i="90"/>
  <c r="AX77" i="79"/>
  <c r="AX77" i="92"/>
  <c r="AX77" i="91"/>
  <c r="AX77" i="90"/>
  <c r="CB77" i="79"/>
  <c r="CB77" i="92"/>
  <c r="CB77" i="91"/>
  <c r="CB77" i="90"/>
  <c r="AE78" i="79"/>
  <c r="AE78" i="92"/>
  <c r="AE78" i="91"/>
  <c r="AE78" i="90"/>
  <c r="BW78" i="79"/>
  <c r="BW78" i="92"/>
  <c r="BW78" i="91"/>
  <c r="BW78" i="90"/>
  <c r="CE78" i="79"/>
  <c r="CE78" i="92"/>
  <c r="CE78" i="91"/>
  <c r="CE78" i="90"/>
  <c r="AS79" i="79"/>
  <c r="AS79" i="92"/>
  <c r="AS79" i="91"/>
  <c r="AS79" i="90"/>
  <c r="BZ79" i="79"/>
  <c r="BZ79" i="92"/>
  <c r="BZ79" i="91"/>
  <c r="BZ79" i="90"/>
  <c r="CH79" i="79"/>
  <c r="CH79" i="92"/>
  <c r="CH79" i="91"/>
  <c r="CH79" i="90"/>
  <c r="BP80" i="79"/>
  <c r="BQ80" i="92"/>
  <c r="BP80" i="92"/>
  <c r="BQ80" i="91"/>
  <c r="BP80" i="91"/>
  <c r="BQ80" i="90"/>
  <c r="BP80" i="90"/>
  <c r="CC80" i="79"/>
  <c r="CC80" i="92"/>
  <c r="CC80" i="91"/>
  <c r="CC80" i="90"/>
  <c r="AG81" i="92"/>
  <c r="AF81" i="92"/>
  <c r="AH81" i="92"/>
  <c r="AH81" i="91"/>
  <c r="AG81" i="91"/>
  <c r="AF81" i="91"/>
  <c r="AH81" i="90"/>
  <c r="AG81" i="90"/>
  <c r="AF81" i="90"/>
  <c r="BX81" i="79"/>
  <c r="BX81" i="92"/>
  <c r="BX81" i="91"/>
  <c r="BX81" i="90"/>
  <c r="CF81" i="79"/>
  <c r="CF81" i="92"/>
  <c r="CF81" i="91"/>
  <c r="CF81" i="90"/>
  <c r="AW82" i="92"/>
  <c r="AV82" i="92"/>
  <c r="AU82" i="92"/>
  <c r="AU82" i="91"/>
  <c r="AV82" i="91"/>
  <c r="AW82" i="91"/>
  <c r="AW82" i="90"/>
  <c r="AV82" i="90"/>
  <c r="AU82" i="90"/>
  <c r="CA82" i="79"/>
  <c r="CA82" i="92"/>
  <c r="CA82" i="91"/>
  <c r="CA82" i="90"/>
  <c r="AC83" i="92"/>
  <c r="AB83" i="92"/>
  <c r="AD83" i="92"/>
  <c r="AB83" i="91"/>
  <c r="AC83" i="91"/>
  <c r="AD83" i="91"/>
  <c r="AD83" i="90"/>
  <c r="AC83" i="90"/>
  <c r="AB83" i="90"/>
  <c r="BV83" i="79"/>
  <c r="BV83" i="92"/>
  <c r="BV83" i="91"/>
  <c r="BV83" i="90"/>
  <c r="CD83" i="79"/>
  <c r="CD83" i="92"/>
  <c r="CD83" i="91"/>
  <c r="CD83" i="90"/>
  <c r="AR84" i="92"/>
  <c r="AQ84" i="92"/>
  <c r="AP84" i="92"/>
  <c r="AP84" i="91"/>
  <c r="AR84" i="91"/>
  <c r="AQ84" i="91"/>
  <c r="AR84" i="90"/>
  <c r="AQ84" i="90"/>
  <c r="AP84" i="90"/>
  <c r="BY84" i="79"/>
  <c r="BY84" i="92"/>
  <c r="BY84" i="91"/>
  <c r="BY84" i="90"/>
  <c r="CG84" i="79"/>
  <c r="CG84" i="92"/>
  <c r="CG84" i="91"/>
  <c r="CG84" i="90"/>
  <c r="AX85" i="79"/>
  <c r="AX85" i="92"/>
  <c r="AX85" i="91"/>
  <c r="AX85" i="90"/>
  <c r="CB85" i="79"/>
  <c r="CB85" i="92"/>
  <c r="CB85" i="91"/>
  <c r="CB85" i="90"/>
  <c r="AE86" i="79"/>
  <c r="AE86" i="92"/>
  <c r="AE86" i="91"/>
  <c r="AE86" i="90"/>
  <c r="BW86" i="79"/>
  <c r="BW86" i="92"/>
  <c r="BW86" i="91"/>
  <c r="BW86" i="90"/>
  <c r="CE86" i="79"/>
  <c r="CE86" i="92"/>
  <c r="CE86" i="91"/>
  <c r="CE86" i="90"/>
  <c r="AS87" i="79"/>
  <c r="AS87" i="92"/>
  <c r="AS87" i="91"/>
  <c r="AS87" i="90"/>
  <c r="BZ87" i="79"/>
  <c r="BZ87" i="92"/>
  <c r="BZ87" i="91"/>
  <c r="BZ87" i="90"/>
  <c r="CH87" i="79"/>
  <c r="CH87" i="92"/>
  <c r="CH87" i="91"/>
  <c r="CH87" i="90"/>
  <c r="BQ88" i="79"/>
  <c r="BQ88" i="92"/>
  <c r="BP88" i="92"/>
  <c r="BQ88" i="91"/>
  <c r="BP88" i="91"/>
  <c r="BQ88" i="90"/>
  <c r="BP88" i="90"/>
  <c r="CC88" i="79"/>
  <c r="CC88" i="92"/>
  <c r="CC88" i="91"/>
  <c r="CC88" i="90"/>
  <c r="AH89" i="92"/>
  <c r="AG89" i="92"/>
  <c r="AF89" i="92"/>
  <c r="AF89" i="91"/>
  <c r="AH89" i="91"/>
  <c r="AG89" i="91"/>
  <c r="AH89" i="90"/>
  <c r="AG89" i="90"/>
  <c r="AF89" i="90"/>
  <c r="BX89" i="79"/>
  <c r="BX89" i="92"/>
  <c r="BX89" i="91"/>
  <c r="BX89" i="90"/>
  <c r="CF89" i="79"/>
  <c r="CF89" i="92"/>
  <c r="CF89" i="91"/>
  <c r="CF89" i="90"/>
  <c r="AU90" i="92"/>
  <c r="AW90" i="92"/>
  <c r="AV90" i="92"/>
  <c r="AW90" i="91"/>
  <c r="AV90" i="91"/>
  <c r="AU90" i="91"/>
  <c r="AW90" i="90"/>
  <c r="AV90" i="90"/>
  <c r="AU90" i="90"/>
  <c r="CA90" i="79"/>
  <c r="CA90" i="92"/>
  <c r="CA90" i="91"/>
  <c r="CA90" i="90"/>
  <c r="AC91" i="92"/>
  <c r="AB91" i="92"/>
  <c r="AD91" i="92"/>
  <c r="AD91" i="91"/>
  <c r="AC91" i="91"/>
  <c r="AB91" i="91"/>
  <c r="AB91" i="90"/>
  <c r="AC91" i="90"/>
  <c r="AD91" i="90"/>
  <c r="BV91" i="79"/>
  <c r="BV91" i="92"/>
  <c r="BV91" i="91"/>
  <c r="BV91" i="90"/>
  <c r="CD91" i="79"/>
  <c r="CD91" i="92"/>
  <c r="CD91" i="91"/>
  <c r="CD91" i="90"/>
  <c r="BY92" i="79"/>
  <c r="BY92" i="92"/>
  <c r="BY92" i="91"/>
  <c r="BY92" i="90"/>
  <c r="CG92" i="79"/>
  <c r="CG92" i="92"/>
  <c r="CG92" i="91"/>
  <c r="CG92" i="90"/>
  <c r="AX93" i="79"/>
  <c r="AX93" i="92"/>
  <c r="AX93" i="91"/>
  <c r="AX93" i="90"/>
  <c r="CB93" i="79"/>
  <c r="CB93" i="92"/>
  <c r="CB93" i="91"/>
  <c r="CB93" i="90"/>
  <c r="AE94" i="79"/>
  <c r="AE94" i="92"/>
  <c r="AE94" i="91"/>
  <c r="AE94" i="90"/>
  <c r="BW94" i="79"/>
  <c r="BW94" i="92"/>
  <c r="BW94" i="91"/>
  <c r="BW94" i="90"/>
  <c r="CE94" i="79"/>
  <c r="CE94" i="92"/>
  <c r="CE94" i="91"/>
  <c r="CE94" i="90"/>
  <c r="AS95" i="79"/>
  <c r="AS95" i="92"/>
  <c r="AS95" i="91"/>
  <c r="AS95" i="90"/>
  <c r="BZ95" i="79"/>
  <c r="BZ95" i="92"/>
  <c r="BZ95" i="91"/>
  <c r="BZ95" i="90"/>
  <c r="CH95" i="79"/>
  <c r="CH95" i="92"/>
  <c r="CH95" i="91"/>
  <c r="CH95" i="90"/>
  <c r="BP96" i="79"/>
  <c r="BQ96" i="92"/>
  <c r="BP96" i="92"/>
  <c r="BQ96" i="91"/>
  <c r="BP96" i="91"/>
  <c r="BQ96" i="90"/>
  <c r="BP96" i="90"/>
  <c r="CC96" i="79"/>
  <c r="CC96" i="92"/>
  <c r="CC96" i="91"/>
  <c r="CC96" i="90"/>
  <c r="BX97" i="79"/>
  <c r="BX97" i="92"/>
  <c r="BX97" i="91"/>
  <c r="BX97" i="90"/>
  <c r="CF97" i="79"/>
  <c r="CF97" i="92"/>
  <c r="CF97" i="91"/>
  <c r="CF97" i="90"/>
  <c r="CA98" i="79"/>
  <c r="CA98" i="92"/>
  <c r="CA98" i="91"/>
  <c r="CA98" i="90"/>
  <c r="BV99" i="79"/>
  <c r="BV99" i="92"/>
  <c r="BV99" i="91"/>
  <c r="BV99" i="90"/>
  <c r="CD99" i="79"/>
  <c r="CD99" i="92"/>
  <c r="CD99" i="91"/>
  <c r="CD99" i="90"/>
  <c r="BY100" i="79"/>
  <c r="BY100" i="92"/>
  <c r="BY100" i="91"/>
  <c r="BY100" i="90"/>
  <c r="CG100" i="79"/>
  <c r="CG100" i="92"/>
  <c r="CG100" i="91"/>
  <c r="CG100" i="90"/>
  <c r="AX101" i="79"/>
  <c r="AX101" i="92"/>
  <c r="AX101" i="91"/>
  <c r="AX101" i="90"/>
  <c r="CB101" i="79"/>
  <c r="CB101" i="92"/>
  <c r="CB101" i="91"/>
  <c r="CB101" i="90"/>
  <c r="AE102" i="79"/>
  <c r="AE102" i="92"/>
  <c r="AE102" i="91"/>
  <c r="AE102" i="90"/>
  <c r="BW102" i="79"/>
  <c r="BW102" i="92"/>
  <c r="BW102" i="91"/>
  <c r="BW102" i="90"/>
  <c r="CE102" i="79"/>
  <c r="CE102" i="92"/>
  <c r="CE102" i="91"/>
  <c r="CE102" i="90"/>
  <c r="AS103" i="79"/>
  <c r="AS103" i="92"/>
  <c r="AS103" i="91"/>
  <c r="AS103" i="90"/>
  <c r="BZ103" i="79"/>
  <c r="BZ103" i="92"/>
  <c r="BZ103" i="91"/>
  <c r="BZ103" i="90"/>
  <c r="CH103" i="79"/>
  <c r="CH103" i="92"/>
  <c r="CH103" i="91"/>
  <c r="CH103" i="90"/>
  <c r="BQ104" i="79"/>
  <c r="BQ104" i="92"/>
  <c r="BP104" i="92"/>
  <c r="BQ104" i="91"/>
  <c r="BP104" i="91"/>
  <c r="BQ104" i="90"/>
  <c r="BP104" i="90"/>
  <c r="CC104" i="79"/>
  <c r="CC104" i="92"/>
  <c r="CC104" i="91"/>
  <c r="CC104" i="90"/>
  <c r="BX105" i="79"/>
  <c r="BX105" i="92"/>
  <c r="BX105" i="91"/>
  <c r="BX105" i="90"/>
  <c r="CF105" i="79"/>
  <c r="CF105" i="92"/>
  <c r="CF105" i="91"/>
  <c r="CF105" i="90"/>
  <c r="CA106" i="79"/>
  <c r="CA106" i="92"/>
  <c r="CA106" i="91"/>
  <c r="CA106" i="90"/>
  <c r="BV107" i="79"/>
  <c r="BV107" i="92"/>
  <c r="BV107" i="91"/>
  <c r="BV107" i="90"/>
  <c r="CD107" i="79"/>
  <c r="CD107" i="92"/>
  <c r="CD107" i="91"/>
  <c r="CD107" i="90"/>
  <c r="BY108" i="79"/>
  <c r="BY108" i="92"/>
  <c r="BY108" i="91"/>
  <c r="BY108" i="90"/>
  <c r="CG108" i="79"/>
  <c r="CG108" i="92"/>
  <c r="CG108" i="91"/>
  <c r="CG108" i="90"/>
  <c r="AX109" i="79"/>
  <c r="AX109" i="92"/>
  <c r="AX109" i="91"/>
  <c r="AX109" i="90"/>
  <c r="CB109" i="79"/>
  <c r="CB109" i="92"/>
  <c r="CB109" i="91"/>
  <c r="CB109" i="90"/>
  <c r="AE110" i="79"/>
  <c r="AE110" i="92"/>
  <c r="AE110" i="91"/>
  <c r="AE110" i="90"/>
  <c r="BW110" i="79"/>
  <c r="BW110" i="92"/>
  <c r="BW110" i="91"/>
  <c r="BW110" i="90"/>
  <c r="CE110" i="79"/>
  <c r="CE110" i="92"/>
  <c r="CE110" i="91"/>
  <c r="CE110" i="90"/>
  <c r="AS111" i="79"/>
  <c r="AS111" i="92"/>
  <c r="AS111" i="91"/>
  <c r="AS111" i="90"/>
  <c r="BZ111" i="79"/>
  <c r="BZ111" i="92"/>
  <c r="BZ111" i="91"/>
  <c r="BZ111" i="90"/>
  <c r="CH111" i="79"/>
  <c r="CH111" i="92"/>
  <c r="CH111" i="91"/>
  <c r="CH111" i="90"/>
  <c r="BQ112" i="79"/>
  <c r="BP112" i="92"/>
  <c r="BQ112" i="92"/>
  <c r="BQ112" i="91"/>
  <c r="BP112" i="91"/>
  <c r="BQ112" i="90"/>
  <c r="BP112" i="90"/>
  <c r="CC112" i="79"/>
  <c r="CC112" i="92"/>
  <c r="CC112" i="91"/>
  <c r="CC112" i="90"/>
  <c r="AH113" i="92"/>
  <c r="AG113" i="92"/>
  <c r="AF113" i="92"/>
  <c r="AH113" i="91"/>
  <c r="AG113" i="91"/>
  <c r="AF113" i="91"/>
  <c r="AG113" i="90"/>
  <c r="AF113" i="90"/>
  <c r="AH113" i="90"/>
  <c r="BX113" i="79"/>
  <c r="BX113" i="92"/>
  <c r="BX113" i="91"/>
  <c r="BX113" i="90"/>
  <c r="CF113" i="79"/>
  <c r="CF113" i="92"/>
  <c r="CF113" i="91"/>
  <c r="CF113" i="90"/>
  <c r="AW114" i="92"/>
  <c r="AU114" i="92"/>
  <c r="AV114" i="92"/>
  <c r="AU114" i="91"/>
  <c r="AW114" i="91"/>
  <c r="AV114" i="91"/>
  <c r="AW114" i="90"/>
  <c r="AV114" i="90"/>
  <c r="AU114" i="90"/>
  <c r="CA114" i="79"/>
  <c r="CA114" i="92"/>
  <c r="CA114" i="91"/>
  <c r="CA114" i="90"/>
  <c r="AD115" i="92"/>
  <c r="AC115" i="92"/>
  <c r="AB115" i="92"/>
  <c r="AD115" i="91"/>
  <c r="AB115" i="91"/>
  <c r="AC115" i="91"/>
  <c r="AC115" i="90"/>
  <c r="AB115" i="90"/>
  <c r="AD115" i="90"/>
  <c r="BV115" i="79"/>
  <c r="BV115" i="92"/>
  <c r="BV115" i="91"/>
  <c r="BV115" i="90"/>
  <c r="CD115" i="79"/>
  <c r="CD115" i="92"/>
  <c r="CD115" i="91"/>
  <c r="CD115" i="90"/>
  <c r="BY116" i="79"/>
  <c r="BY116" i="92"/>
  <c r="BY116" i="91"/>
  <c r="BY116" i="90"/>
  <c r="CG116" i="79"/>
  <c r="CG116" i="92"/>
  <c r="CG116" i="91"/>
  <c r="CG116" i="90"/>
  <c r="AX117" i="79"/>
  <c r="AX117" i="92"/>
  <c r="AX117" i="91"/>
  <c r="AX117" i="90"/>
  <c r="CB117" i="79"/>
  <c r="CB117" i="92"/>
  <c r="CB117" i="91"/>
  <c r="CB117" i="90"/>
  <c r="AE118" i="79"/>
  <c r="AE118" i="92"/>
  <c r="AE118" i="91"/>
  <c r="AE118" i="90"/>
  <c r="BW118" i="79"/>
  <c r="BW118" i="92"/>
  <c r="BW118" i="91"/>
  <c r="BW118" i="90"/>
  <c r="CE118" i="79"/>
  <c r="CE118" i="92"/>
  <c r="CE118" i="91"/>
  <c r="CE118" i="90"/>
  <c r="AS119" i="79"/>
  <c r="AS119" i="92"/>
  <c r="AS119" i="91"/>
  <c r="AS119" i="90"/>
  <c r="BZ119" i="79"/>
  <c r="BZ119" i="92"/>
  <c r="BZ119" i="91"/>
  <c r="BZ119" i="90"/>
  <c r="CH119" i="79"/>
  <c r="CH119" i="92"/>
  <c r="CH119" i="91"/>
  <c r="CH119" i="90"/>
  <c r="CC120" i="79"/>
  <c r="CC120" i="92"/>
  <c r="CC120" i="91"/>
  <c r="CC120" i="90"/>
  <c r="BX121" i="79"/>
  <c r="BX121" i="92"/>
  <c r="BX121" i="91"/>
  <c r="BX121" i="90"/>
  <c r="CF121" i="79"/>
  <c r="CF121" i="92"/>
  <c r="CF121" i="91"/>
  <c r="CF121" i="90"/>
  <c r="AU122" i="92"/>
  <c r="AW122" i="92"/>
  <c r="AV122" i="92"/>
  <c r="AU122" i="91"/>
  <c r="AW122" i="91"/>
  <c r="AV122" i="91"/>
  <c r="AW122" i="90"/>
  <c r="AU122" i="90"/>
  <c r="AV122" i="90"/>
  <c r="CA122" i="79"/>
  <c r="CA122" i="92"/>
  <c r="CA122" i="91"/>
  <c r="CA122" i="90"/>
  <c r="BV123" i="79"/>
  <c r="BV123" i="92"/>
  <c r="BV123" i="91"/>
  <c r="BV123" i="90"/>
  <c r="CD123" i="79"/>
  <c r="CD123" i="92"/>
  <c r="CD123" i="91"/>
  <c r="CD123" i="90"/>
  <c r="BY124" i="79"/>
  <c r="BY124" i="92"/>
  <c r="BY124" i="91"/>
  <c r="BY124" i="90"/>
  <c r="CG124" i="79"/>
  <c r="CG124" i="92"/>
  <c r="CG124" i="91"/>
  <c r="CG124" i="90"/>
  <c r="AX125" i="79"/>
  <c r="AX125" i="92"/>
  <c r="AX125" i="91"/>
  <c r="AX125" i="90"/>
  <c r="CB125" i="79"/>
  <c r="CB125" i="92"/>
  <c r="CB125" i="91"/>
  <c r="CB125" i="90"/>
  <c r="AE126" i="79"/>
  <c r="AE126" i="92"/>
  <c r="AE126" i="91"/>
  <c r="AE126" i="90"/>
  <c r="BW126" i="79"/>
  <c r="BW126" i="92"/>
  <c r="BW126" i="91"/>
  <c r="BW126" i="90"/>
  <c r="CG2" i="92"/>
  <c r="CG2" i="91"/>
  <c r="CG2" i="90"/>
  <c r="BW4" i="79"/>
  <c r="BW4" i="92"/>
  <c r="BW4" i="91"/>
  <c r="BW4" i="90"/>
  <c r="CC6" i="79"/>
  <c r="CC6" i="92"/>
  <c r="CC6" i="91"/>
  <c r="CC6" i="90"/>
  <c r="CA8" i="79"/>
  <c r="CA8" i="92"/>
  <c r="CA8" i="91"/>
  <c r="CA8" i="90"/>
  <c r="AX11" i="79"/>
  <c r="AX11" i="92"/>
  <c r="AX11" i="91"/>
  <c r="AX11" i="90"/>
  <c r="AS13" i="79"/>
  <c r="AS13" i="92"/>
  <c r="AS13" i="91"/>
  <c r="AS13" i="90"/>
  <c r="BX15" i="79"/>
  <c r="BX15" i="92"/>
  <c r="BX15" i="91"/>
  <c r="BX15" i="90"/>
  <c r="BV17" i="79"/>
  <c r="BV17" i="92"/>
  <c r="BV17" i="91"/>
  <c r="BV17" i="90"/>
  <c r="AX19" i="79"/>
  <c r="AX19" i="92"/>
  <c r="AX19" i="91"/>
  <c r="AX19" i="90"/>
  <c r="BZ21" i="79"/>
  <c r="BZ21" i="92"/>
  <c r="BZ21" i="91"/>
  <c r="BZ21" i="90"/>
  <c r="CF23" i="79"/>
  <c r="CF23" i="92"/>
  <c r="CF23" i="91"/>
  <c r="CF23" i="90"/>
  <c r="AR26" i="92"/>
  <c r="AQ26" i="92"/>
  <c r="AP26" i="92"/>
  <c r="AR26" i="91"/>
  <c r="AQ26" i="91"/>
  <c r="AP26" i="91"/>
  <c r="AQ26" i="90"/>
  <c r="AR26" i="90"/>
  <c r="AP26" i="90"/>
  <c r="AE28" i="79"/>
  <c r="AE28" i="92"/>
  <c r="AE28" i="91"/>
  <c r="AE28" i="90"/>
  <c r="CC30" i="79"/>
  <c r="CC30" i="92"/>
  <c r="CC30" i="91"/>
  <c r="CC30" i="90"/>
  <c r="CD33" i="79"/>
  <c r="CD33" i="92"/>
  <c r="CD33" i="91"/>
  <c r="CD33" i="90"/>
  <c r="AE36" i="79"/>
  <c r="AE36" i="92"/>
  <c r="AE36" i="91"/>
  <c r="AE36" i="90"/>
  <c r="CH37" i="79"/>
  <c r="CH37" i="92"/>
  <c r="CH37" i="91"/>
  <c r="CH37" i="90"/>
  <c r="CA40" i="79"/>
  <c r="CA40" i="92"/>
  <c r="CA40" i="91"/>
  <c r="CA40" i="90"/>
  <c r="AX43" i="79"/>
  <c r="AX43" i="92"/>
  <c r="AX43" i="91"/>
  <c r="AX43" i="90"/>
  <c r="CH45" i="79"/>
  <c r="CH45" i="92"/>
  <c r="CH45" i="91"/>
  <c r="CH45" i="90"/>
  <c r="CA48" i="79"/>
  <c r="CA48" i="92"/>
  <c r="CA48" i="91"/>
  <c r="CA48" i="90"/>
  <c r="AE52" i="79"/>
  <c r="AE52" i="92"/>
  <c r="AE52" i="91"/>
  <c r="AE52" i="90"/>
  <c r="BV57" i="79"/>
  <c r="BV57" i="92"/>
  <c r="BV57" i="91"/>
  <c r="BV57" i="90"/>
  <c r="CB59" i="79"/>
  <c r="CB59" i="92"/>
  <c r="CB59" i="91"/>
  <c r="CB59" i="90"/>
  <c r="BZ61" i="79"/>
  <c r="BZ61" i="92"/>
  <c r="BZ61" i="91"/>
  <c r="BZ61" i="90"/>
  <c r="BP62" i="79"/>
  <c r="BQ62" i="92"/>
  <c r="BP62" i="92"/>
  <c r="BQ62" i="91"/>
  <c r="BP62" i="91"/>
  <c r="BP62" i="90"/>
  <c r="BQ62" i="90"/>
  <c r="AW64" i="92"/>
  <c r="AV64" i="92"/>
  <c r="AU64" i="92"/>
  <c r="AV64" i="91"/>
  <c r="AU64" i="91"/>
  <c r="AW64" i="91"/>
  <c r="AU64" i="90"/>
  <c r="AV64" i="90"/>
  <c r="AW64" i="90"/>
  <c r="AR66" i="92"/>
  <c r="AQ66" i="92"/>
  <c r="AP66" i="92"/>
  <c r="AR66" i="91"/>
  <c r="AQ66" i="91"/>
  <c r="AP66" i="91"/>
  <c r="AQ66" i="90"/>
  <c r="AP66" i="90"/>
  <c r="AR66" i="90"/>
  <c r="BW68" i="79"/>
  <c r="BW68" i="92"/>
  <c r="BW68" i="91"/>
  <c r="BW68" i="90"/>
  <c r="CC70" i="79"/>
  <c r="CC70" i="92"/>
  <c r="CC70" i="91"/>
  <c r="CC70" i="90"/>
  <c r="AB73" i="92"/>
  <c r="AD73" i="92"/>
  <c r="AC73" i="92"/>
  <c r="AD73" i="91"/>
  <c r="AC73" i="91"/>
  <c r="AB73" i="91"/>
  <c r="AD73" i="90"/>
  <c r="AC73" i="90"/>
  <c r="AB73" i="90"/>
  <c r="AX75" i="79"/>
  <c r="AX75" i="92"/>
  <c r="AX75" i="91"/>
  <c r="AX75" i="90"/>
  <c r="BZ77" i="79"/>
  <c r="BZ77" i="92"/>
  <c r="BZ77" i="91"/>
  <c r="BZ77" i="90"/>
  <c r="CF79" i="79"/>
  <c r="CF79" i="92"/>
  <c r="CF79" i="91"/>
  <c r="CF79" i="90"/>
  <c r="CG82" i="79"/>
  <c r="CG82" i="92"/>
  <c r="CG82" i="91"/>
  <c r="CG82" i="90"/>
  <c r="CH85" i="79"/>
  <c r="CH85" i="92"/>
  <c r="CH85" i="91"/>
  <c r="CH85" i="90"/>
  <c r="AB89" i="92"/>
  <c r="AD89" i="92"/>
  <c r="AC89" i="92"/>
  <c r="AD89" i="91"/>
  <c r="AC89" i="91"/>
  <c r="AB89" i="91"/>
  <c r="AD89" i="90"/>
  <c r="AC89" i="90"/>
  <c r="AB89" i="90"/>
  <c r="AE92" i="79"/>
  <c r="AE92" i="92"/>
  <c r="AE92" i="91"/>
  <c r="AE92" i="90"/>
  <c r="CC94" i="79"/>
  <c r="CC94" i="92"/>
  <c r="CC94" i="91"/>
  <c r="CC94" i="90"/>
  <c r="CG98" i="79"/>
  <c r="CG98" i="92"/>
  <c r="CG98" i="91"/>
  <c r="CG98" i="90"/>
  <c r="BZ101" i="79"/>
  <c r="BZ101" i="92"/>
  <c r="BZ101" i="91"/>
  <c r="BZ101" i="90"/>
  <c r="CF103" i="79"/>
  <c r="CF103" i="92"/>
  <c r="CF103" i="91"/>
  <c r="CF103" i="90"/>
  <c r="BY106" i="79"/>
  <c r="BY106" i="92"/>
  <c r="BY106" i="91"/>
  <c r="BY106" i="90"/>
  <c r="AS109" i="79"/>
  <c r="AS109" i="92"/>
  <c r="AS109" i="91"/>
  <c r="AS109" i="90"/>
  <c r="BX111" i="79"/>
  <c r="BX111" i="92"/>
  <c r="BX111" i="91"/>
  <c r="BX111" i="90"/>
  <c r="CD113" i="79"/>
  <c r="CD113" i="92"/>
  <c r="CD113" i="91"/>
  <c r="CD113" i="90"/>
  <c r="BW116" i="79"/>
  <c r="BW116" i="92"/>
  <c r="BW116" i="91"/>
  <c r="BW116" i="90"/>
  <c r="BX119" i="79"/>
  <c r="BX119" i="92"/>
  <c r="BX119" i="91"/>
  <c r="BX119" i="90"/>
  <c r="BY122" i="79"/>
  <c r="BY122" i="92"/>
  <c r="BY122" i="91"/>
  <c r="BY122" i="90"/>
  <c r="CE124" i="79"/>
  <c r="CE124" i="92"/>
  <c r="CE124" i="91"/>
  <c r="CE124" i="90"/>
  <c r="BX127" i="79"/>
  <c r="BX127" i="92"/>
  <c r="BX127" i="91"/>
  <c r="BX127" i="90"/>
  <c r="BY130" i="79"/>
  <c r="BY130" i="92"/>
  <c r="BY130" i="91"/>
  <c r="BY130" i="90"/>
  <c r="CH133" i="79"/>
  <c r="CH133" i="92"/>
  <c r="CH133" i="91"/>
  <c r="CH133" i="90"/>
  <c r="CA136" i="79"/>
  <c r="CA136" i="92"/>
  <c r="CA136" i="91"/>
  <c r="CA136" i="90"/>
  <c r="AX139" i="79"/>
  <c r="AX139" i="92"/>
  <c r="AX139" i="91"/>
  <c r="AX139" i="90"/>
  <c r="CF143" i="79"/>
  <c r="CF143" i="92"/>
  <c r="CF143" i="91"/>
  <c r="CF143" i="90"/>
  <c r="AR4" i="92"/>
  <c r="AQ4" i="92"/>
  <c r="AP4" i="92"/>
  <c r="AR4" i="91"/>
  <c r="AQ4" i="91"/>
  <c r="AP4" i="91"/>
  <c r="AR4" i="90"/>
  <c r="AQ4" i="90"/>
  <c r="AP4" i="90"/>
  <c r="AS7" i="79"/>
  <c r="AS7" i="92"/>
  <c r="AS7" i="91"/>
  <c r="AS7" i="90"/>
  <c r="CF9" i="79"/>
  <c r="CF9" i="92"/>
  <c r="CF9" i="91"/>
  <c r="CF9" i="90"/>
  <c r="CG12" i="79"/>
  <c r="CG12" i="92"/>
  <c r="CG12" i="91"/>
  <c r="CG12" i="90"/>
  <c r="AS15" i="79"/>
  <c r="AS15" i="92"/>
  <c r="AS15" i="91"/>
  <c r="AS15" i="90"/>
  <c r="BX17" i="79"/>
  <c r="BX17" i="92"/>
  <c r="BX17" i="91"/>
  <c r="BX17" i="90"/>
  <c r="BV19" i="79"/>
  <c r="BV19" i="92"/>
  <c r="BV19" i="91"/>
  <c r="BV19" i="90"/>
  <c r="CB21" i="79"/>
  <c r="CB21" i="92"/>
  <c r="CB21" i="91"/>
  <c r="CB21" i="90"/>
  <c r="BQ24" i="79"/>
  <c r="BQ24" i="92"/>
  <c r="BP24" i="92"/>
  <c r="BP24" i="91"/>
  <c r="BQ24" i="91"/>
  <c r="BQ24" i="90"/>
  <c r="BP24" i="90"/>
  <c r="CG28" i="79"/>
  <c r="CG28" i="92"/>
  <c r="CG28" i="91"/>
  <c r="CG28" i="90"/>
  <c r="CH31" i="79"/>
  <c r="CH31" i="92"/>
  <c r="CH31" i="91"/>
  <c r="CH31" i="90"/>
  <c r="CD35" i="79"/>
  <c r="CD35" i="92"/>
  <c r="CD35" i="91"/>
  <c r="CD35" i="90"/>
  <c r="BW38" i="79"/>
  <c r="BW38" i="92"/>
  <c r="BW38" i="91"/>
  <c r="BW38" i="90"/>
  <c r="AG41" i="92"/>
  <c r="AH41" i="92"/>
  <c r="AF41" i="92"/>
  <c r="AH41" i="91"/>
  <c r="AG41" i="91"/>
  <c r="AF41" i="91"/>
  <c r="AF41" i="90"/>
  <c r="AH41" i="90"/>
  <c r="AG41" i="90"/>
  <c r="AD43" i="92"/>
  <c r="AC43" i="92"/>
  <c r="AB43" i="92"/>
  <c r="AD43" i="91"/>
  <c r="AC43" i="91"/>
  <c r="AB43" i="91"/>
  <c r="AB43" i="90"/>
  <c r="AD43" i="90"/>
  <c r="AC43" i="90"/>
  <c r="AR44" i="92"/>
  <c r="AQ44" i="92"/>
  <c r="AP44" i="92"/>
  <c r="AP44" i="91"/>
  <c r="AR44" i="91"/>
  <c r="AQ44" i="91"/>
  <c r="AR44" i="90"/>
  <c r="AQ44" i="90"/>
  <c r="AP44" i="90"/>
  <c r="BW46" i="79"/>
  <c r="BW46" i="92"/>
  <c r="BW46" i="91"/>
  <c r="BW46" i="90"/>
  <c r="AH49" i="92"/>
  <c r="AG49" i="92"/>
  <c r="AF49" i="92"/>
  <c r="AG49" i="91"/>
  <c r="AF49" i="91"/>
  <c r="AH49" i="91"/>
  <c r="AG49" i="90"/>
  <c r="AF49" i="90"/>
  <c r="AH49" i="90"/>
  <c r="BY52" i="79"/>
  <c r="BY52" i="92"/>
  <c r="BY52" i="91"/>
  <c r="BY52" i="90"/>
  <c r="CG60" i="79"/>
  <c r="CG60" i="92"/>
  <c r="CG60" i="91"/>
  <c r="CG60" i="90"/>
  <c r="CB2" i="92"/>
  <c r="CB2" i="91"/>
  <c r="CB2" i="90"/>
  <c r="BP5" i="79"/>
  <c r="BQ5" i="92"/>
  <c r="BP5" i="92"/>
  <c r="BP5" i="91"/>
  <c r="BQ5" i="91"/>
  <c r="BQ5" i="90"/>
  <c r="BP5" i="90"/>
  <c r="CA7" i="79"/>
  <c r="CA7" i="92"/>
  <c r="CA7" i="91"/>
  <c r="CA7" i="90"/>
  <c r="BY9" i="79"/>
  <c r="BY9" i="92"/>
  <c r="BY9" i="91"/>
  <c r="BY9" i="90"/>
  <c r="CE11" i="79"/>
  <c r="CE11" i="92"/>
  <c r="CE11" i="91"/>
  <c r="CE11" i="90"/>
  <c r="CC13" i="79"/>
  <c r="CC13" i="92"/>
  <c r="CC13" i="91"/>
  <c r="CC13" i="90"/>
  <c r="AV15" i="92"/>
  <c r="AU15" i="92"/>
  <c r="AW15" i="92"/>
  <c r="AV15" i="91"/>
  <c r="AU15" i="91"/>
  <c r="AW15" i="91"/>
  <c r="AW15" i="90"/>
  <c r="AV15" i="90"/>
  <c r="AU15" i="90"/>
  <c r="AQ17" i="92"/>
  <c r="AP17" i="92"/>
  <c r="AR17" i="92"/>
  <c r="AR17" i="91"/>
  <c r="AQ17" i="91"/>
  <c r="AP17" i="91"/>
  <c r="AR17" i="90"/>
  <c r="AQ17" i="90"/>
  <c r="AP17" i="90"/>
  <c r="AE19" i="79"/>
  <c r="AE19" i="92"/>
  <c r="AE19" i="91"/>
  <c r="AE19" i="90"/>
  <c r="BP21" i="79"/>
  <c r="BQ21" i="92"/>
  <c r="BP21" i="92"/>
  <c r="BQ21" i="91"/>
  <c r="BP21" i="91"/>
  <c r="BQ21" i="90"/>
  <c r="BP21" i="90"/>
  <c r="BV24" i="79"/>
  <c r="BV24" i="92"/>
  <c r="BV24" i="91"/>
  <c r="BV24" i="90"/>
  <c r="CB26" i="79"/>
  <c r="CB26" i="92"/>
  <c r="CB26" i="91"/>
  <c r="CB26" i="90"/>
  <c r="BZ28" i="79"/>
  <c r="BZ28" i="92"/>
  <c r="BZ28" i="91"/>
  <c r="BZ28" i="90"/>
  <c r="AV31" i="92"/>
  <c r="AU31" i="92"/>
  <c r="AW31" i="92"/>
  <c r="AW31" i="91"/>
  <c r="AV31" i="91"/>
  <c r="AU31" i="91"/>
  <c r="AW31" i="90"/>
  <c r="AV31" i="90"/>
  <c r="AU31" i="90"/>
  <c r="BY33" i="79"/>
  <c r="BY33" i="92"/>
  <c r="BY33" i="91"/>
  <c r="BY33" i="90"/>
  <c r="AX34" i="79"/>
  <c r="AX34" i="92"/>
  <c r="AX34" i="91"/>
  <c r="AX34" i="90"/>
  <c r="BW35" i="79"/>
  <c r="BW35" i="92"/>
  <c r="BW35" i="91"/>
  <c r="BW35" i="90"/>
  <c r="CH36" i="79"/>
  <c r="CH36" i="92"/>
  <c r="CH36" i="91"/>
  <c r="CH36" i="90"/>
  <c r="CC37" i="79"/>
  <c r="CC37" i="92"/>
  <c r="CC37" i="91"/>
  <c r="CC37" i="90"/>
  <c r="BX38" i="79"/>
  <c r="BX38" i="92"/>
  <c r="BX38" i="91"/>
  <c r="BX38" i="90"/>
  <c r="AV39" i="92"/>
  <c r="AU39" i="92"/>
  <c r="AW39" i="92"/>
  <c r="AW39" i="91"/>
  <c r="AV39" i="91"/>
  <c r="AU39" i="91"/>
  <c r="AW39" i="90"/>
  <c r="AV39" i="90"/>
  <c r="AU39" i="90"/>
  <c r="AD40" i="92"/>
  <c r="AC40" i="92"/>
  <c r="AB40" i="92"/>
  <c r="AD40" i="91"/>
  <c r="AC40" i="91"/>
  <c r="AB40" i="91"/>
  <c r="AD40" i="90"/>
  <c r="AC40" i="90"/>
  <c r="AB40" i="90"/>
  <c r="CD40" i="79"/>
  <c r="CD40" i="92"/>
  <c r="CD40" i="91"/>
  <c r="CD40" i="90"/>
  <c r="BY41" i="79"/>
  <c r="BY41" i="92"/>
  <c r="BY41" i="91"/>
  <c r="BY41" i="90"/>
  <c r="CG41" i="79"/>
  <c r="CG41" i="92"/>
  <c r="CG41" i="91"/>
  <c r="CG41" i="90"/>
  <c r="CB42" i="79"/>
  <c r="CB42" i="92"/>
  <c r="CB42" i="91"/>
  <c r="CB42" i="90"/>
  <c r="BW43" i="79"/>
  <c r="BW43" i="92"/>
  <c r="BW43" i="91"/>
  <c r="BW43" i="90"/>
  <c r="AS44" i="79"/>
  <c r="AS44" i="92"/>
  <c r="AS44" i="91"/>
  <c r="AS44" i="90"/>
  <c r="BP45" i="79"/>
  <c r="BP45" i="92"/>
  <c r="BQ45" i="92"/>
  <c r="BQ45" i="91"/>
  <c r="BP45" i="91"/>
  <c r="BQ45" i="90"/>
  <c r="BP45" i="90"/>
  <c r="AH46" i="92"/>
  <c r="AG46" i="92"/>
  <c r="AF46" i="92"/>
  <c r="AH46" i="91"/>
  <c r="AG46" i="91"/>
  <c r="AF46" i="91"/>
  <c r="AH46" i="90"/>
  <c r="AG46" i="90"/>
  <c r="AF46" i="90"/>
  <c r="CF46" i="79"/>
  <c r="CF46" i="92"/>
  <c r="CF46" i="91"/>
  <c r="CF46" i="90"/>
  <c r="AD48" i="92"/>
  <c r="AC48" i="92"/>
  <c r="AB48" i="92"/>
  <c r="AB48" i="91"/>
  <c r="AD48" i="91"/>
  <c r="AC48" i="91"/>
  <c r="AD48" i="90"/>
  <c r="AC48" i="90"/>
  <c r="AB48" i="90"/>
  <c r="CD48" i="79"/>
  <c r="CD48" i="92"/>
  <c r="CD48" i="91"/>
  <c r="CD48" i="90"/>
  <c r="CG49" i="79"/>
  <c r="CG49" i="92"/>
  <c r="CG49" i="91"/>
  <c r="CG49" i="90"/>
  <c r="CB50" i="79"/>
  <c r="CB50" i="92"/>
  <c r="CB50" i="91"/>
  <c r="CB50" i="90"/>
  <c r="BW51" i="79"/>
  <c r="BW51" i="92"/>
  <c r="BW51" i="91"/>
  <c r="BW51" i="90"/>
  <c r="AS52" i="79"/>
  <c r="AS52" i="92"/>
  <c r="AS52" i="91"/>
  <c r="AS52" i="90"/>
  <c r="BP53" i="79"/>
  <c r="BQ53" i="92"/>
  <c r="BP53" i="92"/>
  <c r="BQ53" i="91"/>
  <c r="BP53" i="91"/>
  <c r="BQ53" i="90"/>
  <c r="BP53" i="90"/>
  <c r="AF54" i="92"/>
  <c r="AH54" i="92"/>
  <c r="AG54" i="92"/>
  <c r="AH54" i="91"/>
  <c r="AG54" i="91"/>
  <c r="AF54" i="91"/>
  <c r="AH54" i="90"/>
  <c r="AG54" i="90"/>
  <c r="AF54" i="90"/>
  <c r="CF54" i="79"/>
  <c r="CF54" i="92"/>
  <c r="CF54" i="91"/>
  <c r="CF54" i="90"/>
  <c r="AW55" i="92"/>
  <c r="AV55" i="92"/>
  <c r="AU55" i="92"/>
  <c r="AW55" i="91"/>
  <c r="AV55" i="91"/>
  <c r="AU55" i="91"/>
  <c r="AW55" i="90"/>
  <c r="AV55" i="90"/>
  <c r="AU55" i="90"/>
  <c r="AB56" i="92"/>
  <c r="AD56" i="92"/>
  <c r="AC56" i="92"/>
  <c r="AD56" i="91"/>
  <c r="AC56" i="91"/>
  <c r="AB56" i="91"/>
  <c r="AD56" i="90"/>
  <c r="AC56" i="90"/>
  <c r="AB56" i="90"/>
  <c r="CD56" i="79"/>
  <c r="CD56" i="92"/>
  <c r="CD56" i="91"/>
  <c r="CD56" i="90"/>
  <c r="BY57" i="79"/>
  <c r="BY57" i="92"/>
  <c r="BY57" i="91"/>
  <c r="BY57" i="90"/>
  <c r="AX58" i="79"/>
  <c r="AX58" i="92"/>
  <c r="AX58" i="91"/>
  <c r="AX58" i="90"/>
  <c r="AE59" i="79"/>
  <c r="AE59" i="92"/>
  <c r="AE59" i="91"/>
  <c r="AE59" i="90"/>
  <c r="CE59" i="79"/>
  <c r="CE59" i="92"/>
  <c r="CE59" i="91"/>
  <c r="CE59" i="90"/>
  <c r="BZ60" i="79"/>
  <c r="BZ60" i="92"/>
  <c r="BZ60" i="91"/>
  <c r="BZ60" i="90"/>
  <c r="BP61" i="79"/>
  <c r="BP61" i="92"/>
  <c r="BQ61" i="92"/>
  <c r="BQ61" i="91"/>
  <c r="BP61" i="91"/>
  <c r="BQ61" i="90"/>
  <c r="BP61" i="90"/>
  <c r="AH62" i="92"/>
  <c r="AG62" i="92"/>
  <c r="AF62" i="92"/>
  <c r="AH62" i="91"/>
  <c r="AG62" i="91"/>
  <c r="AF62" i="91"/>
  <c r="AH62" i="90"/>
  <c r="AG62" i="90"/>
  <c r="AF62" i="90"/>
  <c r="CF62" i="79"/>
  <c r="CF62" i="92"/>
  <c r="CF62" i="91"/>
  <c r="CF62" i="90"/>
  <c r="CA63" i="79"/>
  <c r="CA63" i="92"/>
  <c r="CA63" i="91"/>
  <c r="CA63" i="90"/>
  <c r="BV64" i="79"/>
  <c r="BV64" i="92"/>
  <c r="BV64" i="91"/>
  <c r="BV64" i="90"/>
  <c r="AP65" i="92"/>
  <c r="AR65" i="92"/>
  <c r="AQ65" i="92"/>
  <c r="AR65" i="91"/>
  <c r="AQ65" i="91"/>
  <c r="AP65" i="91"/>
  <c r="AR65" i="90"/>
  <c r="AQ65" i="90"/>
  <c r="AP65" i="90"/>
  <c r="CG65" i="79"/>
  <c r="CG65" i="92"/>
  <c r="CG65" i="91"/>
  <c r="CG65" i="90"/>
  <c r="AE67" i="79"/>
  <c r="AE67" i="92"/>
  <c r="AE67" i="91"/>
  <c r="AE67" i="90"/>
  <c r="CE67" i="79"/>
  <c r="CE67" i="92"/>
  <c r="CE67" i="91"/>
  <c r="CE67" i="90"/>
  <c r="BZ68" i="79"/>
  <c r="BZ68" i="92"/>
  <c r="BZ68" i="91"/>
  <c r="BZ68" i="90"/>
  <c r="CH68" i="79"/>
  <c r="CH68" i="92"/>
  <c r="CH68" i="91"/>
  <c r="CH68" i="90"/>
  <c r="CC69" i="79"/>
  <c r="CC69" i="92"/>
  <c r="CC69" i="91"/>
  <c r="CC69" i="90"/>
  <c r="BX70" i="79"/>
  <c r="BX70" i="92"/>
  <c r="BX70" i="91"/>
  <c r="BX70" i="90"/>
  <c r="CA71" i="79"/>
  <c r="CA71" i="92"/>
  <c r="CA71" i="91"/>
  <c r="CA71" i="90"/>
  <c r="BV72" i="79"/>
  <c r="BV72" i="92"/>
  <c r="BV72" i="91"/>
  <c r="BV72" i="90"/>
  <c r="AQ73" i="92"/>
  <c r="AP73" i="92"/>
  <c r="AR73" i="92"/>
  <c r="AP73" i="91"/>
  <c r="AR73" i="91"/>
  <c r="AQ73" i="91"/>
  <c r="AR73" i="90"/>
  <c r="AP73" i="90"/>
  <c r="AQ73" i="90"/>
  <c r="CG73" i="79"/>
  <c r="CG73" i="92"/>
  <c r="CG73" i="91"/>
  <c r="CG73" i="90"/>
  <c r="CB74" i="79"/>
  <c r="CB74" i="92"/>
  <c r="CB74" i="91"/>
  <c r="CB74" i="90"/>
  <c r="BW75" i="79"/>
  <c r="BW75" i="92"/>
  <c r="BW75" i="91"/>
  <c r="BW75" i="90"/>
  <c r="AS76" i="79"/>
  <c r="AS76" i="92"/>
  <c r="AS76" i="91"/>
  <c r="AS76" i="90"/>
  <c r="CH76" i="79"/>
  <c r="CH76" i="92"/>
  <c r="CH76" i="91"/>
  <c r="CH76" i="90"/>
  <c r="CC77" i="79"/>
  <c r="CC77" i="92"/>
  <c r="CC77" i="91"/>
  <c r="CC77" i="90"/>
  <c r="BX78" i="79"/>
  <c r="BX78" i="92"/>
  <c r="BX78" i="91"/>
  <c r="BX78" i="90"/>
  <c r="AV79" i="92"/>
  <c r="AU79" i="92"/>
  <c r="AW79" i="92"/>
  <c r="AV79" i="91"/>
  <c r="AU79" i="91"/>
  <c r="AW79" i="91"/>
  <c r="AU79" i="90"/>
  <c r="AV79" i="90"/>
  <c r="AW79" i="90"/>
  <c r="AD80" i="92"/>
  <c r="AC80" i="92"/>
  <c r="AB80" i="92"/>
  <c r="AC80" i="91"/>
  <c r="AB80" i="91"/>
  <c r="AD80" i="91"/>
  <c r="AD80" i="90"/>
  <c r="AC80" i="90"/>
  <c r="AB80" i="90"/>
  <c r="CD80" i="79"/>
  <c r="CD80" i="92"/>
  <c r="CD80" i="91"/>
  <c r="CD80" i="90"/>
  <c r="BY81" i="79"/>
  <c r="BY81" i="92"/>
  <c r="BY81" i="91"/>
  <c r="BY81" i="90"/>
  <c r="AX82" i="79"/>
  <c r="AX82" i="92"/>
  <c r="AX82" i="91"/>
  <c r="AX82" i="90"/>
  <c r="AE83" i="79"/>
  <c r="AE83" i="92"/>
  <c r="AE83" i="91"/>
  <c r="AE83" i="90"/>
  <c r="CE83" i="79"/>
  <c r="CE83" i="92"/>
  <c r="CE83" i="91"/>
  <c r="CE83" i="90"/>
  <c r="BZ84" i="79"/>
  <c r="BZ84" i="92"/>
  <c r="BZ84" i="91"/>
  <c r="BZ84" i="90"/>
  <c r="AH86" i="92"/>
  <c r="AG86" i="92"/>
  <c r="AF86" i="92"/>
  <c r="AF86" i="91"/>
  <c r="AH86" i="91"/>
  <c r="AG86" i="91"/>
  <c r="AH86" i="90"/>
  <c r="AG86" i="90"/>
  <c r="AF86" i="90"/>
  <c r="BX86" i="79"/>
  <c r="BX86" i="92"/>
  <c r="BX86" i="91"/>
  <c r="BX86" i="90"/>
  <c r="AC88" i="92"/>
  <c r="AB88" i="92"/>
  <c r="AD88" i="92"/>
  <c r="AD88" i="91"/>
  <c r="AC88" i="91"/>
  <c r="AB88" i="91"/>
  <c r="AB88" i="90"/>
  <c r="AC88" i="90"/>
  <c r="AD88" i="90"/>
  <c r="CD88" i="79"/>
  <c r="CD88" i="92"/>
  <c r="CD88" i="91"/>
  <c r="CD88" i="90"/>
  <c r="BY89" i="79"/>
  <c r="BY89" i="92"/>
  <c r="BY89" i="91"/>
  <c r="BY89" i="90"/>
  <c r="AX90" i="79"/>
  <c r="AX90" i="92"/>
  <c r="AX90" i="91"/>
  <c r="AX90" i="90"/>
  <c r="AE91" i="79"/>
  <c r="AE91" i="92"/>
  <c r="AE91" i="91"/>
  <c r="AE91" i="90"/>
  <c r="CE91" i="79"/>
  <c r="CE91" i="92"/>
  <c r="CE91" i="91"/>
  <c r="CE91" i="90"/>
  <c r="BZ92" i="79"/>
  <c r="BZ92" i="92"/>
  <c r="BZ92" i="91"/>
  <c r="BZ92" i="90"/>
  <c r="BP93" i="79"/>
  <c r="BQ93" i="92"/>
  <c r="BP93" i="92"/>
  <c r="BP93" i="91"/>
  <c r="BQ93" i="91"/>
  <c r="BQ93" i="90"/>
  <c r="BP93" i="90"/>
  <c r="AG94" i="92"/>
  <c r="AF94" i="92"/>
  <c r="AH94" i="92"/>
  <c r="AH94" i="91"/>
  <c r="AF94" i="91"/>
  <c r="AG94" i="91"/>
  <c r="AH94" i="90"/>
  <c r="AG94" i="90"/>
  <c r="AF94" i="90"/>
  <c r="CF94" i="79"/>
  <c r="CF94" i="92"/>
  <c r="CF94" i="91"/>
  <c r="CF94" i="90"/>
  <c r="CA95" i="79"/>
  <c r="CA95" i="92"/>
  <c r="CA95" i="91"/>
  <c r="CA95" i="90"/>
  <c r="BV96" i="79"/>
  <c r="BV96" i="92"/>
  <c r="BV96" i="91"/>
  <c r="BV96" i="90"/>
  <c r="CG97" i="79"/>
  <c r="CG97" i="92"/>
  <c r="CG97" i="91"/>
  <c r="CG97" i="90"/>
  <c r="CB98" i="79"/>
  <c r="CB98" i="92"/>
  <c r="CB98" i="91"/>
  <c r="CB98" i="90"/>
  <c r="BW99" i="79"/>
  <c r="BW99" i="92"/>
  <c r="BW99" i="91"/>
  <c r="BW99" i="90"/>
  <c r="BP101" i="79"/>
  <c r="BQ101" i="92"/>
  <c r="BP101" i="92"/>
  <c r="BP101" i="91"/>
  <c r="BQ101" i="91"/>
  <c r="BQ101" i="90"/>
  <c r="BP101" i="90"/>
  <c r="BZ108" i="79"/>
  <c r="BZ108" i="92"/>
  <c r="BZ108" i="91"/>
  <c r="BZ108" i="90"/>
  <c r="AR2" i="92"/>
  <c r="AQ2" i="92"/>
  <c r="AP2" i="92"/>
  <c r="AQ2" i="91"/>
  <c r="AP2" i="91"/>
  <c r="AR2" i="91"/>
  <c r="AQ2" i="90"/>
  <c r="AR2" i="90"/>
  <c r="AP2" i="90"/>
  <c r="CE4" i="79"/>
  <c r="CE4" i="92"/>
  <c r="CE4" i="91"/>
  <c r="CE4" i="90"/>
  <c r="CF7" i="79"/>
  <c r="CF7" i="92"/>
  <c r="CF7" i="91"/>
  <c r="CF7" i="90"/>
  <c r="AE12" i="79"/>
  <c r="AE12" i="92"/>
  <c r="AE12" i="91"/>
  <c r="AE12" i="90"/>
  <c r="AF15" i="92"/>
  <c r="AH15" i="92"/>
  <c r="AG15" i="92"/>
  <c r="AF15" i="91"/>
  <c r="AH15" i="91"/>
  <c r="AG15" i="91"/>
  <c r="AH15" i="90"/>
  <c r="AG15" i="90"/>
  <c r="AF15" i="90"/>
  <c r="BY18" i="79"/>
  <c r="BY18" i="92"/>
  <c r="BY18" i="91"/>
  <c r="BY18" i="90"/>
  <c r="BP22" i="79"/>
  <c r="BQ22" i="92"/>
  <c r="BP22" i="92"/>
  <c r="BQ22" i="91"/>
  <c r="BP22" i="91"/>
  <c r="BQ22" i="90"/>
  <c r="BP22" i="90"/>
  <c r="BV25" i="79"/>
  <c r="BV25" i="92"/>
  <c r="BV25" i="91"/>
  <c r="BV25" i="90"/>
  <c r="BZ29" i="79"/>
  <c r="BZ29" i="92"/>
  <c r="BZ29" i="91"/>
  <c r="BZ29" i="90"/>
  <c r="CF31" i="79"/>
  <c r="CF31" i="92"/>
  <c r="CF31" i="91"/>
  <c r="CF31" i="90"/>
  <c r="CG34" i="79"/>
  <c r="CG34" i="92"/>
  <c r="CG34" i="91"/>
  <c r="CG34" i="90"/>
  <c r="AF39" i="92"/>
  <c r="AH39" i="92"/>
  <c r="AG39" i="92"/>
  <c r="AG39" i="91"/>
  <c r="AF39" i="91"/>
  <c r="AH39" i="91"/>
  <c r="AH39" i="90"/>
  <c r="AG39" i="90"/>
  <c r="AF39" i="90"/>
  <c r="AR42" i="92"/>
  <c r="AQ42" i="92"/>
  <c r="AP42" i="92"/>
  <c r="AR42" i="91"/>
  <c r="AQ42" i="91"/>
  <c r="AP42" i="91"/>
  <c r="AR42" i="90"/>
  <c r="AQ42" i="90"/>
  <c r="AP42" i="90"/>
  <c r="AS45" i="79"/>
  <c r="AS45" i="92"/>
  <c r="AS45" i="91"/>
  <c r="AS45" i="90"/>
  <c r="CF47" i="79"/>
  <c r="CF47" i="92"/>
  <c r="CF47" i="91"/>
  <c r="CF47" i="90"/>
  <c r="AX51" i="79"/>
  <c r="AX51" i="92"/>
  <c r="AX51" i="91"/>
  <c r="AX51" i="90"/>
  <c r="CC54" i="79"/>
  <c r="CC54" i="92"/>
  <c r="CC54" i="91"/>
  <c r="CC54" i="90"/>
  <c r="AX59" i="79"/>
  <c r="AX59" i="92"/>
  <c r="AX59" i="91"/>
  <c r="AX59" i="90"/>
  <c r="CF63" i="79"/>
  <c r="CF63" i="92"/>
  <c r="CF63" i="91"/>
  <c r="CF63" i="90"/>
  <c r="BY66" i="79"/>
  <c r="BY66" i="92"/>
  <c r="BY66" i="91"/>
  <c r="BY66" i="90"/>
  <c r="BP70" i="79"/>
  <c r="BQ70" i="92"/>
  <c r="BP70" i="92"/>
  <c r="BQ70" i="91"/>
  <c r="BP70" i="91"/>
  <c r="BQ70" i="90"/>
  <c r="BP70" i="90"/>
  <c r="BV73" i="79"/>
  <c r="BV73" i="92"/>
  <c r="BV73" i="91"/>
  <c r="BV73" i="90"/>
  <c r="CB75" i="79"/>
  <c r="CB75" i="92"/>
  <c r="CB75" i="91"/>
  <c r="CB75" i="90"/>
  <c r="BX79" i="79"/>
  <c r="BX79" i="92"/>
  <c r="BX79" i="91"/>
  <c r="BX79" i="90"/>
  <c r="AE84" i="79"/>
  <c r="AE84" i="92"/>
  <c r="AE84" i="91"/>
  <c r="AE84" i="90"/>
  <c r="AH87" i="92"/>
  <c r="AG87" i="92"/>
  <c r="AF87" i="92"/>
  <c r="AH87" i="91"/>
  <c r="AG87" i="91"/>
  <c r="AF87" i="91"/>
  <c r="AG87" i="90"/>
  <c r="AF87" i="90"/>
  <c r="AH87" i="90"/>
  <c r="BV89" i="79"/>
  <c r="BV89" i="92"/>
  <c r="BV89" i="91"/>
  <c r="BV89" i="90"/>
  <c r="BZ93" i="79"/>
  <c r="BZ93" i="92"/>
  <c r="BZ93" i="91"/>
  <c r="BZ93" i="90"/>
  <c r="CA96" i="79"/>
  <c r="CA96" i="92"/>
  <c r="CA96" i="91"/>
  <c r="CA96" i="90"/>
  <c r="CB99" i="79"/>
  <c r="CB99" i="92"/>
  <c r="CB99" i="91"/>
  <c r="CB99" i="90"/>
  <c r="CC102" i="79"/>
  <c r="CC102" i="92"/>
  <c r="CC102" i="91"/>
  <c r="CC102" i="90"/>
  <c r="CD105" i="79"/>
  <c r="CD105" i="92"/>
  <c r="CD105" i="91"/>
  <c r="CD105" i="90"/>
  <c r="BZ109" i="79"/>
  <c r="BZ109" i="92"/>
  <c r="BZ109" i="91"/>
  <c r="BZ109" i="90"/>
  <c r="BV113" i="79"/>
  <c r="BV113" i="92"/>
  <c r="BV113" i="91"/>
  <c r="BV113" i="90"/>
  <c r="CD121" i="79"/>
  <c r="CD121" i="92"/>
  <c r="CD121" i="91"/>
  <c r="CD121" i="90"/>
  <c r="BW124" i="79"/>
  <c r="BW124" i="92"/>
  <c r="BW124" i="91"/>
  <c r="BW124" i="90"/>
  <c r="CF127" i="79"/>
  <c r="CF127" i="92"/>
  <c r="CF127" i="91"/>
  <c r="CF127" i="90"/>
  <c r="AE132" i="79"/>
  <c r="AE132" i="92"/>
  <c r="AE132" i="91"/>
  <c r="AE132" i="90"/>
  <c r="BX143" i="79"/>
  <c r="BX143" i="92"/>
  <c r="BX143" i="91"/>
  <c r="BX143" i="90"/>
  <c r="AW2" i="92"/>
  <c r="AV2" i="92"/>
  <c r="AU2" i="92"/>
  <c r="AW2" i="91"/>
  <c r="AV2" i="91"/>
  <c r="AU2" i="91"/>
  <c r="AW2" i="90"/>
  <c r="AV2" i="90"/>
  <c r="AU2" i="90"/>
  <c r="AE6" i="79"/>
  <c r="AE6" i="92"/>
  <c r="AE6" i="91"/>
  <c r="AE6" i="90"/>
  <c r="AD11" i="92"/>
  <c r="AC11" i="92"/>
  <c r="AB11" i="92"/>
  <c r="AD11" i="91"/>
  <c r="AC11" i="91"/>
  <c r="AB11" i="91"/>
  <c r="AB11" i="90"/>
  <c r="AC11" i="90"/>
  <c r="AD11" i="90"/>
  <c r="CE14" i="79"/>
  <c r="CE14" i="92"/>
  <c r="CE14" i="91"/>
  <c r="CE14" i="90"/>
  <c r="AH17" i="92"/>
  <c r="AG17" i="92"/>
  <c r="AF17" i="92"/>
  <c r="AH17" i="91"/>
  <c r="AG17" i="91"/>
  <c r="AF17" i="91"/>
  <c r="AF17" i="90"/>
  <c r="AH17" i="90"/>
  <c r="AG17" i="90"/>
  <c r="CD19" i="79"/>
  <c r="CD19" i="92"/>
  <c r="CD19" i="91"/>
  <c r="CD19" i="90"/>
  <c r="CE22" i="79"/>
  <c r="CE22" i="92"/>
  <c r="CE22" i="91"/>
  <c r="CE22" i="90"/>
  <c r="AD27" i="92"/>
  <c r="AC27" i="92"/>
  <c r="AB27" i="92"/>
  <c r="AD27" i="91"/>
  <c r="AC27" i="91"/>
  <c r="AB27" i="91"/>
  <c r="AB27" i="90"/>
  <c r="AC27" i="90"/>
  <c r="AD27" i="90"/>
  <c r="AE30" i="79"/>
  <c r="AE30" i="92"/>
  <c r="AE30" i="91"/>
  <c r="AE30" i="90"/>
  <c r="AW34" i="92"/>
  <c r="AV34" i="92"/>
  <c r="AU34" i="92"/>
  <c r="AU34" i="91"/>
  <c r="AW34" i="91"/>
  <c r="AV34" i="91"/>
  <c r="AW34" i="90"/>
  <c r="AV34" i="90"/>
  <c r="AU34" i="90"/>
  <c r="BQ40" i="79"/>
  <c r="BQ40" i="92"/>
  <c r="BP40" i="92"/>
  <c r="BP40" i="91"/>
  <c r="BQ40" i="91"/>
  <c r="BQ40" i="90"/>
  <c r="BP40" i="90"/>
  <c r="CD51" i="79"/>
  <c r="CD51" i="92"/>
  <c r="CD51" i="91"/>
  <c r="CD51" i="90"/>
  <c r="BY60" i="79"/>
  <c r="BY60" i="92"/>
  <c r="BY60" i="91"/>
  <c r="BY60" i="90"/>
  <c r="CE3" i="79"/>
  <c r="CE3" i="92"/>
  <c r="CE3" i="91"/>
  <c r="CE3" i="90"/>
  <c r="AV7" i="92"/>
  <c r="AU7" i="92"/>
  <c r="AW7" i="92"/>
  <c r="AW7" i="91"/>
  <c r="AV7" i="91"/>
  <c r="AU7" i="91"/>
  <c r="AW7" i="90"/>
  <c r="AV7" i="90"/>
  <c r="AU7" i="90"/>
  <c r="AX10" i="79"/>
  <c r="AX10" i="92"/>
  <c r="AX10" i="91"/>
  <c r="AX10" i="90"/>
  <c r="CA15" i="79"/>
  <c r="CA15" i="92"/>
  <c r="CA15" i="91"/>
  <c r="CA15" i="90"/>
  <c r="CB18" i="79"/>
  <c r="CB18" i="92"/>
  <c r="CB18" i="91"/>
  <c r="CB18" i="90"/>
  <c r="CF22" i="79"/>
  <c r="CF22" i="92"/>
  <c r="CF22" i="91"/>
  <c r="CF22" i="90"/>
  <c r="CG25" i="79"/>
  <c r="CG25" i="92"/>
  <c r="CG25" i="91"/>
  <c r="CG25" i="90"/>
  <c r="AS28" i="79"/>
  <c r="AS28" i="92"/>
  <c r="AS28" i="91"/>
  <c r="AS28" i="90"/>
  <c r="CA31" i="79"/>
  <c r="CA31" i="92"/>
  <c r="CA31" i="91"/>
  <c r="CA31" i="90"/>
  <c r="AS36" i="79"/>
  <c r="AS36" i="92"/>
  <c r="AS36" i="91"/>
  <c r="AS36" i="90"/>
  <c r="BZ52" i="79"/>
  <c r="BZ52" i="92"/>
  <c r="BZ52" i="91"/>
  <c r="BZ52" i="90"/>
  <c r="CC109" i="79"/>
  <c r="CC109" i="92"/>
  <c r="CC109" i="91"/>
  <c r="CC109" i="90"/>
  <c r="AE4" i="79"/>
  <c r="AE4" i="92"/>
  <c r="AE4" i="91"/>
  <c r="AE4" i="90"/>
  <c r="CH5" i="79"/>
  <c r="CH5" i="92"/>
  <c r="CH5" i="91"/>
  <c r="CH5" i="90"/>
  <c r="BX7" i="79"/>
  <c r="BX7" i="92"/>
  <c r="BX7" i="91"/>
  <c r="BX7" i="90"/>
  <c r="CD9" i="79"/>
  <c r="CD9" i="92"/>
  <c r="CD9" i="91"/>
  <c r="CD9" i="90"/>
  <c r="BY10" i="79"/>
  <c r="BY10" i="92"/>
  <c r="BY10" i="91"/>
  <c r="BY10" i="90"/>
  <c r="BW12" i="79"/>
  <c r="BW12" i="92"/>
  <c r="BW12" i="91"/>
  <c r="BW12" i="90"/>
  <c r="BZ13" i="79"/>
  <c r="BZ13" i="92"/>
  <c r="BZ13" i="91"/>
  <c r="BZ13" i="90"/>
  <c r="CF15" i="79"/>
  <c r="CF15" i="92"/>
  <c r="CF15" i="91"/>
  <c r="CF15" i="90"/>
  <c r="CD17" i="79"/>
  <c r="CD17" i="92"/>
  <c r="CD17" i="91"/>
  <c r="CD17" i="90"/>
  <c r="AE20" i="79"/>
  <c r="AE20" i="92"/>
  <c r="AE20" i="91"/>
  <c r="AE20" i="90"/>
  <c r="AS21" i="79"/>
  <c r="AS21" i="92"/>
  <c r="AS21" i="91"/>
  <c r="AS21" i="90"/>
  <c r="BX23" i="79"/>
  <c r="BX23" i="92"/>
  <c r="BX23" i="91"/>
  <c r="BX23" i="90"/>
  <c r="CD25" i="79"/>
  <c r="CD25" i="92"/>
  <c r="CD25" i="91"/>
  <c r="CD25" i="90"/>
  <c r="CB27" i="79"/>
  <c r="CB27" i="92"/>
  <c r="CB27" i="91"/>
  <c r="CB27" i="90"/>
  <c r="CH29" i="79"/>
  <c r="CH29" i="92"/>
  <c r="CH29" i="91"/>
  <c r="CH29" i="90"/>
  <c r="CA32" i="79"/>
  <c r="CA32" i="92"/>
  <c r="CA32" i="91"/>
  <c r="CA32" i="90"/>
  <c r="BY34" i="79"/>
  <c r="BY34" i="92"/>
  <c r="BY34" i="91"/>
  <c r="BY34" i="90"/>
  <c r="CE36" i="79"/>
  <c r="CE36" i="92"/>
  <c r="CE36" i="91"/>
  <c r="CE36" i="90"/>
  <c r="CC38" i="79"/>
  <c r="CC38" i="92"/>
  <c r="CC38" i="91"/>
  <c r="CC38" i="90"/>
  <c r="AD41" i="92"/>
  <c r="AC41" i="92"/>
  <c r="AB41" i="92"/>
  <c r="AC41" i="91"/>
  <c r="AB41" i="91"/>
  <c r="AD41" i="91"/>
  <c r="AD41" i="90"/>
  <c r="AC41" i="90"/>
  <c r="AB41" i="90"/>
  <c r="CB43" i="79"/>
  <c r="CB43" i="92"/>
  <c r="CB43" i="91"/>
  <c r="CB43" i="90"/>
  <c r="BZ45" i="79"/>
  <c r="BZ45" i="92"/>
  <c r="BZ45" i="91"/>
  <c r="BZ45" i="90"/>
  <c r="BX47" i="79"/>
  <c r="BX47" i="92"/>
  <c r="BX47" i="91"/>
  <c r="BX47" i="90"/>
  <c r="BV49" i="79"/>
  <c r="BV49" i="92"/>
  <c r="BV49" i="91"/>
  <c r="BV49" i="90"/>
  <c r="AR50" i="92"/>
  <c r="AQ50" i="92"/>
  <c r="AP50" i="92"/>
  <c r="AP50" i="91"/>
  <c r="AR50" i="91"/>
  <c r="AQ50" i="91"/>
  <c r="AP50" i="90"/>
  <c r="AR50" i="90"/>
  <c r="AQ50" i="90"/>
  <c r="BW52" i="79"/>
  <c r="BW52" i="92"/>
  <c r="BW52" i="91"/>
  <c r="BW52" i="90"/>
  <c r="CH53" i="79"/>
  <c r="CH53" i="92"/>
  <c r="CH53" i="91"/>
  <c r="CH53" i="90"/>
  <c r="CA56" i="79"/>
  <c r="CA56" i="92"/>
  <c r="CA56" i="91"/>
  <c r="CA56" i="90"/>
  <c r="BY58" i="79"/>
  <c r="BY58" i="92"/>
  <c r="BY58" i="91"/>
  <c r="BY58" i="90"/>
  <c r="CE60" i="79"/>
  <c r="CE60" i="92"/>
  <c r="CE60" i="91"/>
  <c r="CE60" i="90"/>
  <c r="AH63" i="92"/>
  <c r="AG63" i="92"/>
  <c r="AF63" i="92"/>
  <c r="AG63" i="91"/>
  <c r="AF63" i="91"/>
  <c r="AH63" i="91"/>
  <c r="AH63" i="90"/>
  <c r="AG63" i="90"/>
  <c r="AF63" i="90"/>
  <c r="AD65" i="92"/>
  <c r="AC65" i="92"/>
  <c r="AB65" i="92"/>
  <c r="AC65" i="91"/>
  <c r="AB65" i="91"/>
  <c r="AD65" i="91"/>
  <c r="AD65" i="90"/>
  <c r="AC65" i="90"/>
  <c r="AB65" i="90"/>
  <c r="AX67" i="79"/>
  <c r="AX67" i="92"/>
  <c r="AX67" i="91"/>
  <c r="AX67" i="90"/>
  <c r="AS69" i="79"/>
  <c r="AS69" i="92"/>
  <c r="AS69" i="91"/>
  <c r="AS69" i="90"/>
  <c r="CF71" i="79"/>
  <c r="CF71" i="92"/>
  <c r="CF71" i="91"/>
  <c r="CF71" i="90"/>
  <c r="CD73" i="79"/>
  <c r="CD73" i="92"/>
  <c r="CD73" i="91"/>
  <c r="CD73" i="90"/>
  <c r="AE76" i="79"/>
  <c r="AE76" i="92"/>
  <c r="AE76" i="91"/>
  <c r="AE76" i="90"/>
  <c r="CH77" i="79"/>
  <c r="CH77" i="92"/>
  <c r="CH77" i="91"/>
  <c r="CH77" i="90"/>
  <c r="AU80" i="92"/>
  <c r="AW80" i="92"/>
  <c r="AV80" i="92"/>
  <c r="AW80" i="91"/>
  <c r="AV80" i="91"/>
  <c r="AU80" i="91"/>
  <c r="AW80" i="90"/>
  <c r="AV80" i="90"/>
  <c r="AU80" i="90"/>
  <c r="BY82" i="79"/>
  <c r="BY82" i="92"/>
  <c r="BY82" i="91"/>
  <c r="BY82" i="90"/>
  <c r="BZ85" i="79"/>
  <c r="BZ85" i="92"/>
  <c r="BZ85" i="91"/>
  <c r="BZ85" i="90"/>
  <c r="CF87" i="79"/>
  <c r="CF87" i="92"/>
  <c r="CF87" i="91"/>
  <c r="CF87" i="90"/>
  <c r="AR90" i="92"/>
  <c r="AQ90" i="92"/>
  <c r="AP90" i="92"/>
  <c r="AP90" i="91"/>
  <c r="AR90" i="91"/>
  <c r="AQ90" i="91"/>
  <c r="AR90" i="90"/>
  <c r="AQ90" i="90"/>
  <c r="AP90" i="90"/>
  <c r="CE92" i="79"/>
  <c r="CE92" i="92"/>
  <c r="CE92" i="91"/>
  <c r="CE92" i="90"/>
  <c r="BX95" i="79"/>
  <c r="BX95" i="92"/>
  <c r="BX95" i="91"/>
  <c r="BX95" i="90"/>
  <c r="AS101" i="79"/>
  <c r="AS101" i="92"/>
  <c r="AS101" i="91"/>
  <c r="AS101" i="90"/>
  <c r="BV105" i="79"/>
  <c r="BV105" i="92"/>
  <c r="BV105" i="91"/>
  <c r="BV105" i="90"/>
  <c r="CB107" i="79"/>
  <c r="CB107" i="92"/>
  <c r="CB107" i="91"/>
  <c r="CB107" i="90"/>
  <c r="CC110" i="79"/>
  <c r="CC110" i="92"/>
  <c r="CC110" i="91"/>
  <c r="CC110" i="90"/>
  <c r="BY114" i="79"/>
  <c r="BY114" i="92"/>
  <c r="BY114" i="91"/>
  <c r="BY114" i="90"/>
  <c r="CB115" i="79"/>
  <c r="CB115" i="92"/>
  <c r="CB115" i="91"/>
  <c r="CB115" i="90"/>
  <c r="BZ117" i="79"/>
  <c r="BZ117" i="92"/>
  <c r="BZ117" i="91"/>
  <c r="BZ117" i="90"/>
  <c r="CG122" i="79"/>
  <c r="CG122" i="92"/>
  <c r="CG122" i="91"/>
  <c r="CG122" i="90"/>
  <c r="AS125" i="79"/>
  <c r="AS125" i="92"/>
  <c r="AS125" i="91"/>
  <c r="AS125" i="90"/>
  <c r="AF127" i="92"/>
  <c r="AH127" i="92"/>
  <c r="AG127" i="92"/>
  <c r="AH127" i="91"/>
  <c r="AG127" i="91"/>
  <c r="AF127" i="91"/>
  <c r="AG127" i="90"/>
  <c r="AF127" i="90"/>
  <c r="AH127" i="90"/>
  <c r="BV129" i="79"/>
  <c r="BV129" i="92"/>
  <c r="BV129" i="91"/>
  <c r="BV129" i="90"/>
  <c r="CB131" i="79"/>
  <c r="CB131" i="92"/>
  <c r="CB131" i="91"/>
  <c r="CB131" i="90"/>
  <c r="BZ133" i="79"/>
  <c r="BZ133" i="92"/>
  <c r="BZ133" i="91"/>
  <c r="BZ133" i="90"/>
  <c r="CF135" i="79"/>
  <c r="CF135" i="92"/>
  <c r="CF135" i="91"/>
  <c r="CF135" i="90"/>
  <c r="CE140" i="79"/>
  <c r="CE140" i="92"/>
  <c r="CE140" i="91"/>
  <c r="CE140" i="90"/>
  <c r="BV145" i="79"/>
  <c r="BV145" i="92"/>
  <c r="BV145" i="91"/>
  <c r="BV145" i="90"/>
  <c r="CD3" i="79"/>
  <c r="CD3" i="92"/>
  <c r="CD3" i="91"/>
  <c r="CD3" i="90"/>
  <c r="CB5" i="79"/>
  <c r="CB5" i="92"/>
  <c r="CB5" i="91"/>
  <c r="CB5" i="90"/>
  <c r="CH7" i="79"/>
  <c r="CH7" i="92"/>
  <c r="CH7" i="91"/>
  <c r="CH7" i="90"/>
  <c r="BX9" i="79"/>
  <c r="BX9" i="92"/>
  <c r="BX9" i="91"/>
  <c r="BX9" i="90"/>
  <c r="CD11" i="79"/>
  <c r="CD11" i="92"/>
  <c r="CD11" i="91"/>
  <c r="CD11" i="90"/>
  <c r="AE14" i="79"/>
  <c r="AE14" i="92"/>
  <c r="AE14" i="91"/>
  <c r="AE14" i="90"/>
  <c r="BQ16" i="79"/>
  <c r="BQ16" i="92"/>
  <c r="BP16" i="92"/>
  <c r="BP16" i="91"/>
  <c r="BQ16" i="91"/>
  <c r="BQ16" i="90"/>
  <c r="BP16" i="90"/>
  <c r="AW18" i="92"/>
  <c r="AU18" i="92"/>
  <c r="AV18" i="92"/>
  <c r="AU18" i="91"/>
  <c r="AW18" i="91"/>
  <c r="AV18" i="91"/>
  <c r="AW18" i="90"/>
  <c r="AV18" i="90"/>
  <c r="AU18" i="90"/>
  <c r="AR20" i="92"/>
  <c r="AQ20" i="92"/>
  <c r="AP20" i="92"/>
  <c r="AP20" i="91"/>
  <c r="AR20" i="91"/>
  <c r="AQ20" i="91"/>
  <c r="AR20" i="90"/>
  <c r="AQ20" i="90"/>
  <c r="AP20" i="90"/>
  <c r="CG20" i="79"/>
  <c r="CG20" i="92"/>
  <c r="CG20" i="91"/>
  <c r="CG20" i="90"/>
  <c r="AS23" i="79"/>
  <c r="AS23" i="92"/>
  <c r="AS23" i="91"/>
  <c r="AS23" i="90"/>
  <c r="AH25" i="92"/>
  <c r="AG25" i="92"/>
  <c r="AF25" i="92"/>
  <c r="AH25" i="91"/>
  <c r="AG25" i="91"/>
  <c r="AF25" i="91"/>
  <c r="AF25" i="90"/>
  <c r="AG25" i="90"/>
  <c r="AH25" i="90"/>
  <c r="AR28" i="92"/>
  <c r="AQ28" i="92"/>
  <c r="AP28" i="92"/>
  <c r="AP28" i="91"/>
  <c r="AQ28" i="91"/>
  <c r="AR28" i="91"/>
  <c r="AR28" i="90"/>
  <c r="AQ28" i="90"/>
  <c r="AP28" i="90"/>
  <c r="BW30" i="79"/>
  <c r="BW30" i="92"/>
  <c r="BW30" i="91"/>
  <c r="BW30" i="90"/>
  <c r="AH33" i="92"/>
  <c r="AG33" i="92"/>
  <c r="AF33" i="92"/>
  <c r="AH33" i="91"/>
  <c r="AG33" i="91"/>
  <c r="AF33" i="91"/>
  <c r="AF33" i="90"/>
  <c r="AH33" i="90"/>
  <c r="AG33" i="90"/>
  <c r="AR36" i="92"/>
  <c r="AQ36" i="92"/>
  <c r="AP36" i="92"/>
  <c r="AP36" i="91"/>
  <c r="AR36" i="91"/>
  <c r="AQ36" i="91"/>
  <c r="AR36" i="90"/>
  <c r="AQ36" i="90"/>
  <c r="AP36" i="90"/>
  <c r="AE38" i="79"/>
  <c r="AE38" i="92"/>
  <c r="AE38" i="91"/>
  <c r="AE38" i="90"/>
  <c r="CH39" i="79"/>
  <c r="CH39" i="92"/>
  <c r="CH39" i="91"/>
  <c r="CH39" i="90"/>
  <c r="AW42" i="92"/>
  <c r="AV42" i="92"/>
  <c r="AU42" i="92"/>
  <c r="AU42" i="91"/>
  <c r="AW42" i="91"/>
  <c r="AV42" i="91"/>
  <c r="AW42" i="90"/>
  <c r="AV42" i="90"/>
  <c r="AU42" i="90"/>
  <c r="BY44" i="79"/>
  <c r="BY44" i="92"/>
  <c r="BY44" i="91"/>
  <c r="BY44" i="90"/>
  <c r="AS47" i="79"/>
  <c r="AS47" i="92"/>
  <c r="AS47" i="91"/>
  <c r="AS47" i="90"/>
  <c r="BX49" i="79"/>
  <c r="BX49" i="92"/>
  <c r="BX49" i="91"/>
  <c r="BX49" i="90"/>
  <c r="CG52" i="79"/>
  <c r="CG52" i="92"/>
  <c r="CG52" i="91"/>
  <c r="CG52" i="90"/>
  <c r="BW62" i="79"/>
  <c r="BW62" i="92"/>
  <c r="BW62" i="91"/>
  <c r="BW62" i="90"/>
  <c r="AE3" i="79"/>
  <c r="AE3" i="92"/>
  <c r="AE3" i="91"/>
  <c r="AE3" i="90"/>
  <c r="AS4" i="79"/>
  <c r="AS4" i="92"/>
  <c r="AS4" i="91"/>
  <c r="AS4" i="90"/>
  <c r="CC5" i="79"/>
  <c r="CC5" i="92"/>
  <c r="CC5" i="91"/>
  <c r="CC5" i="90"/>
  <c r="CF6" i="79"/>
  <c r="CF6" i="92"/>
  <c r="CF6" i="91"/>
  <c r="CF6" i="90"/>
  <c r="BV8" i="79"/>
  <c r="BV8" i="92"/>
  <c r="BV8" i="91"/>
  <c r="BV8" i="90"/>
  <c r="AQ9" i="92"/>
  <c r="AP9" i="92"/>
  <c r="AR9" i="92"/>
  <c r="AP9" i="91"/>
  <c r="AR9" i="91"/>
  <c r="AQ9" i="91"/>
  <c r="AR9" i="90"/>
  <c r="AQ9" i="90"/>
  <c r="AP9" i="90"/>
  <c r="CB10" i="79"/>
  <c r="CB10" i="92"/>
  <c r="CB10" i="91"/>
  <c r="CB10" i="90"/>
  <c r="AS12" i="79"/>
  <c r="AS12" i="92"/>
  <c r="AS12" i="91"/>
  <c r="AS12" i="90"/>
  <c r="BP13" i="79"/>
  <c r="BQ13" i="92"/>
  <c r="BP13" i="92"/>
  <c r="BQ13" i="91"/>
  <c r="BP13" i="91"/>
  <c r="BQ13" i="90"/>
  <c r="BP13" i="90"/>
  <c r="BX14" i="79"/>
  <c r="BX14" i="92"/>
  <c r="BX14" i="91"/>
  <c r="BX14" i="90"/>
  <c r="BV16" i="79"/>
  <c r="BV16" i="92"/>
  <c r="BV16" i="91"/>
  <c r="BV16" i="90"/>
  <c r="CG17" i="79"/>
  <c r="CG17" i="92"/>
  <c r="CG17" i="91"/>
  <c r="CG17" i="90"/>
  <c r="CE19" i="79"/>
  <c r="CE19" i="92"/>
  <c r="CE19" i="91"/>
  <c r="CE19" i="90"/>
  <c r="CC21" i="79"/>
  <c r="CC21" i="92"/>
  <c r="CC21" i="91"/>
  <c r="CC21" i="90"/>
  <c r="CA23" i="79"/>
  <c r="CA23" i="92"/>
  <c r="CA23" i="91"/>
  <c r="CA23" i="90"/>
  <c r="AQ25" i="92"/>
  <c r="AP25" i="92"/>
  <c r="AR25" i="92"/>
  <c r="AR25" i="91"/>
  <c r="AQ25" i="91"/>
  <c r="AP25" i="91"/>
  <c r="AR25" i="90"/>
  <c r="AQ25" i="90"/>
  <c r="AP25" i="90"/>
  <c r="AE27" i="79"/>
  <c r="AE27" i="92"/>
  <c r="AE27" i="91"/>
  <c r="AE27" i="90"/>
  <c r="CH28" i="79"/>
  <c r="CH28" i="92"/>
  <c r="CH28" i="91"/>
  <c r="CH28" i="90"/>
  <c r="BX30" i="79"/>
  <c r="BX30" i="92"/>
  <c r="BX30" i="91"/>
  <c r="BX30" i="90"/>
  <c r="BV32" i="79"/>
  <c r="BV32" i="92"/>
  <c r="BV32" i="91"/>
  <c r="BV32" i="90"/>
  <c r="AE35" i="79"/>
  <c r="AE35" i="92"/>
  <c r="AE35" i="91"/>
  <c r="AE35" i="90"/>
  <c r="CH44" i="79"/>
  <c r="CH44" i="92"/>
  <c r="CH44" i="91"/>
  <c r="CH44" i="90"/>
  <c r="BY2" i="92"/>
  <c r="BY2" i="91"/>
  <c r="BY2" i="90"/>
  <c r="AS5" i="79"/>
  <c r="AS5" i="92"/>
  <c r="AS5" i="91"/>
  <c r="AS5" i="90"/>
  <c r="AF7" i="92"/>
  <c r="AH7" i="92"/>
  <c r="AG7" i="92"/>
  <c r="AH7" i="91"/>
  <c r="AG7" i="91"/>
  <c r="AF7" i="91"/>
  <c r="AH7" i="90"/>
  <c r="AG7" i="90"/>
  <c r="AF7" i="90"/>
  <c r="AW8" i="92"/>
  <c r="AV8" i="92"/>
  <c r="AU8" i="92"/>
  <c r="AV8" i="91"/>
  <c r="AW8" i="91"/>
  <c r="AU8" i="91"/>
  <c r="AV8" i="90"/>
  <c r="AW8" i="90"/>
  <c r="AU8" i="90"/>
  <c r="AR10" i="92"/>
  <c r="AQ10" i="92"/>
  <c r="AP10" i="92"/>
  <c r="AQ10" i="91"/>
  <c r="AP10" i="91"/>
  <c r="AR10" i="91"/>
  <c r="AQ10" i="90"/>
  <c r="AR10" i="90"/>
  <c r="AP10" i="90"/>
  <c r="CE12" i="79"/>
  <c r="CE12" i="92"/>
  <c r="CE12" i="91"/>
  <c r="CE12" i="90"/>
  <c r="BP14" i="79"/>
  <c r="BQ14" i="92"/>
  <c r="BP14" i="92"/>
  <c r="BP14" i="91"/>
  <c r="BQ14" i="91"/>
  <c r="BQ14" i="90"/>
  <c r="BP14" i="90"/>
  <c r="CA16" i="79"/>
  <c r="CA16" i="92"/>
  <c r="CA16" i="91"/>
  <c r="CA16" i="90"/>
  <c r="CG18" i="79"/>
  <c r="CG18" i="92"/>
  <c r="CG18" i="91"/>
  <c r="CG18" i="90"/>
  <c r="CH21" i="79"/>
  <c r="CH21" i="92"/>
  <c r="CH21" i="91"/>
  <c r="CH21" i="90"/>
  <c r="AW24" i="92"/>
  <c r="AV24" i="92"/>
  <c r="AU24" i="92"/>
  <c r="AW24" i="91"/>
  <c r="AV24" i="91"/>
  <c r="AU24" i="91"/>
  <c r="AV24" i="90"/>
  <c r="AW24" i="90"/>
  <c r="AU24" i="90"/>
  <c r="BY26" i="79"/>
  <c r="BY26" i="92"/>
  <c r="BY26" i="91"/>
  <c r="BY26" i="90"/>
  <c r="BW28" i="79"/>
  <c r="BW28" i="92"/>
  <c r="BW28" i="91"/>
  <c r="BW28" i="90"/>
  <c r="AF31" i="92"/>
  <c r="AG31" i="92"/>
  <c r="AH31" i="92"/>
  <c r="AG31" i="91"/>
  <c r="AF31" i="91"/>
  <c r="AH31" i="91"/>
  <c r="AH31" i="90"/>
  <c r="AG31" i="90"/>
  <c r="AF31" i="90"/>
  <c r="AW32" i="92"/>
  <c r="AV32" i="92"/>
  <c r="AU32" i="92"/>
  <c r="AW32" i="91"/>
  <c r="AV32" i="91"/>
  <c r="AU32" i="91"/>
  <c r="AV32" i="90"/>
  <c r="AW32" i="90"/>
  <c r="AU32" i="90"/>
  <c r="BW36" i="79"/>
  <c r="BW36" i="92"/>
  <c r="BW36" i="91"/>
  <c r="BW36" i="90"/>
  <c r="BP38" i="79"/>
  <c r="BQ38" i="92"/>
  <c r="BP38" i="92"/>
  <c r="BQ38" i="91"/>
  <c r="BP38" i="91"/>
  <c r="BQ38" i="90"/>
  <c r="BP38" i="90"/>
  <c r="AW40" i="92"/>
  <c r="AV40" i="92"/>
  <c r="AU40" i="92"/>
  <c r="AW40" i="91"/>
  <c r="AV40" i="91"/>
  <c r="AU40" i="91"/>
  <c r="AV40" i="90"/>
  <c r="AW40" i="90"/>
  <c r="AU40" i="90"/>
  <c r="BV41" i="79"/>
  <c r="BV41" i="92"/>
  <c r="BV41" i="91"/>
  <c r="BV41" i="90"/>
  <c r="CG42" i="79"/>
  <c r="CG42" i="92"/>
  <c r="CG42" i="91"/>
  <c r="CG42" i="90"/>
  <c r="CE44" i="79"/>
  <c r="CE44" i="92"/>
  <c r="CE44" i="91"/>
  <c r="CE44" i="90"/>
  <c r="BP46" i="79"/>
  <c r="BQ46" i="92"/>
  <c r="BP46" i="92"/>
  <c r="BQ46" i="91"/>
  <c r="BP46" i="91"/>
  <c r="BQ46" i="90"/>
  <c r="BP46" i="90"/>
  <c r="AW48" i="92"/>
  <c r="AV48" i="92"/>
  <c r="AU48" i="92"/>
  <c r="AU48" i="91"/>
  <c r="AW48" i="91"/>
  <c r="AV48" i="91"/>
  <c r="AV48" i="90"/>
  <c r="AW48" i="90"/>
  <c r="AU48" i="90"/>
  <c r="BY50" i="79"/>
  <c r="BY50" i="92"/>
  <c r="BY50" i="91"/>
  <c r="BY50" i="90"/>
  <c r="CE52" i="79"/>
  <c r="CE52" i="92"/>
  <c r="CE52" i="91"/>
  <c r="CE52" i="90"/>
  <c r="BP54" i="79"/>
  <c r="BQ54" i="92"/>
  <c r="BP54" i="92"/>
  <c r="BQ54" i="91"/>
  <c r="BP54" i="91"/>
  <c r="BQ54" i="90"/>
  <c r="BP54" i="90"/>
  <c r="AW56" i="92"/>
  <c r="AV56" i="92"/>
  <c r="AU56" i="92"/>
  <c r="AV56" i="91"/>
  <c r="AU56" i="91"/>
  <c r="AW56" i="91"/>
  <c r="AV56" i="90"/>
  <c r="AU56" i="90"/>
  <c r="AW56" i="90"/>
  <c r="CG58" i="79"/>
  <c r="CG58" i="92"/>
  <c r="CG58" i="91"/>
  <c r="CG58" i="90"/>
  <c r="AS61" i="79"/>
  <c r="AS61" i="92"/>
  <c r="AS61" i="91"/>
  <c r="AS61" i="90"/>
  <c r="BX63" i="79"/>
  <c r="BX63" i="92"/>
  <c r="BX63" i="91"/>
  <c r="BX63" i="90"/>
  <c r="BV65" i="79"/>
  <c r="BV65" i="92"/>
  <c r="BV65" i="91"/>
  <c r="BV65" i="90"/>
  <c r="CB67" i="79"/>
  <c r="CB67" i="92"/>
  <c r="CB67" i="91"/>
  <c r="CB67" i="90"/>
  <c r="CH69" i="79"/>
  <c r="CH69" i="92"/>
  <c r="CH69" i="91"/>
  <c r="CH69" i="90"/>
  <c r="CA72" i="79"/>
  <c r="CA72" i="92"/>
  <c r="CA72" i="91"/>
  <c r="CA72" i="90"/>
  <c r="CG74" i="79"/>
  <c r="CG74" i="92"/>
  <c r="CG74" i="91"/>
  <c r="CG74" i="90"/>
  <c r="CE76" i="79"/>
  <c r="CE76" i="92"/>
  <c r="CE76" i="91"/>
  <c r="CE76" i="90"/>
  <c r="BP78" i="79"/>
  <c r="BP78" i="92"/>
  <c r="BQ78" i="92"/>
  <c r="BQ78" i="91"/>
  <c r="BP78" i="91"/>
  <c r="BQ78" i="90"/>
  <c r="BP78" i="90"/>
  <c r="CA80" i="79"/>
  <c r="CA80" i="92"/>
  <c r="CA80" i="91"/>
  <c r="CA80" i="90"/>
  <c r="CD81" i="79"/>
  <c r="CD81" i="92"/>
  <c r="CD81" i="91"/>
  <c r="CD81" i="90"/>
  <c r="AX83" i="79"/>
  <c r="AX83" i="92"/>
  <c r="AX83" i="91"/>
  <c r="AX83" i="90"/>
  <c r="CE84" i="79"/>
  <c r="CE84" i="92"/>
  <c r="CE84" i="91"/>
  <c r="CE84" i="90"/>
  <c r="CC86" i="79"/>
  <c r="CC86" i="92"/>
  <c r="CC86" i="91"/>
  <c r="CC86" i="90"/>
  <c r="CA88" i="79"/>
  <c r="CA88" i="92"/>
  <c r="CA88" i="91"/>
  <c r="CA88" i="90"/>
  <c r="CG90" i="79"/>
  <c r="CG90" i="92"/>
  <c r="CG90" i="91"/>
  <c r="CG90" i="90"/>
  <c r="BW92" i="79"/>
  <c r="BW92" i="92"/>
  <c r="BW92" i="91"/>
  <c r="BW92" i="90"/>
  <c r="BQ94" i="79"/>
  <c r="BQ94" i="92"/>
  <c r="BP94" i="92"/>
  <c r="BQ94" i="91"/>
  <c r="BP94" i="91"/>
  <c r="BP94" i="90"/>
  <c r="BQ94" i="90"/>
  <c r="AW96" i="92"/>
  <c r="AV96" i="92"/>
  <c r="AU96" i="92"/>
  <c r="AW96" i="91"/>
  <c r="AV96" i="91"/>
  <c r="AU96" i="91"/>
  <c r="AU96" i="90"/>
  <c r="AV96" i="90"/>
  <c r="AW96" i="90"/>
  <c r="BY98" i="79"/>
  <c r="BY98" i="92"/>
  <c r="BY98" i="91"/>
  <c r="BY98" i="90"/>
  <c r="AE100" i="79"/>
  <c r="AE100" i="92"/>
  <c r="AE100" i="91"/>
  <c r="AE100" i="90"/>
  <c r="CH101" i="79"/>
  <c r="CH101" i="92"/>
  <c r="CH101" i="91"/>
  <c r="CH101" i="90"/>
  <c r="BX103" i="79"/>
  <c r="BX103" i="92"/>
  <c r="BX103" i="91"/>
  <c r="BX103" i="90"/>
  <c r="CA104" i="79"/>
  <c r="CA104" i="92"/>
  <c r="CA104" i="91"/>
  <c r="CA104" i="90"/>
  <c r="CG106" i="79"/>
  <c r="CG106" i="92"/>
  <c r="CG106" i="91"/>
  <c r="CG106" i="90"/>
  <c r="CE108" i="79"/>
  <c r="CE108" i="92"/>
  <c r="CE108" i="91"/>
  <c r="CE108" i="90"/>
  <c r="BQ110" i="79"/>
  <c r="BQ110" i="92"/>
  <c r="BP110" i="92"/>
  <c r="BQ110" i="91"/>
  <c r="BP110" i="91"/>
  <c r="BP110" i="90"/>
  <c r="BQ110" i="90"/>
  <c r="CA112" i="79"/>
  <c r="CA112" i="92"/>
  <c r="CA112" i="91"/>
  <c r="CA112" i="90"/>
  <c r="CG114" i="79"/>
  <c r="CG114" i="92"/>
  <c r="CG114" i="91"/>
  <c r="CG114" i="90"/>
  <c r="CE116" i="79"/>
  <c r="CE116" i="92"/>
  <c r="CE116" i="91"/>
  <c r="CE116" i="90"/>
  <c r="CC118" i="79"/>
  <c r="CC118" i="92"/>
  <c r="CC118" i="91"/>
  <c r="CC118" i="90"/>
  <c r="CA120" i="79"/>
  <c r="CA120" i="92"/>
  <c r="CA120" i="91"/>
  <c r="CA120" i="90"/>
  <c r="BV121" i="79"/>
  <c r="BV121" i="92"/>
  <c r="BV121" i="91"/>
  <c r="BV121" i="90"/>
  <c r="AX123" i="79"/>
  <c r="AX123" i="92"/>
  <c r="AX123" i="91"/>
  <c r="AX123" i="90"/>
  <c r="BP126" i="79"/>
  <c r="BP126" i="92"/>
  <c r="BQ126" i="92"/>
  <c r="BP126" i="91"/>
  <c r="BQ126" i="91"/>
  <c r="BQ126" i="90"/>
  <c r="BP126" i="90"/>
  <c r="AW128" i="92"/>
  <c r="AV128" i="92"/>
  <c r="AU128" i="92"/>
  <c r="AW128" i="91"/>
  <c r="AU128" i="91"/>
  <c r="AV128" i="91"/>
  <c r="AW128" i="90"/>
  <c r="AV128" i="90"/>
  <c r="AU128" i="90"/>
  <c r="CD129" i="79"/>
  <c r="CD129" i="92"/>
  <c r="CD129" i="91"/>
  <c r="CD129" i="90"/>
  <c r="AX131" i="79"/>
  <c r="AX131" i="92"/>
  <c r="AX131" i="91"/>
  <c r="AX131" i="90"/>
  <c r="AS133" i="79"/>
  <c r="AS133" i="92"/>
  <c r="AS133" i="91"/>
  <c r="AS133" i="90"/>
  <c r="AF135" i="92"/>
  <c r="AH135" i="92"/>
  <c r="AG135" i="92"/>
  <c r="AH135" i="91"/>
  <c r="AG135" i="91"/>
  <c r="AF135" i="91"/>
  <c r="AG135" i="90"/>
  <c r="AF135" i="90"/>
  <c r="AH135" i="90"/>
  <c r="BV137" i="79"/>
  <c r="BV137" i="92"/>
  <c r="BV137" i="91"/>
  <c r="BV137" i="90"/>
  <c r="AE140" i="79"/>
  <c r="AE140" i="92"/>
  <c r="AE140" i="91"/>
  <c r="AE140" i="90"/>
  <c r="CA144" i="79"/>
  <c r="CA144" i="92"/>
  <c r="CA144" i="91"/>
  <c r="CA144" i="90"/>
  <c r="AD3" i="92"/>
  <c r="AC3" i="92"/>
  <c r="AB3" i="92"/>
  <c r="AD3" i="91"/>
  <c r="AC3" i="91"/>
  <c r="AB3" i="91"/>
  <c r="AB3" i="90"/>
  <c r="AC3" i="90"/>
  <c r="AD3" i="90"/>
  <c r="BY4" i="79"/>
  <c r="BY4" i="92"/>
  <c r="BY4" i="91"/>
  <c r="BY4" i="90"/>
  <c r="CE6" i="79"/>
  <c r="CE6" i="92"/>
  <c r="CE6" i="91"/>
  <c r="CE6" i="90"/>
  <c r="AH9" i="92"/>
  <c r="AG9" i="92"/>
  <c r="AF9" i="92"/>
  <c r="AH9" i="91"/>
  <c r="AG9" i="91"/>
  <c r="AF9" i="91"/>
  <c r="AF9" i="90"/>
  <c r="AH9" i="90"/>
  <c r="AG9" i="90"/>
  <c r="BV11" i="79"/>
  <c r="BV11" i="92"/>
  <c r="BV11" i="91"/>
  <c r="BV11" i="90"/>
  <c r="CB13" i="79"/>
  <c r="CB13" i="92"/>
  <c r="CB13" i="91"/>
  <c r="CB13" i="90"/>
  <c r="BZ15" i="79"/>
  <c r="BZ15" i="92"/>
  <c r="BZ15" i="91"/>
  <c r="BZ15" i="90"/>
  <c r="CF17" i="79"/>
  <c r="CF17" i="92"/>
  <c r="CF17" i="91"/>
  <c r="CF17" i="90"/>
  <c r="BY20" i="79"/>
  <c r="BY20" i="92"/>
  <c r="BY20" i="91"/>
  <c r="BY20" i="90"/>
  <c r="BW22" i="79"/>
  <c r="BW22" i="92"/>
  <c r="BW22" i="91"/>
  <c r="BW22" i="90"/>
  <c r="CC24" i="79"/>
  <c r="CC24" i="92"/>
  <c r="CC24" i="91"/>
  <c r="CC24" i="90"/>
  <c r="CF25" i="79"/>
  <c r="CF25" i="92"/>
  <c r="CF25" i="91"/>
  <c r="CF25" i="90"/>
  <c r="BV27" i="79"/>
  <c r="BV27" i="92"/>
  <c r="BV27" i="91"/>
  <c r="BV27" i="90"/>
  <c r="AX29" i="79"/>
  <c r="AX29" i="92"/>
  <c r="AX29" i="91"/>
  <c r="AX29" i="90"/>
  <c r="BZ31" i="79"/>
  <c r="BZ31" i="92"/>
  <c r="BZ31" i="91"/>
  <c r="BZ31" i="90"/>
  <c r="BX33" i="79"/>
  <c r="BX33" i="92"/>
  <c r="BX33" i="91"/>
  <c r="BX33" i="90"/>
  <c r="AD35" i="92"/>
  <c r="AC35" i="92"/>
  <c r="AB35" i="92"/>
  <c r="AD35" i="91"/>
  <c r="AC35" i="91"/>
  <c r="AB35" i="91"/>
  <c r="AB35" i="90"/>
  <c r="AD35" i="90"/>
  <c r="AC35" i="90"/>
  <c r="AX37" i="79"/>
  <c r="AX37" i="92"/>
  <c r="AX37" i="91"/>
  <c r="AX37" i="90"/>
  <c r="BZ39" i="79"/>
  <c r="BZ39" i="92"/>
  <c r="BZ39" i="91"/>
  <c r="BZ39" i="90"/>
  <c r="CA42" i="79"/>
  <c r="CA42" i="92"/>
  <c r="CA42" i="91"/>
  <c r="CA42" i="90"/>
  <c r="CG44" i="79"/>
  <c r="CG44" i="92"/>
  <c r="CG44" i="91"/>
  <c r="CG44" i="90"/>
  <c r="CE46" i="79"/>
  <c r="CE46" i="92"/>
  <c r="CE46" i="91"/>
  <c r="CE46" i="90"/>
  <c r="CF49" i="79"/>
  <c r="CF49" i="92"/>
  <c r="CF49" i="91"/>
  <c r="CF49" i="90"/>
  <c r="AX53" i="79"/>
  <c r="AX53" i="92"/>
  <c r="AX53" i="91"/>
  <c r="AX53" i="90"/>
  <c r="CE62" i="79"/>
  <c r="CE62" i="92"/>
  <c r="CE62" i="91"/>
  <c r="CE62" i="90"/>
  <c r="BW3" i="79"/>
  <c r="BW3" i="92"/>
  <c r="BW3" i="91"/>
  <c r="BW3" i="90"/>
  <c r="CH4" i="79"/>
  <c r="CH4" i="92"/>
  <c r="CH4" i="91"/>
  <c r="CH4" i="90"/>
  <c r="AH6" i="92"/>
  <c r="AG6" i="92"/>
  <c r="AF6" i="92"/>
  <c r="AG6" i="91"/>
  <c r="AH6" i="91"/>
  <c r="AF6" i="91"/>
  <c r="AH6" i="90"/>
  <c r="AG6" i="90"/>
  <c r="AF6" i="90"/>
  <c r="AD8" i="92"/>
  <c r="AC8" i="92"/>
  <c r="AB8" i="92"/>
  <c r="AB8" i="91"/>
  <c r="AD8" i="91"/>
  <c r="AC8" i="91"/>
  <c r="AD8" i="90"/>
  <c r="AC8" i="90"/>
  <c r="AB8" i="90"/>
  <c r="CG9" i="79"/>
  <c r="CG9" i="92"/>
  <c r="CG9" i="91"/>
  <c r="CG9" i="90"/>
  <c r="AE11" i="79"/>
  <c r="AE11" i="92"/>
  <c r="AE11" i="91"/>
  <c r="AE11" i="90"/>
  <c r="BZ12" i="79"/>
  <c r="BZ12" i="92"/>
  <c r="BZ12" i="91"/>
  <c r="BZ12" i="90"/>
  <c r="CH12" i="79"/>
  <c r="CH12" i="92"/>
  <c r="CH12" i="91"/>
  <c r="CH12" i="90"/>
  <c r="CF14" i="79"/>
  <c r="CF14" i="92"/>
  <c r="CF14" i="91"/>
  <c r="CF14" i="90"/>
  <c r="CD16" i="79"/>
  <c r="CD16" i="92"/>
  <c r="CD16" i="91"/>
  <c r="CD16" i="90"/>
  <c r="BY17" i="79"/>
  <c r="BY17" i="92"/>
  <c r="BY17" i="91"/>
  <c r="BY17" i="90"/>
  <c r="BW19" i="79"/>
  <c r="BW19" i="92"/>
  <c r="BW19" i="91"/>
  <c r="BW19" i="90"/>
  <c r="BZ20" i="79"/>
  <c r="BZ20" i="92"/>
  <c r="BZ20" i="91"/>
  <c r="BZ20" i="90"/>
  <c r="CH20" i="79"/>
  <c r="CH20" i="92"/>
  <c r="CH20" i="91"/>
  <c r="CH20" i="90"/>
  <c r="BX22" i="79"/>
  <c r="BX22" i="92"/>
  <c r="BX22" i="91"/>
  <c r="BX22" i="90"/>
  <c r="AV23" i="92"/>
  <c r="AU23" i="92"/>
  <c r="AW23" i="92"/>
  <c r="AW23" i="91"/>
  <c r="AV23" i="91"/>
  <c r="AU23" i="91"/>
  <c r="AW23" i="90"/>
  <c r="AV23" i="90"/>
  <c r="AU23" i="90"/>
  <c r="CD24" i="79"/>
  <c r="CD24" i="92"/>
  <c r="CD24" i="91"/>
  <c r="CD24" i="90"/>
  <c r="AX26" i="79"/>
  <c r="AX26" i="92"/>
  <c r="AX26" i="91"/>
  <c r="AX26" i="90"/>
  <c r="CE27" i="79"/>
  <c r="CE27" i="92"/>
  <c r="CE27" i="91"/>
  <c r="CE27" i="90"/>
  <c r="CC29" i="79"/>
  <c r="CC29" i="92"/>
  <c r="CC29" i="91"/>
  <c r="CC29" i="90"/>
  <c r="AH30" i="92"/>
  <c r="AG30" i="92"/>
  <c r="AF30" i="92"/>
  <c r="AH30" i="91"/>
  <c r="AG30" i="91"/>
  <c r="AF30" i="91"/>
  <c r="AH30" i="90"/>
  <c r="AG30" i="90"/>
  <c r="AF30" i="90"/>
  <c r="CD32" i="79"/>
  <c r="CD32" i="92"/>
  <c r="CD32" i="91"/>
  <c r="CD32" i="90"/>
  <c r="CE35" i="79"/>
  <c r="CE35" i="92"/>
  <c r="CE35" i="91"/>
  <c r="CE35" i="90"/>
  <c r="CA47" i="79"/>
  <c r="CA47" i="92"/>
  <c r="CA47" i="91"/>
  <c r="CA47" i="90"/>
  <c r="BP109" i="79"/>
  <c r="BQ109" i="92"/>
  <c r="BP109" i="92"/>
  <c r="BP109" i="91"/>
  <c r="BQ109" i="91"/>
  <c r="BQ109" i="90"/>
  <c r="BP109" i="90"/>
  <c r="CB3" i="79"/>
  <c r="CB3" i="92"/>
  <c r="CB3" i="91"/>
  <c r="CB3" i="90"/>
  <c r="BP6" i="79"/>
  <c r="BQ6" i="92"/>
  <c r="BP6" i="92"/>
  <c r="BQ6" i="91"/>
  <c r="BP6" i="91"/>
  <c r="BQ6" i="90"/>
  <c r="BP6" i="90"/>
  <c r="BV9" i="79"/>
  <c r="BV9" i="92"/>
  <c r="BV9" i="91"/>
  <c r="BV9" i="90"/>
  <c r="CB11" i="79"/>
  <c r="CB11" i="92"/>
  <c r="CB11" i="91"/>
  <c r="CB11" i="90"/>
  <c r="CC14" i="79"/>
  <c r="CC14" i="92"/>
  <c r="CC14" i="91"/>
  <c r="CC14" i="90"/>
  <c r="CB19" i="79"/>
  <c r="CB19" i="92"/>
  <c r="CB19" i="91"/>
  <c r="CB19" i="90"/>
  <c r="CE20" i="79"/>
  <c r="CE20" i="92"/>
  <c r="CE20" i="91"/>
  <c r="CE20" i="90"/>
  <c r="CC22" i="79"/>
  <c r="CC22" i="92"/>
  <c r="CC22" i="91"/>
  <c r="CC22" i="90"/>
  <c r="CA24" i="79"/>
  <c r="CA24" i="92"/>
  <c r="CA24" i="91"/>
  <c r="CA24" i="90"/>
  <c r="AX27" i="79"/>
  <c r="AX27" i="92"/>
  <c r="AX27" i="91"/>
  <c r="AX27" i="90"/>
  <c r="AS29" i="79"/>
  <c r="AS29" i="92"/>
  <c r="AS29" i="91"/>
  <c r="AS29" i="90"/>
  <c r="BX31" i="79"/>
  <c r="BX31" i="92"/>
  <c r="BX31" i="91"/>
  <c r="BX31" i="90"/>
  <c r="BV33" i="79"/>
  <c r="BV33" i="92"/>
  <c r="BV33" i="91"/>
  <c r="BV33" i="90"/>
  <c r="AX35" i="79"/>
  <c r="AX35" i="92"/>
  <c r="AX35" i="91"/>
  <c r="AX35" i="90"/>
  <c r="AS37" i="79"/>
  <c r="AS37" i="92"/>
  <c r="AS37" i="91"/>
  <c r="AS37" i="90"/>
  <c r="CF39" i="79"/>
  <c r="CF39" i="92"/>
  <c r="CF39" i="91"/>
  <c r="CF39" i="90"/>
  <c r="BY42" i="79"/>
  <c r="BY42" i="92"/>
  <c r="BY42" i="91"/>
  <c r="BY42" i="90"/>
  <c r="BW44" i="79"/>
  <c r="BW44" i="92"/>
  <c r="BW44" i="91"/>
  <c r="BW44" i="90"/>
  <c r="AF47" i="92"/>
  <c r="AH47" i="92"/>
  <c r="AG47" i="92"/>
  <c r="AG47" i="91"/>
  <c r="AF47" i="91"/>
  <c r="AH47" i="91"/>
  <c r="AH47" i="90"/>
  <c r="AG47" i="90"/>
  <c r="AF47" i="90"/>
  <c r="CD49" i="79"/>
  <c r="CD49" i="92"/>
  <c r="CD49" i="91"/>
  <c r="CD49" i="90"/>
  <c r="CB51" i="79"/>
  <c r="CB51" i="92"/>
  <c r="CB51" i="91"/>
  <c r="CB51" i="90"/>
  <c r="AS53" i="79"/>
  <c r="AS53" i="92"/>
  <c r="AS53" i="91"/>
  <c r="AS53" i="90"/>
  <c r="BX55" i="79"/>
  <c r="BX55" i="92"/>
  <c r="BX55" i="91"/>
  <c r="BX55" i="90"/>
  <c r="AC57" i="92"/>
  <c r="AB57" i="92"/>
  <c r="AD57" i="92"/>
  <c r="AC57" i="91"/>
  <c r="AB57" i="91"/>
  <c r="AD57" i="91"/>
  <c r="AB57" i="90"/>
  <c r="AD57" i="90"/>
  <c r="AC57" i="90"/>
  <c r="AE60" i="79"/>
  <c r="AE60" i="92"/>
  <c r="AE60" i="91"/>
  <c r="AE60" i="90"/>
  <c r="CH61" i="79"/>
  <c r="CH61" i="92"/>
  <c r="CH61" i="91"/>
  <c r="CH61" i="90"/>
  <c r="CA64" i="79"/>
  <c r="CA64" i="92"/>
  <c r="CA64" i="91"/>
  <c r="CA64" i="90"/>
  <c r="CG66" i="79"/>
  <c r="CG66" i="92"/>
  <c r="CG66" i="91"/>
  <c r="CG66" i="90"/>
  <c r="CE68" i="79"/>
  <c r="CE68" i="92"/>
  <c r="CE68" i="91"/>
  <c r="CE68" i="90"/>
  <c r="AF71" i="92"/>
  <c r="AG71" i="92"/>
  <c r="AH71" i="92"/>
  <c r="AH71" i="91"/>
  <c r="AG71" i="91"/>
  <c r="AF71" i="91"/>
  <c r="AH71" i="90"/>
  <c r="AG71" i="90"/>
  <c r="AF71" i="90"/>
  <c r="AW72" i="92"/>
  <c r="AV72" i="92"/>
  <c r="AU72" i="92"/>
  <c r="AW72" i="91"/>
  <c r="AV72" i="91"/>
  <c r="AU72" i="91"/>
  <c r="AV72" i="90"/>
  <c r="AU72" i="90"/>
  <c r="AW72" i="90"/>
  <c r="BY74" i="79"/>
  <c r="BY74" i="92"/>
  <c r="BY74" i="91"/>
  <c r="BY74" i="90"/>
  <c r="AS77" i="79"/>
  <c r="AS77" i="92"/>
  <c r="AS77" i="91"/>
  <c r="AS77" i="90"/>
  <c r="AH79" i="92"/>
  <c r="AF79" i="92"/>
  <c r="AG79" i="92"/>
  <c r="AF79" i="91"/>
  <c r="AH79" i="91"/>
  <c r="AG79" i="91"/>
  <c r="AH79" i="90"/>
  <c r="AF79" i="90"/>
  <c r="AG79" i="90"/>
  <c r="BV81" i="79"/>
  <c r="BV81" i="92"/>
  <c r="BV81" i="91"/>
  <c r="BV81" i="90"/>
  <c r="CB83" i="79"/>
  <c r="CB83" i="92"/>
  <c r="CB83" i="91"/>
  <c r="CB83" i="90"/>
  <c r="AS85" i="79"/>
  <c r="AS85" i="92"/>
  <c r="AS85" i="91"/>
  <c r="AS85" i="90"/>
  <c r="BX87" i="79"/>
  <c r="BX87" i="92"/>
  <c r="BX87" i="91"/>
  <c r="BX87" i="90"/>
  <c r="CD89" i="79"/>
  <c r="CD89" i="92"/>
  <c r="CD89" i="91"/>
  <c r="CD89" i="90"/>
  <c r="AX91" i="79"/>
  <c r="AX91" i="92"/>
  <c r="AX91" i="91"/>
  <c r="AX91" i="90"/>
  <c r="CH93" i="79"/>
  <c r="CH93" i="92"/>
  <c r="CH93" i="91"/>
  <c r="CH93" i="90"/>
  <c r="CF95" i="79"/>
  <c r="CF95" i="92"/>
  <c r="CF95" i="91"/>
  <c r="CF95" i="90"/>
  <c r="BV97" i="79"/>
  <c r="BV97" i="92"/>
  <c r="BV97" i="91"/>
  <c r="BV97" i="90"/>
  <c r="AX99" i="79"/>
  <c r="AX99" i="92"/>
  <c r="AX99" i="91"/>
  <c r="AX99" i="90"/>
  <c r="BW100" i="79"/>
  <c r="BW100" i="92"/>
  <c r="BW100" i="91"/>
  <c r="BW100" i="90"/>
  <c r="BQ102" i="79"/>
  <c r="BQ102" i="92"/>
  <c r="BP102" i="92"/>
  <c r="BQ102" i="91"/>
  <c r="BP102" i="91"/>
  <c r="BP102" i="90"/>
  <c r="BQ102" i="90"/>
  <c r="AX107" i="79"/>
  <c r="AX107" i="92"/>
  <c r="AX107" i="91"/>
  <c r="AX107" i="90"/>
  <c r="BW108" i="79"/>
  <c r="BW108" i="92"/>
  <c r="BW108" i="91"/>
  <c r="BW108" i="90"/>
  <c r="CH109" i="79"/>
  <c r="CH109" i="92"/>
  <c r="CH109" i="91"/>
  <c r="CH109" i="90"/>
  <c r="CF111" i="79"/>
  <c r="CF111" i="92"/>
  <c r="CF111" i="91"/>
  <c r="CF111" i="90"/>
  <c r="AQ114" i="92"/>
  <c r="AP114" i="92"/>
  <c r="AR114" i="92"/>
  <c r="AR114" i="91"/>
  <c r="AQ114" i="91"/>
  <c r="AP114" i="91"/>
  <c r="AP114" i="90"/>
  <c r="AQ114" i="90"/>
  <c r="AR114" i="90"/>
  <c r="AE116" i="79"/>
  <c r="AE116" i="92"/>
  <c r="AE116" i="91"/>
  <c r="AE116" i="90"/>
  <c r="CH117" i="79"/>
  <c r="CH117" i="92"/>
  <c r="CH117" i="91"/>
  <c r="CH117" i="90"/>
  <c r="CF119" i="79"/>
  <c r="CF119" i="92"/>
  <c r="CF119" i="91"/>
  <c r="CF119" i="90"/>
  <c r="AR122" i="92"/>
  <c r="AQ122" i="92"/>
  <c r="AP122" i="92"/>
  <c r="AR122" i="91"/>
  <c r="AQ122" i="91"/>
  <c r="AP122" i="91"/>
  <c r="AR122" i="90"/>
  <c r="AQ122" i="90"/>
  <c r="AP122" i="90"/>
  <c r="AE124" i="79"/>
  <c r="AE124" i="92"/>
  <c r="AE124" i="91"/>
  <c r="AE124" i="90"/>
  <c r="BZ125" i="79"/>
  <c r="BZ125" i="92"/>
  <c r="BZ125" i="91"/>
  <c r="BZ125" i="90"/>
  <c r="CC126" i="79"/>
  <c r="CC126" i="92"/>
  <c r="CC126" i="91"/>
  <c r="CC126" i="90"/>
  <c r="CA128" i="79"/>
  <c r="CA128" i="92"/>
  <c r="CA128" i="91"/>
  <c r="CA128" i="90"/>
  <c r="AR130" i="92"/>
  <c r="AQ130" i="92"/>
  <c r="AP130" i="92"/>
  <c r="AR130" i="91"/>
  <c r="AP130" i="91"/>
  <c r="AQ130" i="91"/>
  <c r="AR130" i="90"/>
  <c r="AQ130" i="90"/>
  <c r="AP130" i="90"/>
  <c r="CE132" i="79"/>
  <c r="CE132" i="92"/>
  <c r="CE132" i="91"/>
  <c r="CE132" i="90"/>
  <c r="BP134" i="79"/>
  <c r="BQ134" i="92"/>
  <c r="BP134" i="92"/>
  <c r="BP134" i="91"/>
  <c r="BQ134" i="91"/>
  <c r="BQ134" i="90"/>
  <c r="BP134" i="90"/>
  <c r="BX135" i="79"/>
  <c r="BX135" i="92"/>
  <c r="BX135" i="91"/>
  <c r="BX135" i="90"/>
  <c r="AC137" i="92"/>
  <c r="AB137" i="92"/>
  <c r="AD137" i="92"/>
  <c r="AD137" i="91"/>
  <c r="AC137" i="91"/>
  <c r="AB137" i="91"/>
  <c r="AD137" i="90"/>
  <c r="AC137" i="90"/>
  <c r="AB137" i="90"/>
  <c r="BY138" i="79"/>
  <c r="BY138" i="92"/>
  <c r="BY138" i="91"/>
  <c r="BY138" i="90"/>
  <c r="CB139" i="79"/>
  <c r="CB139" i="92"/>
  <c r="CB139" i="91"/>
  <c r="CB139" i="90"/>
  <c r="AS141" i="79"/>
  <c r="AS141" i="92"/>
  <c r="AS141" i="91"/>
  <c r="AS141" i="90"/>
  <c r="CH141" i="79"/>
  <c r="CH141" i="92"/>
  <c r="CH141" i="91"/>
  <c r="CH141" i="90"/>
  <c r="CC142" i="79"/>
  <c r="CC142" i="92"/>
  <c r="CC142" i="91"/>
  <c r="CC142" i="90"/>
  <c r="AD145" i="92"/>
  <c r="AC145" i="92"/>
  <c r="AB145" i="92"/>
  <c r="AD145" i="91"/>
  <c r="AB145" i="91"/>
  <c r="AC145" i="91"/>
  <c r="AD145" i="90"/>
  <c r="AC145" i="90"/>
  <c r="AB145" i="90"/>
  <c r="BV3" i="79"/>
  <c r="BV3" i="92"/>
  <c r="BV3" i="91"/>
  <c r="BV3" i="90"/>
  <c r="AX5" i="79"/>
  <c r="AX5" i="92"/>
  <c r="AX5" i="91"/>
  <c r="AX5" i="90"/>
  <c r="BZ7" i="79"/>
  <c r="BZ7" i="92"/>
  <c r="BZ7" i="91"/>
  <c r="BZ7" i="90"/>
  <c r="CC8" i="79"/>
  <c r="CC8" i="92"/>
  <c r="CC8" i="91"/>
  <c r="CC8" i="90"/>
  <c r="CA10" i="79"/>
  <c r="CA10" i="92"/>
  <c r="CA10" i="91"/>
  <c r="CA10" i="90"/>
  <c r="BY12" i="79"/>
  <c r="BY12" i="92"/>
  <c r="BY12" i="91"/>
  <c r="BY12" i="90"/>
  <c r="BW14" i="79"/>
  <c r="BW14" i="92"/>
  <c r="BW14" i="91"/>
  <c r="BW14" i="90"/>
  <c r="CC16" i="79"/>
  <c r="CC16" i="92"/>
  <c r="CC16" i="91"/>
  <c r="CC16" i="90"/>
  <c r="AE22" i="79"/>
  <c r="AE22" i="92"/>
  <c r="AE22" i="91"/>
  <c r="AE22" i="90"/>
  <c r="CH23" i="79"/>
  <c r="CH23" i="92"/>
  <c r="CH23" i="91"/>
  <c r="CH23" i="90"/>
  <c r="BX25" i="79"/>
  <c r="BX25" i="92"/>
  <c r="BX25" i="91"/>
  <c r="BX25" i="90"/>
  <c r="CD27" i="79"/>
  <c r="CD27" i="92"/>
  <c r="CD27" i="91"/>
  <c r="CD27" i="90"/>
  <c r="CB29" i="79"/>
  <c r="CB29" i="92"/>
  <c r="CB29" i="91"/>
  <c r="CB29" i="90"/>
  <c r="AS31" i="79"/>
  <c r="AS31" i="92"/>
  <c r="AS31" i="91"/>
  <c r="AS31" i="90"/>
  <c r="BQ32" i="79"/>
  <c r="BQ32" i="92"/>
  <c r="BP32" i="92"/>
  <c r="BP32" i="91"/>
  <c r="BQ32" i="91"/>
  <c r="BQ32" i="90"/>
  <c r="BP32" i="90"/>
  <c r="CF33" i="79"/>
  <c r="CF33" i="92"/>
  <c r="CF33" i="91"/>
  <c r="CF33" i="90"/>
  <c r="CA34" i="79"/>
  <c r="CA34" i="92"/>
  <c r="CA34" i="91"/>
  <c r="CA34" i="90"/>
  <c r="BY36" i="79"/>
  <c r="BY36" i="92"/>
  <c r="BY36" i="91"/>
  <c r="BY36" i="90"/>
  <c r="CB37" i="79"/>
  <c r="CB37" i="92"/>
  <c r="CB37" i="91"/>
  <c r="CB37" i="90"/>
  <c r="CE38" i="79"/>
  <c r="CE38" i="92"/>
  <c r="CE38" i="91"/>
  <c r="CE38" i="90"/>
  <c r="CC40" i="79"/>
  <c r="CC40" i="92"/>
  <c r="CC40" i="91"/>
  <c r="CC40" i="90"/>
  <c r="CF41" i="79"/>
  <c r="CF41" i="92"/>
  <c r="CF41" i="91"/>
  <c r="CF41" i="90"/>
  <c r="CD43" i="79"/>
  <c r="CD43" i="92"/>
  <c r="CD43" i="91"/>
  <c r="CD43" i="90"/>
  <c r="AX45" i="79"/>
  <c r="AX45" i="92"/>
  <c r="AX45" i="91"/>
  <c r="AX45" i="90"/>
  <c r="AE46" i="79"/>
  <c r="AE46" i="92"/>
  <c r="AE46" i="91"/>
  <c r="AE46" i="90"/>
  <c r="CH47" i="79"/>
  <c r="CH47" i="92"/>
  <c r="CH47" i="91"/>
  <c r="CH47" i="90"/>
  <c r="AU50" i="92"/>
  <c r="AW50" i="92"/>
  <c r="AV50" i="92"/>
  <c r="AW50" i="91"/>
  <c r="AU50" i="91"/>
  <c r="AV50" i="91"/>
  <c r="AW50" i="90"/>
  <c r="AV50" i="90"/>
  <c r="AU50" i="90"/>
  <c r="AD51" i="92"/>
  <c r="AC51" i="92"/>
  <c r="AB51" i="92"/>
  <c r="AC51" i="91"/>
  <c r="AB51" i="91"/>
  <c r="AD51" i="91"/>
  <c r="AC51" i="90"/>
  <c r="AB51" i="90"/>
  <c r="AD51" i="90"/>
  <c r="AE54" i="79"/>
  <c r="AE54" i="92"/>
  <c r="AE54" i="91"/>
  <c r="AE54" i="90"/>
  <c r="CB61" i="79"/>
  <c r="CB61" i="92"/>
  <c r="CB61" i="91"/>
  <c r="CB61" i="90"/>
  <c r="AX2" i="92"/>
  <c r="AX2" i="91"/>
  <c r="AX2" i="90"/>
  <c r="BZ4" i="79"/>
  <c r="BZ4" i="92"/>
  <c r="BZ4" i="91"/>
  <c r="BZ4" i="90"/>
  <c r="BX6" i="79"/>
  <c r="BX6" i="92"/>
  <c r="BX6" i="91"/>
  <c r="BX6" i="90"/>
  <c r="CD8" i="79"/>
  <c r="CD8" i="92"/>
  <c r="CD8" i="91"/>
  <c r="CD8" i="90"/>
  <c r="BW11" i="79"/>
  <c r="BW11" i="92"/>
  <c r="BW11" i="91"/>
  <c r="BW11" i="90"/>
  <c r="AH14" i="92"/>
  <c r="AG14" i="92"/>
  <c r="AF14" i="92"/>
  <c r="AH14" i="91"/>
  <c r="AF14" i="91"/>
  <c r="AG14" i="91"/>
  <c r="AH14" i="90"/>
  <c r="AG14" i="90"/>
  <c r="AF14" i="90"/>
  <c r="AD16" i="92"/>
  <c r="AC16" i="92"/>
  <c r="AB16" i="92"/>
  <c r="AD16" i="91"/>
  <c r="AC16" i="91"/>
  <c r="AB16" i="91"/>
  <c r="AD16" i="90"/>
  <c r="AC16" i="90"/>
  <c r="AB16" i="90"/>
  <c r="AX18" i="79"/>
  <c r="AX18" i="92"/>
  <c r="AX18" i="91"/>
  <c r="AX18" i="90"/>
  <c r="AS20" i="79"/>
  <c r="AS20" i="92"/>
  <c r="AS20" i="91"/>
  <c r="AS20" i="90"/>
  <c r="AH22" i="92"/>
  <c r="AG22" i="92"/>
  <c r="AF22" i="92"/>
  <c r="AH22" i="91"/>
  <c r="AG22" i="91"/>
  <c r="AF22" i="91"/>
  <c r="AH22" i="90"/>
  <c r="AG22" i="90"/>
  <c r="AF22" i="90"/>
  <c r="AD24" i="92"/>
  <c r="AC24" i="92"/>
  <c r="AB24" i="92"/>
  <c r="AD24" i="91"/>
  <c r="AC24" i="91"/>
  <c r="AB24" i="91"/>
  <c r="AD24" i="90"/>
  <c r="AC24" i="90"/>
  <c r="AB24" i="90"/>
  <c r="BY25" i="79"/>
  <c r="BY25" i="92"/>
  <c r="BY25" i="91"/>
  <c r="BY25" i="90"/>
  <c r="BW27" i="79"/>
  <c r="BW27" i="92"/>
  <c r="BW27" i="91"/>
  <c r="BW27" i="90"/>
  <c r="BP29" i="79"/>
  <c r="BQ29" i="92"/>
  <c r="BP29" i="92"/>
  <c r="BQ29" i="91"/>
  <c r="BP29" i="91"/>
  <c r="BQ29" i="90"/>
  <c r="BP29" i="90"/>
  <c r="CF30" i="79"/>
  <c r="CF30" i="92"/>
  <c r="CF30" i="91"/>
  <c r="CF30" i="90"/>
  <c r="AD32" i="92"/>
  <c r="AC32" i="92"/>
  <c r="AB32" i="92"/>
  <c r="AD32" i="91"/>
  <c r="AC32" i="91"/>
  <c r="AB32" i="91"/>
  <c r="AD32" i="90"/>
  <c r="AC32" i="90"/>
  <c r="AB32" i="90"/>
  <c r="CG33" i="79"/>
  <c r="CG33" i="92"/>
  <c r="CG33" i="91"/>
  <c r="CG33" i="90"/>
  <c r="CB34" i="79"/>
  <c r="CB34" i="92"/>
  <c r="CB34" i="91"/>
  <c r="CB34" i="90"/>
  <c r="BZ36" i="79"/>
  <c r="BZ36" i="92"/>
  <c r="BZ36" i="91"/>
  <c r="BZ36" i="90"/>
  <c r="BP37" i="79"/>
  <c r="BQ37" i="92"/>
  <c r="BP37" i="92"/>
  <c r="BQ37" i="91"/>
  <c r="BP37" i="91"/>
  <c r="BQ37" i="90"/>
  <c r="BP37" i="90"/>
  <c r="AH38" i="92"/>
  <c r="AG38" i="92"/>
  <c r="AF38" i="92"/>
  <c r="AH38" i="91"/>
  <c r="AG38" i="91"/>
  <c r="AF38" i="91"/>
  <c r="AH38" i="90"/>
  <c r="AG38" i="90"/>
  <c r="AF38" i="90"/>
  <c r="CF38" i="79"/>
  <c r="CF38" i="92"/>
  <c r="CF38" i="91"/>
  <c r="CF38" i="90"/>
  <c r="CA39" i="79"/>
  <c r="CA39" i="92"/>
  <c r="CA39" i="91"/>
  <c r="CA39" i="90"/>
  <c r="BV40" i="79"/>
  <c r="BV40" i="92"/>
  <c r="BV40" i="91"/>
  <c r="BV40" i="90"/>
  <c r="AP41" i="92"/>
  <c r="AR41" i="92"/>
  <c r="AQ41" i="92"/>
  <c r="AR41" i="91"/>
  <c r="AQ41" i="91"/>
  <c r="AP41" i="91"/>
  <c r="AR41" i="90"/>
  <c r="AQ41" i="90"/>
  <c r="AP41" i="90"/>
  <c r="AX42" i="79"/>
  <c r="AX42" i="92"/>
  <c r="AX42" i="91"/>
  <c r="AX42" i="90"/>
  <c r="AE43" i="79"/>
  <c r="AE43" i="92"/>
  <c r="AE43" i="91"/>
  <c r="AE43" i="90"/>
  <c r="CE43" i="79"/>
  <c r="CE43" i="92"/>
  <c r="CE43" i="91"/>
  <c r="CE43" i="90"/>
  <c r="BZ44" i="79"/>
  <c r="BZ44" i="92"/>
  <c r="BZ44" i="91"/>
  <c r="BZ44" i="90"/>
  <c r="CC45" i="79"/>
  <c r="CC45" i="92"/>
  <c r="CC45" i="91"/>
  <c r="CC45" i="90"/>
  <c r="BX46" i="79"/>
  <c r="BX46" i="92"/>
  <c r="BX46" i="91"/>
  <c r="BX46" i="90"/>
  <c r="AU47" i="92"/>
  <c r="AV47" i="92"/>
  <c r="AW47" i="92"/>
  <c r="AW47" i="91"/>
  <c r="AV47" i="91"/>
  <c r="AU47" i="91"/>
  <c r="AW47" i="90"/>
  <c r="AV47" i="90"/>
  <c r="AU47" i="90"/>
  <c r="BV48" i="79"/>
  <c r="BV48" i="92"/>
  <c r="BV48" i="91"/>
  <c r="BV48" i="90"/>
  <c r="AQ49" i="92"/>
  <c r="AP49" i="92"/>
  <c r="AR49" i="92"/>
  <c r="AQ49" i="91"/>
  <c r="AP49" i="91"/>
  <c r="AR49" i="91"/>
  <c r="AP49" i="90"/>
  <c r="AR49" i="90"/>
  <c r="AQ49" i="90"/>
  <c r="BY49" i="79"/>
  <c r="BY49" i="92"/>
  <c r="BY49" i="91"/>
  <c r="BY49" i="90"/>
  <c r="AX50" i="79"/>
  <c r="AX50" i="92"/>
  <c r="AX50" i="91"/>
  <c r="AX50" i="90"/>
  <c r="AE51" i="79"/>
  <c r="AE51" i="92"/>
  <c r="AE51" i="91"/>
  <c r="AE51" i="90"/>
  <c r="CE51" i="79"/>
  <c r="CE51" i="92"/>
  <c r="CE51" i="91"/>
  <c r="CE51" i="90"/>
  <c r="CH52" i="79"/>
  <c r="CH52" i="92"/>
  <c r="CH52" i="91"/>
  <c r="CH52" i="90"/>
  <c r="CC53" i="79"/>
  <c r="CC53" i="92"/>
  <c r="CC53" i="91"/>
  <c r="CC53" i="90"/>
  <c r="BX54" i="79"/>
  <c r="BX54" i="92"/>
  <c r="BX54" i="91"/>
  <c r="BX54" i="90"/>
  <c r="CA55" i="79"/>
  <c r="CA55" i="92"/>
  <c r="CA55" i="91"/>
  <c r="CA55" i="90"/>
  <c r="BV56" i="79"/>
  <c r="BV56" i="92"/>
  <c r="BV56" i="91"/>
  <c r="BV56" i="90"/>
  <c r="AR57" i="92"/>
  <c r="AQ57" i="92"/>
  <c r="AP57" i="92"/>
  <c r="AR57" i="91"/>
  <c r="AQ57" i="91"/>
  <c r="AP57" i="91"/>
  <c r="AR57" i="90"/>
  <c r="AQ57" i="90"/>
  <c r="AP57" i="90"/>
  <c r="CG57" i="79"/>
  <c r="CG57" i="92"/>
  <c r="CG57" i="91"/>
  <c r="CG57" i="90"/>
  <c r="CB58" i="79"/>
  <c r="CB58" i="92"/>
  <c r="CB58" i="91"/>
  <c r="CB58" i="90"/>
  <c r="BW59" i="79"/>
  <c r="BW59" i="92"/>
  <c r="BW59" i="91"/>
  <c r="BW59" i="90"/>
  <c r="AS60" i="79"/>
  <c r="AS60" i="92"/>
  <c r="AS60" i="91"/>
  <c r="AS60" i="90"/>
  <c r="CH60" i="79"/>
  <c r="CH60" i="92"/>
  <c r="CH60" i="91"/>
  <c r="CH60" i="90"/>
  <c r="CC61" i="79"/>
  <c r="CC61" i="92"/>
  <c r="CC61" i="91"/>
  <c r="CC61" i="90"/>
  <c r="BX62" i="79"/>
  <c r="BX62" i="92"/>
  <c r="BX62" i="91"/>
  <c r="BX62" i="90"/>
  <c r="AU63" i="92"/>
  <c r="AW63" i="92"/>
  <c r="AV63" i="92"/>
  <c r="AW63" i="91"/>
  <c r="AV63" i="91"/>
  <c r="AU63" i="91"/>
  <c r="AW63" i="90"/>
  <c r="AV63" i="90"/>
  <c r="AU63" i="90"/>
  <c r="AD64" i="92"/>
  <c r="AC64" i="92"/>
  <c r="AB64" i="92"/>
  <c r="AD64" i="91"/>
  <c r="AC64" i="91"/>
  <c r="AB64" i="91"/>
  <c r="AD64" i="90"/>
  <c r="AC64" i="90"/>
  <c r="AB64" i="90"/>
  <c r="CD64" i="79"/>
  <c r="CD64" i="92"/>
  <c r="CD64" i="91"/>
  <c r="CD64" i="90"/>
  <c r="BY65" i="79"/>
  <c r="BY65" i="92"/>
  <c r="BY65" i="91"/>
  <c r="BY65" i="90"/>
  <c r="AX66" i="79"/>
  <c r="AX66" i="92"/>
  <c r="AX66" i="91"/>
  <c r="AX66" i="90"/>
  <c r="CB66" i="79"/>
  <c r="CB66" i="92"/>
  <c r="CB66" i="91"/>
  <c r="CB66" i="90"/>
  <c r="BW67" i="79"/>
  <c r="BW67" i="92"/>
  <c r="BW67" i="91"/>
  <c r="BW67" i="90"/>
  <c r="AS68" i="79"/>
  <c r="AS68" i="92"/>
  <c r="AS68" i="91"/>
  <c r="AS68" i="90"/>
  <c r="BQ69" i="79"/>
  <c r="BQ69" i="92"/>
  <c r="BP69" i="92"/>
  <c r="BP69" i="91"/>
  <c r="BQ69" i="91"/>
  <c r="BP69" i="90"/>
  <c r="BQ69" i="90"/>
  <c r="AH70" i="92"/>
  <c r="AG70" i="92"/>
  <c r="AF70" i="92"/>
  <c r="AH70" i="91"/>
  <c r="AF70" i="91"/>
  <c r="AG70" i="91"/>
  <c r="AH70" i="90"/>
  <c r="AG70" i="90"/>
  <c r="AF70" i="90"/>
  <c r="CF70" i="79"/>
  <c r="CF70" i="92"/>
  <c r="CF70" i="91"/>
  <c r="CF70" i="90"/>
  <c r="AV71" i="92"/>
  <c r="AU71" i="92"/>
  <c r="AW71" i="92"/>
  <c r="AU71" i="91"/>
  <c r="AW71" i="91"/>
  <c r="AV71" i="91"/>
  <c r="AW71" i="90"/>
  <c r="AU71" i="90"/>
  <c r="AV71" i="90"/>
  <c r="AD72" i="92"/>
  <c r="AC72" i="92"/>
  <c r="AB72" i="92"/>
  <c r="AD72" i="91"/>
  <c r="AB72" i="91"/>
  <c r="AC72" i="91"/>
  <c r="AD72" i="90"/>
  <c r="AC72" i="90"/>
  <c r="AB72" i="90"/>
  <c r="CD72" i="79"/>
  <c r="CD72" i="92"/>
  <c r="CD72" i="91"/>
  <c r="CD72" i="90"/>
  <c r="BY73" i="79"/>
  <c r="BY73" i="92"/>
  <c r="BY73" i="91"/>
  <c r="BY73" i="90"/>
  <c r="AX74" i="79"/>
  <c r="AX74" i="92"/>
  <c r="AX74" i="91"/>
  <c r="AX74" i="90"/>
  <c r="AE75" i="79"/>
  <c r="AE75" i="92"/>
  <c r="AE75" i="91"/>
  <c r="AE75" i="90"/>
  <c r="CE75" i="79"/>
  <c r="CE75" i="92"/>
  <c r="CE75" i="91"/>
  <c r="CE75" i="90"/>
  <c r="BZ76" i="79"/>
  <c r="BZ76" i="92"/>
  <c r="BZ76" i="91"/>
  <c r="BZ76" i="90"/>
  <c r="BQ77" i="79"/>
  <c r="BQ77" i="92"/>
  <c r="BP77" i="92"/>
  <c r="BQ77" i="91"/>
  <c r="BP77" i="91"/>
  <c r="BP77" i="90"/>
  <c r="BQ77" i="90"/>
  <c r="AH78" i="92"/>
  <c r="AG78" i="92"/>
  <c r="AF78" i="92"/>
  <c r="AG78" i="91"/>
  <c r="AF78" i="91"/>
  <c r="AH78" i="91"/>
  <c r="AH78" i="90"/>
  <c r="AG78" i="90"/>
  <c r="AF78" i="90"/>
  <c r="CF78" i="79"/>
  <c r="CF78" i="92"/>
  <c r="CF78" i="91"/>
  <c r="CF78" i="90"/>
  <c r="CA79" i="79"/>
  <c r="CA79" i="92"/>
  <c r="CA79" i="91"/>
  <c r="CA79" i="90"/>
  <c r="BV80" i="79"/>
  <c r="BV80" i="92"/>
  <c r="BV80" i="91"/>
  <c r="BV80" i="90"/>
  <c r="AQ81" i="92"/>
  <c r="AP81" i="92"/>
  <c r="AR81" i="92"/>
  <c r="AQ81" i="91"/>
  <c r="AP81" i="91"/>
  <c r="AR81" i="91"/>
  <c r="AP81" i="90"/>
  <c r="AQ81" i="90"/>
  <c r="AR81" i="90"/>
  <c r="CG81" i="79"/>
  <c r="CG81" i="92"/>
  <c r="CG81" i="91"/>
  <c r="CG81" i="90"/>
  <c r="CB82" i="79"/>
  <c r="CB82" i="92"/>
  <c r="CB82" i="91"/>
  <c r="CB82" i="90"/>
  <c r="BW83" i="79"/>
  <c r="BW83" i="92"/>
  <c r="BW83" i="91"/>
  <c r="BW83" i="90"/>
  <c r="AS84" i="79"/>
  <c r="AS84" i="92"/>
  <c r="AS84" i="91"/>
  <c r="AS84" i="90"/>
  <c r="CH84" i="79"/>
  <c r="CH84" i="92"/>
  <c r="CH84" i="91"/>
  <c r="CH84" i="90"/>
  <c r="CC85" i="79"/>
  <c r="CC85" i="92"/>
  <c r="CC85" i="91"/>
  <c r="CC85" i="90"/>
  <c r="CF86" i="79"/>
  <c r="CF86" i="92"/>
  <c r="CF86" i="91"/>
  <c r="CF86" i="90"/>
  <c r="CA87" i="79"/>
  <c r="CA87" i="92"/>
  <c r="CA87" i="91"/>
  <c r="CA87" i="90"/>
  <c r="BV88" i="79"/>
  <c r="BV88" i="92"/>
  <c r="BV88" i="91"/>
  <c r="BV88" i="90"/>
  <c r="AQ89" i="92"/>
  <c r="AP89" i="92"/>
  <c r="AR89" i="92"/>
  <c r="AR89" i="91"/>
  <c r="AP89" i="91"/>
  <c r="AQ89" i="91"/>
  <c r="AR89" i="90"/>
  <c r="AQ89" i="90"/>
  <c r="AP89" i="90"/>
  <c r="CG89" i="79"/>
  <c r="CG89" i="92"/>
  <c r="CG89" i="91"/>
  <c r="CG89" i="90"/>
  <c r="CB90" i="79"/>
  <c r="CB90" i="92"/>
  <c r="CB90" i="91"/>
  <c r="CB90" i="90"/>
  <c r="BW91" i="79"/>
  <c r="BW91" i="92"/>
  <c r="BW91" i="91"/>
  <c r="BW91" i="90"/>
  <c r="AS92" i="79"/>
  <c r="AS92" i="92"/>
  <c r="AS92" i="91"/>
  <c r="AS92" i="90"/>
  <c r="CH92" i="79"/>
  <c r="CH92" i="92"/>
  <c r="CH92" i="91"/>
  <c r="CH92" i="90"/>
  <c r="CC93" i="79"/>
  <c r="CC93" i="92"/>
  <c r="CC93" i="91"/>
  <c r="CC93" i="90"/>
  <c r="BX94" i="79"/>
  <c r="BX94" i="92"/>
  <c r="BX94" i="91"/>
  <c r="BX94" i="90"/>
  <c r="AC96" i="92"/>
  <c r="AB96" i="92"/>
  <c r="AD96" i="92"/>
  <c r="AD96" i="91"/>
  <c r="AB96" i="91"/>
  <c r="AC96" i="91"/>
  <c r="AD96" i="90"/>
  <c r="AC96" i="90"/>
  <c r="AB96" i="90"/>
  <c r="CD96" i="79"/>
  <c r="CD96" i="92"/>
  <c r="CD96" i="91"/>
  <c r="CD96" i="90"/>
  <c r="BY97" i="79"/>
  <c r="BY97" i="92"/>
  <c r="BY97" i="91"/>
  <c r="BY97" i="90"/>
  <c r="AX98" i="79"/>
  <c r="AX98" i="92"/>
  <c r="AX98" i="91"/>
  <c r="AX98" i="90"/>
  <c r="AE99" i="79"/>
  <c r="AE99" i="92"/>
  <c r="AE99" i="91"/>
  <c r="AE99" i="90"/>
  <c r="CE99" i="79"/>
  <c r="CE99" i="92"/>
  <c r="CE99" i="91"/>
  <c r="CE99" i="90"/>
  <c r="AS100" i="79"/>
  <c r="AS100" i="92"/>
  <c r="AS100" i="91"/>
  <c r="AS100" i="90"/>
  <c r="BZ100" i="79"/>
  <c r="BZ100" i="92"/>
  <c r="BZ100" i="91"/>
  <c r="BZ100" i="90"/>
  <c r="CH100" i="79"/>
  <c r="CH100" i="92"/>
  <c r="CH100" i="91"/>
  <c r="CH100" i="90"/>
  <c r="CC101" i="79"/>
  <c r="CC101" i="92"/>
  <c r="CC101" i="91"/>
  <c r="CC101" i="90"/>
  <c r="BX102" i="79"/>
  <c r="BX102" i="92"/>
  <c r="BX102" i="91"/>
  <c r="BX102" i="90"/>
  <c r="CF102" i="79"/>
  <c r="CF102" i="92"/>
  <c r="CF102" i="91"/>
  <c r="CF102" i="90"/>
  <c r="CA103" i="79"/>
  <c r="CA103" i="92"/>
  <c r="CA103" i="91"/>
  <c r="CA103" i="90"/>
  <c r="BV104" i="79"/>
  <c r="BV104" i="92"/>
  <c r="BV104" i="91"/>
  <c r="BV104" i="90"/>
  <c r="CD104" i="79"/>
  <c r="CD104" i="92"/>
  <c r="CD104" i="91"/>
  <c r="CD104" i="90"/>
  <c r="BY105" i="79"/>
  <c r="BY105" i="92"/>
  <c r="BY105" i="91"/>
  <c r="BY105" i="90"/>
  <c r="CG105" i="79"/>
  <c r="CG105" i="92"/>
  <c r="CG105" i="91"/>
  <c r="CG105" i="90"/>
  <c r="AX106" i="79"/>
  <c r="AX106" i="92"/>
  <c r="AX106" i="91"/>
  <c r="AX106" i="90"/>
  <c r="CB106" i="79"/>
  <c r="CB106" i="92"/>
  <c r="CB106" i="91"/>
  <c r="CB106" i="90"/>
  <c r="AE107" i="79"/>
  <c r="AE107" i="92"/>
  <c r="AE107" i="91"/>
  <c r="AE107" i="90"/>
  <c r="BW107" i="79"/>
  <c r="BW107" i="92"/>
  <c r="BW107" i="91"/>
  <c r="BW107" i="90"/>
  <c r="CE107" i="79"/>
  <c r="CE107" i="92"/>
  <c r="CE107" i="91"/>
  <c r="CE107" i="90"/>
  <c r="AS108" i="79"/>
  <c r="AS108" i="92"/>
  <c r="AS108" i="91"/>
  <c r="AS108" i="90"/>
  <c r="CH108" i="79"/>
  <c r="CH108" i="92"/>
  <c r="CH108" i="91"/>
  <c r="CH108" i="90"/>
  <c r="BY146" i="79"/>
  <c r="BY146" i="92"/>
  <c r="BY146" i="91"/>
  <c r="BY146" i="90"/>
  <c r="CG146" i="79"/>
  <c r="CG146" i="92"/>
  <c r="CG146" i="91"/>
  <c r="CG146" i="90"/>
  <c r="AX147" i="79"/>
  <c r="AX147" i="92"/>
  <c r="AX147" i="91"/>
  <c r="AX147" i="90"/>
  <c r="CB147" i="79"/>
  <c r="CB147" i="92"/>
  <c r="CB147" i="91"/>
  <c r="CB147" i="90"/>
  <c r="AE148" i="79"/>
  <c r="AE148" i="92"/>
  <c r="AE148" i="91"/>
  <c r="AE148" i="90"/>
  <c r="BW148" i="79"/>
  <c r="BW148" i="92"/>
  <c r="BW148" i="91"/>
  <c r="BW148" i="90"/>
  <c r="CE148" i="79"/>
  <c r="CE148" i="92"/>
  <c r="CE148" i="91"/>
  <c r="CE148" i="90"/>
  <c r="AS149" i="79"/>
  <c r="AS149" i="92"/>
  <c r="AS149" i="91"/>
  <c r="AS149" i="90"/>
  <c r="BZ149" i="79"/>
  <c r="BZ149" i="92"/>
  <c r="BZ149" i="91"/>
  <c r="BZ149" i="90"/>
  <c r="CH149" i="79"/>
  <c r="CH149" i="92"/>
  <c r="CH149" i="91"/>
  <c r="CH149" i="90"/>
  <c r="BP150" i="79"/>
  <c r="BP150" i="92"/>
  <c r="BQ150" i="92"/>
  <c r="BQ150" i="91"/>
  <c r="BP150" i="91"/>
  <c r="BQ150" i="90"/>
  <c r="BP150" i="90"/>
  <c r="CC150" i="79"/>
  <c r="CC150" i="92"/>
  <c r="CC150" i="91"/>
  <c r="CC150" i="90"/>
  <c r="AH151" i="92"/>
  <c r="AG151" i="92"/>
  <c r="AF151" i="92"/>
  <c r="AF151" i="91"/>
  <c r="AH151" i="91"/>
  <c r="AG151" i="91"/>
  <c r="AF151" i="90"/>
  <c r="AG151" i="90"/>
  <c r="AH151" i="90"/>
  <c r="BX151" i="79"/>
  <c r="BX151" i="92"/>
  <c r="BX151" i="91"/>
  <c r="BX151" i="90"/>
  <c r="CF151" i="79"/>
  <c r="CF151" i="92"/>
  <c r="CF151" i="91"/>
  <c r="CF151" i="90"/>
  <c r="AW152" i="92"/>
  <c r="AV152" i="92"/>
  <c r="AU152" i="92"/>
  <c r="AW152" i="91"/>
  <c r="AV152" i="91"/>
  <c r="AU152" i="91"/>
  <c r="AW152" i="90"/>
  <c r="AV152" i="90"/>
  <c r="AU152" i="90"/>
  <c r="CA152" i="79"/>
  <c r="CA152" i="92"/>
  <c r="CA152" i="91"/>
  <c r="CA152" i="90"/>
  <c r="AD153" i="92"/>
  <c r="AC153" i="92"/>
  <c r="AB153" i="92"/>
  <c r="AB153" i="91"/>
  <c r="AD153" i="91"/>
  <c r="AC153" i="91"/>
  <c r="AB153" i="90"/>
  <c r="AC153" i="90"/>
  <c r="AD153" i="90"/>
  <c r="BV153" i="79"/>
  <c r="BV153" i="92"/>
  <c r="BV153" i="91"/>
  <c r="BV153" i="90"/>
  <c r="CD153" i="79"/>
  <c r="CD153" i="92"/>
  <c r="CD153" i="91"/>
  <c r="CD153" i="90"/>
  <c r="AR154" i="92"/>
  <c r="AQ154" i="92"/>
  <c r="AP154" i="92"/>
  <c r="AR154" i="91"/>
  <c r="AQ154" i="91"/>
  <c r="AP154" i="91"/>
  <c r="AR154" i="90"/>
  <c r="AQ154" i="90"/>
  <c r="AP154" i="90"/>
  <c r="BY154" i="79"/>
  <c r="BY154" i="92"/>
  <c r="BY154" i="91"/>
  <c r="BY154" i="90"/>
  <c r="CG154" i="79"/>
  <c r="CG154" i="92"/>
  <c r="CG154" i="91"/>
  <c r="CG154" i="90"/>
  <c r="AX155" i="79"/>
  <c r="AX155" i="92"/>
  <c r="AX155" i="91"/>
  <c r="AX155" i="90"/>
  <c r="CB155" i="79"/>
  <c r="CB155" i="92"/>
  <c r="CB155" i="91"/>
  <c r="CB155" i="90"/>
  <c r="AE156" i="79"/>
  <c r="AE156" i="92"/>
  <c r="AE156" i="91"/>
  <c r="AE156" i="90"/>
  <c r="BW156" i="79"/>
  <c r="BW156" i="92"/>
  <c r="BW156" i="91"/>
  <c r="BW156" i="90"/>
  <c r="CE156" i="79"/>
  <c r="CE156" i="92"/>
  <c r="CE156" i="91"/>
  <c r="CE156" i="90"/>
  <c r="AS157" i="79"/>
  <c r="AS157" i="92"/>
  <c r="AS157" i="91"/>
  <c r="AS157" i="90"/>
  <c r="BZ157" i="79"/>
  <c r="BZ157" i="92"/>
  <c r="BZ157" i="91"/>
  <c r="BZ157" i="90"/>
  <c r="CH157" i="79"/>
  <c r="CH157" i="92"/>
  <c r="CH157" i="91"/>
  <c r="CH157" i="90"/>
  <c r="BP158" i="79"/>
  <c r="BQ158" i="92"/>
  <c r="BP158" i="92"/>
  <c r="BQ158" i="91"/>
  <c r="BP158" i="91"/>
  <c r="BQ158" i="90"/>
  <c r="BP158" i="90"/>
  <c r="CC158" i="79"/>
  <c r="CC158" i="92"/>
  <c r="CC158" i="91"/>
  <c r="CC158" i="90"/>
  <c r="AH159" i="92"/>
  <c r="AG159" i="92"/>
  <c r="AF159" i="92"/>
  <c r="AF159" i="91"/>
  <c r="AG159" i="91"/>
  <c r="AH159" i="91"/>
  <c r="AF159" i="90"/>
  <c r="AG159" i="90"/>
  <c r="AH159" i="90"/>
  <c r="BX159" i="79"/>
  <c r="BX159" i="92"/>
  <c r="BX159" i="91"/>
  <c r="BX159" i="90"/>
  <c r="CF159" i="79"/>
  <c r="CF159" i="92"/>
  <c r="CF159" i="91"/>
  <c r="CF159" i="90"/>
  <c r="AW160" i="92"/>
  <c r="AV160" i="92"/>
  <c r="AU160" i="92"/>
  <c r="AW160" i="91"/>
  <c r="AV160" i="91"/>
  <c r="AU160" i="91"/>
  <c r="AW160" i="90"/>
  <c r="AV160" i="90"/>
  <c r="AU160" i="90"/>
  <c r="CA160" i="79"/>
  <c r="CA160" i="92"/>
  <c r="CA160" i="91"/>
  <c r="CA160" i="90"/>
  <c r="AB161" i="92"/>
  <c r="AC161" i="92"/>
  <c r="AD161" i="92"/>
  <c r="AB161" i="91"/>
  <c r="AD161" i="91"/>
  <c r="AC161" i="91"/>
  <c r="AB161" i="90"/>
  <c r="AC161" i="90"/>
  <c r="AD161" i="90"/>
  <c r="BV161" i="79"/>
  <c r="BV161" i="92"/>
  <c r="BV161" i="91"/>
  <c r="BV161" i="90"/>
  <c r="CD161" i="79"/>
  <c r="CD161" i="92"/>
  <c r="CD161" i="91"/>
  <c r="CD161" i="90"/>
  <c r="AR162" i="92"/>
  <c r="AQ162" i="92"/>
  <c r="AP162" i="92"/>
  <c r="AR162" i="91"/>
  <c r="AQ162" i="91"/>
  <c r="AP162" i="91"/>
  <c r="AR162" i="90"/>
  <c r="AQ162" i="90"/>
  <c r="AP162" i="90"/>
  <c r="BY162" i="79"/>
  <c r="BY162" i="92"/>
  <c r="BY162" i="91"/>
  <c r="BY162" i="90"/>
  <c r="CG162" i="79"/>
  <c r="CG162" i="92"/>
  <c r="CG162" i="91"/>
  <c r="CG162" i="90"/>
  <c r="AX163" i="79"/>
  <c r="AX163" i="92"/>
  <c r="AX163" i="91"/>
  <c r="AX163" i="90"/>
  <c r="CB163" i="79"/>
  <c r="CB163" i="92"/>
  <c r="CB163" i="91"/>
  <c r="CB163" i="90"/>
  <c r="AE164" i="79"/>
  <c r="AE164" i="92"/>
  <c r="AE164" i="91"/>
  <c r="AE164" i="90"/>
  <c r="BW164" i="79"/>
  <c r="BW164" i="92"/>
  <c r="BW164" i="91"/>
  <c r="BW164" i="90"/>
  <c r="CE164" i="79"/>
  <c r="CE164" i="92"/>
  <c r="CE164" i="91"/>
  <c r="CE164" i="90"/>
  <c r="AS165" i="79"/>
  <c r="AS165" i="92"/>
  <c r="AS165" i="91"/>
  <c r="AS165" i="90"/>
  <c r="BZ165" i="79"/>
  <c r="BZ165" i="92"/>
  <c r="BZ165" i="91"/>
  <c r="BZ165" i="90"/>
  <c r="CH165" i="79"/>
  <c r="CH165" i="92"/>
  <c r="CH165" i="91"/>
  <c r="CH165" i="90"/>
  <c r="BP166" i="79"/>
  <c r="BQ166" i="92"/>
  <c r="BP166" i="92"/>
  <c r="BQ166" i="91"/>
  <c r="BP166" i="91"/>
  <c r="BQ166" i="90"/>
  <c r="BP166" i="90"/>
  <c r="CC166" i="79"/>
  <c r="CC166" i="92"/>
  <c r="CC166" i="91"/>
  <c r="CC166" i="90"/>
  <c r="AF167" i="92"/>
  <c r="AH167" i="92"/>
  <c r="AG167" i="92"/>
  <c r="AF167" i="91"/>
  <c r="AH167" i="91"/>
  <c r="AG167" i="91"/>
  <c r="AF167" i="90"/>
  <c r="AG167" i="90"/>
  <c r="AH167" i="90"/>
  <c r="BX167" i="79"/>
  <c r="BX167" i="92"/>
  <c r="BX167" i="91"/>
  <c r="BX167" i="90"/>
  <c r="CF167" i="79"/>
  <c r="CF167" i="92"/>
  <c r="CF167" i="91"/>
  <c r="CF167" i="90"/>
  <c r="AW168" i="92"/>
  <c r="AV168" i="92"/>
  <c r="AU168" i="92"/>
  <c r="AW168" i="91"/>
  <c r="AV168" i="91"/>
  <c r="AU168" i="91"/>
  <c r="AW168" i="90"/>
  <c r="AV168" i="90"/>
  <c r="AU168" i="90"/>
  <c r="CA168" i="79"/>
  <c r="CA168" i="92"/>
  <c r="CA168" i="91"/>
  <c r="CA168" i="90"/>
  <c r="BV169" i="90"/>
  <c r="F94" i="86"/>
  <c r="H90" i="86"/>
  <c r="BY170" i="90"/>
  <c r="CG170" i="90"/>
  <c r="F325" i="86"/>
  <c r="H323" i="86"/>
  <c r="CB171" i="90"/>
  <c r="N203" i="86"/>
  <c r="K203" i="86"/>
  <c r="BW172" i="90"/>
  <c r="K104" i="86"/>
  <c r="N104" i="86"/>
  <c r="AS173" i="79"/>
  <c r="AS173" i="92"/>
  <c r="AS173" i="91"/>
  <c r="AS173" i="90"/>
  <c r="BZ173" i="79"/>
  <c r="BZ173" i="92"/>
  <c r="BZ173" i="91"/>
  <c r="BZ173" i="90"/>
  <c r="CH173" i="79"/>
  <c r="CH173" i="90"/>
  <c r="BP174" i="79"/>
  <c r="BP174" i="92"/>
  <c r="BQ174" i="92"/>
  <c r="BQ174" i="91"/>
  <c r="BP174" i="91"/>
  <c r="BP174" i="90"/>
  <c r="BQ174" i="90"/>
  <c r="CC174" i="79"/>
  <c r="CC174" i="92"/>
  <c r="CC174" i="91"/>
  <c r="CC174" i="90"/>
  <c r="AR175" i="92"/>
  <c r="AP175" i="92"/>
  <c r="AQ175" i="92"/>
  <c r="AR175" i="91"/>
  <c r="AQ175" i="91"/>
  <c r="AP175" i="91"/>
  <c r="AQ175" i="90"/>
  <c r="AP175" i="90"/>
  <c r="AR175" i="90"/>
  <c r="BY175" i="79"/>
  <c r="BY175" i="90"/>
  <c r="CG175" i="79"/>
  <c r="CG175" i="90"/>
  <c r="AS2" i="92"/>
  <c r="AS2" i="91"/>
  <c r="AS2" i="90"/>
  <c r="BZ2" i="92"/>
  <c r="BZ2" i="91"/>
  <c r="BZ2" i="90"/>
  <c r="CH2" i="92"/>
  <c r="CH2" i="91"/>
  <c r="CH2" i="90"/>
  <c r="BP3" i="79"/>
  <c r="BQ3" i="92"/>
  <c r="BP3" i="92"/>
  <c r="BP3" i="91"/>
  <c r="BQ3" i="91"/>
  <c r="BQ3" i="90"/>
  <c r="BP3" i="90"/>
  <c r="CC3" i="79"/>
  <c r="CC3" i="92"/>
  <c r="CC3" i="91"/>
  <c r="CC3" i="90"/>
  <c r="AH4" i="92"/>
  <c r="AG4" i="92"/>
  <c r="AF4" i="92"/>
  <c r="AF4" i="91"/>
  <c r="AG4" i="91"/>
  <c r="AH4" i="91"/>
  <c r="AF4" i="90"/>
  <c r="AH4" i="90"/>
  <c r="AG4" i="90"/>
  <c r="BX4" i="79"/>
  <c r="BX4" i="92"/>
  <c r="BX4" i="91"/>
  <c r="BX4" i="90"/>
  <c r="CF4" i="79"/>
  <c r="CF4" i="92"/>
  <c r="CF4" i="91"/>
  <c r="CF4" i="90"/>
  <c r="AW5" i="92"/>
  <c r="AV5" i="92"/>
  <c r="AU5" i="92"/>
  <c r="AU5" i="91"/>
  <c r="AW5" i="91"/>
  <c r="AV5" i="91"/>
  <c r="AV5" i="90"/>
  <c r="AU5" i="90"/>
  <c r="AW5" i="90"/>
  <c r="CA5" i="79"/>
  <c r="CA5" i="92"/>
  <c r="CA5" i="91"/>
  <c r="CA5" i="90"/>
  <c r="AD6" i="92"/>
  <c r="AC6" i="92"/>
  <c r="AB6" i="92"/>
  <c r="AB6" i="91"/>
  <c r="AC6" i="91"/>
  <c r="AD6" i="91"/>
  <c r="AB6" i="90"/>
  <c r="AD6" i="90"/>
  <c r="AC6" i="90"/>
  <c r="BV6" i="79"/>
  <c r="BV6" i="92"/>
  <c r="BV6" i="91"/>
  <c r="BV6" i="90"/>
  <c r="CD6" i="79"/>
  <c r="CD6" i="92"/>
  <c r="CD6" i="91"/>
  <c r="CD6" i="90"/>
  <c r="AR7" i="92"/>
  <c r="AQ7" i="92"/>
  <c r="AP7" i="92"/>
  <c r="AP7" i="91"/>
  <c r="AR7" i="91"/>
  <c r="AQ7" i="91"/>
  <c r="AQ7" i="90"/>
  <c r="AP7" i="90"/>
  <c r="AR7" i="90"/>
  <c r="BY7" i="79"/>
  <c r="BY7" i="92"/>
  <c r="BY7" i="91"/>
  <c r="BY7" i="90"/>
  <c r="CG7" i="79"/>
  <c r="CG7" i="92"/>
  <c r="CG7" i="91"/>
  <c r="CG7" i="90"/>
  <c r="AX8" i="79"/>
  <c r="AX8" i="92"/>
  <c r="AX8" i="91"/>
  <c r="AX8" i="90"/>
  <c r="CB8" i="79"/>
  <c r="CB8" i="92"/>
  <c r="CB8" i="91"/>
  <c r="CB8" i="90"/>
  <c r="AE9" i="79"/>
  <c r="AE9" i="92"/>
  <c r="AE9" i="91"/>
  <c r="AE9" i="90"/>
  <c r="BW9" i="79"/>
  <c r="BW9" i="92"/>
  <c r="BW9" i="91"/>
  <c r="BW9" i="90"/>
  <c r="CE9" i="79"/>
  <c r="CE9" i="92"/>
  <c r="CE9" i="91"/>
  <c r="CE9" i="90"/>
  <c r="AS10" i="79"/>
  <c r="AS10" i="92"/>
  <c r="AS10" i="91"/>
  <c r="AS10" i="90"/>
  <c r="BZ10" i="79"/>
  <c r="BZ10" i="92"/>
  <c r="BZ10" i="91"/>
  <c r="BZ10" i="90"/>
  <c r="CH10" i="79"/>
  <c r="CH10" i="92"/>
  <c r="CH10" i="91"/>
  <c r="CH10" i="90"/>
  <c r="BP11" i="79"/>
  <c r="BQ11" i="92"/>
  <c r="BP11" i="92"/>
  <c r="BQ11" i="91"/>
  <c r="BP11" i="91"/>
  <c r="BQ11" i="90"/>
  <c r="BP11" i="90"/>
  <c r="CC11" i="79"/>
  <c r="CC11" i="92"/>
  <c r="CC11" i="91"/>
  <c r="CC11" i="90"/>
  <c r="AH12" i="92"/>
  <c r="AG12" i="92"/>
  <c r="AF12" i="92"/>
  <c r="AF12" i="91"/>
  <c r="AG12" i="91"/>
  <c r="AH12" i="91"/>
  <c r="AF12" i="90"/>
  <c r="AH12" i="90"/>
  <c r="AG12" i="90"/>
  <c r="BX12" i="79"/>
  <c r="BX12" i="92"/>
  <c r="BX12" i="91"/>
  <c r="BX12" i="90"/>
  <c r="CF12" i="79"/>
  <c r="CF12" i="92"/>
  <c r="CF12" i="91"/>
  <c r="CF12" i="90"/>
  <c r="AW13" i="92"/>
  <c r="AV13" i="92"/>
  <c r="AU13" i="92"/>
  <c r="AW13" i="91"/>
  <c r="AV13" i="91"/>
  <c r="AU13" i="91"/>
  <c r="AV13" i="90"/>
  <c r="AU13" i="90"/>
  <c r="AW13" i="90"/>
  <c r="CA13" i="79"/>
  <c r="CA13" i="92"/>
  <c r="CA13" i="91"/>
  <c r="CA13" i="90"/>
  <c r="AD14" i="92"/>
  <c r="AC14" i="92"/>
  <c r="AB14" i="92"/>
  <c r="AC14" i="91"/>
  <c r="AD14" i="91"/>
  <c r="AB14" i="91"/>
  <c r="AB14" i="90"/>
  <c r="AD14" i="90"/>
  <c r="AC14" i="90"/>
  <c r="BV14" i="79"/>
  <c r="BV14" i="92"/>
  <c r="BV14" i="91"/>
  <c r="BV14" i="90"/>
  <c r="CD14" i="79"/>
  <c r="CD14" i="92"/>
  <c r="CD14" i="91"/>
  <c r="CD14" i="90"/>
  <c r="AR15" i="92"/>
  <c r="AQ15" i="92"/>
  <c r="AP15" i="92"/>
  <c r="AR15" i="91"/>
  <c r="AQ15" i="91"/>
  <c r="AP15" i="91"/>
  <c r="AQ15" i="90"/>
  <c r="AP15" i="90"/>
  <c r="AR15" i="90"/>
  <c r="BY15" i="79"/>
  <c r="BY15" i="92"/>
  <c r="BY15" i="91"/>
  <c r="BY15" i="90"/>
  <c r="CG15" i="79"/>
  <c r="CG15" i="92"/>
  <c r="CG15" i="91"/>
  <c r="CG15" i="90"/>
  <c r="AX16" i="79"/>
  <c r="AX16" i="92"/>
  <c r="AX16" i="91"/>
  <c r="AX16" i="90"/>
  <c r="CB16" i="79"/>
  <c r="CB16" i="92"/>
  <c r="CB16" i="91"/>
  <c r="CB16" i="90"/>
  <c r="AE17" i="79"/>
  <c r="AE17" i="92"/>
  <c r="AE17" i="91"/>
  <c r="AE17" i="90"/>
  <c r="BW17" i="79"/>
  <c r="BW17" i="92"/>
  <c r="BW17" i="91"/>
  <c r="BW17" i="90"/>
  <c r="CE17" i="79"/>
  <c r="CE17" i="92"/>
  <c r="CE17" i="91"/>
  <c r="CE17" i="90"/>
  <c r="AS18" i="79"/>
  <c r="AS18" i="92"/>
  <c r="AS18" i="91"/>
  <c r="AS18" i="90"/>
  <c r="BZ18" i="79"/>
  <c r="BZ18" i="92"/>
  <c r="BZ18" i="91"/>
  <c r="BZ18" i="90"/>
  <c r="CH18" i="79"/>
  <c r="CH18" i="92"/>
  <c r="CH18" i="91"/>
  <c r="CH18" i="90"/>
  <c r="BP19" i="79"/>
  <c r="BQ19" i="92"/>
  <c r="BP19" i="92"/>
  <c r="BQ19" i="91"/>
  <c r="BP19" i="91"/>
  <c r="BQ19" i="90"/>
  <c r="BP19" i="90"/>
  <c r="CC19" i="79"/>
  <c r="CC19" i="92"/>
  <c r="CC19" i="91"/>
  <c r="CC19" i="90"/>
  <c r="AH20" i="92"/>
  <c r="AG20" i="92"/>
  <c r="AF20" i="92"/>
  <c r="AH20" i="91"/>
  <c r="AG20" i="91"/>
  <c r="AF20" i="91"/>
  <c r="AH20" i="90"/>
  <c r="AG20" i="90"/>
  <c r="AF20" i="90"/>
  <c r="BX20" i="79"/>
  <c r="BX20" i="92"/>
  <c r="BX20" i="91"/>
  <c r="BX20" i="90"/>
  <c r="CF20" i="79"/>
  <c r="CF20" i="92"/>
  <c r="CF20" i="91"/>
  <c r="CF20" i="90"/>
  <c r="CA21" i="79"/>
  <c r="CA21" i="92"/>
  <c r="CA21" i="91"/>
  <c r="CA21" i="90"/>
  <c r="AD22" i="92"/>
  <c r="AC22" i="92"/>
  <c r="AB22" i="92"/>
  <c r="AD22" i="91"/>
  <c r="AC22" i="91"/>
  <c r="AB22" i="91"/>
  <c r="AD22" i="90"/>
  <c r="AC22" i="90"/>
  <c r="AB22" i="90"/>
  <c r="BV22" i="79"/>
  <c r="BV22" i="92"/>
  <c r="BV22" i="91"/>
  <c r="BV22" i="90"/>
  <c r="CD22" i="79"/>
  <c r="CD22" i="92"/>
  <c r="CD22" i="91"/>
  <c r="CD22" i="90"/>
  <c r="BY23" i="79"/>
  <c r="BY23" i="92"/>
  <c r="BY23" i="91"/>
  <c r="BY23" i="90"/>
  <c r="CG23" i="79"/>
  <c r="CG23" i="92"/>
  <c r="CG23" i="91"/>
  <c r="CG23" i="90"/>
  <c r="AX24" i="79"/>
  <c r="AX24" i="92"/>
  <c r="AX24" i="91"/>
  <c r="AX24" i="90"/>
  <c r="CB24" i="79"/>
  <c r="CB24" i="92"/>
  <c r="CB24" i="91"/>
  <c r="CB24" i="90"/>
  <c r="AE25" i="79"/>
  <c r="AE25" i="92"/>
  <c r="AE25" i="91"/>
  <c r="AE25" i="90"/>
  <c r="BW25" i="79"/>
  <c r="BW25" i="92"/>
  <c r="BW25" i="91"/>
  <c r="BW25" i="90"/>
  <c r="CE25" i="79"/>
  <c r="CE25" i="92"/>
  <c r="CE25" i="91"/>
  <c r="CE25" i="90"/>
  <c r="AS26" i="79"/>
  <c r="AS26" i="92"/>
  <c r="AS26" i="91"/>
  <c r="AS26" i="90"/>
  <c r="BZ26" i="79"/>
  <c r="BZ26" i="92"/>
  <c r="BZ26" i="91"/>
  <c r="BZ26" i="90"/>
  <c r="CH26" i="79"/>
  <c r="CH26" i="92"/>
  <c r="CH26" i="91"/>
  <c r="CH26" i="90"/>
  <c r="BP27" i="79"/>
  <c r="BQ27" i="92"/>
  <c r="BP27" i="92"/>
  <c r="BQ27" i="91"/>
  <c r="BP27" i="91"/>
  <c r="BQ27" i="90"/>
  <c r="BP27" i="90"/>
  <c r="CC27" i="79"/>
  <c r="CC27" i="92"/>
  <c r="CC27" i="91"/>
  <c r="CC27" i="90"/>
  <c r="AH28" i="92"/>
  <c r="AG28" i="92"/>
  <c r="AF28" i="92"/>
  <c r="AH28" i="91"/>
  <c r="AG28" i="91"/>
  <c r="AF28" i="91"/>
  <c r="AF28" i="90"/>
  <c r="AH28" i="90"/>
  <c r="AG28" i="90"/>
  <c r="BX28" i="79"/>
  <c r="BX28" i="92"/>
  <c r="BX28" i="91"/>
  <c r="BX28" i="90"/>
  <c r="CF28" i="79"/>
  <c r="CF28" i="92"/>
  <c r="CF28" i="91"/>
  <c r="CF28" i="90"/>
  <c r="AW29" i="92"/>
  <c r="AV29" i="92"/>
  <c r="AU29" i="92"/>
  <c r="AW29" i="91"/>
  <c r="AV29" i="91"/>
  <c r="AU29" i="91"/>
  <c r="AV29" i="90"/>
  <c r="AU29" i="90"/>
  <c r="AW29" i="90"/>
  <c r="CA29" i="79"/>
  <c r="CA29" i="92"/>
  <c r="CA29" i="91"/>
  <c r="CA29" i="90"/>
  <c r="AD30" i="92"/>
  <c r="AC30" i="92"/>
  <c r="AB30" i="92"/>
  <c r="AD30" i="91"/>
  <c r="AC30" i="91"/>
  <c r="AB30" i="91"/>
  <c r="AB30" i="90"/>
  <c r="AD30" i="90"/>
  <c r="AC30" i="90"/>
  <c r="BV30" i="79"/>
  <c r="BV30" i="92"/>
  <c r="BV30" i="91"/>
  <c r="BV30" i="90"/>
  <c r="CD30" i="79"/>
  <c r="CD30" i="92"/>
  <c r="CD30" i="91"/>
  <c r="CD30" i="90"/>
  <c r="AR31" i="92"/>
  <c r="AQ31" i="92"/>
  <c r="AP31" i="92"/>
  <c r="AR31" i="91"/>
  <c r="AQ31" i="91"/>
  <c r="AP31" i="91"/>
  <c r="AQ31" i="90"/>
  <c r="AP31" i="90"/>
  <c r="AR31" i="90"/>
  <c r="BY31" i="79"/>
  <c r="BY31" i="92"/>
  <c r="BY31" i="91"/>
  <c r="BY31" i="90"/>
  <c r="CG31" i="79"/>
  <c r="CG31" i="92"/>
  <c r="CG31" i="91"/>
  <c r="CG31" i="90"/>
  <c r="AX32" i="79"/>
  <c r="AX32" i="92"/>
  <c r="AX32" i="91"/>
  <c r="AX32" i="90"/>
  <c r="CB32" i="79"/>
  <c r="CB32" i="92"/>
  <c r="CB32" i="91"/>
  <c r="CB32" i="90"/>
  <c r="AE33" i="79"/>
  <c r="AE33" i="92"/>
  <c r="AE33" i="91"/>
  <c r="AE33" i="90"/>
  <c r="BW33" i="79"/>
  <c r="BW33" i="92"/>
  <c r="BW33" i="91"/>
  <c r="BW33" i="90"/>
  <c r="CE33" i="79"/>
  <c r="CE33" i="92"/>
  <c r="CE33" i="91"/>
  <c r="CE33" i="90"/>
  <c r="AS34" i="79"/>
  <c r="AS34" i="92"/>
  <c r="AS34" i="91"/>
  <c r="AS34" i="90"/>
  <c r="BZ34" i="79"/>
  <c r="BZ34" i="92"/>
  <c r="BZ34" i="91"/>
  <c r="BZ34" i="90"/>
  <c r="CH34" i="79"/>
  <c r="CH34" i="92"/>
  <c r="CH34" i="91"/>
  <c r="CH34" i="90"/>
  <c r="BP35" i="79"/>
  <c r="BQ35" i="92"/>
  <c r="BP35" i="92"/>
  <c r="BQ35" i="91"/>
  <c r="BP35" i="91"/>
  <c r="BQ35" i="90"/>
  <c r="BP35" i="90"/>
  <c r="CC35" i="79"/>
  <c r="CC35" i="92"/>
  <c r="CC35" i="91"/>
  <c r="CC35" i="90"/>
  <c r="AH36" i="92"/>
  <c r="AG36" i="92"/>
  <c r="AF36" i="92"/>
  <c r="AH36" i="91"/>
  <c r="AG36" i="91"/>
  <c r="AF36" i="91"/>
  <c r="AF36" i="90"/>
  <c r="AH36" i="90"/>
  <c r="AG36" i="90"/>
  <c r="BX36" i="79"/>
  <c r="BX36" i="92"/>
  <c r="BX36" i="91"/>
  <c r="BX36" i="90"/>
  <c r="CF36" i="79"/>
  <c r="CF36" i="92"/>
  <c r="CF36" i="91"/>
  <c r="CF36" i="90"/>
  <c r="AW37" i="92"/>
  <c r="AV37" i="92"/>
  <c r="AU37" i="92"/>
  <c r="AW37" i="91"/>
  <c r="AV37" i="91"/>
  <c r="AU37" i="91"/>
  <c r="AV37" i="90"/>
  <c r="AU37" i="90"/>
  <c r="AW37" i="90"/>
  <c r="CA37" i="79"/>
  <c r="CA37" i="92"/>
  <c r="CA37" i="91"/>
  <c r="CA37" i="90"/>
  <c r="AD38" i="92"/>
  <c r="AC38" i="92"/>
  <c r="AB38" i="92"/>
  <c r="AD38" i="91"/>
  <c r="AC38" i="91"/>
  <c r="AB38" i="91"/>
  <c r="AB38" i="90"/>
  <c r="AD38" i="90"/>
  <c r="AC38" i="90"/>
  <c r="BV38" i="79"/>
  <c r="BV38" i="92"/>
  <c r="BV38" i="91"/>
  <c r="BV38" i="90"/>
  <c r="CD38" i="79"/>
  <c r="CD38" i="92"/>
  <c r="CD38" i="91"/>
  <c r="CD38" i="90"/>
  <c r="AR39" i="92"/>
  <c r="AQ39" i="92"/>
  <c r="AP39" i="92"/>
  <c r="AR39" i="91"/>
  <c r="AQ39" i="91"/>
  <c r="AP39" i="91"/>
  <c r="AQ39" i="90"/>
  <c r="AP39" i="90"/>
  <c r="AR39" i="90"/>
  <c r="BY39" i="79"/>
  <c r="BY39" i="92"/>
  <c r="BY39" i="91"/>
  <c r="BY39" i="90"/>
  <c r="CG39" i="79"/>
  <c r="CG39" i="92"/>
  <c r="CG39" i="91"/>
  <c r="CG39" i="90"/>
  <c r="AX40" i="79"/>
  <c r="AX40" i="92"/>
  <c r="AX40" i="91"/>
  <c r="AX40" i="90"/>
  <c r="CB40" i="79"/>
  <c r="CB40" i="92"/>
  <c r="CB40" i="91"/>
  <c r="CB40" i="90"/>
  <c r="AE41" i="79"/>
  <c r="AE41" i="92"/>
  <c r="AE41" i="91"/>
  <c r="AE41" i="90"/>
  <c r="BW41" i="79"/>
  <c r="BW41" i="92"/>
  <c r="BW41" i="91"/>
  <c r="BW41" i="90"/>
  <c r="CE41" i="79"/>
  <c r="CE41" i="92"/>
  <c r="CE41" i="91"/>
  <c r="CE41" i="90"/>
  <c r="AS42" i="79"/>
  <c r="AS42" i="92"/>
  <c r="AS42" i="91"/>
  <c r="AS42" i="90"/>
  <c r="BZ42" i="79"/>
  <c r="BZ42" i="92"/>
  <c r="BZ42" i="91"/>
  <c r="BZ42" i="90"/>
  <c r="CH42" i="79"/>
  <c r="CH42" i="92"/>
  <c r="CH42" i="91"/>
  <c r="CH42" i="90"/>
  <c r="BP43" i="79"/>
  <c r="BQ43" i="92"/>
  <c r="BP43" i="92"/>
  <c r="BQ43" i="91"/>
  <c r="BP43" i="91"/>
  <c r="BQ43" i="90"/>
  <c r="BP43" i="90"/>
  <c r="CC43" i="79"/>
  <c r="CC43" i="92"/>
  <c r="CC43" i="91"/>
  <c r="CC43" i="90"/>
  <c r="AG44" i="92"/>
  <c r="AF44" i="92"/>
  <c r="AH44" i="92"/>
  <c r="AH44" i="91"/>
  <c r="AG44" i="91"/>
  <c r="AF44" i="91"/>
  <c r="AH44" i="90"/>
  <c r="AG44" i="90"/>
  <c r="AF44" i="90"/>
  <c r="BX44" i="79"/>
  <c r="BX44" i="92"/>
  <c r="BX44" i="91"/>
  <c r="BX44" i="90"/>
  <c r="CF44" i="79"/>
  <c r="CF44" i="92"/>
  <c r="CF44" i="91"/>
  <c r="CF44" i="90"/>
  <c r="AW45" i="92"/>
  <c r="AV45" i="92"/>
  <c r="AU45" i="92"/>
  <c r="AW45" i="91"/>
  <c r="AV45" i="91"/>
  <c r="AU45" i="91"/>
  <c r="AV45" i="90"/>
  <c r="AU45" i="90"/>
  <c r="AW45" i="90"/>
  <c r="CA45" i="79"/>
  <c r="CA45" i="92"/>
  <c r="CA45" i="91"/>
  <c r="CA45" i="90"/>
  <c r="AC46" i="92"/>
  <c r="AB46" i="92"/>
  <c r="AD46" i="92"/>
  <c r="AD46" i="91"/>
  <c r="AC46" i="91"/>
  <c r="AB46" i="91"/>
  <c r="AB46" i="90"/>
  <c r="AD46" i="90"/>
  <c r="AC46" i="90"/>
  <c r="BV46" i="79"/>
  <c r="BV46" i="92"/>
  <c r="BV46" i="91"/>
  <c r="BV46" i="90"/>
  <c r="CD46" i="79"/>
  <c r="CD46" i="92"/>
  <c r="CD46" i="91"/>
  <c r="CD46" i="90"/>
  <c r="AR47" i="92"/>
  <c r="AQ47" i="92"/>
  <c r="AP47" i="92"/>
  <c r="AR47" i="91"/>
  <c r="AQ47" i="91"/>
  <c r="AP47" i="91"/>
  <c r="AQ47" i="90"/>
  <c r="AP47" i="90"/>
  <c r="AR47" i="90"/>
  <c r="BY47" i="79"/>
  <c r="BY47" i="92"/>
  <c r="BY47" i="91"/>
  <c r="BY47" i="90"/>
  <c r="CG47" i="79"/>
  <c r="CG47" i="92"/>
  <c r="CG47" i="91"/>
  <c r="CG47" i="90"/>
  <c r="AX48" i="79"/>
  <c r="AX48" i="92"/>
  <c r="AX48" i="91"/>
  <c r="AX48" i="90"/>
  <c r="CB48" i="79"/>
  <c r="CB48" i="92"/>
  <c r="CB48" i="91"/>
  <c r="CB48" i="90"/>
  <c r="AE49" i="79"/>
  <c r="AE49" i="92"/>
  <c r="AE49" i="91"/>
  <c r="AE49" i="90"/>
  <c r="BW49" i="79"/>
  <c r="BW49" i="92"/>
  <c r="BW49" i="91"/>
  <c r="BW49" i="90"/>
  <c r="CE49" i="79"/>
  <c r="CE49" i="92"/>
  <c r="CE49" i="91"/>
  <c r="CE49" i="90"/>
  <c r="AS50" i="79"/>
  <c r="AS50" i="92"/>
  <c r="AS50" i="91"/>
  <c r="AS50" i="90"/>
  <c r="BZ50" i="79"/>
  <c r="BZ50" i="92"/>
  <c r="BZ50" i="91"/>
  <c r="BZ50" i="90"/>
  <c r="CH50" i="79"/>
  <c r="CH50" i="92"/>
  <c r="CH50" i="91"/>
  <c r="CH50" i="90"/>
  <c r="CC51" i="79"/>
  <c r="CC51" i="92"/>
  <c r="CC51" i="91"/>
  <c r="CC51" i="90"/>
  <c r="AH52" i="92"/>
  <c r="AG52" i="92"/>
  <c r="AF52" i="92"/>
  <c r="AF52" i="91"/>
  <c r="AH52" i="91"/>
  <c r="AG52" i="91"/>
  <c r="AF52" i="90"/>
  <c r="AH52" i="90"/>
  <c r="AG52" i="90"/>
  <c r="BX52" i="79"/>
  <c r="BX52" i="92"/>
  <c r="BX52" i="91"/>
  <c r="BX52" i="90"/>
  <c r="CF52" i="79"/>
  <c r="CF52" i="92"/>
  <c r="CF52" i="91"/>
  <c r="CF52" i="90"/>
  <c r="AW53" i="92"/>
  <c r="AV53" i="92"/>
  <c r="AU53" i="92"/>
  <c r="AW53" i="91"/>
  <c r="AV53" i="91"/>
  <c r="AU53" i="91"/>
  <c r="AW53" i="90"/>
  <c r="AV53" i="90"/>
  <c r="AU53" i="90"/>
  <c r="CA53" i="79"/>
  <c r="CA53" i="92"/>
  <c r="CA53" i="91"/>
  <c r="CA53" i="90"/>
  <c r="AD54" i="92"/>
  <c r="AC54" i="92"/>
  <c r="AB54" i="92"/>
  <c r="AB54" i="91"/>
  <c r="AD54" i="91"/>
  <c r="AC54" i="91"/>
  <c r="AB54" i="90"/>
  <c r="AD54" i="90"/>
  <c r="AC54" i="90"/>
  <c r="BV54" i="79"/>
  <c r="BV54" i="92"/>
  <c r="BV54" i="91"/>
  <c r="BV54" i="90"/>
  <c r="CD54" i="79"/>
  <c r="CD54" i="92"/>
  <c r="CD54" i="91"/>
  <c r="CD54" i="90"/>
  <c r="AR55" i="92"/>
  <c r="AQ55" i="92"/>
  <c r="AP55" i="92"/>
  <c r="AR55" i="91"/>
  <c r="AQ55" i="91"/>
  <c r="AP55" i="91"/>
  <c r="AR55" i="90"/>
  <c r="AQ55" i="90"/>
  <c r="AP55" i="90"/>
  <c r="BY55" i="79"/>
  <c r="BY55" i="92"/>
  <c r="BY55" i="91"/>
  <c r="BY55" i="90"/>
  <c r="CG55" i="79"/>
  <c r="CG55" i="92"/>
  <c r="CG55" i="91"/>
  <c r="CG55" i="90"/>
  <c r="AX56" i="79"/>
  <c r="AX56" i="92"/>
  <c r="AX56" i="91"/>
  <c r="AX56" i="90"/>
  <c r="CB56" i="79"/>
  <c r="CB56" i="92"/>
  <c r="CB56" i="91"/>
  <c r="CB56" i="90"/>
  <c r="AE57" i="79"/>
  <c r="AE57" i="92"/>
  <c r="AE57" i="91"/>
  <c r="AE57" i="90"/>
  <c r="BW57" i="79"/>
  <c r="BW57" i="92"/>
  <c r="BW57" i="91"/>
  <c r="BW57" i="90"/>
  <c r="CE57" i="79"/>
  <c r="CE57" i="92"/>
  <c r="CE57" i="91"/>
  <c r="CE57" i="90"/>
  <c r="AS58" i="79"/>
  <c r="AS58" i="92"/>
  <c r="AS58" i="91"/>
  <c r="AS58" i="90"/>
  <c r="BZ58" i="79"/>
  <c r="BZ58" i="92"/>
  <c r="BZ58" i="91"/>
  <c r="BZ58" i="90"/>
  <c r="CH58" i="79"/>
  <c r="CH58" i="92"/>
  <c r="CH58" i="91"/>
  <c r="CH58" i="90"/>
  <c r="BQ59" i="79"/>
  <c r="BQ59" i="92"/>
  <c r="BP59" i="92"/>
  <c r="BQ59" i="91"/>
  <c r="BP59" i="91"/>
  <c r="BQ59" i="90"/>
  <c r="BP59" i="90"/>
  <c r="CC59" i="79"/>
  <c r="CC59" i="92"/>
  <c r="CC59" i="91"/>
  <c r="CC59" i="90"/>
  <c r="AG60" i="92"/>
  <c r="AF60" i="92"/>
  <c r="AH60" i="92"/>
  <c r="AF60" i="91"/>
  <c r="AH60" i="91"/>
  <c r="AG60" i="91"/>
  <c r="AF60" i="90"/>
  <c r="AH60" i="90"/>
  <c r="AG60" i="90"/>
  <c r="BX60" i="79"/>
  <c r="BX60" i="92"/>
  <c r="BX60" i="91"/>
  <c r="BX60" i="90"/>
  <c r="CF60" i="79"/>
  <c r="CF60" i="92"/>
  <c r="CF60" i="91"/>
  <c r="CF60" i="90"/>
  <c r="AW61" i="92"/>
  <c r="AV61" i="92"/>
  <c r="AU61" i="92"/>
  <c r="AW61" i="91"/>
  <c r="AV61" i="91"/>
  <c r="AU61" i="91"/>
  <c r="AW61" i="90"/>
  <c r="AV61" i="90"/>
  <c r="AU61" i="90"/>
  <c r="CA61" i="79"/>
  <c r="CA61" i="92"/>
  <c r="CA61" i="91"/>
  <c r="CA61" i="90"/>
  <c r="AC62" i="92"/>
  <c r="AB62" i="92"/>
  <c r="AD62" i="92"/>
  <c r="AB62" i="91"/>
  <c r="AD62" i="91"/>
  <c r="AC62" i="91"/>
  <c r="AB62" i="90"/>
  <c r="AC62" i="90"/>
  <c r="AD62" i="90"/>
  <c r="BV62" i="79"/>
  <c r="BV62" i="92"/>
  <c r="BV62" i="91"/>
  <c r="BV62" i="90"/>
  <c r="CD62" i="79"/>
  <c r="CD62" i="92"/>
  <c r="CD62" i="91"/>
  <c r="CD62" i="90"/>
  <c r="AR63" i="92"/>
  <c r="AQ63" i="92"/>
  <c r="AP63" i="92"/>
  <c r="AR63" i="91"/>
  <c r="AQ63" i="91"/>
  <c r="AP63" i="91"/>
  <c r="AR63" i="90"/>
  <c r="AQ63" i="90"/>
  <c r="AP63" i="90"/>
  <c r="BY63" i="79"/>
  <c r="BY63" i="92"/>
  <c r="BY63" i="91"/>
  <c r="BY63" i="90"/>
  <c r="CG63" i="79"/>
  <c r="CG63" i="92"/>
  <c r="CG63" i="91"/>
  <c r="CG63" i="90"/>
  <c r="AX64" i="79"/>
  <c r="AX64" i="92"/>
  <c r="AX64" i="91"/>
  <c r="AX64" i="90"/>
  <c r="CB64" i="79"/>
  <c r="CB64" i="92"/>
  <c r="CB64" i="91"/>
  <c r="CB64" i="90"/>
  <c r="AE65" i="79"/>
  <c r="AE65" i="92"/>
  <c r="AE65" i="91"/>
  <c r="AE65" i="90"/>
  <c r="BW65" i="79"/>
  <c r="BW65" i="92"/>
  <c r="BW65" i="91"/>
  <c r="BW65" i="90"/>
  <c r="CE65" i="79"/>
  <c r="CE65" i="92"/>
  <c r="CE65" i="91"/>
  <c r="CE65" i="90"/>
  <c r="AS66" i="79"/>
  <c r="AS66" i="92"/>
  <c r="AS66" i="91"/>
  <c r="AS66" i="90"/>
  <c r="BZ66" i="79"/>
  <c r="BZ66" i="92"/>
  <c r="BZ66" i="91"/>
  <c r="BZ66" i="90"/>
  <c r="CH66" i="79"/>
  <c r="CH66" i="92"/>
  <c r="CH66" i="91"/>
  <c r="CH66" i="90"/>
  <c r="BQ67" i="79"/>
  <c r="BQ67" i="92"/>
  <c r="BP67" i="92"/>
  <c r="BQ67" i="91"/>
  <c r="BP67" i="91"/>
  <c r="BQ67" i="90"/>
  <c r="BP67" i="90"/>
  <c r="CC67" i="79"/>
  <c r="CC67" i="92"/>
  <c r="CC67" i="91"/>
  <c r="CC67" i="90"/>
  <c r="AH68" i="92"/>
  <c r="AG68" i="92"/>
  <c r="AF68" i="92"/>
  <c r="AG68" i="91"/>
  <c r="AF68" i="91"/>
  <c r="AH68" i="91"/>
  <c r="AF68" i="90"/>
  <c r="AG68" i="90"/>
  <c r="AH68" i="90"/>
  <c r="BX68" i="79"/>
  <c r="BX68" i="92"/>
  <c r="BX68" i="91"/>
  <c r="BX68" i="90"/>
  <c r="CF68" i="79"/>
  <c r="CF68" i="92"/>
  <c r="CF68" i="91"/>
  <c r="CF68" i="90"/>
  <c r="AW69" i="92"/>
  <c r="AV69" i="92"/>
  <c r="AU69" i="92"/>
  <c r="AW69" i="91"/>
  <c r="AV69" i="91"/>
  <c r="AU69" i="91"/>
  <c r="AW69" i="90"/>
  <c r="AV69" i="90"/>
  <c r="AU69" i="90"/>
  <c r="CA69" i="79"/>
  <c r="CA69" i="92"/>
  <c r="CA69" i="91"/>
  <c r="CA69" i="90"/>
  <c r="AD70" i="92"/>
  <c r="AC70" i="92"/>
  <c r="AB70" i="92"/>
  <c r="AC70" i="91"/>
  <c r="AB70" i="91"/>
  <c r="AD70" i="91"/>
  <c r="AB70" i="90"/>
  <c r="AC70" i="90"/>
  <c r="AD70" i="90"/>
  <c r="BV70" i="79"/>
  <c r="BV70" i="92"/>
  <c r="BV70" i="91"/>
  <c r="BV70" i="90"/>
  <c r="CD70" i="79"/>
  <c r="CD70" i="92"/>
  <c r="CD70" i="91"/>
  <c r="CD70" i="90"/>
  <c r="BY71" i="79"/>
  <c r="BY71" i="92"/>
  <c r="BY71" i="91"/>
  <c r="BY71" i="90"/>
  <c r="CG71" i="79"/>
  <c r="CG71" i="92"/>
  <c r="CG71" i="91"/>
  <c r="CG71" i="90"/>
  <c r="AX72" i="79"/>
  <c r="AX72" i="92"/>
  <c r="AX72" i="91"/>
  <c r="AX72" i="90"/>
  <c r="CB72" i="79"/>
  <c r="CB72" i="92"/>
  <c r="CB72" i="91"/>
  <c r="CB72" i="90"/>
  <c r="AE73" i="79"/>
  <c r="AE73" i="92"/>
  <c r="AE73" i="91"/>
  <c r="AE73" i="90"/>
  <c r="BW73" i="79"/>
  <c r="BW73" i="92"/>
  <c r="BW73" i="91"/>
  <c r="BW73" i="90"/>
  <c r="CE73" i="79"/>
  <c r="CE73" i="92"/>
  <c r="CE73" i="91"/>
  <c r="CE73" i="90"/>
  <c r="AS74" i="79"/>
  <c r="AS74" i="92"/>
  <c r="AS74" i="91"/>
  <c r="AS74" i="90"/>
  <c r="BZ74" i="79"/>
  <c r="BZ74" i="92"/>
  <c r="BZ74" i="91"/>
  <c r="BZ74" i="90"/>
  <c r="CH74" i="79"/>
  <c r="CH74" i="92"/>
  <c r="CH74" i="91"/>
  <c r="CH74" i="90"/>
  <c r="BQ75" i="79"/>
  <c r="BQ75" i="92"/>
  <c r="BP75" i="92"/>
  <c r="BP75" i="91"/>
  <c r="BQ75" i="91"/>
  <c r="BQ75" i="90"/>
  <c r="BP75" i="90"/>
  <c r="CC75" i="79"/>
  <c r="CC75" i="92"/>
  <c r="CC75" i="91"/>
  <c r="CC75" i="90"/>
  <c r="AH76" i="92"/>
  <c r="AG76" i="92"/>
  <c r="AF76" i="92"/>
  <c r="AH76" i="91"/>
  <c r="AG76" i="91"/>
  <c r="AF76" i="91"/>
  <c r="AG76" i="90"/>
  <c r="AF76" i="90"/>
  <c r="AH76" i="90"/>
  <c r="BX76" i="79"/>
  <c r="BX76" i="92"/>
  <c r="BX76" i="91"/>
  <c r="BX76" i="90"/>
  <c r="CF76" i="79"/>
  <c r="CF76" i="92"/>
  <c r="CF76" i="91"/>
  <c r="CF76" i="90"/>
  <c r="AW77" i="92"/>
  <c r="AV77" i="92"/>
  <c r="AU77" i="92"/>
  <c r="AW77" i="91"/>
  <c r="AU77" i="91"/>
  <c r="AV77" i="91"/>
  <c r="AW77" i="90"/>
  <c r="AV77" i="90"/>
  <c r="AU77" i="90"/>
  <c r="CA77" i="79"/>
  <c r="CA77" i="92"/>
  <c r="CA77" i="91"/>
  <c r="CA77" i="90"/>
  <c r="AD78" i="92"/>
  <c r="AC78" i="92"/>
  <c r="AB78" i="92"/>
  <c r="AD78" i="91"/>
  <c r="AC78" i="91"/>
  <c r="AB78" i="91"/>
  <c r="AC78" i="90"/>
  <c r="AB78" i="90"/>
  <c r="AD78" i="90"/>
  <c r="BV78" i="79"/>
  <c r="BV78" i="92"/>
  <c r="BV78" i="91"/>
  <c r="BV78" i="90"/>
  <c r="CD78" i="79"/>
  <c r="CD78" i="92"/>
  <c r="CD78" i="91"/>
  <c r="CD78" i="90"/>
  <c r="AR79" i="92"/>
  <c r="AQ79" i="92"/>
  <c r="AP79" i="92"/>
  <c r="AR79" i="91"/>
  <c r="AP79" i="91"/>
  <c r="AQ79" i="91"/>
  <c r="AR79" i="90"/>
  <c r="AQ79" i="90"/>
  <c r="AP79" i="90"/>
  <c r="BY79" i="79"/>
  <c r="BY79" i="92"/>
  <c r="BY79" i="91"/>
  <c r="BY79" i="90"/>
  <c r="CG79" i="79"/>
  <c r="CG79" i="92"/>
  <c r="CG79" i="91"/>
  <c r="CG79" i="90"/>
  <c r="AX80" i="79"/>
  <c r="AX80" i="92"/>
  <c r="AX80" i="91"/>
  <c r="AX80" i="90"/>
  <c r="CB80" i="79"/>
  <c r="CB80" i="92"/>
  <c r="CB80" i="91"/>
  <c r="CB80" i="90"/>
  <c r="AE81" i="79"/>
  <c r="AE81" i="92"/>
  <c r="AE81" i="91"/>
  <c r="AE81" i="90"/>
  <c r="BW81" i="79"/>
  <c r="BW81" i="92"/>
  <c r="BW81" i="91"/>
  <c r="BW81" i="90"/>
  <c r="CE81" i="79"/>
  <c r="CE81" i="92"/>
  <c r="CE81" i="91"/>
  <c r="CE81" i="90"/>
  <c r="AS82" i="79"/>
  <c r="AS82" i="92"/>
  <c r="AS82" i="91"/>
  <c r="AS82" i="90"/>
  <c r="BZ82" i="79"/>
  <c r="BZ82" i="92"/>
  <c r="BZ82" i="91"/>
  <c r="BZ82" i="90"/>
  <c r="CH82" i="79"/>
  <c r="CH82" i="92"/>
  <c r="CH82" i="91"/>
  <c r="CH82" i="90"/>
  <c r="BQ83" i="79"/>
  <c r="BQ83" i="92"/>
  <c r="BP83" i="92"/>
  <c r="BQ83" i="91"/>
  <c r="BP83" i="91"/>
  <c r="BQ83" i="90"/>
  <c r="BP83" i="90"/>
  <c r="CC83" i="79"/>
  <c r="CC83" i="92"/>
  <c r="CC83" i="91"/>
  <c r="CC83" i="90"/>
  <c r="AH84" i="92"/>
  <c r="AG84" i="92"/>
  <c r="AF84" i="92"/>
  <c r="AH84" i="91"/>
  <c r="AG84" i="91"/>
  <c r="AF84" i="91"/>
  <c r="AG84" i="90"/>
  <c r="AF84" i="90"/>
  <c r="AH84" i="90"/>
  <c r="BX84" i="79"/>
  <c r="BX84" i="92"/>
  <c r="BX84" i="91"/>
  <c r="BX84" i="90"/>
  <c r="CF84" i="79"/>
  <c r="CF84" i="92"/>
  <c r="CF84" i="91"/>
  <c r="CF84" i="90"/>
  <c r="CA85" i="79"/>
  <c r="CA85" i="92"/>
  <c r="CA85" i="91"/>
  <c r="CA85" i="90"/>
  <c r="AB86" i="92"/>
  <c r="AD86" i="92"/>
  <c r="AC86" i="92"/>
  <c r="AD86" i="91"/>
  <c r="AC86" i="91"/>
  <c r="AB86" i="91"/>
  <c r="AD86" i="90"/>
  <c r="AC86" i="90"/>
  <c r="AB86" i="90"/>
  <c r="BV86" i="79"/>
  <c r="BV86" i="92"/>
  <c r="BV86" i="91"/>
  <c r="BV86" i="90"/>
  <c r="CD86" i="79"/>
  <c r="CD86" i="92"/>
  <c r="CD86" i="91"/>
  <c r="CD86" i="90"/>
  <c r="BY87" i="79"/>
  <c r="BY87" i="92"/>
  <c r="BY87" i="91"/>
  <c r="BY87" i="90"/>
  <c r="CG87" i="79"/>
  <c r="CG87" i="92"/>
  <c r="CG87" i="91"/>
  <c r="CG87" i="90"/>
  <c r="AX88" i="79"/>
  <c r="AX88" i="92"/>
  <c r="AX88" i="91"/>
  <c r="AX88" i="90"/>
  <c r="CB88" i="79"/>
  <c r="CB88" i="92"/>
  <c r="CB88" i="91"/>
  <c r="CB88" i="90"/>
  <c r="AE89" i="79"/>
  <c r="AE89" i="92"/>
  <c r="AE89" i="91"/>
  <c r="AE89" i="90"/>
  <c r="BW89" i="79"/>
  <c r="BW89" i="92"/>
  <c r="BW89" i="91"/>
  <c r="BW89" i="90"/>
  <c r="CE89" i="79"/>
  <c r="CE89" i="92"/>
  <c r="CE89" i="91"/>
  <c r="CE89" i="90"/>
  <c r="AS90" i="79"/>
  <c r="AS90" i="92"/>
  <c r="AS90" i="91"/>
  <c r="AS90" i="90"/>
  <c r="BZ90" i="79"/>
  <c r="BZ90" i="92"/>
  <c r="BZ90" i="91"/>
  <c r="BZ90" i="90"/>
  <c r="CH90" i="79"/>
  <c r="CH90" i="92"/>
  <c r="CH90" i="91"/>
  <c r="CH90" i="90"/>
  <c r="BQ91" i="79"/>
  <c r="BQ91" i="92"/>
  <c r="BP91" i="92"/>
  <c r="BQ91" i="91"/>
  <c r="BP91" i="91"/>
  <c r="BQ91" i="90"/>
  <c r="BP91" i="90"/>
  <c r="CC91" i="79"/>
  <c r="CC91" i="92"/>
  <c r="CC91" i="91"/>
  <c r="CC91" i="90"/>
  <c r="AH92" i="92"/>
  <c r="AG92" i="92"/>
  <c r="AF92" i="92"/>
  <c r="AF92" i="91"/>
  <c r="AH92" i="91"/>
  <c r="AG92" i="91"/>
  <c r="AH92" i="90"/>
  <c r="AG92" i="90"/>
  <c r="AF92" i="90"/>
  <c r="BX92" i="79"/>
  <c r="BX92" i="92"/>
  <c r="BX92" i="91"/>
  <c r="BX92" i="90"/>
  <c r="CF92" i="79"/>
  <c r="CF92" i="92"/>
  <c r="CF92" i="91"/>
  <c r="CF92" i="90"/>
  <c r="AU93" i="92"/>
  <c r="AW93" i="92"/>
  <c r="AV93" i="92"/>
  <c r="AW93" i="91"/>
  <c r="AV93" i="91"/>
  <c r="AU93" i="91"/>
  <c r="AW93" i="90"/>
  <c r="AV93" i="90"/>
  <c r="AU93" i="90"/>
  <c r="CA93" i="79"/>
  <c r="CA93" i="92"/>
  <c r="CA93" i="91"/>
  <c r="CA93" i="90"/>
  <c r="AD94" i="92"/>
  <c r="AB94" i="92"/>
  <c r="AC94" i="92"/>
  <c r="AC94" i="91"/>
  <c r="AB94" i="91"/>
  <c r="AD94" i="91"/>
  <c r="AD94" i="90"/>
  <c r="AB94" i="90"/>
  <c r="AC94" i="90"/>
  <c r="BV94" i="79"/>
  <c r="BV94" i="92"/>
  <c r="BV94" i="91"/>
  <c r="BV94" i="90"/>
  <c r="CD94" i="79"/>
  <c r="CD94" i="92"/>
  <c r="CD94" i="91"/>
  <c r="CD94" i="90"/>
  <c r="AP95" i="92"/>
  <c r="AR95" i="92"/>
  <c r="AQ95" i="92"/>
  <c r="AR95" i="91"/>
  <c r="AQ95" i="91"/>
  <c r="AP95" i="91"/>
  <c r="AR95" i="90"/>
  <c r="AQ95" i="90"/>
  <c r="AP95" i="90"/>
  <c r="BY95" i="79"/>
  <c r="BY95" i="92"/>
  <c r="BY95" i="91"/>
  <c r="BY95" i="90"/>
  <c r="CG95" i="79"/>
  <c r="CG95" i="92"/>
  <c r="CG95" i="91"/>
  <c r="CG95" i="90"/>
  <c r="AX96" i="79"/>
  <c r="AX96" i="92"/>
  <c r="AX96" i="91"/>
  <c r="AX96" i="90"/>
  <c r="CB96" i="79"/>
  <c r="CB96" i="92"/>
  <c r="CB96" i="91"/>
  <c r="CB96" i="90"/>
  <c r="AE97" i="79"/>
  <c r="AE97" i="92"/>
  <c r="AE97" i="91"/>
  <c r="AE97" i="90"/>
  <c r="BW97" i="79"/>
  <c r="BW97" i="92"/>
  <c r="BW97" i="91"/>
  <c r="BW97" i="90"/>
  <c r="CE97" i="79"/>
  <c r="CE97" i="92"/>
  <c r="CE97" i="91"/>
  <c r="CE97" i="90"/>
  <c r="AS98" i="79"/>
  <c r="AS98" i="92"/>
  <c r="AS98" i="91"/>
  <c r="AS98" i="90"/>
  <c r="BZ98" i="79"/>
  <c r="BZ98" i="92"/>
  <c r="BZ98" i="91"/>
  <c r="BZ98" i="90"/>
  <c r="CH98" i="79"/>
  <c r="CH98" i="92"/>
  <c r="CH98" i="91"/>
  <c r="CH98" i="90"/>
  <c r="BP99" i="79"/>
  <c r="BP99" i="92"/>
  <c r="BQ99" i="92"/>
  <c r="BQ99" i="91"/>
  <c r="BP99" i="91"/>
  <c r="BQ99" i="90"/>
  <c r="BP99" i="90"/>
  <c r="CC99" i="79"/>
  <c r="CC99" i="92"/>
  <c r="CC99" i="91"/>
  <c r="CC99" i="90"/>
  <c r="BX100" i="79"/>
  <c r="BX100" i="92"/>
  <c r="BX100" i="91"/>
  <c r="BX100" i="90"/>
  <c r="CF100" i="79"/>
  <c r="CF100" i="92"/>
  <c r="CF100" i="91"/>
  <c r="CF100" i="90"/>
  <c r="CA101" i="79"/>
  <c r="CA101" i="92"/>
  <c r="CA101" i="91"/>
  <c r="CA101" i="90"/>
  <c r="BV102" i="79"/>
  <c r="BV102" i="92"/>
  <c r="BV102" i="91"/>
  <c r="BV102" i="90"/>
  <c r="CD102" i="79"/>
  <c r="CD102" i="92"/>
  <c r="CD102" i="91"/>
  <c r="CD102" i="90"/>
  <c r="BY103" i="79"/>
  <c r="BY103" i="92"/>
  <c r="BY103" i="91"/>
  <c r="BY103" i="90"/>
  <c r="CG103" i="79"/>
  <c r="CG103" i="92"/>
  <c r="CG103" i="91"/>
  <c r="CG103" i="90"/>
  <c r="AX104" i="79"/>
  <c r="AX104" i="92"/>
  <c r="AX104" i="91"/>
  <c r="AX104" i="90"/>
  <c r="CB104" i="79"/>
  <c r="CB104" i="92"/>
  <c r="CB104" i="91"/>
  <c r="CB104" i="90"/>
  <c r="AE105" i="79"/>
  <c r="AE105" i="92"/>
  <c r="AE105" i="91"/>
  <c r="AE105" i="90"/>
  <c r="BW105" i="79"/>
  <c r="BW105" i="92"/>
  <c r="BW105" i="91"/>
  <c r="BW105" i="90"/>
  <c r="CE105" i="79"/>
  <c r="CE105" i="92"/>
  <c r="CE105" i="91"/>
  <c r="CE105" i="90"/>
  <c r="AS106" i="79"/>
  <c r="AS106" i="92"/>
  <c r="AS106" i="91"/>
  <c r="AS106" i="90"/>
  <c r="BZ106" i="79"/>
  <c r="BZ106" i="92"/>
  <c r="BZ106" i="91"/>
  <c r="BZ106" i="90"/>
  <c r="CH106" i="79"/>
  <c r="CH106" i="92"/>
  <c r="CH106" i="91"/>
  <c r="CH106" i="90"/>
  <c r="BP107" i="79"/>
  <c r="BP107" i="92"/>
  <c r="BQ107" i="92"/>
  <c r="BQ107" i="91"/>
  <c r="BP107" i="91"/>
  <c r="BQ107" i="90"/>
  <c r="BP107" i="90"/>
  <c r="CC107" i="79"/>
  <c r="CC107" i="92"/>
  <c r="CC107" i="91"/>
  <c r="CC107" i="90"/>
  <c r="BX108" i="79"/>
  <c r="BX108" i="92"/>
  <c r="BX108" i="91"/>
  <c r="BX108" i="90"/>
  <c r="CF108" i="79"/>
  <c r="CF108" i="92"/>
  <c r="CF108" i="91"/>
  <c r="CF108" i="90"/>
  <c r="CA109" i="79"/>
  <c r="CA109" i="92"/>
  <c r="CA109" i="91"/>
  <c r="CA109" i="90"/>
  <c r="BV110" i="79"/>
  <c r="BV110" i="92"/>
  <c r="BV110" i="91"/>
  <c r="BV110" i="90"/>
  <c r="CD110" i="79"/>
  <c r="CD110" i="92"/>
  <c r="CD110" i="91"/>
  <c r="CD110" i="90"/>
  <c r="BY111" i="79"/>
  <c r="BY111" i="92"/>
  <c r="BY111" i="91"/>
  <c r="BY111" i="90"/>
  <c r="CG111" i="79"/>
  <c r="CG111" i="92"/>
  <c r="CG111" i="91"/>
  <c r="CG111" i="90"/>
  <c r="AX112" i="79"/>
  <c r="AX112" i="92"/>
  <c r="AX112" i="91"/>
  <c r="AX112" i="90"/>
  <c r="CB112" i="79"/>
  <c r="CB112" i="92"/>
  <c r="CB112" i="91"/>
  <c r="CB112" i="90"/>
  <c r="AE113" i="79"/>
  <c r="AE113" i="92"/>
  <c r="AE113" i="91"/>
  <c r="AE113" i="90"/>
  <c r="BW113" i="79"/>
  <c r="BW113" i="92"/>
  <c r="BW113" i="91"/>
  <c r="BW113" i="90"/>
  <c r="CE113" i="79"/>
  <c r="CE113" i="92"/>
  <c r="CE113" i="91"/>
  <c r="CE113" i="90"/>
  <c r="AS114" i="79"/>
  <c r="AS114" i="92"/>
  <c r="AS114" i="91"/>
  <c r="AS114" i="90"/>
  <c r="BZ114" i="79"/>
  <c r="BZ114" i="92"/>
  <c r="BZ114" i="91"/>
  <c r="BZ114" i="90"/>
  <c r="CH114" i="79"/>
  <c r="CH114" i="92"/>
  <c r="CH114" i="91"/>
  <c r="CH114" i="90"/>
  <c r="BP115" i="79"/>
  <c r="BQ115" i="92"/>
  <c r="BP115" i="92"/>
  <c r="BQ115" i="91"/>
  <c r="BP115" i="91"/>
  <c r="BQ115" i="90"/>
  <c r="BP115" i="90"/>
  <c r="CC115" i="79"/>
  <c r="CC115" i="92"/>
  <c r="CC115" i="91"/>
  <c r="CC115" i="90"/>
  <c r="BX116" i="79"/>
  <c r="BX116" i="92"/>
  <c r="BX116" i="91"/>
  <c r="BX116" i="90"/>
  <c r="CF116" i="79"/>
  <c r="CF116" i="92"/>
  <c r="CF116" i="91"/>
  <c r="CF116" i="90"/>
  <c r="AW117" i="92"/>
  <c r="AV117" i="92"/>
  <c r="AU117" i="92"/>
  <c r="AV117" i="91"/>
  <c r="AW117" i="91"/>
  <c r="AU117" i="91"/>
  <c r="AW117" i="90"/>
  <c r="AV117" i="90"/>
  <c r="AU117" i="90"/>
  <c r="CA117" i="79"/>
  <c r="CA117" i="92"/>
  <c r="CA117" i="91"/>
  <c r="CA117" i="90"/>
  <c r="BV118" i="79"/>
  <c r="BV118" i="92"/>
  <c r="BV118" i="91"/>
  <c r="BV118" i="90"/>
  <c r="CD118" i="79"/>
  <c r="CD118" i="92"/>
  <c r="CD118" i="91"/>
  <c r="CD118" i="90"/>
  <c r="AR119" i="92"/>
  <c r="AQ119" i="92"/>
  <c r="AP119" i="92"/>
  <c r="AR119" i="91"/>
  <c r="AQ119" i="91"/>
  <c r="AP119" i="91"/>
  <c r="AR119" i="90"/>
  <c r="AQ119" i="90"/>
  <c r="AP119" i="90"/>
  <c r="BY119" i="79"/>
  <c r="BY119" i="92"/>
  <c r="BY119" i="91"/>
  <c r="BY119" i="90"/>
  <c r="CG119" i="79"/>
  <c r="CG119" i="92"/>
  <c r="CG119" i="91"/>
  <c r="CG119" i="90"/>
  <c r="AX120" i="79"/>
  <c r="AX120" i="92"/>
  <c r="AX120" i="91"/>
  <c r="AX120" i="90"/>
  <c r="CB120" i="79"/>
  <c r="CB120" i="92"/>
  <c r="CB120" i="91"/>
  <c r="CB120" i="90"/>
  <c r="AE121" i="79"/>
  <c r="AE121" i="92"/>
  <c r="AE121" i="91"/>
  <c r="AE121" i="90"/>
  <c r="BW121" i="79"/>
  <c r="BW121" i="92"/>
  <c r="BW121" i="91"/>
  <c r="BW121" i="90"/>
  <c r="CE121" i="79"/>
  <c r="CE121" i="92"/>
  <c r="CE121" i="91"/>
  <c r="CE121" i="90"/>
  <c r="AS122" i="79"/>
  <c r="AS122" i="92"/>
  <c r="AS122" i="91"/>
  <c r="AS122" i="90"/>
  <c r="BZ122" i="79"/>
  <c r="BZ122" i="92"/>
  <c r="BZ122" i="91"/>
  <c r="BZ122" i="90"/>
  <c r="CH122" i="79"/>
  <c r="CH122" i="92"/>
  <c r="CH122" i="91"/>
  <c r="CH122" i="90"/>
  <c r="BP123" i="79"/>
  <c r="BQ123" i="92"/>
  <c r="BP123" i="92"/>
  <c r="BQ123" i="91"/>
  <c r="BP123" i="91"/>
  <c r="BQ123" i="90"/>
  <c r="BP123" i="90"/>
  <c r="CC123" i="79"/>
  <c r="CC123" i="92"/>
  <c r="CC123" i="91"/>
  <c r="CC123" i="90"/>
  <c r="BX124" i="79"/>
  <c r="BX124" i="92"/>
  <c r="BX124" i="91"/>
  <c r="BX124" i="90"/>
  <c r="CF124" i="79"/>
  <c r="CF124" i="92"/>
  <c r="CF124" i="91"/>
  <c r="CF124" i="90"/>
  <c r="AW125" i="92"/>
  <c r="AV125" i="92"/>
  <c r="AU125" i="92"/>
  <c r="AW125" i="91"/>
  <c r="AV125" i="91"/>
  <c r="AU125" i="91"/>
  <c r="AW125" i="90"/>
  <c r="AV125" i="90"/>
  <c r="AU125" i="90"/>
  <c r="CA125" i="79"/>
  <c r="CA125" i="92"/>
  <c r="CA125" i="91"/>
  <c r="CA125" i="90"/>
  <c r="AD126" i="92"/>
  <c r="AC126" i="92"/>
  <c r="AB126" i="92"/>
  <c r="AD126" i="91"/>
  <c r="AC126" i="91"/>
  <c r="AB126" i="91"/>
  <c r="AD126" i="90"/>
  <c r="AC126" i="90"/>
  <c r="AB126" i="90"/>
  <c r="BV126" i="79"/>
  <c r="BV126" i="92"/>
  <c r="BV126" i="91"/>
  <c r="BV126" i="90"/>
  <c r="CD126" i="79"/>
  <c r="CD126" i="92"/>
  <c r="CD126" i="91"/>
  <c r="CD126" i="90"/>
  <c r="AP127" i="92"/>
  <c r="AQ127" i="92"/>
  <c r="AR127" i="92"/>
  <c r="AR127" i="91"/>
  <c r="AQ127" i="91"/>
  <c r="AP127" i="91"/>
  <c r="AR127" i="90"/>
  <c r="AQ127" i="90"/>
  <c r="AP127" i="90"/>
  <c r="BY127" i="79"/>
  <c r="BY127" i="92"/>
  <c r="BY127" i="91"/>
  <c r="BY127" i="90"/>
  <c r="CG127" i="79"/>
  <c r="CG127" i="92"/>
  <c r="CG127" i="91"/>
  <c r="CG127" i="90"/>
  <c r="AX128" i="79"/>
  <c r="AX128" i="92"/>
  <c r="AX128" i="91"/>
  <c r="AX128" i="90"/>
  <c r="CB128" i="79"/>
  <c r="CB128" i="92"/>
  <c r="CB128" i="91"/>
  <c r="CB128" i="90"/>
  <c r="AE129" i="79"/>
  <c r="AE129" i="92"/>
  <c r="AE129" i="91"/>
  <c r="AE129" i="90"/>
  <c r="BW129" i="79"/>
  <c r="BW129" i="92"/>
  <c r="BW129" i="91"/>
  <c r="BW129" i="90"/>
  <c r="CE129" i="79"/>
  <c r="CE129" i="92"/>
  <c r="CE129" i="91"/>
  <c r="CE129" i="90"/>
  <c r="AS130" i="79"/>
  <c r="AS130" i="92"/>
  <c r="AS130" i="91"/>
  <c r="AS130" i="90"/>
  <c r="BZ130" i="79"/>
  <c r="BZ130" i="92"/>
  <c r="BZ130" i="91"/>
  <c r="BZ130" i="90"/>
  <c r="CH130" i="79"/>
  <c r="CH130" i="92"/>
  <c r="CH130" i="91"/>
  <c r="CH130" i="90"/>
  <c r="BP131" i="79"/>
  <c r="BP131" i="92"/>
  <c r="BQ131" i="92"/>
  <c r="BQ131" i="91"/>
  <c r="BP131" i="91"/>
  <c r="BQ131" i="90"/>
  <c r="BP131" i="90"/>
  <c r="CC131" i="79"/>
  <c r="CC131" i="92"/>
  <c r="CC131" i="91"/>
  <c r="CC131" i="90"/>
  <c r="BX132" i="79"/>
  <c r="BX132" i="92"/>
  <c r="BX132" i="91"/>
  <c r="BX132" i="90"/>
  <c r="CF132" i="79"/>
  <c r="CF132" i="92"/>
  <c r="CF132" i="91"/>
  <c r="CF132" i="90"/>
  <c r="AW133" i="92"/>
  <c r="AU133" i="92"/>
  <c r="AV133" i="92"/>
  <c r="AW133" i="91"/>
  <c r="AV133" i="91"/>
  <c r="AU133" i="91"/>
  <c r="AW133" i="90"/>
  <c r="AV133" i="90"/>
  <c r="AU133" i="90"/>
  <c r="CA133" i="79"/>
  <c r="CA133" i="92"/>
  <c r="CA133" i="91"/>
  <c r="CA133" i="90"/>
  <c r="BV134" i="79"/>
  <c r="BV134" i="92"/>
  <c r="BV134" i="91"/>
  <c r="BV134" i="90"/>
  <c r="CD134" i="79"/>
  <c r="CD134" i="92"/>
  <c r="CD134" i="91"/>
  <c r="CD134" i="90"/>
  <c r="AR135" i="92"/>
  <c r="AP135" i="92"/>
  <c r="AQ135" i="92"/>
  <c r="AR135" i="91"/>
  <c r="AQ135" i="91"/>
  <c r="AP135" i="91"/>
  <c r="AR135" i="90"/>
  <c r="AQ135" i="90"/>
  <c r="AP135" i="90"/>
  <c r="BY135" i="79"/>
  <c r="BY135" i="92"/>
  <c r="BY135" i="91"/>
  <c r="BY135" i="90"/>
  <c r="CG135" i="79"/>
  <c r="CG135" i="92"/>
  <c r="CG135" i="91"/>
  <c r="CG135" i="90"/>
  <c r="AX136" i="79"/>
  <c r="AX136" i="92"/>
  <c r="AX136" i="91"/>
  <c r="AX136" i="90"/>
  <c r="CB136" i="79"/>
  <c r="CB136" i="92"/>
  <c r="CB136" i="91"/>
  <c r="CB136" i="90"/>
  <c r="AE137" i="79"/>
  <c r="AE137" i="92"/>
  <c r="AE137" i="91"/>
  <c r="AE137" i="90"/>
  <c r="BW137" i="79"/>
  <c r="BW137" i="92"/>
  <c r="BW137" i="91"/>
  <c r="BW137" i="90"/>
  <c r="CE137" i="79"/>
  <c r="CE137" i="92"/>
  <c r="CE137" i="91"/>
  <c r="CE137" i="90"/>
  <c r="AS138" i="79"/>
  <c r="AS138" i="92"/>
  <c r="AS138" i="91"/>
  <c r="AS138" i="90"/>
  <c r="BZ138" i="79"/>
  <c r="BZ138" i="92"/>
  <c r="BZ138" i="91"/>
  <c r="BZ138" i="90"/>
  <c r="CH138" i="79"/>
  <c r="CH138" i="92"/>
  <c r="CH138" i="91"/>
  <c r="CH138" i="90"/>
  <c r="BQ139" i="79"/>
  <c r="BP139" i="92"/>
  <c r="BQ139" i="92"/>
  <c r="BQ139" i="91"/>
  <c r="BP139" i="91"/>
  <c r="BQ139" i="90"/>
  <c r="BP139" i="90"/>
  <c r="CC139" i="79"/>
  <c r="CC139" i="92"/>
  <c r="CC139" i="91"/>
  <c r="CC139" i="90"/>
  <c r="AH140" i="92"/>
  <c r="AF140" i="92"/>
  <c r="AG140" i="92"/>
  <c r="AH140" i="91"/>
  <c r="AG140" i="91"/>
  <c r="AF140" i="91"/>
  <c r="AH140" i="90"/>
  <c r="AG140" i="90"/>
  <c r="AF140" i="90"/>
  <c r="BX140" i="79"/>
  <c r="BX140" i="92"/>
  <c r="BX140" i="91"/>
  <c r="BX140" i="90"/>
  <c r="CF140" i="79"/>
  <c r="CF140" i="92"/>
  <c r="CF140" i="91"/>
  <c r="CF140" i="90"/>
  <c r="AU141" i="92"/>
  <c r="AW141" i="92"/>
  <c r="AV141" i="92"/>
  <c r="AW141" i="91"/>
  <c r="AV141" i="91"/>
  <c r="AU141" i="91"/>
  <c r="AV141" i="90"/>
  <c r="AU141" i="90"/>
  <c r="AW141" i="90"/>
  <c r="CA141" i="79"/>
  <c r="CA141" i="92"/>
  <c r="CA141" i="91"/>
  <c r="CA141" i="90"/>
  <c r="AD142" i="92"/>
  <c r="AB142" i="92"/>
  <c r="AC142" i="92"/>
  <c r="AD142" i="91"/>
  <c r="AC142" i="91"/>
  <c r="AB142" i="91"/>
  <c r="AD142" i="90"/>
  <c r="AC142" i="90"/>
  <c r="AB142" i="90"/>
  <c r="BV142" i="79"/>
  <c r="BV142" i="92"/>
  <c r="BV142" i="91"/>
  <c r="BV142" i="90"/>
  <c r="CD142" i="79"/>
  <c r="CD142" i="92"/>
  <c r="CD142" i="91"/>
  <c r="CD142" i="90"/>
  <c r="BY143" i="79"/>
  <c r="BY143" i="92"/>
  <c r="BY143" i="91"/>
  <c r="BY143" i="90"/>
  <c r="CG143" i="79"/>
  <c r="CG143" i="92"/>
  <c r="CG143" i="91"/>
  <c r="CG143" i="90"/>
  <c r="AX144" i="79"/>
  <c r="AX144" i="92"/>
  <c r="AX144" i="91"/>
  <c r="AX144" i="90"/>
  <c r="CB144" i="79"/>
  <c r="CB144" i="92"/>
  <c r="CB144" i="91"/>
  <c r="CB144" i="90"/>
  <c r="AE145" i="79"/>
  <c r="AE145" i="92"/>
  <c r="AE145" i="91"/>
  <c r="AE145" i="90"/>
  <c r="BW145" i="79"/>
  <c r="BW145" i="92"/>
  <c r="BW145" i="91"/>
  <c r="BW145" i="90"/>
  <c r="CE145" i="79"/>
  <c r="CE145" i="92"/>
  <c r="CE145" i="91"/>
  <c r="CE145" i="90"/>
  <c r="AS146" i="79"/>
  <c r="AS146" i="92"/>
  <c r="AS146" i="91"/>
  <c r="AS146" i="90"/>
  <c r="BZ146" i="79"/>
  <c r="BZ146" i="92"/>
  <c r="BZ146" i="91"/>
  <c r="BZ146" i="90"/>
  <c r="CH146" i="79"/>
  <c r="CH146" i="92"/>
  <c r="CH146" i="91"/>
  <c r="CH146" i="90"/>
  <c r="BQ147" i="79"/>
  <c r="BQ147" i="92"/>
  <c r="BP147" i="92"/>
  <c r="BQ147" i="91"/>
  <c r="BP147" i="91"/>
  <c r="BQ147" i="90"/>
  <c r="BP147" i="90"/>
  <c r="CC147" i="79"/>
  <c r="CC147" i="92"/>
  <c r="CC147" i="91"/>
  <c r="CC147" i="90"/>
  <c r="AH148" i="92"/>
  <c r="AG148" i="92"/>
  <c r="AF148" i="92"/>
  <c r="AF148" i="91"/>
  <c r="AH148" i="91"/>
  <c r="AG148" i="91"/>
  <c r="AH148" i="90"/>
  <c r="AG148" i="90"/>
  <c r="AF148" i="90"/>
  <c r="BX148" i="79"/>
  <c r="BX148" i="92"/>
  <c r="BX148" i="91"/>
  <c r="BX148" i="90"/>
  <c r="CF148" i="79"/>
  <c r="CF148" i="92"/>
  <c r="CF148" i="91"/>
  <c r="CF148" i="90"/>
  <c r="AV149" i="92"/>
  <c r="AU149" i="92"/>
  <c r="AW149" i="92"/>
  <c r="AW149" i="91"/>
  <c r="AV149" i="91"/>
  <c r="AU149" i="91"/>
  <c r="AW149" i="90"/>
  <c r="AV149" i="90"/>
  <c r="AU149" i="90"/>
  <c r="CA149" i="79"/>
  <c r="CA149" i="92"/>
  <c r="CA149" i="91"/>
  <c r="CA149" i="90"/>
  <c r="AD150" i="92"/>
  <c r="AC150" i="92"/>
  <c r="AB150" i="92"/>
  <c r="AC150" i="91"/>
  <c r="AB150" i="91"/>
  <c r="AD150" i="91"/>
  <c r="AD150" i="90"/>
  <c r="AC150" i="90"/>
  <c r="AB150" i="90"/>
  <c r="BV150" i="79"/>
  <c r="BV150" i="92"/>
  <c r="BV150" i="91"/>
  <c r="BV150" i="90"/>
  <c r="CD150" i="79"/>
  <c r="CD150" i="92"/>
  <c r="CD150" i="91"/>
  <c r="CD150" i="90"/>
  <c r="BY151" i="79"/>
  <c r="BY151" i="92"/>
  <c r="BY151" i="91"/>
  <c r="BY151" i="90"/>
  <c r="CG151" i="79"/>
  <c r="CG151" i="92"/>
  <c r="CG151" i="91"/>
  <c r="CG151" i="90"/>
  <c r="AX152" i="79"/>
  <c r="AX152" i="92"/>
  <c r="AX152" i="91"/>
  <c r="AX152" i="90"/>
  <c r="CB152" i="79"/>
  <c r="CB152" i="92"/>
  <c r="CB152" i="91"/>
  <c r="CB152" i="90"/>
  <c r="AE153" i="79"/>
  <c r="AE153" i="92"/>
  <c r="AE153" i="91"/>
  <c r="AE153" i="90"/>
  <c r="BW153" i="79"/>
  <c r="BW153" i="92"/>
  <c r="BW153" i="91"/>
  <c r="BW153" i="90"/>
  <c r="CE153" i="79"/>
  <c r="CE153" i="92"/>
  <c r="CE153" i="91"/>
  <c r="CE153" i="90"/>
  <c r="AS154" i="79"/>
  <c r="AS154" i="92"/>
  <c r="AS154" i="91"/>
  <c r="AS154" i="90"/>
  <c r="BZ154" i="79"/>
  <c r="BZ154" i="92"/>
  <c r="BZ154" i="91"/>
  <c r="BZ154" i="90"/>
  <c r="CH154" i="79"/>
  <c r="CH154" i="92"/>
  <c r="CH154" i="91"/>
  <c r="CH154" i="90"/>
  <c r="BP155" i="79"/>
  <c r="BQ155" i="92"/>
  <c r="BP155" i="92"/>
  <c r="BQ155" i="91"/>
  <c r="BP155" i="91"/>
  <c r="BQ155" i="90"/>
  <c r="BP155" i="90"/>
  <c r="CC155" i="79"/>
  <c r="CC155" i="92"/>
  <c r="CC155" i="91"/>
  <c r="CC155" i="90"/>
  <c r="AH156" i="92"/>
  <c r="AG156" i="92"/>
  <c r="AF156" i="92"/>
  <c r="AH156" i="91"/>
  <c r="AG156" i="91"/>
  <c r="AF156" i="91"/>
  <c r="AH156" i="90"/>
  <c r="AG156" i="90"/>
  <c r="AF156" i="90"/>
  <c r="BX156" i="79"/>
  <c r="BX156" i="92"/>
  <c r="BX156" i="91"/>
  <c r="BX156" i="90"/>
  <c r="CF156" i="79"/>
  <c r="CF156" i="92"/>
  <c r="CF156" i="91"/>
  <c r="CF156" i="90"/>
  <c r="AV157" i="92"/>
  <c r="AU157" i="92"/>
  <c r="AW157" i="92"/>
  <c r="AW157" i="91"/>
  <c r="AV157" i="91"/>
  <c r="AU157" i="91"/>
  <c r="AW157" i="90"/>
  <c r="AV157" i="90"/>
  <c r="AU157" i="90"/>
  <c r="CA157" i="79"/>
  <c r="CA157" i="92"/>
  <c r="CA157" i="91"/>
  <c r="CA157" i="90"/>
  <c r="AD158" i="92"/>
  <c r="AC158" i="92"/>
  <c r="AB158" i="92"/>
  <c r="AD158" i="91"/>
  <c r="AC158" i="91"/>
  <c r="AB158" i="91"/>
  <c r="AD158" i="90"/>
  <c r="AC158" i="90"/>
  <c r="AB158" i="90"/>
  <c r="BV158" i="79"/>
  <c r="BV158" i="92"/>
  <c r="BV158" i="91"/>
  <c r="BV158" i="90"/>
  <c r="CD158" i="79"/>
  <c r="CD158" i="92"/>
  <c r="CD158" i="91"/>
  <c r="CD158" i="90"/>
  <c r="AQ159" i="92"/>
  <c r="AP159" i="92"/>
  <c r="AR159" i="92"/>
  <c r="AR159" i="91"/>
  <c r="AQ159" i="91"/>
  <c r="AP159" i="91"/>
  <c r="AR159" i="90"/>
  <c r="AQ159" i="90"/>
  <c r="AP159" i="90"/>
  <c r="BY159" i="79"/>
  <c r="BY159" i="92"/>
  <c r="BY159" i="91"/>
  <c r="BY159" i="90"/>
  <c r="CG159" i="79"/>
  <c r="CG159" i="92"/>
  <c r="CG159" i="91"/>
  <c r="CG159" i="90"/>
  <c r="AX160" i="79"/>
  <c r="AX160" i="92"/>
  <c r="AX160" i="91"/>
  <c r="AX160" i="90"/>
  <c r="CB160" i="79"/>
  <c r="CB160" i="92"/>
  <c r="CB160" i="91"/>
  <c r="CB160" i="90"/>
  <c r="AE161" i="79"/>
  <c r="AE161" i="92"/>
  <c r="AE161" i="91"/>
  <c r="AE161" i="90"/>
  <c r="BW161" i="79"/>
  <c r="BW161" i="92"/>
  <c r="BW161" i="91"/>
  <c r="BW161" i="90"/>
  <c r="CE161" i="79"/>
  <c r="CE161" i="92"/>
  <c r="CE161" i="91"/>
  <c r="CE161" i="90"/>
  <c r="AS162" i="79"/>
  <c r="AS162" i="92"/>
  <c r="AS162" i="91"/>
  <c r="AS162" i="90"/>
  <c r="BZ162" i="79"/>
  <c r="BZ162" i="92"/>
  <c r="BZ162" i="91"/>
  <c r="BZ162" i="90"/>
  <c r="CH162" i="79"/>
  <c r="CH162" i="92"/>
  <c r="CH162" i="91"/>
  <c r="CH162" i="90"/>
  <c r="BQ163" i="79"/>
  <c r="BQ163" i="92"/>
  <c r="BP163" i="92"/>
  <c r="BQ163" i="91"/>
  <c r="BP163" i="91"/>
  <c r="BQ163" i="90"/>
  <c r="BP163" i="90"/>
  <c r="CC163" i="79"/>
  <c r="CC163" i="92"/>
  <c r="CC163" i="91"/>
  <c r="CC163" i="90"/>
  <c r="AH164" i="92"/>
  <c r="AG164" i="92"/>
  <c r="AF164" i="92"/>
  <c r="AH164" i="91"/>
  <c r="AG164" i="91"/>
  <c r="AF164" i="91"/>
  <c r="AH164" i="90"/>
  <c r="AG164" i="90"/>
  <c r="AF164" i="90"/>
  <c r="BX164" i="79"/>
  <c r="BX164" i="92"/>
  <c r="BX164" i="91"/>
  <c r="BX164" i="90"/>
  <c r="CF164" i="79"/>
  <c r="CF164" i="92"/>
  <c r="CF164" i="91"/>
  <c r="CF164" i="90"/>
  <c r="AV165" i="92"/>
  <c r="AW165" i="92"/>
  <c r="AU165" i="92"/>
  <c r="AW165" i="91"/>
  <c r="AV165" i="91"/>
  <c r="AU165" i="91"/>
  <c r="AW165" i="90"/>
  <c r="AV165" i="90"/>
  <c r="AU165" i="90"/>
  <c r="CA165" i="79"/>
  <c r="CA165" i="92"/>
  <c r="CA165" i="91"/>
  <c r="CA165" i="90"/>
  <c r="AD166" i="92"/>
  <c r="AC166" i="92"/>
  <c r="AB166" i="92"/>
  <c r="AD166" i="91"/>
  <c r="AC166" i="91"/>
  <c r="AB166" i="91"/>
  <c r="AD166" i="90"/>
  <c r="AC166" i="90"/>
  <c r="AB166" i="90"/>
  <c r="BV166" i="79"/>
  <c r="BV166" i="92"/>
  <c r="BV166" i="91"/>
  <c r="BV166" i="90"/>
  <c r="CD166" i="79"/>
  <c r="CD166" i="92"/>
  <c r="CD166" i="91"/>
  <c r="CD166" i="90"/>
  <c r="AQ167" i="92"/>
  <c r="AR167" i="92"/>
  <c r="AP167" i="92"/>
  <c r="AR167" i="91"/>
  <c r="AQ167" i="91"/>
  <c r="AP167" i="91"/>
  <c r="AR167" i="90"/>
  <c r="AQ167" i="90"/>
  <c r="AP167" i="90"/>
  <c r="BY167" i="79"/>
  <c r="BY167" i="92"/>
  <c r="BY167" i="91"/>
  <c r="BY167" i="90"/>
  <c r="CG167" i="79"/>
  <c r="CG167" i="92"/>
  <c r="CG167" i="91"/>
  <c r="CG167" i="90"/>
  <c r="AX168" i="79"/>
  <c r="AX168" i="92"/>
  <c r="AX168" i="91"/>
  <c r="AX168" i="90"/>
  <c r="CB168" i="79"/>
  <c r="CB168" i="92"/>
  <c r="CB168" i="91"/>
  <c r="CB168" i="90"/>
  <c r="F204" i="86"/>
  <c r="H200" i="86"/>
  <c r="H204" i="86" s="1"/>
  <c r="BW169" i="90"/>
  <c r="F105" i="86"/>
  <c r="H101" i="86"/>
  <c r="N278" i="86"/>
  <c r="K278" i="86"/>
  <c r="N47" i="86"/>
  <c r="K47" i="86"/>
  <c r="CH170" i="90"/>
  <c r="K81" i="86"/>
  <c r="N81" i="86"/>
  <c r="BX172" i="90"/>
  <c r="CF172" i="90"/>
  <c r="AW173" i="92"/>
  <c r="AU173" i="92"/>
  <c r="AV173" i="92"/>
  <c r="AW173" i="91"/>
  <c r="AV173" i="91"/>
  <c r="AU173" i="91"/>
  <c r="AV173" i="90"/>
  <c r="AU173" i="90"/>
  <c r="AW173" i="90"/>
  <c r="CA173" i="79"/>
  <c r="CA173" i="90"/>
  <c r="AD174" i="92"/>
  <c r="AC174" i="92"/>
  <c r="AB174" i="92"/>
  <c r="AD174" i="91"/>
  <c r="AC174" i="91"/>
  <c r="AB174" i="91"/>
  <c r="AD174" i="90"/>
  <c r="AC174" i="90"/>
  <c r="AB174" i="90"/>
  <c r="BV174" i="79"/>
  <c r="BV174" i="90"/>
  <c r="CD174" i="79"/>
  <c r="CD174" i="92"/>
  <c r="CD174" i="91"/>
  <c r="CD174" i="90"/>
  <c r="AS175" i="79"/>
  <c r="AS175" i="92"/>
  <c r="AS175" i="91"/>
  <c r="AS175" i="90"/>
  <c r="BZ175" i="79"/>
  <c r="BZ175" i="92"/>
  <c r="BZ175" i="91"/>
  <c r="BZ175" i="90"/>
  <c r="CH175" i="79"/>
  <c r="CH175" i="90"/>
  <c r="CE126" i="79"/>
  <c r="CE126" i="92"/>
  <c r="CE126" i="91"/>
  <c r="CE126" i="90"/>
  <c r="AS127" i="79"/>
  <c r="AS127" i="92"/>
  <c r="AS127" i="91"/>
  <c r="AS127" i="90"/>
  <c r="BZ127" i="79"/>
  <c r="BZ127" i="92"/>
  <c r="BZ127" i="91"/>
  <c r="BZ127" i="90"/>
  <c r="CH127" i="79"/>
  <c r="CH127" i="92"/>
  <c r="CH127" i="91"/>
  <c r="CH127" i="90"/>
  <c r="BQ128" i="79"/>
  <c r="BQ128" i="92"/>
  <c r="BP128" i="92"/>
  <c r="BQ128" i="91"/>
  <c r="BP128" i="91"/>
  <c r="BP128" i="90"/>
  <c r="BQ128" i="90"/>
  <c r="CC128" i="79"/>
  <c r="CC128" i="92"/>
  <c r="CC128" i="91"/>
  <c r="CC128" i="90"/>
  <c r="BX129" i="79"/>
  <c r="BX129" i="92"/>
  <c r="BX129" i="91"/>
  <c r="BX129" i="90"/>
  <c r="CF129" i="79"/>
  <c r="CF129" i="92"/>
  <c r="CF129" i="91"/>
  <c r="CF129" i="90"/>
  <c r="AW130" i="92"/>
  <c r="AV130" i="92"/>
  <c r="AU130" i="92"/>
  <c r="AV130" i="91"/>
  <c r="AU130" i="91"/>
  <c r="AW130" i="91"/>
  <c r="AU130" i="90"/>
  <c r="AV130" i="90"/>
  <c r="AW130" i="90"/>
  <c r="CA130" i="79"/>
  <c r="CA130" i="92"/>
  <c r="CA130" i="91"/>
  <c r="CA130" i="90"/>
  <c r="AD131" i="92"/>
  <c r="AC131" i="92"/>
  <c r="AB131" i="92"/>
  <c r="AC131" i="91"/>
  <c r="AB131" i="91"/>
  <c r="AD131" i="91"/>
  <c r="AD131" i="90"/>
  <c r="AC131" i="90"/>
  <c r="AB131" i="90"/>
  <c r="BV131" i="79"/>
  <c r="BV131" i="92"/>
  <c r="BV131" i="91"/>
  <c r="BV131" i="90"/>
  <c r="CD131" i="79"/>
  <c r="CD131" i="92"/>
  <c r="CD131" i="91"/>
  <c r="CD131" i="90"/>
  <c r="AR132" i="92"/>
  <c r="AQ132" i="92"/>
  <c r="AP132" i="92"/>
  <c r="AQ132" i="91"/>
  <c r="AP132" i="91"/>
  <c r="AR132" i="91"/>
  <c r="AP132" i="90"/>
  <c r="AQ132" i="90"/>
  <c r="AR132" i="90"/>
  <c r="BY132" i="79"/>
  <c r="BY132" i="92"/>
  <c r="BY132" i="91"/>
  <c r="BY132" i="90"/>
  <c r="CG132" i="79"/>
  <c r="CG132" i="92"/>
  <c r="CG132" i="91"/>
  <c r="CG132" i="90"/>
  <c r="AX133" i="79"/>
  <c r="AX133" i="92"/>
  <c r="AX133" i="91"/>
  <c r="AX133" i="90"/>
  <c r="CB133" i="79"/>
  <c r="CB133" i="92"/>
  <c r="CB133" i="91"/>
  <c r="CB133" i="90"/>
  <c r="AE134" i="79"/>
  <c r="AE134" i="92"/>
  <c r="AE134" i="91"/>
  <c r="AE134" i="90"/>
  <c r="BW134" i="79"/>
  <c r="BW134" i="92"/>
  <c r="BW134" i="91"/>
  <c r="BW134" i="90"/>
  <c r="CE134" i="79"/>
  <c r="CE134" i="92"/>
  <c r="CE134" i="91"/>
  <c r="CE134" i="90"/>
  <c r="AS135" i="79"/>
  <c r="AS135" i="92"/>
  <c r="AS135" i="91"/>
  <c r="AS135" i="90"/>
  <c r="BZ135" i="79"/>
  <c r="BZ135" i="92"/>
  <c r="BZ135" i="91"/>
  <c r="BZ135" i="90"/>
  <c r="CH135" i="79"/>
  <c r="CH135" i="92"/>
  <c r="CH135" i="91"/>
  <c r="CH135" i="90"/>
  <c r="CC136" i="79"/>
  <c r="CC136" i="92"/>
  <c r="CC136" i="91"/>
  <c r="CC136" i="90"/>
  <c r="AH137" i="92"/>
  <c r="AF137" i="92"/>
  <c r="AG137" i="92"/>
  <c r="AH137" i="91"/>
  <c r="AG137" i="91"/>
  <c r="AF137" i="91"/>
  <c r="AH137" i="90"/>
  <c r="AG137" i="90"/>
  <c r="AF137" i="90"/>
  <c r="BX137" i="79"/>
  <c r="BX137" i="92"/>
  <c r="BX137" i="91"/>
  <c r="BX137" i="90"/>
  <c r="CF137" i="79"/>
  <c r="CF137" i="92"/>
  <c r="CF137" i="91"/>
  <c r="CF137" i="90"/>
  <c r="CA138" i="79"/>
  <c r="CA138" i="92"/>
  <c r="CA138" i="91"/>
  <c r="CA138" i="90"/>
  <c r="AD139" i="92"/>
  <c r="AC139" i="92"/>
  <c r="AB139" i="92"/>
  <c r="AC139" i="91"/>
  <c r="AB139" i="91"/>
  <c r="AD139" i="91"/>
  <c r="AB139" i="90"/>
  <c r="AC139" i="90"/>
  <c r="AD139" i="90"/>
  <c r="BV139" i="79"/>
  <c r="BV139" i="92"/>
  <c r="BV139" i="91"/>
  <c r="BV139" i="90"/>
  <c r="CD139" i="79"/>
  <c r="CD139" i="92"/>
  <c r="CD139" i="91"/>
  <c r="CD139" i="90"/>
  <c r="AR140" i="92"/>
  <c r="AQ140" i="92"/>
  <c r="AP140" i="92"/>
  <c r="AR140" i="91"/>
  <c r="AQ140" i="91"/>
  <c r="AP140" i="91"/>
  <c r="AR140" i="90"/>
  <c r="AQ140" i="90"/>
  <c r="AP140" i="90"/>
  <c r="BY140" i="79"/>
  <c r="BY140" i="92"/>
  <c r="BY140" i="91"/>
  <c r="BY140" i="90"/>
  <c r="CG140" i="79"/>
  <c r="CG140" i="92"/>
  <c r="CG140" i="91"/>
  <c r="CG140" i="90"/>
  <c r="AX141" i="79"/>
  <c r="AX141" i="92"/>
  <c r="AX141" i="91"/>
  <c r="AX141" i="90"/>
  <c r="CB141" i="79"/>
  <c r="CB141" i="92"/>
  <c r="CB141" i="91"/>
  <c r="CB141" i="90"/>
  <c r="AE142" i="79"/>
  <c r="AE142" i="92"/>
  <c r="AE142" i="91"/>
  <c r="AE142" i="90"/>
  <c r="BW142" i="79"/>
  <c r="BW142" i="92"/>
  <c r="BW142" i="91"/>
  <c r="BW142" i="90"/>
  <c r="CE142" i="79"/>
  <c r="CE142" i="92"/>
  <c r="CE142" i="91"/>
  <c r="CE142" i="90"/>
  <c r="AS143" i="79"/>
  <c r="AS143" i="92"/>
  <c r="AS143" i="91"/>
  <c r="AS143" i="90"/>
  <c r="BZ143" i="79"/>
  <c r="BZ143" i="92"/>
  <c r="BZ143" i="91"/>
  <c r="BZ143" i="90"/>
  <c r="CH143" i="79"/>
  <c r="CH143" i="92"/>
  <c r="CH143" i="91"/>
  <c r="CH143" i="90"/>
  <c r="BP144" i="79"/>
  <c r="BQ144" i="92"/>
  <c r="BP144" i="92"/>
  <c r="BQ144" i="91"/>
  <c r="BP144" i="91"/>
  <c r="BQ144" i="90"/>
  <c r="BP144" i="90"/>
  <c r="CC144" i="79"/>
  <c r="CC144" i="92"/>
  <c r="CC144" i="91"/>
  <c r="CC144" i="90"/>
  <c r="AF145" i="92"/>
  <c r="AG145" i="92"/>
  <c r="AH145" i="92"/>
  <c r="AG145" i="91"/>
  <c r="AF145" i="91"/>
  <c r="AH145" i="91"/>
  <c r="AF145" i="90"/>
  <c r="AG145" i="90"/>
  <c r="AH145" i="90"/>
  <c r="BX145" i="79"/>
  <c r="BX145" i="92"/>
  <c r="BX145" i="91"/>
  <c r="BX145" i="90"/>
  <c r="CF145" i="79"/>
  <c r="CF145" i="92"/>
  <c r="CF145" i="91"/>
  <c r="CF145" i="90"/>
  <c r="AW146" i="92"/>
  <c r="AV146" i="92"/>
  <c r="AU146" i="92"/>
  <c r="AW146" i="91"/>
  <c r="AV146" i="91"/>
  <c r="AU146" i="91"/>
  <c r="AU146" i="90"/>
  <c r="AW146" i="90"/>
  <c r="AV146" i="90"/>
  <c r="CA146" i="79"/>
  <c r="CA146" i="92"/>
  <c r="CA146" i="91"/>
  <c r="CA146" i="90"/>
  <c r="AB147" i="92"/>
  <c r="AD147" i="92"/>
  <c r="AC147" i="92"/>
  <c r="AC147" i="91"/>
  <c r="AB147" i="91"/>
  <c r="AD147" i="91"/>
  <c r="AD147" i="90"/>
  <c r="AC147" i="90"/>
  <c r="AB147" i="90"/>
  <c r="BV147" i="79"/>
  <c r="BV147" i="92"/>
  <c r="BV147" i="91"/>
  <c r="BV147" i="90"/>
  <c r="CD147" i="79"/>
  <c r="CD147" i="92"/>
  <c r="CD147" i="91"/>
  <c r="CD147" i="90"/>
  <c r="BY148" i="79"/>
  <c r="BY148" i="92"/>
  <c r="BY148" i="91"/>
  <c r="BY148" i="90"/>
  <c r="CG148" i="79"/>
  <c r="CG148" i="92"/>
  <c r="CG148" i="91"/>
  <c r="CG148" i="90"/>
  <c r="AX149" i="79"/>
  <c r="AX149" i="92"/>
  <c r="AX149" i="91"/>
  <c r="AX149" i="90"/>
  <c r="CB149" i="79"/>
  <c r="CB149" i="92"/>
  <c r="CB149" i="91"/>
  <c r="CB149" i="90"/>
  <c r="AE150" i="79"/>
  <c r="AE150" i="92"/>
  <c r="AE150" i="91"/>
  <c r="AE150" i="90"/>
  <c r="BW150" i="79"/>
  <c r="BW150" i="92"/>
  <c r="BW150" i="91"/>
  <c r="BW150" i="90"/>
  <c r="CE150" i="79"/>
  <c r="CE150" i="92"/>
  <c r="CE150" i="91"/>
  <c r="CE150" i="90"/>
  <c r="AS151" i="79"/>
  <c r="AS151" i="92"/>
  <c r="AS151" i="91"/>
  <c r="AS151" i="90"/>
  <c r="BZ151" i="79"/>
  <c r="BZ151" i="92"/>
  <c r="BZ151" i="91"/>
  <c r="BZ151" i="90"/>
  <c r="CH151" i="79"/>
  <c r="CH151" i="92"/>
  <c r="CH151" i="91"/>
  <c r="CH151" i="90"/>
  <c r="BP152" i="79"/>
  <c r="BQ152" i="92"/>
  <c r="BP152" i="92"/>
  <c r="BP152" i="91"/>
  <c r="BQ152" i="91"/>
  <c r="BP152" i="90"/>
  <c r="BQ152" i="90"/>
  <c r="CC152" i="79"/>
  <c r="CC152" i="92"/>
  <c r="CC152" i="91"/>
  <c r="CC152" i="90"/>
  <c r="AF153" i="92"/>
  <c r="AH153" i="92"/>
  <c r="AG153" i="92"/>
  <c r="AH153" i="91"/>
  <c r="AG153" i="91"/>
  <c r="AF153" i="91"/>
  <c r="AH153" i="90"/>
  <c r="AG153" i="90"/>
  <c r="AF153" i="90"/>
  <c r="BX153" i="79"/>
  <c r="BX153" i="92"/>
  <c r="BX153" i="91"/>
  <c r="BX153" i="90"/>
  <c r="CF153" i="79"/>
  <c r="CF153" i="92"/>
  <c r="CF153" i="91"/>
  <c r="CF153" i="90"/>
  <c r="AW154" i="92"/>
  <c r="AV154" i="92"/>
  <c r="AU154" i="92"/>
  <c r="AW154" i="91"/>
  <c r="AV154" i="91"/>
  <c r="AU154" i="91"/>
  <c r="AW154" i="90"/>
  <c r="AU154" i="90"/>
  <c r="AV154" i="90"/>
  <c r="CA154" i="79"/>
  <c r="CA154" i="92"/>
  <c r="CA154" i="91"/>
  <c r="CA154" i="90"/>
  <c r="AB155" i="92"/>
  <c r="AD155" i="92"/>
  <c r="AC155" i="92"/>
  <c r="AD155" i="91"/>
  <c r="AC155" i="91"/>
  <c r="AB155" i="91"/>
  <c r="AD155" i="90"/>
  <c r="AC155" i="90"/>
  <c r="AB155" i="90"/>
  <c r="BV155" i="79"/>
  <c r="BV155" i="92"/>
  <c r="BV155" i="91"/>
  <c r="BV155" i="90"/>
  <c r="CD155" i="79"/>
  <c r="CD155" i="92"/>
  <c r="CD155" i="91"/>
  <c r="CD155" i="90"/>
  <c r="AR156" i="92"/>
  <c r="AQ156" i="92"/>
  <c r="AP156" i="92"/>
  <c r="AR156" i="91"/>
  <c r="AQ156" i="91"/>
  <c r="AP156" i="91"/>
  <c r="AR156" i="90"/>
  <c r="AP156" i="90"/>
  <c r="AQ156" i="90"/>
  <c r="BY156" i="79"/>
  <c r="BY156" i="92"/>
  <c r="BY156" i="91"/>
  <c r="BY156" i="90"/>
  <c r="CG156" i="79"/>
  <c r="CG156" i="92"/>
  <c r="CG156" i="91"/>
  <c r="CG156" i="90"/>
  <c r="AX157" i="79"/>
  <c r="AX157" i="92"/>
  <c r="AX157" i="91"/>
  <c r="AX157" i="90"/>
  <c r="CB157" i="79"/>
  <c r="CB157" i="92"/>
  <c r="CB157" i="91"/>
  <c r="CB157" i="90"/>
  <c r="AE158" i="79"/>
  <c r="AE158" i="92"/>
  <c r="AE158" i="91"/>
  <c r="AE158" i="90"/>
  <c r="BW158" i="79"/>
  <c r="BW158" i="92"/>
  <c r="BW158" i="91"/>
  <c r="BW158" i="90"/>
  <c r="CE158" i="79"/>
  <c r="CE158" i="92"/>
  <c r="CE158" i="91"/>
  <c r="CE158" i="90"/>
  <c r="AS159" i="79"/>
  <c r="AS159" i="92"/>
  <c r="AS159" i="91"/>
  <c r="AS159" i="90"/>
  <c r="BZ159" i="79"/>
  <c r="BZ159" i="92"/>
  <c r="BZ159" i="91"/>
  <c r="BZ159" i="90"/>
  <c r="CH159" i="79"/>
  <c r="CH159" i="92"/>
  <c r="CH159" i="91"/>
  <c r="CH159" i="90"/>
  <c r="BP160" i="79"/>
  <c r="BP160" i="92"/>
  <c r="BQ160" i="92"/>
  <c r="BQ160" i="91"/>
  <c r="BP160" i="91"/>
  <c r="BP160" i="90"/>
  <c r="BQ160" i="90"/>
  <c r="CC160" i="79"/>
  <c r="CC160" i="92"/>
  <c r="CC160" i="91"/>
  <c r="CC160" i="90"/>
  <c r="AH161" i="92"/>
  <c r="AG161" i="92"/>
  <c r="AF161" i="92"/>
  <c r="AH161" i="91"/>
  <c r="AG161" i="91"/>
  <c r="AF161" i="91"/>
  <c r="AH161" i="90"/>
  <c r="AG161" i="90"/>
  <c r="AF161" i="90"/>
  <c r="BX161" i="79"/>
  <c r="BX161" i="92"/>
  <c r="BX161" i="91"/>
  <c r="BX161" i="90"/>
  <c r="CF161" i="79"/>
  <c r="CF161" i="92"/>
  <c r="CF161" i="91"/>
  <c r="CF161" i="90"/>
  <c r="AU162" i="92"/>
  <c r="AW162" i="92"/>
  <c r="AV162" i="92"/>
  <c r="AW162" i="91"/>
  <c r="AU162" i="91"/>
  <c r="AV162" i="91"/>
  <c r="AW162" i="90"/>
  <c r="AU162" i="90"/>
  <c r="AV162" i="90"/>
  <c r="CA162" i="79"/>
  <c r="CA162" i="92"/>
  <c r="CA162" i="91"/>
  <c r="CA162" i="90"/>
  <c r="AD163" i="92"/>
  <c r="AB163" i="92"/>
  <c r="AC163" i="92"/>
  <c r="AD163" i="91"/>
  <c r="AC163" i="91"/>
  <c r="AB163" i="91"/>
  <c r="AD163" i="90"/>
  <c r="AC163" i="90"/>
  <c r="AB163" i="90"/>
  <c r="BV163" i="79"/>
  <c r="BV163" i="92"/>
  <c r="BV163" i="91"/>
  <c r="BV163" i="90"/>
  <c r="CD163" i="79"/>
  <c r="CD163" i="92"/>
  <c r="CD163" i="91"/>
  <c r="CD163" i="90"/>
  <c r="AQ164" i="92"/>
  <c r="AP164" i="92"/>
  <c r="AR164" i="92"/>
  <c r="AR164" i="91"/>
  <c r="AQ164" i="91"/>
  <c r="AP164" i="91"/>
  <c r="AR164" i="90"/>
  <c r="AP164" i="90"/>
  <c r="AQ164" i="90"/>
  <c r="BY164" i="79"/>
  <c r="BY164" i="92"/>
  <c r="BY164" i="91"/>
  <c r="BY164" i="90"/>
  <c r="CG164" i="79"/>
  <c r="CG164" i="92"/>
  <c r="CG164" i="91"/>
  <c r="CG164" i="90"/>
  <c r="AX165" i="79"/>
  <c r="AX165" i="92"/>
  <c r="AX165" i="91"/>
  <c r="AX165" i="90"/>
  <c r="CB165" i="79"/>
  <c r="CB165" i="92"/>
  <c r="CB165" i="91"/>
  <c r="CB165" i="90"/>
  <c r="AE166" i="79"/>
  <c r="AE166" i="92"/>
  <c r="AE166" i="91"/>
  <c r="AE166" i="90"/>
  <c r="BW166" i="79"/>
  <c r="BW166" i="92"/>
  <c r="BW166" i="91"/>
  <c r="BW166" i="90"/>
  <c r="CE166" i="79"/>
  <c r="CE166" i="92"/>
  <c r="CE166" i="91"/>
  <c r="CE166" i="90"/>
  <c r="AS167" i="79"/>
  <c r="AS167" i="92"/>
  <c r="AS167" i="91"/>
  <c r="AS167" i="90"/>
  <c r="BZ167" i="79"/>
  <c r="BZ167" i="92"/>
  <c r="BZ167" i="91"/>
  <c r="BZ167" i="90"/>
  <c r="CH167" i="79"/>
  <c r="CH167" i="92"/>
  <c r="CH167" i="91"/>
  <c r="CH167" i="90"/>
  <c r="BP168" i="79"/>
  <c r="BQ168" i="92"/>
  <c r="BP168" i="92"/>
  <c r="BQ168" i="91"/>
  <c r="BP168" i="91"/>
  <c r="BP168" i="90"/>
  <c r="BQ168" i="90"/>
  <c r="CC168" i="79"/>
  <c r="CC168" i="92"/>
  <c r="CC168" i="91"/>
  <c r="CC168" i="90"/>
  <c r="BX169" i="90"/>
  <c r="CF169" i="90"/>
  <c r="CA170" i="90"/>
  <c r="BV171" i="90"/>
  <c r="N92" i="86"/>
  <c r="K92" i="86"/>
  <c r="BY172" i="90"/>
  <c r="CG172" i="90"/>
  <c r="AX173" i="79"/>
  <c r="AX173" i="92"/>
  <c r="AX173" i="91"/>
  <c r="AX173" i="90"/>
  <c r="CB173" i="79"/>
  <c r="CB173" i="90"/>
  <c r="AE174" i="79"/>
  <c r="AE174" i="92"/>
  <c r="AE174" i="91"/>
  <c r="AE174" i="90"/>
  <c r="BW174" i="79"/>
  <c r="BW174" i="90"/>
  <c r="CE174" i="79"/>
  <c r="CE174" i="92"/>
  <c r="CE174" i="91"/>
  <c r="CE174" i="90"/>
  <c r="AW175" i="92"/>
  <c r="AV175" i="92"/>
  <c r="AU175" i="92"/>
  <c r="AW175" i="91"/>
  <c r="AV175" i="91"/>
  <c r="AU175" i="91"/>
  <c r="AW175" i="90"/>
  <c r="AV175" i="90"/>
  <c r="AU175" i="90"/>
  <c r="CA175" i="79"/>
  <c r="CA175" i="90"/>
  <c r="BX110" i="79"/>
  <c r="BX110" i="92"/>
  <c r="BX110" i="91"/>
  <c r="BX110" i="90"/>
  <c r="CA111" i="79"/>
  <c r="CA111" i="92"/>
  <c r="CA111" i="91"/>
  <c r="CA111" i="90"/>
  <c r="BV112" i="79"/>
  <c r="BV112" i="92"/>
  <c r="BV112" i="91"/>
  <c r="BV112" i="90"/>
  <c r="CG113" i="79"/>
  <c r="CG113" i="92"/>
  <c r="CG113" i="91"/>
  <c r="CG113" i="90"/>
  <c r="BW115" i="79"/>
  <c r="BW115" i="92"/>
  <c r="BW115" i="91"/>
  <c r="BW115" i="90"/>
  <c r="AS116" i="79"/>
  <c r="AS116" i="92"/>
  <c r="AS116" i="91"/>
  <c r="AS116" i="90"/>
  <c r="BP117" i="79"/>
  <c r="BQ117" i="92"/>
  <c r="BP117" i="92"/>
  <c r="BQ117" i="91"/>
  <c r="BP117" i="91"/>
  <c r="BQ117" i="90"/>
  <c r="BP117" i="90"/>
  <c r="BX118" i="79"/>
  <c r="BX118" i="92"/>
  <c r="BX118" i="91"/>
  <c r="BX118" i="90"/>
  <c r="BY121" i="79"/>
  <c r="BY121" i="92"/>
  <c r="BY121" i="91"/>
  <c r="BY121" i="90"/>
  <c r="AX122" i="79"/>
  <c r="AX122" i="92"/>
  <c r="AX122" i="91"/>
  <c r="AX122" i="90"/>
  <c r="CE123" i="79"/>
  <c r="CE123" i="92"/>
  <c r="CE123" i="91"/>
  <c r="CE123" i="90"/>
  <c r="BP125" i="79"/>
  <c r="BQ125" i="92"/>
  <c r="BP125" i="92"/>
  <c r="BQ125" i="91"/>
  <c r="BP125" i="91"/>
  <c r="BQ125" i="90"/>
  <c r="BP125" i="90"/>
  <c r="CF126" i="79"/>
  <c r="CF126" i="92"/>
  <c r="CF126" i="91"/>
  <c r="CF126" i="90"/>
  <c r="BV128" i="79"/>
  <c r="BV128" i="92"/>
  <c r="BV128" i="91"/>
  <c r="BV128" i="90"/>
  <c r="CG129" i="79"/>
  <c r="CG129" i="92"/>
  <c r="CG129" i="91"/>
  <c r="CG129" i="90"/>
  <c r="AE131" i="79"/>
  <c r="AE131" i="92"/>
  <c r="AE131" i="91"/>
  <c r="AE131" i="90"/>
  <c r="AS132" i="79"/>
  <c r="AS132" i="92"/>
  <c r="AS132" i="91"/>
  <c r="AS132" i="90"/>
  <c r="CC133" i="79"/>
  <c r="CC133" i="92"/>
  <c r="CC133" i="91"/>
  <c r="CC133" i="90"/>
  <c r="BX134" i="79"/>
  <c r="BX134" i="92"/>
  <c r="BX134" i="91"/>
  <c r="BX134" i="90"/>
  <c r="AC136" i="92"/>
  <c r="AB136" i="92"/>
  <c r="AD136" i="92"/>
  <c r="AB136" i="91"/>
  <c r="AD136" i="91"/>
  <c r="AC136" i="91"/>
  <c r="AD136" i="90"/>
  <c r="AB136" i="90"/>
  <c r="AC136" i="90"/>
  <c r="AR137" i="92"/>
  <c r="AQ137" i="92"/>
  <c r="AP137" i="92"/>
  <c r="AR137" i="91"/>
  <c r="AQ137" i="91"/>
  <c r="AP137" i="91"/>
  <c r="AR137" i="90"/>
  <c r="AQ137" i="90"/>
  <c r="AP137" i="90"/>
  <c r="CB138" i="79"/>
  <c r="CB138" i="92"/>
  <c r="CB138" i="91"/>
  <c r="CB138" i="90"/>
  <c r="BZ140" i="79"/>
  <c r="BZ140" i="92"/>
  <c r="BZ140" i="91"/>
  <c r="BZ140" i="90"/>
  <c r="BQ141" i="79"/>
  <c r="BQ141" i="92"/>
  <c r="BP141" i="92"/>
  <c r="BQ141" i="91"/>
  <c r="BP141" i="91"/>
  <c r="BQ141" i="90"/>
  <c r="BP141" i="90"/>
  <c r="AW143" i="92"/>
  <c r="AV143" i="92"/>
  <c r="AU143" i="92"/>
  <c r="AV143" i="91"/>
  <c r="AU143" i="91"/>
  <c r="AW143" i="91"/>
  <c r="AW143" i="90"/>
  <c r="AV143" i="90"/>
  <c r="AU143" i="90"/>
  <c r="CD144" i="79"/>
  <c r="CD144" i="92"/>
  <c r="CD144" i="91"/>
  <c r="CD144" i="90"/>
  <c r="CG145" i="79"/>
  <c r="CG145" i="92"/>
  <c r="CG145" i="91"/>
  <c r="CG145" i="90"/>
  <c r="BW147" i="79"/>
  <c r="BW147" i="92"/>
  <c r="BW147" i="91"/>
  <c r="BW147" i="90"/>
  <c r="CH148" i="79"/>
  <c r="CH148" i="92"/>
  <c r="CH148" i="91"/>
  <c r="CH148" i="90"/>
  <c r="AH150" i="92"/>
  <c r="AG150" i="92"/>
  <c r="AF150" i="92"/>
  <c r="AH150" i="91"/>
  <c r="AG150" i="91"/>
  <c r="AF150" i="91"/>
  <c r="AH150" i="90"/>
  <c r="AG150" i="90"/>
  <c r="AF150" i="90"/>
  <c r="AD152" i="92"/>
  <c r="AC152" i="92"/>
  <c r="AB152" i="92"/>
  <c r="AD152" i="91"/>
  <c r="AC152" i="91"/>
  <c r="AB152" i="91"/>
  <c r="AD152" i="90"/>
  <c r="AC152" i="90"/>
  <c r="AB152" i="90"/>
  <c r="BY153" i="79"/>
  <c r="BY153" i="92"/>
  <c r="BY153" i="91"/>
  <c r="BY153" i="90"/>
  <c r="CB154" i="79"/>
  <c r="CB154" i="92"/>
  <c r="CB154" i="91"/>
  <c r="CB154" i="90"/>
  <c r="CE155" i="79"/>
  <c r="CE155" i="92"/>
  <c r="CE155" i="91"/>
  <c r="CE155" i="90"/>
  <c r="CH156" i="79"/>
  <c r="CH156" i="92"/>
  <c r="CH156" i="91"/>
  <c r="CH156" i="90"/>
  <c r="CC157" i="79"/>
  <c r="CC157" i="92"/>
  <c r="CC157" i="91"/>
  <c r="CC157" i="90"/>
  <c r="CF158" i="79"/>
  <c r="CF158" i="92"/>
  <c r="CF158" i="91"/>
  <c r="CF158" i="90"/>
  <c r="BV160" i="79"/>
  <c r="BV160" i="92"/>
  <c r="BV160" i="91"/>
  <c r="BV160" i="90"/>
  <c r="AX162" i="79"/>
  <c r="AX162" i="92"/>
  <c r="AX162" i="91"/>
  <c r="AX162" i="90"/>
  <c r="BW163" i="79"/>
  <c r="BW163" i="92"/>
  <c r="BW163" i="91"/>
  <c r="BW163" i="90"/>
  <c r="BZ164" i="79"/>
  <c r="BZ164" i="92"/>
  <c r="BZ164" i="91"/>
  <c r="BZ164" i="90"/>
  <c r="BQ165" i="79"/>
  <c r="BQ165" i="92"/>
  <c r="BP165" i="92"/>
  <c r="BQ165" i="91"/>
  <c r="BP165" i="91"/>
  <c r="BQ165" i="90"/>
  <c r="BP165" i="90"/>
  <c r="CF166" i="79"/>
  <c r="CF166" i="92"/>
  <c r="CF166" i="91"/>
  <c r="CF166" i="90"/>
  <c r="CA167" i="79"/>
  <c r="CA167" i="92"/>
  <c r="CA167" i="91"/>
  <c r="CA167" i="90"/>
  <c r="CD168" i="79"/>
  <c r="CD168" i="92"/>
  <c r="CD168" i="91"/>
  <c r="CD168" i="90"/>
  <c r="K202" i="86"/>
  <c r="N202" i="86"/>
  <c r="N49" i="86"/>
  <c r="K49" i="86"/>
  <c r="BQ173" i="79"/>
  <c r="BQ173" i="92"/>
  <c r="BP173" i="92"/>
  <c r="BQ173" i="91"/>
  <c r="BP173" i="91"/>
  <c r="BQ173" i="90"/>
  <c r="BP173" i="90"/>
  <c r="AG174" i="92"/>
  <c r="AF174" i="92"/>
  <c r="AH174" i="92"/>
  <c r="AH174" i="91"/>
  <c r="AG174" i="91"/>
  <c r="AF174" i="91"/>
  <c r="AH174" i="90"/>
  <c r="AG174" i="90"/>
  <c r="AF174" i="90"/>
  <c r="AX175" i="79"/>
  <c r="AX175" i="92"/>
  <c r="AX175" i="91"/>
  <c r="AX175" i="90"/>
  <c r="BQ2" i="92"/>
  <c r="BP2" i="92"/>
  <c r="BQ2" i="91"/>
  <c r="BP2" i="91"/>
  <c r="BQ2" i="90"/>
  <c r="BP2" i="90"/>
  <c r="CC2" i="92"/>
  <c r="CC2" i="91"/>
  <c r="CC2" i="90"/>
  <c r="AF3" i="92"/>
  <c r="AH3" i="92"/>
  <c r="AG3" i="92"/>
  <c r="AH3" i="91"/>
  <c r="AG3" i="91"/>
  <c r="AF3" i="91"/>
  <c r="AH3" i="90"/>
  <c r="AG3" i="90"/>
  <c r="AF3" i="90"/>
  <c r="BX3" i="79"/>
  <c r="BX3" i="92"/>
  <c r="BX3" i="91"/>
  <c r="BX3" i="90"/>
  <c r="CF3" i="79"/>
  <c r="CF3" i="92"/>
  <c r="CF3" i="91"/>
  <c r="CF3" i="90"/>
  <c r="AW4" i="92"/>
  <c r="AV4" i="92"/>
  <c r="AU4" i="92"/>
  <c r="AV4" i="91"/>
  <c r="AU4" i="91"/>
  <c r="AW4" i="91"/>
  <c r="AV4" i="90"/>
  <c r="AW4" i="90"/>
  <c r="AU4" i="90"/>
  <c r="CA4" i="79"/>
  <c r="CA4" i="92"/>
  <c r="CA4" i="91"/>
  <c r="CA4" i="90"/>
  <c r="AB5" i="92"/>
  <c r="AD5" i="92"/>
  <c r="AC5" i="92"/>
  <c r="AD5" i="91"/>
  <c r="AC5" i="91"/>
  <c r="AB5" i="91"/>
  <c r="AD5" i="90"/>
  <c r="AC5" i="90"/>
  <c r="AB5" i="90"/>
  <c r="BV5" i="79"/>
  <c r="BV5" i="92"/>
  <c r="BV5" i="91"/>
  <c r="BV5" i="90"/>
  <c r="CD5" i="79"/>
  <c r="CD5" i="92"/>
  <c r="CD5" i="91"/>
  <c r="CD5" i="90"/>
  <c r="AR6" i="92"/>
  <c r="AQ6" i="92"/>
  <c r="AP6" i="92"/>
  <c r="AQ6" i="91"/>
  <c r="AP6" i="91"/>
  <c r="AR6" i="91"/>
  <c r="AR6" i="90"/>
  <c r="AP6" i="90"/>
  <c r="AQ6" i="90"/>
  <c r="BY6" i="79"/>
  <c r="BY6" i="92"/>
  <c r="BY6" i="91"/>
  <c r="BY6" i="90"/>
  <c r="CG6" i="79"/>
  <c r="CG6" i="92"/>
  <c r="CG6" i="91"/>
  <c r="CG6" i="90"/>
  <c r="AX7" i="79"/>
  <c r="AX7" i="92"/>
  <c r="AX7" i="91"/>
  <c r="AX7" i="90"/>
  <c r="CB7" i="79"/>
  <c r="CB7" i="92"/>
  <c r="CB7" i="91"/>
  <c r="CB7" i="90"/>
  <c r="AE8" i="79"/>
  <c r="AE8" i="92"/>
  <c r="AE8" i="91"/>
  <c r="AE8" i="90"/>
  <c r="BW8" i="79"/>
  <c r="BW8" i="92"/>
  <c r="BW8" i="91"/>
  <c r="BW8" i="90"/>
  <c r="CE8" i="79"/>
  <c r="CE8" i="92"/>
  <c r="CE8" i="91"/>
  <c r="CE8" i="90"/>
  <c r="AS9" i="79"/>
  <c r="AS9" i="92"/>
  <c r="AS9" i="91"/>
  <c r="AS9" i="90"/>
  <c r="BZ9" i="79"/>
  <c r="BZ9" i="92"/>
  <c r="BZ9" i="91"/>
  <c r="BZ9" i="90"/>
  <c r="CH9" i="79"/>
  <c r="CH9" i="92"/>
  <c r="CH9" i="91"/>
  <c r="CH9" i="90"/>
  <c r="BP10" i="79"/>
  <c r="BQ10" i="92"/>
  <c r="BP10" i="92"/>
  <c r="BQ10" i="91"/>
  <c r="BP10" i="91"/>
  <c r="BQ10" i="90"/>
  <c r="BP10" i="90"/>
  <c r="CC10" i="79"/>
  <c r="CC10" i="92"/>
  <c r="CC10" i="91"/>
  <c r="CC10" i="90"/>
  <c r="AF11" i="92"/>
  <c r="AH11" i="92"/>
  <c r="AG11" i="92"/>
  <c r="AH11" i="91"/>
  <c r="AG11" i="91"/>
  <c r="AF11" i="91"/>
  <c r="AH11" i="90"/>
  <c r="AG11" i="90"/>
  <c r="AF11" i="90"/>
  <c r="BX11" i="79"/>
  <c r="BX11" i="92"/>
  <c r="BX11" i="91"/>
  <c r="BX11" i="90"/>
  <c r="CF11" i="79"/>
  <c r="CF11" i="92"/>
  <c r="CF11" i="91"/>
  <c r="CF11" i="90"/>
  <c r="AW12" i="92"/>
  <c r="AV12" i="92"/>
  <c r="AU12" i="92"/>
  <c r="AV12" i="91"/>
  <c r="AU12" i="91"/>
  <c r="AW12" i="91"/>
  <c r="AV12" i="90"/>
  <c r="AW12" i="90"/>
  <c r="AU12" i="90"/>
  <c r="CA12" i="79"/>
  <c r="CA12" i="92"/>
  <c r="CA12" i="91"/>
  <c r="CA12" i="90"/>
  <c r="AB13" i="92"/>
  <c r="AD13" i="92"/>
  <c r="AC13" i="92"/>
  <c r="AD13" i="91"/>
  <c r="AC13" i="91"/>
  <c r="AB13" i="91"/>
  <c r="AD13" i="90"/>
  <c r="AC13" i="90"/>
  <c r="AB13" i="90"/>
  <c r="BV13" i="79"/>
  <c r="BV13" i="92"/>
  <c r="BV13" i="91"/>
  <c r="BV13" i="90"/>
  <c r="CD13" i="79"/>
  <c r="CD13" i="92"/>
  <c r="CD13" i="91"/>
  <c r="CD13" i="90"/>
  <c r="AR14" i="92"/>
  <c r="AQ14" i="92"/>
  <c r="AP14" i="92"/>
  <c r="AR14" i="91"/>
  <c r="AQ14" i="91"/>
  <c r="AP14" i="91"/>
  <c r="AR14" i="90"/>
  <c r="AP14" i="90"/>
  <c r="AQ14" i="90"/>
  <c r="BY14" i="79"/>
  <c r="BY14" i="92"/>
  <c r="BY14" i="91"/>
  <c r="BY14" i="90"/>
  <c r="CG14" i="79"/>
  <c r="CG14" i="92"/>
  <c r="CG14" i="91"/>
  <c r="CG14" i="90"/>
  <c r="AX15" i="79"/>
  <c r="AX15" i="92"/>
  <c r="AX15" i="91"/>
  <c r="AX15" i="90"/>
  <c r="CB15" i="79"/>
  <c r="CB15" i="92"/>
  <c r="CB15" i="91"/>
  <c r="CB15" i="90"/>
  <c r="AE16" i="79"/>
  <c r="AE16" i="92"/>
  <c r="AE16" i="91"/>
  <c r="AE16" i="90"/>
  <c r="BW16" i="79"/>
  <c r="BW16" i="92"/>
  <c r="BW16" i="91"/>
  <c r="BW16" i="90"/>
  <c r="CE16" i="79"/>
  <c r="CE16" i="92"/>
  <c r="CE16" i="91"/>
  <c r="CE16" i="90"/>
  <c r="AS17" i="79"/>
  <c r="AS17" i="92"/>
  <c r="AS17" i="91"/>
  <c r="AS17" i="90"/>
  <c r="BZ17" i="79"/>
  <c r="BZ17" i="92"/>
  <c r="BZ17" i="91"/>
  <c r="BZ17" i="90"/>
  <c r="CH17" i="79"/>
  <c r="CH17" i="92"/>
  <c r="CH17" i="91"/>
  <c r="CH17" i="90"/>
  <c r="BP18" i="79"/>
  <c r="BQ18" i="92"/>
  <c r="BP18" i="92"/>
  <c r="BQ18" i="91"/>
  <c r="BP18" i="91"/>
  <c r="BP18" i="90"/>
  <c r="BQ18" i="90"/>
  <c r="CC18" i="79"/>
  <c r="CC18" i="92"/>
  <c r="CC18" i="91"/>
  <c r="CC18" i="90"/>
  <c r="AF19" i="92"/>
  <c r="AH19" i="92"/>
  <c r="AG19" i="92"/>
  <c r="AG19" i="91"/>
  <c r="AF19" i="91"/>
  <c r="AH19" i="91"/>
  <c r="AH19" i="90"/>
  <c r="AG19" i="90"/>
  <c r="AF19" i="90"/>
  <c r="BX19" i="79"/>
  <c r="BX19" i="92"/>
  <c r="BX19" i="91"/>
  <c r="BX19" i="90"/>
  <c r="CF19" i="79"/>
  <c r="CF19" i="92"/>
  <c r="CF19" i="91"/>
  <c r="CF19" i="90"/>
  <c r="AW20" i="92"/>
  <c r="AV20" i="92"/>
  <c r="AU20" i="92"/>
  <c r="AW20" i="91"/>
  <c r="AV20" i="91"/>
  <c r="AU20" i="91"/>
  <c r="AV20" i="90"/>
  <c r="AW20" i="90"/>
  <c r="AU20" i="90"/>
  <c r="CA20" i="79"/>
  <c r="CA20" i="92"/>
  <c r="CA20" i="91"/>
  <c r="CA20" i="90"/>
  <c r="BV21" i="79"/>
  <c r="BV21" i="92"/>
  <c r="BV21" i="91"/>
  <c r="BV21" i="90"/>
  <c r="CD21" i="79"/>
  <c r="CD21" i="92"/>
  <c r="CD21" i="91"/>
  <c r="CD21" i="90"/>
  <c r="BY22" i="79"/>
  <c r="BY22" i="92"/>
  <c r="BY22" i="91"/>
  <c r="BY22" i="90"/>
  <c r="CG22" i="79"/>
  <c r="CG22" i="92"/>
  <c r="CG22" i="91"/>
  <c r="CG22" i="90"/>
  <c r="AX23" i="79"/>
  <c r="AX23" i="92"/>
  <c r="AX23" i="91"/>
  <c r="AX23" i="90"/>
  <c r="CB23" i="79"/>
  <c r="CB23" i="92"/>
  <c r="CB23" i="91"/>
  <c r="CB23" i="90"/>
  <c r="AE24" i="79"/>
  <c r="AE24" i="92"/>
  <c r="AE24" i="91"/>
  <c r="AE24" i="90"/>
  <c r="BW24" i="79"/>
  <c r="BW24" i="92"/>
  <c r="BW24" i="91"/>
  <c r="BW24" i="90"/>
  <c r="CE24" i="79"/>
  <c r="CE24" i="92"/>
  <c r="CE24" i="91"/>
  <c r="CE24" i="90"/>
  <c r="AS25" i="79"/>
  <c r="AS25" i="92"/>
  <c r="AS25" i="91"/>
  <c r="AS25" i="90"/>
  <c r="BZ25" i="79"/>
  <c r="BZ25" i="92"/>
  <c r="BZ25" i="91"/>
  <c r="BZ25" i="90"/>
  <c r="CH25" i="79"/>
  <c r="CH25" i="92"/>
  <c r="CH25" i="91"/>
  <c r="CH25" i="90"/>
  <c r="BP26" i="79"/>
  <c r="BQ26" i="92"/>
  <c r="BP26" i="92"/>
  <c r="BQ26" i="91"/>
  <c r="BP26" i="91"/>
  <c r="BQ26" i="90"/>
  <c r="BP26" i="90"/>
  <c r="CC26" i="79"/>
  <c r="CC26" i="92"/>
  <c r="CC26" i="91"/>
  <c r="CC26" i="90"/>
  <c r="AF27" i="92"/>
  <c r="AH27" i="92"/>
  <c r="AG27" i="92"/>
  <c r="AG27" i="91"/>
  <c r="AF27" i="91"/>
  <c r="AH27" i="91"/>
  <c r="AH27" i="90"/>
  <c r="AG27" i="90"/>
  <c r="AF27" i="90"/>
  <c r="BX27" i="79"/>
  <c r="BX27" i="92"/>
  <c r="BX27" i="91"/>
  <c r="BX27" i="90"/>
  <c r="CF27" i="79"/>
  <c r="CF27" i="92"/>
  <c r="CF27" i="91"/>
  <c r="CF27" i="90"/>
  <c r="AW28" i="92"/>
  <c r="AV28" i="92"/>
  <c r="AU28" i="92"/>
  <c r="AW28" i="91"/>
  <c r="AV28" i="91"/>
  <c r="AU28" i="91"/>
  <c r="AV28" i="90"/>
  <c r="AW28" i="90"/>
  <c r="AU28" i="90"/>
  <c r="CA28" i="79"/>
  <c r="CA28" i="92"/>
  <c r="CA28" i="91"/>
  <c r="CA28" i="90"/>
  <c r="AB29" i="92"/>
  <c r="AD29" i="92"/>
  <c r="AC29" i="92"/>
  <c r="AC29" i="91"/>
  <c r="AB29" i="91"/>
  <c r="AD29" i="91"/>
  <c r="AD29" i="90"/>
  <c r="AC29" i="90"/>
  <c r="AB29" i="90"/>
  <c r="BV29" i="79"/>
  <c r="BV29" i="92"/>
  <c r="BV29" i="91"/>
  <c r="BV29" i="90"/>
  <c r="CD29" i="79"/>
  <c r="CD29" i="92"/>
  <c r="CD29" i="91"/>
  <c r="CD29" i="90"/>
  <c r="AR30" i="92"/>
  <c r="AQ30" i="92"/>
  <c r="AP30" i="92"/>
  <c r="AR30" i="91"/>
  <c r="AQ30" i="91"/>
  <c r="AP30" i="91"/>
  <c r="AR30" i="90"/>
  <c r="AQ30" i="90"/>
  <c r="AP30" i="90"/>
  <c r="BY30" i="79"/>
  <c r="BY30" i="92"/>
  <c r="BY30" i="91"/>
  <c r="BY30" i="90"/>
  <c r="CG30" i="79"/>
  <c r="CG30" i="92"/>
  <c r="CG30" i="91"/>
  <c r="CG30" i="90"/>
  <c r="AX31" i="79"/>
  <c r="AX31" i="92"/>
  <c r="AX31" i="91"/>
  <c r="AX31" i="90"/>
  <c r="CB31" i="79"/>
  <c r="CB31" i="92"/>
  <c r="CB31" i="91"/>
  <c r="CB31" i="90"/>
  <c r="AE32" i="79"/>
  <c r="AE32" i="92"/>
  <c r="AE32" i="91"/>
  <c r="AE32" i="90"/>
  <c r="BW32" i="79"/>
  <c r="BW32" i="92"/>
  <c r="BW32" i="91"/>
  <c r="BW32" i="90"/>
  <c r="CE32" i="79"/>
  <c r="CE32" i="92"/>
  <c r="CE32" i="91"/>
  <c r="CE32" i="90"/>
  <c r="AS33" i="79"/>
  <c r="AS33" i="92"/>
  <c r="AS33" i="91"/>
  <c r="AS33" i="90"/>
  <c r="BZ33" i="79"/>
  <c r="BZ33" i="92"/>
  <c r="BZ33" i="91"/>
  <c r="BZ33" i="90"/>
  <c r="CH33" i="79"/>
  <c r="CH33" i="92"/>
  <c r="CH33" i="91"/>
  <c r="CH33" i="90"/>
  <c r="BP34" i="79"/>
  <c r="BQ34" i="92"/>
  <c r="BP34" i="92"/>
  <c r="BQ34" i="91"/>
  <c r="BP34" i="91"/>
  <c r="BQ34" i="90"/>
  <c r="BP34" i="90"/>
  <c r="CC34" i="79"/>
  <c r="CC34" i="92"/>
  <c r="CC34" i="91"/>
  <c r="CC34" i="90"/>
  <c r="AF35" i="92"/>
  <c r="AH35" i="92"/>
  <c r="AG35" i="92"/>
  <c r="AG35" i="91"/>
  <c r="AF35" i="91"/>
  <c r="AH35" i="91"/>
  <c r="AH35" i="90"/>
  <c r="AG35" i="90"/>
  <c r="AF35" i="90"/>
  <c r="BX35" i="79"/>
  <c r="BX35" i="92"/>
  <c r="BX35" i="91"/>
  <c r="BX35" i="90"/>
  <c r="CF35" i="79"/>
  <c r="CF35" i="92"/>
  <c r="CF35" i="91"/>
  <c r="CF35" i="90"/>
  <c r="AW36" i="92"/>
  <c r="AV36" i="92"/>
  <c r="AU36" i="92"/>
  <c r="AW36" i="91"/>
  <c r="AV36" i="91"/>
  <c r="AU36" i="91"/>
  <c r="AV36" i="90"/>
  <c r="AW36" i="90"/>
  <c r="AU36" i="90"/>
  <c r="CA36" i="79"/>
  <c r="CA36" i="92"/>
  <c r="CA36" i="91"/>
  <c r="CA36" i="90"/>
  <c r="AB37" i="92"/>
  <c r="AD37" i="92"/>
  <c r="AC37" i="92"/>
  <c r="AC37" i="91"/>
  <c r="AB37" i="91"/>
  <c r="AD37" i="91"/>
  <c r="AD37" i="90"/>
  <c r="AC37" i="90"/>
  <c r="AB37" i="90"/>
  <c r="BV37" i="79"/>
  <c r="BV37" i="92"/>
  <c r="BV37" i="91"/>
  <c r="BV37" i="90"/>
  <c r="CD37" i="79"/>
  <c r="CD37" i="92"/>
  <c r="CD37" i="91"/>
  <c r="CD37" i="90"/>
  <c r="AR38" i="92"/>
  <c r="AQ38" i="92"/>
  <c r="AP38" i="92"/>
  <c r="AR38" i="91"/>
  <c r="AQ38" i="91"/>
  <c r="AP38" i="91"/>
  <c r="AR38" i="90"/>
  <c r="AQ38" i="90"/>
  <c r="AP38" i="90"/>
  <c r="BY38" i="79"/>
  <c r="BY38" i="92"/>
  <c r="BY38" i="91"/>
  <c r="BY38" i="90"/>
  <c r="CG38" i="79"/>
  <c r="CG38" i="92"/>
  <c r="CG38" i="91"/>
  <c r="CG38" i="90"/>
  <c r="AX39" i="79"/>
  <c r="AX39" i="92"/>
  <c r="AX39" i="91"/>
  <c r="AX39" i="90"/>
  <c r="CB39" i="79"/>
  <c r="CB39" i="92"/>
  <c r="CB39" i="91"/>
  <c r="CB39" i="90"/>
  <c r="AE40" i="79"/>
  <c r="AE40" i="92"/>
  <c r="AE40" i="91"/>
  <c r="AE40" i="90"/>
  <c r="BW40" i="79"/>
  <c r="BW40" i="92"/>
  <c r="BW40" i="91"/>
  <c r="BW40" i="90"/>
  <c r="CE40" i="79"/>
  <c r="CE40" i="92"/>
  <c r="CE40" i="91"/>
  <c r="CE40" i="90"/>
  <c r="AS41" i="79"/>
  <c r="AS41" i="92"/>
  <c r="AS41" i="91"/>
  <c r="AS41" i="90"/>
  <c r="BZ41" i="79"/>
  <c r="BZ41" i="92"/>
  <c r="BZ41" i="91"/>
  <c r="BZ41" i="90"/>
  <c r="CH41" i="79"/>
  <c r="CH41" i="92"/>
  <c r="CH41" i="91"/>
  <c r="CH41" i="90"/>
  <c r="BQ42" i="79"/>
  <c r="BQ42" i="92"/>
  <c r="BP42" i="92"/>
  <c r="BQ42" i="91"/>
  <c r="BP42" i="91"/>
  <c r="BP42" i="90"/>
  <c r="BQ42" i="90"/>
  <c r="CC42" i="79"/>
  <c r="CC42" i="92"/>
  <c r="CC42" i="91"/>
  <c r="CC42" i="90"/>
  <c r="AF43" i="92"/>
  <c r="AH43" i="92"/>
  <c r="AG43" i="92"/>
  <c r="AG43" i="91"/>
  <c r="AF43" i="91"/>
  <c r="AH43" i="91"/>
  <c r="AH43" i="90"/>
  <c r="AG43" i="90"/>
  <c r="AF43" i="90"/>
  <c r="BX43" i="79"/>
  <c r="BX43" i="92"/>
  <c r="BX43" i="91"/>
  <c r="BX43" i="90"/>
  <c r="CF43" i="79"/>
  <c r="CF43" i="92"/>
  <c r="CF43" i="91"/>
  <c r="CF43" i="90"/>
  <c r="AW44" i="92"/>
  <c r="AV44" i="92"/>
  <c r="AU44" i="92"/>
  <c r="AW44" i="91"/>
  <c r="AV44" i="91"/>
  <c r="AU44" i="91"/>
  <c r="AV44" i="90"/>
  <c r="AW44" i="90"/>
  <c r="AU44" i="90"/>
  <c r="CA44" i="79"/>
  <c r="CA44" i="92"/>
  <c r="CA44" i="91"/>
  <c r="CA44" i="90"/>
  <c r="AB45" i="92"/>
  <c r="AD45" i="92"/>
  <c r="AC45" i="92"/>
  <c r="AC45" i="91"/>
  <c r="AB45" i="91"/>
  <c r="AD45" i="91"/>
  <c r="AD45" i="90"/>
  <c r="AC45" i="90"/>
  <c r="AB45" i="90"/>
  <c r="BV45" i="79"/>
  <c r="BV45" i="92"/>
  <c r="BV45" i="91"/>
  <c r="BV45" i="90"/>
  <c r="CD45" i="79"/>
  <c r="CD45" i="92"/>
  <c r="CD45" i="91"/>
  <c r="CD45" i="90"/>
  <c r="AR46" i="92"/>
  <c r="AQ46" i="92"/>
  <c r="AP46" i="92"/>
  <c r="AR46" i="91"/>
  <c r="AQ46" i="91"/>
  <c r="AP46" i="91"/>
  <c r="AQ46" i="90"/>
  <c r="AR46" i="90"/>
  <c r="AP46" i="90"/>
  <c r="BY46" i="79"/>
  <c r="BY46" i="92"/>
  <c r="BY46" i="91"/>
  <c r="BY46" i="90"/>
  <c r="CG46" i="79"/>
  <c r="CG46" i="92"/>
  <c r="CG46" i="91"/>
  <c r="CG46" i="90"/>
  <c r="AX47" i="79"/>
  <c r="AX47" i="92"/>
  <c r="AX47" i="91"/>
  <c r="AX47" i="90"/>
  <c r="CB47" i="79"/>
  <c r="CB47" i="92"/>
  <c r="CB47" i="91"/>
  <c r="CB47" i="90"/>
  <c r="AE48" i="79"/>
  <c r="AE48" i="92"/>
  <c r="AE48" i="91"/>
  <c r="AE48" i="90"/>
  <c r="BW48" i="79"/>
  <c r="BW48" i="92"/>
  <c r="BW48" i="91"/>
  <c r="BW48" i="90"/>
  <c r="CE48" i="79"/>
  <c r="CE48" i="92"/>
  <c r="CE48" i="91"/>
  <c r="CE48" i="90"/>
  <c r="AS49" i="79"/>
  <c r="AS49" i="92"/>
  <c r="AS49" i="91"/>
  <c r="AS49" i="90"/>
  <c r="BZ49" i="79"/>
  <c r="BZ49" i="92"/>
  <c r="BZ49" i="91"/>
  <c r="BZ49" i="90"/>
  <c r="CH49" i="79"/>
  <c r="CH49" i="92"/>
  <c r="CH49" i="91"/>
  <c r="CH49" i="90"/>
  <c r="BP50" i="79"/>
  <c r="BQ50" i="92"/>
  <c r="BP50" i="92"/>
  <c r="BP50" i="91"/>
  <c r="BQ50" i="91"/>
  <c r="BP50" i="90"/>
  <c r="BQ50" i="90"/>
  <c r="CC50" i="79"/>
  <c r="CC50" i="92"/>
  <c r="CC50" i="91"/>
  <c r="CC50" i="90"/>
  <c r="AF51" i="92"/>
  <c r="AG51" i="92"/>
  <c r="AH51" i="92"/>
  <c r="AF51" i="91"/>
  <c r="AH51" i="91"/>
  <c r="AG51" i="91"/>
  <c r="AH51" i="90"/>
  <c r="AG51" i="90"/>
  <c r="AF51" i="90"/>
  <c r="BX51" i="79"/>
  <c r="BX51" i="92"/>
  <c r="BX51" i="91"/>
  <c r="BX51" i="90"/>
  <c r="CF51" i="79"/>
  <c r="CF51" i="92"/>
  <c r="CF51" i="91"/>
  <c r="CF51" i="90"/>
  <c r="AW52" i="92"/>
  <c r="AV52" i="92"/>
  <c r="AU52" i="92"/>
  <c r="AV52" i="91"/>
  <c r="AU52" i="91"/>
  <c r="AW52" i="91"/>
  <c r="AV52" i="90"/>
  <c r="AU52" i="90"/>
  <c r="AW52" i="90"/>
  <c r="CA52" i="79"/>
  <c r="CA52" i="92"/>
  <c r="CA52" i="91"/>
  <c r="CA52" i="90"/>
  <c r="AC53" i="92"/>
  <c r="AB53" i="92"/>
  <c r="AD53" i="92"/>
  <c r="AC53" i="91"/>
  <c r="AB53" i="91"/>
  <c r="AD53" i="91"/>
  <c r="AB53" i="90"/>
  <c r="AD53" i="90"/>
  <c r="AC53" i="90"/>
  <c r="BV53" i="79"/>
  <c r="BV53" i="92"/>
  <c r="BV53" i="91"/>
  <c r="BV53" i="90"/>
  <c r="CD53" i="79"/>
  <c r="CD53" i="92"/>
  <c r="CD53" i="91"/>
  <c r="CD53" i="90"/>
  <c r="AR54" i="92"/>
  <c r="AQ54" i="92"/>
  <c r="AP54" i="92"/>
  <c r="AQ54" i="91"/>
  <c r="AP54" i="91"/>
  <c r="AR54" i="91"/>
  <c r="AQ54" i="90"/>
  <c r="AP54" i="90"/>
  <c r="AR54" i="90"/>
  <c r="BY54" i="79"/>
  <c r="BY54" i="92"/>
  <c r="BY54" i="91"/>
  <c r="BY54" i="90"/>
  <c r="CG54" i="79"/>
  <c r="CG54" i="92"/>
  <c r="CG54" i="91"/>
  <c r="CG54" i="90"/>
  <c r="AX55" i="79"/>
  <c r="AX55" i="92"/>
  <c r="AX55" i="91"/>
  <c r="AX55" i="90"/>
  <c r="CB55" i="79"/>
  <c r="CB55" i="92"/>
  <c r="CB55" i="91"/>
  <c r="CB55" i="90"/>
  <c r="AE56" i="79"/>
  <c r="AE56" i="92"/>
  <c r="AE56" i="91"/>
  <c r="AE56" i="90"/>
  <c r="BW56" i="79"/>
  <c r="BW56" i="92"/>
  <c r="BW56" i="91"/>
  <c r="BW56" i="90"/>
  <c r="CE56" i="79"/>
  <c r="CE56" i="92"/>
  <c r="CE56" i="91"/>
  <c r="CE56" i="90"/>
  <c r="AS57" i="79"/>
  <c r="AS57" i="92"/>
  <c r="AS57" i="91"/>
  <c r="AS57" i="90"/>
  <c r="BZ57" i="79"/>
  <c r="BZ57" i="92"/>
  <c r="BZ57" i="91"/>
  <c r="BZ57" i="90"/>
  <c r="CH57" i="79"/>
  <c r="CH57" i="92"/>
  <c r="CH57" i="91"/>
  <c r="CH57" i="90"/>
  <c r="BP58" i="79"/>
  <c r="BQ58" i="92"/>
  <c r="BP58" i="92"/>
  <c r="BQ58" i="91"/>
  <c r="BP58" i="91"/>
  <c r="BQ58" i="90"/>
  <c r="BP58" i="90"/>
  <c r="CC58" i="79"/>
  <c r="CC58" i="92"/>
  <c r="CC58" i="91"/>
  <c r="CC58" i="90"/>
  <c r="AH59" i="92"/>
  <c r="AG59" i="92"/>
  <c r="AF59" i="92"/>
  <c r="AG59" i="91"/>
  <c r="AF59" i="91"/>
  <c r="AH59" i="91"/>
  <c r="AF59" i="90"/>
  <c r="AH59" i="90"/>
  <c r="AG59" i="90"/>
  <c r="BX59" i="79"/>
  <c r="BX59" i="92"/>
  <c r="BX59" i="91"/>
  <c r="BX59" i="90"/>
  <c r="CF59" i="79"/>
  <c r="CF59" i="92"/>
  <c r="CF59" i="91"/>
  <c r="CF59" i="90"/>
  <c r="AW60" i="92"/>
  <c r="AV60" i="92"/>
  <c r="AU60" i="92"/>
  <c r="AV60" i="91"/>
  <c r="AU60" i="91"/>
  <c r="AW60" i="91"/>
  <c r="AU60" i="90"/>
  <c r="AV60" i="90"/>
  <c r="AW60" i="90"/>
  <c r="CA60" i="79"/>
  <c r="CA60" i="92"/>
  <c r="CA60" i="91"/>
  <c r="CA60" i="90"/>
  <c r="AD61" i="92"/>
  <c r="AC61" i="92"/>
  <c r="AB61" i="92"/>
  <c r="AC61" i="91"/>
  <c r="AB61" i="91"/>
  <c r="AD61" i="91"/>
  <c r="AD61" i="90"/>
  <c r="AC61" i="90"/>
  <c r="AB61" i="90"/>
  <c r="BV61" i="79"/>
  <c r="BV61" i="92"/>
  <c r="BV61" i="91"/>
  <c r="BV61" i="90"/>
  <c r="CD61" i="79"/>
  <c r="CD61" i="92"/>
  <c r="CD61" i="91"/>
  <c r="CD61" i="90"/>
  <c r="AR62" i="92"/>
  <c r="AQ62" i="92"/>
  <c r="AP62" i="92"/>
  <c r="AQ62" i="91"/>
  <c r="AP62" i="91"/>
  <c r="AR62" i="91"/>
  <c r="AP62" i="90"/>
  <c r="AQ62" i="90"/>
  <c r="AR62" i="90"/>
  <c r="BY62" i="79"/>
  <c r="BY62" i="92"/>
  <c r="BY62" i="91"/>
  <c r="BY62" i="90"/>
  <c r="CG62" i="79"/>
  <c r="CG62" i="92"/>
  <c r="CG62" i="91"/>
  <c r="CG62" i="90"/>
  <c r="AX63" i="79"/>
  <c r="AX63" i="92"/>
  <c r="AX63" i="91"/>
  <c r="AX63" i="90"/>
  <c r="CB63" i="79"/>
  <c r="CB63" i="92"/>
  <c r="CB63" i="91"/>
  <c r="CB63" i="90"/>
  <c r="AE64" i="79"/>
  <c r="AE64" i="92"/>
  <c r="AE64" i="91"/>
  <c r="AE64" i="90"/>
  <c r="BW64" i="79"/>
  <c r="BW64" i="92"/>
  <c r="BW64" i="91"/>
  <c r="BW64" i="90"/>
  <c r="CE64" i="79"/>
  <c r="CE64" i="92"/>
  <c r="CE64" i="91"/>
  <c r="CE64" i="90"/>
  <c r="AS65" i="79"/>
  <c r="AS65" i="92"/>
  <c r="AS65" i="91"/>
  <c r="AS65" i="90"/>
  <c r="BZ65" i="79"/>
  <c r="BZ65" i="92"/>
  <c r="BZ65" i="91"/>
  <c r="BZ65" i="90"/>
  <c r="CH65" i="79"/>
  <c r="CH65" i="92"/>
  <c r="CH65" i="91"/>
  <c r="CH65" i="90"/>
  <c r="BP66" i="79"/>
  <c r="BQ66" i="92"/>
  <c r="BP66" i="92"/>
  <c r="BQ66" i="91"/>
  <c r="BP66" i="91"/>
  <c r="BQ66" i="90"/>
  <c r="BP66" i="90"/>
  <c r="CC66" i="79"/>
  <c r="CC66" i="92"/>
  <c r="CC66" i="91"/>
  <c r="CC66" i="90"/>
  <c r="AF67" i="92"/>
  <c r="AH67" i="92"/>
  <c r="AG67" i="92"/>
  <c r="AH67" i="91"/>
  <c r="AG67" i="91"/>
  <c r="AF67" i="91"/>
  <c r="AH67" i="90"/>
  <c r="AG67" i="90"/>
  <c r="AF67" i="90"/>
  <c r="BX67" i="79"/>
  <c r="BX67" i="92"/>
  <c r="BX67" i="91"/>
  <c r="BX67" i="90"/>
  <c r="CF67" i="79"/>
  <c r="CF67" i="92"/>
  <c r="CF67" i="91"/>
  <c r="CF67" i="90"/>
  <c r="AW68" i="92"/>
  <c r="AV68" i="92"/>
  <c r="AU68" i="92"/>
  <c r="AW68" i="91"/>
  <c r="AV68" i="91"/>
  <c r="AU68" i="91"/>
  <c r="AV68" i="90"/>
  <c r="AU68" i="90"/>
  <c r="AW68" i="90"/>
  <c r="CA68" i="79"/>
  <c r="CA68" i="92"/>
  <c r="CA68" i="91"/>
  <c r="CA68" i="90"/>
  <c r="AB69" i="92"/>
  <c r="AC69" i="92"/>
  <c r="AD69" i="92"/>
  <c r="AD69" i="91"/>
  <c r="AC69" i="91"/>
  <c r="AB69" i="91"/>
  <c r="AD69" i="90"/>
  <c r="AC69" i="90"/>
  <c r="AB69" i="90"/>
  <c r="BV69" i="79"/>
  <c r="BV69" i="92"/>
  <c r="BV69" i="91"/>
  <c r="BV69" i="90"/>
  <c r="CD69" i="79"/>
  <c r="CD69" i="92"/>
  <c r="CD69" i="91"/>
  <c r="CD69" i="90"/>
  <c r="BY70" i="79"/>
  <c r="BY70" i="92"/>
  <c r="BY70" i="91"/>
  <c r="BY70" i="90"/>
  <c r="CG70" i="79"/>
  <c r="CG70" i="92"/>
  <c r="CG70" i="91"/>
  <c r="CG70" i="90"/>
  <c r="AX71" i="79"/>
  <c r="AX71" i="92"/>
  <c r="AX71" i="91"/>
  <c r="AX71" i="90"/>
  <c r="CB71" i="79"/>
  <c r="CB71" i="92"/>
  <c r="CB71" i="91"/>
  <c r="CB71" i="90"/>
  <c r="AE72" i="79"/>
  <c r="AE72" i="92"/>
  <c r="AE72" i="91"/>
  <c r="AE72" i="90"/>
  <c r="BW72" i="79"/>
  <c r="BW72" i="92"/>
  <c r="BW72" i="91"/>
  <c r="BW72" i="90"/>
  <c r="CE72" i="79"/>
  <c r="CE72" i="92"/>
  <c r="CE72" i="91"/>
  <c r="CE72" i="90"/>
  <c r="AS73" i="79"/>
  <c r="AS73" i="92"/>
  <c r="AS73" i="91"/>
  <c r="AS73" i="90"/>
  <c r="BZ73" i="79"/>
  <c r="BZ73" i="92"/>
  <c r="BZ73" i="91"/>
  <c r="BZ73" i="90"/>
  <c r="CH73" i="79"/>
  <c r="CH73" i="92"/>
  <c r="CH73" i="91"/>
  <c r="CH73" i="90"/>
  <c r="BP74" i="79"/>
  <c r="BQ74" i="92"/>
  <c r="BP74" i="92"/>
  <c r="BQ74" i="91"/>
  <c r="BP74" i="91"/>
  <c r="BQ74" i="90"/>
  <c r="BP74" i="90"/>
  <c r="CC74" i="79"/>
  <c r="CC74" i="92"/>
  <c r="CC74" i="91"/>
  <c r="CC74" i="90"/>
  <c r="AG75" i="92"/>
  <c r="AF75" i="92"/>
  <c r="AH75" i="92"/>
  <c r="AF75" i="91"/>
  <c r="AH75" i="91"/>
  <c r="AG75" i="91"/>
  <c r="AH75" i="90"/>
  <c r="AF75" i="90"/>
  <c r="AG75" i="90"/>
  <c r="BX75" i="79"/>
  <c r="BX75" i="92"/>
  <c r="BX75" i="91"/>
  <c r="BX75" i="90"/>
  <c r="CF75" i="79"/>
  <c r="CF75" i="92"/>
  <c r="CF75" i="91"/>
  <c r="CF75" i="90"/>
  <c r="AU76" i="92"/>
  <c r="AW76" i="92"/>
  <c r="AV76" i="92"/>
  <c r="AW76" i="91"/>
  <c r="AV76" i="91"/>
  <c r="AU76" i="91"/>
  <c r="AW76" i="90"/>
  <c r="AV76" i="90"/>
  <c r="AU76" i="90"/>
  <c r="CA76" i="79"/>
  <c r="CA76" i="92"/>
  <c r="CA76" i="91"/>
  <c r="CA76" i="90"/>
  <c r="AB77" i="92"/>
  <c r="AD77" i="92"/>
  <c r="AC77" i="92"/>
  <c r="AB77" i="91"/>
  <c r="AD77" i="91"/>
  <c r="AC77" i="91"/>
  <c r="AD77" i="90"/>
  <c r="AB77" i="90"/>
  <c r="AC77" i="90"/>
  <c r="BV77" i="79"/>
  <c r="BV77" i="92"/>
  <c r="BV77" i="91"/>
  <c r="BV77" i="90"/>
  <c r="CD77" i="79"/>
  <c r="CD77" i="92"/>
  <c r="CD77" i="91"/>
  <c r="CD77" i="90"/>
  <c r="AP78" i="92"/>
  <c r="AR78" i="92"/>
  <c r="AQ78" i="92"/>
  <c r="AR78" i="91"/>
  <c r="AQ78" i="91"/>
  <c r="AP78" i="91"/>
  <c r="AR78" i="90"/>
  <c r="AQ78" i="90"/>
  <c r="AP78" i="90"/>
  <c r="BY78" i="79"/>
  <c r="BY78" i="92"/>
  <c r="BY78" i="91"/>
  <c r="BY78" i="90"/>
  <c r="CG78" i="79"/>
  <c r="CG78" i="92"/>
  <c r="CG78" i="91"/>
  <c r="CG78" i="90"/>
  <c r="AX79" i="79"/>
  <c r="AX79" i="92"/>
  <c r="AX79" i="91"/>
  <c r="AX79" i="90"/>
  <c r="CB79" i="79"/>
  <c r="CB79" i="92"/>
  <c r="CB79" i="91"/>
  <c r="CB79" i="90"/>
  <c r="AE80" i="79"/>
  <c r="AE80" i="92"/>
  <c r="AE80" i="91"/>
  <c r="AE80" i="90"/>
  <c r="BW80" i="79"/>
  <c r="BW80" i="92"/>
  <c r="BW80" i="91"/>
  <c r="BW80" i="90"/>
  <c r="CE80" i="79"/>
  <c r="CE80" i="92"/>
  <c r="CE80" i="91"/>
  <c r="CE80" i="90"/>
  <c r="AS81" i="79"/>
  <c r="AS81" i="92"/>
  <c r="AS81" i="91"/>
  <c r="AS81" i="90"/>
  <c r="BZ81" i="79"/>
  <c r="BZ81" i="92"/>
  <c r="BZ81" i="91"/>
  <c r="BZ81" i="90"/>
  <c r="CH81" i="79"/>
  <c r="CH81" i="92"/>
  <c r="CH81" i="91"/>
  <c r="CH81" i="90"/>
  <c r="BP82" i="79"/>
  <c r="BP82" i="92"/>
  <c r="BQ82" i="92"/>
  <c r="BQ82" i="91"/>
  <c r="BP82" i="91"/>
  <c r="BQ82" i="90"/>
  <c r="BP82" i="90"/>
  <c r="CC82" i="79"/>
  <c r="CC82" i="92"/>
  <c r="CC82" i="91"/>
  <c r="CC82" i="90"/>
  <c r="AH83" i="92"/>
  <c r="AF83" i="92"/>
  <c r="AG83" i="92"/>
  <c r="AG83" i="91"/>
  <c r="AF83" i="91"/>
  <c r="AH83" i="91"/>
  <c r="AH83" i="90"/>
  <c r="AF83" i="90"/>
  <c r="AG83" i="90"/>
  <c r="BX83" i="79"/>
  <c r="BX83" i="92"/>
  <c r="BX83" i="91"/>
  <c r="BX83" i="90"/>
  <c r="CF83" i="79"/>
  <c r="CF83" i="92"/>
  <c r="CF83" i="91"/>
  <c r="CF83" i="90"/>
  <c r="AU84" i="92"/>
  <c r="AW84" i="92"/>
  <c r="AV84" i="92"/>
  <c r="AW84" i="91"/>
  <c r="AV84" i="91"/>
  <c r="AU84" i="91"/>
  <c r="AW84" i="90"/>
  <c r="AV84" i="90"/>
  <c r="AU84" i="90"/>
  <c r="CA84" i="79"/>
  <c r="CA84" i="92"/>
  <c r="CA84" i="91"/>
  <c r="CA84" i="90"/>
  <c r="AD85" i="92"/>
  <c r="AB85" i="92"/>
  <c r="AC85" i="92"/>
  <c r="AC85" i="91"/>
  <c r="AB85" i="91"/>
  <c r="AD85" i="91"/>
  <c r="AD85" i="90"/>
  <c r="AB85" i="90"/>
  <c r="AC85" i="90"/>
  <c r="BV85" i="79"/>
  <c r="BV85" i="92"/>
  <c r="BV85" i="91"/>
  <c r="BV85" i="90"/>
  <c r="CD85" i="79"/>
  <c r="CD85" i="92"/>
  <c r="CD85" i="91"/>
  <c r="CD85" i="90"/>
  <c r="BY86" i="79"/>
  <c r="BY86" i="92"/>
  <c r="BY86" i="91"/>
  <c r="BY86" i="90"/>
  <c r="CG86" i="79"/>
  <c r="CG86" i="92"/>
  <c r="CG86" i="91"/>
  <c r="CG86" i="90"/>
  <c r="AX87" i="79"/>
  <c r="AX87" i="92"/>
  <c r="AX87" i="91"/>
  <c r="AX87" i="90"/>
  <c r="CB87" i="79"/>
  <c r="CB87" i="92"/>
  <c r="CB87" i="91"/>
  <c r="CB87" i="90"/>
  <c r="AE88" i="79"/>
  <c r="AE88" i="92"/>
  <c r="AE88" i="91"/>
  <c r="AE88" i="90"/>
  <c r="BW88" i="79"/>
  <c r="BW88" i="92"/>
  <c r="BW88" i="91"/>
  <c r="BW88" i="90"/>
  <c r="CE88" i="79"/>
  <c r="CE88" i="92"/>
  <c r="CE88" i="91"/>
  <c r="CE88" i="90"/>
  <c r="AS89" i="79"/>
  <c r="AS89" i="92"/>
  <c r="AS89" i="91"/>
  <c r="AS89" i="90"/>
  <c r="BZ89" i="79"/>
  <c r="BZ89" i="92"/>
  <c r="BZ89" i="91"/>
  <c r="BZ89" i="90"/>
  <c r="CH89" i="79"/>
  <c r="CH89" i="92"/>
  <c r="CH89" i="91"/>
  <c r="CH89" i="90"/>
  <c r="CC90" i="79"/>
  <c r="CC90" i="92"/>
  <c r="CC90" i="91"/>
  <c r="CC90" i="90"/>
  <c r="AH91" i="92"/>
  <c r="AG91" i="92"/>
  <c r="AF91" i="92"/>
  <c r="AG91" i="91"/>
  <c r="AF91" i="91"/>
  <c r="AH91" i="91"/>
  <c r="AH91" i="90"/>
  <c r="AG91" i="90"/>
  <c r="AF91" i="90"/>
  <c r="BX91" i="79"/>
  <c r="BX91" i="92"/>
  <c r="BX91" i="91"/>
  <c r="BX91" i="90"/>
  <c r="CF91" i="79"/>
  <c r="CF91" i="92"/>
  <c r="CF91" i="91"/>
  <c r="CF91" i="90"/>
  <c r="CA92" i="79"/>
  <c r="CA92" i="92"/>
  <c r="CA92" i="91"/>
  <c r="CA92" i="90"/>
  <c r="AD93" i="92"/>
  <c r="AC93" i="92"/>
  <c r="AB93" i="92"/>
  <c r="AD93" i="91"/>
  <c r="AC93" i="91"/>
  <c r="AB93" i="91"/>
  <c r="AD93" i="90"/>
  <c r="AC93" i="90"/>
  <c r="AB93" i="90"/>
  <c r="BV93" i="79"/>
  <c r="BV93" i="92"/>
  <c r="BV93" i="91"/>
  <c r="BV93" i="90"/>
  <c r="CD93" i="79"/>
  <c r="CD93" i="92"/>
  <c r="CD93" i="91"/>
  <c r="CD93" i="90"/>
  <c r="AR94" i="92"/>
  <c r="AQ94" i="92"/>
  <c r="AP94" i="92"/>
  <c r="AR94" i="91"/>
  <c r="AQ94" i="91"/>
  <c r="AP94" i="91"/>
  <c r="AP94" i="90"/>
  <c r="AQ94" i="90"/>
  <c r="AR94" i="90"/>
  <c r="BY94" i="79"/>
  <c r="BY94" i="92"/>
  <c r="BY94" i="91"/>
  <c r="BY94" i="90"/>
  <c r="CG94" i="79"/>
  <c r="CG94" i="92"/>
  <c r="CG94" i="91"/>
  <c r="CG94" i="90"/>
  <c r="AX95" i="79"/>
  <c r="AX95" i="92"/>
  <c r="AX95" i="91"/>
  <c r="AX95" i="90"/>
  <c r="CB95" i="79"/>
  <c r="CB95" i="92"/>
  <c r="CB95" i="91"/>
  <c r="CB95" i="90"/>
  <c r="AE96" i="79"/>
  <c r="AE96" i="92"/>
  <c r="AE96" i="91"/>
  <c r="AE96" i="90"/>
  <c r="BW96" i="79"/>
  <c r="BW96" i="92"/>
  <c r="BW96" i="91"/>
  <c r="BW96" i="90"/>
  <c r="CE96" i="79"/>
  <c r="CE96" i="92"/>
  <c r="CE96" i="91"/>
  <c r="CE96" i="90"/>
  <c r="AS97" i="79"/>
  <c r="AS97" i="92"/>
  <c r="AS97" i="91"/>
  <c r="AS97" i="90"/>
  <c r="BZ97" i="79"/>
  <c r="BZ97" i="92"/>
  <c r="BZ97" i="91"/>
  <c r="BZ97" i="90"/>
  <c r="CH97" i="79"/>
  <c r="CH97" i="92"/>
  <c r="CH97" i="91"/>
  <c r="CH97" i="90"/>
  <c r="BQ98" i="79"/>
  <c r="BQ98" i="92"/>
  <c r="BP98" i="92"/>
  <c r="BQ98" i="91"/>
  <c r="BP98" i="91"/>
  <c r="BP98" i="90"/>
  <c r="BQ98" i="90"/>
  <c r="CC98" i="79"/>
  <c r="CC98" i="92"/>
  <c r="CC98" i="91"/>
  <c r="CC98" i="90"/>
  <c r="BX99" i="79"/>
  <c r="BX99" i="92"/>
  <c r="BX99" i="91"/>
  <c r="BX99" i="90"/>
  <c r="CF99" i="79"/>
  <c r="CF99" i="92"/>
  <c r="CF99" i="91"/>
  <c r="CF99" i="90"/>
  <c r="CA100" i="79"/>
  <c r="CA100" i="92"/>
  <c r="CA100" i="91"/>
  <c r="CA100" i="90"/>
  <c r="BV101" i="79"/>
  <c r="BV101" i="92"/>
  <c r="BV101" i="91"/>
  <c r="BV101" i="90"/>
  <c r="CD101" i="79"/>
  <c r="CD101" i="92"/>
  <c r="CD101" i="91"/>
  <c r="CD101" i="90"/>
  <c r="BY102" i="79"/>
  <c r="BY102" i="92"/>
  <c r="BY102" i="91"/>
  <c r="BY102" i="90"/>
  <c r="CG102" i="79"/>
  <c r="CG102" i="92"/>
  <c r="CG102" i="91"/>
  <c r="CG102" i="90"/>
  <c r="AX103" i="79"/>
  <c r="AX103" i="92"/>
  <c r="AX103" i="91"/>
  <c r="AX103" i="90"/>
  <c r="CB103" i="79"/>
  <c r="CB103" i="92"/>
  <c r="CB103" i="91"/>
  <c r="CB103" i="90"/>
  <c r="AE104" i="79"/>
  <c r="AE104" i="92"/>
  <c r="AE104" i="91"/>
  <c r="AE104" i="90"/>
  <c r="BW104" i="79"/>
  <c r="BW104" i="92"/>
  <c r="BW104" i="91"/>
  <c r="BW104" i="90"/>
  <c r="CE104" i="79"/>
  <c r="CE104" i="92"/>
  <c r="CE104" i="91"/>
  <c r="CE104" i="90"/>
  <c r="AS105" i="79"/>
  <c r="AS105" i="92"/>
  <c r="AS105" i="91"/>
  <c r="AS105" i="90"/>
  <c r="BZ105" i="79"/>
  <c r="BZ105" i="92"/>
  <c r="BZ105" i="91"/>
  <c r="BZ105" i="90"/>
  <c r="CH105" i="79"/>
  <c r="CH105" i="92"/>
  <c r="CH105" i="91"/>
  <c r="CH105" i="90"/>
  <c r="BQ106" i="79"/>
  <c r="BQ106" i="92"/>
  <c r="BP106" i="92"/>
  <c r="BQ106" i="91"/>
  <c r="BP106" i="91"/>
  <c r="BP106" i="90"/>
  <c r="BQ106" i="90"/>
  <c r="CC106" i="79"/>
  <c r="CC106" i="92"/>
  <c r="CC106" i="91"/>
  <c r="CC106" i="90"/>
  <c r="BX107" i="79"/>
  <c r="BX107" i="92"/>
  <c r="BX107" i="91"/>
  <c r="BX107" i="90"/>
  <c r="CF107" i="79"/>
  <c r="CF107" i="92"/>
  <c r="CF107" i="91"/>
  <c r="CF107" i="90"/>
  <c r="CA108" i="79"/>
  <c r="CA108" i="92"/>
  <c r="CA108" i="91"/>
  <c r="CA108" i="90"/>
  <c r="BV109" i="79"/>
  <c r="BV109" i="92"/>
  <c r="BV109" i="91"/>
  <c r="BV109" i="90"/>
  <c r="CD109" i="79"/>
  <c r="CD109" i="92"/>
  <c r="CD109" i="91"/>
  <c r="CD109" i="90"/>
  <c r="BY110" i="79"/>
  <c r="BY110" i="92"/>
  <c r="BY110" i="91"/>
  <c r="BY110" i="90"/>
  <c r="CG110" i="79"/>
  <c r="CG110" i="92"/>
  <c r="CG110" i="91"/>
  <c r="CG110" i="90"/>
  <c r="AX111" i="79"/>
  <c r="AX111" i="92"/>
  <c r="AX111" i="91"/>
  <c r="AX111" i="90"/>
  <c r="CB111" i="79"/>
  <c r="CB111" i="92"/>
  <c r="CB111" i="91"/>
  <c r="CB111" i="90"/>
  <c r="AE112" i="79"/>
  <c r="AE112" i="92"/>
  <c r="AE112" i="91"/>
  <c r="AE112" i="90"/>
  <c r="BW112" i="79"/>
  <c r="BW112" i="92"/>
  <c r="BW112" i="91"/>
  <c r="BW112" i="90"/>
  <c r="CE112" i="79"/>
  <c r="CE112" i="92"/>
  <c r="CE112" i="91"/>
  <c r="CE112" i="90"/>
  <c r="AS113" i="79"/>
  <c r="AS113" i="92"/>
  <c r="AS113" i="91"/>
  <c r="AS113" i="90"/>
  <c r="BZ113" i="79"/>
  <c r="BZ113" i="92"/>
  <c r="BZ113" i="91"/>
  <c r="BZ113" i="90"/>
  <c r="CH113" i="79"/>
  <c r="CH113" i="92"/>
  <c r="CH113" i="91"/>
  <c r="CH113" i="90"/>
  <c r="BQ114" i="79"/>
  <c r="BQ114" i="92"/>
  <c r="BP114" i="92"/>
  <c r="BQ114" i="91"/>
  <c r="BP114" i="91"/>
  <c r="BP114" i="90"/>
  <c r="BQ114" i="90"/>
  <c r="CC114" i="79"/>
  <c r="CC114" i="92"/>
  <c r="CC114" i="91"/>
  <c r="CC114" i="90"/>
  <c r="AG115" i="92"/>
  <c r="AF115" i="92"/>
  <c r="AH115" i="92"/>
  <c r="AG115" i="91"/>
  <c r="AF115" i="91"/>
  <c r="AH115" i="91"/>
  <c r="AH115" i="90"/>
  <c r="AG115" i="90"/>
  <c r="AF115" i="90"/>
  <c r="BX115" i="79"/>
  <c r="BX115" i="92"/>
  <c r="BX115" i="91"/>
  <c r="BX115" i="90"/>
  <c r="CF115" i="79"/>
  <c r="CF115" i="92"/>
  <c r="CF115" i="91"/>
  <c r="CF115" i="90"/>
  <c r="AV116" i="92"/>
  <c r="AU116" i="92"/>
  <c r="AW116" i="92"/>
  <c r="AV116" i="91"/>
  <c r="AW116" i="91"/>
  <c r="AU116" i="91"/>
  <c r="AU116" i="90"/>
  <c r="AV116" i="90"/>
  <c r="AW116" i="90"/>
  <c r="CA116" i="79"/>
  <c r="CA116" i="92"/>
  <c r="CA116" i="91"/>
  <c r="CA116" i="90"/>
  <c r="AC117" i="92"/>
  <c r="AB117" i="92"/>
  <c r="AD117" i="92"/>
  <c r="AC117" i="91"/>
  <c r="AB117" i="91"/>
  <c r="AD117" i="91"/>
  <c r="AD117" i="90"/>
  <c r="AC117" i="90"/>
  <c r="AB117" i="90"/>
  <c r="BV117" i="79"/>
  <c r="BV117" i="92"/>
  <c r="BV117" i="91"/>
  <c r="BV117" i="90"/>
  <c r="CD117" i="79"/>
  <c r="CD117" i="92"/>
  <c r="CD117" i="91"/>
  <c r="CD117" i="90"/>
  <c r="BY118" i="79"/>
  <c r="BY118" i="92"/>
  <c r="BY118" i="91"/>
  <c r="BY118" i="90"/>
  <c r="CG118" i="79"/>
  <c r="CG118" i="92"/>
  <c r="CG118" i="91"/>
  <c r="CG118" i="90"/>
  <c r="AX119" i="79"/>
  <c r="AX119" i="92"/>
  <c r="AX119" i="91"/>
  <c r="AX119" i="90"/>
  <c r="CB119" i="79"/>
  <c r="CB119" i="92"/>
  <c r="CB119" i="91"/>
  <c r="CB119" i="90"/>
  <c r="AE120" i="79"/>
  <c r="AE120" i="92"/>
  <c r="AE120" i="91"/>
  <c r="AE120" i="90"/>
  <c r="BW120" i="79"/>
  <c r="BW120" i="92"/>
  <c r="BW120" i="91"/>
  <c r="BW120" i="90"/>
  <c r="CE120" i="79"/>
  <c r="CE120" i="92"/>
  <c r="CE120" i="91"/>
  <c r="CE120" i="90"/>
  <c r="AS121" i="79"/>
  <c r="AS121" i="92"/>
  <c r="AS121" i="91"/>
  <c r="AS121" i="90"/>
  <c r="BZ121" i="79"/>
  <c r="BZ121" i="92"/>
  <c r="BZ121" i="91"/>
  <c r="BZ121" i="90"/>
  <c r="CH121" i="79"/>
  <c r="CH121" i="92"/>
  <c r="CH121" i="91"/>
  <c r="CH121" i="90"/>
  <c r="BQ122" i="79"/>
  <c r="BQ122" i="92"/>
  <c r="BP122" i="92"/>
  <c r="BP122" i="91"/>
  <c r="BQ122" i="91"/>
  <c r="BQ122" i="90"/>
  <c r="BP122" i="90"/>
  <c r="CC122" i="79"/>
  <c r="CC122" i="92"/>
  <c r="CC122" i="91"/>
  <c r="CC122" i="90"/>
  <c r="AG123" i="92"/>
  <c r="AF123" i="92"/>
  <c r="AH123" i="92"/>
  <c r="AG123" i="91"/>
  <c r="AF123" i="91"/>
  <c r="AH123" i="91"/>
  <c r="AF123" i="90"/>
  <c r="AG123" i="90"/>
  <c r="AH123" i="90"/>
  <c r="BX123" i="79"/>
  <c r="BX123" i="92"/>
  <c r="BX123" i="91"/>
  <c r="BX123" i="90"/>
  <c r="CF123" i="79"/>
  <c r="CF123" i="92"/>
  <c r="CF123" i="91"/>
  <c r="CF123" i="90"/>
  <c r="CA124" i="79"/>
  <c r="CA124" i="92"/>
  <c r="CA124" i="91"/>
  <c r="CA124" i="90"/>
  <c r="BV125" i="79"/>
  <c r="BV125" i="92"/>
  <c r="BV125" i="91"/>
  <c r="BV125" i="90"/>
  <c r="CD125" i="79"/>
  <c r="CD125" i="92"/>
  <c r="CD125" i="91"/>
  <c r="CD125" i="90"/>
  <c r="AR126" i="92"/>
  <c r="AP126" i="92"/>
  <c r="AQ126" i="92"/>
  <c r="AR126" i="91"/>
  <c r="AP126" i="91"/>
  <c r="AQ126" i="91"/>
  <c r="AR126" i="90"/>
  <c r="AQ126" i="90"/>
  <c r="AP126" i="90"/>
  <c r="BY126" i="79"/>
  <c r="BY126" i="92"/>
  <c r="BY126" i="91"/>
  <c r="BY126" i="90"/>
  <c r="CG126" i="79"/>
  <c r="CG126" i="92"/>
  <c r="CG126" i="91"/>
  <c r="CG126" i="90"/>
  <c r="AX127" i="79"/>
  <c r="AX127" i="92"/>
  <c r="AX127" i="91"/>
  <c r="AX127" i="90"/>
  <c r="CB127" i="79"/>
  <c r="CB127" i="92"/>
  <c r="CB127" i="91"/>
  <c r="CB127" i="90"/>
  <c r="AE128" i="79"/>
  <c r="AE128" i="92"/>
  <c r="AE128" i="91"/>
  <c r="AE128" i="90"/>
  <c r="BW128" i="79"/>
  <c r="BW128" i="92"/>
  <c r="BW128" i="91"/>
  <c r="BW128" i="90"/>
  <c r="CE128" i="79"/>
  <c r="CE128" i="92"/>
  <c r="CE128" i="91"/>
  <c r="CE128" i="90"/>
  <c r="AS129" i="79"/>
  <c r="AS129" i="92"/>
  <c r="AS129" i="91"/>
  <c r="AS129" i="90"/>
  <c r="BZ129" i="79"/>
  <c r="BZ129" i="92"/>
  <c r="BZ129" i="91"/>
  <c r="BZ129" i="90"/>
  <c r="CH129" i="79"/>
  <c r="CH129" i="92"/>
  <c r="CH129" i="91"/>
  <c r="CH129" i="90"/>
  <c r="BQ130" i="79"/>
  <c r="BQ130" i="92"/>
  <c r="BP130" i="92"/>
  <c r="BP130" i="91"/>
  <c r="BQ130" i="91"/>
  <c r="BQ130" i="90"/>
  <c r="BP130" i="90"/>
  <c r="CC130" i="79"/>
  <c r="CC130" i="92"/>
  <c r="CC130" i="91"/>
  <c r="CC130" i="90"/>
  <c r="AF131" i="92"/>
  <c r="AH131" i="92"/>
  <c r="AG131" i="92"/>
  <c r="AH131" i="91"/>
  <c r="AG131" i="91"/>
  <c r="AF131" i="91"/>
  <c r="AG131" i="90"/>
  <c r="AF131" i="90"/>
  <c r="AH131" i="90"/>
  <c r="BX131" i="79"/>
  <c r="BX131" i="92"/>
  <c r="BX131" i="91"/>
  <c r="BX131" i="90"/>
  <c r="CF131" i="79"/>
  <c r="CF131" i="92"/>
  <c r="CF131" i="91"/>
  <c r="CF131" i="90"/>
  <c r="AW132" i="92"/>
  <c r="AV132" i="92"/>
  <c r="AU132" i="92"/>
  <c r="AW132" i="91"/>
  <c r="AU132" i="91"/>
  <c r="AV132" i="91"/>
  <c r="AW132" i="90"/>
  <c r="AV132" i="90"/>
  <c r="AU132" i="90"/>
  <c r="CA132" i="79"/>
  <c r="CA132" i="92"/>
  <c r="CA132" i="91"/>
  <c r="CA132" i="90"/>
  <c r="AB133" i="92"/>
  <c r="AD133" i="92"/>
  <c r="AC133" i="92"/>
  <c r="AD133" i="91"/>
  <c r="AC133" i="91"/>
  <c r="AB133" i="91"/>
  <c r="AC133" i="90"/>
  <c r="AB133" i="90"/>
  <c r="AD133" i="90"/>
  <c r="BV133" i="79"/>
  <c r="BV133" i="92"/>
  <c r="BV133" i="91"/>
  <c r="BV133" i="90"/>
  <c r="CD133" i="79"/>
  <c r="CD133" i="92"/>
  <c r="CD133" i="91"/>
  <c r="CD133" i="90"/>
  <c r="AR134" i="92"/>
  <c r="AQ134" i="92"/>
  <c r="AP134" i="92"/>
  <c r="AR134" i="91"/>
  <c r="AP134" i="91"/>
  <c r="AQ134" i="91"/>
  <c r="AR134" i="90"/>
  <c r="AQ134" i="90"/>
  <c r="AP134" i="90"/>
  <c r="BY134" i="79"/>
  <c r="BY134" i="92"/>
  <c r="BY134" i="91"/>
  <c r="BY134" i="90"/>
  <c r="CG134" i="79"/>
  <c r="CG134" i="92"/>
  <c r="CG134" i="91"/>
  <c r="CG134" i="90"/>
  <c r="AX135" i="79"/>
  <c r="AX135" i="92"/>
  <c r="AX135" i="91"/>
  <c r="AX135" i="90"/>
  <c r="CB135" i="79"/>
  <c r="CB135" i="92"/>
  <c r="CB135" i="91"/>
  <c r="CB135" i="90"/>
  <c r="AE136" i="79"/>
  <c r="AE136" i="92"/>
  <c r="AE136" i="91"/>
  <c r="AE136" i="90"/>
  <c r="BW136" i="79"/>
  <c r="BW136" i="92"/>
  <c r="BW136" i="91"/>
  <c r="BW136" i="90"/>
  <c r="CE136" i="79"/>
  <c r="CE136" i="92"/>
  <c r="CE136" i="91"/>
  <c r="CE136" i="90"/>
  <c r="AS137" i="79"/>
  <c r="AS137" i="92"/>
  <c r="AS137" i="91"/>
  <c r="AS137" i="90"/>
  <c r="BZ137" i="79"/>
  <c r="BZ137" i="92"/>
  <c r="BZ137" i="91"/>
  <c r="BZ137" i="90"/>
  <c r="CH137" i="79"/>
  <c r="CH137" i="92"/>
  <c r="CH137" i="91"/>
  <c r="CH137" i="90"/>
  <c r="CC138" i="79"/>
  <c r="CC138" i="92"/>
  <c r="CC138" i="91"/>
  <c r="CC138" i="90"/>
  <c r="AH139" i="92"/>
  <c r="AG139" i="92"/>
  <c r="AF139" i="92"/>
  <c r="AH139" i="91"/>
  <c r="AF139" i="91"/>
  <c r="AG139" i="91"/>
  <c r="AH139" i="90"/>
  <c r="AG139" i="90"/>
  <c r="AF139" i="90"/>
  <c r="BX139" i="79"/>
  <c r="BX139" i="92"/>
  <c r="BX139" i="91"/>
  <c r="BX139" i="90"/>
  <c r="CF139" i="79"/>
  <c r="CF139" i="92"/>
  <c r="CF139" i="91"/>
  <c r="CF139" i="90"/>
  <c r="AV140" i="92"/>
  <c r="AU140" i="92"/>
  <c r="AW140" i="92"/>
  <c r="AU140" i="91"/>
  <c r="AW140" i="91"/>
  <c r="AV140" i="91"/>
  <c r="AW140" i="90"/>
  <c r="AU140" i="90"/>
  <c r="AV140" i="90"/>
  <c r="CA140" i="79"/>
  <c r="CA140" i="92"/>
  <c r="CA140" i="91"/>
  <c r="CA140" i="90"/>
  <c r="AD141" i="92"/>
  <c r="AC141" i="92"/>
  <c r="AB141" i="92"/>
  <c r="AD141" i="91"/>
  <c r="AB141" i="91"/>
  <c r="AC141" i="91"/>
  <c r="AD141" i="90"/>
  <c r="AC141" i="90"/>
  <c r="AB141" i="90"/>
  <c r="BV141" i="79"/>
  <c r="BV141" i="92"/>
  <c r="BV141" i="91"/>
  <c r="BV141" i="90"/>
  <c r="CD141" i="79"/>
  <c r="CD141" i="92"/>
  <c r="CD141" i="91"/>
  <c r="CD141" i="90"/>
  <c r="BY142" i="79"/>
  <c r="BY142" i="92"/>
  <c r="BY142" i="91"/>
  <c r="BY142" i="90"/>
  <c r="CG142" i="79"/>
  <c r="CG142" i="92"/>
  <c r="CG142" i="91"/>
  <c r="CG142" i="90"/>
  <c r="AX143" i="79"/>
  <c r="AX143" i="92"/>
  <c r="AX143" i="91"/>
  <c r="AX143" i="90"/>
  <c r="CB143" i="79"/>
  <c r="CB143" i="92"/>
  <c r="CB143" i="91"/>
  <c r="CB143" i="90"/>
  <c r="AE144" i="79"/>
  <c r="AE144" i="92"/>
  <c r="AE144" i="91"/>
  <c r="AE144" i="90"/>
  <c r="BW144" i="79"/>
  <c r="BW144" i="92"/>
  <c r="BW144" i="91"/>
  <c r="BW144" i="90"/>
  <c r="CE144" i="79"/>
  <c r="CE144" i="92"/>
  <c r="CE144" i="91"/>
  <c r="CE144" i="90"/>
  <c r="AS145" i="79"/>
  <c r="AS145" i="92"/>
  <c r="AS145" i="91"/>
  <c r="AS145" i="90"/>
  <c r="BZ145" i="79"/>
  <c r="BZ145" i="92"/>
  <c r="BZ145" i="91"/>
  <c r="BZ145" i="90"/>
  <c r="CH145" i="79"/>
  <c r="CH145" i="92"/>
  <c r="CH145" i="91"/>
  <c r="CH145" i="90"/>
  <c r="BP146" i="79"/>
  <c r="BQ146" i="92"/>
  <c r="BP146" i="92"/>
  <c r="BP146" i="91"/>
  <c r="BQ146" i="91"/>
  <c r="BQ146" i="90"/>
  <c r="BP146" i="90"/>
  <c r="CC146" i="79"/>
  <c r="CC146" i="92"/>
  <c r="CC146" i="91"/>
  <c r="CC146" i="90"/>
  <c r="AH147" i="92"/>
  <c r="AG147" i="92"/>
  <c r="AF147" i="92"/>
  <c r="AH147" i="91"/>
  <c r="AF147" i="91"/>
  <c r="AG147" i="91"/>
  <c r="AF147" i="90"/>
  <c r="AG147" i="90"/>
  <c r="AH147" i="90"/>
  <c r="BX147" i="79"/>
  <c r="BX147" i="92"/>
  <c r="BX147" i="91"/>
  <c r="BX147" i="90"/>
  <c r="CF147" i="79"/>
  <c r="CF147" i="92"/>
  <c r="CF147" i="91"/>
  <c r="CF147" i="90"/>
  <c r="AW148" i="92"/>
  <c r="AU148" i="92"/>
  <c r="AV148" i="92"/>
  <c r="AV148" i="91"/>
  <c r="AU148" i="91"/>
  <c r="AW148" i="91"/>
  <c r="AW148" i="90"/>
  <c r="AV148" i="90"/>
  <c r="AU148" i="90"/>
  <c r="CA148" i="79"/>
  <c r="CA148" i="92"/>
  <c r="CA148" i="91"/>
  <c r="CA148" i="90"/>
  <c r="AD149" i="92"/>
  <c r="AC149" i="92"/>
  <c r="AB149" i="92"/>
  <c r="AB149" i="91"/>
  <c r="AD149" i="91"/>
  <c r="AC149" i="91"/>
  <c r="AB149" i="90"/>
  <c r="AC149" i="90"/>
  <c r="AD149" i="90"/>
  <c r="BV149" i="79"/>
  <c r="BV149" i="92"/>
  <c r="BV149" i="91"/>
  <c r="BV149" i="90"/>
  <c r="CD149" i="79"/>
  <c r="CD149" i="92"/>
  <c r="CD149" i="91"/>
  <c r="CD149" i="90"/>
  <c r="BY150" i="79"/>
  <c r="BY150" i="92"/>
  <c r="BY150" i="91"/>
  <c r="BY150" i="90"/>
  <c r="CG150" i="79"/>
  <c r="CG150" i="92"/>
  <c r="CG150" i="91"/>
  <c r="CG150" i="90"/>
  <c r="AX151" i="79"/>
  <c r="AX151" i="92"/>
  <c r="AX151" i="91"/>
  <c r="AX151" i="90"/>
  <c r="CB151" i="79"/>
  <c r="CB151" i="92"/>
  <c r="CB151" i="91"/>
  <c r="CB151" i="90"/>
  <c r="AE152" i="79"/>
  <c r="AE152" i="92"/>
  <c r="AE152" i="91"/>
  <c r="AE152" i="90"/>
  <c r="BW152" i="79"/>
  <c r="BW152" i="92"/>
  <c r="BW152" i="91"/>
  <c r="BW152" i="90"/>
  <c r="CE152" i="79"/>
  <c r="CE152" i="92"/>
  <c r="CE152" i="91"/>
  <c r="CE152" i="90"/>
  <c r="AS153" i="79"/>
  <c r="AS153" i="92"/>
  <c r="AS153" i="91"/>
  <c r="AS153" i="90"/>
  <c r="BZ153" i="79"/>
  <c r="BZ153" i="92"/>
  <c r="BZ153" i="91"/>
  <c r="BZ153" i="90"/>
  <c r="CH153" i="79"/>
  <c r="CH153" i="92"/>
  <c r="CH153" i="91"/>
  <c r="CH153" i="90"/>
  <c r="BP154" i="79"/>
  <c r="BQ154" i="92"/>
  <c r="BP154" i="92"/>
  <c r="BQ154" i="91"/>
  <c r="BP154" i="91"/>
  <c r="BQ154" i="90"/>
  <c r="BP154" i="90"/>
  <c r="CC154" i="79"/>
  <c r="CC154" i="92"/>
  <c r="CC154" i="91"/>
  <c r="CC154" i="90"/>
  <c r="AH155" i="92"/>
  <c r="AG155" i="92"/>
  <c r="AF155" i="92"/>
  <c r="AF155" i="91"/>
  <c r="AH155" i="91"/>
  <c r="AG155" i="91"/>
  <c r="AF155" i="90"/>
  <c r="AG155" i="90"/>
  <c r="AH155" i="90"/>
  <c r="BX155" i="79"/>
  <c r="BX155" i="92"/>
  <c r="BX155" i="91"/>
  <c r="BX155" i="90"/>
  <c r="CF155" i="79"/>
  <c r="CF155" i="92"/>
  <c r="CF155" i="91"/>
  <c r="CF155" i="90"/>
  <c r="AW156" i="92"/>
  <c r="AV156" i="92"/>
  <c r="AU156" i="92"/>
  <c r="AW156" i="91"/>
  <c r="AV156" i="91"/>
  <c r="AU156" i="91"/>
  <c r="AW156" i="90"/>
  <c r="AV156" i="90"/>
  <c r="AU156" i="90"/>
  <c r="CA156" i="79"/>
  <c r="CA156" i="92"/>
  <c r="CA156" i="91"/>
  <c r="CA156" i="90"/>
  <c r="AD157" i="92"/>
  <c r="AC157" i="92"/>
  <c r="AB157" i="92"/>
  <c r="AB157" i="91"/>
  <c r="AC157" i="91"/>
  <c r="AD157" i="91"/>
  <c r="AB157" i="90"/>
  <c r="AC157" i="90"/>
  <c r="AD157" i="90"/>
  <c r="BV157" i="79"/>
  <c r="BV157" i="92"/>
  <c r="BV157" i="91"/>
  <c r="BV157" i="90"/>
  <c r="CD157" i="79"/>
  <c r="CD157" i="92"/>
  <c r="CD157" i="91"/>
  <c r="CD157" i="90"/>
  <c r="AR158" i="92"/>
  <c r="AQ158" i="92"/>
  <c r="AP158" i="92"/>
  <c r="AR158" i="91"/>
  <c r="AQ158" i="91"/>
  <c r="AP158" i="91"/>
  <c r="AR158" i="90"/>
  <c r="AQ158" i="90"/>
  <c r="AP158" i="90"/>
  <c r="BY158" i="79"/>
  <c r="BY158" i="92"/>
  <c r="BY158" i="91"/>
  <c r="BY158" i="90"/>
  <c r="CG158" i="79"/>
  <c r="CG158" i="92"/>
  <c r="CG158" i="91"/>
  <c r="CG158" i="90"/>
  <c r="AX159" i="79"/>
  <c r="AX159" i="92"/>
  <c r="AX159" i="91"/>
  <c r="AX159" i="90"/>
  <c r="CB159" i="79"/>
  <c r="CB159" i="92"/>
  <c r="CB159" i="91"/>
  <c r="CB159" i="90"/>
  <c r="AE160" i="79"/>
  <c r="AE160" i="92"/>
  <c r="AE160" i="91"/>
  <c r="AE160" i="90"/>
  <c r="BW160" i="79"/>
  <c r="BW160" i="92"/>
  <c r="BW160" i="91"/>
  <c r="BW160" i="90"/>
  <c r="CE160" i="79"/>
  <c r="CE160" i="92"/>
  <c r="CE160" i="91"/>
  <c r="CE160" i="90"/>
  <c r="AS161" i="79"/>
  <c r="AS161" i="92"/>
  <c r="AS161" i="91"/>
  <c r="AS161" i="90"/>
  <c r="BZ161" i="79"/>
  <c r="BZ161" i="92"/>
  <c r="BZ161" i="91"/>
  <c r="BZ161" i="90"/>
  <c r="CH161" i="79"/>
  <c r="CH161" i="92"/>
  <c r="CH161" i="91"/>
  <c r="CH161" i="90"/>
  <c r="BP162" i="79"/>
  <c r="BQ162" i="92"/>
  <c r="BP162" i="92"/>
  <c r="BQ162" i="91"/>
  <c r="BP162" i="91"/>
  <c r="BQ162" i="90"/>
  <c r="BP162" i="90"/>
  <c r="CC162" i="79"/>
  <c r="CC162" i="92"/>
  <c r="CC162" i="91"/>
  <c r="CC162" i="90"/>
  <c r="AF163" i="92"/>
  <c r="AG163" i="92"/>
  <c r="AH163" i="92"/>
  <c r="AF163" i="91"/>
  <c r="AH163" i="91"/>
  <c r="AG163" i="91"/>
  <c r="AF163" i="90"/>
  <c r="AG163" i="90"/>
  <c r="AH163" i="90"/>
  <c r="BX163" i="79"/>
  <c r="BX163" i="92"/>
  <c r="BX163" i="91"/>
  <c r="BX163" i="90"/>
  <c r="CF163" i="79"/>
  <c r="CF163" i="92"/>
  <c r="CF163" i="91"/>
  <c r="CF163" i="90"/>
  <c r="AW164" i="92"/>
  <c r="AV164" i="92"/>
  <c r="AU164" i="92"/>
  <c r="AW164" i="91"/>
  <c r="AV164" i="91"/>
  <c r="AU164" i="91"/>
  <c r="AW164" i="90"/>
  <c r="AV164" i="90"/>
  <c r="AU164" i="90"/>
  <c r="CA164" i="79"/>
  <c r="CA164" i="92"/>
  <c r="CA164" i="91"/>
  <c r="CA164" i="90"/>
  <c r="AB165" i="92"/>
  <c r="AD165" i="92"/>
  <c r="AC165" i="92"/>
  <c r="AB165" i="91"/>
  <c r="AD165" i="91"/>
  <c r="AC165" i="91"/>
  <c r="AB165" i="90"/>
  <c r="AC165" i="90"/>
  <c r="AD165" i="90"/>
  <c r="BV165" i="79"/>
  <c r="BV165" i="92"/>
  <c r="BV165" i="91"/>
  <c r="BV165" i="90"/>
  <c r="CD165" i="79"/>
  <c r="CD165" i="92"/>
  <c r="CD165" i="91"/>
  <c r="CD165" i="90"/>
  <c r="AR166" i="92"/>
  <c r="AQ166" i="92"/>
  <c r="AP166" i="92"/>
  <c r="AR166" i="91"/>
  <c r="AQ166" i="91"/>
  <c r="AP166" i="91"/>
  <c r="AR166" i="90"/>
  <c r="AQ166" i="90"/>
  <c r="AP166" i="90"/>
  <c r="BY166" i="79"/>
  <c r="BY166" i="92"/>
  <c r="BY166" i="91"/>
  <c r="BY166" i="90"/>
  <c r="CG166" i="79"/>
  <c r="CG166" i="92"/>
  <c r="CG166" i="91"/>
  <c r="CG166" i="90"/>
  <c r="AX167" i="79"/>
  <c r="AX167" i="92"/>
  <c r="AX167" i="91"/>
  <c r="AX167" i="90"/>
  <c r="CB167" i="79"/>
  <c r="CB167" i="92"/>
  <c r="CB167" i="91"/>
  <c r="CB167" i="90"/>
  <c r="AE168" i="79"/>
  <c r="AE168" i="92"/>
  <c r="AE168" i="91"/>
  <c r="AE168" i="90"/>
  <c r="BW168" i="79"/>
  <c r="BW168" i="92"/>
  <c r="BW168" i="91"/>
  <c r="BW168" i="90"/>
  <c r="CE168" i="79"/>
  <c r="CE168" i="92"/>
  <c r="CE168" i="91"/>
  <c r="CE168" i="90"/>
  <c r="F281" i="86"/>
  <c r="H277" i="86"/>
  <c r="H46" i="86"/>
  <c r="F50" i="86"/>
  <c r="CH169" i="90"/>
  <c r="K80" i="86"/>
  <c r="N80" i="86"/>
  <c r="BX171" i="90"/>
  <c r="CF171" i="90"/>
  <c r="CA172" i="90"/>
  <c r="AC173" i="92"/>
  <c r="AB173" i="92"/>
  <c r="AD173" i="92"/>
  <c r="AC173" i="91"/>
  <c r="AB173" i="91"/>
  <c r="AD173" i="91"/>
  <c r="AD173" i="90"/>
  <c r="AC173" i="90"/>
  <c r="AB173" i="90"/>
  <c r="BV173" i="79"/>
  <c r="BV173" i="90"/>
  <c r="CD173" i="79"/>
  <c r="CD173" i="92"/>
  <c r="CD173" i="91"/>
  <c r="CD173" i="90"/>
  <c r="AR174" i="92"/>
  <c r="AP174" i="92"/>
  <c r="AQ174" i="92"/>
  <c r="AR174" i="91"/>
  <c r="AQ174" i="91"/>
  <c r="AP174" i="91"/>
  <c r="AR174" i="90"/>
  <c r="AP174" i="90"/>
  <c r="AQ174" i="90"/>
  <c r="BY174" i="79"/>
  <c r="BY174" i="90"/>
  <c r="CG174" i="79"/>
  <c r="CG174" i="90"/>
  <c r="CC175" i="79"/>
  <c r="CC175" i="92"/>
  <c r="CC175" i="91"/>
  <c r="CC175" i="90"/>
  <c r="AR113" i="92"/>
  <c r="AQ113" i="92"/>
  <c r="AP113" i="92"/>
  <c r="AP113" i="91"/>
  <c r="AR113" i="91"/>
  <c r="AQ113" i="91"/>
  <c r="AR113" i="90"/>
  <c r="AQ113" i="90"/>
  <c r="AP113" i="90"/>
  <c r="CB114" i="79"/>
  <c r="CB114" i="92"/>
  <c r="CB114" i="91"/>
  <c r="CB114" i="90"/>
  <c r="BZ116" i="79"/>
  <c r="BZ116" i="92"/>
  <c r="BZ116" i="91"/>
  <c r="BZ116" i="90"/>
  <c r="AU119" i="92"/>
  <c r="AW119" i="92"/>
  <c r="AV119" i="92"/>
  <c r="AU119" i="91"/>
  <c r="AW119" i="91"/>
  <c r="AV119" i="91"/>
  <c r="AW119" i="90"/>
  <c r="AU119" i="90"/>
  <c r="AV119" i="90"/>
  <c r="BV120" i="79"/>
  <c r="BV120" i="92"/>
  <c r="BV120" i="91"/>
  <c r="BV120" i="90"/>
  <c r="CG121" i="79"/>
  <c r="CG121" i="92"/>
  <c r="CG121" i="91"/>
  <c r="CG121" i="90"/>
  <c r="BW123" i="79"/>
  <c r="BW123" i="92"/>
  <c r="BW123" i="91"/>
  <c r="BW123" i="90"/>
  <c r="CH124" i="79"/>
  <c r="CH124" i="92"/>
  <c r="CH124" i="91"/>
  <c r="CH124" i="90"/>
  <c r="AF126" i="92"/>
  <c r="AH126" i="92"/>
  <c r="AG126" i="92"/>
  <c r="AF126" i="91"/>
  <c r="AH126" i="91"/>
  <c r="AG126" i="91"/>
  <c r="AH126" i="90"/>
  <c r="AF126" i="90"/>
  <c r="AG126" i="90"/>
  <c r="CA127" i="79"/>
  <c r="CA127" i="92"/>
  <c r="CA127" i="91"/>
  <c r="CA127" i="90"/>
  <c r="AX130" i="79"/>
  <c r="AX130" i="92"/>
  <c r="AX130" i="91"/>
  <c r="AX130" i="90"/>
  <c r="CE131" i="79"/>
  <c r="CE131" i="92"/>
  <c r="CE131" i="91"/>
  <c r="CE131" i="90"/>
  <c r="BP133" i="79"/>
  <c r="BQ133" i="92"/>
  <c r="BP133" i="92"/>
  <c r="BQ133" i="91"/>
  <c r="BP133" i="91"/>
  <c r="BQ133" i="90"/>
  <c r="BP133" i="90"/>
  <c r="AV135" i="92"/>
  <c r="AU135" i="92"/>
  <c r="AW135" i="92"/>
  <c r="AW135" i="91"/>
  <c r="AV135" i="91"/>
  <c r="AU135" i="91"/>
  <c r="AW135" i="90"/>
  <c r="AV135" i="90"/>
  <c r="AU135" i="90"/>
  <c r="BV136" i="79"/>
  <c r="BV136" i="92"/>
  <c r="BV136" i="91"/>
  <c r="BV136" i="90"/>
  <c r="CG137" i="79"/>
  <c r="CG137" i="92"/>
  <c r="CG137" i="91"/>
  <c r="CG137" i="90"/>
  <c r="CE139" i="79"/>
  <c r="CE139" i="92"/>
  <c r="CE139" i="91"/>
  <c r="CE139" i="90"/>
  <c r="AG142" i="92"/>
  <c r="AF142" i="92"/>
  <c r="AH142" i="92"/>
  <c r="AH142" i="91"/>
  <c r="AG142" i="91"/>
  <c r="AF142" i="91"/>
  <c r="AH142" i="90"/>
  <c r="AG142" i="90"/>
  <c r="AF142" i="90"/>
  <c r="CA143" i="79"/>
  <c r="CA143" i="92"/>
  <c r="CA143" i="91"/>
  <c r="CA143" i="90"/>
  <c r="AX146" i="79"/>
  <c r="AX146" i="92"/>
  <c r="AX146" i="91"/>
  <c r="AX146" i="90"/>
  <c r="CE147" i="79"/>
  <c r="CE147" i="92"/>
  <c r="CE147" i="91"/>
  <c r="CE147" i="90"/>
  <c r="BQ149" i="79"/>
  <c r="BQ149" i="92"/>
  <c r="BP149" i="92"/>
  <c r="BP149" i="91"/>
  <c r="BQ149" i="91"/>
  <c r="BQ149" i="90"/>
  <c r="BP149" i="90"/>
  <c r="BX150" i="79"/>
  <c r="BX150" i="92"/>
  <c r="BX150" i="91"/>
  <c r="BX150" i="90"/>
  <c r="CA151" i="79"/>
  <c r="CA151" i="92"/>
  <c r="CA151" i="91"/>
  <c r="CA151" i="90"/>
  <c r="CD152" i="79"/>
  <c r="CD152" i="92"/>
  <c r="CD152" i="91"/>
  <c r="CD152" i="90"/>
  <c r="CG153" i="79"/>
  <c r="CG153" i="92"/>
  <c r="CG153" i="91"/>
  <c r="CG153" i="90"/>
  <c r="BW155" i="79"/>
  <c r="BW155" i="92"/>
  <c r="BW155" i="91"/>
  <c r="BW155" i="90"/>
  <c r="BZ156" i="79"/>
  <c r="BZ156" i="92"/>
  <c r="BZ156" i="91"/>
  <c r="BZ156" i="90"/>
  <c r="BQ157" i="79"/>
  <c r="BQ157" i="92"/>
  <c r="BP157" i="92"/>
  <c r="BQ157" i="91"/>
  <c r="BP157" i="91"/>
  <c r="BQ157" i="90"/>
  <c r="BP157" i="90"/>
  <c r="BX158" i="79"/>
  <c r="BX158" i="92"/>
  <c r="BX158" i="91"/>
  <c r="BX158" i="90"/>
  <c r="AV159" i="92"/>
  <c r="AW159" i="92"/>
  <c r="AU159" i="92"/>
  <c r="AV159" i="91"/>
  <c r="AU159" i="91"/>
  <c r="AW159" i="91"/>
  <c r="AV159" i="90"/>
  <c r="AU159" i="90"/>
  <c r="AW159" i="90"/>
  <c r="AB160" i="92"/>
  <c r="AD160" i="92"/>
  <c r="AC160" i="92"/>
  <c r="AD160" i="91"/>
  <c r="AC160" i="91"/>
  <c r="AB160" i="91"/>
  <c r="AD160" i="90"/>
  <c r="AC160" i="90"/>
  <c r="AB160" i="90"/>
  <c r="BY161" i="79"/>
  <c r="BY161" i="92"/>
  <c r="BY161" i="91"/>
  <c r="BY161" i="90"/>
  <c r="CB162" i="79"/>
  <c r="CB162" i="92"/>
  <c r="CB162" i="91"/>
  <c r="CB162" i="90"/>
  <c r="CE163" i="79"/>
  <c r="CE163" i="92"/>
  <c r="CE163" i="91"/>
  <c r="CE163" i="90"/>
  <c r="CC165" i="79"/>
  <c r="CC165" i="92"/>
  <c r="CC165" i="91"/>
  <c r="CC165" i="90"/>
  <c r="BX166" i="79"/>
  <c r="BX166" i="92"/>
  <c r="BX166" i="91"/>
  <c r="BX166" i="90"/>
  <c r="AD168" i="92"/>
  <c r="AB168" i="92"/>
  <c r="AC168" i="92"/>
  <c r="AD168" i="91"/>
  <c r="AC168" i="91"/>
  <c r="AB168" i="91"/>
  <c r="AD168" i="90"/>
  <c r="AC168" i="90"/>
  <c r="AB168" i="90"/>
  <c r="N322" i="86"/>
  <c r="K322" i="86"/>
  <c r="BW171" i="90"/>
  <c r="N103" i="86"/>
  <c r="K103" i="86"/>
  <c r="CH172" i="90"/>
  <c r="CC173" i="79"/>
  <c r="CC173" i="92"/>
  <c r="CC173" i="91"/>
  <c r="CC173" i="90"/>
  <c r="CF174" i="79"/>
  <c r="CF174" i="90"/>
  <c r="CB175" i="79"/>
  <c r="CB175" i="90"/>
  <c r="AC2" i="92"/>
  <c r="AB2" i="92"/>
  <c r="AD2" i="92"/>
  <c r="AB2" i="91"/>
  <c r="AC2" i="91"/>
  <c r="AD2" i="91"/>
  <c r="AB2" i="90"/>
  <c r="AD2" i="90"/>
  <c r="AC2" i="90"/>
  <c r="BV2" i="92"/>
  <c r="BV2" i="91"/>
  <c r="BV2" i="90"/>
  <c r="CD2" i="92"/>
  <c r="CD2" i="91"/>
  <c r="CD2" i="90"/>
  <c r="AR3" i="92"/>
  <c r="AQ3" i="92"/>
  <c r="AP3" i="92"/>
  <c r="AR3" i="91"/>
  <c r="AQ3" i="91"/>
  <c r="AP3" i="91"/>
  <c r="AQ3" i="90"/>
  <c r="AP3" i="90"/>
  <c r="AR3" i="90"/>
  <c r="BY3" i="79"/>
  <c r="BY3" i="92"/>
  <c r="BY3" i="91"/>
  <c r="BY3" i="90"/>
  <c r="CG3" i="79"/>
  <c r="CG3" i="92"/>
  <c r="CG3" i="91"/>
  <c r="CG3" i="90"/>
  <c r="AX4" i="79"/>
  <c r="AX4" i="92"/>
  <c r="AX4" i="91"/>
  <c r="AX4" i="90"/>
  <c r="CB4" i="79"/>
  <c r="CB4" i="92"/>
  <c r="CB4" i="91"/>
  <c r="CB4" i="90"/>
  <c r="AE5" i="79"/>
  <c r="AE5" i="92"/>
  <c r="AE5" i="91"/>
  <c r="AE5" i="90"/>
  <c r="BW5" i="79"/>
  <c r="BW5" i="92"/>
  <c r="BW5" i="91"/>
  <c r="BW5" i="90"/>
  <c r="CE5" i="79"/>
  <c r="CE5" i="92"/>
  <c r="CE5" i="91"/>
  <c r="CE5" i="90"/>
  <c r="AS6" i="79"/>
  <c r="AS6" i="92"/>
  <c r="AS6" i="91"/>
  <c r="AS6" i="90"/>
  <c r="BZ6" i="79"/>
  <c r="BZ6" i="92"/>
  <c r="BZ6" i="91"/>
  <c r="BZ6" i="90"/>
  <c r="CH6" i="79"/>
  <c r="CH6" i="92"/>
  <c r="CH6" i="91"/>
  <c r="CH6" i="90"/>
  <c r="BP7" i="79"/>
  <c r="BQ7" i="92"/>
  <c r="BP7" i="92"/>
  <c r="BQ7" i="91"/>
  <c r="BP7" i="91"/>
  <c r="BQ7" i="90"/>
  <c r="BP7" i="90"/>
  <c r="CC7" i="79"/>
  <c r="CC7" i="92"/>
  <c r="CC7" i="91"/>
  <c r="CC7" i="90"/>
  <c r="AH8" i="92"/>
  <c r="AG8" i="92"/>
  <c r="AF8" i="92"/>
  <c r="AF8" i="91"/>
  <c r="AG8" i="91"/>
  <c r="AH8" i="91"/>
  <c r="AH8" i="90"/>
  <c r="AG8" i="90"/>
  <c r="AF8" i="90"/>
  <c r="BX8" i="79"/>
  <c r="BX8" i="92"/>
  <c r="BX8" i="91"/>
  <c r="BX8" i="90"/>
  <c r="CF8" i="79"/>
  <c r="CF8" i="92"/>
  <c r="CF8" i="91"/>
  <c r="CF8" i="90"/>
  <c r="AW9" i="92"/>
  <c r="AV9" i="92"/>
  <c r="AU9" i="92"/>
  <c r="AW9" i="91"/>
  <c r="AU9" i="91"/>
  <c r="AV9" i="91"/>
  <c r="AV9" i="90"/>
  <c r="AU9" i="90"/>
  <c r="AW9" i="90"/>
  <c r="CA9" i="79"/>
  <c r="CA9" i="92"/>
  <c r="CA9" i="91"/>
  <c r="CA9" i="90"/>
  <c r="AD10" i="92"/>
  <c r="AC10" i="92"/>
  <c r="AB10" i="92"/>
  <c r="AB10" i="91"/>
  <c r="AC10" i="91"/>
  <c r="AD10" i="91"/>
  <c r="AD10" i="90"/>
  <c r="AC10" i="90"/>
  <c r="AB10" i="90"/>
  <c r="BV10" i="79"/>
  <c r="BV10" i="92"/>
  <c r="BV10" i="91"/>
  <c r="BV10" i="90"/>
  <c r="CD10" i="79"/>
  <c r="CD10" i="92"/>
  <c r="CD10" i="91"/>
  <c r="CD10" i="90"/>
  <c r="AR11" i="92"/>
  <c r="AQ11" i="92"/>
  <c r="AP11" i="92"/>
  <c r="AR11" i="91"/>
  <c r="AQ11" i="91"/>
  <c r="AP11" i="91"/>
  <c r="AQ11" i="90"/>
  <c r="AP11" i="90"/>
  <c r="AR11" i="90"/>
  <c r="BY11" i="79"/>
  <c r="BY11" i="92"/>
  <c r="BY11" i="91"/>
  <c r="BY11" i="90"/>
  <c r="CG11" i="79"/>
  <c r="CG11" i="92"/>
  <c r="CG11" i="91"/>
  <c r="CG11" i="90"/>
  <c r="AX12" i="79"/>
  <c r="AX12" i="92"/>
  <c r="AX12" i="91"/>
  <c r="AX12" i="90"/>
  <c r="CB12" i="79"/>
  <c r="CB12" i="92"/>
  <c r="CB12" i="91"/>
  <c r="CB12" i="90"/>
  <c r="AE13" i="79"/>
  <c r="AE13" i="92"/>
  <c r="AE13" i="91"/>
  <c r="AE13" i="90"/>
  <c r="BW13" i="79"/>
  <c r="BW13" i="92"/>
  <c r="BW13" i="91"/>
  <c r="BW13" i="90"/>
  <c r="CE13" i="79"/>
  <c r="CE13" i="92"/>
  <c r="CE13" i="91"/>
  <c r="CE13" i="90"/>
  <c r="AS14" i="79"/>
  <c r="AS14" i="92"/>
  <c r="AS14" i="91"/>
  <c r="AS14" i="90"/>
  <c r="BZ14" i="79"/>
  <c r="BZ14" i="92"/>
  <c r="BZ14" i="91"/>
  <c r="BZ14" i="90"/>
  <c r="CH14" i="79"/>
  <c r="CH14" i="92"/>
  <c r="CH14" i="91"/>
  <c r="CH14" i="90"/>
  <c r="BP15" i="79"/>
  <c r="BQ15" i="92"/>
  <c r="BP15" i="92"/>
  <c r="BQ15" i="91"/>
  <c r="BP15" i="91"/>
  <c r="BQ15" i="90"/>
  <c r="BP15" i="90"/>
  <c r="CC15" i="79"/>
  <c r="CC15" i="92"/>
  <c r="CC15" i="91"/>
  <c r="CC15" i="90"/>
  <c r="AH16" i="92"/>
  <c r="AG16" i="92"/>
  <c r="AF16" i="92"/>
  <c r="AH16" i="91"/>
  <c r="AG16" i="91"/>
  <c r="AF16" i="91"/>
  <c r="AF16" i="90"/>
  <c r="AH16" i="90"/>
  <c r="AG16" i="90"/>
  <c r="BX16" i="79"/>
  <c r="BX16" i="92"/>
  <c r="BX16" i="91"/>
  <c r="BX16" i="90"/>
  <c r="CF16" i="79"/>
  <c r="CF16" i="92"/>
  <c r="CF16" i="91"/>
  <c r="CF16" i="90"/>
  <c r="AW17" i="92"/>
  <c r="AV17" i="92"/>
  <c r="AU17" i="92"/>
  <c r="AW17" i="91"/>
  <c r="AV17" i="91"/>
  <c r="AU17" i="91"/>
  <c r="AV17" i="90"/>
  <c r="AU17" i="90"/>
  <c r="AW17" i="90"/>
  <c r="CA17" i="79"/>
  <c r="CA17" i="92"/>
  <c r="CA17" i="91"/>
  <c r="CA17" i="90"/>
  <c r="BV18" i="79"/>
  <c r="BV18" i="92"/>
  <c r="BV18" i="91"/>
  <c r="BV18" i="90"/>
  <c r="CD18" i="79"/>
  <c r="CD18" i="92"/>
  <c r="CD18" i="91"/>
  <c r="CD18" i="90"/>
  <c r="AR19" i="92"/>
  <c r="AQ19" i="92"/>
  <c r="AP19" i="92"/>
  <c r="AR19" i="91"/>
  <c r="AQ19" i="91"/>
  <c r="AP19" i="91"/>
  <c r="AQ19" i="90"/>
  <c r="AP19" i="90"/>
  <c r="AR19" i="90"/>
  <c r="BY19" i="79"/>
  <c r="BY19" i="92"/>
  <c r="BY19" i="91"/>
  <c r="BY19" i="90"/>
  <c r="CG19" i="79"/>
  <c r="CG19" i="92"/>
  <c r="CG19" i="91"/>
  <c r="CG19" i="90"/>
  <c r="AX20" i="79"/>
  <c r="AX20" i="92"/>
  <c r="AX20" i="91"/>
  <c r="AX20" i="90"/>
  <c r="CB20" i="79"/>
  <c r="CB20" i="92"/>
  <c r="CB20" i="91"/>
  <c r="CB20" i="90"/>
  <c r="AE21" i="79"/>
  <c r="AE21" i="92"/>
  <c r="AE21" i="91"/>
  <c r="AE21" i="90"/>
  <c r="BW21" i="79"/>
  <c r="BW21" i="92"/>
  <c r="BW21" i="91"/>
  <c r="BW21" i="90"/>
  <c r="CE21" i="79"/>
  <c r="CE21" i="92"/>
  <c r="CE21" i="91"/>
  <c r="CE21" i="90"/>
  <c r="AS22" i="79"/>
  <c r="AS22" i="92"/>
  <c r="AS22" i="91"/>
  <c r="AS22" i="90"/>
  <c r="BZ22" i="79"/>
  <c r="BZ22" i="92"/>
  <c r="BZ22" i="91"/>
  <c r="BZ22" i="90"/>
  <c r="CH22" i="79"/>
  <c r="CH22" i="92"/>
  <c r="CH22" i="91"/>
  <c r="CH22" i="90"/>
  <c r="BP23" i="79"/>
  <c r="BQ23" i="92"/>
  <c r="BP23" i="92"/>
  <c r="BQ23" i="91"/>
  <c r="BP23" i="91"/>
  <c r="BQ23" i="90"/>
  <c r="BP23" i="90"/>
  <c r="CC23" i="79"/>
  <c r="CC23" i="92"/>
  <c r="CC23" i="91"/>
  <c r="CC23" i="90"/>
  <c r="AH24" i="92"/>
  <c r="AG24" i="92"/>
  <c r="AF24" i="92"/>
  <c r="AH24" i="91"/>
  <c r="AG24" i="91"/>
  <c r="AF24" i="91"/>
  <c r="AH24" i="90"/>
  <c r="AG24" i="90"/>
  <c r="AF24" i="90"/>
  <c r="BX24" i="79"/>
  <c r="BX24" i="92"/>
  <c r="BX24" i="91"/>
  <c r="BX24" i="90"/>
  <c r="CF24" i="79"/>
  <c r="CF24" i="92"/>
  <c r="CF24" i="91"/>
  <c r="CF24" i="90"/>
  <c r="AW25" i="92"/>
  <c r="AV25" i="92"/>
  <c r="AU25" i="92"/>
  <c r="AW25" i="91"/>
  <c r="AV25" i="91"/>
  <c r="AU25" i="91"/>
  <c r="AV25" i="90"/>
  <c r="AU25" i="90"/>
  <c r="AW25" i="90"/>
  <c r="CA25" i="79"/>
  <c r="CA25" i="92"/>
  <c r="CA25" i="91"/>
  <c r="CA25" i="90"/>
  <c r="AD26" i="92"/>
  <c r="AC26" i="92"/>
  <c r="AB26" i="92"/>
  <c r="AD26" i="91"/>
  <c r="AC26" i="91"/>
  <c r="AB26" i="91"/>
  <c r="AB26" i="90"/>
  <c r="AD26" i="90"/>
  <c r="AC26" i="90"/>
  <c r="BV26" i="79"/>
  <c r="BV26" i="92"/>
  <c r="BV26" i="91"/>
  <c r="BV26" i="90"/>
  <c r="CD26" i="79"/>
  <c r="CD26" i="92"/>
  <c r="CD26" i="91"/>
  <c r="CD26" i="90"/>
  <c r="AR27" i="92"/>
  <c r="AQ27" i="92"/>
  <c r="AP27" i="92"/>
  <c r="AR27" i="91"/>
  <c r="AQ27" i="91"/>
  <c r="AP27" i="91"/>
  <c r="AQ27" i="90"/>
  <c r="AP27" i="90"/>
  <c r="AR27" i="90"/>
  <c r="BY27" i="79"/>
  <c r="BY27" i="92"/>
  <c r="BY27" i="91"/>
  <c r="BY27" i="90"/>
  <c r="CG27" i="79"/>
  <c r="CG27" i="92"/>
  <c r="CG27" i="91"/>
  <c r="CG27" i="90"/>
  <c r="AX28" i="79"/>
  <c r="AX28" i="92"/>
  <c r="AX28" i="91"/>
  <c r="AX28" i="90"/>
  <c r="CB28" i="79"/>
  <c r="CB28" i="92"/>
  <c r="CB28" i="91"/>
  <c r="CB28" i="90"/>
  <c r="AE29" i="79"/>
  <c r="AE29" i="92"/>
  <c r="AE29" i="91"/>
  <c r="AE29" i="90"/>
  <c r="BW29" i="79"/>
  <c r="BW29" i="92"/>
  <c r="BW29" i="91"/>
  <c r="BW29" i="90"/>
  <c r="CE29" i="79"/>
  <c r="CE29" i="92"/>
  <c r="CE29" i="91"/>
  <c r="CE29" i="90"/>
  <c r="AS30" i="79"/>
  <c r="AS30" i="92"/>
  <c r="AS30" i="91"/>
  <c r="AS30" i="90"/>
  <c r="BZ30" i="79"/>
  <c r="BZ30" i="92"/>
  <c r="BZ30" i="91"/>
  <c r="BZ30" i="90"/>
  <c r="CH30" i="79"/>
  <c r="CH30" i="92"/>
  <c r="CH30" i="91"/>
  <c r="CH30" i="90"/>
  <c r="BP31" i="79"/>
  <c r="BQ31" i="92"/>
  <c r="BP31" i="92"/>
  <c r="BQ31" i="91"/>
  <c r="BP31" i="91"/>
  <c r="BQ31" i="90"/>
  <c r="BP31" i="90"/>
  <c r="CC31" i="79"/>
  <c r="CC31" i="92"/>
  <c r="CC31" i="91"/>
  <c r="CC31" i="90"/>
  <c r="AH32" i="92"/>
  <c r="AG32" i="92"/>
  <c r="AF32" i="92"/>
  <c r="AH32" i="91"/>
  <c r="AG32" i="91"/>
  <c r="AF32" i="91"/>
  <c r="AH32" i="90"/>
  <c r="AG32" i="90"/>
  <c r="AF32" i="90"/>
  <c r="BX32" i="79"/>
  <c r="BX32" i="92"/>
  <c r="BX32" i="91"/>
  <c r="BX32" i="90"/>
  <c r="CF32" i="79"/>
  <c r="CF32" i="92"/>
  <c r="CF32" i="91"/>
  <c r="CF32" i="90"/>
  <c r="AW33" i="92"/>
  <c r="AV33" i="92"/>
  <c r="AU33" i="92"/>
  <c r="AW33" i="91"/>
  <c r="AV33" i="91"/>
  <c r="AU33" i="91"/>
  <c r="AV33" i="90"/>
  <c r="AU33" i="90"/>
  <c r="AW33" i="90"/>
  <c r="CA33" i="79"/>
  <c r="CA33" i="92"/>
  <c r="CA33" i="91"/>
  <c r="CA33" i="90"/>
  <c r="AD34" i="92"/>
  <c r="AC34" i="92"/>
  <c r="AB34" i="92"/>
  <c r="AD34" i="91"/>
  <c r="AC34" i="91"/>
  <c r="AB34" i="91"/>
  <c r="AD34" i="90"/>
  <c r="AC34" i="90"/>
  <c r="AB34" i="90"/>
  <c r="BV34" i="79"/>
  <c r="BV34" i="92"/>
  <c r="BV34" i="91"/>
  <c r="BV34" i="90"/>
  <c r="CD34" i="79"/>
  <c r="CD34" i="92"/>
  <c r="CD34" i="91"/>
  <c r="CD34" i="90"/>
  <c r="AR35" i="92"/>
  <c r="AQ35" i="92"/>
  <c r="AP35" i="92"/>
  <c r="AR35" i="91"/>
  <c r="AQ35" i="91"/>
  <c r="AP35" i="91"/>
  <c r="AQ35" i="90"/>
  <c r="AP35" i="90"/>
  <c r="AR35" i="90"/>
  <c r="BY35" i="79"/>
  <c r="BY35" i="92"/>
  <c r="BY35" i="91"/>
  <c r="BY35" i="90"/>
  <c r="CG35" i="79"/>
  <c r="CG35" i="92"/>
  <c r="CG35" i="91"/>
  <c r="CG35" i="90"/>
  <c r="AX36" i="79"/>
  <c r="AX36" i="92"/>
  <c r="AX36" i="91"/>
  <c r="AX36" i="90"/>
  <c r="CB36" i="79"/>
  <c r="CB36" i="92"/>
  <c r="CB36" i="91"/>
  <c r="CB36" i="90"/>
  <c r="AE37" i="79"/>
  <c r="AE37" i="92"/>
  <c r="AE37" i="91"/>
  <c r="AE37" i="90"/>
  <c r="BW37" i="79"/>
  <c r="BW37" i="92"/>
  <c r="BW37" i="91"/>
  <c r="BW37" i="90"/>
  <c r="CE37" i="79"/>
  <c r="CE37" i="92"/>
  <c r="CE37" i="91"/>
  <c r="CE37" i="90"/>
  <c r="AS38" i="79"/>
  <c r="AS38" i="92"/>
  <c r="AS38" i="91"/>
  <c r="AS38" i="90"/>
  <c r="BZ38" i="79"/>
  <c r="BZ38" i="92"/>
  <c r="BZ38" i="91"/>
  <c r="BZ38" i="90"/>
  <c r="CH38" i="79"/>
  <c r="CH38" i="92"/>
  <c r="CH38" i="91"/>
  <c r="CH38" i="90"/>
  <c r="BP39" i="79"/>
  <c r="BQ39" i="92"/>
  <c r="BP39" i="92"/>
  <c r="BQ39" i="91"/>
  <c r="BP39" i="91"/>
  <c r="BQ39" i="90"/>
  <c r="BP39" i="90"/>
  <c r="CC39" i="79"/>
  <c r="CC39" i="92"/>
  <c r="CC39" i="91"/>
  <c r="CC39" i="90"/>
  <c r="AH40" i="92"/>
  <c r="AG40" i="92"/>
  <c r="AF40" i="92"/>
  <c r="AH40" i="91"/>
  <c r="AG40" i="91"/>
  <c r="AF40" i="91"/>
  <c r="AF40" i="90"/>
  <c r="AH40" i="90"/>
  <c r="AG40" i="90"/>
  <c r="BX40" i="79"/>
  <c r="BX40" i="92"/>
  <c r="BX40" i="91"/>
  <c r="BX40" i="90"/>
  <c r="CF40" i="79"/>
  <c r="CF40" i="92"/>
  <c r="CF40" i="91"/>
  <c r="CF40" i="90"/>
  <c r="AW41" i="92"/>
  <c r="AU41" i="92"/>
  <c r="AV41" i="92"/>
  <c r="AW41" i="91"/>
  <c r="AV41" i="91"/>
  <c r="AU41" i="91"/>
  <c r="AV41" i="90"/>
  <c r="AU41" i="90"/>
  <c r="AW41" i="90"/>
  <c r="CA41" i="79"/>
  <c r="CA41" i="92"/>
  <c r="CA41" i="91"/>
  <c r="CA41" i="90"/>
  <c r="AC42" i="92"/>
  <c r="AD42" i="92"/>
  <c r="AB42" i="92"/>
  <c r="AD42" i="91"/>
  <c r="AC42" i="91"/>
  <c r="AB42" i="91"/>
  <c r="AB42" i="90"/>
  <c r="AD42" i="90"/>
  <c r="AC42" i="90"/>
  <c r="BV42" i="79"/>
  <c r="BV42" i="92"/>
  <c r="BV42" i="91"/>
  <c r="BV42" i="90"/>
  <c r="CD42" i="79"/>
  <c r="CD42" i="92"/>
  <c r="CD42" i="91"/>
  <c r="CD42" i="90"/>
  <c r="AR43" i="92"/>
  <c r="AQ43" i="92"/>
  <c r="AP43" i="92"/>
  <c r="AR43" i="91"/>
  <c r="AQ43" i="91"/>
  <c r="AP43" i="91"/>
  <c r="AQ43" i="90"/>
  <c r="AP43" i="90"/>
  <c r="AR43" i="90"/>
  <c r="BY43" i="79"/>
  <c r="BY43" i="92"/>
  <c r="BY43" i="91"/>
  <c r="BY43" i="90"/>
  <c r="CG43" i="79"/>
  <c r="CG43" i="92"/>
  <c r="CG43" i="91"/>
  <c r="CG43" i="90"/>
  <c r="AX44" i="79"/>
  <c r="AX44" i="92"/>
  <c r="AX44" i="91"/>
  <c r="AX44" i="90"/>
  <c r="CB44" i="79"/>
  <c r="CB44" i="92"/>
  <c r="CB44" i="91"/>
  <c r="CB44" i="90"/>
  <c r="AE45" i="79"/>
  <c r="AE45" i="92"/>
  <c r="AE45" i="91"/>
  <c r="AE45" i="90"/>
  <c r="BW45" i="79"/>
  <c r="BW45" i="92"/>
  <c r="BW45" i="91"/>
  <c r="BW45" i="90"/>
  <c r="CE45" i="79"/>
  <c r="CE45" i="92"/>
  <c r="CE45" i="91"/>
  <c r="CE45" i="90"/>
  <c r="AS46" i="79"/>
  <c r="AS46" i="92"/>
  <c r="AS46" i="91"/>
  <c r="AS46" i="90"/>
  <c r="BZ46" i="79"/>
  <c r="BZ46" i="92"/>
  <c r="BZ46" i="91"/>
  <c r="BZ46" i="90"/>
  <c r="CH46" i="79"/>
  <c r="CH46" i="92"/>
  <c r="CH46" i="91"/>
  <c r="CH46" i="90"/>
  <c r="BP47" i="79"/>
  <c r="BQ47" i="92"/>
  <c r="BP47" i="92"/>
  <c r="BQ47" i="91"/>
  <c r="BP47" i="91"/>
  <c r="BQ47" i="90"/>
  <c r="BP47" i="90"/>
  <c r="CC47" i="79"/>
  <c r="CC47" i="92"/>
  <c r="CC47" i="91"/>
  <c r="CC47" i="90"/>
  <c r="AG48" i="92"/>
  <c r="AF48" i="92"/>
  <c r="AH48" i="92"/>
  <c r="AH48" i="91"/>
  <c r="AG48" i="91"/>
  <c r="AF48" i="91"/>
  <c r="AH48" i="90"/>
  <c r="AG48" i="90"/>
  <c r="AF48" i="90"/>
  <c r="BX48" i="79"/>
  <c r="BX48" i="92"/>
  <c r="BX48" i="91"/>
  <c r="BX48" i="90"/>
  <c r="CF48" i="79"/>
  <c r="CF48" i="92"/>
  <c r="CF48" i="91"/>
  <c r="CF48" i="90"/>
  <c r="AW49" i="92"/>
  <c r="AV49" i="92"/>
  <c r="AU49" i="92"/>
  <c r="AW49" i="91"/>
  <c r="AV49" i="91"/>
  <c r="AU49" i="91"/>
  <c r="AW49" i="90"/>
  <c r="AV49" i="90"/>
  <c r="AU49" i="90"/>
  <c r="CA49" i="79"/>
  <c r="CA49" i="92"/>
  <c r="CA49" i="91"/>
  <c r="CA49" i="90"/>
  <c r="AD50" i="92"/>
  <c r="AC50" i="92"/>
  <c r="AB50" i="92"/>
  <c r="AD50" i="91"/>
  <c r="AC50" i="91"/>
  <c r="AB50" i="91"/>
  <c r="AC50" i="90"/>
  <c r="AD50" i="90"/>
  <c r="AB50" i="90"/>
  <c r="BV50" i="79"/>
  <c r="BV50" i="92"/>
  <c r="BV50" i="91"/>
  <c r="BV50" i="90"/>
  <c r="CD50" i="79"/>
  <c r="CD50" i="92"/>
  <c r="CD50" i="91"/>
  <c r="CD50" i="90"/>
  <c r="AR51" i="92"/>
  <c r="AQ51" i="92"/>
  <c r="AP51" i="92"/>
  <c r="AR51" i="91"/>
  <c r="AQ51" i="91"/>
  <c r="AP51" i="91"/>
  <c r="AR51" i="90"/>
  <c r="AQ51" i="90"/>
  <c r="AP51" i="90"/>
  <c r="BY51" i="79"/>
  <c r="BY51" i="92"/>
  <c r="BY51" i="91"/>
  <c r="BY51" i="90"/>
  <c r="CG51" i="79"/>
  <c r="CG51" i="92"/>
  <c r="CG51" i="91"/>
  <c r="CG51" i="90"/>
  <c r="AX52" i="79"/>
  <c r="AX52" i="92"/>
  <c r="AX52" i="91"/>
  <c r="AX52" i="90"/>
  <c r="CB52" i="79"/>
  <c r="CB52" i="92"/>
  <c r="CB52" i="91"/>
  <c r="CB52" i="90"/>
  <c r="AE53" i="79"/>
  <c r="AE53" i="92"/>
  <c r="AE53" i="91"/>
  <c r="AE53" i="90"/>
  <c r="BW53" i="79"/>
  <c r="BW53" i="92"/>
  <c r="BW53" i="91"/>
  <c r="BW53" i="90"/>
  <c r="CE53" i="79"/>
  <c r="CE53" i="92"/>
  <c r="CE53" i="91"/>
  <c r="CE53" i="90"/>
  <c r="AS54" i="79"/>
  <c r="AS54" i="92"/>
  <c r="AS54" i="91"/>
  <c r="AS54" i="90"/>
  <c r="BZ54" i="79"/>
  <c r="BZ54" i="92"/>
  <c r="BZ54" i="91"/>
  <c r="BZ54" i="90"/>
  <c r="CH54" i="79"/>
  <c r="CH54" i="92"/>
  <c r="CH54" i="91"/>
  <c r="CH54" i="90"/>
  <c r="BQ55" i="79"/>
  <c r="BQ55" i="92"/>
  <c r="BP55" i="92"/>
  <c r="BQ55" i="91"/>
  <c r="BP55" i="91"/>
  <c r="BQ55" i="90"/>
  <c r="BP55" i="90"/>
  <c r="CC55" i="79"/>
  <c r="CC55" i="92"/>
  <c r="CC55" i="91"/>
  <c r="CC55" i="90"/>
  <c r="AH56" i="92"/>
  <c r="AG56" i="92"/>
  <c r="AF56" i="92"/>
  <c r="AF56" i="91"/>
  <c r="AH56" i="91"/>
  <c r="AG56" i="91"/>
  <c r="AF56" i="90"/>
  <c r="AH56" i="90"/>
  <c r="AG56" i="90"/>
  <c r="BX56" i="79"/>
  <c r="BX56" i="92"/>
  <c r="BX56" i="91"/>
  <c r="BX56" i="90"/>
  <c r="CF56" i="79"/>
  <c r="CF56" i="92"/>
  <c r="CF56" i="91"/>
  <c r="CF56" i="90"/>
  <c r="AW57" i="92"/>
  <c r="AV57" i="92"/>
  <c r="AU57" i="92"/>
  <c r="AW57" i="91"/>
  <c r="AV57" i="91"/>
  <c r="AU57" i="91"/>
  <c r="AW57" i="90"/>
  <c r="AV57" i="90"/>
  <c r="AU57" i="90"/>
  <c r="CA57" i="79"/>
  <c r="CA57" i="92"/>
  <c r="CA57" i="91"/>
  <c r="CA57" i="90"/>
  <c r="BV58" i="79"/>
  <c r="BV58" i="92"/>
  <c r="BV58" i="91"/>
  <c r="BV58" i="90"/>
  <c r="CD58" i="79"/>
  <c r="CD58" i="92"/>
  <c r="CD58" i="91"/>
  <c r="CD58" i="90"/>
  <c r="AR59" i="92"/>
  <c r="AQ59" i="92"/>
  <c r="AP59" i="92"/>
  <c r="AR59" i="91"/>
  <c r="AQ59" i="91"/>
  <c r="AP59" i="91"/>
  <c r="AR59" i="90"/>
  <c r="AQ59" i="90"/>
  <c r="AP59" i="90"/>
  <c r="BY59" i="79"/>
  <c r="BY59" i="92"/>
  <c r="BY59" i="91"/>
  <c r="BY59" i="90"/>
  <c r="CG59" i="79"/>
  <c r="CG59" i="92"/>
  <c r="CG59" i="91"/>
  <c r="CG59" i="90"/>
  <c r="AX60" i="79"/>
  <c r="AX60" i="92"/>
  <c r="AX60" i="91"/>
  <c r="AX60" i="90"/>
  <c r="CB60" i="79"/>
  <c r="CB60" i="92"/>
  <c r="CB60" i="91"/>
  <c r="CB60" i="90"/>
  <c r="AE61" i="79"/>
  <c r="AE61" i="92"/>
  <c r="AE61" i="91"/>
  <c r="AE61" i="90"/>
  <c r="BW61" i="79"/>
  <c r="BW61" i="92"/>
  <c r="BW61" i="91"/>
  <c r="BW61" i="90"/>
  <c r="CE61" i="79"/>
  <c r="CE61" i="92"/>
  <c r="CE61" i="91"/>
  <c r="CE61" i="90"/>
  <c r="AS62" i="79"/>
  <c r="AS62" i="92"/>
  <c r="AS62" i="91"/>
  <c r="AS62" i="90"/>
  <c r="BZ62" i="79"/>
  <c r="BZ62" i="92"/>
  <c r="BZ62" i="91"/>
  <c r="BZ62" i="90"/>
  <c r="CH62" i="79"/>
  <c r="CH62" i="92"/>
  <c r="CH62" i="91"/>
  <c r="CH62" i="90"/>
  <c r="BQ63" i="79"/>
  <c r="BQ63" i="92"/>
  <c r="BP63" i="92"/>
  <c r="BQ63" i="91"/>
  <c r="BP63" i="91"/>
  <c r="BQ63" i="90"/>
  <c r="BP63" i="90"/>
  <c r="CC63" i="79"/>
  <c r="CC63" i="92"/>
  <c r="CC63" i="91"/>
  <c r="CC63" i="90"/>
  <c r="BX64" i="79"/>
  <c r="BX64" i="92"/>
  <c r="BX64" i="91"/>
  <c r="BX64" i="90"/>
  <c r="CF64" i="79"/>
  <c r="CF64" i="92"/>
  <c r="CF64" i="91"/>
  <c r="CF64" i="90"/>
  <c r="AW65" i="92"/>
  <c r="AV65" i="92"/>
  <c r="AU65" i="92"/>
  <c r="AW65" i="91"/>
  <c r="AV65" i="91"/>
  <c r="AU65" i="91"/>
  <c r="AW65" i="90"/>
  <c r="AV65" i="90"/>
  <c r="AU65" i="90"/>
  <c r="CA65" i="79"/>
  <c r="CA65" i="92"/>
  <c r="CA65" i="91"/>
  <c r="CA65" i="90"/>
  <c r="AD66" i="92"/>
  <c r="AC66" i="92"/>
  <c r="AB66" i="92"/>
  <c r="AC66" i="91"/>
  <c r="AB66" i="91"/>
  <c r="AD66" i="91"/>
  <c r="AB66" i="90"/>
  <c r="AC66" i="90"/>
  <c r="AD66" i="90"/>
  <c r="BV66" i="79"/>
  <c r="BV66" i="92"/>
  <c r="BV66" i="91"/>
  <c r="BV66" i="90"/>
  <c r="CD66" i="79"/>
  <c r="CD66" i="92"/>
  <c r="CD66" i="91"/>
  <c r="CD66" i="90"/>
  <c r="AR67" i="92"/>
  <c r="AQ67" i="92"/>
  <c r="AP67" i="92"/>
  <c r="AR67" i="91"/>
  <c r="AQ67" i="91"/>
  <c r="AP67" i="91"/>
  <c r="AR67" i="90"/>
  <c r="AQ67" i="90"/>
  <c r="AP67" i="90"/>
  <c r="BY67" i="79"/>
  <c r="BY67" i="92"/>
  <c r="BY67" i="91"/>
  <c r="BY67" i="90"/>
  <c r="CG67" i="79"/>
  <c r="CG67" i="92"/>
  <c r="CG67" i="91"/>
  <c r="CG67" i="90"/>
  <c r="AX68" i="79"/>
  <c r="AX68" i="92"/>
  <c r="AX68" i="91"/>
  <c r="AX68" i="90"/>
  <c r="CB68" i="79"/>
  <c r="CB68" i="92"/>
  <c r="CB68" i="91"/>
  <c r="CB68" i="90"/>
  <c r="AE69" i="79"/>
  <c r="AE69" i="92"/>
  <c r="AE69" i="91"/>
  <c r="AE69" i="90"/>
  <c r="BW69" i="79"/>
  <c r="BW69" i="92"/>
  <c r="BW69" i="91"/>
  <c r="BW69" i="90"/>
  <c r="CE69" i="79"/>
  <c r="CE69" i="92"/>
  <c r="CE69" i="91"/>
  <c r="CE69" i="90"/>
  <c r="AS70" i="79"/>
  <c r="AS70" i="92"/>
  <c r="AS70" i="91"/>
  <c r="AS70" i="90"/>
  <c r="BZ70" i="79"/>
  <c r="BZ70" i="92"/>
  <c r="BZ70" i="91"/>
  <c r="BZ70" i="90"/>
  <c r="CH70" i="79"/>
  <c r="CH70" i="92"/>
  <c r="CH70" i="91"/>
  <c r="CH70" i="90"/>
  <c r="BQ71" i="79"/>
  <c r="BQ71" i="92"/>
  <c r="BP71" i="92"/>
  <c r="BQ71" i="91"/>
  <c r="BP71" i="91"/>
  <c r="BQ71" i="90"/>
  <c r="BP71" i="90"/>
  <c r="CC71" i="79"/>
  <c r="CC71" i="92"/>
  <c r="CC71" i="91"/>
  <c r="CC71" i="90"/>
  <c r="AH72" i="92"/>
  <c r="AG72" i="92"/>
  <c r="AF72" i="92"/>
  <c r="AG72" i="91"/>
  <c r="AF72" i="91"/>
  <c r="AH72" i="91"/>
  <c r="AF72" i="90"/>
  <c r="AG72" i="90"/>
  <c r="AH72" i="90"/>
  <c r="BX72" i="79"/>
  <c r="BX72" i="92"/>
  <c r="BX72" i="91"/>
  <c r="BX72" i="90"/>
  <c r="CF72" i="79"/>
  <c r="CF72" i="92"/>
  <c r="CF72" i="91"/>
  <c r="CF72" i="90"/>
  <c r="CA73" i="79"/>
  <c r="CA73" i="92"/>
  <c r="CA73" i="91"/>
  <c r="CA73" i="90"/>
  <c r="AD74" i="92"/>
  <c r="AC74" i="92"/>
  <c r="AB74" i="92"/>
  <c r="AD74" i="91"/>
  <c r="AC74" i="91"/>
  <c r="AB74" i="91"/>
  <c r="AC74" i="90"/>
  <c r="AB74" i="90"/>
  <c r="AD74" i="90"/>
  <c r="BV74" i="79"/>
  <c r="BV74" i="92"/>
  <c r="BV74" i="91"/>
  <c r="BV74" i="90"/>
  <c r="CD74" i="79"/>
  <c r="CD74" i="92"/>
  <c r="CD74" i="91"/>
  <c r="CD74" i="90"/>
  <c r="AR75" i="92"/>
  <c r="AQ75" i="92"/>
  <c r="AP75" i="92"/>
  <c r="AR75" i="91"/>
  <c r="AP75" i="91"/>
  <c r="AQ75" i="91"/>
  <c r="AR75" i="90"/>
  <c r="AQ75" i="90"/>
  <c r="AP75" i="90"/>
  <c r="BY75" i="79"/>
  <c r="BY75" i="92"/>
  <c r="BY75" i="91"/>
  <c r="BY75" i="90"/>
  <c r="CG75" i="79"/>
  <c r="CG75" i="92"/>
  <c r="CG75" i="91"/>
  <c r="CG75" i="90"/>
  <c r="AX76" i="79"/>
  <c r="AX76" i="92"/>
  <c r="AX76" i="91"/>
  <c r="AX76" i="90"/>
  <c r="CB76" i="79"/>
  <c r="CB76" i="92"/>
  <c r="CB76" i="91"/>
  <c r="CB76" i="90"/>
  <c r="AE77" i="79"/>
  <c r="AE77" i="92"/>
  <c r="AE77" i="91"/>
  <c r="AE77" i="90"/>
  <c r="BW77" i="79"/>
  <c r="BW77" i="92"/>
  <c r="BW77" i="91"/>
  <c r="BW77" i="90"/>
  <c r="CE77" i="79"/>
  <c r="CE77" i="92"/>
  <c r="CE77" i="91"/>
  <c r="CE77" i="90"/>
  <c r="AS78" i="79"/>
  <c r="AS78" i="92"/>
  <c r="AS78" i="91"/>
  <c r="AS78" i="90"/>
  <c r="BZ78" i="79"/>
  <c r="BZ78" i="92"/>
  <c r="BZ78" i="91"/>
  <c r="BZ78" i="90"/>
  <c r="CH78" i="79"/>
  <c r="CH78" i="92"/>
  <c r="CH78" i="91"/>
  <c r="CH78" i="90"/>
  <c r="BQ79" i="79"/>
  <c r="BQ79" i="92"/>
  <c r="BP79" i="92"/>
  <c r="BP79" i="91"/>
  <c r="BQ79" i="91"/>
  <c r="BQ79" i="90"/>
  <c r="BP79" i="90"/>
  <c r="CC79" i="79"/>
  <c r="CC79" i="92"/>
  <c r="CC79" i="91"/>
  <c r="CC79" i="90"/>
  <c r="AH80" i="92"/>
  <c r="AG80" i="92"/>
  <c r="AF80" i="92"/>
  <c r="AH80" i="91"/>
  <c r="AG80" i="91"/>
  <c r="AF80" i="91"/>
  <c r="AG80" i="90"/>
  <c r="AF80" i="90"/>
  <c r="AH80" i="90"/>
  <c r="BX80" i="79"/>
  <c r="BX80" i="92"/>
  <c r="BX80" i="91"/>
  <c r="BX80" i="90"/>
  <c r="CF80" i="79"/>
  <c r="CF80" i="92"/>
  <c r="CF80" i="91"/>
  <c r="CF80" i="90"/>
  <c r="AW81" i="92"/>
  <c r="AV81" i="92"/>
  <c r="AU81" i="92"/>
  <c r="AW81" i="91"/>
  <c r="AU81" i="91"/>
  <c r="AV81" i="91"/>
  <c r="AW81" i="90"/>
  <c r="AV81" i="90"/>
  <c r="AU81" i="90"/>
  <c r="CA81" i="79"/>
  <c r="CA81" i="92"/>
  <c r="CA81" i="91"/>
  <c r="CA81" i="90"/>
  <c r="AD82" i="92"/>
  <c r="AC82" i="92"/>
  <c r="AB82" i="92"/>
  <c r="AD82" i="91"/>
  <c r="AC82" i="91"/>
  <c r="AB82" i="91"/>
  <c r="AC82" i="90"/>
  <c r="AB82" i="90"/>
  <c r="AD82" i="90"/>
  <c r="BV82" i="79"/>
  <c r="BV82" i="92"/>
  <c r="BV82" i="91"/>
  <c r="BV82" i="90"/>
  <c r="CD82" i="79"/>
  <c r="CD82" i="92"/>
  <c r="CD82" i="91"/>
  <c r="CD82" i="90"/>
  <c r="AR83" i="92"/>
  <c r="AQ83" i="92"/>
  <c r="AP83" i="92"/>
  <c r="AQ83" i="91"/>
  <c r="AP83" i="91"/>
  <c r="AR83" i="91"/>
  <c r="AR83" i="90"/>
  <c r="AQ83" i="90"/>
  <c r="AP83" i="90"/>
  <c r="BY83" i="79"/>
  <c r="BY83" i="92"/>
  <c r="BY83" i="91"/>
  <c r="BY83" i="90"/>
  <c r="CG83" i="79"/>
  <c r="CG83" i="92"/>
  <c r="CG83" i="91"/>
  <c r="CG83" i="90"/>
  <c r="AX84" i="79"/>
  <c r="AX84" i="92"/>
  <c r="AX84" i="91"/>
  <c r="AX84" i="90"/>
  <c r="CB84" i="79"/>
  <c r="CB84" i="92"/>
  <c r="CB84" i="91"/>
  <c r="CB84" i="90"/>
  <c r="AE85" i="79"/>
  <c r="AE85" i="92"/>
  <c r="AE85" i="91"/>
  <c r="AE85" i="90"/>
  <c r="BW85" i="79"/>
  <c r="BW85" i="92"/>
  <c r="BW85" i="91"/>
  <c r="BW85" i="90"/>
  <c r="CE85" i="79"/>
  <c r="CE85" i="92"/>
  <c r="CE85" i="91"/>
  <c r="CE85" i="90"/>
  <c r="AS86" i="79"/>
  <c r="AS86" i="92"/>
  <c r="AS86" i="91"/>
  <c r="AS86" i="90"/>
  <c r="BZ86" i="79"/>
  <c r="BZ86" i="92"/>
  <c r="BZ86" i="91"/>
  <c r="BZ86" i="90"/>
  <c r="CH86" i="79"/>
  <c r="CH86" i="92"/>
  <c r="CH86" i="91"/>
  <c r="CH86" i="90"/>
  <c r="CC87" i="79"/>
  <c r="CC87" i="92"/>
  <c r="CC87" i="91"/>
  <c r="CC87" i="90"/>
  <c r="AH88" i="92"/>
  <c r="AG88" i="92"/>
  <c r="AF88" i="92"/>
  <c r="AG88" i="91"/>
  <c r="AF88" i="91"/>
  <c r="AH88" i="91"/>
  <c r="AH88" i="90"/>
  <c r="AG88" i="90"/>
  <c r="AF88" i="90"/>
  <c r="BX88" i="79"/>
  <c r="BX88" i="92"/>
  <c r="BX88" i="91"/>
  <c r="BX88" i="90"/>
  <c r="CF88" i="79"/>
  <c r="CF88" i="92"/>
  <c r="CF88" i="91"/>
  <c r="CF88" i="90"/>
  <c r="AW89" i="92"/>
  <c r="AU89" i="92"/>
  <c r="AV89" i="92"/>
  <c r="AV89" i="91"/>
  <c r="AU89" i="91"/>
  <c r="AW89" i="91"/>
  <c r="AW89" i="90"/>
  <c r="AU89" i="90"/>
  <c r="AV89" i="90"/>
  <c r="CA89" i="79"/>
  <c r="CA89" i="92"/>
  <c r="CA89" i="91"/>
  <c r="CA89" i="90"/>
  <c r="AD90" i="92"/>
  <c r="AC90" i="92"/>
  <c r="AB90" i="92"/>
  <c r="AD90" i="91"/>
  <c r="AC90" i="91"/>
  <c r="AB90" i="91"/>
  <c r="AD90" i="90"/>
  <c r="AC90" i="90"/>
  <c r="AB90" i="90"/>
  <c r="BV90" i="79"/>
  <c r="BV90" i="92"/>
  <c r="BV90" i="91"/>
  <c r="BV90" i="90"/>
  <c r="CD90" i="79"/>
  <c r="CD90" i="92"/>
  <c r="CD90" i="91"/>
  <c r="CD90" i="90"/>
  <c r="AR91" i="92"/>
  <c r="AQ91" i="92"/>
  <c r="AP91" i="92"/>
  <c r="AR91" i="91"/>
  <c r="AQ91" i="91"/>
  <c r="AP91" i="91"/>
  <c r="AQ91" i="90"/>
  <c r="AP91" i="90"/>
  <c r="AR91" i="90"/>
  <c r="BY91" i="79"/>
  <c r="BY91" i="92"/>
  <c r="BY91" i="91"/>
  <c r="BY91" i="90"/>
  <c r="CG91" i="79"/>
  <c r="CG91" i="92"/>
  <c r="CG91" i="91"/>
  <c r="CG91" i="90"/>
  <c r="AX92" i="79"/>
  <c r="AX92" i="92"/>
  <c r="AX92" i="91"/>
  <c r="AX92" i="90"/>
  <c r="CB92" i="79"/>
  <c r="CB92" i="92"/>
  <c r="CB92" i="91"/>
  <c r="CB92" i="90"/>
  <c r="AE93" i="79"/>
  <c r="AE93" i="92"/>
  <c r="AE93" i="91"/>
  <c r="AE93" i="90"/>
  <c r="BW93" i="79"/>
  <c r="BW93" i="92"/>
  <c r="BW93" i="91"/>
  <c r="BW93" i="90"/>
  <c r="CE93" i="79"/>
  <c r="CE93" i="92"/>
  <c r="CE93" i="91"/>
  <c r="CE93" i="90"/>
  <c r="AS94" i="79"/>
  <c r="AS94" i="92"/>
  <c r="AS94" i="91"/>
  <c r="AS94" i="90"/>
  <c r="BZ94" i="79"/>
  <c r="BZ94" i="92"/>
  <c r="BZ94" i="91"/>
  <c r="BZ94" i="90"/>
  <c r="CH94" i="79"/>
  <c r="CH94" i="92"/>
  <c r="CH94" i="91"/>
  <c r="CH94" i="90"/>
  <c r="BP95" i="79"/>
  <c r="BP95" i="92"/>
  <c r="BQ95" i="92"/>
  <c r="BQ95" i="91"/>
  <c r="BP95" i="91"/>
  <c r="BQ95" i="90"/>
  <c r="BP95" i="90"/>
  <c r="CC95" i="79"/>
  <c r="CC95" i="92"/>
  <c r="CC95" i="91"/>
  <c r="CC95" i="90"/>
  <c r="AH96" i="92"/>
  <c r="AG96" i="92"/>
  <c r="AF96" i="92"/>
  <c r="AG96" i="91"/>
  <c r="AF96" i="91"/>
  <c r="AH96" i="91"/>
  <c r="AH96" i="90"/>
  <c r="AF96" i="90"/>
  <c r="AG96" i="90"/>
  <c r="BX96" i="79"/>
  <c r="BX96" i="92"/>
  <c r="BX96" i="91"/>
  <c r="BX96" i="90"/>
  <c r="CF96" i="79"/>
  <c r="CF96" i="92"/>
  <c r="CF96" i="91"/>
  <c r="CF96" i="90"/>
  <c r="CA97" i="79"/>
  <c r="CA97" i="92"/>
  <c r="CA97" i="91"/>
  <c r="CA97" i="90"/>
  <c r="BV98" i="79"/>
  <c r="BV98" i="92"/>
  <c r="BV98" i="91"/>
  <c r="BV98" i="90"/>
  <c r="CD98" i="79"/>
  <c r="CD98" i="92"/>
  <c r="CD98" i="91"/>
  <c r="CD98" i="90"/>
  <c r="BY99" i="79"/>
  <c r="BY99" i="92"/>
  <c r="BY99" i="91"/>
  <c r="BY99" i="90"/>
  <c r="CG99" i="79"/>
  <c r="CG99" i="92"/>
  <c r="CG99" i="91"/>
  <c r="CG99" i="90"/>
  <c r="AX100" i="79"/>
  <c r="AX100" i="92"/>
  <c r="AX100" i="91"/>
  <c r="AX100" i="90"/>
  <c r="CB100" i="79"/>
  <c r="CB100" i="92"/>
  <c r="CB100" i="91"/>
  <c r="CB100" i="90"/>
  <c r="AE101" i="79"/>
  <c r="AE101" i="92"/>
  <c r="AE101" i="91"/>
  <c r="AE101" i="90"/>
  <c r="BW101" i="79"/>
  <c r="BW101" i="92"/>
  <c r="BW101" i="91"/>
  <c r="BW101" i="90"/>
  <c r="CE101" i="79"/>
  <c r="CE101" i="92"/>
  <c r="CE101" i="91"/>
  <c r="CE101" i="90"/>
  <c r="AS102" i="79"/>
  <c r="AS102" i="92"/>
  <c r="AS102" i="91"/>
  <c r="AS102" i="90"/>
  <c r="BZ102" i="79"/>
  <c r="BZ102" i="92"/>
  <c r="BZ102" i="91"/>
  <c r="BZ102" i="90"/>
  <c r="CH102" i="79"/>
  <c r="CH102" i="92"/>
  <c r="CH102" i="91"/>
  <c r="CH102" i="90"/>
  <c r="BP103" i="79"/>
  <c r="BP103" i="92"/>
  <c r="BQ103" i="92"/>
  <c r="BQ103" i="91"/>
  <c r="BP103" i="91"/>
  <c r="BQ103" i="90"/>
  <c r="BP103" i="90"/>
  <c r="CC103" i="79"/>
  <c r="CC103" i="92"/>
  <c r="CC103" i="91"/>
  <c r="CC103" i="90"/>
  <c r="BX104" i="79"/>
  <c r="BX104" i="92"/>
  <c r="BX104" i="91"/>
  <c r="BX104" i="90"/>
  <c r="CF104" i="79"/>
  <c r="CF104" i="92"/>
  <c r="CF104" i="91"/>
  <c r="CF104" i="90"/>
  <c r="CA105" i="79"/>
  <c r="CA105" i="92"/>
  <c r="CA105" i="91"/>
  <c r="CA105" i="90"/>
  <c r="BV106" i="79"/>
  <c r="BV106" i="92"/>
  <c r="BV106" i="91"/>
  <c r="BV106" i="90"/>
  <c r="CD106" i="79"/>
  <c r="CD106" i="92"/>
  <c r="CD106" i="91"/>
  <c r="CD106" i="90"/>
  <c r="BY107" i="79"/>
  <c r="BY107" i="92"/>
  <c r="BY107" i="91"/>
  <c r="BY107" i="90"/>
  <c r="CG107" i="79"/>
  <c r="CG107" i="92"/>
  <c r="CG107" i="91"/>
  <c r="CG107" i="90"/>
  <c r="AX108" i="79"/>
  <c r="AX108" i="92"/>
  <c r="AX108" i="91"/>
  <c r="AX108" i="90"/>
  <c r="CB108" i="79"/>
  <c r="CB108" i="92"/>
  <c r="CB108" i="91"/>
  <c r="CB108" i="90"/>
  <c r="AE109" i="79"/>
  <c r="AE109" i="92"/>
  <c r="AE109" i="91"/>
  <c r="AE109" i="90"/>
  <c r="BW109" i="79"/>
  <c r="BW109" i="92"/>
  <c r="BW109" i="91"/>
  <c r="BW109" i="90"/>
  <c r="CE109" i="79"/>
  <c r="CE109" i="92"/>
  <c r="CE109" i="91"/>
  <c r="CE109" i="90"/>
  <c r="AS110" i="79"/>
  <c r="AS110" i="92"/>
  <c r="AS110" i="91"/>
  <c r="AS110" i="90"/>
  <c r="BZ110" i="79"/>
  <c r="BZ110" i="92"/>
  <c r="BZ110" i="91"/>
  <c r="BZ110" i="90"/>
  <c r="CH110" i="79"/>
  <c r="CH110" i="92"/>
  <c r="CH110" i="91"/>
  <c r="CH110" i="90"/>
  <c r="BP111" i="79"/>
  <c r="BQ111" i="92"/>
  <c r="BP111" i="92"/>
  <c r="BQ111" i="91"/>
  <c r="BP111" i="91"/>
  <c r="BQ111" i="90"/>
  <c r="BP111" i="90"/>
  <c r="CC111" i="79"/>
  <c r="CC111" i="92"/>
  <c r="CC111" i="91"/>
  <c r="CC111" i="90"/>
  <c r="BX112" i="79"/>
  <c r="BX112" i="92"/>
  <c r="BX112" i="91"/>
  <c r="BX112" i="90"/>
  <c r="CF112" i="79"/>
  <c r="CF112" i="92"/>
  <c r="CF112" i="91"/>
  <c r="CF112" i="90"/>
  <c r="AW113" i="92"/>
  <c r="AV113" i="92"/>
  <c r="AU113" i="92"/>
  <c r="AW113" i="91"/>
  <c r="AV113" i="91"/>
  <c r="AU113" i="91"/>
  <c r="AW113" i="90"/>
  <c r="AV113" i="90"/>
  <c r="AU113" i="90"/>
  <c r="CA113" i="79"/>
  <c r="CA113" i="92"/>
  <c r="CA113" i="91"/>
  <c r="CA113" i="90"/>
  <c r="AB114" i="92"/>
  <c r="AD114" i="92"/>
  <c r="AC114" i="92"/>
  <c r="AC114" i="91"/>
  <c r="AB114" i="91"/>
  <c r="AD114" i="91"/>
  <c r="AD114" i="90"/>
  <c r="AB114" i="90"/>
  <c r="AC114" i="90"/>
  <c r="BV114" i="79"/>
  <c r="BV114" i="92"/>
  <c r="BV114" i="91"/>
  <c r="BV114" i="90"/>
  <c r="CD114" i="79"/>
  <c r="CD114" i="92"/>
  <c r="CD114" i="91"/>
  <c r="CD114" i="90"/>
  <c r="AR115" i="92"/>
  <c r="AQ115" i="92"/>
  <c r="AP115" i="92"/>
  <c r="AQ115" i="91"/>
  <c r="AR115" i="91"/>
  <c r="AP115" i="91"/>
  <c r="AR115" i="90"/>
  <c r="AQ115" i="90"/>
  <c r="AP115" i="90"/>
  <c r="BY115" i="79"/>
  <c r="BY115" i="92"/>
  <c r="BY115" i="91"/>
  <c r="BY115" i="90"/>
  <c r="CG115" i="79"/>
  <c r="CG115" i="92"/>
  <c r="CG115" i="91"/>
  <c r="CG115" i="90"/>
  <c r="AX116" i="79"/>
  <c r="AX116" i="92"/>
  <c r="AX116" i="91"/>
  <c r="AX116" i="90"/>
  <c r="CB116" i="79"/>
  <c r="CB116" i="92"/>
  <c r="CB116" i="91"/>
  <c r="CB116" i="90"/>
  <c r="AE117" i="79"/>
  <c r="AE117" i="92"/>
  <c r="AE117" i="91"/>
  <c r="AE117" i="90"/>
  <c r="BW117" i="79"/>
  <c r="BW117" i="92"/>
  <c r="BW117" i="91"/>
  <c r="BW117" i="90"/>
  <c r="CE117" i="79"/>
  <c r="CE117" i="92"/>
  <c r="CE117" i="91"/>
  <c r="CE117" i="90"/>
  <c r="AS118" i="79"/>
  <c r="AS118" i="92"/>
  <c r="AS118" i="91"/>
  <c r="AS118" i="90"/>
  <c r="BZ118" i="79"/>
  <c r="BZ118" i="92"/>
  <c r="BZ118" i="91"/>
  <c r="BZ118" i="90"/>
  <c r="CH118" i="79"/>
  <c r="CH118" i="92"/>
  <c r="CH118" i="91"/>
  <c r="CH118" i="90"/>
  <c r="BQ119" i="79"/>
  <c r="BQ119" i="92"/>
  <c r="BP119" i="92"/>
  <c r="BQ119" i="91"/>
  <c r="BP119" i="91"/>
  <c r="BQ119" i="90"/>
  <c r="BP119" i="90"/>
  <c r="CC119" i="79"/>
  <c r="CC119" i="92"/>
  <c r="CC119" i="91"/>
  <c r="CC119" i="90"/>
  <c r="BX120" i="79"/>
  <c r="BX120" i="92"/>
  <c r="BX120" i="91"/>
  <c r="BX120" i="90"/>
  <c r="CF120" i="79"/>
  <c r="CF120" i="92"/>
  <c r="CF120" i="91"/>
  <c r="CF120" i="90"/>
  <c r="CA121" i="79"/>
  <c r="CA121" i="92"/>
  <c r="CA121" i="91"/>
  <c r="CA121" i="90"/>
  <c r="AD122" i="92"/>
  <c r="AC122" i="92"/>
  <c r="AB122" i="92"/>
  <c r="AD122" i="91"/>
  <c r="AC122" i="91"/>
  <c r="AB122" i="91"/>
  <c r="AD122" i="90"/>
  <c r="AC122" i="90"/>
  <c r="AB122" i="90"/>
  <c r="BV122" i="79"/>
  <c r="BV122" i="92"/>
  <c r="BV122" i="91"/>
  <c r="BV122" i="90"/>
  <c r="CD122" i="79"/>
  <c r="CD122" i="92"/>
  <c r="CD122" i="91"/>
  <c r="CD122" i="90"/>
  <c r="AQ123" i="92"/>
  <c r="AP123" i="92"/>
  <c r="AR123" i="92"/>
  <c r="AQ123" i="91"/>
  <c r="AP123" i="91"/>
  <c r="AR123" i="91"/>
  <c r="AR123" i="90"/>
  <c r="AQ123" i="90"/>
  <c r="AP123" i="90"/>
  <c r="BY123" i="79"/>
  <c r="BY123" i="92"/>
  <c r="BY123" i="91"/>
  <c r="BY123" i="90"/>
  <c r="CG123" i="79"/>
  <c r="CG123" i="92"/>
  <c r="CG123" i="91"/>
  <c r="CG123" i="90"/>
  <c r="AX124" i="79"/>
  <c r="AX124" i="92"/>
  <c r="AX124" i="91"/>
  <c r="AX124" i="90"/>
  <c r="CB124" i="79"/>
  <c r="CB124" i="92"/>
  <c r="CB124" i="91"/>
  <c r="CB124" i="90"/>
  <c r="AE125" i="79"/>
  <c r="AE125" i="92"/>
  <c r="AE125" i="91"/>
  <c r="AE125" i="90"/>
  <c r="BW125" i="79"/>
  <c r="BW125" i="92"/>
  <c r="BW125" i="91"/>
  <c r="BW125" i="90"/>
  <c r="CE125" i="79"/>
  <c r="CE125" i="92"/>
  <c r="CE125" i="91"/>
  <c r="CE125" i="90"/>
  <c r="AS126" i="79"/>
  <c r="AS126" i="92"/>
  <c r="AS126" i="91"/>
  <c r="AS126" i="90"/>
  <c r="BZ126" i="79"/>
  <c r="BZ126" i="92"/>
  <c r="BZ126" i="91"/>
  <c r="BZ126" i="90"/>
  <c r="CH126" i="79"/>
  <c r="CH126" i="92"/>
  <c r="CH126" i="91"/>
  <c r="CH126" i="90"/>
  <c r="BP127" i="79"/>
  <c r="BP127" i="92"/>
  <c r="BQ127" i="92"/>
  <c r="BQ127" i="91"/>
  <c r="BP127" i="91"/>
  <c r="BQ127" i="90"/>
  <c r="BP127" i="90"/>
  <c r="CC127" i="79"/>
  <c r="CC127" i="92"/>
  <c r="CC127" i="91"/>
  <c r="CC127" i="90"/>
  <c r="AH128" i="92"/>
  <c r="AG128" i="92"/>
  <c r="AF128" i="92"/>
  <c r="AH128" i="91"/>
  <c r="AG128" i="91"/>
  <c r="AF128" i="91"/>
  <c r="AH128" i="90"/>
  <c r="AG128" i="90"/>
  <c r="AF128" i="90"/>
  <c r="BX128" i="79"/>
  <c r="BX128" i="92"/>
  <c r="BX128" i="91"/>
  <c r="BX128" i="90"/>
  <c r="CF128" i="79"/>
  <c r="CF128" i="92"/>
  <c r="CF128" i="91"/>
  <c r="CF128" i="90"/>
  <c r="CA129" i="79"/>
  <c r="CA129" i="92"/>
  <c r="CA129" i="91"/>
  <c r="CA129" i="90"/>
  <c r="AD130" i="92"/>
  <c r="AC130" i="92"/>
  <c r="AB130" i="92"/>
  <c r="AD130" i="91"/>
  <c r="AC130" i="91"/>
  <c r="AB130" i="91"/>
  <c r="AD130" i="90"/>
  <c r="AC130" i="90"/>
  <c r="AB130" i="90"/>
  <c r="BV130" i="79"/>
  <c r="BV130" i="92"/>
  <c r="BV130" i="91"/>
  <c r="BV130" i="90"/>
  <c r="CD130" i="79"/>
  <c r="CD130" i="92"/>
  <c r="CD130" i="91"/>
  <c r="CD130" i="90"/>
  <c r="BY131" i="79"/>
  <c r="BY131" i="92"/>
  <c r="BY131" i="91"/>
  <c r="BY131" i="90"/>
  <c r="CG131" i="79"/>
  <c r="CG131" i="92"/>
  <c r="CG131" i="91"/>
  <c r="CG131" i="90"/>
  <c r="AX132" i="79"/>
  <c r="AX132" i="92"/>
  <c r="AX132" i="91"/>
  <c r="AX132" i="90"/>
  <c r="CB132" i="79"/>
  <c r="CB132" i="92"/>
  <c r="CB132" i="91"/>
  <c r="CB132" i="90"/>
  <c r="AE133" i="79"/>
  <c r="AE133" i="92"/>
  <c r="AE133" i="91"/>
  <c r="AE133" i="90"/>
  <c r="BW133" i="79"/>
  <c r="BW133" i="92"/>
  <c r="BW133" i="91"/>
  <c r="BW133" i="90"/>
  <c r="CE133" i="79"/>
  <c r="CE133" i="92"/>
  <c r="CE133" i="91"/>
  <c r="CE133" i="90"/>
  <c r="AS134" i="79"/>
  <c r="AS134" i="92"/>
  <c r="AS134" i="91"/>
  <c r="AS134" i="90"/>
  <c r="BZ134" i="79"/>
  <c r="BZ134" i="92"/>
  <c r="BZ134" i="91"/>
  <c r="BZ134" i="90"/>
  <c r="CH134" i="79"/>
  <c r="CH134" i="92"/>
  <c r="CH134" i="91"/>
  <c r="CH134" i="90"/>
  <c r="BP135" i="79"/>
  <c r="BP135" i="92"/>
  <c r="BQ135" i="92"/>
  <c r="BQ135" i="91"/>
  <c r="BP135" i="91"/>
  <c r="BQ135" i="90"/>
  <c r="BP135" i="90"/>
  <c r="CC135" i="79"/>
  <c r="CC135" i="92"/>
  <c r="CC135" i="91"/>
  <c r="CC135" i="90"/>
  <c r="AH136" i="92"/>
  <c r="AG136" i="92"/>
  <c r="AF136" i="92"/>
  <c r="AH136" i="91"/>
  <c r="AG136" i="91"/>
  <c r="AF136" i="91"/>
  <c r="AH136" i="90"/>
  <c r="AG136" i="90"/>
  <c r="AF136" i="90"/>
  <c r="BX136" i="79"/>
  <c r="BX136" i="92"/>
  <c r="BX136" i="91"/>
  <c r="BX136" i="90"/>
  <c r="CF136" i="79"/>
  <c r="CF136" i="92"/>
  <c r="CF136" i="91"/>
  <c r="CF136" i="90"/>
  <c r="AV137" i="92"/>
  <c r="AU137" i="92"/>
  <c r="AW137" i="92"/>
  <c r="AU137" i="91"/>
  <c r="AW137" i="91"/>
  <c r="AV137" i="91"/>
  <c r="AW137" i="90"/>
  <c r="AU137" i="90"/>
  <c r="AV137" i="90"/>
  <c r="CA137" i="79"/>
  <c r="CA137" i="92"/>
  <c r="CA137" i="91"/>
  <c r="CA137" i="90"/>
  <c r="AD138" i="92"/>
  <c r="AC138" i="92"/>
  <c r="AB138" i="92"/>
  <c r="AC138" i="91"/>
  <c r="AB138" i="91"/>
  <c r="AD138" i="91"/>
  <c r="AD138" i="90"/>
  <c r="AC138" i="90"/>
  <c r="AB138" i="90"/>
  <c r="BV138" i="79"/>
  <c r="BV138" i="92"/>
  <c r="BV138" i="91"/>
  <c r="BV138" i="90"/>
  <c r="CD138" i="79"/>
  <c r="CD138" i="92"/>
  <c r="CD138" i="91"/>
  <c r="CD138" i="90"/>
  <c r="AP139" i="92"/>
  <c r="AR139" i="92"/>
  <c r="AQ139" i="92"/>
  <c r="AR139" i="91"/>
  <c r="AQ139" i="91"/>
  <c r="AP139" i="91"/>
  <c r="AQ139" i="90"/>
  <c r="AP139" i="90"/>
  <c r="AR139" i="90"/>
  <c r="BY139" i="79"/>
  <c r="BY139" i="92"/>
  <c r="BY139" i="91"/>
  <c r="BY139" i="90"/>
  <c r="CG139" i="79"/>
  <c r="CG139" i="92"/>
  <c r="CG139" i="91"/>
  <c r="CG139" i="90"/>
  <c r="AX140" i="79"/>
  <c r="AX140" i="92"/>
  <c r="AX140" i="91"/>
  <c r="AX140" i="90"/>
  <c r="CB140" i="79"/>
  <c r="CB140" i="92"/>
  <c r="CB140" i="91"/>
  <c r="CB140" i="90"/>
  <c r="AE141" i="79"/>
  <c r="AE141" i="92"/>
  <c r="AE141" i="91"/>
  <c r="AE141" i="90"/>
  <c r="BW141" i="79"/>
  <c r="BW141" i="92"/>
  <c r="BW141" i="91"/>
  <c r="BW141" i="90"/>
  <c r="CE141" i="79"/>
  <c r="CE141" i="92"/>
  <c r="CE141" i="91"/>
  <c r="CE141" i="90"/>
  <c r="AS142" i="79"/>
  <c r="AS142" i="92"/>
  <c r="AS142" i="91"/>
  <c r="AS142" i="90"/>
  <c r="BZ142" i="79"/>
  <c r="BZ142" i="92"/>
  <c r="BZ142" i="91"/>
  <c r="BZ142" i="90"/>
  <c r="CH142" i="79"/>
  <c r="CH142" i="92"/>
  <c r="CH142" i="91"/>
  <c r="CH142" i="90"/>
  <c r="BQ143" i="79"/>
  <c r="BP143" i="92"/>
  <c r="BQ143" i="92"/>
  <c r="BQ143" i="91"/>
  <c r="BP143" i="91"/>
  <c r="BQ143" i="90"/>
  <c r="BP143" i="90"/>
  <c r="CC143" i="79"/>
  <c r="CC143" i="92"/>
  <c r="CC143" i="91"/>
  <c r="CC143" i="90"/>
  <c r="AH144" i="92"/>
  <c r="AG144" i="92"/>
  <c r="AF144" i="92"/>
  <c r="AH144" i="91"/>
  <c r="AG144" i="91"/>
  <c r="AF144" i="91"/>
  <c r="AH144" i="90"/>
  <c r="AG144" i="90"/>
  <c r="AF144" i="90"/>
  <c r="BX144" i="79"/>
  <c r="BX144" i="92"/>
  <c r="BX144" i="91"/>
  <c r="BX144" i="90"/>
  <c r="CF144" i="79"/>
  <c r="CF144" i="92"/>
  <c r="CF144" i="91"/>
  <c r="CF144" i="90"/>
  <c r="AV145" i="92"/>
  <c r="AU145" i="92"/>
  <c r="AW145" i="92"/>
  <c r="AW145" i="91"/>
  <c r="AV145" i="91"/>
  <c r="AU145" i="91"/>
  <c r="AV145" i="90"/>
  <c r="AU145" i="90"/>
  <c r="AW145" i="90"/>
  <c r="CA145" i="79"/>
  <c r="CA145" i="92"/>
  <c r="CA145" i="91"/>
  <c r="CA145" i="90"/>
  <c r="AD146" i="92"/>
  <c r="AC146" i="92"/>
  <c r="AB146" i="92"/>
  <c r="AD146" i="91"/>
  <c r="AC146" i="91"/>
  <c r="AB146" i="91"/>
  <c r="AD146" i="90"/>
  <c r="AC146" i="90"/>
  <c r="AB146" i="90"/>
  <c r="BV146" i="79"/>
  <c r="BV146" i="92"/>
  <c r="BV146" i="91"/>
  <c r="BV146" i="90"/>
  <c r="CD146" i="79"/>
  <c r="CD146" i="92"/>
  <c r="CD146" i="91"/>
  <c r="CD146" i="90"/>
  <c r="BY147" i="79"/>
  <c r="BY147" i="92"/>
  <c r="BY147" i="91"/>
  <c r="BY147" i="90"/>
  <c r="CG147" i="79"/>
  <c r="CG147" i="92"/>
  <c r="CG147" i="91"/>
  <c r="CG147" i="90"/>
  <c r="AX148" i="79"/>
  <c r="AX148" i="92"/>
  <c r="AX148" i="91"/>
  <c r="AX148" i="90"/>
  <c r="CB148" i="79"/>
  <c r="CB148" i="92"/>
  <c r="CB148" i="91"/>
  <c r="CB148" i="90"/>
  <c r="AE149" i="79"/>
  <c r="AE149" i="92"/>
  <c r="AE149" i="91"/>
  <c r="AE149" i="90"/>
  <c r="BW149" i="79"/>
  <c r="BW149" i="92"/>
  <c r="BW149" i="91"/>
  <c r="BW149" i="90"/>
  <c r="CE149" i="79"/>
  <c r="CE149" i="92"/>
  <c r="CE149" i="91"/>
  <c r="CE149" i="90"/>
  <c r="AS150" i="79"/>
  <c r="AS150" i="92"/>
  <c r="AS150" i="91"/>
  <c r="AS150" i="90"/>
  <c r="BZ150" i="79"/>
  <c r="BZ150" i="92"/>
  <c r="BZ150" i="91"/>
  <c r="BZ150" i="90"/>
  <c r="CH150" i="79"/>
  <c r="CH150" i="92"/>
  <c r="CH150" i="91"/>
  <c r="CH150" i="90"/>
  <c r="BP151" i="79"/>
  <c r="BQ151" i="92"/>
  <c r="BP151" i="92"/>
  <c r="BQ151" i="91"/>
  <c r="BP151" i="91"/>
  <c r="BQ151" i="90"/>
  <c r="BP151" i="90"/>
  <c r="CC151" i="79"/>
  <c r="CC151" i="92"/>
  <c r="CC151" i="91"/>
  <c r="CC151" i="90"/>
  <c r="AH152" i="92"/>
  <c r="AG152" i="92"/>
  <c r="AF152" i="92"/>
  <c r="AG152" i="91"/>
  <c r="AF152" i="91"/>
  <c r="AH152" i="91"/>
  <c r="AH152" i="90"/>
  <c r="AG152" i="90"/>
  <c r="AF152" i="90"/>
  <c r="BX152" i="79"/>
  <c r="BX152" i="92"/>
  <c r="BX152" i="91"/>
  <c r="BX152" i="90"/>
  <c r="CF152" i="79"/>
  <c r="CF152" i="92"/>
  <c r="CF152" i="91"/>
  <c r="CF152" i="90"/>
  <c r="AV153" i="92"/>
  <c r="AU153" i="92"/>
  <c r="AW153" i="92"/>
  <c r="AW153" i="91"/>
  <c r="AV153" i="91"/>
  <c r="AU153" i="91"/>
  <c r="AW153" i="90"/>
  <c r="AV153" i="90"/>
  <c r="AU153" i="90"/>
  <c r="CA153" i="79"/>
  <c r="CA153" i="92"/>
  <c r="CA153" i="91"/>
  <c r="CA153" i="90"/>
  <c r="AD154" i="92"/>
  <c r="AC154" i="92"/>
  <c r="AB154" i="92"/>
  <c r="AD154" i="91"/>
  <c r="AC154" i="91"/>
  <c r="AB154" i="91"/>
  <c r="AD154" i="90"/>
  <c r="AC154" i="90"/>
  <c r="AB154" i="90"/>
  <c r="BV154" i="79"/>
  <c r="BV154" i="92"/>
  <c r="BV154" i="91"/>
  <c r="BV154" i="90"/>
  <c r="CD154" i="79"/>
  <c r="CD154" i="92"/>
  <c r="CD154" i="91"/>
  <c r="CD154" i="90"/>
  <c r="AQ155" i="92"/>
  <c r="AP155" i="92"/>
  <c r="AR155" i="92"/>
  <c r="AR155" i="91"/>
  <c r="AQ155" i="91"/>
  <c r="AP155" i="91"/>
  <c r="AR155" i="90"/>
  <c r="AQ155" i="90"/>
  <c r="AP155" i="90"/>
  <c r="BY155" i="79"/>
  <c r="BY155" i="92"/>
  <c r="BY155" i="91"/>
  <c r="BY155" i="90"/>
  <c r="CG155" i="79"/>
  <c r="CG155" i="92"/>
  <c r="CG155" i="91"/>
  <c r="CG155" i="90"/>
  <c r="AX156" i="79"/>
  <c r="AX156" i="92"/>
  <c r="AX156" i="91"/>
  <c r="AX156" i="90"/>
  <c r="CB156" i="79"/>
  <c r="CB156" i="92"/>
  <c r="CB156" i="91"/>
  <c r="CB156" i="90"/>
  <c r="AE157" i="79"/>
  <c r="AE157" i="92"/>
  <c r="AE157" i="91"/>
  <c r="AE157" i="90"/>
  <c r="BW157" i="79"/>
  <c r="BW157" i="92"/>
  <c r="BW157" i="91"/>
  <c r="BW157" i="90"/>
  <c r="CE157" i="79"/>
  <c r="CE157" i="92"/>
  <c r="CE157" i="91"/>
  <c r="CE157" i="90"/>
  <c r="AS158" i="79"/>
  <c r="AS158" i="92"/>
  <c r="AS158" i="91"/>
  <c r="AS158" i="90"/>
  <c r="BZ158" i="79"/>
  <c r="BZ158" i="92"/>
  <c r="BZ158" i="91"/>
  <c r="BZ158" i="90"/>
  <c r="CH158" i="79"/>
  <c r="CH158" i="92"/>
  <c r="CH158" i="91"/>
  <c r="CH158" i="90"/>
  <c r="BP159" i="79"/>
  <c r="BQ159" i="92"/>
  <c r="BP159" i="92"/>
  <c r="BQ159" i="91"/>
  <c r="BP159" i="91"/>
  <c r="BQ159" i="90"/>
  <c r="BP159" i="90"/>
  <c r="CC159" i="79"/>
  <c r="CC159" i="92"/>
  <c r="CC159" i="91"/>
  <c r="CC159" i="90"/>
  <c r="AH160" i="92"/>
  <c r="AF160" i="92"/>
  <c r="AG160" i="92"/>
  <c r="AH160" i="91"/>
  <c r="AG160" i="91"/>
  <c r="AF160" i="91"/>
  <c r="AH160" i="90"/>
  <c r="AG160" i="90"/>
  <c r="AF160" i="90"/>
  <c r="BX160" i="79"/>
  <c r="BX160" i="92"/>
  <c r="BX160" i="91"/>
  <c r="BX160" i="90"/>
  <c r="CF160" i="79"/>
  <c r="CF160" i="92"/>
  <c r="CF160" i="91"/>
  <c r="CF160" i="90"/>
  <c r="AV161" i="92"/>
  <c r="AU161" i="92"/>
  <c r="AW161" i="92"/>
  <c r="AW161" i="91"/>
  <c r="AV161" i="91"/>
  <c r="AU161" i="91"/>
  <c r="AW161" i="90"/>
  <c r="AV161" i="90"/>
  <c r="AU161" i="90"/>
  <c r="CA161" i="79"/>
  <c r="CA161" i="92"/>
  <c r="CA161" i="91"/>
  <c r="CA161" i="90"/>
  <c r="AD162" i="92"/>
  <c r="AC162" i="92"/>
  <c r="AB162" i="92"/>
  <c r="AD162" i="91"/>
  <c r="AC162" i="91"/>
  <c r="AB162" i="91"/>
  <c r="AD162" i="90"/>
  <c r="AC162" i="90"/>
  <c r="AB162" i="90"/>
  <c r="BV162" i="79"/>
  <c r="BV162" i="92"/>
  <c r="BV162" i="91"/>
  <c r="BV162" i="90"/>
  <c r="CD162" i="79"/>
  <c r="CD162" i="92"/>
  <c r="CD162" i="91"/>
  <c r="CD162" i="90"/>
  <c r="AR163" i="92"/>
  <c r="AQ163" i="92"/>
  <c r="AP163" i="92"/>
  <c r="AR163" i="91"/>
  <c r="AQ163" i="91"/>
  <c r="AP163" i="91"/>
  <c r="AR163" i="90"/>
  <c r="AQ163" i="90"/>
  <c r="AP163" i="90"/>
  <c r="BY163" i="79"/>
  <c r="BY163" i="92"/>
  <c r="BY163" i="91"/>
  <c r="BY163" i="90"/>
  <c r="CG163" i="79"/>
  <c r="CG163" i="92"/>
  <c r="CG163" i="91"/>
  <c r="CG163" i="90"/>
  <c r="AX164" i="79"/>
  <c r="AX164" i="92"/>
  <c r="AX164" i="91"/>
  <c r="AX164" i="90"/>
  <c r="CB164" i="79"/>
  <c r="CB164" i="92"/>
  <c r="CB164" i="91"/>
  <c r="CB164" i="90"/>
  <c r="AE165" i="79"/>
  <c r="AE165" i="92"/>
  <c r="AE165" i="91"/>
  <c r="AE165" i="90"/>
  <c r="BW165" i="79"/>
  <c r="BW165" i="92"/>
  <c r="BW165" i="91"/>
  <c r="BW165" i="90"/>
  <c r="CE165" i="79"/>
  <c r="CE165" i="92"/>
  <c r="CE165" i="91"/>
  <c r="CE165" i="90"/>
  <c r="AS166" i="79"/>
  <c r="AS166" i="92"/>
  <c r="AS166" i="91"/>
  <c r="AS166" i="90"/>
  <c r="BZ166" i="79"/>
  <c r="BZ166" i="92"/>
  <c r="BZ166" i="91"/>
  <c r="BZ166" i="90"/>
  <c r="CH166" i="79"/>
  <c r="CH166" i="92"/>
  <c r="CH166" i="91"/>
  <c r="CH166" i="90"/>
  <c r="BP167" i="79"/>
  <c r="BQ167" i="92"/>
  <c r="BP167" i="92"/>
  <c r="BQ167" i="91"/>
  <c r="BP167" i="91"/>
  <c r="BQ167" i="90"/>
  <c r="BP167" i="90"/>
  <c r="CC167" i="79"/>
  <c r="CC167" i="92"/>
  <c r="CC167" i="91"/>
  <c r="CC167" i="90"/>
  <c r="AH168" i="92"/>
  <c r="AG168" i="92"/>
  <c r="AF168" i="92"/>
  <c r="AH168" i="91"/>
  <c r="AG168" i="91"/>
  <c r="AF168" i="91"/>
  <c r="AH168" i="90"/>
  <c r="AG168" i="90"/>
  <c r="AF168" i="90"/>
  <c r="BX168" i="79"/>
  <c r="BX168" i="92"/>
  <c r="BX168" i="91"/>
  <c r="BX168" i="90"/>
  <c r="CF168" i="79"/>
  <c r="CF168" i="92"/>
  <c r="CF168" i="91"/>
  <c r="CF168" i="90"/>
  <c r="CA169" i="90"/>
  <c r="BV170" i="90"/>
  <c r="N91" i="86"/>
  <c r="K91" i="86"/>
  <c r="BY171" i="90"/>
  <c r="CG171" i="90"/>
  <c r="N324" i="86"/>
  <c r="K324" i="86"/>
  <c r="CB172" i="90"/>
  <c r="AE173" i="79"/>
  <c r="AE173" i="92"/>
  <c r="AE173" i="91"/>
  <c r="AE173" i="90"/>
  <c r="BW173" i="79"/>
  <c r="BW173" i="90"/>
  <c r="CE173" i="79"/>
  <c r="CE173" i="92"/>
  <c r="CE173" i="91"/>
  <c r="CE173" i="90"/>
  <c r="AS174" i="79"/>
  <c r="AS174" i="92"/>
  <c r="AS174" i="91"/>
  <c r="AS174" i="90"/>
  <c r="BZ174" i="79"/>
  <c r="BZ174" i="92"/>
  <c r="BZ174" i="91"/>
  <c r="BZ174" i="90"/>
  <c r="CH174" i="79"/>
  <c r="CH174" i="90"/>
  <c r="BV175" i="79"/>
  <c r="BV175" i="90"/>
  <c r="CD175" i="79"/>
  <c r="CD175" i="92"/>
  <c r="CD175" i="91"/>
  <c r="CD175" i="90"/>
  <c r="CF110" i="79"/>
  <c r="CF110" i="92"/>
  <c r="CF110" i="91"/>
  <c r="CF110" i="90"/>
  <c r="CD112" i="79"/>
  <c r="CD112" i="92"/>
  <c r="CD112" i="91"/>
  <c r="CD112" i="90"/>
  <c r="AX114" i="79"/>
  <c r="AX114" i="92"/>
  <c r="AX114" i="91"/>
  <c r="AX114" i="90"/>
  <c r="CE115" i="79"/>
  <c r="CE115" i="92"/>
  <c r="CE115" i="91"/>
  <c r="CE115" i="90"/>
  <c r="CC117" i="79"/>
  <c r="CC117" i="92"/>
  <c r="CC117" i="91"/>
  <c r="CC117" i="90"/>
  <c r="CA119" i="79"/>
  <c r="CA119" i="92"/>
  <c r="CA119" i="91"/>
  <c r="CA119" i="90"/>
  <c r="AE123" i="79"/>
  <c r="AE123" i="92"/>
  <c r="AE123" i="91"/>
  <c r="AE123" i="90"/>
  <c r="AS124" i="79"/>
  <c r="AS124" i="92"/>
  <c r="AS124" i="91"/>
  <c r="AS124" i="90"/>
  <c r="CC125" i="79"/>
  <c r="CC125" i="92"/>
  <c r="CC125" i="91"/>
  <c r="CC125" i="90"/>
  <c r="AV127" i="92"/>
  <c r="AU127" i="92"/>
  <c r="AW127" i="92"/>
  <c r="AW127" i="91"/>
  <c r="AV127" i="91"/>
  <c r="AU127" i="91"/>
  <c r="AW127" i="90"/>
  <c r="AV127" i="90"/>
  <c r="AU127" i="90"/>
  <c r="AC128" i="92"/>
  <c r="AB128" i="92"/>
  <c r="AD128" i="92"/>
  <c r="AB128" i="91"/>
  <c r="AD128" i="91"/>
  <c r="AC128" i="91"/>
  <c r="AD128" i="90"/>
  <c r="AB128" i="90"/>
  <c r="AC128" i="90"/>
  <c r="BY129" i="79"/>
  <c r="BY129" i="92"/>
  <c r="BY129" i="91"/>
  <c r="BY129" i="90"/>
  <c r="BW131" i="79"/>
  <c r="BW131" i="92"/>
  <c r="BW131" i="91"/>
  <c r="BW131" i="90"/>
  <c r="CH132" i="79"/>
  <c r="CH132" i="92"/>
  <c r="CH132" i="91"/>
  <c r="CH132" i="90"/>
  <c r="CF134" i="79"/>
  <c r="CF134" i="92"/>
  <c r="CF134" i="91"/>
  <c r="CF134" i="90"/>
  <c r="CD136" i="79"/>
  <c r="CD136" i="92"/>
  <c r="CD136" i="91"/>
  <c r="CD136" i="90"/>
  <c r="AX138" i="79"/>
  <c r="AX138" i="92"/>
  <c r="AX138" i="91"/>
  <c r="AX138" i="90"/>
  <c r="AE139" i="79"/>
  <c r="AE139" i="92"/>
  <c r="AE139" i="91"/>
  <c r="AE139" i="90"/>
  <c r="AS140" i="79"/>
  <c r="AS140" i="92"/>
  <c r="AS140" i="91"/>
  <c r="AS140" i="90"/>
  <c r="CH140" i="79"/>
  <c r="CH140" i="92"/>
  <c r="CH140" i="91"/>
  <c r="CH140" i="90"/>
  <c r="BX142" i="79"/>
  <c r="BX142" i="92"/>
  <c r="BX142" i="91"/>
  <c r="BX142" i="90"/>
  <c r="CF142" i="79"/>
  <c r="CF142" i="92"/>
  <c r="CF142" i="91"/>
  <c r="CF142" i="90"/>
  <c r="AC144" i="92"/>
  <c r="AB144" i="92"/>
  <c r="AD144" i="92"/>
  <c r="AD144" i="91"/>
  <c r="AC144" i="91"/>
  <c r="AB144" i="91"/>
  <c r="AD144" i="90"/>
  <c r="AC144" i="90"/>
  <c r="AB144" i="90"/>
  <c r="BY145" i="79"/>
  <c r="BY145" i="92"/>
  <c r="BY145" i="91"/>
  <c r="BY145" i="90"/>
  <c r="AE147" i="79"/>
  <c r="AE147" i="92"/>
  <c r="AE147" i="91"/>
  <c r="AE147" i="90"/>
  <c r="BZ148" i="79"/>
  <c r="BZ148" i="92"/>
  <c r="BZ148" i="91"/>
  <c r="BZ148" i="90"/>
  <c r="CC149" i="79"/>
  <c r="CC149" i="92"/>
  <c r="CC149" i="91"/>
  <c r="CC149" i="90"/>
  <c r="CF150" i="79"/>
  <c r="CF150" i="92"/>
  <c r="CF150" i="91"/>
  <c r="CF150" i="90"/>
  <c r="BV152" i="79"/>
  <c r="BV152" i="92"/>
  <c r="BV152" i="91"/>
  <c r="BV152" i="90"/>
  <c r="AR153" i="92"/>
  <c r="AQ153" i="92"/>
  <c r="AP153" i="92"/>
  <c r="AQ153" i="91"/>
  <c r="AP153" i="91"/>
  <c r="AR153" i="91"/>
  <c r="AQ153" i="90"/>
  <c r="AP153" i="90"/>
  <c r="AR153" i="90"/>
  <c r="AE155" i="79"/>
  <c r="AE155" i="92"/>
  <c r="AE155" i="91"/>
  <c r="AE155" i="90"/>
  <c r="AS156" i="79"/>
  <c r="AS156" i="92"/>
  <c r="AS156" i="91"/>
  <c r="AS156" i="90"/>
  <c r="AH158" i="92"/>
  <c r="AG158" i="92"/>
  <c r="AF158" i="92"/>
  <c r="AH158" i="91"/>
  <c r="AG158" i="91"/>
  <c r="AF158" i="91"/>
  <c r="AH158" i="90"/>
  <c r="AG158" i="90"/>
  <c r="AF158" i="90"/>
  <c r="CA159" i="79"/>
  <c r="CA159" i="92"/>
  <c r="CA159" i="91"/>
  <c r="CA159" i="90"/>
  <c r="CD160" i="79"/>
  <c r="CD160" i="92"/>
  <c r="CD160" i="91"/>
  <c r="CD160" i="90"/>
  <c r="CG161" i="79"/>
  <c r="CG161" i="92"/>
  <c r="CG161" i="91"/>
  <c r="CG161" i="90"/>
  <c r="AE163" i="79"/>
  <c r="AE163" i="92"/>
  <c r="AE163" i="91"/>
  <c r="AE163" i="90"/>
  <c r="AS164" i="79"/>
  <c r="AS164" i="92"/>
  <c r="AS164" i="91"/>
  <c r="AS164" i="90"/>
  <c r="CH164" i="79"/>
  <c r="CH164" i="92"/>
  <c r="CH164" i="91"/>
  <c r="CH164" i="90"/>
  <c r="AH166" i="92"/>
  <c r="AF166" i="92"/>
  <c r="AG166" i="92"/>
  <c r="AH166" i="91"/>
  <c r="AG166" i="91"/>
  <c r="AF166" i="91"/>
  <c r="AH166" i="90"/>
  <c r="AG166" i="90"/>
  <c r="AF166" i="90"/>
  <c r="AV167" i="92"/>
  <c r="AU167" i="92"/>
  <c r="AW167" i="92"/>
  <c r="AV167" i="91"/>
  <c r="AU167" i="91"/>
  <c r="AW167" i="91"/>
  <c r="AV167" i="90"/>
  <c r="AU167" i="90"/>
  <c r="AW167" i="90"/>
  <c r="BV168" i="79"/>
  <c r="BV168" i="92"/>
  <c r="BV168" i="91"/>
  <c r="BV168" i="90"/>
  <c r="BY169" i="90"/>
  <c r="CG169" i="90"/>
  <c r="CB170" i="90"/>
  <c r="N280" i="86"/>
  <c r="K280" i="86"/>
  <c r="BX174" i="79"/>
  <c r="BX174" i="90"/>
  <c r="AE2" i="92"/>
  <c r="AE2" i="91"/>
  <c r="AE2" i="90"/>
  <c r="BW2" i="92"/>
  <c r="BW2" i="91"/>
  <c r="BW2" i="90"/>
  <c r="CE2" i="92"/>
  <c r="CE2" i="91"/>
  <c r="CE2" i="90"/>
  <c r="AS3" i="79"/>
  <c r="AS3" i="92"/>
  <c r="AS3" i="91"/>
  <c r="AS3" i="90"/>
  <c r="BZ3" i="79"/>
  <c r="BZ3" i="92"/>
  <c r="BZ3" i="91"/>
  <c r="BZ3" i="90"/>
  <c r="CH3" i="79"/>
  <c r="CH3" i="92"/>
  <c r="CH3" i="91"/>
  <c r="CH3" i="90"/>
  <c r="BQ4" i="79"/>
  <c r="BQ4" i="92"/>
  <c r="BP4" i="92"/>
  <c r="BQ4" i="91"/>
  <c r="BP4" i="91"/>
  <c r="BQ4" i="90"/>
  <c r="BP4" i="90"/>
  <c r="CC4" i="79"/>
  <c r="CC4" i="92"/>
  <c r="CC4" i="91"/>
  <c r="CC4" i="90"/>
  <c r="AH5" i="92"/>
  <c r="AG5" i="92"/>
  <c r="AF5" i="92"/>
  <c r="AH5" i="91"/>
  <c r="AG5" i="91"/>
  <c r="AF5" i="91"/>
  <c r="AF5" i="90"/>
  <c r="AH5" i="90"/>
  <c r="AG5" i="90"/>
  <c r="BX5" i="79"/>
  <c r="BX5" i="92"/>
  <c r="BX5" i="91"/>
  <c r="BX5" i="90"/>
  <c r="CF5" i="79"/>
  <c r="CF5" i="92"/>
  <c r="CF5" i="91"/>
  <c r="CF5" i="90"/>
  <c r="AW6" i="92"/>
  <c r="AV6" i="92"/>
  <c r="AU6" i="92"/>
  <c r="AV6" i="91"/>
  <c r="AW6" i="91"/>
  <c r="AU6" i="91"/>
  <c r="AW6" i="90"/>
  <c r="AV6" i="90"/>
  <c r="AU6" i="90"/>
  <c r="CA6" i="79"/>
  <c r="CA6" i="92"/>
  <c r="CA6" i="91"/>
  <c r="CA6" i="90"/>
  <c r="AD7" i="92"/>
  <c r="AC7" i="92"/>
  <c r="AB7" i="92"/>
  <c r="AD7" i="91"/>
  <c r="AC7" i="91"/>
  <c r="AB7" i="91"/>
  <c r="AB7" i="90"/>
  <c r="AD7" i="90"/>
  <c r="AC7" i="90"/>
  <c r="BV7" i="79"/>
  <c r="BV7" i="92"/>
  <c r="BV7" i="91"/>
  <c r="BV7" i="90"/>
  <c r="CD7" i="79"/>
  <c r="CD7" i="92"/>
  <c r="CD7" i="91"/>
  <c r="CD7" i="90"/>
  <c r="AR8" i="92"/>
  <c r="AQ8" i="92"/>
  <c r="AP8" i="92"/>
  <c r="AQ8" i="91"/>
  <c r="AR8" i="91"/>
  <c r="AP8" i="91"/>
  <c r="AR8" i="90"/>
  <c r="AQ8" i="90"/>
  <c r="AP8" i="90"/>
  <c r="BY8" i="79"/>
  <c r="BY8" i="92"/>
  <c r="BY8" i="91"/>
  <c r="BY8" i="90"/>
  <c r="CG8" i="79"/>
  <c r="CG8" i="92"/>
  <c r="CG8" i="91"/>
  <c r="CG8" i="90"/>
  <c r="AX9" i="79"/>
  <c r="AX9" i="92"/>
  <c r="AX9" i="91"/>
  <c r="AX9" i="90"/>
  <c r="CB9" i="79"/>
  <c r="CB9" i="92"/>
  <c r="CB9" i="91"/>
  <c r="CB9" i="90"/>
  <c r="AE10" i="79"/>
  <c r="AE10" i="92"/>
  <c r="AE10" i="91"/>
  <c r="AE10" i="90"/>
  <c r="BW10" i="79"/>
  <c r="BW10" i="92"/>
  <c r="BW10" i="91"/>
  <c r="BW10" i="90"/>
  <c r="CE10" i="79"/>
  <c r="CE10" i="92"/>
  <c r="CE10" i="91"/>
  <c r="CE10" i="90"/>
  <c r="AS11" i="79"/>
  <c r="AS11" i="92"/>
  <c r="AS11" i="91"/>
  <c r="AS11" i="90"/>
  <c r="BZ11" i="79"/>
  <c r="BZ11" i="92"/>
  <c r="BZ11" i="91"/>
  <c r="BZ11" i="90"/>
  <c r="CH11" i="79"/>
  <c r="CH11" i="92"/>
  <c r="CH11" i="91"/>
  <c r="CH11" i="90"/>
  <c r="BQ12" i="79"/>
  <c r="BQ12" i="92"/>
  <c r="BP12" i="92"/>
  <c r="BQ12" i="91"/>
  <c r="BP12" i="91"/>
  <c r="BQ12" i="90"/>
  <c r="BP12" i="90"/>
  <c r="CC12" i="79"/>
  <c r="CC12" i="92"/>
  <c r="CC12" i="91"/>
  <c r="CC12" i="90"/>
  <c r="AH13" i="92"/>
  <c r="AG13" i="92"/>
  <c r="AF13" i="92"/>
  <c r="AH13" i="91"/>
  <c r="AG13" i="91"/>
  <c r="AF13" i="91"/>
  <c r="AF13" i="90"/>
  <c r="AH13" i="90"/>
  <c r="AG13" i="90"/>
  <c r="BX13" i="79"/>
  <c r="BX13" i="92"/>
  <c r="BX13" i="91"/>
  <c r="BX13" i="90"/>
  <c r="CF13" i="79"/>
  <c r="CF13" i="92"/>
  <c r="CF13" i="91"/>
  <c r="CF13" i="90"/>
  <c r="AW14" i="92"/>
  <c r="AV14" i="92"/>
  <c r="AU14" i="92"/>
  <c r="AW14" i="91"/>
  <c r="AV14" i="91"/>
  <c r="AU14" i="91"/>
  <c r="AW14" i="90"/>
  <c r="AV14" i="90"/>
  <c r="AU14" i="90"/>
  <c r="CA14" i="79"/>
  <c r="CA14" i="92"/>
  <c r="CA14" i="91"/>
  <c r="CA14" i="90"/>
  <c r="AD15" i="92"/>
  <c r="AC15" i="92"/>
  <c r="AB15" i="92"/>
  <c r="AC15" i="91"/>
  <c r="AB15" i="91"/>
  <c r="AD15" i="91"/>
  <c r="AB15" i="90"/>
  <c r="AD15" i="90"/>
  <c r="AC15" i="90"/>
  <c r="BV15" i="79"/>
  <c r="BV15" i="92"/>
  <c r="BV15" i="91"/>
  <c r="BV15" i="90"/>
  <c r="CD15" i="79"/>
  <c r="CD15" i="92"/>
  <c r="CD15" i="91"/>
  <c r="CD15" i="90"/>
  <c r="AR16" i="92"/>
  <c r="AQ16" i="92"/>
  <c r="AP16" i="92"/>
  <c r="AP16" i="91"/>
  <c r="AR16" i="91"/>
  <c r="AQ16" i="91"/>
  <c r="AR16" i="90"/>
  <c r="AQ16" i="90"/>
  <c r="AP16" i="90"/>
  <c r="BY16" i="79"/>
  <c r="BY16" i="92"/>
  <c r="BY16" i="91"/>
  <c r="BY16" i="90"/>
  <c r="CG16" i="79"/>
  <c r="CG16" i="92"/>
  <c r="CG16" i="91"/>
  <c r="CG16" i="90"/>
  <c r="AX17" i="79"/>
  <c r="AX17" i="92"/>
  <c r="AX17" i="91"/>
  <c r="AX17" i="90"/>
  <c r="CB17" i="79"/>
  <c r="CB17" i="92"/>
  <c r="CB17" i="91"/>
  <c r="CB17" i="90"/>
  <c r="AE18" i="79"/>
  <c r="AE18" i="92"/>
  <c r="AE18" i="91"/>
  <c r="AE18" i="90"/>
  <c r="BW18" i="79"/>
  <c r="BW18" i="92"/>
  <c r="BW18" i="91"/>
  <c r="BW18" i="90"/>
  <c r="CE18" i="79"/>
  <c r="CE18" i="92"/>
  <c r="CE18" i="91"/>
  <c r="CE18" i="90"/>
  <c r="AS19" i="79"/>
  <c r="AS19" i="92"/>
  <c r="AS19" i="91"/>
  <c r="AS19" i="90"/>
  <c r="BZ19" i="79"/>
  <c r="BZ19" i="92"/>
  <c r="BZ19" i="91"/>
  <c r="BZ19" i="90"/>
  <c r="CH19" i="79"/>
  <c r="CH19" i="92"/>
  <c r="CH19" i="91"/>
  <c r="CH19" i="90"/>
  <c r="BQ20" i="79"/>
  <c r="BQ20" i="92"/>
  <c r="BP20" i="92"/>
  <c r="BP20" i="91"/>
  <c r="BQ20" i="91"/>
  <c r="BQ20" i="90"/>
  <c r="BP20" i="90"/>
  <c r="CC20" i="79"/>
  <c r="CC20" i="92"/>
  <c r="CC20" i="91"/>
  <c r="CC20" i="90"/>
  <c r="BX21" i="79"/>
  <c r="BX21" i="92"/>
  <c r="BX21" i="91"/>
  <c r="BX21" i="90"/>
  <c r="CF21" i="79"/>
  <c r="CF21" i="92"/>
  <c r="CF21" i="91"/>
  <c r="CF21" i="90"/>
  <c r="AW22" i="92"/>
  <c r="AV22" i="92"/>
  <c r="AU22" i="92"/>
  <c r="AU22" i="91"/>
  <c r="AW22" i="91"/>
  <c r="AV22" i="91"/>
  <c r="AW22" i="90"/>
  <c r="AV22" i="90"/>
  <c r="AU22" i="90"/>
  <c r="CA22" i="79"/>
  <c r="CA22" i="92"/>
  <c r="CA22" i="91"/>
  <c r="CA22" i="90"/>
  <c r="AD23" i="92"/>
  <c r="AC23" i="92"/>
  <c r="AB23" i="92"/>
  <c r="AD23" i="91"/>
  <c r="AC23" i="91"/>
  <c r="AB23" i="91"/>
  <c r="AB23" i="90"/>
  <c r="AD23" i="90"/>
  <c r="AC23" i="90"/>
  <c r="BV23" i="79"/>
  <c r="BV23" i="92"/>
  <c r="BV23" i="91"/>
  <c r="BV23" i="90"/>
  <c r="CD23" i="79"/>
  <c r="CD23" i="92"/>
  <c r="CD23" i="91"/>
  <c r="CD23" i="90"/>
  <c r="BY24" i="79"/>
  <c r="BY24" i="92"/>
  <c r="BY24" i="91"/>
  <c r="BY24" i="90"/>
  <c r="CG24" i="79"/>
  <c r="CG24" i="92"/>
  <c r="CG24" i="91"/>
  <c r="CG24" i="90"/>
  <c r="AX25" i="79"/>
  <c r="AX25" i="92"/>
  <c r="AX25" i="91"/>
  <c r="AX25" i="90"/>
  <c r="CB25" i="79"/>
  <c r="CB25" i="92"/>
  <c r="CB25" i="91"/>
  <c r="CB25" i="90"/>
  <c r="AE26" i="79"/>
  <c r="AE26" i="92"/>
  <c r="AE26" i="91"/>
  <c r="AE26" i="90"/>
  <c r="BW26" i="79"/>
  <c r="BW26" i="92"/>
  <c r="BW26" i="91"/>
  <c r="BW26" i="90"/>
  <c r="CE26" i="79"/>
  <c r="CE26" i="92"/>
  <c r="CE26" i="91"/>
  <c r="CE26" i="90"/>
  <c r="AS27" i="79"/>
  <c r="AS27" i="92"/>
  <c r="AS27" i="91"/>
  <c r="AS27" i="90"/>
  <c r="BZ27" i="79"/>
  <c r="BZ27" i="92"/>
  <c r="BZ27" i="91"/>
  <c r="BZ27" i="90"/>
  <c r="CH27" i="79"/>
  <c r="CH27" i="92"/>
  <c r="CH27" i="91"/>
  <c r="CH27" i="90"/>
  <c r="BQ28" i="79"/>
  <c r="BQ28" i="92"/>
  <c r="BP28" i="92"/>
  <c r="BP28" i="91"/>
  <c r="BQ28" i="91"/>
  <c r="BQ28" i="90"/>
  <c r="BP28" i="90"/>
  <c r="CC28" i="79"/>
  <c r="CC28" i="92"/>
  <c r="CC28" i="91"/>
  <c r="CC28" i="90"/>
  <c r="AH29" i="92"/>
  <c r="AG29" i="92"/>
  <c r="AF29" i="92"/>
  <c r="AH29" i="91"/>
  <c r="AG29" i="91"/>
  <c r="AF29" i="91"/>
  <c r="AF29" i="90"/>
  <c r="AG29" i="90"/>
  <c r="AH29" i="90"/>
  <c r="BX29" i="79"/>
  <c r="BX29" i="92"/>
  <c r="BX29" i="91"/>
  <c r="BX29" i="90"/>
  <c r="CF29" i="79"/>
  <c r="CF29" i="92"/>
  <c r="CF29" i="91"/>
  <c r="CF29" i="90"/>
  <c r="CA30" i="79"/>
  <c r="CA30" i="92"/>
  <c r="CA30" i="91"/>
  <c r="CA30" i="90"/>
  <c r="AD31" i="92"/>
  <c r="AC31" i="92"/>
  <c r="AB31" i="92"/>
  <c r="AD31" i="91"/>
  <c r="AC31" i="91"/>
  <c r="AB31" i="91"/>
  <c r="AB31" i="90"/>
  <c r="AC31" i="90"/>
  <c r="AD31" i="90"/>
  <c r="BV31" i="79"/>
  <c r="BV31" i="92"/>
  <c r="BV31" i="91"/>
  <c r="BV31" i="90"/>
  <c r="CD31" i="79"/>
  <c r="CD31" i="92"/>
  <c r="CD31" i="91"/>
  <c r="CD31" i="90"/>
  <c r="AR32" i="92"/>
  <c r="AQ32" i="92"/>
  <c r="AP32" i="92"/>
  <c r="AP32" i="91"/>
  <c r="AR32" i="91"/>
  <c r="AQ32" i="91"/>
  <c r="AR32" i="90"/>
  <c r="AQ32" i="90"/>
  <c r="AP32" i="90"/>
  <c r="BY32" i="79"/>
  <c r="BY32" i="92"/>
  <c r="BY32" i="91"/>
  <c r="BY32" i="90"/>
  <c r="CG32" i="79"/>
  <c r="CG32" i="92"/>
  <c r="CG32" i="91"/>
  <c r="CG32" i="90"/>
  <c r="AX33" i="79"/>
  <c r="AX33" i="92"/>
  <c r="AX33" i="91"/>
  <c r="AX33" i="90"/>
  <c r="CB33" i="79"/>
  <c r="CB33" i="92"/>
  <c r="CB33" i="91"/>
  <c r="CB33" i="90"/>
  <c r="AE34" i="79"/>
  <c r="AE34" i="92"/>
  <c r="AE34" i="91"/>
  <c r="AE34" i="90"/>
  <c r="BW34" i="79"/>
  <c r="BW34" i="92"/>
  <c r="BW34" i="91"/>
  <c r="BW34" i="90"/>
  <c r="CE34" i="79"/>
  <c r="CE34" i="92"/>
  <c r="CE34" i="91"/>
  <c r="CE34" i="90"/>
  <c r="AS35" i="79"/>
  <c r="AS35" i="92"/>
  <c r="AS35" i="91"/>
  <c r="AS35" i="90"/>
  <c r="BZ35" i="79"/>
  <c r="BZ35" i="92"/>
  <c r="BZ35" i="91"/>
  <c r="BZ35" i="90"/>
  <c r="CH35" i="79"/>
  <c r="CH35" i="92"/>
  <c r="CH35" i="91"/>
  <c r="CH35" i="90"/>
  <c r="BQ36" i="79"/>
  <c r="BQ36" i="92"/>
  <c r="BP36" i="92"/>
  <c r="BP36" i="91"/>
  <c r="BQ36" i="91"/>
  <c r="BQ36" i="90"/>
  <c r="BP36" i="90"/>
  <c r="CC36" i="79"/>
  <c r="CC36" i="92"/>
  <c r="CC36" i="91"/>
  <c r="CC36" i="90"/>
  <c r="AH37" i="92"/>
  <c r="AG37" i="92"/>
  <c r="AF37" i="92"/>
  <c r="AH37" i="91"/>
  <c r="AG37" i="91"/>
  <c r="AF37" i="91"/>
  <c r="AF37" i="90"/>
  <c r="AG37" i="90"/>
  <c r="AH37" i="90"/>
  <c r="BX37" i="79"/>
  <c r="BX37" i="92"/>
  <c r="BX37" i="91"/>
  <c r="BX37" i="90"/>
  <c r="CF37" i="79"/>
  <c r="CF37" i="92"/>
  <c r="CF37" i="91"/>
  <c r="CF37" i="90"/>
  <c r="AW38" i="92"/>
  <c r="AV38" i="92"/>
  <c r="AU38" i="92"/>
  <c r="AU38" i="91"/>
  <c r="AW38" i="91"/>
  <c r="AV38" i="91"/>
  <c r="AW38" i="90"/>
  <c r="AV38" i="90"/>
  <c r="AU38" i="90"/>
  <c r="CA38" i="79"/>
  <c r="CA38" i="92"/>
  <c r="CA38" i="91"/>
  <c r="CA38" i="90"/>
  <c r="AD39" i="92"/>
  <c r="AC39" i="92"/>
  <c r="AB39" i="92"/>
  <c r="AD39" i="91"/>
  <c r="AC39" i="91"/>
  <c r="AB39" i="91"/>
  <c r="AB39" i="90"/>
  <c r="AC39" i="90"/>
  <c r="AD39" i="90"/>
  <c r="BV39" i="79"/>
  <c r="BV39" i="92"/>
  <c r="BV39" i="91"/>
  <c r="BV39" i="90"/>
  <c r="CD39" i="79"/>
  <c r="CD39" i="92"/>
  <c r="CD39" i="91"/>
  <c r="CD39" i="90"/>
  <c r="AR40" i="92"/>
  <c r="AQ40" i="92"/>
  <c r="AP40" i="92"/>
  <c r="AP40" i="91"/>
  <c r="AR40" i="91"/>
  <c r="AQ40" i="91"/>
  <c r="AR40" i="90"/>
  <c r="AQ40" i="90"/>
  <c r="AP40" i="90"/>
  <c r="BY40" i="79"/>
  <c r="BY40" i="92"/>
  <c r="BY40" i="91"/>
  <c r="BY40" i="90"/>
  <c r="CG40" i="79"/>
  <c r="CG40" i="92"/>
  <c r="CG40" i="91"/>
  <c r="CG40" i="90"/>
  <c r="AX41" i="79"/>
  <c r="AX41" i="92"/>
  <c r="AX41" i="91"/>
  <c r="AX41" i="90"/>
  <c r="CB41" i="79"/>
  <c r="CB41" i="92"/>
  <c r="CB41" i="91"/>
  <c r="CB41" i="90"/>
  <c r="AE42" i="79"/>
  <c r="AE42" i="92"/>
  <c r="AE42" i="91"/>
  <c r="AE42" i="90"/>
  <c r="BW42" i="79"/>
  <c r="BW42" i="92"/>
  <c r="BW42" i="91"/>
  <c r="BW42" i="90"/>
  <c r="CE42" i="79"/>
  <c r="CE42" i="92"/>
  <c r="CE42" i="91"/>
  <c r="CE42" i="90"/>
  <c r="AS43" i="79"/>
  <c r="AS43" i="92"/>
  <c r="AS43" i="91"/>
  <c r="AS43" i="90"/>
  <c r="BZ43" i="79"/>
  <c r="BZ43" i="92"/>
  <c r="BZ43" i="91"/>
  <c r="BZ43" i="90"/>
  <c r="CH43" i="79"/>
  <c r="CH43" i="92"/>
  <c r="CH43" i="91"/>
  <c r="CH43" i="90"/>
  <c r="BQ44" i="79"/>
  <c r="BQ44" i="92"/>
  <c r="BP44" i="92"/>
  <c r="BP44" i="91"/>
  <c r="BQ44" i="91"/>
  <c r="BQ44" i="90"/>
  <c r="BP44" i="90"/>
  <c r="CC44" i="79"/>
  <c r="CC44" i="92"/>
  <c r="CC44" i="91"/>
  <c r="CC44" i="90"/>
  <c r="AH45" i="92"/>
  <c r="AG45" i="92"/>
  <c r="AF45" i="92"/>
  <c r="AH45" i="91"/>
  <c r="AG45" i="91"/>
  <c r="AF45" i="91"/>
  <c r="AF45" i="90"/>
  <c r="AH45" i="90"/>
  <c r="AG45" i="90"/>
  <c r="BX45" i="79"/>
  <c r="BX45" i="92"/>
  <c r="BX45" i="91"/>
  <c r="BX45" i="90"/>
  <c r="CF45" i="79"/>
  <c r="CF45" i="92"/>
  <c r="CF45" i="91"/>
  <c r="CF45" i="90"/>
  <c r="AW46" i="92"/>
  <c r="AV46" i="92"/>
  <c r="AU46" i="92"/>
  <c r="AU46" i="91"/>
  <c r="AW46" i="91"/>
  <c r="AV46" i="91"/>
  <c r="AW46" i="90"/>
  <c r="AV46" i="90"/>
  <c r="AU46" i="90"/>
  <c r="CA46" i="79"/>
  <c r="CA46" i="92"/>
  <c r="CA46" i="91"/>
  <c r="CA46" i="90"/>
  <c r="AD47" i="92"/>
  <c r="AC47" i="92"/>
  <c r="AB47" i="92"/>
  <c r="AD47" i="91"/>
  <c r="AC47" i="91"/>
  <c r="AB47" i="91"/>
  <c r="AB47" i="90"/>
  <c r="AD47" i="90"/>
  <c r="AC47" i="90"/>
  <c r="BV47" i="79"/>
  <c r="BV47" i="92"/>
  <c r="BV47" i="91"/>
  <c r="BV47" i="90"/>
  <c r="CD47" i="79"/>
  <c r="CD47" i="92"/>
  <c r="CD47" i="91"/>
  <c r="CD47" i="90"/>
  <c r="AR48" i="92"/>
  <c r="AQ48" i="92"/>
  <c r="AP48" i="92"/>
  <c r="AR48" i="91"/>
  <c r="AQ48" i="91"/>
  <c r="AP48" i="91"/>
  <c r="AR48" i="90"/>
  <c r="AQ48" i="90"/>
  <c r="AP48" i="90"/>
  <c r="BY48" i="79"/>
  <c r="BY48" i="92"/>
  <c r="BY48" i="91"/>
  <c r="BY48" i="90"/>
  <c r="CG48" i="79"/>
  <c r="CG48" i="92"/>
  <c r="CG48" i="91"/>
  <c r="CG48" i="90"/>
  <c r="AX49" i="79"/>
  <c r="AX49" i="92"/>
  <c r="AX49" i="91"/>
  <c r="AX49" i="90"/>
  <c r="CB49" i="79"/>
  <c r="CB49" i="92"/>
  <c r="CB49" i="91"/>
  <c r="CB49" i="90"/>
  <c r="AE50" i="79"/>
  <c r="AE50" i="92"/>
  <c r="AE50" i="91"/>
  <c r="AE50" i="90"/>
  <c r="BW50" i="79"/>
  <c r="BW50" i="92"/>
  <c r="BW50" i="91"/>
  <c r="BW50" i="90"/>
  <c r="CE50" i="79"/>
  <c r="CE50" i="92"/>
  <c r="CE50" i="91"/>
  <c r="CE50" i="90"/>
  <c r="AS51" i="79"/>
  <c r="AS51" i="92"/>
  <c r="AS51" i="91"/>
  <c r="AS51" i="90"/>
  <c r="BZ51" i="79"/>
  <c r="BZ51" i="92"/>
  <c r="BZ51" i="91"/>
  <c r="BZ51" i="90"/>
  <c r="CH51" i="79"/>
  <c r="CH51" i="92"/>
  <c r="CH51" i="91"/>
  <c r="CH51" i="90"/>
  <c r="BP52" i="79"/>
  <c r="BP52" i="92"/>
  <c r="BQ52" i="92"/>
  <c r="BP52" i="91"/>
  <c r="BQ52" i="91"/>
  <c r="BQ52" i="90"/>
  <c r="BP52" i="90"/>
  <c r="CC52" i="79"/>
  <c r="CC52" i="92"/>
  <c r="CC52" i="91"/>
  <c r="CC52" i="90"/>
  <c r="AH53" i="92"/>
  <c r="AG53" i="92"/>
  <c r="AF53" i="92"/>
  <c r="AH53" i="91"/>
  <c r="AG53" i="91"/>
  <c r="AF53" i="91"/>
  <c r="AH53" i="90"/>
  <c r="AG53" i="90"/>
  <c r="AF53" i="90"/>
  <c r="BX53" i="79"/>
  <c r="BX53" i="92"/>
  <c r="BX53" i="91"/>
  <c r="BX53" i="90"/>
  <c r="CF53" i="79"/>
  <c r="CF53" i="92"/>
  <c r="CF53" i="91"/>
  <c r="CF53" i="90"/>
  <c r="AU54" i="92"/>
  <c r="AV54" i="92"/>
  <c r="AW54" i="92"/>
  <c r="AW54" i="91"/>
  <c r="AU54" i="91"/>
  <c r="AV54" i="91"/>
  <c r="AW54" i="90"/>
  <c r="AV54" i="90"/>
  <c r="AU54" i="90"/>
  <c r="CA54" i="79"/>
  <c r="CA54" i="92"/>
  <c r="CA54" i="91"/>
  <c r="CA54" i="90"/>
  <c r="AD55" i="92"/>
  <c r="AC55" i="92"/>
  <c r="AB55" i="92"/>
  <c r="AD55" i="91"/>
  <c r="AC55" i="91"/>
  <c r="AB55" i="91"/>
  <c r="AD55" i="90"/>
  <c r="AC55" i="90"/>
  <c r="AB55" i="90"/>
  <c r="BV55" i="79"/>
  <c r="BV55" i="92"/>
  <c r="BV55" i="91"/>
  <c r="BV55" i="90"/>
  <c r="CD55" i="79"/>
  <c r="CD55" i="92"/>
  <c r="CD55" i="91"/>
  <c r="CD55" i="90"/>
  <c r="AP56" i="92"/>
  <c r="AQ56" i="92"/>
  <c r="AR56" i="92"/>
  <c r="AR56" i="91"/>
  <c r="AP56" i="91"/>
  <c r="AQ56" i="91"/>
  <c r="AR56" i="90"/>
  <c r="AQ56" i="90"/>
  <c r="AP56" i="90"/>
  <c r="BY56" i="79"/>
  <c r="BY56" i="92"/>
  <c r="BY56" i="91"/>
  <c r="BY56" i="90"/>
  <c r="CG56" i="79"/>
  <c r="CG56" i="92"/>
  <c r="CG56" i="91"/>
  <c r="CG56" i="90"/>
  <c r="AX57" i="79"/>
  <c r="AX57" i="92"/>
  <c r="AX57" i="91"/>
  <c r="AX57" i="90"/>
  <c r="CB57" i="79"/>
  <c r="CB57" i="92"/>
  <c r="CB57" i="91"/>
  <c r="CB57" i="90"/>
  <c r="AE58" i="79"/>
  <c r="AE58" i="92"/>
  <c r="AE58" i="91"/>
  <c r="AE58" i="90"/>
  <c r="BW58" i="79"/>
  <c r="BW58" i="92"/>
  <c r="BW58" i="91"/>
  <c r="BW58" i="90"/>
  <c r="CE58" i="79"/>
  <c r="CE58" i="92"/>
  <c r="CE58" i="91"/>
  <c r="CE58" i="90"/>
  <c r="AS59" i="79"/>
  <c r="AS59" i="92"/>
  <c r="AS59" i="91"/>
  <c r="AS59" i="90"/>
  <c r="BZ59" i="79"/>
  <c r="BZ59" i="92"/>
  <c r="BZ59" i="91"/>
  <c r="BZ59" i="90"/>
  <c r="CH59" i="79"/>
  <c r="CH59" i="92"/>
  <c r="CH59" i="91"/>
  <c r="CH59" i="90"/>
  <c r="BP60" i="79"/>
  <c r="BQ60" i="92"/>
  <c r="BP60" i="92"/>
  <c r="BP60" i="91"/>
  <c r="BQ60" i="91"/>
  <c r="BQ60" i="90"/>
  <c r="BP60" i="90"/>
  <c r="CC60" i="79"/>
  <c r="CC60" i="92"/>
  <c r="CC60" i="91"/>
  <c r="CC60" i="90"/>
  <c r="AH61" i="92"/>
  <c r="AG61" i="92"/>
  <c r="AF61" i="92"/>
  <c r="AH61" i="91"/>
  <c r="AG61" i="91"/>
  <c r="AF61" i="91"/>
  <c r="AG61" i="90"/>
  <c r="AF61" i="90"/>
  <c r="AH61" i="90"/>
  <c r="BX61" i="79"/>
  <c r="BX61" i="92"/>
  <c r="BX61" i="91"/>
  <c r="BX61" i="90"/>
  <c r="CF61" i="79"/>
  <c r="CF61" i="92"/>
  <c r="CF61" i="91"/>
  <c r="CF61" i="90"/>
  <c r="AW62" i="92"/>
  <c r="AV62" i="92"/>
  <c r="AU62" i="92"/>
  <c r="AW62" i="91"/>
  <c r="AU62" i="91"/>
  <c r="AV62" i="91"/>
  <c r="AW62" i="90"/>
  <c r="AV62" i="90"/>
  <c r="AU62" i="90"/>
  <c r="CA62" i="79"/>
  <c r="CA62" i="92"/>
  <c r="CA62" i="91"/>
  <c r="CA62" i="90"/>
  <c r="AD63" i="92"/>
  <c r="AC63" i="92"/>
  <c r="AB63" i="92"/>
  <c r="AD63" i="91"/>
  <c r="AC63" i="91"/>
  <c r="AB63" i="91"/>
  <c r="AC63" i="90"/>
  <c r="AB63" i="90"/>
  <c r="AD63" i="90"/>
  <c r="BV63" i="79"/>
  <c r="BV63" i="92"/>
  <c r="BV63" i="91"/>
  <c r="BV63" i="90"/>
  <c r="CD63" i="79"/>
  <c r="CD63" i="92"/>
  <c r="CD63" i="91"/>
  <c r="CD63" i="90"/>
  <c r="AR64" i="92"/>
  <c r="AQ64" i="92"/>
  <c r="AP64" i="92"/>
  <c r="AR64" i="91"/>
  <c r="AP64" i="91"/>
  <c r="AQ64" i="91"/>
  <c r="AR64" i="90"/>
  <c r="AQ64" i="90"/>
  <c r="AP64" i="90"/>
  <c r="BY64" i="79"/>
  <c r="BY64" i="92"/>
  <c r="BY64" i="91"/>
  <c r="BY64" i="90"/>
  <c r="CG64" i="79"/>
  <c r="CG64" i="92"/>
  <c r="CG64" i="91"/>
  <c r="CG64" i="90"/>
  <c r="AX65" i="79"/>
  <c r="AX65" i="92"/>
  <c r="AX65" i="91"/>
  <c r="AX65" i="90"/>
  <c r="CB65" i="79"/>
  <c r="CB65" i="92"/>
  <c r="CB65" i="91"/>
  <c r="CB65" i="90"/>
  <c r="AE66" i="79"/>
  <c r="AE66" i="92"/>
  <c r="AE66" i="91"/>
  <c r="AE66" i="90"/>
  <c r="BW66" i="79"/>
  <c r="BW66" i="92"/>
  <c r="BW66" i="91"/>
  <c r="BW66" i="90"/>
  <c r="CE66" i="79"/>
  <c r="CE66" i="92"/>
  <c r="CE66" i="91"/>
  <c r="CE66" i="90"/>
  <c r="AS67" i="79"/>
  <c r="AS67" i="92"/>
  <c r="AS67" i="91"/>
  <c r="AS67" i="90"/>
  <c r="BZ67" i="79"/>
  <c r="BZ67" i="92"/>
  <c r="BZ67" i="91"/>
  <c r="BZ67" i="90"/>
  <c r="CH67" i="79"/>
  <c r="CH67" i="92"/>
  <c r="CH67" i="91"/>
  <c r="CH67" i="90"/>
  <c r="BP68" i="79"/>
  <c r="BQ68" i="92"/>
  <c r="BP68" i="92"/>
  <c r="BQ68" i="91"/>
  <c r="BP68" i="91"/>
  <c r="BQ68" i="90"/>
  <c r="BP68" i="90"/>
  <c r="CC68" i="79"/>
  <c r="CC68" i="92"/>
  <c r="CC68" i="91"/>
  <c r="CC68" i="90"/>
  <c r="AH69" i="92"/>
  <c r="AG69" i="92"/>
  <c r="AF69" i="92"/>
  <c r="AH69" i="91"/>
  <c r="AG69" i="91"/>
  <c r="AF69" i="91"/>
  <c r="AH69" i="90"/>
  <c r="AG69" i="90"/>
  <c r="AF69" i="90"/>
  <c r="BX69" i="79"/>
  <c r="BX69" i="92"/>
  <c r="BX69" i="91"/>
  <c r="BX69" i="90"/>
  <c r="CF69" i="79"/>
  <c r="CF69" i="92"/>
  <c r="CF69" i="91"/>
  <c r="CF69" i="90"/>
  <c r="AW70" i="92"/>
  <c r="AV70" i="92"/>
  <c r="AU70" i="92"/>
  <c r="AV70" i="91"/>
  <c r="AU70" i="91"/>
  <c r="AW70" i="91"/>
  <c r="AW70" i="90"/>
  <c r="AV70" i="90"/>
  <c r="AU70" i="90"/>
  <c r="CA70" i="79"/>
  <c r="CA70" i="92"/>
  <c r="CA70" i="91"/>
  <c r="CA70" i="90"/>
  <c r="AD71" i="92"/>
  <c r="AC71" i="92"/>
  <c r="AB71" i="92"/>
  <c r="AD71" i="91"/>
  <c r="AC71" i="91"/>
  <c r="AB71" i="91"/>
  <c r="AD71" i="90"/>
  <c r="AC71" i="90"/>
  <c r="AB71" i="90"/>
  <c r="BV71" i="79"/>
  <c r="BV71" i="92"/>
  <c r="BV71" i="91"/>
  <c r="BV71" i="90"/>
  <c r="CD71" i="79"/>
  <c r="CD71" i="92"/>
  <c r="CD71" i="91"/>
  <c r="CD71" i="90"/>
  <c r="BY72" i="79"/>
  <c r="BY72" i="92"/>
  <c r="BY72" i="91"/>
  <c r="BY72" i="90"/>
  <c r="CG72" i="79"/>
  <c r="CG72" i="92"/>
  <c r="CG72" i="91"/>
  <c r="CG72" i="90"/>
  <c r="AX73" i="79"/>
  <c r="AX73" i="92"/>
  <c r="AX73" i="91"/>
  <c r="AX73" i="90"/>
  <c r="CB73" i="79"/>
  <c r="CB73" i="92"/>
  <c r="CB73" i="91"/>
  <c r="CB73" i="90"/>
  <c r="AE74" i="79"/>
  <c r="AE74" i="92"/>
  <c r="AE74" i="91"/>
  <c r="AE74" i="90"/>
  <c r="BW74" i="79"/>
  <c r="BW74" i="92"/>
  <c r="BW74" i="91"/>
  <c r="BW74" i="90"/>
  <c r="CE74" i="79"/>
  <c r="CE74" i="92"/>
  <c r="CE74" i="91"/>
  <c r="CE74" i="90"/>
  <c r="AS75" i="79"/>
  <c r="AS75" i="92"/>
  <c r="AS75" i="91"/>
  <c r="AS75" i="90"/>
  <c r="BZ75" i="79"/>
  <c r="BZ75" i="92"/>
  <c r="BZ75" i="91"/>
  <c r="BZ75" i="90"/>
  <c r="CH75" i="79"/>
  <c r="CH75" i="92"/>
  <c r="CH75" i="91"/>
  <c r="CH75" i="90"/>
  <c r="BP76" i="79"/>
  <c r="BQ76" i="92"/>
  <c r="BP76" i="92"/>
  <c r="BQ76" i="91"/>
  <c r="BP76" i="91"/>
  <c r="BQ76" i="90"/>
  <c r="BP76" i="90"/>
  <c r="CC76" i="79"/>
  <c r="CC76" i="92"/>
  <c r="CC76" i="91"/>
  <c r="CC76" i="90"/>
  <c r="AG77" i="92"/>
  <c r="AF77" i="92"/>
  <c r="AH77" i="92"/>
  <c r="AH77" i="91"/>
  <c r="AG77" i="91"/>
  <c r="AF77" i="91"/>
  <c r="AH77" i="90"/>
  <c r="AG77" i="90"/>
  <c r="AF77" i="90"/>
  <c r="BX77" i="79"/>
  <c r="BX77" i="92"/>
  <c r="BX77" i="91"/>
  <c r="BX77" i="90"/>
  <c r="CF77" i="79"/>
  <c r="CF77" i="92"/>
  <c r="CF77" i="91"/>
  <c r="CF77" i="90"/>
  <c r="CA78" i="79"/>
  <c r="CA78" i="92"/>
  <c r="CA78" i="91"/>
  <c r="CA78" i="90"/>
  <c r="AC79" i="92"/>
  <c r="AB79" i="92"/>
  <c r="AD79" i="92"/>
  <c r="AD79" i="91"/>
  <c r="AC79" i="91"/>
  <c r="AB79" i="91"/>
  <c r="AD79" i="90"/>
  <c r="AC79" i="90"/>
  <c r="AB79" i="90"/>
  <c r="BV79" i="79"/>
  <c r="BV79" i="92"/>
  <c r="BV79" i="91"/>
  <c r="BV79" i="90"/>
  <c r="CD79" i="79"/>
  <c r="CD79" i="92"/>
  <c r="CD79" i="91"/>
  <c r="CD79" i="90"/>
  <c r="AR80" i="92"/>
  <c r="AQ80" i="92"/>
  <c r="AP80" i="92"/>
  <c r="AR80" i="91"/>
  <c r="AQ80" i="91"/>
  <c r="AP80" i="91"/>
  <c r="AR80" i="90"/>
  <c r="AQ80" i="90"/>
  <c r="AP80" i="90"/>
  <c r="BY80" i="79"/>
  <c r="BY80" i="92"/>
  <c r="BY80" i="91"/>
  <c r="BY80" i="90"/>
  <c r="CG80" i="79"/>
  <c r="CG80" i="92"/>
  <c r="CG80" i="91"/>
  <c r="CG80" i="90"/>
  <c r="AX81" i="79"/>
  <c r="AX81" i="92"/>
  <c r="AX81" i="91"/>
  <c r="AX81" i="90"/>
  <c r="CB81" i="79"/>
  <c r="CB81" i="92"/>
  <c r="CB81" i="91"/>
  <c r="CB81" i="90"/>
  <c r="AE82" i="79"/>
  <c r="AE82" i="92"/>
  <c r="AE82" i="91"/>
  <c r="AE82" i="90"/>
  <c r="BW82" i="79"/>
  <c r="BW82" i="92"/>
  <c r="BW82" i="91"/>
  <c r="BW82" i="90"/>
  <c r="CE82" i="79"/>
  <c r="CE82" i="92"/>
  <c r="CE82" i="91"/>
  <c r="CE82" i="90"/>
  <c r="AS83" i="79"/>
  <c r="AS83" i="92"/>
  <c r="AS83" i="91"/>
  <c r="AS83" i="90"/>
  <c r="BZ83" i="79"/>
  <c r="BZ83" i="92"/>
  <c r="BZ83" i="91"/>
  <c r="BZ83" i="90"/>
  <c r="CH83" i="79"/>
  <c r="CH83" i="92"/>
  <c r="CH83" i="91"/>
  <c r="CH83" i="90"/>
  <c r="BP84" i="79"/>
  <c r="BQ84" i="92"/>
  <c r="BP84" i="92"/>
  <c r="BP84" i="91"/>
  <c r="BQ84" i="91"/>
  <c r="BQ84" i="90"/>
  <c r="BP84" i="90"/>
  <c r="CC84" i="79"/>
  <c r="CC84" i="92"/>
  <c r="CC84" i="91"/>
  <c r="CC84" i="90"/>
  <c r="AG85" i="92"/>
  <c r="AF85" i="92"/>
  <c r="AH85" i="92"/>
  <c r="AH85" i="91"/>
  <c r="AF85" i="91"/>
  <c r="AG85" i="91"/>
  <c r="AH85" i="90"/>
  <c r="AG85" i="90"/>
  <c r="AF85" i="90"/>
  <c r="BX85" i="79"/>
  <c r="BX85" i="92"/>
  <c r="BX85" i="91"/>
  <c r="BX85" i="90"/>
  <c r="CF85" i="79"/>
  <c r="CF85" i="92"/>
  <c r="CF85" i="91"/>
  <c r="CF85" i="90"/>
  <c r="CA86" i="79"/>
  <c r="CA86" i="92"/>
  <c r="CA86" i="91"/>
  <c r="CA86" i="90"/>
  <c r="AD87" i="92"/>
  <c r="AC87" i="92"/>
  <c r="AB87" i="92"/>
  <c r="AD87" i="91"/>
  <c r="AC87" i="91"/>
  <c r="AB87" i="91"/>
  <c r="AD87" i="90"/>
  <c r="AC87" i="90"/>
  <c r="AB87" i="90"/>
  <c r="BV87" i="79"/>
  <c r="BV87" i="92"/>
  <c r="BV87" i="91"/>
  <c r="BV87" i="90"/>
  <c r="CD87" i="79"/>
  <c r="CD87" i="92"/>
  <c r="CD87" i="91"/>
  <c r="CD87" i="90"/>
  <c r="AR88" i="92"/>
  <c r="AQ88" i="92"/>
  <c r="AP88" i="92"/>
  <c r="AR88" i="91"/>
  <c r="AQ88" i="91"/>
  <c r="AP88" i="91"/>
  <c r="AQ88" i="90"/>
  <c r="AP88" i="90"/>
  <c r="AR88" i="90"/>
  <c r="BY88" i="79"/>
  <c r="BY88" i="92"/>
  <c r="BY88" i="91"/>
  <c r="BY88" i="90"/>
  <c r="CG88" i="79"/>
  <c r="CG88" i="92"/>
  <c r="CG88" i="91"/>
  <c r="CG88" i="90"/>
  <c r="AX89" i="79"/>
  <c r="AX89" i="92"/>
  <c r="AX89" i="91"/>
  <c r="AX89" i="90"/>
  <c r="CB89" i="79"/>
  <c r="CB89" i="92"/>
  <c r="CB89" i="91"/>
  <c r="CB89" i="90"/>
  <c r="AE90" i="79"/>
  <c r="AE90" i="92"/>
  <c r="AE90" i="91"/>
  <c r="AE90" i="90"/>
  <c r="BW90" i="79"/>
  <c r="BW90" i="92"/>
  <c r="BW90" i="91"/>
  <c r="BW90" i="90"/>
  <c r="CE90" i="79"/>
  <c r="CE90" i="92"/>
  <c r="CE90" i="91"/>
  <c r="CE90" i="90"/>
  <c r="AS91" i="79"/>
  <c r="AS91" i="92"/>
  <c r="AS91" i="91"/>
  <c r="AS91" i="90"/>
  <c r="BZ91" i="79"/>
  <c r="BZ91" i="92"/>
  <c r="BZ91" i="91"/>
  <c r="BZ91" i="90"/>
  <c r="CH91" i="79"/>
  <c r="CH91" i="92"/>
  <c r="CH91" i="91"/>
  <c r="CH91" i="90"/>
  <c r="CC92" i="79"/>
  <c r="CC92" i="92"/>
  <c r="CC92" i="91"/>
  <c r="CC92" i="90"/>
  <c r="AH93" i="92"/>
  <c r="AG93" i="92"/>
  <c r="AF93" i="92"/>
  <c r="AH93" i="91"/>
  <c r="AG93" i="91"/>
  <c r="AF93" i="91"/>
  <c r="AG93" i="90"/>
  <c r="AF93" i="90"/>
  <c r="AH93" i="90"/>
  <c r="BX93" i="79"/>
  <c r="BX93" i="92"/>
  <c r="BX93" i="91"/>
  <c r="BX93" i="90"/>
  <c r="CF93" i="79"/>
  <c r="CF93" i="92"/>
  <c r="CF93" i="91"/>
  <c r="CF93" i="90"/>
  <c r="AW94" i="92"/>
  <c r="AV94" i="92"/>
  <c r="AU94" i="92"/>
  <c r="AV94" i="91"/>
  <c r="AU94" i="91"/>
  <c r="AW94" i="91"/>
  <c r="AW94" i="90"/>
  <c r="AV94" i="90"/>
  <c r="AU94" i="90"/>
  <c r="CA94" i="79"/>
  <c r="CA94" i="92"/>
  <c r="CA94" i="91"/>
  <c r="CA94" i="90"/>
  <c r="AD95" i="92"/>
  <c r="AC95" i="92"/>
  <c r="AB95" i="92"/>
  <c r="AD95" i="91"/>
  <c r="AC95" i="91"/>
  <c r="AB95" i="91"/>
  <c r="AC95" i="90"/>
  <c r="AB95" i="90"/>
  <c r="AD95" i="90"/>
  <c r="BV95" i="79"/>
  <c r="BV95" i="92"/>
  <c r="BV95" i="91"/>
  <c r="BV95" i="90"/>
  <c r="CD95" i="79"/>
  <c r="CD95" i="92"/>
  <c r="CD95" i="91"/>
  <c r="CD95" i="90"/>
  <c r="AR96" i="92"/>
  <c r="AQ96" i="92"/>
  <c r="AP96" i="92"/>
  <c r="AQ96" i="91"/>
  <c r="AP96" i="91"/>
  <c r="AR96" i="91"/>
  <c r="AR96" i="90"/>
  <c r="AQ96" i="90"/>
  <c r="AP96" i="90"/>
  <c r="BY96" i="79"/>
  <c r="BY96" i="92"/>
  <c r="BY96" i="91"/>
  <c r="BY96" i="90"/>
  <c r="CG96" i="79"/>
  <c r="CG96" i="92"/>
  <c r="CG96" i="91"/>
  <c r="CG96" i="90"/>
  <c r="AX97" i="79"/>
  <c r="AX97" i="92"/>
  <c r="AX97" i="91"/>
  <c r="AX97" i="90"/>
  <c r="CB97" i="79"/>
  <c r="CB97" i="92"/>
  <c r="CB97" i="91"/>
  <c r="CB97" i="90"/>
  <c r="AE98" i="79"/>
  <c r="AE98" i="92"/>
  <c r="AE98" i="91"/>
  <c r="AE98" i="90"/>
  <c r="BW98" i="79"/>
  <c r="BW98" i="92"/>
  <c r="BW98" i="91"/>
  <c r="BW98" i="90"/>
  <c r="CE98" i="79"/>
  <c r="CE98" i="92"/>
  <c r="CE98" i="91"/>
  <c r="CE98" i="90"/>
  <c r="AS99" i="79"/>
  <c r="AS99" i="92"/>
  <c r="AS99" i="91"/>
  <c r="AS99" i="90"/>
  <c r="BZ99" i="79"/>
  <c r="BZ99" i="92"/>
  <c r="BZ99" i="91"/>
  <c r="BZ99" i="90"/>
  <c r="CH99" i="79"/>
  <c r="CH99" i="92"/>
  <c r="CH99" i="91"/>
  <c r="CH99" i="90"/>
  <c r="BQ100" i="79"/>
  <c r="BQ100" i="92"/>
  <c r="BP100" i="92"/>
  <c r="BQ100" i="91"/>
  <c r="BP100" i="91"/>
  <c r="BQ100" i="90"/>
  <c r="BP100" i="90"/>
  <c r="CC100" i="79"/>
  <c r="CC100" i="92"/>
  <c r="CC100" i="91"/>
  <c r="CC100" i="90"/>
  <c r="BX101" i="79"/>
  <c r="BX101" i="92"/>
  <c r="BX101" i="91"/>
  <c r="BX101" i="90"/>
  <c r="CF101" i="79"/>
  <c r="CF101" i="92"/>
  <c r="CF101" i="91"/>
  <c r="CF101" i="90"/>
  <c r="CA102" i="79"/>
  <c r="CA102" i="92"/>
  <c r="CA102" i="91"/>
  <c r="CA102" i="90"/>
  <c r="BV103" i="79"/>
  <c r="BV103" i="92"/>
  <c r="BV103" i="91"/>
  <c r="BV103" i="90"/>
  <c r="CD103" i="79"/>
  <c r="CD103" i="92"/>
  <c r="CD103" i="91"/>
  <c r="CD103" i="90"/>
  <c r="BY104" i="79"/>
  <c r="BY104" i="92"/>
  <c r="BY104" i="91"/>
  <c r="BY104" i="90"/>
  <c r="CG104" i="79"/>
  <c r="CG104" i="92"/>
  <c r="CG104" i="91"/>
  <c r="CG104" i="90"/>
  <c r="AX105" i="79"/>
  <c r="AX105" i="92"/>
  <c r="AX105" i="91"/>
  <c r="AX105" i="90"/>
  <c r="CB105" i="79"/>
  <c r="CB105" i="92"/>
  <c r="CB105" i="91"/>
  <c r="CB105" i="90"/>
  <c r="AE106" i="79"/>
  <c r="AE106" i="92"/>
  <c r="AE106" i="91"/>
  <c r="AE106" i="90"/>
  <c r="BW106" i="79"/>
  <c r="BW106" i="92"/>
  <c r="BW106" i="91"/>
  <c r="BW106" i="90"/>
  <c r="CE106" i="79"/>
  <c r="CE106" i="92"/>
  <c r="CE106" i="91"/>
  <c r="CE106" i="90"/>
  <c r="AS107" i="79"/>
  <c r="AS107" i="92"/>
  <c r="AS107" i="91"/>
  <c r="AS107" i="90"/>
  <c r="BZ107" i="79"/>
  <c r="BZ107" i="92"/>
  <c r="BZ107" i="91"/>
  <c r="BZ107" i="90"/>
  <c r="CH107" i="79"/>
  <c r="CH107" i="92"/>
  <c r="CH107" i="91"/>
  <c r="CH107" i="90"/>
  <c r="BQ108" i="79"/>
  <c r="BQ108" i="92"/>
  <c r="BP108" i="92"/>
  <c r="BQ108" i="91"/>
  <c r="BP108" i="91"/>
  <c r="BQ108" i="90"/>
  <c r="BP108" i="90"/>
  <c r="CC108" i="79"/>
  <c r="CC108" i="92"/>
  <c r="CC108" i="91"/>
  <c r="CC108" i="90"/>
  <c r="BX109" i="79"/>
  <c r="BX109" i="92"/>
  <c r="BX109" i="91"/>
  <c r="BX109" i="90"/>
  <c r="CF109" i="79"/>
  <c r="CF109" i="92"/>
  <c r="CF109" i="91"/>
  <c r="CF109" i="90"/>
  <c r="CA110" i="79"/>
  <c r="CA110" i="92"/>
  <c r="CA110" i="91"/>
  <c r="CA110" i="90"/>
  <c r="BV111" i="79"/>
  <c r="BV111" i="92"/>
  <c r="BV111" i="91"/>
  <c r="BV111" i="90"/>
  <c r="CD111" i="79"/>
  <c r="CD111" i="92"/>
  <c r="CD111" i="91"/>
  <c r="CD111" i="90"/>
  <c r="BY112" i="79"/>
  <c r="BY112" i="92"/>
  <c r="BY112" i="91"/>
  <c r="BY112" i="90"/>
  <c r="CG112" i="79"/>
  <c r="CG112" i="92"/>
  <c r="CG112" i="91"/>
  <c r="CG112" i="90"/>
  <c r="AX113" i="79"/>
  <c r="AX113" i="92"/>
  <c r="AX113" i="91"/>
  <c r="AX113" i="90"/>
  <c r="CB113" i="79"/>
  <c r="CB113" i="92"/>
  <c r="CB113" i="91"/>
  <c r="CB113" i="90"/>
  <c r="AE114" i="79"/>
  <c r="AE114" i="92"/>
  <c r="AE114" i="91"/>
  <c r="AE114" i="90"/>
  <c r="BW114" i="79"/>
  <c r="BW114" i="92"/>
  <c r="BW114" i="91"/>
  <c r="BW114" i="90"/>
  <c r="CE114" i="79"/>
  <c r="CE114" i="92"/>
  <c r="CE114" i="91"/>
  <c r="CE114" i="90"/>
  <c r="AS115" i="79"/>
  <c r="AS115" i="92"/>
  <c r="AS115" i="91"/>
  <c r="AS115" i="90"/>
  <c r="BZ115" i="79"/>
  <c r="BZ115" i="92"/>
  <c r="BZ115" i="91"/>
  <c r="BZ115" i="90"/>
  <c r="CH115" i="79"/>
  <c r="CH115" i="92"/>
  <c r="CH115" i="91"/>
  <c r="CH115" i="90"/>
  <c r="BQ116" i="79"/>
  <c r="BP116" i="92"/>
  <c r="BQ116" i="92"/>
  <c r="BP116" i="91"/>
  <c r="BQ116" i="91"/>
  <c r="BQ116" i="90"/>
  <c r="BP116" i="90"/>
  <c r="CC116" i="79"/>
  <c r="CC116" i="92"/>
  <c r="CC116" i="91"/>
  <c r="CC116" i="90"/>
  <c r="AH117" i="92"/>
  <c r="AG117" i="92"/>
  <c r="AF117" i="92"/>
  <c r="AH117" i="91"/>
  <c r="AF117" i="91"/>
  <c r="AG117" i="91"/>
  <c r="AG117" i="90"/>
  <c r="AF117" i="90"/>
  <c r="AH117" i="90"/>
  <c r="BX117" i="79"/>
  <c r="BX117" i="92"/>
  <c r="BX117" i="91"/>
  <c r="BX117" i="90"/>
  <c r="CF117" i="79"/>
  <c r="CF117" i="92"/>
  <c r="CF117" i="91"/>
  <c r="CF117" i="90"/>
  <c r="CA118" i="79"/>
  <c r="CA118" i="92"/>
  <c r="CA118" i="91"/>
  <c r="CA118" i="90"/>
  <c r="BV119" i="79"/>
  <c r="BV119" i="92"/>
  <c r="BV119" i="91"/>
  <c r="BV119" i="90"/>
  <c r="CD119" i="79"/>
  <c r="CD119" i="92"/>
  <c r="CD119" i="91"/>
  <c r="CD119" i="90"/>
  <c r="BY120" i="79"/>
  <c r="BY120" i="92"/>
  <c r="BY120" i="91"/>
  <c r="BY120" i="90"/>
  <c r="CG120" i="79"/>
  <c r="CG120" i="92"/>
  <c r="CG120" i="91"/>
  <c r="CG120" i="90"/>
  <c r="AX121" i="79"/>
  <c r="AX121" i="92"/>
  <c r="AX121" i="91"/>
  <c r="AX121" i="90"/>
  <c r="CB121" i="79"/>
  <c r="CB121" i="92"/>
  <c r="CB121" i="91"/>
  <c r="CB121" i="90"/>
  <c r="AE122" i="79"/>
  <c r="AE122" i="92"/>
  <c r="AE122" i="91"/>
  <c r="AE122" i="90"/>
  <c r="BW122" i="79"/>
  <c r="BW122" i="92"/>
  <c r="BW122" i="91"/>
  <c r="BW122" i="90"/>
  <c r="CE122" i="79"/>
  <c r="CE122" i="92"/>
  <c r="CE122" i="91"/>
  <c r="CE122" i="90"/>
  <c r="AS123" i="79"/>
  <c r="AS123" i="92"/>
  <c r="AS123" i="91"/>
  <c r="AS123" i="90"/>
  <c r="BZ123" i="79"/>
  <c r="BZ123" i="92"/>
  <c r="BZ123" i="91"/>
  <c r="BZ123" i="90"/>
  <c r="CH123" i="79"/>
  <c r="CH123" i="92"/>
  <c r="CH123" i="91"/>
  <c r="CH123" i="90"/>
  <c r="CC124" i="79"/>
  <c r="CC124" i="92"/>
  <c r="CC124" i="91"/>
  <c r="CC124" i="90"/>
  <c r="AG125" i="92"/>
  <c r="AF125" i="92"/>
  <c r="AH125" i="92"/>
  <c r="AG125" i="91"/>
  <c r="AF125" i="91"/>
  <c r="AH125" i="91"/>
  <c r="AH125" i="90"/>
  <c r="AG125" i="90"/>
  <c r="AF125" i="90"/>
  <c r="BX125" i="79"/>
  <c r="BX125" i="92"/>
  <c r="BX125" i="91"/>
  <c r="BX125" i="90"/>
  <c r="CF125" i="79"/>
  <c r="CF125" i="92"/>
  <c r="CF125" i="91"/>
  <c r="CF125" i="90"/>
  <c r="AV126" i="92"/>
  <c r="AU126" i="92"/>
  <c r="AW126" i="92"/>
  <c r="AV126" i="91"/>
  <c r="AU126" i="91"/>
  <c r="AW126" i="91"/>
  <c r="AU126" i="90"/>
  <c r="AV126" i="90"/>
  <c r="AW126" i="90"/>
  <c r="CA126" i="79"/>
  <c r="CA126" i="92"/>
  <c r="CA126" i="91"/>
  <c r="CA126" i="90"/>
  <c r="AD127" i="92"/>
  <c r="AC127" i="92"/>
  <c r="AB127" i="92"/>
  <c r="AC127" i="91"/>
  <c r="AB127" i="91"/>
  <c r="AD127" i="91"/>
  <c r="AD127" i="90"/>
  <c r="AC127" i="90"/>
  <c r="AB127" i="90"/>
  <c r="BV127" i="79"/>
  <c r="BV127" i="92"/>
  <c r="BV127" i="91"/>
  <c r="BV127" i="90"/>
  <c r="CD127" i="79"/>
  <c r="CD127" i="92"/>
  <c r="CD127" i="91"/>
  <c r="CD127" i="90"/>
  <c r="AR128" i="92"/>
  <c r="AQ128" i="92"/>
  <c r="AP128" i="92"/>
  <c r="AQ128" i="91"/>
  <c r="AP128" i="91"/>
  <c r="AR128" i="91"/>
  <c r="AP128" i="90"/>
  <c r="AQ128" i="90"/>
  <c r="AR128" i="90"/>
  <c r="BY128" i="79"/>
  <c r="BY128" i="92"/>
  <c r="BY128" i="91"/>
  <c r="BY128" i="90"/>
  <c r="CG128" i="79"/>
  <c r="CG128" i="92"/>
  <c r="CG128" i="91"/>
  <c r="CG128" i="90"/>
  <c r="AX129" i="79"/>
  <c r="AX129" i="92"/>
  <c r="AX129" i="91"/>
  <c r="AX129" i="90"/>
  <c r="CB129" i="79"/>
  <c r="CB129" i="92"/>
  <c r="CB129" i="91"/>
  <c r="CB129" i="90"/>
  <c r="AE130" i="79"/>
  <c r="AE130" i="92"/>
  <c r="AE130" i="91"/>
  <c r="AE130" i="90"/>
  <c r="BW130" i="79"/>
  <c r="BW130" i="92"/>
  <c r="BW130" i="91"/>
  <c r="BW130" i="90"/>
  <c r="CE130" i="79"/>
  <c r="CE130" i="92"/>
  <c r="CE130" i="91"/>
  <c r="CE130" i="90"/>
  <c r="AS131" i="79"/>
  <c r="AS131" i="92"/>
  <c r="AS131" i="91"/>
  <c r="AS131" i="90"/>
  <c r="BZ131" i="79"/>
  <c r="BZ131" i="92"/>
  <c r="BZ131" i="91"/>
  <c r="BZ131" i="90"/>
  <c r="CH131" i="79"/>
  <c r="CH131" i="92"/>
  <c r="CH131" i="91"/>
  <c r="CH131" i="90"/>
  <c r="BQ132" i="79"/>
  <c r="BQ132" i="92"/>
  <c r="BP132" i="92"/>
  <c r="BQ132" i="91"/>
  <c r="BP132" i="91"/>
  <c r="BP132" i="90"/>
  <c r="BQ132" i="90"/>
  <c r="CC132" i="79"/>
  <c r="CC132" i="92"/>
  <c r="CC132" i="91"/>
  <c r="CC132" i="90"/>
  <c r="BX133" i="79"/>
  <c r="BX133" i="92"/>
  <c r="BX133" i="91"/>
  <c r="BX133" i="90"/>
  <c r="CF133" i="79"/>
  <c r="CF133" i="92"/>
  <c r="CF133" i="91"/>
  <c r="CF133" i="90"/>
  <c r="AW134" i="92"/>
  <c r="AV134" i="92"/>
  <c r="AU134" i="92"/>
  <c r="AV134" i="91"/>
  <c r="AU134" i="91"/>
  <c r="AW134" i="91"/>
  <c r="AU134" i="90"/>
  <c r="AV134" i="90"/>
  <c r="AW134" i="90"/>
  <c r="CA134" i="79"/>
  <c r="CA134" i="92"/>
  <c r="CA134" i="91"/>
  <c r="CA134" i="90"/>
  <c r="AD135" i="92"/>
  <c r="AC135" i="92"/>
  <c r="AB135" i="92"/>
  <c r="AC135" i="91"/>
  <c r="AB135" i="91"/>
  <c r="AD135" i="91"/>
  <c r="AD135" i="90"/>
  <c r="AC135" i="90"/>
  <c r="AB135" i="90"/>
  <c r="BV135" i="79"/>
  <c r="BV135" i="92"/>
  <c r="BV135" i="91"/>
  <c r="BV135" i="90"/>
  <c r="CD135" i="79"/>
  <c r="CD135" i="92"/>
  <c r="CD135" i="91"/>
  <c r="CD135" i="90"/>
  <c r="AR136" i="92"/>
  <c r="AQ136" i="92"/>
  <c r="AP136" i="92"/>
  <c r="AQ136" i="91"/>
  <c r="AP136" i="91"/>
  <c r="AR136" i="91"/>
  <c r="AP136" i="90"/>
  <c r="AQ136" i="90"/>
  <c r="AR136" i="90"/>
  <c r="BY136" i="79"/>
  <c r="BY136" i="92"/>
  <c r="BY136" i="91"/>
  <c r="BY136" i="90"/>
  <c r="CG136" i="79"/>
  <c r="CG136" i="92"/>
  <c r="CG136" i="91"/>
  <c r="CG136" i="90"/>
  <c r="AX137" i="79"/>
  <c r="AX137" i="92"/>
  <c r="AX137" i="91"/>
  <c r="AX137" i="90"/>
  <c r="CB137" i="79"/>
  <c r="CB137" i="92"/>
  <c r="CB137" i="91"/>
  <c r="CB137" i="90"/>
  <c r="AE138" i="79"/>
  <c r="AE138" i="92"/>
  <c r="AE138" i="91"/>
  <c r="AE138" i="90"/>
  <c r="BW138" i="79"/>
  <c r="BW138" i="92"/>
  <c r="BW138" i="91"/>
  <c r="BW138" i="90"/>
  <c r="CE138" i="79"/>
  <c r="CE138" i="92"/>
  <c r="CE138" i="91"/>
  <c r="CE138" i="90"/>
  <c r="AS139" i="79"/>
  <c r="AS139" i="92"/>
  <c r="AS139" i="91"/>
  <c r="AS139" i="90"/>
  <c r="BZ139" i="79"/>
  <c r="BZ139" i="92"/>
  <c r="BZ139" i="91"/>
  <c r="BZ139" i="90"/>
  <c r="CH139" i="79"/>
  <c r="CH139" i="92"/>
  <c r="CH139" i="91"/>
  <c r="CH139" i="90"/>
  <c r="BP140" i="79"/>
  <c r="BQ140" i="92"/>
  <c r="BP140" i="92"/>
  <c r="BQ140" i="91"/>
  <c r="BP140" i="91"/>
  <c r="BQ140" i="90"/>
  <c r="BP140" i="90"/>
  <c r="CC140" i="79"/>
  <c r="CC140" i="92"/>
  <c r="CC140" i="91"/>
  <c r="CC140" i="90"/>
  <c r="AH141" i="92"/>
  <c r="AG141" i="92"/>
  <c r="AF141" i="92"/>
  <c r="AG141" i="91"/>
  <c r="AF141" i="91"/>
  <c r="AH141" i="91"/>
  <c r="AF141" i="90"/>
  <c r="AG141" i="90"/>
  <c r="AH141" i="90"/>
  <c r="BX141" i="79"/>
  <c r="BX141" i="92"/>
  <c r="BX141" i="91"/>
  <c r="BX141" i="90"/>
  <c r="CF141" i="79"/>
  <c r="CF141" i="92"/>
  <c r="CF141" i="91"/>
  <c r="CF141" i="90"/>
  <c r="AW142" i="92"/>
  <c r="AV142" i="92"/>
  <c r="AU142" i="92"/>
  <c r="AW142" i="91"/>
  <c r="AV142" i="91"/>
  <c r="AU142" i="91"/>
  <c r="AW142" i="90"/>
  <c r="AV142" i="90"/>
  <c r="AU142" i="90"/>
  <c r="CA142" i="79"/>
  <c r="CA142" i="92"/>
  <c r="CA142" i="91"/>
  <c r="CA142" i="90"/>
  <c r="AD143" i="92"/>
  <c r="AC143" i="92"/>
  <c r="AB143" i="92"/>
  <c r="AC143" i="91"/>
  <c r="AB143" i="91"/>
  <c r="AD143" i="91"/>
  <c r="AB143" i="90"/>
  <c r="AC143" i="90"/>
  <c r="AD143" i="90"/>
  <c r="BV143" i="79"/>
  <c r="BV143" i="92"/>
  <c r="BV143" i="91"/>
  <c r="BV143" i="90"/>
  <c r="CD143" i="79"/>
  <c r="CD143" i="92"/>
  <c r="CD143" i="91"/>
  <c r="CD143" i="90"/>
  <c r="BY144" i="79"/>
  <c r="BY144" i="92"/>
  <c r="BY144" i="91"/>
  <c r="BY144" i="90"/>
  <c r="CG144" i="79"/>
  <c r="CG144" i="92"/>
  <c r="CG144" i="91"/>
  <c r="CG144" i="90"/>
  <c r="AX145" i="79"/>
  <c r="AX145" i="92"/>
  <c r="AX145" i="91"/>
  <c r="AX145" i="90"/>
  <c r="CB145" i="79"/>
  <c r="CB145" i="92"/>
  <c r="CB145" i="91"/>
  <c r="CB145" i="90"/>
  <c r="AE146" i="79"/>
  <c r="AE146" i="92"/>
  <c r="AE146" i="91"/>
  <c r="AE146" i="90"/>
  <c r="BW146" i="79"/>
  <c r="BW146" i="92"/>
  <c r="BW146" i="91"/>
  <c r="BW146" i="90"/>
  <c r="CE146" i="79"/>
  <c r="CE146" i="92"/>
  <c r="CE146" i="91"/>
  <c r="CE146" i="90"/>
  <c r="AS147" i="79"/>
  <c r="AS147" i="92"/>
  <c r="AS147" i="91"/>
  <c r="AS147" i="90"/>
  <c r="BZ147" i="79"/>
  <c r="BZ147" i="92"/>
  <c r="BZ147" i="91"/>
  <c r="BZ147" i="90"/>
  <c r="CH147" i="79"/>
  <c r="CH147" i="92"/>
  <c r="CH147" i="91"/>
  <c r="CH147" i="90"/>
  <c r="BP148" i="79"/>
  <c r="BQ148" i="92"/>
  <c r="BP148" i="92"/>
  <c r="BP148" i="91"/>
  <c r="BQ148" i="91"/>
  <c r="BP148" i="90"/>
  <c r="BQ148" i="90"/>
  <c r="CC148" i="79"/>
  <c r="CC148" i="92"/>
  <c r="CC148" i="91"/>
  <c r="CC148" i="90"/>
  <c r="AF149" i="92"/>
  <c r="AH149" i="92"/>
  <c r="AG149" i="92"/>
  <c r="AH149" i="91"/>
  <c r="AG149" i="91"/>
  <c r="AF149" i="91"/>
  <c r="AH149" i="90"/>
  <c r="AG149" i="90"/>
  <c r="AF149" i="90"/>
  <c r="BX149" i="79"/>
  <c r="BX149" i="92"/>
  <c r="BX149" i="91"/>
  <c r="BX149" i="90"/>
  <c r="CF149" i="79"/>
  <c r="CF149" i="92"/>
  <c r="CF149" i="91"/>
  <c r="CF149" i="90"/>
  <c r="AW150" i="92"/>
  <c r="AV150" i="92"/>
  <c r="AU150" i="92"/>
  <c r="AW150" i="91"/>
  <c r="AU150" i="91"/>
  <c r="AV150" i="91"/>
  <c r="AW150" i="90"/>
  <c r="AU150" i="90"/>
  <c r="AV150" i="90"/>
  <c r="CA150" i="79"/>
  <c r="CA150" i="92"/>
  <c r="CA150" i="91"/>
  <c r="CA150" i="90"/>
  <c r="AB151" i="92"/>
  <c r="AD151" i="92"/>
  <c r="AC151" i="92"/>
  <c r="AD151" i="91"/>
  <c r="AC151" i="91"/>
  <c r="AB151" i="91"/>
  <c r="AD151" i="90"/>
  <c r="AC151" i="90"/>
  <c r="AB151" i="90"/>
  <c r="BV151" i="79"/>
  <c r="BV151" i="92"/>
  <c r="BV151" i="91"/>
  <c r="BV151" i="90"/>
  <c r="CD151" i="79"/>
  <c r="CD151" i="92"/>
  <c r="CD151" i="91"/>
  <c r="CD151" i="90"/>
  <c r="AR152" i="92"/>
  <c r="AQ152" i="92"/>
  <c r="AP152" i="92"/>
  <c r="AR152" i="91"/>
  <c r="AQ152" i="91"/>
  <c r="AP152" i="91"/>
  <c r="AR152" i="90"/>
  <c r="AP152" i="90"/>
  <c r="AQ152" i="90"/>
  <c r="BY152" i="79"/>
  <c r="BY152" i="92"/>
  <c r="BY152" i="91"/>
  <c r="BY152" i="90"/>
  <c r="CG152" i="79"/>
  <c r="CG152" i="92"/>
  <c r="CG152" i="91"/>
  <c r="CG152" i="90"/>
  <c r="AX153" i="79"/>
  <c r="AX153" i="92"/>
  <c r="AX153" i="91"/>
  <c r="AX153" i="90"/>
  <c r="CB153" i="79"/>
  <c r="CB153" i="92"/>
  <c r="CB153" i="91"/>
  <c r="CB153" i="90"/>
  <c r="AE154" i="79"/>
  <c r="AE154" i="92"/>
  <c r="AE154" i="91"/>
  <c r="AE154" i="90"/>
  <c r="BW154" i="79"/>
  <c r="BW154" i="92"/>
  <c r="BW154" i="91"/>
  <c r="BW154" i="90"/>
  <c r="CE154" i="79"/>
  <c r="CE154" i="92"/>
  <c r="CE154" i="91"/>
  <c r="CE154" i="90"/>
  <c r="AS155" i="79"/>
  <c r="AS155" i="92"/>
  <c r="AS155" i="91"/>
  <c r="AS155" i="90"/>
  <c r="BZ155" i="79"/>
  <c r="BZ155" i="92"/>
  <c r="BZ155" i="91"/>
  <c r="BZ155" i="90"/>
  <c r="CH155" i="79"/>
  <c r="CH155" i="92"/>
  <c r="CH155" i="91"/>
  <c r="CH155" i="90"/>
  <c r="BP156" i="79"/>
  <c r="BQ156" i="92"/>
  <c r="BP156" i="92"/>
  <c r="BQ156" i="91"/>
  <c r="BP156" i="91"/>
  <c r="BP156" i="90"/>
  <c r="BQ156" i="90"/>
  <c r="CC156" i="79"/>
  <c r="CC156" i="92"/>
  <c r="CC156" i="91"/>
  <c r="CC156" i="90"/>
  <c r="AF157" i="92"/>
  <c r="AH157" i="92"/>
  <c r="AG157" i="92"/>
  <c r="AH157" i="91"/>
  <c r="AG157" i="91"/>
  <c r="AF157" i="91"/>
  <c r="AH157" i="90"/>
  <c r="AG157" i="90"/>
  <c r="AF157" i="90"/>
  <c r="BX157" i="79"/>
  <c r="BX157" i="92"/>
  <c r="BX157" i="91"/>
  <c r="BX157" i="90"/>
  <c r="CF157" i="79"/>
  <c r="CF157" i="92"/>
  <c r="CF157" i="91"/>
  <c r="CF157" i="90"/>
  <c r="AW158" i="92"/>
  <c r="AV158" i="92"/>
  <c r="AU158" i="92"/>
  <c r="AW158" i="91"/>
  <c r="AV158" i="91"/>
  <c r="AU158" i="91"/>
  <c r="AW158" i="90"/>
  <c r="AU158" i="90"/>
  <c r="AV158" i="90"/>
  <c r="CA158" i="79"/>
  <c r="CA158" i="92"/>
  <c r="CA158" i="91"/>
  <c r="CA158" i="90"/>
  <c r="AB159" i="92"/>
  <c r="AC159" i="92"/>
  <c r="AD159" i="92"/>
  <c r="AD159" i="91"/>
  <c r="AC159" i="91"/>
  <c r="AB159" i="91"/>
  <c r="AD159" i="90"/>
  <c r="AC159" i="90"/>
  <c r="AB159" i="90"/>
  <c r="BV159" i="79"/>
  <c r="BV159" i="92"/>
  <c r="BV159" i="91"/>
  <c r="BV159" i="90"/>
  <c r="CD159" i="79"/>
  <c r="CD159" i="92"/>
  <c r="CD159" i="91"/>
  <c r="CD159" i="90"/>
  <c r="AR160" i="92"/>
  <c r="AQ160" i="92"/>
  <c r="AP160" i="92"/>
  <c r="AR160" i="91"/>
  <c r="AP160" i="91"/>
  <c r="AQ160" i="91"/>
  <c r="AR160" i="90"/>
  <c r="AP160" i="90"/>
  <c r="AQ160" i="90"/>
  <c r="BY160" i="79"/>
  <c r="BY160" i="92"/>
  <c r="BY160" i="91"/>
  <c r="BY160" i="90"/>
  <c r="CG160" i="79"/>
  <c r="CG160" i="92"/>
  <c r="CG160" i="91"/>
  <c r="CG160" i="90"/>
  <c r="AX161" i="79"/>
  <c r="AX161" i="92"/>
  <c r="AX161" i="91"/>
  <c r="AX161" i="90"/>
  <c r="CB161" i="79"/>
  <c r="CB161" i="92"/>
  <c r="CB161" i="91"/>
  <c r="CB161" i="90"/>
  <c r="AE162" i="79"/>
  <c r="AE162" i="92"/>
  <c r="AE162" i="91"/>
  <c r="AE162" i="90"/>
  <c r="BW162" i="79"/>
  <c r="BW162" i="92"/>
  <c r="BW162" i="91"/>
  <c r="BW162" i="90"/>
  <c r="CE162" i="79"/>
  <c r="CE162" i="92"/>
  <c r="CE162" i="91"/>
  <c r="CE162" i="90"/>
  <c r="AS163" i="79"/>
  <c r="AS163" i="92"/>
  <c r="AS163" i="91"/>
  <c r="AS163" i="90"/>
  <c r="BZ163" i="79"/>
  <c r="BZ163" i="92"/>
  <c r="BZ163" i="91"/>
  <c r="BZ163" i="90"/>
  <c r="CH163" i="79"/>
  <c r="CH163" i="92"/>
  <c r="CH163" i="91"/>
  <c r="CH163" i="90"/>
  <c r="BP164" i="79"/>
  <c r="BQ164" i="92"/>
  <c r="BP164" i="92"/>
  <c r="BP164" i="91"/>
  <c r="BQ164" i="91"/>
  <c r="BP164" i="90"/>
  <c r="BQ164" i="90"/>
  <c r="CC164" i="79"/>
  <c r="CC164" i="92"/>
  <c r="CC164" i="91"/>
  <c r="CC164" i="90"/>
  <c r="AH165" i="92"/>
  <c r="AF165" i="92"/>
  <c r="AG165" i="92"/>
  <c r="AH165" i="91"/>
  <c r="AG165" i="91"/>
  <c r="AF165" i="91"/>
  <c r="AH165" i="90"/>
  <c r="AG165" i="90"/>
  <c r="AF165" i="90"/>
  <c r="BX165" i="79"/>
  <c r="BX165" i="92"/>
  <c r="BX165" i="91"/>
  <c r="BX165" i="90"/>
  <c r="CF165" i="79"/>
  <c r="CF165" i="92"/>
  <c r="CF165" i="91"/>
  <c r="CF165" i="90"/>
  <c r="AV166" i="92"/>
  <c r="AU166" i="92"/>
  <c r="AW166" i="92"/>
  <c r="AW166" i="91"/>
  <c r="AV166" i="91"/>
  <c r="AU166" i="91"/>
  <c r="AW166" i="90"/>
  <c r="AU166" i="90"/>
  <c r="AV166" i="90"/>
  <c r="CA166" i="79"/>
  <c r="CA166" i="92"/>
  <c r="CA166" i="91"/>
  <c r="CA166" i="90"/>
  <c r="AD167" i="92"/>
  <c r="AB167" i="92"/>
  <c r="AC167" i="92"/>
  <c r="AD167" i="91"/>
  <c r="AC167" i="91"/>
  <c r="AB167" i="91"/>
  <c r="AD167" i="90"/>
  <c r="AC167" i="90"/>
  <c r="AB167" i="90"/>
  <c r="BV167" i="79"/>
  <c r="BV167" i="92"/>
  <c r="BV167" i="91"/>
  <c r="BV167" i="90"/>
  <c r="CD167" i="79"/>
  <c r="CD167" i="92"/>
  <c r="CD167" i="91"/>
  <c r="CD167" i="90"/>
  <c r="AQ168" i="92"/>
  <c r="AP168" i="92"/>
  <c r="AR168" i="92"/>
  <c r="AR168" i="91"/>
  <c r="AQ168" i="91"/>
  <c r="AP168" i="91"/>
  <c r="AR168" i="90"/>
  <c r="AP168" i="90"/>
  <c r="AQ168" i="90"/>
  <c r="BY168" i="79"/>
  <c r="BY168" i="92"/>
  <c r="BY168" i="91"/>
  <c r="BY168" i="90"/>
  <c r="CG168" i="79"/>
  <c r="CG168" i="92"/>
  <c r="CG168" i="91"/>
  <c r="CG168" i="90"/>
  <c r="N321" i="86"/>
  <c r="K321" i="86"/>
  <c r="H325" i="86"/>
  <c r="CB169" i="90"/>
  <c r="K201" i="86"/>
  <c r="N201" i="86"/>
  <c r="BW170" i="90"/>
  <c r="K102" i="86"/>
  <c r="N102" i="86"/>
  <c r="K279" i="86"/>
  <c r="N279" i="86"/>
  <c r="N48" i="86"/>
  <c r="K48" i="86"/>
  <c r="CH171" i="90"/>
  <c r="K82" i="86"/>
  <c r="N82" i="86"/>
  <c r="AG173" i="92"/>
  <c r="AH173" i="92"/>
  <c r="AF173" i="92"/>
  <c r="AH173" i="91"/>
  <c r="AG173" i="91"/>
  <c r="AF173" i="91"/>
  <c r="AF173" i="90"/>
  <c r="AG173" i="90"/>
  <c r="AH173" i="90"/>
  <c r="BX173" i="79"/>
  <c r="BX173" i="90"/>
  <c r="CF173" i="79"/>
  <c r="CF173" i="90"/>
  <c r="AU174" i="92"/>
  <c r="AW174" i="92"/>
  <c r="AV174" i="92"/>
  <c r="AU174" i="91"/>
  <c r="AW174" i="91"/>
  <c r="AV174" i="91"/>
  <c r="AW174" i="90"/>
  <c r="AV174" i="90"/>
  <c r="AU174" i="90"/>
  <c r="CA174" i="79"/>
  <c r="CA174" i="90"/>
  <c r="AE175" i="79"/>
  <c r="AE175" i="92"/>
  <c r="AE175" i="91"/>
  <c r="AE175" i="90"/>
  <c r="BW175" i="79"/>
  <c r="BW175" i="90"/>
  <c r="CE175" i="79"/>
  <c r="CE175" i="92"/>
  <c r="CE175" i="91"/>
  <c r="CE175" i="90"/>
  <c r="BY113" i="79"/>
  <c r="BY113" i="92"/>
  <c r="BY113" i="91"/>
  <c r="BY113" i="90"/>
  <c r="AE115" i="79"/>
  <c r="AE115" i="92"/>
  <c r="AE115" i="91"/>
  <c r="AE115" i="90"/>
  <c r="CH116" i="79"/>
  <c r="CH116" i="92"/>
  <c r="CH116" i="91"/>
  <c r="CH116" i="90"/>
  <c r="CF118" i="79"/>
  <c r="CF118" i="92"/>
  <c r="CF118" i="91"/>
  <c r="CF118" i="90"/>
  <c r="CD120" i="79"/>
  <c r="CD120" i="92"/>
  <c r="CD120" i="91"/>
  <c r="CD120" i="90"/>
  <c r="CB122" i="79"/>
  <c r="CB122" i="92"/>
  <c r="CB122" i="91"/>
  <c r="CB122" i="90"/>
  <c r="BZ124" i="79"/>
  <c r="BZ124" i="92"/>
  <c r="BZ124" i="91"/>
  <c r="BZ124" i="90"/>
  <c r="BX126" i="79"/>
  <c r="BX126" i="92"/>
  <c r="BX126" i="91"/>
  <c r="BX126" i="90"/>
  <c r="CD128" i="79"/>
  <c r="CD128" i="92"/>
  <c r="CD128" i="91"/>
  <c r="CD128" i="90"/>
  <c r="CB130" i="79"/>
  <c r="CB130" i="92"/>
  <c r="CB130" i="91"/>
  <c r="CB130" i="90"/>
  <c r="BZ132" i="79"/>
  <c r="BZ132" i="92"/>
  <c r="BZ132" i="91"/>
  <c r="BZ132" i="90"/>
  <c r="AG134" i="92"/>
  <c r="AF134" i="92"/>
  <c r="AH134" i="92"/>
  <c r="AF134" i="91"/>
  <c r="AH134" i="91"/>
  <c r="AG134" i="91"/>
  <c r="AH134" i="90"/>
  <c r="AF134" i="90"/>
  <c r="AG134" i="90"/>
  <c r="CA135" i="79"/>
  <c r="CA135" i="92"/>
  <c r="CA135" i="91"/>
  <c r="CA135" i="90"/>
  <c r="BY137" i="79"/>
  <c r="BY137" i="92"/>
  <c r="BY137" i="91"/>
  <c r="BY137" i="90"/>
  <c r="BW139" i="79"/>
  <c r="BW139" i="92"/>
  <c r="BW139" i="91"/>
  <c r="BW139" i="90"/>
  <c r="CC141" i="79"/>
  <c r="CC141" i="92"/>
  <c r="CC141" i="91"/>
  <c r="CC141" i="90"/>
  <c r="BV144" i="79"/>
  <c r="BV144" i="92"/>
  <c r="BV144" i="91"/>
  <c r="BV144" i="90"/>
  <c r="CB146" i="79"/>
  <c r="CB146" i="92"/>
  <c r="CB146" i="91"/>
  <c r="CB146" i="90"/>
  <c r="AS148" i="79"/>
  <c r="AS148" i="92"/>
  <c r="AS148" i="91"/>
  <c r="AS148" i="90"/>
  <c r="AW151" i="92"/>
  <c r="AV151" i="92"/>
  <c r="AU151" i="92"/>
  <c r="AU151" i="91"/>
  <c r="AV151" i="91"/>
  <c r="AW151" i="91"/>
  <c r="AV151" i="90"/>
  <c r="AU151" i="90"/>
  <c r="AW151" i="90"/>
  <c r="AX154" i="79"/>
  <c r="AX154" i="92"/>
  <c r="AX154" i="91"/>
  <c r="AX154" i="90"/>
  <c r="AQ161" i="92"/>
  <c r="AP161" i="92"/>
  <c r="AR161" i="92"/>
  <c r="AQ161" i="91"/>
  <c r="AP161" i="91"/>
  <c r="AR161" i="91"/>
  <c r="AQ161" i="90"/>
  <c r="AP161" i="90"/>
  <c r="AR161" i="90"/>
  <c r="AH2" i="92"/>
  <c r="AG2" i="92"/>
  <c r="AF2" i="92"/>
  <c r="AG2" i="91"/>
  <c r="AH2" i="91"/>
  <c r="AF2" i="91"/>
  <c r="AH2" i="90"/>
  <c r="AG2" i="90"/>
  <c r="AF2" i="90"/>
  <c r="BX2" i="92"/>
  <c r="BX2" i="91"/>
  <c r="BX2" i="90"/>
  <c r="CF2" i="92"/>
  <c r="CF2" i="91"/>
  <c r="CF2" i="90"/>
  <c r="AV3" i="92"/>
  <c r="AU3" i="92"/>
  <c r="AW3" i="92"/>
  <c r="AU3" i="91"/>
  <c r="AW3" i="91"/>
  <c r="AV3" i="91"/>
  <c r="AW3" i="90"/>
  <c r="AV3" i="90"/>
  <c r="AU3" i="90"/>
  <c r="CA3" i="79"/>
  <c r="CA3" i="92"/>
  <c r="CA3" i="91"/>
  <c r="CA3" i="90"/>
  <c r="AD4" i="92"/>
  <c r="AC4" i="92"/>
  <c r="AB4" i="92"/>
  <c r="AC4" i="91"/>
  <c r="AD4" i="91"/>
  <c r="AB4" i="91"/>
  <c r="AD4" i="90"/>
  <c r="AC4" i="90"/>
  <c r="AB4" i="90"/>
  <c r="BV4" i="79"/>
  <c r="BV4" i="92"/>
  <c r="BV4" i="91"/>
  <c r="BV4" i="90"/>
  <c r="CD4" i="79"/>
  <c r="CD4" i="92"/>
  <c r="CD4" i="91"/>
  <c r="CD4" i="90"/>
  <c r="AQ5" i="92"/>
  <c r="AP5" i="92"/>
  <c r="AR5" i="92"/>
  <c r="AP5" i="91"/>
  <c r="AR5" i="91"/>
  <c r="AQ5" i="91"/>
  <c r="AR5" i="90"/>
  <c r="AQ5" i="90"/>
  <c r="AP5" i="90"/>
  <c r="BY5" i="79"/>
  <c r="BY5" i="92"/>
  <c r="BY5" i="91"/>
  <c r="BY5" i="90"/>
  <c r="CG5" i="79"/>
  <c r="CG5" i="92"/>
  <c r="CG5" i="91"/>
  <c r="CG5" i="90"/>
  <c r="AX6" i="79"/>
  <c r="AX6" i="92"/>
  <c r="AX6" i="91"/>
  <c r="AX6" i="90"/>
  <c r="CB6" i="79"/>
  <c r="CB6" i="92"/>
  <c r="CB6" i="91"/>
  <c r="CB6" i="90"/>
  <c r="AE7" i="79"/>
  <c r="AE7" i="92"/>
  <c r="AE7" i="91"/>
  <c r="AE7" i="90"/>
  <c r="BW7" i="79"/>
  <c r="BW7" i="92"/>
  <c r="BW7" i="91"/>
  <c r="BW7" i="90"/>
  <c r="CE7" i="79"/>
  <c r="CE7" i="92"/>
  <c r="CE7" i="91"/>
  <c r="CE7" i="90"/>
  <c r="AS8" i="79"/>
  <c r="AS8" i="92"/>
  <c r="AS8" i="91"/>
  <c r="AS8" i="90"/>
  <c r="BZ8" i="79"/>
  <c r="BZ8" i="92"/>
  <c r="BZ8" i="91"/>
  <c r="BZ8" i="90"/>
  <c r="CH8" i="79"/>
  <c r="CH8" i="92"/>
  <c r="CH8" i="91"/>
  <c r="CH8" i="90"/>
  <c r="BP9" i="79"/>
  <c r="BQ9" i="92"/>
  <c r="BP9" i="92"/>
  <c r="BP9" i="91"/>
  <c r="BQ9" i="91"/>
  <c r="BQ9" i="90"/>
  <c r="BP9" i="90"/>
  <c r="CC9" i="79"/>
  <c r="CC9" i="92"/>
  <c r="CC9" i="91"/>
  <c r="CC9" i="90"/>
  <c r="AH10" i="92"/>
  <c r="AG10" i="92"/>
  <c r="AF10" i="92"/>
  <c r="AF10" i="91"/>
  <c r="AH10" i="91"/>
  <c r="AG10" i="91"/>
  <c r="AH10" i="90"/>
  <c r="AG10" i="90"/>
  <c r="AF10" i="90"/>
  <c r="BX10" i="79"/>
  <c r="BX10" i="92"/>
  <c r="BX10" i="91"/>
  <c r="BX10" i="90"/>
  <c r="CF10" i="79"/>
  <c r="CF10" i="92"/>
  <c r="CF10" i="91"/>
  <c r="CF10" i="90"/>
  <c r="AV11" i="92"/>
  <c r="AU11" i="92"/>
  <c r="AW11" i="92"/>
  <c r="AU11" i="91"/>
  <c r="AW11" i="91"/>
  <c r="AV11" i="91"/>
  <c r="AW11" i="90"/>
  <c r="AV11" i="90"/>
  <c r="AU11" i="90"/>
  <c r="CA11" i="79"/>
  <c r="CA11" i="92"/>
  <c r="CA11" i="91"/>
  <c r="CA11" i="90"/>
  <c r="AD12" i="92"/>
  <c r="AC12" i="92"/>
  <c r="AB12" i="92"/>
  <c r="AD12" i="91"/>
  <c r="AB12" i="91"/>
  <c r="AC12" i="91"/>
  <c r="AD12" i="90"/>
  <c r="AC12" i="90"/>
  <c r="AB12" i="90"/>
  <c r="BV12" i="79"/>
  <c r="BV12" i="92"/>
  <c r="BV12" i="91"/>
  <c r="BV12" i="90"/>
  <c r="CD12" i="79"/>
  <c r="CD12" i="92"/>
  <c r="CD12" i="91"/>
  <c r="CD12" i="90"/>
  <c r="AQ13" i="92"/>
  <c r="AP13" i="92"/>
  <c r="AR13" i="92"/>
  <c r="AR13" i="91"/>
  <c r="AP13" i="91"/>
  <c r="AQ13" i="91"/>
  <c r="AR13" i="90"/>
  <c r="AQ13" i="90"/>
  <c r="AP13" i="90"/>
  <c r="BY13" i="79"/>
  <c r="BY13" i="92"/>
  <c r="BY13" i="91"/>
  <c r="BY13" i="90"/>
  <c r="CG13" i="79"/>
  <c r="CG13" i="92"/>
  <c r="CG13" i="91"/>
  <c r="CG13" i="90"/>
  <c r="AX14" i="79"/>
  <c r="AX14" i="92"/>
  <c r="AX14" i="91"/>
  <c r="AX14" i="90"/>
  <c r="CB14" i="79"/>
  <c r="CB14" i="92"/>
  <c r="CB14" i="91"/>
  <c r="CB14" i="90"/>
  <c r="AE15" i="79"/>
  <c r="AE15" i="92"/>
  <c r="AE15" i="91"/>
  <c r="AE15" i="90"/>
  <c r="BW15" i="79"/>
  <c r="BW15" i="92"/>
  <c r="BW15" i="91"/>
  <c r="BW15" i="90"/>
  <c r="CE15" i="79"/>
  <c r="CE15" i="92"/>
  <c r="CE15" i="91"/>
  <c r="CE15" i="90"/>
  <c r="AS16" i="79"/>
  <c r="AS16" i="92"/>
  <c r="AS16" i="91"/>
  <c r="AS16" i="90"/>
  <c r="BZ16" i="79"/>
  <c r="BZ16" i="92"/>
  <c r="BZ16" i="91"/>
  <c r="BZ16" i="90"/>
  <c r="CH16" i="79"/>
  <c r="CH16" i="92"/>
  <c r="CH16" i="91"/>
  <c r="CH16" i="90"/>
  <c r="BP17" i="79"/>
  <c r="BQ17" i="92"/>
  <c r="BP17" i="92"/>
  <c r="BQ17" i="91"/>
  <c r="BP17" i="91"/>
  <c r="BQ17" i="90"/>
  <c r="BP17" i="90"/>
  <c r="CC17" i="79"/>
  <c r="CC17" i="92"/>
  <c r="CC17" i="91"/>
  <c r="CC17" i="90"/>
  <c r="AH18" i="92"/>
  <c r="AG18" i="92"/>
  <c r="AF18" i="92"/>
  <c r="AH18" i="91"/>
  <c r="AG18" i="91"/>
  <c r="AF18" i="91"/>
  <c r="AH18" i="90"/>
  <c r="AG18" i="90"/>
  <c r="AF18" i="90"/>
  <c r="BX18" i="79"/>
  <c r="BX18" i="92"/>
  <c r="BX18" i="91"/>
  <c r="BX18" i="90"/>
  <c r="CF18" i="79"/>
  <c r="CF18" i="92"/>
  <c r="CF18" i="91"/>
  <c r="CF18" i="90"/>
  <c r="AV19" i="92"/>
  <c r="AU19" i="92"/>
  <c r="AW19" i="92"/>
  <c r="AW19" i="91"/>
  <c r="AV19" i="91"/>
  <c r="AU19" i="91"/>
  <c r="AW19" i="90"/>
  <c r="AV19" i="90"/>
  <c r="AU19" i="90"/>
  <c r="CA19" i="79"/>
  <c r="CA19" i="92"/>
  <c r="CA19" i="91"/>
  <c r="CA19" i="90"/>
  <c r="AD20" i="92"/>
  <c r="AC20" i="92"/>
  <c r="AB20" i="92"/>
  <c r="AD20" i="91"/>
  <c r="AC20" i="91"/>
  <c r="AB20" i="91"/>
  <c r="AD20" i="90"/>
  <c r="AC20" i="90"/>
  <c r="AB20" i="90"/>
  <c r="BV20" i="79"/>
  <c r="BV20" i="92"/>
  <c r="BV20" i="91"/>
  <c r="BV20" i="90"/>
  <c r="CD20" i="79"/>
  <c r="CD20" i="92"/>
  <c r="CD20" i="91"/>
  <c r="CD20" i="90"/>
  <c r="BY21" i="79"/>
  <c r="BY21" i="92"/>
  <c r="BY21" i="91"/>
  <c r="BY21" i="90"/>
  <c r="CG21" i="79"/>
  <c r="CG21" i="92"/>
  <c r="CG21" i="91"/>
  <c r="CG21" i="90"/>
  <c r="AX22" i="79"/>
  <c r="AX22" i="92"/>
  <c r="AX22" i="91"/>
  <c r="AX22" i="90"/>
  <c r="CB22" i="79"/>
  <c r="CB22" i="92"/>
  <c r="CB22" i="91"/>
  <c r="CB22" i="90"/>
  <c r="AE23" i="79"/>
  <c r="AE23" i="92"/>
  <c r="AE23" i="91"/>
  <c r="AE23" i="90"/>
  <c r="BW23" i="79"/>
  <c r="BW23" i="92"/>
  <c r="BW23" i="91"/>
  <c r="BW23" i="90"/>
  <c r="CE23" i="79"/>
  <c r="CE23" i="92"/>
  <c r="CE23" i="91"/>
  <c r="CE23" i="90"/>
  <c r="AS24" i="79"/>
  <c r="AS24" i="92"/>
  <c r="AS24" i="91"/>
  <c r="AS24" i="90"/>
  <c r="BZ24" i="79"/>
  <c r="BZ24" i="92"/>
  <c r="BZ24" i="91"/>
  <c r="BZ24" i="90"/>
  <c r="CH24" i="79"/>
  <c r="CH24" i="92"/>
  <c r="CH24" i="91"/>
  <c r="CH24" i="90"/>
  <c r="BP25" i="79"/>
  <c r="BQ25" i="92"/>
  <c r="BP25" i="92"/>
  <c r="BQ25" i="91"/>
  <c r="BP25" i="91"/>
  <c r="BQ25" i="90"/>
  <c r="BP25" i="90"/>
  <c r="CC25" i="79"/>
  <c r="CC25" i="92"/>
  <c r="CC25" i="91"/>
  <c r="CC25" i="90"/>
  <c r="AH26" i="92"/>
  <c r="AG26" i="92"/>
  <c r="AF26" i="92"/>
  <c r="AH26" i="91"/>
  <c r="AF26" i="91"/>
  <c r="AG26" i="91"/>
  <c r="AH26" i="90"/>
  <c r="AG26" i="90"/>
  <c r="AF26" i="90"/>
  <c r="BX26" i="79"/>
  <c r="BX26" i="92"/>
  <c r="BX26" i="91"/>
  <c r="BX26" i="90"/>
  <c r="CF26" i="79"/>
  <c r="CF26" i="92"/>
  <c r="CF26" i="91"/>
  <c r="CF26" i="90"/>
  <c r="CA27" i="79"/>
  <c r="CA27" i="92"/>
  <c r="CA27" i="91"/>
  <c r="CA27" i="90"/>
  <c r="AD28" i="92"/>
  <c r="AC28" i="92"/>
  <c r="AB28" i="92"/>
  <c r="AD28" i="91"/>
  <c r="AC28" i="91"/>
  <c r="AB28" i="91"/>
  <c r="AD28" i="90"/>
  <c r="AC28" i="90"/>
  <c r="AB28" i="90"/>
  <c r="BV28" i="79"/>
  <c r="BV28" i="92"/>
  <c r="BV28" i="91"/>
  <c r="BV28" i="90"/>
  <c r="CD28" i="79"/>
  <c r="CD28" i="92"/>
  <c r="CD28" i="91"/>
  <c r="CD28" i="90"/>
  <c r="AQ29" i="92"/>
  <c r="AP29" i="92"/>
  <c r="AR29" i="92"/>
  <c r="AR29" i="91"/>
  <c r="AQ29" i="91"/>
  <c r="AP29" i="91"/>
  <c r="AR29" i="90"/>
  <c r="AQ29" i="90"/>
  <c r="AP29" i="90"/>
  <c r="BY29" i="79"/>
  <c r="BY29" i="92"/>
  <c r="BY29" i="91"/>
  <c r="BY29" i="90"/>
  <c r="CG29" i="79"/>
  <c r="CG29" i="92"/>
  <c r="CG29" i="91"/>
  <c r="CG29" i="90"/>
  <c r="AX30" i="79"/>
  <c r="AX30" i="92"/>
  <c r="AX30" i="91"/>
  <c r="AX30" i="90"/>
  <c r="CB30" i="79"/>
  <c r="CB30" i="92"/>
  <c r="CB30" i="91"/>
  <c r="CB30" i="90"/>
  <c r="AE31" i="79"/>
  <c r="AE31" i="92"/>
  <c r="AE31" i="91"/>
  <c r="AE31" i="90"/>
  <c r="BW31" i="79"/>
  <c r="BW31" i="92"/>
  <c r="BW31" i="91"/>
  <c r="BW31" i="90"/>
  <c r="CE31" i="79"/>
  <c r="CE31" i="92"/>
  <c r="CE31" i="91"/>
  <c r="CE31" i="90"/>
  <c r="AS32" i="79"/>
  <c r="AS32" i="92"/>
  <c r="AS32" i="91"/>
  <c r="AS32" i="90"/>
  <c r="BZ32" i="79"/>
  <c r="BZ32" i="92"/>
  <c r="BZ32" i="91"/>
  <c r="BZ32" i="90"/>
  <c r="CH32" i="79"/>
  <c r="CH32" i="92"/>
  <c r="CH32" i="91"/>
  <c r="CH32" i="90"/>
  <c r="BP33" i="79"/>
  <c r="BQ33" i="92"/>
  <c r="BP33" i="92"/>
  <c r="BQ33" i="91"/>
  <c r="BP33" i="91"/>
  <c r="BQ33" i="90"/>
  <c r="BP33" i="90"/>
  <c r="CC33" i="79"/>
  <c r="CC33" i="92"/>
  <c r="CC33" i="91"/>
  <c r="CC33" i="90"/>
  <c r="AH34" i="92"/>
  <c r="AG34" i="92"/>
  <c r="AF34" i="92"/>
  <c r="AH34" i="91"/>
  <c r="AG34" i="91"/>
  <c r="AF34" i="91"/>
  <c r="AH34" i="90"/>
  <c r="AG34" i="90"/>
  <c r="AF34" i="90"/>
  <c r="BX34" i="79"/>
  <c r="BX34" i="92"/>
  <c r="BX34" i="91"/>
  <c r="BX34" i="90"/>
  <c r="CF34" i="79"/>
  <c r="CF34" i="92"/>
  <c r="CF34" i="91"/>
  <c r="CF34" i="90"/>
  <c r="AV35" i="92"/>
  <c r="AU35" i="92"/>
  <c r="AW35" i="92"/>
  <c r="AW35" i="91"/>
  <c r="AV35" i="91"/>
  <c r="AU35" i="91"/>
  <c r="AW35" i="90"/>
  <c r="AV35" i="90"/>
  <c r="AU35" i="90"/>
  <c r="CA35" i="79"/>
  <c r="CA35" i="92"/>
  <c r="CA35" i="91"/>
  <c r="CA35" i="90"/>
  <c r="AD36" i="92"/>
  <c r="AC36" i="92"/>
  <c r="AB36" i="92"/>
  <c r="AD36" i="91"/>
  <c r="AC36" i="91"/>
  <c r="AB36" i="91"/>
  <c r="AD36" i="90"/>
  <c r="AC36" i="90"/>
  <c r="AB36" i="90"/>
  <c r="BV36" i="79"/>
  <c r="BV36" i="92"/>
  <c r="BV36" i="91"/>
  <c r="BV36" i="90"/>
  <c r="CD36" i="79"/>
  <c r="CD36" i="92"/>
  <c r="CD36" i="91"/>
  <c r="CD36" i="90"/>
  <c r="AQ37" i="92"/>
  <c r="AP37" i="92"/>
  <c r="AR37" i="92"/>
  <c r="AR37" i="91"/>
  <c r="AQ37" i="91"/>
  <c r="AP37" i="91"/>
  <c r="AR37" i="90"/>
  <c r="AQ37" i="90"/>
  <c r="AP37" i="90"/>
  <c r="BY37" i="79"/>
  <c r="BY37" i="92"/>
  <c r="BY37" i="91"/>
  <c r="BY37" i="90"/>
  <c r="CG37" i="79"/>
  <c r="CG37" i="92"/>
  <c r="CG37" i="91"/>
  <c r="CG37" i="90"/>
  <c r="AX38" i="79"/>
  <c r="AX38" i="92"/>
  <c r="AX38" i="91"/>
  <c r="AX38" i="90"/>
  <c r="CB38" i="79"/>
  <c r="CB38" i="92"/>
  <c r="CB38" i="91"/>
  <c r="CB38" i="90"/>
  <c r="AE39" i="79"/>
  <c r="AE39" i="92"/>
  <c r="AE39" i="91"/>
  <c r="AE39" i="90"/>
  <c r="BW39" i="79"/>
  <c r="BW39" i="92"/>
  <c r="BW39" i="91"/>
  <c r="BW39" i="90"/>
  <c r="CE39" i="79"/>
  <c r="CE39" i="92"/>
  <c r="CE39" i="91"/>
  <c r="CE39" i="90"/>
  <c r="AS40" i="79"/>
  <c r="AS40" i="92"/>
  <c r="AS40" i="91"/>
  <c r="AS40" i="90"/>
  <c r="BZ40" i="79"/>
  <c r="BZ40" i="92"/>
  <c r="BZ40" i="91"/>
  <c r="BZ40" i="90"/>
  <c r="CH40" i="79"/>
  <c r="CH40" i="92"/>
  <c r="CH40" i="91"/>
  <c r="CH40" i="90"/>
  <c r="BP41" i="79"/>
  <c r="BP41" i="92"/>
  <c r="BQ41" i="92"/>
  <c r="BQ41" i="91"/>
  <c r="BP41" i="91"/>
  <c r="BQ41" i="90"/>
  <c r="BP41" i="90"/>
  <c r="CC41" i="79"/>
  <c r="CC41" i="92"/>
  <c r="CC41" i="91"/>
  <c r="CC41" i="90"/>
  <c r="AH42" i="92"/>
  <c r="AG42" i="92"/>
  <c r="AF42" i="92"/>
  <c r="AH42" i="91"/>
  <c r="AG42" i="91"/>
  <c r="AF42" i="91"/>
  <c r="AH42" i="90"/>
  <c r="AG42" i="90"/>
  <c r="AF42" i="90"/>
  <c r="BX42" i="79"/>
  <c r="BX42" i="92"/>
  <c r="BX42" i="91"/>
  <c r="BX42" i="90"/>
  <c r="CF42" i="79"/>
  <c r="CF42" i="92"/>
  <c r="CF42" i="91"/>
  <c r="CF42" i="90"/>
  <c r="AU43" i="92"/>
  <c r="AV43" i="92"/>
  <c r="AW43" i="92"/>
  <c r="AW43" i="91"/>
  <c r="AV43" i="91"/>
  <c r="AU43" i="91"/>
  <c r="AW43" i="90"/>
  <c r="AV43" i="90"/>
  <c r="AU43" i="90"/>
  <c r="CA43" i="79"/>
  <c r="CA43" i="92"/>
  <c r="CA43" i="91"/>
  <c r="CA43" i="90"/>
  <c r="AD44" i="92"/>
  <c r="AC44" i="92"/>
  <c r="AB44" i="92"/>
  <c r="AD44" i="91"/>
  <c r="AC44" i="91"/>
  <c r="AB44" i="91"/>
  <c r="AD44" i="90"/>
  <c r="AC44" i="90"/>
  <c r="AB44" i="90"/>
  <c r="BV44" i="79"/>
  <c r="BV44" i="92"/>
  <c r="BV44" i="91"/>
  <c r="BV44" i="90"/>
  <c r="CD44" i="79"/>
  <c r="CD44" i="92"/>
  <c r="CD44" i="91"/>
  <c r="CD44" i="90"/>
  <c r="AP45" i="92"/>
  <c r="AQ45" i="92"/>
  <c r="AR45" i="92"/>
  <c r="AR45" i="91"/>
  <c r="AQ45" i="91"/>
  <c r="AP45" i="91"/>
  <c r="AR45" i="90"/>
  <c r="AQ45" i="90"/>
  <c r="AP45" i="90"/>
  <c r="BY45" i="79"/>
  <c r="BY45" i="92"/>
  <c r="BY45" i="91"/>
  <c r="BY45" i="90"/>
  <c r="CG45" i="79"/>
  <c r="CG45" i="92"/>
  <c r="CG45" i="91"/>
  <c r="CG45" i="90"/>
  <c r="AX46" i="79"/>
  <c r="AX46" i="92"/>
  <c r="AX46" i="91"/>
  <c r="AX46" i="90"/>
  <c r="CB46" i="79"/>
  <c r="CB46" i="92"/>
  <c r="CB46" i="91"/>
  <c r="CB46" i="90"/>
  <c r="AE47" i="79"/>
  <c r="AE47" i="92"/>
  <c r="AE47" i="91"/>
  <c r="AE47" i="90"/>
  <c r="BW47" i="79"/>
  <c r="BW47" i="92"/>
  <c r="BW47" i="91"/>
  <c r="BW47" i="90"/>
  <c r="CE47" i="79"/>
  <c r="CE47" i="92"/>
  <c r="CE47" i="91"/>
  <c r="CE47" i="90"/>
  <c r="AS48" i="79"/>
  <c r="AS48" i="92"/>
  <c r="AS48" i="91"/>
  <c r="AS48" i="90"/>
  <c r="BZ48" i="79"/>
  <c r="BZ48" i="92"/>
  <c r="BZ48" i="91"/>
  <c r="BZ48" i="90"/>
  <c r="CH48" i="79"/>
  <c r="CH48" i="92"/>
  <c r="CH48" i="91"/>
  <c r="CH48" i="90"/>
  <c r="BQ49" i="79"/>
  <c r="BQ49" i="92"/>
  <c r="BP49" i="92"/>
  <c r="BQ49" i="91"/>
  <c r="BP49" i="91"/>
  <c r="BP49" i="90"/>
  <c r="BQ49" i="90"/>
  <c r="CC49" i="79"/>
  <c r="CC49" i="92"/>
  <c r="CC49" i="91"/>
  <c r="CC49" i="90"/>
  <c r="AH50" i="92"/>
  <c r="AG50" i="92"/>
  <c r="AF50" i="92"/>
  <c r="AH50" i="91"/>
  <c r="AG50" i="91"/>
  <c r="AF50" i="91"/>
  <c r="AH50" i="90"/>
  <c r="AG50" i="90"/>
  <c r="AF50" i="90"/>
  <c r="BX50" i="79"/>
  <c r="BX50" i="92"/>
  <c r="BX50" i="91"/>
  <c r="BX50" i="90"/>
  <c r="CF50" i="79"/>
  <c r="CF50" i="92"/>
  <c r="CF50" i="91"/>
  <c r="CF50" i="90"/>
  <c r="CA51" i="79"/>
  <c r="CA51" i="92"/>
  <c r="CA51" i="91"/>
  <c r="CA51" i="90"/>
  <c r="AB52" i="92"/>
  <c r="AC52" i="92"/>
  <c r="AD52" i="92"/>
  <c r="AD52" i="91"/>
  <c r="AC52" i="91"/>
  <c r="AB52" i="91"/>
  <c r="AD52" i="90"/>
  <c r="AC52" i="90"/>
  <c r="AB52" i="90"/>
  <c r="BV52" i="79"/>
  <c r="BV52" i="92"/>
  <c r="BV52" i="91"/>
  <c r="BV52" i="90"/>
  <c r="CD52" i="79"/>
  <c r="CD52" i="92"/>
  <c r="CD52" i="91"/>
  <c r="CD52" i="90"/>
  <c r="AR53" i="92"/>
  <c r="AQ53" i="92"/>
  <c r="AP53" i="92"/>
  <c r="AR53" i="91"/>
  <c r="AQ53" i="91"/>
  <c r="AP53" i="91"/>
  <c r="AQ53" i="90"/>
  <c r="AR53" i="90"/>
  <c r="AP53" i="90"/>
  <c r="BY53" i="79"/>
  <c r="BY53" i="92"/>
  <c r="BY53" i="91"/>
  <c r="BY53" i="90"/>
  <c r="CG53" i="79"/>
  <c r="CG53" i="92"/>
  <c r="CG53" i="91"/>
  <c r="CG53" i="90"/>
  <c r="AX54" i="79"/>
  <c r="AX54" i="92"/>
  <c r="AX54" i="91"/>
  <c r="AX54" i="90"/>
  <c r="CB54" i="79"/>
  <c r="CB54" i="92"/>
  <c r="CB54" i="91"/>
  <c r="CB54" i="90"/>
  <c r="AE55" i="79"/>
  <c r="AE55" i="92"/>
  <c r="AE55" i="91"/>
  <c r="AE55" i="90"/>
  <c r="BW55" i="79"/>
  <c r="BW55" i="92"/>
  <c r="BW55" i="91"/>
  <c r="BW55" i="90"/>
  <c r="CE55" i="79"/>
  <c r="CE55" i="92"/>
  <c r="CE55" i="91"/>
  <c r="CE55" i="90"/>
  <c r="AS56" i="79"/>
  <c r="AS56" i="92"/>
  <c r="AS56" i="91"/>
  <c r="AS56" i="90"/>
  <c r="BZ56" i="79"/>
  <c r="BZ56" i="92"/>
  <c r="BZ56" i="91"/>
  <c r="BZ56" i="90"/>
  <c r="CH56" i="79"/>
  <c r="CH56" i="92"/>
  <c r="CH56" i="91"/>
  <c r="CH56" i="90"/>
  <c r="BP57" i="79"/>
  <c r="BQ57" i="92"/>
  <c r="BP57" i="92"/>
  <c r="BQ57" i="91"/>
  <c r="BP57" i="91"/>
  <c r="BQ57" i="90"/>
  <c r="BP57" i="90"/>
  <c r="CC57" i="79"/>
  <c r="CC57" i="92"/>
  <c r="CC57" i="91"/>
  <c r="CC57" i="90"/>
  <c r="BX58" i="79"/>
  <c r="BX58" i="92"/>
  <c r="BX58" i="91"/>
  <c r="BX58" i="90"/>
  <c r="CF58" i="79"/>
  <c r="CF58" i="92"/>
  <c r="CF58" i="91"/>
  <c r="CF58" i="90"/>
  <c r="AV59" i="92"/>
  <c r="AU59" i="92"/>
  <c r="AW59" i="92"/>
  <c r="AW59" i="91"/>
  <c r="AV59" i="91"/>
  <c r="AU59" i="91"/>
  <c r="AV59" i="90"/>
  <c r="AW59" i="90"/>
  <c r="AU59" i="90"/>
  <c r="CA59" i="79"/>
  <c r="CA59" i="92"/>
  <c r="CA59" i="91"/>
  <c r="CA59" i="90"/>
  <c r="AD60" i="92"/>
  <c r="AC60" i="92"/>
  <c r="AB60" i="92"/>
  <c r="AD60" i="91"/>
  <c r="AC60" i="91"/>
  <c r="AB60" i="91"/>
  <c r="AD60" i="90"/>
  <c r="AC60" i="90"/>
  <c r="AB60" i="90"/>
  <c r="BV60" i="79"/>
  <c r="BV60" i="92"/>
  <c r="BV60" i="91"/>
  <c r="BV60" i="90"/>
  <c r="CD60" i="79"/>
  <c r="CD60" i="92"/>
  <c r="CD60" i="91"/>
  <c r="CD60" i="90"/>
  <c r="AP61" i="92"/>
  <c r="AR61" i="92"/>
  <c r="AQ61" i="92"/>
  <c r="AR61" i="91"/>
  <c r="AQ61" i="91"/>
  <c r="AP61" i="91"/>
  <c r="AQ61" i="90"/>
  <c r="AR61" i="90"/>
  <c r="AP61" i="90"/>
  <c r="BY61" i="79"/>
  <c r="BY61" i="92"/>
  <c r="BY61" i="91"/>
  <c r="BY61" i="90"/>
  <c r="CG61" i="79"/>
  <c r="CG61" i="92"/>
  <c r="CG61" i="91"/>
  <c r="CG61" i="90"/>
  <c r="AX62" i="79"/>
  <c r="AX62" i="92"/>
  <c r="AX62" i="91"/>
  <c r="AX62" i="90"/>
  <c r="CB62" i="79"/>
  <c r="CB62" i="92"/>
  <c r="CB62" i="91"/>
  <c r="CB62" i="90"/>
  <c r="AE63" i="79"/>
  <c r="AE63" i="92"/>
  <c r="AE63" i="91"/>
  <c r="AE63" i="90"/>
  <c r="BW63" i="79"/>
  <c r="BW63" i="92"/>
  <c r="BW63" i="91"/>
  <c r="BW63" i="90"/>
  <c r="CE63" i="79"/>
  <c r="CE63" i="92"/>
  <c r="CE63" i="91"/>
  <c r="CE63" i="90"/>
  <c r="AS64" i="79"/>
  <c r="AS64" i="92"/>
  <c r="AS64" i="91"/>
  <c r="AS64" i="90"/>
  <c r="BZ64" i="79"/>
  <c r="BZ64" i="92"/>
  <c r="BZ64" i="91"/>
  <c r="BZ64" i="90"/>
  <c r="CH64" i="79"/>
  <c r="CH64" i="92"/>
  <c r="CH64" i="91"/>
  <c r="CH64" i="90"/>
  <c r="CC65" i="79"/>
  <c r="CC65" i="92"/>
  <c r="CC65" i="91"/>
  <c r="CC65" i="90"/>
  <c r="AH66" i="92"/>
  <c r="AG66" i="92"/>
  <c r="AF66" i="92"/>
  <c r="AH66" i="91"/>
  <c r="AF66" i="91"/>
  <c r="AG66" i="91"/>
  <c r="AH66" i="90"/>
  <c r="AG66" i="90"/>
  <c r="AF66" i="90"/>
  <c r="BX66" i="79"/>
  <c r="BX66" i="92"/>
  <c r="BX66" i="91"/>
  <c r="BX66" i="90"/>
  <c r="CF66" i="79"/>
  <c r="CF66" i="92"/>
  <c r="CF66" i="91"/>
  <c r="CF66" i="90"/>
  <c r="AV67" i="92"/>
  <c r="AU67" i="92"/>
  <c r="AW67" i="92"/>
  <c r="AU67" i="91"/>
  <c r="AW67" i="91"/>
  <c r="AV67" i="91"/>
  <c r="AU67" i="90"/>
  <c r="AW67" i="90"/>
  <c r="AV67" i="90"/>
  <c r="CA67" i="79"/>
  <c r="CA67" i="92"/>
  <c r="CA67" i="91"/>
  <c r="CA67" i="90"/>
  <c r="AD68" i="92"/>
  <c r="AC68" i="92"/>
  <c r="AB68" i="92"/>
  <c r="AD68" i="91"/>
  <c r="AB68" i="91"/>
  <c r="AC68" i="91"/>
  <c r="AD68" i="90"/>
  <c r="AC68" i="90"/>
  <c r="AB68" i="90"/>
  <c r="BV68" i="79"/>
  <c r="BV68" i="92"/>
  <c r="BV68" i="91"/>
  <c r="BV68" i="90"/>
  <c r="CD68" i="79"/>
  <c r="CD68" i="92"/>
  <c r="CD68" i="91"/>
  <c r="CD68" i="90"/>
  <c r="AQ69" i="92"/>
  <c r="AP69" i="92"/>
  <c r="AR69" i="92"/>
  <c r="AP69" i="91"/>
  <c r="AR69" i="91"/>
  <c r="AQ69" i="91"/>
  <c r="AP69" i="90"/>
  <c r="AR69" i="90"/>
  <c r="AQ69" i="90"/>
  <c r="BY69" i="79"/>
  <c r="BY69" i="92"/>
  <c r="BY69" i="91"/>
  <c r="BY69" i="90"/>
  <c r="CG69" i="79"/>
  <c r="CG69" i="92"/>
  <c r="CG69" i="91"/>
  <c r="CG69" i="90"/>
  <c r="AX70" i="79"/>
  <c r="AX70" i="92"/>
  <c r="AX70" i="91"/>
  <c r="AX70" i="90"/>
  <c r="CB70" i="79"/>
  <c r="CB70" i="92"/>
  <c r="CB70" i="91"/>
  <c r="CB70" i="90"/>
  <c r="AE71" i="79"/>
  <c r="AE71" i="92"/>
  <c r="AE71" i="91"/>
  <c r="AE71" i="90"/>
  <c r="BW71" i="79"/>
  <c r="BW71" i="92"/>
  <c r="BW71" i="91"/>
  <c r="BW71" i="90"/>
  <c r="CE71" i="79"/>
  <c r="CE71" i="92"/>
  <c r="CE71" i="91"/>
  <c r="CE71" i="90"/>
  <c r="AS72" i="79"/>
  <c r="AS72" i="92"/>
  <c r="AS72" i="91"/>
  <c r="AS72" i="90"/>
  <c r="BZ72" i="79"/>
  <c r="BZ72" i="92"/>
  <c r="BZ72" i="91"/>
  <c r="BZ72" i="90"/>
  <c r="CH72" i="79"/>
  <c r="CH72" i="92"/>
  <c r="CH72" i="91"/>
  <c r="CH72" i="90"/>
  <c r="CC73" i="79"/>
  <c r="CC73" i="92"/>
  <c r="CC73" i="91"/>
  <c r="CC73" i="90"/>
  <c r="AH74" i="92"/>
  <c r="AG74" i="92"/>
  <c r="AF74" i="92"/>
  <c r="AG74" i="91"/>
  <c r="AF74" i="91"/>
  <c r="AH74" i="91"/>
  <c r="AH74" i="90"/>
  <c r="AG74" i="90"/>
  <c r="AF74" i="90"/>
  <c r="BX74" i="79"/>
  <c r="BX74" i="92"/>
  <c r="BX74" i="91"/>
  <c r="BX74" i="90"/>
  <c r="CF74" i="79"/>
  <c r="CF74" i="92"/>
  <c r="CF74" i="91"/>
  <c r="CF74" i="90"/>
  <c r="AW75" i="92"/>
  <c r="AV75" i="92"/>
  <c r="AU75" i="92"/>
  <c r="AV75" i="91"/>
  <c r="AU75" i="91"/>
  <c r="AW75" i="91"/>
  <c r="AU75" i="90"/>
  <c r="AV75" i="90"/>
  <c r="AW75" i="90"/>
  <c r="CA75" i="79"/>
  <c r="CA75" i="92"/>
  <c r="CA75" i="91"/>
  <c r="CA75" i="90"/>
  <c r="AC76" i="92"/>
  <c r="AD76" i="92"/>
  <c r="AB76" i="92"/>
  <c r="AC76" i="91"/>
  <c r="AB76" i="91"/>
  <c r="AD76" i="91"/>
  <c r="AD76" i="90"/>
  <c r="AC76" i="90"/>
  <c r="AB76" i="90"/>
  <c r="BV76" i="79"/>
  <c r="BV76" i="92"/>
  <c r="BV76" i="91"/>
  <c r="BV76" i="90"/>
  <c r="CD76" i="79"/>
  <c r="CD76" i="92"/>
  <c r="CD76" i="91"/>
  <c r="CD76" i="90"/>
  <c r="AQ77" i="92"/>
  <c r="AP77" i="92"/>
  <c r="AR77" i="92"/>
  <c r="AQ77" i="91"/>
  <c r="AP77" i="91"/>
  <c r="AR77" i="91"/>
  <c r="AP77" i="90"/>
  <c r="AQ77" i="90"/>
  <c r="AR77" i="90"/>
  <c r="BY77" i="79"/>
  <c r="BY77" i="92"/>
  <c r="BY77" i="91"/>
  <c r="BY77" i="90"/>
  <c r="CG77" i="79"/>
  <c r="CG77" i="92"/>
  <c r="CG77" i="91"/>
  <c r="CG77" i="90"/>
  <c r="AX78" i="79"/>
  <c r="AX78" i="92"/>
  <c r="AX78" i="91"/>
  <c r="AX78" i="90"/>
  <c r="CB78" i="79"/>
  <c r="CB78" i="92"/>
  <c r="CB78" i="91"/>
  <c r="CB78" i="90"/>
  <c r="AE79" i="79"/>
  <c r="AE79" i="92"/>
  <c r="AE79" i="91"/>
  <c r="AE79" i="90"/>
  <c r="BW79" i="79"/>
  <c r="BW79" i="92"/>
  <c r="BW79" i="91"/>
  <c r="BW79" i="90"/>
  <c r="CE79" i="79"/>
  <c r="CE79" i="92"/>
  <c r="CE79" i="91"/>
  <c r="CE79" i="90"/>
  <c r="AS80" i="79"/>
  <c r="AS80" i="92"/>
  <c r="AS80" i="91"/>
  <c r="AS80" i="90"/>
  <c r="BZ80" i="79"/>
  <c r="BZ80" i="92"/>
  <c r="BZ80" i="91"/>
  <c r="BZ80" i="90"/>
  <c r="CH80" i="79"/>
  <c r="CH80" i="92"/>
  <c r="CH80" i="91"/>
  <c r="CH80" i="90"/>
  <c r="BP81" i="79"/>
  <c r="BQ81" i="92"/>
  <c r="BP81" i="92"/>
  <c r="BQ81" i="91"/>
  <c r="BP81" i="91"/>
  <c r="BP81" i="90"/>
  <c r="BQ81" i="90"/>
  <c r="CC81" i="79"/>
  <c r="CC81" i="92"/>
  <c r="CC81" i="91"/>
  <c r="CC81" i="90"/>
  <c r="AH82" i="92"/>
  <c r="AG82" i="92"/>
  <c r="AF82" i="92"/>
  <c r="AH82" i="91"/>
  <c r="AG82" i="91"/>
  <c r="AF82" i="91"/>
  <c r="AH82" i="90"/>
  <c r="AG82" i="90"/>
  <c r="AF82" i="90"/>
  <c r="BX82" i="79"/>
  <c r="BX82" i="92"/>
  <c r="BX82" i="91"/>
  <c r="BX82" i="90"/>
  <c r="CF82" i="79"/>
  <c r="CF82" i="92"/>
  <c r="CF82" i="91"/>
  <c r="CF82" i="90"/>
  <c r="AV83" i="92"/>
  <c r="AU83" i="92"/>
  <c r="AW83" i="92"/>
  <c r="AW83" i="91"/>
  <c r="AV83" i="91"/>
  <c r="AU83" i="91"/>
  <c r="AU83" i="90"/>
  <c r="AV83" i="90"/>
  <c r="AW83" i="90"/>
  <c r="CA83" i="79"/>
  <c r="CA83" i="92"/>
  <c r="CA83" i="91"/>
  <c r="CA83" i="90"/>
  <c r="AD84" i="92"/>
  <c r="AC84" i="92"/>
  <c r="AB84" i="92"/>
  <c r="AD84" i="91"/>
  <c r="AC84" i="91"/>
  <c r="AB84" i="91"/>
  <c r="AD84" i="90"/>
  <c r="AC84" i="90"/>
  <c r="AB84" i="90"/>
  <c r="BV84" i="79"/>
  <c r="BV84" i="92"/>
  <c r="BV84" i="91"/>
  <c r="BV84" i="90"/>
  <c r="CD84" i="79"/>
  <c r="CD84" i="92"/>
  <c r="CD84" i="91"/>
  <c r="CD84" i="90"/>
  <c r="AQ85" i="92"/>
  <c r="AP85" i="92"/>
  <c r="AR85" i="92"/>
  <c r="AR85" i="91"/>
  <c r="AQ85" i="91"/>
  <c r="AP85" i="91"/>
  <c r="AP85" i="90"/>
  <c r="AQ85" i="90"/>
  <c r="AR85" i="90"/>
  <c r="BY85" i="79"/>
  <c r="BY85" i="92"/>
  <c r="BY85" i="91"/>
  <c r="BY85" i="90"/>
  <c r="CG85" i="79"/>
  <c r="CG85" i="92"/>
  <c r="CG85" i="91"/>
  <c r="CG85" i="90"/>
  <c r="AX86" i="79"/>
  <c r="AX86" i="92"/>
  <c r="AX86" i="91"/>
  <c r="AX86" i="90"/>
  <c r="CB86" i="79"/>
  <c r="CB86" i="92"/>
  <c r="CB86" i="91"/>
  <c r="CB86" i="90"/>
  <c r="AE87" i="79"/>
  <c r="AE87" i="92"/>
  <c r="AE87" i="91"/>
  <c r="AE87" i="90"/>
  <c r="BW87" i="79"/>
  <c r="BW87" i="92"/>
  <c r="BW87" i="91"/>
  <c r="BW87" i="90"/>
  <c r="CE87" i="79"/>
  <c r="CE87" i="92"/>
  <c r="CE87" i="91"/>
  <c r="CE87" i="90"/>
  <c r="AS88" i="79"/>
  <c r="AS88" i="92"/>
  <c r="AS88" i="91"/>
  <c r="AS88" i="90"/>
  <c r="BZ88" i="79"/>
  <c r="BZ88" i="92"/>
  <c r="BZ88" i="91"/>
  <c r="BZ88" i="90"/>
  <c r="CH88" i="79"/>
  <c r="CH88" i="92"/>
  <c r="CH88" i="91"/>
  <c r="CH88" i="90"/>
  <c r="CC89" i="79"/>
  <c r="CC89" i="92"/>
  <c r="CC89" i="91"/>
  <c r="CC89" i="90"/>
  <c r="AH90" i="92"/>
  <c r="AG90" i="92"/>
  <c r="AF90" i="92"/>
  <c r="AH90" i="91"/>
  <c r="AG90" i="91"/>
  <c r="AF90" i="91"/>
  <c r="AG90" i="90"/>
  <c r="AF90" i="90"/>
  <c r="AH90" i="90"/>
  <c r="BX90" i="79"/>
  <c r="BX90" i="92"/>
  <c r="BX90" i="91"/>
  <c r="BX90" i="90"/>
  <c r="CF90" i="79"/>
  <c r="CF90" i="92"/>
  <c r="CF90" i="91"/>
  <c r="CF90" i="90"/>
  <c r="AW91" i="92"/>
  <c r="AV91" i="92"/>
  <c r="AU91" i="92"/>
  <c r="AW91" i="91"/>
  <c r="AV91" i="91"/>
  <c r="AU91" i="91"/>
  <c r="AW91" i="90"/>
  <c r="AV91" i="90"/>
  <c r="AU91" i="90"/>
  <c r="CA91" i="79"/>
  <c r="CA91" i="92"/>
  <c r="CA91" i="91"/>
  <c r="CA91" i="90"/>
  <c r="AB92" i="92"/>
  <c r="AD92" i="92"/>
  <c r="AC92" i="92"/>
  <c r="AD92" i="91"/>
  <c r="AC92" i="91"/>
  <c r="AB92" i="91"/>
  <c r="AD92" i="90"/>
  <c r="AC92" i="90"/>
  <c r="AB92" i="90"/>
  <c r="BV92" i="79"/>
  <c r="BV92" i="92"/>
  <c r="BV92" i="91"/>
  <c r="BV92" i="90"/>
  <c r="CD92" i="79"/>
  <c r="CD92" i="92"/>
  <c r="CD92" i="91"/>
  <c r="CD92" i="90"/>
  <c r="AQ93" i="92"/>
  <c r="AP93" i="92"/>
  <c r="AR93" i="92"/>
  <c r="AP93" i="91"/>
  <c r="AR93" i="91"/>
  <c r="AQ93" i="91"/>
  <c r="AR93" i="90"/>
  <c r="AQ93" i="90"/>
  <c r="AP93" i="90"/>
  <c r="BY93" i="79"/>
  <c r="BY93" i="92"/>
  <c r="BY93" i="91"/>
  <c r="BY93" i="90"/>
  <c r="CG93" i="79"/>
  <c r="CG93" i="92"/>
  <c r="CG93" i="91"/>
  <c r="CG93" i="90"/>
  <c r="AX94" i="79"/>
  <c r="AX94" i="92"/>
  <c r="AX94" i="91"/>
  <c r="AX94" i="90"/>
  <c r="CB94" i="79"/>
  <c r="CB94" i="92"/>
  <c r="CB94" i="91"/>
  <c r="CB94" i="90"/>
  <c r="AE95" i="79"/>
  <c r="AE95" i="92"/>
  <c r="AE95" i="91"/>
  <c r="AE95" i="90"/>
  <c r="BW95" i="79"/>
  <c r="BW95" i="92"/>
  <c r="BW95" i="91"/>
  <c r="BW95" i="90"/>
  <c r="CE95" i="79"/>
  <c r="CE95" i="92"/>
  <c r="CE95" i="91"/>
  <c r="CE95" i="90"/>
  <c r="AS96" i="79"/>
  <c r="AS96" i="92"/>
  <c r="AS96" i="91"/>
  <c r="AS96" i="90"/>
  <c r="BZ96" i="79"/>
  <c r="BZ96" i="92"/>
  <c r="BZ96" i="91"/>
  <c r="BZ96" i="90"/>
  <c r="CH96" i="79"/>
  <c r="CH96" i="92"/>
  <c r="CH96" i="91"/>
  <c r="CH96" i="90"/>
  <c r="BP97" i="79"/>
  <c r="BQ97" i="92"/>
  <c r="BP97" i="92"/>
  <c r="BP97" i="91"/>
  <c r="BQ97" i="91"/>
  <c r="BQ97" i="90"/>
  <c r="BP97" i="90"/>
  <c r="CC97" i="79"/>
  <c r="CC97" i="92"/>
  <c r="CC97" i="91"/>
  <c r="CC97" i="90"/>
  <c r="BX98" i="79"/>
  <c r="BX98" i="92"/>
  <c r="BX98" i="91"/>
  <c r="BX98" i="90"/>
  <c r="CF98" i="79"/>
  <c r="CF98" i="92"/>
  <c r="CF98" i="91"/>
  <c r="CF98" i="90"/>
  <c r="CA99" i="79"/>
  <c r="CA99" i="92"/>
  <c r="CA99" i="91"/>
  <c r="CA99" i="90"/>
  <c r="BV100" i="79"/>
  <c r="BV100" i="92"/>
  <c r="BV100" i="91"/>
  <c r="BV100" i="90"/>
  <c r="CD100" i="79"/>
  <c r="CD100" i="92"/>
  <c r="CD100" i="91"/>
  <c r="CD100" i="90"/>
  <c r="BY101" i="79"/>
  <c r="BY101" i="92"/>
  <c r="BY101" i="91"/>
  <c r="BY101" i="90"/>
  <c r="CG101" i="79"/>
  <c r="CG101" i="92"/>
  <c r="CG101" i="91"/>
  <c r="CG101" i="90"/>
  <c r="AX102" i="79"/>
  <c r="AX102" i="92"/>
  <c r="AX102" i="91"/>
  <c r="AX102" i="90"/>
  <c r="CB102" i="79"/>
  <c r="CB102" i="92"/>
  <c r="CB102" i="91"/>
  <c r="CB102" i="90"/>
  <c r="AE103" i="79"/>
  <c r="AE103" i="92"/>
  <c r="AE103" i="91"/>
  <c r="AE103" i="90"/>
  <c r="BW103" i="79"/>
  <c r="BW103" i="92"/>
  <c r="BW103" i="91"/>
  <c r="BW103" i="90"/>
  <c r="CE103" i="79"/>
  <c r="CE103" i="92"/>
  <c r="CE103" i="91"/>
  <c r="CE103" i="90"/>
  <c r="AS104" i="79"/>
  <c r="AS104" i="92"/>
  <c r="AS104" i="91"/>
  <c r="AS104" i="90"/>
  <c r="BZ104" i="79"/>
  <c r="BZ104" i="92"/>
  <c r="BZ104" i="91"/>
  <c r="BZ104" i="90"/>
  <c r="CH104" i="79"/>
  <c r="CH104" i="92"/>
  <c r="CH104" i="91"/>
  <c r="CH104" i="90"/>
  <c r="BP105" i="79"/>
  <c r="BQ105" i="92"/>
  <c r="BP105" i="92"/>
  <c r="BP105" i="91"/>
  <c r="BQ105" i="91"/>
  <c r="BQ105" i="90"/>
  <c r="BP105" i="90"/>
  <c r="CC105" i="79"/>
  <c r="CC105" i="92"/>
  <c r="CC105" i="91"/>
  <c r="CC105" i="90"/>
  <c r="BX106" i="79"/>
  <c r="BX106" i="92"/>
  <c r="BX106" i="91"/>
  <c r="BX106" i="90"/>
  <c r="CF106" i="79"/>
  <c r="CF106" i="92"/>
  <c r="CF106" i="91"/>
  <c r="CF106" i="90"/>
  <c r="CA107" i="79"/>
  <c r="CA107" i="92"/>
  <c r="CA107" i="91"/>
  <c r="CA107" i="90"/>
  <c r="BV108" i="79"/>
  <c r="BV108" i="92"/>
  <c r="BV108" i="91"/>
  <c r="BV108" i="90"/>
  <c r="CD108" i="79"/>
  <c r="CD108" i="92"/>
  <c r="CD108" i="91"/>
  <c r="CD108" i="90"/>
  <c r="BY109" i="79"/>
  <c r="BY109" i="92"/>
  <c r="BY109" i="91"/>
  <c r="BY109" i="90"/>
  <c r="CG109" i="79"/>
  <c r="CG109" i="92"/>
  <c r="CG109" i="91"/>
  <c r="CG109" i="90"/>
  <c r="AX110" i="79"/>
  <c r="AX110" i="92"/>
  <c r="AX110" i="91"/>
  <c r="AX110" i="90"/>
  <c r="CB110" i="79"/>
  <c r="CB110" i="92"/>
  <c r="CB110" i="91"/>
  <c r="CB110" i="90"/>
  <c r="AE111" i="79"/>
  <c r="AE111" i="92"/>
  <c r="AE111" i="91"/>
  <c r="AE111" i="90"/>
  <c r="BW111" i="79"/>
  <c r="BW111" i="92"/>
  <c r="BW111" i="91"/>
  <c r="BW111" i="90"/>
  <c r="CE111" i="79"/>
  <c r="CE111" i="92"/>
  <c r="CE111" i="91"/>
  <c r="CE111" i="90"/>
  <c r="AS112" i="79"/>
  <c r="AS112" i="92"/>
  <c r="AS112" i="91"/>
  <c r="AS112" i="90"/>
  <c r="BZ112" i="79"/>
  <c r="BZ112" i="92"/>
  <c r="BZ112" i="91"/>
  <c r="BZ112" i="90"/>
  <c r="CH112" i="79"/>
  <c r="CH112" i="92"/>
  <c r="CH112" i="91"/>
  <c r="CH112" i="90"/>
  <c r="BP113" i="79"/>
  <c r="BQ113" i="92"/>
  <c r="BP113" i="92"/>
  <c r="BP113" i="91"/>
  <c r="BQ113" i="91"/>
  <c r="BQ113" i="90"/>
  <c r="BP113" i="90"/>
  <c r="CC113" i="79"/>
  <c r="CC113" i="92"/>
  <c r="CC113" i="91"/>
  <c r="CC113" i="90"/>
  <c r="AH114" i="92"/>
  <c r="AG114" i="92"/>
  <c r="AF114" i="92"/>
  <c r="AH114" i="91"/>
  <c r="AF114" i="91"/>
  <c r="AG114" i="91"/>
  <c r="AH114" i="90"/>
  <c r="AG114" i="90"/>
  <c r="AF114" i="90"/>
  <c r="BX114" i="79"/>
  <c r="BX114" i="92"/>
  <c r="BX114" i="91"/>
  <c r="BX114" i="90"/>
  <c r="CF114" i="79"/>
  <c r="CF114" i="92"/>
  <c r="CF114" i="91"/>
  <c r="CF114" i="90"/>
  <c r="AW115" i="92"/>
  <c r="AV115" i="92"/>
  <c r="AU115" i="92"/>
  <c r="AW115" i="91"/>
  <c r="AV115" i="91"/>
  <c r="AU115" i="91"/>
  <c r="AW115" i="90"/>
  <c r="AV115" i="90"/>
  <c r="AU115" i="90"/>
  <c r="CA115" i="79"/>
  <c r="CA115" i="92"/>
  <c r="CA115" i="91"/>
  <c r="CA115" i="90"/>
  <c r="AD116" i="92"/>
  <c r="AC116" i="92"/>
  <c r="AB116" i="92"/>
  <c r="AD116" i="91"/>
  <c r="AC116" i="91"/>
  <c r="AB116" i="91"/>
  <c r="AD116" i="90"/>
  <c r="AC116" i="90"/>
  <c r="AB116" i="90"/>
  <c r="BV116" i="79"/>
  <c r="BV116" i="92"/>
  <c r="BV116" i="91"/>
  <c r="BV116" i="90"/>
  <c r="CD116" i="79"/>
  <c r="CD116" i="92"/>
  <c r="CD116" i="91"/>
  <c r="CD116" i="90"/>
  <c r="AR117" i="92"/>
  <c r="AQ117" i="92"/>
  <c r="AP117" i="92"/>
  <c r="AR117" i="91"/>
  <c r="AQ117" i="91"/>
  <c r="AP117" i="91"/>
  <c r="AR117" i="90"/>
  <c r="AQ117" i="90"/>
  <c r="AP117" i="90"/>
  <c r="BY117" i="79"/>
  <c r="BY117" i="92"/>
  <c r="BY117" i="91"/>
  <c r="BY117" i="90"/>
  <c r="CG117" i="79"/>
  <c r="CG117" i="92"/>
  <c r="CG117" i="91"/>
  <c r="CG117" i="90"/>
  <c r="AX118" i="79"/>
  <c r="AX118" i="92"/>
  <c r="AX118" i="91"/>
  <c r="AX118" i="90"/>
  <c r="CB118" i="79"/>
  <c r="CB118" i="92"/>
  <c r="CB118" i="91"/>
  <c r="CB118" i="90"/>
  <c r="AE119" i="79"/>
  <c r="AE119" i="92"/>
  <c r="AE119" i="91"/>
  <c r="AE119" i="90"/>
  <c r="BW119" i="79"/>
  <c r="BW119" i="92"/>
  <c r="BW119" i="91"/>
  <c r="BW119" i="90"/>
  <c r="CE119" i="79"/>
  <c r="CE119" i="92"/>
  <c r="CE119" i="91"/>
  <c r="CE119" i="90"/>
  <c r="AS120" i="79"/>
  <c r="AS120" i="92"/>
  <c r="AS120" i="91"/>
  <c r="AS120" i="90"/>
  <c r="BZ120" i="79"/>
  <c r="BZ120" i="92"/>
  <c r="BZ120" i="91"/>
  <c r="BZ120" i="90"/>
  <c r="CH120" i="79"/>
  <c r="CH120" i="92"/>
  <c r="CH120" i="91"/>
  <c r="CH120" i="90"/>
  <c r="CC121" i="79"/>
  <c r="CC121" i="92"/>
  <c r="CC121" i="91"/>
  <c r="CC121" i="90"/>
  <c r="AH122" i="92"/>
  <c r="AG122" i="92"/>
  <c r="AF122" i="92"/>
  <c r="AH122" i="91"/>
  <c r="AG122" i="91"/>
  <c r="AF122" i="91"/>
  <c r="AH122" i="90"/>
  <c r="AG122" i="90"/>
  <c r="AF122" i="90"/>
  <c r="BX122" i="79"/>
  <c r="BX122" i="92"/>
  <c r="BX122" i="91"/>
  <c r="BX122" i="90"/>
  <c r="CF122" i="79"/>
  <c r="CF122" i="92"/>
  <c r="CF122" i="91"/>
  <c r="CF122" i="90"/>
  <c r="AW123" i="92"/>
  <c r="AV123" i="92"/>
  <c r="AU123" i="92"/>
  <c r="AW123" i="91"/>
  <c r="AV123" i="91"/>
  <c r="AU123" i="91"/>
  <c r="AV123" i="90"/>
  <c r="AU123" i="90"/>
  <c r="AW123" i="90"/>
  <c r="CA123" i="79"/>
  <c r="CA123" i="92"/>
  <c r="CA123" i="91"/>
  <c r="CA123" i="90"/>
  <c r="BV124" i="79"/>
  <c r="BV124" i="92"/>
  <c r="BV124" i="91"/>
  <c r="BV124" i="90"/>
  <c r="CD124" i="79"/>
  <c r="CD124" i="92"/>
  <c r="CD124" i="91"/>
  <c r="CD124" i="90"/>
  <c r="AR125" i="92"/>
  <c r="AQ125" i="92"/>
  <c r="AP125" i="92"/>
  <c r="AR125" i="91"/>
  <c r="AQ125" i="91"/>
  <c r="AP125" i="91"/>
  <c r="AR125" i="90"/>
  <c r="AQ125" i="90"/>
  <c r="AP125" i="90"/>
  <c r="BY125" i="79"/>
  <c r="BY125" i="92"/>
  <c r="BY125" i="91"/>
  <c r="BY125" i="90"/>
  <c r="CG125" i="79"/>
  <c r="CG125" i="92"/>
  <c r="CG125" i="91"/>
  <c r="CG125" i="90"/>
  <c r="AX126" i="79"/>
  <c r="AX126" i="92"/>
  <c r="AX126" i="91"/>
  <c r="AX126" i="90"/>
  <c r="CB126" i="79"/>
  <c r="CB126" i="92"/>
  <c r="CB126" i="91"/>
  <c r="CB126" i="90"/>
  <c r="AE127" i="79"/>
  <c r="AE127" i="92"/>
  <c r="AE127" i="91"/>
  <c r="AE127" i="90"/>
  <c r="BW127" i="79"/>
  <c r="BW127" i="92"/>
  <c r="BW127" i="91"/>
  <c r="BW127" i="90"/>
  <c r="CE127" i="79"/>
  <c r="CE127" i="92"/>
  <c r="CE127" i="91"/>
  <c r="CE127" i="90"/>
  <c r="AS128" i="79"/>
  <c r="AS128" i="92"/>
  <c r="AS128" i="91"/>
  <c r="AS128" i="90"/>
  <c r="BZ128" i="79"/>
  <c r="BZ128" i="92"/>
  <c r="BZ128" i="91"/>
  <c r="BZ128" i="90"/>
  <c r="CH128" i="79"/>
  <c r="CH128" i="92"/>
  <c r="CH128" i="91"/>
  <c r="CH128" i="90"/>
  <c r="BP129" i="79"/>
  <c r="BQ129" i="92"/>
  <c r="BP129" i="92"/>
  <c r="BQ129" i="91"/>
  <c r="BP129" i="91"/>
  <c r="BQ129" i="90"/>
  <c r="BP129" i="90"/>
  <c r="CC129" i="79"/>
  <c r="CC129" i="92"/>
  <c r="CC129" i="91"/>
  <c r="CC129" i="90"/>
  <c r="AG130" i="92"/>
  <c r="AF130" i="92"/>
  <c r="AH130" i="92"/>
  <c r="AF130" i="91"/>
  <c r="AH130" i="91"/>
  <c r="AG130" i="91"/>
  <c r="AH130" i="90"/>
  <c r="AF130" i="90"/>
  <c r="AG130" i="90"/>
  <c r="BX130" i="79"/>
  <c r="BX130" i="92"/>
  <c r="BX130" i="91"/>
  <c r="BX130" i="90"/>
  <c r="CF130" i="79"/>
  <c r="CF130" i="92"/>
  <c r="CF130" i="91"/>
  <c r="CF130" i="90"/>
  <c r="AV131" i="92"/>
  <c r="AU131" i="92"/>
  <c r="AW131" i="92"/>
  <c r="AW131" i="91"/>
  <c r="AV131" i="91"/>
  <c r="AU131" i="91"/>
  <c r="AW131" i="90"/>
  <c r="AV131" i="90"/>
  <c r="AU131" i="90"/>
  <c r="CA131" i="79"/>
  <c r="CA131" i="92"/>
  <c r="CA131" i="91"/>
  <c r="CA131" i="90"/>
  <c r="AC132" i="92"/>
  <c r="AB132" i="92"/>
  <c r="AD132" i="92"/>
  <c r="AB132" i="91"/>
  <c r="AD132" i="91"/>
  <c r="AC132" i="91"/>
  <c r="AD132" i="90"/>
  <c r="AB132" i="90"/>
  <c r="AC132" i="90"/>
  <c r="BV132" i="79"/>
  <c r="BV132" i="92"/>
  <c r="BV132" i="91"/>
  <c r="BV132" i="90"/>
  <c r="CD132" i="79"/>
  <c r="CD132" i="92"/>
  <c r="CD132" i="91"/>
  <c r="CD132" i="90"/>
  <c r="AQ133" i="92"/>
  <c r="AP133" i="92"/>
  <c r="AR133" i="92"/>
  <c r="AR133" i="91"/>
  <c r="AQ133" i="91"/>
  <c r="AP133" i="91"/>
  <c r="AR133" i="90"/>
  <c r="AQ133" i="90"/>
  <c r="AP133" i="90"/>
  <c r="BY133" i="79"/>
  <c r="BY133" i="92"/>
  <c r="BY133" i="91"/>
  <c r="BY133" i="90"/>
  <c r="CG133" i="79"/>
  <c r="CG133" i="92"/>
  <c r="CG133" i="91"/>
  <c r="CG133" i="90"/>
  <c r="AX134" i="79"/>
  <c r="AX134" i="92"/>
  <c r="AX134" i="91"/>
  <c r="AX134" i="90"/>
  <c r="CB134" i="79"/>
  <c r="CB134" i="92"/>
  <c r="CB134" i="91"/>
  <c r="CB134" i="90"/>
  <c r="AE135" i="79"/>
  <c r="AE135" i="92"/>
  <c r="AE135" i="91"/>
  <c r="AE135" i="90"/>
  <c r="BW135" i="79"/>
  <c r="BW135" i="92"/>
  <c r="BW135" i="91"/>
  <c r="BW135" i="90"/>
  <c r="CE135" i="79"/>
  <c r="CE135" i="92"/>
  <c r="CE135" i="91"/>
  <c r="CE135" i="90"/>
  <c r="AS136" i="79"/>
  <c r="AS136" i="92"/>
  <c r="AS136" i="91"/>
  <c r="AS136" i="90"/>
  <c r="BZ136" i="79"/>
  <c r="BZ136" i="92"/>
  <c r="BZ136" i="91"/>
  <c r="BZ136" i="90"/>
  <c r="CH136" i="79"/>
  <c r="CH136" i="92"/>
  <c r="CH136" i="91"/>
  <c r="CH136" i="90"/>
  <c r="CC137" i="79"/>
  <c r="CC137" i="92"/>
  <c r="CC137" i="91"/>
  <c r="CC137" i="90"/>
  <c r="BX138" i="79"/>
  <c r="BX138" i="92"/>
  <c r="BX138" i="91"/>
  <c r="BX138" i="90"/>
  <c r="CF138" i="79"/>
  <c r="CF138" i="92"/>
  <c r="CF138" i="91"/>
  <c r="CF138" i="90"/>
  <c r="AW139" i="92"/>
  <c r="AV139" i="92"/>
  <c r="AU139" i="92"/>
  <c r="AV139" i="91"/>
  <c r="AU139" i="91"/>
  <c r="AW139" i="91"/>
  <c r="AW139" i="90"/>
  <c r="AV139" i="90"/>
  <c r="AU139" i="90"/>
  <c r="CA139" i="79"/>
  <c r="CA139" i="92"/>
  <c r="CA139" i="91"/>
  <c r="CA139" i="90"/>
  <c r="AC140" i="92"/>
  <c r="AB140" i="92"/>
  <c r="AD140" i="92"/>
  <c r="AD140" i="91"/>
  <c r="AC140" i="91"/>
  <c r="AB140" i="91"/>
  <c r="AD140" i="90"/>
  <c r="AC140" i="90"/>
  <c r="AB140" i="90"/>
  <c r="BV140" i="79"/>
  <c r="BV140" i="92"/>
  <c r="BV140" i="91"/>
  <c r="BV140" i="90"/>
  <c r="CD140" i="79"/>
  <c r="CD140" i="92"/>
  <c r="CD140" i="91"/>
  <c r="CD140" i="90"/>
  <c r="AR141" i="92"/>
  <c r="AQ141" i="92"/>
  <c r="AP141" i="92"/>
  <c r="AQ141" i="91"/>
  <c r="AP141" i="91"/>
  <c r="AR141" i="91"/>
  <c r="AR141" i="90"/>
  <c r="AQ141" i="90"/>
  <c r="AP141" i="90"/>
  <c r="BY141" i="79"/>
  <c r="BY141" i="92"/>
  <c r="BY141" i="91"/>
  <c r="BY141" i="90"/>
  <c r="CG141" i="79"/>
  <c r="CG141" i="92"/>
  <c r="CG141" i="91"/>
  <c r="CG141" i="90"/>
  <c r="AX142" i="79"/>
  <c r="AX142" i="92"/>
  <c r="AX142" i="91"/>
  <c r="AX142" i="90"/>
  <c r="CB142" i="79"/>
  <c r="CB142" i="92"/>
  <c r="CB142" i="91"/>
  <c r="CB142" i="90"/>
  <c r="AE143" i="79"/>
  <c r="AE143" i="92"/>
  <c r="AE143" i="91"/>
  <c r="AE143" i="90"/>
  <c r="BW143" i="79"/>
  <c r="BW143" i="92"/>
  <c r="BW143" i="91"/>
  <c r="BW143" i="90"/>
  <c r="CE143" i="79"/>
  <c r="CE143" i="92"/>
  <c r="CE143" i="91"/>
  <c r="CE143" i="90"/>
  <c r="AS144" i="79"/>
  <c r="AS144" i="92"/>
  <c r="AS144" i="91"/>
  <c r="AS144" i="90"/>
  <c r="BZ144" i="79"/>
  <c r="BZ144" i="92"/>
  <c r="BZ144" i="91"/>
  <c r="BZ144" i="90"/>
  <c r="CH144" i="79"/>
  <c r="CH144" i="92"/>
  <c r="CH144" i="91"/>
  <c r="CH144" i="90"/>
  <c r="BP145" i="79"/>
  <c r="BQ145" i="92"/>
  <c r="BP145" i="92"/>
  <c r="BQ145" i="91"/>
  <c r="BP145" i="91"/>
  <c r="BQ145" i="90"/>
  <c r="BP145" i="90"/>
  <c r="CC145" i="79"/>
  <c r="CC145" i="92"/>
  <c r="CC145" i="91"/>
  <c r="CC145" i="90"/>
  <c r="AH146" i="92"/>
  <c r="AG146" i="92"/>
  <c r="AF146" i="92"/>
  <c r="AH146" i="91"/>
  <c r="AG146" i="91"/>
  <c r="AF146" i="91"/>
  <c r="AH146" i="90"/>
  <c r="AF146" i="90"/>
  <c r="AG146" i="90"/>
  <c r="BX146" i="79"/>
  <c r="BX146" i="92"/>
  <c r="BX146" i="91"/>
  <c r="BX146" i="90"/>
  <c r="CF146" i="79"/>
  <c r="CF146" i="92"/>
  <c r="CF146" i="91"/>
  <c r="CF146" i="90"/>
  <c r="AW147" i="92"/>
  <c r="AV147" i="92"/>
  <c r="AU147" i="92"/>
  <c r="AV147" i="91"/>
  <c r="AU147" i="91"/>
  <c r="AW147" i="91"/>
  <c r="AV147" i="90"/>
  <c r="AU147" i="90"/>
  <c r="AW147" i="90"/>
  <c r="CA147" i="79"/>
  <c r="CA147" i="92"/>
  <c r="CA147" i="91"/>
  <c r="CA147" i="90"/>
  <c r="AD148" i="92"/>
  <c r="AC148" i="92"/>
  <c r="AB148" i="92"/>
  <c r="AD148" i="91"/>
  <c r="AB148" i="91"/>
  <c r="AC148" i="91"/>
  <c r="AD148" i="90"/>
  <c r="AC148" i="90"/>
  <c r="AB148" i="90"/>
  <c r="BV148" i="79"/>
  <c r="BV148" i="92"/>
  <c r="BV148" i="91"/>
  <c r="BV148" i="90"/>
  <c r="CD148" i="79"/>
  <c r="CD148" i="92"/>
  <c r="CD148" i="91"/>
  <c r="CD148" i="90"/>
  <c r="BY149" i="79"/>
  <c r="BY149" i="92"/>
  <c r="BY149" i="91"/>
  <c r="BY149" i="90"/>
  <c r="CG149" i="79"/>
  <c r="CG149" i="92"/>
  <c r="CG149" i="91"/>
  <c r="CG149" i="90"/>
  <c r="AX150" i="79"/>
  <c r="AX150" i="92"/>
  <c r="AX150" i="91"/>
  <c r="AX150" i="90"/>
  <c r="CB150" i="79"/>
  <c r="CB150" i="92"/>
  <c r="CB150" i="91"/>
  <c r="CB150" i="90"/>
  <c r="AE151" i="79"/>
  <c r="AE151" i="92"/>
  <c r="AE151" i="91"/>
  <c r="AE151" i="90"/>
  <c r="BW151" i="79"/>
  <c r="BW151" i="92"/>
  <c r="BW151" i="91"/>
  <c r="BW151" i="90"/>
  <c r="CE151" i="79"/>
  <c r="CE151" i="92"/>
  <c r="CE151" i="91"/>
  <c r="CE151" i="90"/>
  <c r="AS152" i="79"/>
  <c r="AS152" i="92"/>
  <c r="AS152" i="91"/>
  <c r="AS152" i="90"/>
  <c r="BZ152" i="79"/>
  <c r="BZ152" i="92"/>
  <c r="BZ152" i="91"/>
  <c r="BZ152" i="90"/>
  <c r="CH152" i="79"/>
  <c r="CH152" i="92"/>
  <c r="CH152" i="91"/>
  <c r="CH152" i="90"/>
  <c r="BP153" i="79"/>
  <c r="BQ153" i="92"/>
  <c r="BP153" i="92"/>
  <c r="BQ153" i="91"/>
  <c r="BP153" i="91"/>
  <c r="BQ153" i="90"/>
  <c r="BP153" i="90"/>
  <c r="CC153" i="79"/>
  <c r="CC153" i="92"/>
  <c r="CC153" i="91"/>
  <c r="CC153" i="90"/>
  <c r="AH154" i="92"/>
  <c r="AG154" i="92"/>
  <c r="AF154" i="92"/>
  <c r="AH154" i="91"/>
  <c r="AG154" i="91"/>
  <c r="AF154" i="91"/>
  <c r="AH154" i="90"/>
  <c r="AG154" i="90"/>
  <c r="AF154" i="90"/>
  <c r="BX154" i="79"/>
  <c r="BX154" i="92"/>
  <c r="BX154" i="91"/>
  <c r="BX154" i="90"/>
  <c r="CF154" i="79"/>
  <c r="CF154" i="92"/>
  <c r="CF154" i="91"/>
  <c r="CF154" i="90"/>
  <c r="AW155" i="92"/>
  <c r="AV155" i="92"/>
  <c r="AU155" i="92"/>
  <c r="AV155" i="91"/>
  <c r="AU155" i="91"/>
  <c r="AW155" i="91"/>
  <c r="AV155" i="90"/>
  <c r="AU155" i="90"/>
  <c r="AW155" i="90"/>
  <c r="CA155" i="79"/>
  <c r="CA155" i="92"/>
  <c r="CA155" i="91"/>
  <c r="CA155" i="90"/>
  <c r="AD156" i="92"/>
  <c r="AC156" i="92"/>
  <c r="AB156" i="92"/>
  <c r="AD156" i="91"/>
  <c r="AC156" i="91"/>
  <c r="AB156" i="91"/>
  <c r="AD156" i="90"/>
  <c r="AC156" i="90"/>
  <c r="AB156" i="90"/>
  <c r="BV156" i="79"/>
  <c r="BV156" i="92"/>
  <c r="BV156" i="91"/>
  <c r="BV156" i="90"/>
  <c r="CD156" i="79"/>
  <c r="CD156" i="92"/>
  <c r="CD156" i="91"/>
  <c r="CD156" i="90"/>
  <c r="AR157" i="92"/>
  <c r="AQ157" i="92"/>
  <c r="AP157" i="92"/>
  <c r="AQ157" i="91"/>
  <c r="AP157" i="91"/>
  <c r="AR157" i="91"/>
  <c r="AQ157" i="90"/>
  <c r="AP157" i="90"/>
  <c r="AR157" i="90"/>
  <c r="BY157" i="79"/>
  <c r="BY157" i="92"/>
  <c r="BY157" i="91"/>
  <c r="BY157" i="90"/>
  <c r="CG157" i="79"/>
  <c r="CG157" i="92"/>
  <c r="CG157" i="91"/>
  <c r="CG157" i="90"/>
  <c r="AX158" i="79"/>
  <c r="AX158" i="92"/>
  <c r="AX158" i="91"/>
  <c r="AX158" i="90"/>
  <c r="CB158" i="79"/>
  <c r="CB158" i="92"/>
  <c r="CB158" i="91"/>
  <c r="CB158" i="90"/>
  <c r="AE159" i="79"/>
  <c r="AE159" i="92"/>
  <c r="AE159" i="91"/>
  <c r="AE159" i="90"/>
  <c r="BW159" i="79"/>
  <c r="BW159" i="92"/>
  <c r="BW159" i="91"/>
  <c r="BW159" i="90"/>
  <c r="CE159" i="79"/>
  <c r="CE159" i="92"/>
  <c r="CE159" i="91"/>
  <c r="CE159" i="90"/>
  <c r="AS160" i="79"/>
  <c r="AS160" i="92"/>
  <c r="AS160" i="91"/>
  <c r="AS160" i="90"/>
  <c r="BZ160" i="79"/>
  <c r="BZ160" i="92"/>
  <c r="BZ160" i="91"/>
  <c r="BZ160" i="90"/>
  <c r="CH160" i="79"/>
  <c r="CH160" i="92"/>
  <c r="CH160" i="91"/>
  <c r="CH160" i="90"/>
  <c r="BP161" i="79"/>
  <c r="BQ161" i="92"/>
  <c r="BP161" i="92"/>
  <c r="BQ161" i="91"/>
  <c r="BP161" i="91"/>
  <c r="BQ161" i="90"/>
  <c r="BP161" i="90"/>
  <c r="CC161" i="79"/>
  <c r="CC161" i="92"/>
  <c r="CC161" i="91"/>
  <c r="CC161" i="90"/>
  <c r="AH162" i="92"/>
  <c r="AG162" i="92"/>
  <c r="AF162" i="92"/>
  <c r="AH162" i="91"/>
  <c r="AG162" i="91"/>
  <c r="AF162" i="91"/>
  <c r="AH162" i="90"/>
  <c r="AG162" i="90"/>
  <c r="AF162" i="90"/>
  <c r="BX162" i="79"/>
  <c r="BX162" i="92"/>
  <c r="BX162" i="91"/>
  <c r="BX162" i="90"/>
  <c r="CF162" i="79"/>
  <c r="CF162" i="92"/>
  <c r="CF162" i="91"/>
  <c r="CF162" i="90"/>
  <c r="AV163" i="92"/>
  <c r="AU163" i="92"/>
  <c r="AW163" i="92"/>
  <c r="AV163" i="91"/>
  <c r="AU163" i="91"/>
  <c r="AW163" i="91"/>
  <c r="AV163" i="90"/>
  <c r="AU163" i="90"/>
  <c r="AW163" i="90"/>
  <c r="CA163" i="79"/>
  <c r="CA163" i="92"/>
  <c r="CA163" i="91"/>
  <c r="CA163" i="90"/>
  <c r="AD164" i="92"/>
  <c r="AB164" i="92"/>
  <c r="AC164" i="92"/>
  <c r="AD164" i="91"/>
  <c r="AC164" i="91"/>
  <c r="AB164" i="91"/>
  <c r="AD164" i="90"/>
  <c r="AC164" i="90"/>
  <c r="AB164" i="90"/>
  <c r="BV164" i="79"/>
  <c r="BV164" i="92"/>
  <c r="BV164" i="91"/>
  <c r="BV164" i="90"/>
  <c r="CD164" i="79"/>
  <c r="CD164" i="92"/>
  <c r="CD164" i="91"/>
  <c r="CD164" i="90"/>
  <c r="AQ165" i="92"/>
  <c r="AP165" i="92"/>
  <c r="AR165" i="92"/>
  <c r="AQ165" i="91"/>
  <c r="AP165" i="91"/>
  <c r="AR165" i="91"/>
  <c r="AQ165" i="90"/>
  <c r="AP165" i="90"/>
  <c r="AR165" i="90"/>
  <c r="BY165" i="79"/>
  <c r="BY165" i="92"/>
  <c r="BY165" i="91"/>
  <c r="BY165" i="90"/>
  <c r="CG165" i="79"/>
  <c r="CG165" i="92"/>
  <c r="CG165" i="91"/>
  <c r="CG165" i="90"/>
  <c r="AX166" i="79"/>
  <c r="AX166" i="92"/>
  <c r="AX166" i="91"/>
  <c r="AX166" i="90"/>
  <c r="CB166" i="79"/>
  <c r="CB166" i="92"/>
  <c r="CB166" i="91"/>
  <c r="CB166" i="90"/>
  <c r="AE167" i="79"/>
  <c r="AE167" i="92"/>
  <c r="AE167" i="91"/>
  <c r="AE167" i="90"/>
  <c r="BW167" i="79"/>
  <c r="BW167" i="92"/>
  <c r="BW167" i="91"/>
  <c r="BW167" i="90"/>
  <c r="CE167" i="79"/>
  <c r="CE167" i="92"/>
  <c r="CE167" i="91"/>
  <c r="CE167" i="90"/>
  <c r="AS168" i="79"/>
  <c r="AS168" i="92"/>
  <c r="AS168" i="91"/>
  <c r="AS168" i="90"/>
  <c r="BZ168" i="79"/>
  <c r="BZ168" i="92"/>
  <c r="BZ168" i="91"/>
  <c r="BZ168" i="90"/>
  <c r="CH168" i="79"/>
  <c r="CH168" i="92"/>
  <c r="CH168" i="91"/>
  <c r="CH168" i="90"/>
  <c r="F83" i="86"/>
  <c r="H79" i="86"/>
  <c r="BX170" i="90"/>
  <c r="CF170" i="90"/>
  <c r="CA171" i="90"/>
  <c r="BV172" i="90"/>
  <c r="K93" i="86"/>
  <c r="N93" i="86"/>
  <c r="AR173" i="92"/>
  <c r="AQ173" i="92"/>
  <c r="AP173" i="92"/>
  <c r="AR173" i="91"/>
  <c r="AQ173" i="91"/>
  <c r="AP173" i="91"/>
  <c r="AR173" i="90"/>
  <c r="AQ173" i="90"/>
  <c r="AP173" i="90"/>
  <c r="BY173" i="79"/>
  <c r="BY173" i="90"/>
  <c r="CG173" i="79"/>
  <c r="CG173" i="90"/>
  <c r="AX174" i="79"/>
  <c r="AX174" i="92"/>
  <c r="AX174" i="91"/>
  <c r="AX174" i="90"/>
  <c r="CB174" i="79"/>
  <c r="CB174" i="90"/>
  <c r="AG175" i="92"/>
  <c r="AF175" i="92"/>
  <c r="AH175" i="92"/>
  <c r="AG175" i="91"/>
  <c r="AF175" i="91"/>
  <c r="AH175" i="91"/>
  <c r="AH175" i="90"/>
  <c r="AG175" i="90"/>
  <c r="AF175" i="90"/>
  <c r="BX175" i="79"/>
  <c r="BX175" i="90"/>
  <c r="CF175" i="79"/>
  <c r="CF175" i="90"/>
  <c r="H99" i="30"/>
  <c r="G100" i="30"/>
  <c r="G99" i="30"/>
  <c r="N97" i="30"/>
  <c r="H100" i="30"/>
  <c r="G97" i="30"/>
  <c r="G98" i="30"/>
  <c r="H98" i="30"/>
  <c r="H97" i="30"/>
  <c r="H78" i="30"/>
  <c r="N78" i="30"/>
  <c r="G80" i="30"/>
  <c r="G79" i="30"/>
  <c r="H80" i="30"/>
  <c r="H79" i="30"/>
  <c r="G78" i="30"/>
  <c r="H148" i="30"/>
  <c r="N117" i="30"/>
  <c r="H147" i="30"/>
  <c r="G117" i="30"/>
  <c r="G119" i="30"/>
  <c r="H117" i="30"/>
  <c r="G118" i="30"/>
  <c r="H119" i="30"/>
  <c r="H118" i="30"/>
  <c r="H92" i="30"/>
  <c r="H96" i="30"/>
  <c r="G96" i="30"/>
  <c r="G95" i="30"/>
  <c r="H94" i="30"/>
  <c r="H95" i="30"/>
  <c r="N92" i="30"/>
  <c r="G94" i="30"/>
  <c r="G93" i="30"/>
  <c r="G92" i="30"/>
  <c r="H93" i="30"/>
  <c r="H135" i="30"/>
  <c r="H139" i="30"/>
  <c r="G139" i="30"/>
  <c r="G138" i="30"/>
  <c r="H137" i="30"/>
  <c r="H138" i="30"/>
  <c r="N135" i="30"/>
  <c r="G136" i="30"/>
  <c r="G135" i="30"/>
  <c r="I135" i="30" s="1"/>
  <c r="G137" i="30"/>
  <c r="H136" i="30"/>
  <c r="G77" i="30"/>
  <c r="G120" i="30"/>
  <c r="H120" i="30"/>
  <c r="N120" i="30"/>
  <c r="H123" i="30"/>
  <c r="G122" i="30"/>
  <c r="G123" i="30"/>
  <c r="H121" i="30"/>
  <c r="G121" i="30"/>
  <c r="H122" i="30"/>
  <c r="N121" i="30"/>
  <c r="F64" i="77"/>
  <c r="H91" i="30"/>
  <c r="N88" i="30"/>
  <c r="G88" i="30"/>
  <c r="G91" i="30"/>
  <c r="G90" i="30"/>
  <c r="G89" i="30"/>
  <c r="H90" i="30"/>
  <c r="H89" i="30"/>
  <c r="H88" i="30"/>
  <c r="H77" i="30"/>
  <c r="H75" i="30"/>
  <c r="H76" i="30"/>
  <c r="G75" i="30"/>
  <c r="H105" i="30"/>
  <c r="I105" i="30" s="1"/>
  <c r="H104" i="30"/>
  <c r="I104" i="30" s="1"/>
  <c r="H74" i="30"/>
  <c r="N74" i="30"/>
  <c r="G76" i="30"/>
  <c r="H134" i="30"/>
  <c r="N131" i="30"/>
  <c r="G134" i="30"/>
  <c r="G132" i="30"/>
  <c r="G133" i="30"/>
  <c r="G131" i="30"/>
  <c r="H132" i="30"/>
  <c r="H133" i="30"/>
  <c r="H131" i="30"/>
  <c r="G142" i="30"/>
  <c r="H143" i="30"/>
  <c r="H142" i="30"/>
  <c r="G143" i="30"/>
  <c r="N140" i="30"/>
  <c r="G141" i="30"/>
  <c r="G140" i="30"/>
  <c r="H140" i="30"/>
  <c r="H141" i="30"/>
  <c r="G103" i="30"/>
  <c r="H102" i="30"/>
  <c r="G102" i="30"/>
  <c r="H103" i="30"/>
  <c r="H101" i="30"/>
  <c r="G101" i="30"/>
  <c r="N101" i="30"/>
  <c r="H86" i="30"/>
  <c r="H85" i="30"/>
  <c r="H87" i="30"/>
  <c r="G85" i="30"/>
  <c r="G87" i="30"/>
  <c r="G86" i="30"/>
  <c r="H82" i="30"/>
  <c r="H84" i="30"/>
  <c r="N81" i="30"/>
  <c r="H83" i="30"/>
  <c r="G82" i="30"/>
  <c r="G84" i="30"/>
  <c r="G83" i="30"/>
  <c r="G81" i="30"/>
  <c r="H81" i="30"/>
  <c r="G146" i="30"/>
  <c r="H145" i="30"/>
  <c r="G144" i="30"/>
  <c r="H146" i="30"/>
  <c r="H144" i="30"/>
  <c r="G149" i="30"/>
  <c r="I149" i="30" s="1"/>
  <c r="K149" i="30" s="1"/>
  <c r="L149" i="30" s="1"/>
  <c r="G148" i="30"/>
  <c r="G145" i="30"/>
  <c r="N144" i="30"/>
  <c r="G147" i="30"/>
  <c r="H129" i="30"/>
  <c r="H130" i="30"/>
  <c r="H128" i="30"/>
  <c r="G128" i="30"/>
  <c r="G130" i="30"/>
  <c r="G129" i="30"/>
  <c r="H125" i="30"/>
  <c r="H127" i="30"/>
  <c r="H126" i="30"/>
  <c r="N124" i="30"/>
  <c r="G124" i="30"/>
  <c r="G126" i="30"/>
  <c r="G125" i="30"/>
  <c r="G127" i="30"/>
  <c r="H124" i="30"/>
  <c r="K158" i="30"/>
  <c r="J158" i="30"/>
  <c r="K115" i="30"/>
  <c r="L115" i="30" s="1"/>
  <c r="J115" i="30"/>
  <c r="J143" i="30"/>
  <c r="J100" i="30"/>
  <c r="BP28" i="79"/>
  <c r="BP114" i="79"/>
  <c r="J146" i="30"/>
  <c r="J103" i="30"/>
  <c r="J77" i="30"/>
  <c r="J525" i="30"/>
  <c r="J471" i="30"/>
  <c r="J417" i="30"/>
  <c r="J152" i="30"/>
  <c r="J156" i="30"/>
  <c r="J113" i="30"/>
  <c r="J109" i="30"/>
  <c r="K152" i="30"/>
  <c r="L152" i="30" s="1"/>
  <c r="K156" i="30"/>
  <c r="L156" i="30" s="1"/>
  <c r="K113" i="30"/>
  <c r="L113" i="30" s="1"/>
  <c r="K109" i="30"/>
  <c r="L109" i="30" s="1"/>
  <c r="CD2" i="79"/>
  <c r="AE2" i="79"/>
  <c r="BW2" i="79"/>
  <c r="CE2" i="79"/>
  <c r="J347" i="30"/>
  <c r="K347" i="30" s="1"/>
  <c r="L347" i="30" s="1"/>
  <c r="J383" i="30"/>
  <c r="K383" i="30" s="1"/>
  <c r="L383" i="30" s="1"/>
  <c r="J424" i="30"/>
  <c r="J478" i="30"/>
  <c r="J532" i="30"/>
  <c r="K532" i="30" s="1"/>
  <c r="J590" i="30"/>
  <c r="J682" i="30"/>
  <c r="J636" i="30"/>
  <c r="J495" i="30"/>
  <c r="J441" i="30"/>
  <c r="J549" i="30"/>
  <c r="J593" i="30"/>
  <c r="J685" i="30"/>
  <c r="J639" i="30"/>
  <c r="K639" i="30" s="1"/>
  <c r="J646" i="30"/>
  <c r="J611" i="30"/>
  <c r="J565" i="30"/>
  <c r="J657" i="30"/>
  <c r="J600" i="30"/>
  <c r="J692" i="30"/>
  <c r="J144" i="30"/>
  <c r="J101" i="30"/>
  <c r="J134" i="30"/>
  <c r="J138" i="30"/>
  <c r="J148" i="30"/>
  <c r="J95" i="30"/>
  <c r="J147" i="30"/>
  <c r="J623" i="30"/>
  <c r="J669" i="30"/>
  <c r="J577" i="30"/>
  <c r="J520" i="30"/>
  <c r="J466" i="30"/>
  <c r="J412" i="30"/>
  <c r="J677" i="30"/>
  <c r="J585" i="30"/>
  <c r="J631" i="30"/>
  <c r="J528" i="30"/>
  <c r="J474" i="30"/>
  <c r="J420" i="30"/>
  <c r="J566" i="30"/>
  <c r="J658" i="30"/>
  <c r="J612" i="30"/>
  <c r="K282" i="30"/>
  <c r="L282" i="30" s="1"/>
  <c r="J282" i="30"/>
  <c r="J447" i="30"/>
  <c r="J555" i="30"/>
  <c r="J501" i="30"/>
  <c r="J145" i="30"/>
  <c r="J102" i="30"/>
  <c r="J482" i="30"/>
  <c r="J536" i="30"/>
  <c r="K536" i="30" s="1"/>
  <c r="J428" i="30"/>
  <c r="BP42" i="79"/>
  <c r="BP116" i="79"/>
  <c r="BY2" i="79"/>
  <c r="CG2" i="79"/>
  <c r="K183" i="30"/>
  <c r="L183" i="30" s="1"/>
  <c r="K228" i="30"/>
  <c r="L228" i="30" s="1"/>
  <c r="J228" i="30"/>
  <c r="J183" i="30"/>
  <c r="J312" i="30"/>
  <c r="J384" i="30"/>
  <c r="K384" i="30" s="1"/>
  <c r="L384" i="30" s="1"/>
  <c r="J348" i="30"/>
  <c r="K348" i="30" s="1"/>
  <c r="L348" i="30" s="1"/>
  <c r="J438" i="30"/>
  <c r="J546" i="30"/>
  <c r="J492" i="30"/>
  <c r="J351" i="30"/>
  <c r="J387" i="30"/>
  <c r="J315" i="30"/>
  <c r="J479" i="30"/>
  <c r="J533" i="30"/>
  <c r="K533" i="30" s="1"/>
  <c r="J425" i="30"/>
  <c r="J136" i="30"/>
  <c r="J133" i="30"/>
  <c r="J406" i="30"/>
  <c r="J514" i="30"/>
  <c r="J460" i="30"/>
  <c r="J671" i="30"/>
  <c r="J625" i="30"/>
  <c r="J579" i="30"/>
  <c r="J414" i="30"/>
  <c r="J522" i="30"/>
  <c r="J468" i="30"/>
  <c r="J679" i="30"/>
  <c r="J633" i="30"/>
  <c r="J587" i="30"/>
  <c r="J150" i="30"/>
  <c r="J154" i="30"/>
  <c r="J659" i="30"/>
  <c r="J567" i="30"/>
  <c r="J613" i="30"/>
  <c r="J284" i="30"/>
  <c r="J233" i="30"/>
  <c r="J188" i="30"/>
  <c r="J182" i="30"/>
  <c r="J288" i="30"/>
  <c r="J198" i="30"/>
  <c r="J272" i="30"/>
  <c r="J243" i="30"/>
  <c r="J506" i="30"/>
  <c r="J560" i="30"/>
  <c r="J452" i="30"/>
  <c r="J538" i="30"/>
  <c r="K538" i="30" s="1"/>
  <c r="J484" i="30"/>
  <c r="J430" i="30"/>
  <c r="J454" i="30"/>
  <c r="J562" i="30"/>
  <c r="J508" i="30"/>
  <c r="BP12" i="79"/>
  <c r="BP100" i="79"/>
  <c r="J475" i="30"/>
  <c r="J529" i="30"/>
  <c r="K529" i="30" s="1"/>
  <c r="L529" i="30" s="1"/>
  <c r="J421" i="30"/>
  <c r="J589" i="30"/>
  <c r="J681" i="30"/>
  <c r="J635" i="30"/>
  <c r="J597" i="30"/>
  <c r="J689" i="30"/>
  <c r="J643" i="30"/>
  <c r="AS2" i="79"/>
  <c r="BZ2" i="79"/>
  <c r="CH2" i="79"/>
  <c r="J687" i="30"/>
  <c r="J641" i="30"/>
  <c r="K641" i="30" s="1"/>
  <c r="J595" i="30"/>
  <c r="J423" i="30"/>
  <c r="J531" i="30"/>
  <c r="K531" i="30" s="1"/>
  <c r="J477" i="30"/>
  <c r="J129" i="30"/>
  <c r="J86" i="30"/>
  <c r="J440" i="30"/>
  <c r="J494" i="30"/>
  <c r="J548" i="30"/>
  <c r="J599" i="30"/>
  <c r="J691" i="30"/>
  <c r="J683" i="30"/>
  <c r="J645" i="30"/>
  <c r="J637" i="30"/>
  <c r="J591" i="30"/>
  <c r="J551" i="30"/>
  <c r="J443" i="30"/>
  <c r="J497" i="30"/>
  <c r="J668" i="30"/>
  <c r="J576" i="30"/>
  <c r="J622" i="30"/>
  <c r="J519" i="30"/>
  <c r="J411" i="30"/>
  <c r="J465" i="30"/>
  <c r="J584" i="30"/>
  <c r="J630" i="30"/>
  <c r="J676" i="30"/>
  <c r="J527" i="30"/>
  <c r="J473" i="30"/>
  <c r="J419" i="30"/>
  <c r="J186" i="30"/>
  <c r="J231" i="30"/>
  <c r="J281" i="30"/>
  <c r="J289" i="30"/>
  <c r="J244" i="30"/>
  <c r="J199" i="30"/>
  <c r="J535" i="30"/>
  <c r="K535" i="30" s="1"/>
  <c r="J427" i="30"/>
  <c r="J481" i="30"/>
  <c r="J543" i="30"/>
  <c r="K543" i="30" s="1"/>
  <c r="J435" i="30"/>
  <c r="J489" i="30"/>
  <c r="J142" i="30"/>
  <c r="BP55" i="79"/>
  <c r="BP98" i="79"/>
  <c r="BX2" i="79"/>
  <c r="J349" i="30"/>
  <c r="K349" i="30" s="1"/>
  <c r="L349" i="30" s="1"/>
  <c r="J313" i="30"/>
  <c r="J385" i="30"/>
  <c r="K385" i="30" s="1"/>
  <c r="L385" i="30" s="1"/>
  <c r="J96" i="30"/>
  <c r="J139" i="30"/>
  <c r="J149" i="30"/>
  <c r="J106" i="30"/>
  <c r="K106" i="30"/>
  <c r="L106" i="30" s="1"/>
  <c r="K230" i="30"/>
  <c r="L230" i="30" s="1"/>
  <c r="K185" i="30"/>
  <c r="L185" i="30" s="1"/>
  <c r="J230" i="30"/>
  <c r="J185" i="30"/>
  <c r="J634" i="30"/>
  <c r="J588" i="30"/>
  <c r="J680" i="30"/>
  <c r="J642" i="30"/>
  <c r="K642" i="30" s="1"/>
  <c r="J596" i="30"/>
  <c r="J688" i="30"/>
  <c r="J638" i="30"/>
  <c r="K638" i="30" s="1"/>
  <c r="J592" i="30"/>
  <c r="J684" i="30"/>
  <c r="J498" i="30"/>
  <c r="J552" i="30"/>
  <c r="J444" i="30"/>
  <c r="J619" i="30"/>
  <c r="J573" i="30"/>
  <c r="J665" i="30"/>
  <c r="J408" i="30"/>
  <c r="J516" i="30"/>
  <c r="J462" i="30"/>
  <c r="J581" i="30"/>
  <c r="J673" i="30"/>
  <c r="J627" i="30"/>
  <c r="J416" i="30"/>
  <c r="J524" i="30"/>
  <c r="J470" i="30"/>
  <c r="J499" i="30"/>
  <c r="J553" i="30"/>
  <c r="J445" i="30"/>
  <c r="J155" i="30"/>
  <c r="J151" i="30"/>
  <c r="J179" i="30"/>
  <c r="J269" i="30"/>
  <c r="J503" i="30"/>
  <c r="J449" i="30"/>
  <c r="J557" i="30"/>
  <c r="J615" i="30"/>
  <c r="J605" i="30"/>
  <c r="J697" i="30"/>
  <c r="J651" i="30"/>
  <c r="J569" i="30"/>
  <c r="J661" i="30"/>
  <c r="J486" i="30"/>
  <c r="J432" i="30"/>
  <c r="J540" i="30"/>
  <c r="K540" i="30" s="1"/>
  <c r="J607" i="30"/>
  <c r="J699" i="30"/>
  <c r="J653" i="30"/>
  <c r="J490" i="30"/>
  <c r="J544" i="30"/>
  <c r="J436" i="30"/>
  <c r="BQ164" i="79"/>
  <c r="BP77" i="79"/>
  <c r="J582" i="30"/>
  <c r="J674" i="30"/>
  <c r="J628" i="30"/>
  <c r="J654" i="30"/>
  <c r="J608" i="30"/>
  <c r="J700" i="30"/>
  <c r="CA2" i="79"/>
  <c r="AX2" i="79"/>
  <c r="CB2" i="79"/>
  <c r="J491" i="30"/>
  <c r="J545" i="30"/>
  <c r="J437" i="30"/>
  <c r="J135" i="30"/>
  <c r="J132" i="30"/>
  <c r="J693" i="30"/>
  <c r="J647" i="30"/>
  <c r="J601" i="30"/>
  <c r="J686" i="30"/>
  <c r="J640" i="30"/>
  <c r="K640" i="30" s="1"/>
  <c r="J594" i="30"/>
  <c r="J513" i="30"/>
  <c r="J459" i="30"/>
  <c r="J405" i="30"/>
  <c r="J624" i="30"/>
  <c r="J578" i="30"/>
  <c r="J670" i="30"/>
  <c r="J521" i="30"/>
  <c r="J467" i="30"/>
  <c r="J413" i="30"/>
  <c r="J678" i="30"/>
  <c r="J632" i="30"/>
  <c r="J586" i="30"/>
  <c r="J187" i="30"/>
  <c r="J283" i="30"/>
  <c r="J232" i="30"/>
  <c r="J448" i="30"/>
  <c r="J502" i="30"/>
  <c r="J556" i="30"/>
  <c r="J512" i="30"/>
  <c r="J458" i="30"/>
  <c r="J404" i="30"/>
  <c r="J558" i="30"/>
  <c r="J450" i="30"/>
  <c r="J504" i="30"/>
  <c r="J483" i="30"/>
  <c r="J537" i="30"/>
  <c r="K537" i="30" s="1"/>
  <c r="J429" i="30"/>
  <c r="J507" i="30"/>
  <c r="J561" i="30"/>
  <c r="J453" i="30"/>
  <c r="BQ144" i="79"/>
  <c r="BQ76" i="79"/>
  <c r="J180" i="30"/>
  <c r="J270" i="30"/>
  <c r="J487" i="30"/>
  <c r="J541" i="30"/>
  <c r="K541" i="30" s="1"/>
  <c r="J433" i="30"/>
  <c r="BP2" i="79"/>
  <c r="CC2" i="79"/>
  <c r="K279" i="30"/>
  <c r="L279" i="30" s="1"/>
  <c r="J279" i="30"/>
  <c r="J422" i="30"/>
  <c r="J530" i="30"/>
  <c r="K530" i="30" s="1"/>
  <c r="J476" i="30"/>
  <c r="J403" i="30"/>
  <c r="J439" i="30"/>
  <c r="J511" i="30"/>
  <c r="J457" i="30"/>
  <c r="J547" i="30"/>
  <c r="J493" i="30"/>
  <c r="J550" i="30"/>
  <c r="J496" i="30"/>
  <c r="J442" i="30"/>
  <c r="J130" i="30"/>
  <c r="J87" i="30"/>
  <c r="J694" i="30"/>
  <c r="J648" i="30"/>
  <c r="J602" i="30"/>
  <c r="J575" i="30"/>
  <c r="J667" i="30"/>
  <c r="J621" i="30"/>
  <c r="J518" i="30"/>
  <c r="J410" i="30"/>
  <c r="J464" i="30"/>
  <c r="J675" i="30"/>
  <c r="J583" i="30"/>
  <c r="J629" i="30"/>
  <c r="J418" i="30"/>
  <c r="J526" i="30"/>
  <c r="J472" i="30"/>
  <c r="J446" i="30"/>
  <c r="J500" i="30"/>
  <c r="J554" i="30"/>
  <c r="J695" i="30"/>
  <c r="J649" i="30"/>
  <c r="J603" i="30"/>
  <c r="J181" i="30"/>
  <c r="J271" i="30"/>
  <c r="J153" i="30"/>
  <c r="J110" i="30"/>
  <c r="J157" i="30"/>
  <c r="K110" i="30"/>
  <c r="L110" i="30" s="1"/>
  <c r="J426" i="30"/>
  <c r="J534" i="30"/>
  <c r="K534" i="30" s="1"/>
  <c r="J480" i="30"/>
  <c r="J434" i="30"/>
  <c r="J542" i="30"/>
  <c r="K542" i="30" s="1"/>
  <c r="J488" i="30"/>
  <c r="J701" i="30"/>
  <c r="J609" i="30"/>
  <c r="J655" i="30"/>
  <c r="BP143" i="79"/>
  <c r="CF2" i="79"/>
  <c r="J574" i="30"/>
  <c r="J666" i="30"/>
  <c r="J620" i="30"/>
  <c r="J517" i="30"/>
  <c r="J463" i="30"/>
  <c r="J409" i="30"/>
  <c r="BV2" i="79"/>
  <c r="K229" i="30"/>
  <c r="L229" i="30" s="1"/>
  <c r="K184" i="30"/>
  <c r="L184" i="30" s="1"/>
  <c r="J184" i="30"/>
  <c r="J229" i="30"/>
  <c r="K280" i="30"/>
  <c r="L280" i="30" s="1"/>
  <c r="J280" i="30"/>
  <c r="J598" i="30"/>
  <c r="J690" i="30"/>
  <c r="J662" i="30"/>
  <c r="J644" i="30"/>
  <c r="J570" i="30"/>
  <c r="J616" i="30"/>
  <c r="J664" i="30"/>
  <c r="J618" i="30"/>
  <c r="J572" i="30"/>
  <c r="J407" i="30"/>
  <c r="J515" i="30"/>
  <c r="J461" i="30"/>
  <c r="J626" i="30"/>
  <c r="J672" i="30"/>
  <c r="J580" i="30"/>
  <c r="J415" i="30"/>
  <c r="J523" i="30"/>
  <c r="J469" i="30"/>
  <c r="J568" i="30"/>
  <c r="J614" i="30"/>
  <c r="J660" i="30"/>
  <c r="J650" i="30"/>
  <c r="J663" i="30"/>
  <c r="J604" i="30"/>
  <c r="J571" i="30"/>
  <c r="J696" i="30"/>
  <c r="J617" i="30"/>
  <c r="J559" i="30"/>
  <c r="J451" i="30"/>
  <c r="J505" i="30"/>
  <c r="J431" i="30"/>
  <c r="J539" i="30"/>
  <c r="K539" i="30" s="1"/>
  <c r="J485" i="30"/>
  <c r="J606" i="30"/>
  <c r="J698" i="30"/>
  <c r="J652" i="30"/>
  <c r="J563" i="30"/>
  <c r="J455" i="30"/>
  <c r="J509" i="30"/>
  <c r="BP130" i="79"/>
  <c r="BQ27" i="79"/>
  <c r="BP40" i="79"/>
  <c r="BP24" i="79"/>
  <c r="BP8" i="79"/>
  <c r="BQ66" i="79"/>
  <c r="BP163" i="79"/>
  <c r="BQ152" i="79"/>
  <c r="BP141" i="79"/>
  <c r="BP128" i="79"/>
  <c r="BP112" i="79"/>
  <c r="BP94" i="79"/>
  <c r="BP75" i="79"/>
  <c r="BQ43" i="79"/>
  <c r="BQ131" i="79"/>
  <c r="BQ39" i="79"/>
  <c r="BQ23" i="79"/>
  <c r="BQ7" i="79"/>
  <c r="BP173" i="79"/>
  <c r="BQ160" i="79"/>
  <c r="BQ151" i="79"/>
  <c r="BQ140" i="79"/>
  <c r="BQ127" i="79"/>
  <c r="BP110" i="79"/>
  <c r="BP91" i="79"/>
  <c r="BP71" i="79"/>
  <c r="BQ11" i="79"/>
  <c r="BP36" i="79"/>
  <c r="BP20" i="79"/>
  <c r="BP4" i="79"/>
  <c r="BQ168" i="79"/>
  <c r="BQ159" i="79"/>
  <c r="BP139" i="79"/>
  <c r="BP108" i="79"/>
  <c r="BP88" i="79"/>
  <c r="BP69" i="79"/>
  <c r="BQ155" i="79"/>
  <c r="BQ2" i="79"/>
  <c r="BQ35" i="79"/>
  <c r="BQ19" i="79"/>
  <c r="BQ3" i="79"/>
  <c r="BQ167" i="79"/>
  <c r="BP149" i="79"/>
  <c r="BQ123" i="79"/>
  <c r="BP106" i="79"/>
  <c r="BQ84" i="79"/>
  <c r="BQ68" i="79"/>
  <c r="BQ47" i="79"/>
  <c r="BP32" i="79"/>
  <c r="BP16" i="79"/>
  <c r="BP63" i="79"/>
  <c r="BP157" i="79"/>
  <c r="BQ148" i="79"/>
  <c r="BQ135" i="79"/>
  <c r="BP122" i="79"/>
  <c r="BP104" i="79"/>
  <c r="BP83" i="79"/>
  <c r="BP67" i="79"/>
  <c r="BP44" i="79"/>
  <c r="BQ31" i="79"/>
  <c r="BQ15" i="79"/>
  <c r="BP59" i="79"/>
  <c r="BP165" i="79"/>
  <c r="BQ156" i="79"/>
  <c r="BP147" i="79"/>
  <c r="BP132" i="79"/>
  <c r="BP119" i="79"/>
  <c r="BP102" i="79"/>
  <c r="BP79" i="79"/>
  <c r="AB85" i="79"/>
  <c r="AD85" i="79"/>
  <c r="AC85" i="79"/>
  <c r="AF5" i="79"/>
  <c r="AG5" i="79"/>
  <c r="AH5" i="79"/>
  <c r="AV6" i="79"/>
  <c r="AW6" i="79"/>
  <c r="AU6" i="79"/>
  <c r="AB7" i="79"/>
  <c r="AC7" i="79"/>
  <c r="AD7" i="79"/>
  <c r="AP8" i="79"/>
  <c r="AQ8" i="79"/>
  <c r="AR8" i="79"/>
  <c r="AF13" i="79"/>
  <c r="AG13" i="79"/>
  <c r="AH13" i="79"/>
  <c r="AV14" i="79"/>
  <c r="AW14" i="79"/>
  <c r="AU14" i="79"/>
  <c r="AB15" i="79"/>
  <c r="AC15" i="79"/>
  <c r="AD15" i="79"/>
  <c r="AP16" i="79"/>
  <c r="AQ16" i="79"/>
  <c r="AR16" i="79"/>
  <c r="J311" i="30"/>
  <c r="AU22" i="79"/>
  <c r="AV22" i="79"/>
  <c r="AW22" i="79"/>
  <c r="AB23" i="79"/>
  <c r="AC23" i="79"/>
  <c r="AD23" i="79"/>
  <c r="AH29" i="79"/>
  <c r="AG29" i="79"/>
  <c r="AF29" i="79"/>
  <c r="AB31" i="79"/>
  <c r="AC31" i="79"/>
  <c r="AD31" i="79"/>
  <c r="AR32" i="79"/>
  <c r="AP32" i="79"/>
  <c r="AQ32" i="79"/>
  <c r="AH37" i="79"/>
  <c r="AF37" i="79"/>
  <c r="AG37" i="79"/>
  <c r="AU38" i="79"/>
  <c r="AW38" i="79"/>
  <c r="AV38" i="79"/>
  <c r="AB39" i="79"/>
  <c r="AC39" i="79"/>
  <c r="AD39" i="79"/>
  <c r="AR40" i="79"/>
  <c r="AP40" i="79"/>
  <c r="AQ40" i="79"/>
  <c r="AF45" i="79"/>
  <c r="AG45" i="79"/>
  <c r="AH45" i="79"/>
  <c r="AW46" i="79"/>
  <c r="AU46" i="79"/>
  <c r="AV46" i="79"/>
  <c r="AB47" i="79"/>
  <c r="AC47" i="79"/>
  <c r="AD47" i="79"/>
  <c r="AP48" i="79"/>
  <c r="AQ48" i="79"/>
  <c r="AR48" i="79"/>
  <c r="AF53" i="79"/>
  <c r="AG53" i="79"/>
  <c r="AH53" i="79"/>
  <c r="AW54" i="79"/>
  <c r="AV54" i="79"/>
  <c r="AU54" i="79"/>
  <c r="AB55" i="79"/>
  <c r="AC55" i="79"/>
  <c r="AD55" i="79"/>
  <c r="AP56" i="79"/>
  <c r="AQ56" i="79"/>
  <c r="AR56" i="79"/>
  <c r="AH61" i="79"/>
  <c r="AF61" i="79"/>
  <c r="AG61" i="79"/>
  <c r="AU62" i="79"/>
  <c r="AV62" i="79"/>
  <c r="AW62" i="79"/>
  <c r="AB63" i="79"/>
  <c r="AC63" i="79"/>
  <c r="AD63" i="79"/>
  <c r="AR64" i="79"/>
  <c r="AP64" i="79"/>
  <c r="AQ64" i="79"/>
  <c r="AH69" i="79"/>
  <c r="AG69" i="79"/>
  <c r="AF69" i="79"/>
  <c r="AU70" i="79"/>
  <c r="AW70" i="79"/>
  <c r="AV70" i="79"/>
  <c r="AB71" i="79"/>
  <c r="AC71" i="79"/>
  <c r="AD71" i="79"/>
  <c r="AG77" i="79"/>
  <c r="AH77" i="79"/>
  <c r="AF77" i="79"/>
  <c r="AB79" i="79"/>
  <c r="AC79" i="79"/>
  <c r="AD79" i="79"/>
  <c r="AQ80" i="79"/>
  <c r="AR80" i="79"/>
  <c r="AP80" i="79"/>
  <c r="AG85" i="79"/>
  <c r="AH85" i="79"/>
  <c r="AF85" i="79"/>
  <c r="AB87" i="79"/>
  <c r="AC87" i="79"/>
  <c r="AD87" i="79"/>
  <c r="AQ88" i="79"/>
  <c r="AR88" i="79"/>
  <c r="AP88" i="79"/>
  <c r="J119" i="30"/>
  <c r="J123" i="30"/>
  <c r="J76" i="30"/>
  <c r="J80" i="30"/>
  <c r="J105" i="30"/>
  <c r="J104" i="30"/>
  <c r="J127" i="30"/>
  <c r="J91" i="30"/>
  <c r="J84" i="30"/>
  <c r="AG93" i="79"/>
  <c r="AH93" i="79"/>
  <c r="AF93" i="79"/>
  <c r="AU94" i="79"/>
  <c r="AW94" i="79"/>
  <c r="AV94" i="79"/>
  <c r="AB95" i="79"/>
  <c r="AD95" i="79"/>
  <c r="AC95" i="79"/>
  <c r="AQ96" i="79"/>
  <c r="AR96" i="79"/>
  <c r="AP96" i="79"/>
  <c r="J335" i="30"/>
  <c r="J371" i="30"/>
  <c r="J299" i="30"/>
  <c r="J259" i="30"/>
  <c r="J214" i="30"/>
  <c r="J169" i="30"/>
  <c r="J343" i="30"/>
  <c r="J307" i="30"/>
  <c r="J379" i="30"/>
  <c r="J267" i="30"/>
  <c r="J222" i="30"/>
  <c r="J177" i="30"/>
  <c r="AG117" i="79"/>
  <c r="AF117" i="79"/>
  <c r="AH117" i="79"/>
  <c r="J237" i="30"/>
  <c r="J192" i="30"/>
  <c r="AH125" i="79"/>
  <c r="AF125" i="79"/>
  <c r="AG125" i="79"/>
  <c r="AV126" i="79"/>
  <c r="AW126" i="79"/>
  <c r="AU126" i="79"/>
  <c r="AB127" i="79"/>
  <c r="AC127" i="79"/>
  <c r="AD127" i="79"/>
  <c r="AR128" i="79"/>
  <c r="AP128" i="79"/>
  <c r="AQ128" i="79"/>
  <c r="J396" i="30"/>
  <c r="J324" i="30"/>
  <c r="J360" i="30"/>
  <c r="AU134" i="79"/>
  <c r="AV134" i="79"/>
  <c r="AW134" i="79"/>
  <c r="AB135" i="79"/>
  <c r="AC135" i="79"/>
  <c r="AD135" i="79"/>
  <c r="AR136" i="79"/>
  <c r="AQ136" i="79"/>
  <c r="AP136" i="79"/>
  <c r="AH141" i="79"/>
  <c r="AG141" i="79"/>
  <c r="AF141" i="79"/>
  <c r="AU142" i="79"/>
  <c r="AV142" i="79"/>
  <c r="AW142" i="79"/>
  <c r="AB143" i="79"/>
  <c r="AC143" i="79"/>
  <c r="AD143" i="79"/>
  <c r="AH149" i="79"/>
  <c r="AG149" i="79"/>
  <c r="AF149" i="79"/>
  <c r="AU150" i="79"/>
  <c r="AV150" i="79"/>
  <c r="AW150" i="79"/>
  <c r="AB151" i="79"/>
  <c r="AC151" i="79"/>
  <c r="AD151" i="79"/>
  <c r="AQ152" i="79"/>
  <c r="AR152" i="79"/>
  <c r="AP152" i="79"/>
  <c r="AG157" i="79"/>
  <c r="AH157" i="79"/>
  <c r="AF157" i="79"/>
  <c r="AU158" i="79"/>
  <c r="AV158" i="79"/>
  <c r="AW158" i="79"/>
  <c r="AB159" i="79"/>
  <c r="AC159" i="79"/>
  <c r="AD159" i="79"/>
  <c r="AQ160" i="79"/>
  <c r="AR160" i="79"/>
  <c r="AP160" i="79"/>
  <c r="AG165" i="79"/>
  <c r="AH165" i="79"/>
  <c r="AF165" i="79"/>
  <c r="AU166" i="79"/>
  <c r="AV166" i="79"/>
  <c r="AW166" i="79"/>
  <c r="AB167" i="79"/>
  <c r="AC167" i="79"/>
  <c r="AD167" i="79"/>
  <c r="AQ168" i="79"/>
  <c r="AR168" i="79"/>
  <c r="AP168" i="79"/>
  <c r="AG173" i="79"/>
  <c r="AH173" i="79"/>
  <c r="AF173" i="79"/>
  <c r="AU174" i="79"/>
  <c r="AV174" i="79"/>
  <c r="AW174" i="79"/>
  <c r="AB175" i="79"/>
  <c r="AC175" i="79"/>
  <c r="AD175" i="79"/>
  <c r="BQ161" i="79"/>
  <c r="BQ153" i="79"/>
  <c r="BQ145" i="79"/>
  <c r="BQ81" i="79"/>
  <c r="AP5" i="79"/>
  <c r="AQ5" i="79"/>
  <c r="AR5" i="79"/>
  <c r="J264" i="30"/>
  <c r="J174" i="30"/>
  <c r="J219" i="30"/>
  <c r="AG114" i="79"/>
  <c r="AH114" i="79"/>
  <c r="AF114" i="79"/>
  <c r="AQ117" i="79"/>
  <c r="AR117" i="79"/>
  <c r="AP117" i="79"/>
  <c r="AP133" i="79"/>
  <c r="AQ133" i="79"/>
  <c r="AR133" i="79"/>
  <c r="J397" i="30"/>
  <c r="J325" i="30"/>
  <c r="J361" i="30"/>
  <c r="AV139" i="79"/>
  <c r="AW139" i="79"/>
  <c r="AU139" i="79"/>
  <c r="AB156" i="79"/>
  <c r="AC156" i="79"/>
  <c r="AD156" i="79"/>
  <c r="AC164" i="79"/>
  <c r="AD164" i="79"/>
  <c r="AB164" i="79"/>
  <c r="AU8" i="79"/>
  <c r="AV8" i="79"/>
  <c r="AW8" i="79"/>
  <c r="AU16" i="79"/>
  <c r="AV16" i="79"/>
  <c r="AW16" i="79"/>
  <c r="AQ18" i="79"/>
  <c r="AR18" i="79"/>
  <c r="AP18" i="79"/>
  <c r="AU24" i="79"/>
  <c r="AV24" i="79"/>
  <c r="AW24" i="79"/>
  <c r="AP26" i="79"/>
  <c r="AR26" i="79"/>
  <c r="AQ26" i="79"/>
  <c r="AU40" i="79"/>
  <c r="AW40" i="79"/>
  <c r="AV40" i="79"/>
  <c r="AD41" i="79"/>
  <c r="AB41" i="79"/>
  <c r="AC41" i="79"/>
  <c r="AR50" i="79"/>
  <c r="AP50" i="79"/>
  <c r="AQ50" i="79"/>
  <c r="AV56" i="79"/>
  <c r="AW56" i="79"/>
  <c r="AU56" i="79"/>
  <c r="AB57" i="79"/>
  <c r="AC57" i="79"/>
  <c r="AD57" i="79"/>
  <c r="AU64" i="79"/>
  <c r="AV64" i="79"/>
  <c r="AW64" i="79"/>
  <c r="AD65" i="79"/>
  <c r="AB65" i="79"/>
  <c r="AC65" i="79"/>
  <c r="AU72" i="79"/>
  <c r="AW72" i="79"/>
  <c r="AV72" i="79"/>
  <c r="AD73" i="79"/>
  <c r="AB73" i="79"/>
  <c r="AC73" i="79"/>
  <c r="AP74" i="79"/>
  <c r="AR74" i="79"/>
  <c r="AQ74" i="79"/>
  <c r="AF79" i="79"/>
  <c r="AH79" i="79"/>
  <c r="AG79" i="79"/>
  <c r="J93" i="30"/>
  <c r="J90" i="30"/>
  <c r="AF87" i="79"/>
  <c r="AH87" i="79"/>
  <c r="AG87" i="79"/>
  <c r="AU88" i="79"/>
  <c r="AW88" i="79"/>
  <c r="AV88" i="79"/>
  <c r="AC89" i="79"/>
  <c r="AD89" i="79"/>
  <c r="AB89" i="79"/>
  <c r="AP90" i="79"/>
  <c r="AQ90" i="79"/>
  <c r="AR90" i="79"/>
  <c r="AF95" i="79"/>
  <c r="AG95" i="79"/>
  <c r="AH95" i="79"/>
  <c r="AU96" i="79"/>
  <c r="AV96" i="79"/>
  <c r="AW96" i="79"/>
  <c r="J253" i="30"/>
  <c r="J208" i="30"/>
  <c r="J163" i="30"/>
  <c r="J337" i="30"/>
  <c r="J373" i="30"/>
  <c r="J301" i="30"/>
  <c r="J261" i="30"/>
  <c r="J216" i="30"/>
  <c r="J171" i="30"/>
  <c r="J345" i="30"/>
  <c r="J381" i="30"/>
  <c r="J309" i="30"/>
  <c r="AC113" i="79"/>
  <c r="AB113" i="79"/>
  <c r="AD113" i="79"/>
  <c r="AP114" i="79"/>
  <c r="AQ114" i="79"/>
  <c r="AR114" i="79"/>
  <c r="J111" i="30"/>
  <c r="J107" i="30"/>
  <c r="K107" i="30"/>
  <c r="L107" i="30" s="1"/>
  <c r="K150" i="30"/>
  <c r="K111" i="30"/>
  <c r="L111" i="30" s="1"/>
  <c r="K154" i="30"/>
  <c r="AH119" i="79"/>
  <c r="AG119" i="79"/>
  <c r="AF119" i="79"/>
  <c r="J239" i="30"/>
  <c r="J278" i="30"/>
  <c r="J252" i="30"/>
  <c r="J194" i="30"/>
  <c r="J207" i="30"/>
  <c r="J162" i="30"/>
  <c r="AR122" i="79"/>
  <c r="AP122" i="79"/>
  <c r="AQ122" i="79"/>
  <c r="AG127" i="79"/>
  <c r="AH127" i="79"/>
  <c r="AF127" i="79"/>
  <c r="AW128" i="79"/>
  <c r="AV128" i="79"/>
  <c r="AU128" i="79"/>
  <c r="J227" i="30"/>
  <c r="AP130" i="79"/>
  <c r="AR130" i="79"/>
  <c r="AQ130" i="79"/>
  <c r="AF135" i="79"/>
  <c r="AH135" i="79"/>
  <c r="AG135" i="79"/>
  <c r="AV136" i="79"/>
  <c r="AU136" i="79"/>
  <c r="AW136" i="79"/>
  <c r="AD137" i="79"/>
  <c r="AC137" i="79"/>
  <c r="AB137" i="79"/>
  <c r="AF143" i="79"/>
  <c r="AG143" i="79"/>
  <c r="AH143" i="79"/>
  <c r="AV144" i="79"/>
  <c r="AW144" i="79"/>
  <c r="AU144" i="79"/>
  <c r="AD145" i="79"/>
  <c r="AC145" i="79"/>
  <c r="AB145" i="79"/>
  <c r="AF151" i="79"/>
  <c r="AH151" i="79"/>
  <c r="AG151" i="79"/>
  <c r="AU152" i="79"/>
  <c r="AV152" i="79"/>
  <c r="AW152" i="79"/>
  <c r="AC153" i="79"/>
  <c r="AD153" i="79"/>
  <c r="AB153" i="79"/>
  <c r="AP154" i="79"/>
  <c r="AQ154" i="79"/>
  <c r="AR154" i="79"/>
  <c r="AH159" i="79"/>
  <c r="AG159" i="79"/>
  <c r="AF159" i="79"/>
  <c r="AU160" i="79"/>
  <c r="AW160" i="79"/>
  <c r="AV160" i="79"/>
  <c r="AC161" i="79"/>
  <c r="AD161" i="79"/>
  <c r="AB161" i="79"/>
  <c r="AR162" i="79"/>
  <c r="AQ162" i="79"/>
  <c r="AP162" i="79"/>
  <c r="AF167" i="79"/>
  <c r="AG167" i="79"/>
  <c r="AH167" i="79"/>
  <c r="AU168" i="79"/>
  <c r="AV168" i="79"/>
  <c r="AW168" i="79"/>
  <c r="J290" i="30"/>
  <c r="J245" i="30"/>
  <c r="J200" i="30"/>
  <c r="AH175" i="79"/>
  <c r="AG175" i="79"/>
  <c r="AF175" i="79"/>
  <c r="BQ62" i="79"/>
  <c r="BQ58" i="79"/>
  <c r="BQ54" i="79"/>
  <c r="BQ50" i="79"/>
  <c r="BQ117" i="79"/>
  <c r="BQ113" i="79"/>
  <c r="BQ109" i="79"/>
  <c r="BQ105" i="79"/>
  <c r="BQ101" i="79"/>
  <c r="BQ97" i="79"/>
  <c r="BQ93" i="79"/>
  <c r="BQ80" i="79"/>
  <c r="BQ72" i="79"/>
  <c r="AF4" i="79"/>
  <c r="AG4" i="79"/>
  <c r="AH4" i="79"/>
  <c r="AU5" i="79"/>
  <c r="AV5" i="79"/>
  <c r="AW5" i="79"/>
  <c r="AB6" i="79"/>
  <c r="AC6" i="79"/>
  <c r="AD6" i="79"/>
  <c r="AP7" i="79"/>
  <c r="AQ7" i="79"/>
  <c r="AR7" i="79"/>
  <c r="AF12" i="79"/>
  <c r="AG12" i="79"/>
  <c r="AH12" i="79"/>
  <c r="AU13" i="79"/>
  <c r="AV13" i="79"/>
  <c r="AW13" i="79"/>
  <c r="AB14" i="79"/>
  <c r="AC14" i="79"/>
  <c r="AD14" i="79"/>
  <c r="AP15" i="79"/>
  <c r="AQ15" i="79"/>
  <c r="AR15" i="79"/>
  <c r="AF20" i="79"/>
  <c r="AG20" i="79"/>
  <c r="AH20" i="79"/>
  <c r="AB22" i="79"/>
  <c r="AC22" i="79"/>
  <c r="AD22" i="79"/>
  <c r="AG28" i="79"/>
  <c r="AH28" i="79"/>
  <c r="AF28" i="79"/>
  <c r="AU29" i="79"/>
  <c r="AV29" i="79"/>
  <c r="AW29" i="79"/>
  <c r="AB30" i="79"/>
  <c r="AC30" i="79"/>
  <c r="AD30" i="79"/>
  <c r="AQ31" i="79"/>
  <c r="AR31" i="79"/>
  <c r="AP31" i="79"/>
  <c r="AG36" i="79"/>
  <c r="AH36" i="79"/>
  <c r="AF36" i="79"/>
  <c r="AV37" i="79"/>
  <c r="AW37" i="79"/>
  <c r="AU37" i="79"/>
  <c r="AB38" i="79"/>
  <c r="AC38" i="79"/>
  <c r="AD38" i="79"/>
  <c r="AQ39" i="79"/>
  <c r="AR39" i="79"/>
  <c r="AP39" i="79"/>
  <c r="AG44" i="79"/>
  <c r="AH44" i="79"/>
  <c r="AF44" i="79"/>
  <c r="AV45" i="79"/>
  <c r="AW45" i="79"/>
  <c r="AU45" i="79"/>
  <c r="AB46" i="79"/>
  <c r="AC46" i="79"/>
  <c r="AD46" i="79"/>
  <c r="AP47" i="79"/>
  <c r="AQ47" i="79"/>
  <c r="AR47" i="79"/>
  <c r="AF52" i="79"/>
  <c r="AG52" i="79"/>
  <c r="AH52" i="79"/>
  <c r="AV53" i="79"/>
  <c r="AW53" i="79"/>
  <c r="AU53" i="79"/>
  <c r="AB54" i="79"/>
  <c r="AC54" i="79"/>
  <c r="AD54" i="79"/>
  <c r="AP55" i="79"/>
  <c r="AQ55" i="79"/>
  <c r="AR55" i="79"/>
  <c r="AG60" i="79"/>
  <c r="AH60" i="79"/>
  <c r="AF60" i="79"/>
  <c r="AV61" i="79"/>
  <c r="AW61" i="79"/>
  <c r="AU61" i="79"/>
  <c r="AB62" i="79"/>
  <c r="AC62" i="79"/>
  <c r="AD62" i="79"/>
  <c r="AQ63" i="79"/>
  <c r="AR63" i="79"/>
  <c r="AP63" i="79"/>
  <c r="AG68" i="79"/>
  <c r="AH68" i="79"/>
  <c r="AF68" i="79"/>
  <c r="AU69" i="79"/>
  <c r="AV69" i="79"/>
  <c r="AW69" i="79"/>
  <c r="AB70" i="79"/>
  <c r="AC70" i="79"/>
  <c r="AD70" i="79"/>
  <c r="AF76" i="79"/>
  <c r="AG76" i="79"/>
  <c r="AH76" i="79"/>
  <c r="AW77" i="79"/>
  <c r="AV77" i="79"/>
  <c r="AU77" i="79"/>
  <c r="AB78" i="79"/>
  <c r="AC78" i="79"/>
  <c r="AD78" i="79"/>
  <c r="AP79" i="79"/>
  <c r="AQ79" i="79"/>
  <c r="AR79" i="79"/>
  <c r="AF84" i="79"/>
  <c r="AG84" i="79"/>
  <c r="AH84" i="79"/>
  <c r="AB86" i="79"/>
  <c r="AC86" i="79"/>
  <c r="AD86" i="79"/>
  <c r="AF92" i="79"/>
  <c r="AG92" i="79"/>
  <c r="AH92" i="79"/>
  <c r="AW93" i="79"/>
  <c r="AU93" i="79"/>
  <c r="AV93" i="79"/>
  <c r="AB94" i="79"/>
  <c r="AC94" i="79"/>
  <c r="AD94" i="79"/>
  <c r="AP95" i="79"/>
  <c r="AR95" i="79"/>
  <c r="AQ95" i="79"/>
  <c r="J298" i="30"/>
  <c r="J370" i="30"/>
  <c r="J334" i="30"/>
  <c r="J258" i="30"/>
  <c r="J168" i="30"/>
  <c r="J213" i="30"/>
  <c r="J306" i="30"/>
  <c r="J378" i="30"/>
  <c r="J342" i="30"/>
  <c r="J266" i="30"/>
  <c r="J176" i="30"/>
  <c r="J221" i="30"/>
  <c r="J389" i="30"/>
  <c r="J317" i="30"/>
  <c r="J353" i="30"/>
  <c r="AW117" i="79"/>
  <c r="AU117" i="79"/>
  <c r="AV117" i="79"/>
  <c r="J191" i="30"/>
  <c r="J276" i="30"/>
  <c r="J160" i="30"/>
  <c r="J236" i="30"/>
  <c r="J250" i="30"/>
  <c r="J205" i="30"/>
  <c r="AP119" i="79"/>
  <c r="AQ119" i="79"/>
  <c r="AR119" i="79"/>
  <c r="J393" i="30"/>
  <c r="J321" i="30"/>
  <c r="J357" i="30"/>
  <c r="AU125" i="79"/>
  <c r="AV125" i="79"/>
  <c r="AW125" i="79"/>
  <c r="AB126" i="79"/>
  <c r="AC126" i="79"/>
  <c r="AD126" i="79"/>
  <c r="AQ127" i="79"/>
  <c r="AR127" i="79"/>
  <c r="AP127" i="79"/>
  <c r="J323" i="30"/>
  <c r="J395" i="30"/>
  <c r="J359" i="30"/>
  <c r="AW133" i="79"/>
  <c r="AV133" i="79"/>
  <c r="AU133" i="79"/>
  <c r="AQ135" i="79"/>
  <c r="AR135" i="79"/>
  <c r="AP135" i="79"/>
  <c r="AG140" i="79"/>
  <c r="AH140" i="79"/>
  <c r="AF140" i="79"/>
  <c r="AW141" i="79"/>
  <c r="AU141" i="79"/>
  <c r="AV141" i="79"/>
  <c r="AB142" i="79"/>
  <c r="AC142" i="79"/>
  <c r="AD142" i="79"/>
  <c r="AG148" i="79"/>
  <c r="AH148" i="79"/>
  <c r="AF148" i="79"/>
  <c r="AW149" i="79"/>
  <c r="AV149" i="79"/>
  <c r="AU149" i="79"/>
  <c r="AB150" i="79"/>
  <c r="AC150" i="79"/>
  <c r="AD150" i="79"/>
  <c r="AF156" i="79"/>
  <c r="AG156" i="79"/>
  <c r="AH156" i="79"/>
  <c r="AW157" i="79"/>
  <c r="AV157" i="79"/>
  <c r="AU157" i="79"/>
  <c r="AB158" i="79"/>
  <c r="AC158" i="79"/>
  <c r="AD158" i="79"/>
  <c r="AP159" i="79"/>
  <c r="AQ159" i="79"/>
  <c r="AR159" i="79"/>
  <c r="AF164" i="79"/>
  <c r="AG164" i="79"/>
  <c r="AH164" i="79"/>
  <c r="AW165" i="79"/>
  <c r="AV165" i="79"/>
  <c r="AU165" i="79"/>
  <c r="AB166" i="79"/>
  <c r="AC166" i="79"/>
  <c r="AD166" i="79"/>
  <c r="AP167" i="79"/>
  <c r="AQ167" i="79"/>
  <c r="AR167" i="79"/>
  <c r="J99" i="30"/>
  <c r="J365" i="30"/>
  <c r="J401" i="30"/>
  <c r="J329" i="30"/>
  <c r="AW173" i="79"/>
  <c r="AU173" i="79"/>
  <c r="AV173" i="79"/>
  <c r="AB174" i="79"/>
  <c r="AD174" i="79"/>
  <c r="AC174" i="79"/>
  <c r="AQ175" i="79"/>
  <c r="AR175" i="79"/>
  <c r="AP175" i="79"/>
  <c r="AF18" i="79"/>
  <c r="AG18" i="79"/>
  <c r="AH18" i="79"/>
  <c r="AP29" i="79"/>
  <c r="AQ29" i="79"/>
  <c r="AR29" i="79"/>
  <c r="AV35" i="79"/>
  <c r="AW35" i="79"/>
  <c r="AU35" i="79"/>
  <c r="AF42" i="79"/>
  <c r="AG42" i="79"/>
  <c r="AH42" i="79"/>
  <c r="AV43" i="79"/>
  <c r="AW43" i="79"/>
  <c r="AU43" i="79"/>
  <c r="AP45" i="79"/>
  <c r="AQ45" i="79"/>
  <c r="AR45" i="79"/>
  <c r="AB52" i="79"/>
  <c r="AC52" i="79"/>
  <c r="AD52" i="79"/>
  <c r="AP61" i="79"/>
  <c r="AQ61" i="79"/>
  <c r="AR61" i="79"/>
  <c r="AC76" i="79"/>
  <c r="AD76" i="79"/>
  <c r="AB76" i="79"/>
  <c r="J75" i="30"/>
  <c r="J79" i="30"/>
  <c r="J120" i="30"/>
  <c r="J118" i="30"/>
  <c r="J83" i="30"/>
  <c r="J122" i="30"/>
  <c r="J126" i="30"/>
  <c r="AU91" i="79"/>
  <c r="AV91" i="79"/>
  <c r="AW91" i="79"/>
  <c r="J368" i="30"/>
  <c r="J296" i="30"/>
  <c r="J332" i="30"/>
  <c r="J256" i="30"/>
  <c r="J166" i="30"/>
  <c r="J211" i="30"/>
  <c r="AG122" i="79"/>
  <c r="AH122" i="79"/>
  <c r="AF122" i="79"/>
  <c r="J286" i="30"/>
  <c r="J241" i="30"/>
  <c r="J196" i="30"/>
  <c r="J225" i="30"/>
  <c r="AW131" i="79"/>
  <c r="AU131" i="79"/>
  <c r="AV131" i="79"/>
  <c r="AB140" i="79"/>
  <c r="AC140" i="79"/>
  <c r="AD140" i="79"/>
  <c r="J327" i="30"/>
  <c r="J399" i="30"/>
  <c r="J363" i="30"/>
  <c r="J293" i="30"/>
  <c r="J248" i="30"/>
  <c r="J203" i="30"/>
  <c r="AD25" i="79"/>
  <c r="AC25" i="79"/>
  <c r="AB25" i="79"/>
  <c r="AD33" i="79"/>
  <c r="AB33" i="79"/>
  <c r="AC33" i="79"/>
  <c r="AF39" i="79"/>
  <c r="AG39" i="79"/>
  <c r="AH39" i="79"/>
  <c r="AP42" i="79"/>
  <c r="AQ42" i="79"/>
  <c r="AR42" i="79"/>
  <c r="AH47" i="79"/>
  <c r="AG47" i="79"/>
  <c r="AF47" i="79"/>
  <c r="AU48" i="79"/>
  <c r="AW48" i="79"/>
  <c r="AV48" i="79"/>
  <c r="AB49" i="79"/>
  <c r="AC49" i="79"/>
  <c r="AD49" i="79"/>
  <c r="AF63" i="79"/>
  <c r="AG63" i="79"/>
  <c r="AH63" i="79"/>
  <c r="AP66" i="79"/>
  <c r="AR66" i="79"/>
  <c r="AQ66" i="79"/>
  <c r="AF71" i="79"/>
  <c r="AG71" i="79"/>
  <c r="AH71" i="79"/>
  <c r="AU80" i="79"/>
  <c r="AW80" i="79"/>
  <c r="AV80" i="79"/>
  <c r="AC81" i="79"/>
  <c r="AD81" i="79"/>
  <c r="AB81" i="79"/>
  <c r="AP82" i="79"/>
  <c r="AQ82" i="79"/>
  <c r="AR82" i="79"/>
  <c r="AV2" i="79"/>
  <c r="AW2" i="79"/>
  <c r="AU2" i="79"/>
  <c r="AC3" i="79"/>
  <c r="AD3" i="79"/>
  <c r="AB3" i="79"/>
  <c r="AP4" i="79"/>
  <c r="AQ4" i="79"/>
  <c r="AR4" i="79"/>
  <c r="AG9" i="79"/>
  <c r="AH9" i="79"/>
  <c r="AF9" i="79"/>
  <c r="AU10" i="79"/>
  <c r="AV10" i="79"/>
  <c r="AW10" i="79"/>
  <c r="AC11" i="79"/>
  <c r="AD11" i="79"/>
  <c r="AB11" i="79"/>
  <c r="AP12" i="79"/>
  <c r="AQ12" i="79"/>
  <c r="AR12" i="79"/>
  <c r="AF17" i="79"/>
  <c r="AG17" i="79"/>
  <c r="AH17" i="79"/>
  <c r="AU18" i="79"/>
  <c r="AV18" i="79"/>
  <c r="AW18" i="79"/>
  <c r="J275" i="30"/>
  <c r="AR20" i="79"/>
  <c r="AQ20" i="79"/>
  <c r="AP20" i="79"/>
  <c r="AF25" i="79"/>
  <c r="AG25" i="79"/>
  <c r="AH25" i="79"/>
  <c r="AB27" i="79"/>
  <c r="AC27" i="79"/>
  <c r="AD27" i="79"/>
  <c r="AP28" i="79"/>
  <c r="AQ28" i="79"/>
  <c r="AR28" i="79"/>
  <c r="AF33" i="79"/>
  <c r="AH33" i="79"/>
  <c r="AG33" i="79"/>
  <c r="AU34" i="79"/>
  <c r="AV34" i="79"/>
  <c r="AW34" i="79"/>
  <c r="AB35" i="79"/>
  <c r="AC35" i="79"/>
  <c r="AD35" i="79"/>
  <c r="AP36" i="79"/>
  <c r="AR36" i="79"/>
  <c r="AQ36" i="79"/>
  <c r="AF41" i="79"/>
  <c r="AH41" i="79"/>
  <c r="AG41" i="79"/>
  <c r="AU42" i="79"/>
  <c r="AV42" i="79"/>
  <c r="AW42" i="79"/>
  <c r="AB43" i="79"/>
  <c r="AD43" i="79"/>
  <c r="AC43" i="79"/>
  <c r="AP44" i="79"/>
  <c r="AR44" i="79"/>
  <c r="AQ44" i="79"/>
  <c r="J128" i="30"/>
  <c r="AF49" i="79"/>
  <c r="AH49" i="79"/>
  <c r="AG49" i="79"/>
  <c r="AU50" i="79"/>
  <c r="AV50" i="79"/>
  <c r="AW50" i="79"/>
  <c r="AD51" i="79"/>
  <c r="AB51" i="79"/>
  <c r="AC51" i="79"/>
  <c r="AQ52" i="79"/>
  <c r="AP52" i="79"/>
  <c r="AR52" i="79"/>
  <c r="AF57" i="79"/>
  <c r="AG57" i="79"/>
  <c r="AH57" i="79"/>
  <c r="AB59" i="79"/>
  <c r="AD59" i="79"/>
  <c r="AC59" i="79"/>
  <c r="AP60" i="79"/>
  <c r="AQ60" i="79"/>
  <c r="AR60" i="79"/>
  <c r="AF65" i="79"/>
  <c r="AG65" i="79"/>
  <c r="AH65" i="79"/>
  <c r="AU66" i="79"/>
  <c r="AV66" i="79"/>
  <c r="AW66" i="79"/>
  <c r="AB67" i="79"/>
  <c r="AC67" i="79"/>
  <c r="AD67" i="79"/>
  <c r="AP68" i="79"/>
  <c r="AR68" i="79"/>
  <c r="AQ68" i="79"/>
  <c r="AF73" i="79"/>
  <c r="AH73" i="79"/>
  <c r="AG73" i="79"/>
  <c r="AB75" i="79"/>
  <c r="AD75" i="79"/>
  <c r="AC75" i="79"/>
  <c r="AP76" i="79"/>
  <c r="AR76" i="79"/>
  <c r="AQ76" i="79"/>
  <c r="AF81" i="79"/>
  <c r="AH81" i="79"/>
  <c r="AG81" i="79"/>
  <c r="AU82" i="79"/>
  <c r="AV82" i="79"/>
  <c r="AW82" i="79"/>
  <c r="AB83" i="79"/>
  <c r="AD83" i="79"/>
  <c r="AC83" i="79"/>
  <c r="AP84" i="79"/>
  <c r="AR84" i="79"/>
  <c r="AQ84" i="79"/>
  <c r="AF89" i="79"/>
  <c r="AH89" i="79"/>
  <c r="AG89" i="79"/>
  <c r="AU90" i="79"/>
  <c r="AV90" i="79"/>
  <c r="AW90" i="79"/>
  <c r="AB91" i="79"/>
  <c r="AC91" i="79"/>
  <c r="AD91" i="79"/>
  <c r="J331" i="30"/>
  <c r="J367" i="30"/>
  <c r="J295" i="30"/>
  <c r="J255" i="30"/>
  <c r="J165" i="30"/>
  <c r="J210" i="30"/>
  <c r="J339" i="30"/>
  <c r="J375" i="30"/>
  <c r="J303" i="30"/>
  <c r="J263" i="30"/>
  <c r="J173" i="30"/>
  <c r="J218" i="30"/>
  <c r="AF113" i="79"/>
  <c r="AG113" i="79"/>
  <c r="AH113" i="79"/>
  <c r="AW114" i="79"/>
  <c r="AV114" i="79"/>
  <c r="AU114" i="79"/>
  <c r="AB115" i="79"/>
  <c r="AD115" i="79"/>
  <c r="AC115" i="79"/>
  <c r="J108" i="30"/>
  <c r="J112" i="30"/>
  <c r="K155" i="30"/>
  <c r="K151" i="30"/>
  <c r="K112" i="30"/>
  <c r="L112" i="30" s="1"/>
  <c r="K108" i="30"/>
  <c r="L108" i="30" s="1"/>
  <c r="J356" i="30"/>
  <c r="J320" i="30"/>
  <c r="J392" i="30"/>
  <c r="AW122" i="79"/>
  <c r="AU122" i="79"/>
  <c r="AV122" i="79"/>
  <c r="J285" i="30"/>
  <c r="J224" i="30"/>
  <c r="J240" i="30"/>
  <c r="J195" i="30"/>
  <c r="J358" i="30"/>
  <c r="J394" i="30"/>
  <c r="J322" i="30"/>
  <c r="AV130" i="79"/>
  <c r="AW130" i="79"/>
  <c r="AU130" i="79"/>
  <c r="AC131" i="79"/>
  <c r="AD131" i="79"/>
  <c r="AB131" i="79"/>
  <c r="AP132" i="79"/>
  <c r="AQ132" i="79"/>
  <c r="AR132" i="79"/>
  <c r="AG137" i="79"/>
  <c r="AH137" i="79"/>
  <c r="AF137" i="79"/>
  <c r="AB139" i="79"/>
  <c r="AC139" i="79"/>
  <c r="AD139" i="79"/>
  <c r="AQ140" i="79"/>
  <c r="AR140" i="79"/>
  <c r="AP140" i="79"/>
  <c r="AF145" i="79"/>
  <c r="AG145" i="79"/>
  <c r="AH145" i="79"/>
  <c r="AU146" i="79"/>
  <c r="AV146" i="79"/>
  <c r="AW146" i="79"/>
  <c r="AD147" i="79"/>
  <c r="AC147" i="79"/>
  <c r="AB147" i="79"/>
  <c r="AF153" i="79"/>
  <c r="AH153" i="79"/>
  <c r="AG153" i="79"/>
  <c r="AU154" i="79"/>
  <c r="AV154" i="79"/>
  <c r="AW154" i="79"/>
  <c r="AD155" i="79"/>
  <c r="AC155" i="79"/>
  <c r="AB155" i="79"/>
  <c r="AP156" i="79"/>
  <c r="AR156" i="79"/>
  <c r="AQ156" i="79"/>
  <c r="AF161" i="79"/>
  <c r="AG161" i="79"/>
  <c r="AH161" i="79"/>
  <c r="AU162" i="79"/>
  <c r="AV162" i="79"/>
  <c r="AW162" i="79"/>
  <c r="AB163" i="79"/>
  <c r="AC163" i="79"/>
  <c r="AD163" i="79"/>
  <c r="AP164" i="79"/>
  <c r="AQ164" i="79"/>
  <c r="AR164" i="79"/>
  <c r="J326" i="30"/>
  <c r="J362" i="30"/>
  <c r="J398" i="30"/>
  <c r="J292" i="30"/>
  <c r="J247" i="30"/>
  <c r="J202" i="30"/>
  <c r="BQ46" i="79"/>
  <c r="BQ38" i="79"/>
  <c r="BQ34" i="79"/>
  <c r="BQ30" i="79"/>
  <c r="BQ26" i="79"/>
  <c r="BQ22" i="79"/>
  <c r="BQ18" i="79"/>
  <c r="BQ14" i="79"/>
  <c r="BQ10" i="79"/>
  <c r="BQ6" i="79"/>
  <c r="BP49" i="79"/>
  <c r="BQ61" i="79"/>
  <c r="BQ57" i="79"/>
  <c r="BQ53" i="79"/>
  <c r="BQ134" i="79"/>
  <c r="BQ126" i="79"/>
  <c r="BQ96" i="79"/>
  <c r="AU3" i="79"/>
  <c r="AV3" i="79"/>
  <c r="AW3" i="79"/>
  <c r="AU11" i="79"/>
  <c r="AV11" i="79"/>
  <c r="AW11" i="79"/>
  <c r="AP13" i="79"/>
  <c r="AR13" i="79"/>
  <c r="AQ13" i="79"/>
  <c r="AD20" i="79"/>
  <c r="AB20" i="79"/>
  <c r="AC20" i="79"/>
  <c r="AF26" i="79"/>
  <c r="AG26" i="79"/>
  <c r="AH26" i="79"/>
  <c r="AB28" i="79"/>
  <c r="AC28" i="79"/>
  <c r="AD28" i="79"/>
  <c r="AP53" i="79"/>
  <c r="AR53" i="79"/>
  <c r="AQ53" i="79"/>
  <c r="AD60" i="79"/>
  <c r="AB60" i="79"/>
  <c r="AC60" i="79"/>
  <c r="J124" i="30"/>
  <c r="J88" i="30"/>
  <c r="J81" i="30"/>
  <c r="AV67" i="79"/>
  <c r="AW67" i="79"/>
  <c r="AU67" i="79"/>
  <c r="AF74" i="79"/>
  <c r="AG74" i="79"/>
  <c r="AH74" i="79"/>
  <c r="AF90" i="79"/>
  <c r="AG90" i="79"/>
  <c r="AH90" i="79"/>
  <c r="AC92" i="79"/>
  <c r="AB92" i="79"/>
  <c r="AD92" i="79"/>
  <c r="AD148" i="79"/>
  <c r="AC148" i="79"/>
  <c r="AB148" i="79"/>
  <c r="AU155" i="79"/>
  <c r="AV155" i="79"/>
  <c r="AW155" i="79"/>
  <c r="AP165" i="79"/>
  <c r="AQ165" i="79"/>
  <c r="AR165" i="79"/>
  <c r="AP173" i="79"/>
  <c r="AQ173" i="79"/>
  <c r="AR173" i="79"/>
  <c r="AQ2" i="79"/>
  <c r="AR2" i="79"/>
  <c r="AP2" i="79"/>
  <c r="AQ10" i="79"/>
  <c r="AR10" i="79"/>
  <c r="AP10" i="79"/>
  <c r="AG15" i="79"/>
  <c r="AH15" i="79"/>
  <c r="AF15" i="79"/>
  <c r="AF31" i="79"/>
  <c r="AG31" i="79"/>
  <c r="AH31" i="79"/>
  <c r="AF6" i="79"/>
  <c r="AG6" i="79"/>
  <c r="AH6" i="79"/>
  <c r="AP9" i="79"/>
  <c r="AQ9" i="79"/>
  <c r="AR9" i="79"/>
  <c r="AW15" i="79"/>
  <c r="AU15" i="79"/>
  <c r="AV15" i="79"/>
  <c r="AB16" i="79"/>
  <c r="AC16" i="79"/>
  <c r="AD16" i="79"/>
  <c r="AG22" i="79"/>
  <c r="AH22" i="79"/>
  <c r="AF22" i="79"/>
  <c r="AP25" i="79"/>
  <c r="AQ25" i="79"/>
  <c r="AR25" i="79"/>
  <c r="AU31" i="79"/>
  <c r="AV31" i="79"/>
  <c r="AW31" i="79"/>
  <c r="AC32" i="79"/>
  <c r="AD32" i="79"/>
  <c r="AB32" i="79"/>
  <c r="AF38" i="79"/>
  <c r="AG38" i="79"/>
  <c r="AH38" i="79"/>
  <c r="AP41" i="79"/>
  <c r="AQ41" i="79"/>
  <c r="AR41" i="79"/>
  <c r="AG46" i="79"/>
  <c r="AH46" i="79"/>
  <c r="AF46" i="79"/>
  <c r="AC64" i="79"/>
  <c r="AD64" i="79"/>
  <c r="AB64" i="79"/>
  <c r="AP65" i="79"/>
  <c r="AQ65" i="79"/>
  <c r="AR65" i="79"/>
  <c r="AV71" i="79"/>
  <c r="AW71" i="79"/>
  <c r="AU71" i="79"/>
  <c r="AH78" i="79"/>
  <c r="AF78" i="79"/>
  <c r="AG78" i="79"/>
  <c r="AV79" i="79"/>
  <c r="AU79" i="79"/>
  <c r="AW79" i="79"/>
  <c r="J89" i="30"/>
  <c r="J92" i="30"/>
  <c r="J308" i="30"/>
  <c r="J344" i="30"/>
  <c r="J380" i="30"/>
  <c r="J268" i="30"/>
  <c r="J223" i="30"/>
  <c r="J178" i="30"/>
  <c r="AR113" i="79"/>
  <c r="AP113" i="79"/>
  <c r="AQ113" i="79"/>
  <c r="AH134" i="79"/>
  <c r="AF134" i="79"/>
  <c r="AG134" i="79"/>
  <c r="AU135" i="79"/>
  <c r="AV135" i="79"/>
  <c r="AW135" i="79"/>
  <c r="AC136" i="79"/>
  <c r="AD136" i="79"/>
  <c r="AB136" i="79"/>
  <c r="AR137" i="79"/>
  <c r="AQ137" i="79"/>
  <c r="AP137" i="79"/>
  <c r="AH142" i="79"/>
  <c r="AF142" i="79"/>
  <c r="AG142" i="79"/>
  <c r="AW143" i="79"/>
  <c r="AV143" i="79"/>
  <c r="AU143" i="79"/>
  <c r="AC144" i="79"/>
  <c r="AD144" i="79"/>
  <c r="AB144" i="79"/>
  <c r="AH150" i="79"/>
  <c r="AF150" i="79"/>
  <c r="AG150" i="79"/>
  <c r="AU151" i="79"/>
  <c r="AV151" i="79"/>
  <c r="AW151" i="79"/>
  <c r="AB152" i="79"/>
  <c r="AC152" i="79"/>
  <c r="AD152" i="79"/>
  <c r="AR153" i="79"/>
  <c r="AQ153" i="79"/>
  <c r="AP153" i="79"/>
  <c r="AH158" i="79"/>
  <c r="AG158" i="79"/>
  <c r="AF158" i="79"/>
  <c r="AV159" i="79"/>
  <c r="AW159" i="79"/>
  <c r="AU159" i="79"/>
  <c r="AB160" i="79"/>
  <c r="AC160" i="79"/>
  <c r="AD160" i="79"/>
  <c r="AR161" i="79"/>
  <c r="AP161" i="79"/>
  <c r="AQ161" i="79"/>
  <c r="AH166" i="79"/>
  <c r="AG166" i="79"/>
  <c r="AF166" i="79"/>
  <c r="AW167" i="79"/>
  <c r="AU167" i="79"/>
  <c r="AV167" i="79"/>
  <c r="AB168" i="79"/>
  <c r="AC168" i="79"/>
  <c r="AD168" i="79"/>
  <c r="AH174" i="79"/>
  <c r="AG174" i="79"/>
  <c r="AF174" i="79"/>
  <c r="AU175" i="79"/>
  <c r="AV175" i="79"/>
  <c r="AW175" i="79"/>
  <c r="AF10" i="79"/>
  <c r="AG10" i="79"/>
  <c r="AH10" i="79"/>
  <c r="AU19" i="79"/>
  <c r="AV19" i="79"/>
  <c r="AW19" i="79"/>
  <c r="AC44" i="79"/>
  <c r="AB44" i="79"/>
  <c r="AD44" i="79"/>
  <c r="AV59" i="79"/>
  <c r="AW59" i="79"/>
  <c r="AU59" i="79"/>
  <c r="AF66" i="79"/>
  <c r="AG66" i="79"/>
  <c r="AH66" i="79"/>
  <c r="AP69" i="79"/>
  <c r="AQ69" i="79"/>
  <c r="AR69" i="79"/>
  <c r="AU75" i="79"/>
  <c r="AV75" i="79"/>
  <c r="AW75" i="79"/>
  <c r="AU83" i="79"/>
  <c r="AV83" i="79"/>
  <c r="AW83" i="79"/>
  <c r="AP85" i="79"/>
  <c r="AQ85" i="79"/>
  <c r="AR85" i="79"/>
  <c r="J376" i="30"/>
  <c r="J304" i="30"/>
  <c r="J340" i="30"/>
  <c r="AU115" i="79"/>
  <c r="AV115" i="79"/>
  <c r="AW115" i="79"/>
  <c r="AP125" i="79"/>
  <c r="AR125" i="79"/>
  <c r="AQ125" i="79"/>
  <c r="AF146" i="79"/>
  <c r="AG146" i="79"/>
  <c r="AH146" i="79"/>
  <c r="AF154" i="79"/>
  <c r="AG154" i="79"/>
  <c r="AH154" i="79"/>
  <c r="AP157" i="79"/>
  <c r="AQ157" i="79"/>
  <c r="AR157" i="79"/>
  <c r="AU163" i="79"/>
  <c r="AV163" i="79"/>
  <c r="AW163" i="79"/>
  <c r="J273" i="30"/>
  <c r="AU32" i="79"/>
  <c r="AV32" i="79"/>
  <c r="AW32" i="79"/>
  <c r="AB48" i="79"/>
  <c r="AC48" i="79"/>
  <c r="AD48" i="79"/>
  <c r="AU55" i="79"/>
  <c r="AV55" i="79"/>
  <c r="AW55" i="79"/>
  <c r="AG62" i="79"/>
  <c r="AF62" i="79"/>
  <c r="AH62" i="79"/>
  <c r="AU63" i="79"/>
  <c r="AV63" i="79"/>
  <c r="AW63" i="79"/>
  <c r="AR81" i="79"/>
  <c r="AQ81" i="79"/>
  <c r="AP81" i="79"/>
  <c r="AB96" i="79"/>
  <c r="AC96" i="79"/>
  <c r="AD96" i="79"/>
  <c r="J336" i="30"/>
  <c r="J300" i="30"/>
  <c r="J372" i="30"/>
  <c r="J260" i="30"/>
  <c r="J215" i="30"/>
  <c r="J170" i="30"/>
  <c r="AU119" i="79"/>
  <c r="AV119" i="79"/>
  <c r="AW119" i="79"/>
  <c r="AF3" i="79"/>
  <c r="AG3" i="79"/>
  <c r="AH3" i="79"/>
  <c r="AU4" i="79"/>
  <c r="AV4" i="79"/>
  <c r="AW4" i="79"/>
  <c r="AC5" i="79"/>
  <c r="AD5" i="79"/>
  <c r="AB5" i="79"/>
  <c r="AP6" i="79"/>
  <c r="AQ6" i="79"/>
  <c r="AR6" i="79"/>
  <c r="AP14" i="79"/>
  <c r="AQ14" i="79"/>
  <c r="AR14" i="79"/>
  <c r="AB29" i="79"/>
  <c r="AC29" i="79"/>
  <c r="AD29" i="79"/>
  <c r="AF35" i="79"/>
  <c r="AG35" i="79"/>
  <c r="AH35" i="79"/>
  <c r="AW36" i="79"/>
  <c r="AU36" i="79"/>
  <c r="AV36" i="79"/>
  <c r="AB37" i="79"/>
  <c r="AD37" i="79"/>
  <c r="AC37" i="79"/>
  <c r="AW44" i="79"/>
  <c r="AU44" i="79"/>
  <c r="AV44" i="79"/>
  <c r="AB45" i="79"/>
  <c r="AD45" i="79"/>
  <c r="AC45" i="79"/>
  <c r="AP46" i="79"/>
  <c r="AQ46" i="79"/>
  <c r="AR46" i="79"/>
  <c r="AF51" i="79"/>
  <c r="AG51" i="79"/>
  <c r="AH51" i="79"/>
  <c r="AU52" i="79"/>
  <c r="AV52" i="79"/>
  <c r="AW52" i="79"/>
  <c r="AP62" i="79"/>
  <c r="AQ62" i="79"/>
  <c r="AR62" i="79"/>
  <c r="AB93" i="79"/>
  <c r="AD93" i="79"/>
  <c r="AC93" i="79"/>
  <c r="J257" i="30"/>
  <c r="J167" i="30"/>
  <c r="J212" i="30"/>
  <c r="J377" i="30"/>
  <c r="J341" i="30"/>
  <c r="J305" i="30"/>
  <c r="J265" i="30"/>
  <c r="J175" i="30"/>
  <c r="J220" i="30"/>
  <c r="AH115" i="79"/>
  <c r="AF115" i="79"/>
  <c r="AG115" i="79"/>
  <c r="AV116" i="79"/>
  <c r="AU116" i="79"/>
  <c r="AW116" i="79"/>
  <c r="AB117" i="79"/>
  <c r="AC117" i="79"/>
  <c r="AD117" i="79"/>
  <c r="AG123" i="79"/>
  <c r="AF123" i="79"/>
  <c r="AH123" i="79"/>
  <c r="J287" i="30"/>
  <c r="J197" i="30"/>
  <c r="J226" i="30"/>
  <c r="J242" i="30"/>
  <c r="AP126" i="79"/>
  <c r="AQ126" i="79"/>
  <c r="AR126" i="79"/>
  <c r="AG131" i="79"/>
  <c r="AH131" i="79"/>
  <c r="AF131" i="79"/>
  <c r="AU132" i="79"/>
  <c r="AV132" i="79"/>
  <c r="AW132" i="79"/>
  <c r="AB133" i="79"/>
  <c r="AD133" i="79"/>
  <c r="AC133" i="79"/>
  <c r="AP134" i="79"/>
  <c r="AQ134" i="79"/>
  <c r="AR134" i="79"/>
  <c r="J114" i="30"/>
  <c r="K114" i="30"/>
  <c r="K157" i="30"/>
  <c r="K153" i="30"/>
  <c r="AF139" i="79"/>
  <c r="AG139" i="79"/>
  <c r="AH139" i="79"/>
  <c r="AW140" i="79"/>
  <c r="AV140" i="79"/>
  <c r="AU140" i="79"/>
  <c r="AC141" i="79"/>
  <c r="AD141" i="79"/>
  <c r="AB141" i="79"/>
  <c r="AF147" i="79"/>
  <c r="AG147" i="79"/>
  <c r="AH147" i="79"/>
  <c r="AW148" i="79"/>
  <c r="AV148" i="79"/>
  <c r="AU148" i="79"/>
  <c r="AC149" i="79"/>
  <c r="AD149" i="79"/>
  <c r="AB149" i="79"/>
  <c r="AF155" i="79"/>
  <c r="AG155" i="79"/>
  <c r="AH155" i="79"/>
  <c r="AV156" i="79"/>
  <c r="AW156" i="79"/>
  <c r="AU156" i="79"/>
  <c r="AB157" i="79"/>
  <c r="AC157" i="79"/>
  <c r="AD157" i="79"/>
  <c r="AP158" i="79"/>
  <c r="AQ158" i="79"/>
  <c r="AR158" i="79"/>
  <c r="AF163" i="79"/>
  <c r="AG163" i="79"/>
  <c r="AH163" i="79"/>
  <c r="AV164" i="79"/>
  <c r="AW164" i="79"/>
  <c r="AU164" i="79"/>
  <c r="AB165" i="79"/>
  <c r="AD165" i="79"/>
  <c r="AC165" i="79"/>
  <c r="AP166" i="79"/>
  <c r="AQ166" i="79"/>
  <c r="AR166" i="79"/>
  <c r="J98" i="30"/>
  <c r="J328" i="30"/>
  <c r="J364" i="30"/>
  <c r="J400" i="30"/>
  <c r="AB173" i="79"/>
  <c r="AD173" i="79"/>
  <c r="AC173" i="79"/>
  <c r="AP174" i="79"/>
  <c r="AQ174" i="79"/>
  <c r="AR174" i="79"/>
  <c r="BQ45" i="79"/>
  <c r="BQ41" i="79"/>
  <c r="BQ37" i="79"/>
  <c r="BQ33" i="79"/>
  <c r="BQ29" i="79"/>
  <c r="BQ25" i="79"/>
  <c r="BQ21" i="79"/>
  <c r="BQ17" i="79"/>
  <c r="BQ13" i="79"/>
  <c r="BQ9" i="79"/>
  <c r="BQ5" i="79"/>
  <c r="BQ64" i="79"/>
  <c r="BQ60" i="79"/>
  <c r="BQ56" i="79"/>
  <c r="BQ52" i="79"/>
  <c r="BQ174" i="79"/>
  <c r="BQ166" i="79"/>
  <c r="BQ162" i="79"/>
  <c r="BQ158" i="79"/>
  <c r="BQ154" i="79"/>
  <c r="BQ150" i="79"/>
  <c r="BQ146" i="79"/>
  <c r="BQ142" i="79"/>
  <c r="BQ133" i="79"/>
  <c r="BQ129" i="79"/>
  <c r="BQ125" i="79"/>
  <c r="BQ115" i="79"/>
  <c r="BQ111" i="79"/>
  <c r="BQ107" i="79"/>
  <c r="BQ103" i="79"/>
  <c r="BQ99" i="79"/>
  <c r="BQ95" i="79"/>
  <c r="BQ82" i="79"/>
  <c r="BQ78" i="79"/>
  <c r="BQ74" i="79"/>
  <c r="BQ70" i="79"/>
  <c r="AH2" i="79"/>
  <c r="AF2" i="79"/>
  <c r="AG2" i="79"/>
  <c r="AD4" i="79"/>
  <c r="AB4" i="79"/>
  <c r="AC4" i="79"/>
  <c r="AD12" i="79"/>
  <c r="AC12" i="79"/>
  <c r="AB12" i="79"/>
  <c r="AF34" i="79"/>
  <c r="AG34" i="79"/>
  <c r="AH34" i="79"/>
  <c r="AC36" i="79"/>
  <c r="AB36" i="79"/>
  <c r="AD36" i="79"/>
  <c r="AP37" i="79"/>
  <c r="AQ37" i="79"/>
  <c r="AR37" i="79"/>
  <c r="AF50" i="79"/>
  <c r="AG50" i="79"/>
  <c r="AH50" i="79"/>
  <c r="AB68" i="79"/>
  <c r="AC68" i="79"/>
  <c r="AD68" i="79"/>
  <c r="AP77" i="79"/>
  <c r="AQ77" i="79"/>
  <c r="AR77" i="79"/>
  <c r="AF82" i="79"/>
  <c r="AG82" i="79"/>
  <c r="AH82" i="79"/>
  <c r="AC84" i="79"/>
  <c r="AB84" i="79"/>
  <c r="AD84" i="79"/>
  <c r="AP93" i="79"/>
  <c r="AQ93" i="79"/>
  <c r="AR93" i="79"/>
  <c r="AB116" i="79"/>
  <c r="AC116" i="79"/>
  <c r="AD116" i="79"/>
  <c r="AW123" i="79"/>
  <c r="AU123" i="79"/>
  <c r="AV123" i="79"/>
  <c r="AF130" i="79"/>
  <c r="AG130" i="79"/>
  <c r="AH130" i="79"/>
  <c r="AC132" i="79"/>
  <c r="AB132" i="79"/>
  <c r="AD132" i="79"/>
  <c r="AP141" i="79"/>
  <c r="AQ141" i="79"/>
  <c r="AR141" i="79"/>
  <c r="AV147" i="79"/>
  <c r="AW147" i="79"/>
  <c r="AU147" i="79"/>
  <c r="AF162" i="79"/>
  <c r="AG162" i="79"/>
  <c r="AH162" i="79"/>
  <c r="J97" i="30"/>
  <c r="AG7" i="79"/>
  <c r="AH7" i="79"/>
  <c r="AF7" i="79"/>
  <c r="AB9" i="79"/>
  <c r="AC9" i="79"/>
  <c r="AD9" i="79"/>
  <c r="AW7" i="79"/>
  <c r="AV7" i="79"/>
  <c r="AU7" i="79"/>
  <c r="AB8" i="79"/>
  <c r="AC8" i="79"/>
  <c r="AD8" i="79"/>
  <c r="AF14" i="79"/>
  <c r="AG14" i="79"/>
  <c r="AH14" i="79"/>
  <c r="AP17" i="79"/>
  <c r="AQ17" i="79"/>
  <c r="AR17" i="79"/>
  <c r="AU23" i="79"/>
  <c r="AV23" i="79"/>
  <c r="AW23" i="79"/>
  <c r="AC24" i="79"/>
  <c r="AD24" i="79"/>
  <c r="AB24" i="79"/>
  <c r="AF30" i="79"/>
  <c r="AG30" i="79"/>
  <c r="AH30" i="79"/>
  <c r="AV39" i="79"/>
  <c r="AU39" i="79"/>
  <c r="AW39" i="79"/>
  <c r="AC40" i="79"/>
  <c r="AD40" i="79"/>
  <c r="AB40" i="79"/>
  <c r="AW47" i="79"/>
  <c r="AU47" i="79"/>
  <c r="AV47" i="79"/>
  <c r="AQ49" i="79"/>
  <c r="AR49" i="79"/>
  <c r="AP49" i="79"/>
  <c r="AG54" i="79"/>
  <c r="AH54" i="79"/>
  <c r="AF54" i="79"/>
  <c r="AB56" i="79"/>
  <c r="AC56" i="79"/>
  <c r="AD56" i="79"/>
  <c r="AQ57" i="79"/>
  <c r="AR57" i="79"/>
  <c r="AP57" i="79"/>
  <c r="AG70" i="79"/>
  <c r="AH70" i="79"/>
  <c r="AF70" i="79"/>
  <c r="AC72" i="79"/>
  <c r="AD72" i="79"/>
  <c r="AB72" i="79"/>
  <c r="AR73" i="79"/>
  <c r="AP73" i="79"/>
  <c r="AQ73" i="79"/>
  <c r="AB80" i="79"/>
  <c r="AC80" i="79"/>
  <c r="AD80" i="79"/>
  <c r="AH86" i="79"/>
  <c r="AF86" i="79"/>
  <c r="AG86" i="79"/>
  <c r="AB88" i="79"/>
  <c r="AC88" i="79"/>
  <c r="AD88" i="79"/>
  <c r="AR89" i="79"/>
  <c r="AP89" i="79"/>
  <c r="AQ89" i="79"/>
  <c r="AH94" i="79"/>
  <c r="AF94" i="79"/>
  <c r="AG94" i="79"/>
  <c r="J318" i="30"/>
  <c r="J390" i="30"/>
  <c r="J354" i="30"/>
  <c r="J238" i="30"/>
  <c r="J277" i="30"/>
  <c r="J251" i="30"/>
  <c r="J193" i="30"/>
  <c r="J206" i="30"/>
  <c r="J161" i="30"/>
  <c r="AF126" i="79"/>
  <c r="AH126" i="79"/>
  <c r="AG126" i="79"/>
  <c r="AU127" i="79"/>
  <c r="AV127" i="79"/>
  <c r="AW127" i="79"/>
  <c r="AC128" i="79"/>
  <c r="AD128" i="79"/>
  <c r="AB128" i="79"/>
  <c r="AF11" i="79"/>
  <c r="AG11" i="79"/>
  <c r="AH11" i="79"/>
  <c r="AU12" i="79"/>
  <c r="AV12" i="79"/>
  <c r="AW12" i="79"/>
  <c r="AB13" i="79"/>
  <c r="AD13" i="79"/>
  <c r="AC13" i="79"/>
  <c r="AF19" i="79"/>
  <c r="AG19" i="79"/>
  <c r="AH19" i="79"/>
  <c r="AU20" i="79"/>
  <c r="AV20" i="79"/>
  <c r="AW20" i="79"/>
  <c r="J234" i="30"/>
  <c r="J189" i="30"/>
  <c r="AF27" i="79"/>
  <c r="AG27" i="79"/>
  <c r="AH27" i="79"/>
  <c r="AW28" i="79"/>
  <c r="AU28" i="79"/>
  <c r="AV28" i="79"/>
  <c r="AP30" i="79"/>
  <c r="AQ30" i="79"/>
  <c r="AR30" i="79"/>
  <c r="AP38" i="79"/>
  <c r="AQ38" i="79"/>
  <c r="AR38" i="79"/>
  <c r="AF43" i="79"/>
  <c r="AG43" i="79"/>
  <c r="AH43" i="79"/>
  <c r="AB53" i="79"/>
  <c r="AC53" i="79"/>
  <c r="AD53" i="79"/>
  <c r="AP54" i="79"/>
  <c r="AQ54" i="79"/>
  <c r="AR54" i="79"/>
  <c r="AF59" i="79"/>
  <c r="AG59" i="79"/>
  <c r="AH59" i="79"/>
  <c r="AW60" i="79"/>
  <c r="AU60" i="79"/>
  <c r="AV60" i="79"/>
  <c r="AB61" i="79"/>
  <c r="AC61" i="79"/>
  <c r="AD61" i="79"/>
  <c r="AF67" i="79"/>
  <c r="AG67" i="79"/>
  <c r="AH67" i="79"/>
  <c r="AW68" i="79"/>
  <c r="AU68" i="79"/>
  <c r="AV68" i="79"/>
  <c r="AB69" i="79"/>
  <c r="AC69" i="79"/>
  <c r="AD69" i="79"/>
  <c r="AF75" i="79"/>
  <c r="AG75" i="79"/>
  <c r="AH75" i="79"/>
  <c r="AV76" i="79"/>
  <c r="AW76" i="79"/>
  <c r="AU76" i="79"/>
  <c r="AB77" i="79"/>
  <c r="AD77" i="79"/>
  <c r="AC77" i="79"/>
  <c r="AP78" i="79"/>
  <c r="AQ78" i="79"/>
  <c r="AR78" i="79"/>
  <c r="AF83" i="79"/>
  <c r="AG83" i="79"/>
  <c r="AH83" i="79"/>
  <c r="AV84" i="79"/>
  <c r="AW84" i="79"/>
  <c r="AU84" i="79"/>
  <c r="AF91" i="79"/>
  <c r="AG91" i="79"/>
  <c r="AH91" i="79"/>
  <c r="AP94" i="79"/>
  <c r="AQ94" i="79"/>
  <c r="AR94" i="79"/>
  <c r="J369" i="30"/>
  <c r="J297" i="30"/>
  <c r="J333" i="30"/>
  <c r="AD2" i="79"/>
  <c r="AB2" i="79"/>
  <c r="AC2" i="79"/>
  <c r="AR3" i="79"/>
  <c r="AQ3" i="79"/>
  <c r="AP3" i="79"/>
  <c r="AH8" i="79"/>
  <c r="AF8" i="79"/>
  <c r="AG8" i="79"/>
  <c r="AU9" i="79"/>
  <c r="AV9" i="79"/>
  <c r="AW9" i="79"/>
  <c r="AB10" i="79"/>
  <c r="AC10" i="79"/>
  <c r="AD10" i="79"/>
  <c r="AR11" i="79"/>
  <c r="AP11" i="79"/>
  <c r="AQ11" i="79"/>
  <c r="AH16" i="79"/>
  <c r="AG16" i="79"/>
  <c r="AF16" i="79"/>
  <c r="AU17" i="79"/>
  <c r="AW17" i="79"/>
  <c r="AV17" i="79"/>
  <c r="J274" i="30"/>
  <c r="AR19" i="79"/>
  <c r="AP19" i="79"/>
  <c r="AQ19" i="79"/>
  <c r="AF24" i="79"/>
  <c r="AG24" i="79"/>
  <c r="AH24" i="79"/>
  <c r="AU25" i="79"/>
  <c r="AV25" i="79"/>
  <c r="AW25" i="79"/>
  <c r="AB26" i="79"/>
  <c r="AD26" i="79"/>
  <c r="AC26" i="79"/>
  <c r="AP27" i="79"/>
  <c r="AQ27" i="79"/>
  <c r="AR27" i="79"/>
  <c r="AF32" i="79"/>
  <c r="AG32" i="79"/>
  <c r="AH32" i="79"/>
  <c r="AU33" i="79"/>
  <c r="AV33" i="79"/>
  <c r="AW33" i="79"/>
  <c r="AB34" i="79"/>
  <c r="AC34" i="79"/>
  <c r="AD34" i="79"/>
  <c r="AQ35" i="79"/>
  <c r="AP35" i="79"/>
  <c r="AR35" i="79"/>
  <c r="AG40" i="79"/>
  <c r="AF40" i="79"/>
  <c r="AH40" i="79"/>
  <c r="AU41" i="79"/>
  <c r="AV41" i="79"/>
  <c r="AW41" i="79"/>
  <c r="AC42" i="79"/>
  <c r="AD42" i="79"/>
  <c r="AB42" i="79"/>
  <c r="AQ43" i="79"/>
  <c r="AP43" i="79"/>
  <c r="AR43" i="79"/>
  <c r="AF48" i="79"/>
  <c r="AG48" i="79"/>
  <c r="AH48" i="79"/>
  <c r="AU49" i="79"/>
  <c r="AV49" i="79"/>
  <c r="AW49" i="79"/>
  <c r="AC50" i="79"/>
  <c r="AD50" i="79"/>
  <c r="AB50" i="79"/>
  <c r="AP51" i="79"/>
  <c r="AR51" i="79"/>
  <c r="AQ51" i="79"/>
  <c r="AF56" i="79"/>
  <c r="AG56" i="79"/>
  <c r="AH56" i="79"/>
  <c r="AU57" i="79"/>
  <c r="AW57" i="79"/>
  <c r="AV57" i="79"/>
  <c r="J235" i="30"/>
  <c r="J190" i="30"/>
  <c r="AP59" i="79"/>
  <c r="AQ59" i="79"/>
  <c r="AR59" i="79"/>
  <c r="J350" i="30"/>
  <c r="J352" i="30"/>
  <c r="J388" i="30"/>
  <c r="J386" i="30"/>
  <c r="J316" i="30"/>
  <c r="AU65" i="79"/>
  <c r="AV65" i="79"/>
  <c r="AW65" i="79"/>
  <c r="AC66" i="79"/>
  <c r="AD66" i="79"/>
  <c r="AB66" i="79"/>
  <c r="AQ67" i="79"/>
  <c r="AP67" i="79"/>
  <c r="AR67" i="79"/>
  <c r="AF72" i="79"/>
  <c r="AG72" i="79"/>
  <c r="AH72" i="79"/>
  <c r="AD74" i="79"/>
  <c r="AB74" i="79"/>
  <c r="AC74" i="79"/>
  <c r="AQ75" i="79"/>
  <c r="AP75" i="79"/>
  <c r="AR75" i="79"/>
  <c r="AG80" i="79"/>
  <c r="AH80" i="79"/>
  <c r="AF80" i="79"/>
  <c r="AU81" i="79"/>
  <c r="AV81" i="79"/>
  <c r="AW81" i="79"/>
  <c r="AD82" i="79"/>
  <c r="AB82" i="79"/>
  <c r="AC82" i="79"/>
  <c r="AQ83" i="79"/>
  <c r="AR83" i="79"/>
  <c r="AP83" i="79"/>
  <c r="J117" i="30"/>
  <c r="J74" i="30"/>
  <c r="J125" i="30"/>
  <c r="J78" i="30"/>
  <c r="J121" i="30"/>
  <c r="J82" i="30"/>
  <c r="J94" i="30"/>
  <c r="AG88" i="79"/>
  <c r="AF88" i="79"/>
  <c r="AH88" i="79"/>
  <c r="AU89" i="79"/>
  <c r="AV89" i="79"/>
  <c r="AW89" i="79"/>
  <c r="AD90" i="79"/>
  <c r="AC90" i="79"/>
  <c r="AB90" i="79"/>
  <c r="AQ91" i="79"/>
  <c r="AP91" i="79"/>
  <c r="AR91" i="79"/>
  <c r="AG96" i="79"/>
  <c r="AF96" i="79"/>
  <c r="AH96" i="79"/>
  <c r="J254" i="30"/>
  <c r="J164" i="30"/>
  <c r="J209" i="30"/>
  <c r="J302" i="30"/>
  <c r="J338" i="30"/>
  <c r="J374" i="30"/>
  <c r="J262" i="30"/>
  <c r="J172" i="30"/>
  <c r="J217" i="30"/>
  <c r="J346" i="30"/>
  <c r="J310" i="30"/>
  <c r="J382" i="30"/>
  <c r="AV113" i="79"/>
  <c r="AW113" i="79"/>
  <c r="AU113" i="79"/>
  <c r="AD114" i="79"/>
  <c r="AC114" i="79"/>
  <c r="AB114" i="79"/>
  <c r="AP115" i="79"/>
  <c r="AQ115" i="79"/>
  <c r="AR115" i="79"/>
  <c r="J391" i="30"/>
  <c r="J319" i="30"/>
  <c r="J355" i="30"/>
  <c r="AD122" i="79"/>
  <c r="AB122" i="79"/>
  <c r="AC122" i="79"/>
  <c r="AQ123" i="79"/>
  <c r="AR123" i="79"/>
  <c r="AP123" i="79"/>
  <c r="AF128" i="79"/>
  <c r="AH128" i="79"/>
  <c r="AG128" i="79"/>
  <c r="AB130" i="79"/>
  <c r="AD130" i="79"/>
  <c r="AC130" i="79"/>
  <c r="AF136" i="79"/>
  <c r="AG136" i="79"/>
  <c r="AH136" i="79"/>
  <c r="AU137" i="79"/>
  <c r="AW137" i="79"/>
  <c r="AV137" i="79"/>
  <c r="AD138" i="79"/>
  <c r="AB138" i="79"/>
  <c r="AC138" i="79"/>
  <c r="AR139" i="79"/>
  <c r="AP139" i="79"/>
  <c r="AQ139" i="79"/>
  <c r="AF144" i="79"/>
  <c r="AH144" i="79"/>
  <c r="AG144" i="79"/>
  <c r="AU145" i="79"/>
  <c r="AV145" i="79"/>
  <c r="AW145" i="79"/>
  <c r="AD146" i="79"/>
  <c r="AC146" i="79"/>
  <c r="AB146" i="79"/>
  <c r="AG152" i="79"/>
  <c r="AH152" i="79"/>
  <c r="AF152" i="79"/>
  <c r="AU153" i="79"/>
  <c r="AV153" i="79"/>
  <c r="AW153" i="79"/>
  <c r="AD154" i="79"/>
  <c r="AC154" i="79"/>
  <c r="AB154" i="79"/>
  <c r="AQ155" i="79"/>
  <c r="AR155" i="79"/>
  <c r="AP155" i="79"/>
  <c r="AH160" i="79"/>
  <c r="AF160" i="79"/>
  <c r="AG160" i="79"/>
  <c r="AU161" i="79"/>
  <c r="AV161" i="79"/>
  <c r="AW161" i="79"/>
  <c r="AD162" i="79"/>
  <c r="AC162" i="79"/>
  <c r="AB162" i="79"/>
  <c r="AR163" i="79"/>
  <c r="AP163" i="79"/>
  <c r="AQ163" i="79"/>
  <c r="AG168" i="79"/>
  <c r="AH168" i="79"/>
  <c r="AF168" i="79"/>
  <c r="J291" i="30"/>
  <c r="J246" i="30"/>
  <c r="J201" i="30"/>
  <c r="H64" i="77"/>
  <c r="I85" i="30" l="1"/>
  <c r="K85" i="30" s="1"/>
  <c r="L85" i="30" s="1"/>
  <c r="I143" i="30"/>
  <c r="K143" i="30" s="1"/>
  <c r="L143" i="30" s="1"/>
  <c r="I147" i="30"/>
  <c r="I142" i="30"/>
  <c r="K142" i="30" s="1"/>
  <c r="L142" i="30" s="1"/>
  <c r="I124" i="30"/>
  <c r="I140" i="30"/>
  <c r="K140" i="30" s="1"/>
  <c r="L140" i="30" s="1"/>
  <c r="I137" i="30"/>
  <c r="I129" i="30"/>
  <c r="K129" i="30" s="1"/>
  <c r="L129" i="30" s="1"/>
  <c r="I139" i="30"/>
  <c r="K139" i="30" s="1"/>
  <c r="L139" i="30" s="1"/>
  <c r="I148" i="30"/>
  <c r="I99" i="30"/>
  <c r="K99" i="30" s="1"/>
  <c r="L99" i="30" s="1"/>
  <c r="I75" i="30"/>
  <c r="I78" i="30"/>
  <c r="I118" i="30"/>
  <c r="I133" i="30"/>
  <c r="I83" i="30"/>
  <c r="I89" i="30"/>
  <c r="I203" i="86"/>
  <c r="I324" i="86"/>
  <c r="I200" i="86"/>
  <c r="I201" i="86"/>
  <c r="I321" i="86"/>
  <c r="I202" i="86"/>
  <c r="I323" i="86"/>
  <c r="I322" i="86"/>
  <c r="K46" i="86"/>
  <c r="H50" i="86"/>
  <c r="I46" i="86" s="1"/>
  <c r="N46" i="86"/>
  <c r="N90" i="86"/>
  <c r="K90" i="86"/>
  <c r="H94" i="86"/>
  <c r="I90" i="86" s="1"/>
  <c r="N277" i="86"/>
  <c r="K277" i="86"/>
  <c r="H281" i="86"/>
  <c r="N200" i="86"/>
  <c r="K200" i="86"/>
  <c r="K101" i="86"/>
  <c r="N101" i="86"/>
  <c r="H105" i="86"/>
  <c r="N79" i="86"/>
  <c r="H83" i="86"/>
  <c r="K79" i="86"/>
  <c r="N323" i="86"/>
  <c r="K323" i="86"/>
  <c r="I146" i="30"/>
  <c r="K146" i="30" s="1"/>
  <c r="L146" i="30" s="1"/>
  <c r="I131" i="30"/>
  <c r="I91" i="30"/>
  <c r="I136" i="30"/>
  <c r="I130" i="30"/>
  <c r="K130" i="30" s="1"/>
  <c r="L130" i="30" s="1"/>
  <c r="I93" i="30"/>
  <c r="I92" i="30"/>
  <c r="I141" i="30"/>
  <c r="K141" i="30" s="1"/>
  <c r="L141" i="30" s="1"/>
  <c r="I77" i="30"/>
  <c r="I79" i="30"/>
  <c r="I127" i="30"/>
  <c r="I145" i="30"/>
  <c r="K145" i="30" s="1"/>
  <c r="L145" i="30" s="1"/>
  <c r="I81" i="30"/>
  <c r="I101" i="30"/>
  <c r="I87" i="30"/>
  <c r="K87" i="30" s="1"/>
  <c r="L87" i="30" s="1"/>
  <c r="I74" i="30"/>
  <c r="I96" i="30"/>
  <c r="K96" i="30" s="1"/>
  <c r="L96" i="30" s="1"/>
  <c r="I102" i="30"/>
  <c r="K102" i="30" s="1"/>
  <c r="L102" i="30" s="1"/>
  <c r="I121" i="30"/>
  <c r="I98" i="30"/>
  <c r="K98" i="30" s="1"/>
  <c r="L98" i="30" s="1"/>
  <c r="I125" i="30"/>
  <c r="I76" i="30"/>
  <c r="I88" i="30"/>
  <c r="I123" i="30"/>
  <c r="I126" i="30"/>
  <c r="I128" i="30"/>
  <c r="K128" i="30" s="1"/>
  <c r="L128" i="30" s="1"/>
  <c r="I86" i="30"/>
  <c r="K86" i="30" s="1"/>
  <c r="L86" i="30" s="1"/>
  <c r="I132" i="30"/>
  <c r="N116" i="30"/>
  <c r="I95" i="30"/>
  <c r="I119" i="30"/>
  <c r="I117" i="30"/>
  <c r="I80" i="30"/>
  <c r="I84" i="30"/>
  <c r="I144" i="30"/>
  <c r="I82" i="30"/>
  <c r="I90" i="30"/>
  <c r="I138" i="30"/>
  <c r="N159" i="30"/>
  <c r="I100" i="30"/>
  <c r="K100" i="30" s="1"/>
  <c r="L100" i="30" s="1"/>
  <c r="I103" i="30"/>
  <c r="K103" i="30" s="1"/>
  <c r="L103" i="30" s="1"/>
  <c r="I134" i="30"/>
  <c r="I122" i="30"/>
  <c r="I120" i="30"/>
  <c r="I94" i="30"/>
  <c r="I97" i="30"/>
  <c r="K97" i="30" s="1"/>
  <c r="L97" i="30" s="1"/>
  <c r="J159" i="30"/>
  <c r="J116" i="30"/>
  <c r="L642" i="30"/>
  <c r="L542" i="30"/>
  <c r="J456" i="30"/>
  <c r="J610" i="30"/>
  <c r="L640" i="30"/>
  <c r="L537" i="30"/>
  <c r="L531" i="30"/>
  <c r="J656" i="30"/>
  <c r="L539" i="30"/>
  <c r="L530" i="30"/>
  <c r="L543" i="30"/>
  <c r="L534" i="30"/>
  <c r="L639" i="30"/>
  <c r="J702" i="30"/>
  <c r="L638" i="30"/>
  <c r="L641" i="30"/>
  <c r="L538" i="30"/>
  <c r="L536" i="30"/>
  <c r="L532" i="30"/>
  <c r="J510" i="30"/>
  <c r="L541" i="30"/>
  <c r="L540" i="30"/>
  <c r="L535" i="30"/>
  <c r="L533" i="30"/>
  <c r="J564" i="30"/>
  <c r="J330" i="30"/>
  <c r="J402" i="30"/>
  <c r="J366" i="30"/>
  <c r="L158" i="30"/>
  <c r="L154" i="30"/>
  <c r="L155" i="30"/>
  <c r="L151" i="30"/>
  <c r="L153" i="30"/>
  <c r="L150" i="30"/>
  <c r="L157" i="30"/>
  <c r="J204" i="30"/>
  <c r="J294" i="30"/>
  <c r="J249" i="30"/>
  <c r="L114" i="30"/>
  <c r="K136" i="30" l="1"/>
  <c r="L136" i="30" s="1"/>
  <c r="K124" i="30"/>
  <c r="L124" i="30" s="1"/>
  <c r="K83" i="30"/>
  <c r="L83" i="30" s="1"/>
  <c r="K325" i="86"/>
  <c r="N325" i="86"/>
  <c r="O323" i="86" s="1"/>
  <c r="I280" i="86"/>
  <c r="AS172" i="79" s="1"/>
  <c r="I278" i="86"/>
  <c r="AS170" i="79" s="1"/>
  <c r="I279" i="86"/>
  <c r="AS171" i="79" s="1"/>
  <c r="I82" i="86"/>
  <c r="CC172" i="79" s="1"/>
  <c r="I81" i="86"/>
  <c r="CC171" i="79" s="1"/>
  <c r="I80" i="86"/>
  <c r="CC170" i="79" s="1"/>
  <c r="I91" i="86"/>
  <c r="CD170" i="79" s="1"/>
  <c r="I93" i="86"/>
  <c r="CD172" i="79" s="1"/>
  <c r="I92" i="86"/>
  <c r="CD171" i="79" s="1"/>
  <c r="I79" i="86"/>
  <c r="CC169" i="79" s="1"/>
  <c r="I104" i="86"/>
  <c r="CE172" i="79" s="1"/>
  <c r="I102" i="86"/>
  <c r="CE170" i="79" s="1"/>
  <c r="I103" i="86"/>
  <c r="CE171" i="79" s="1"/>
  <c r="I101" i="86"/>
  <c r="K105" i="86"/>
  <c r="L101" i="86" s="1"/>
  <c r="I277" i="86"/>
  <c r="AS169" i="79" s="1"/>
  <c r="AX171" i="79"/>
  <c r="AE169" i="79"/>
  <c r="K204" i="86"/>
  <c r="N94" i="86"/>
  <c r="N204" i="86"/>
  <c r="O200" i="86" s="1"/>
  <c r="K94" i="86"/>
  <c r="L90" i="86" s="1"/>
  <c r="CD169" i="79"/>
  <c r="I47" i="86"/>
  <c r="BZ170" i="79" s="1"/>
  <c r="AX172" i="79"/>
  <c r="AE170" i="79"/>
  <c r="AE171" i="79"/>
  <c r="AX170" i="79"/>
  <c r="I48" i="86"/>
  <c r="BZ171" i="79" s="1"/>
  <c r="AE172" i="79"/>
  <c r="I49" i="86"/>
  <c r="BZ172" i="79" s="1"/>
  <c r="N281" i="86"/>
  <c r="O277" i="86" s="1"/>
  <c r="BZ169" i="79"/>
  <c r="K83" i="86"/>
  <c r="L79" i="86" s="1"/>
  <c r="N105" i="86"/>
  <c r="N50" i="86"/>
  <c r="N83" i="86"/>
  <c r="K281" i="86"/>
  <c r="L277" i="86" s="1"/>
  <c r="K50" i="86"/>
  <c r="K133" i="30"/>
  <c r="L133" i="30" s="1"/>
  <c r="K92" i="30"/>
  <c r="L92" i="30" s="1"/>
  <c r="K89" i="30"/>
  <c r="L89" i="30" s="1"/>
  <c r="K131" i="30"/>
  <c r="L131" i="30" s="1"/>
  <c r="K75" i="30"/>
  <c r="L75" i="30" s="1"/>
  <c r="K79" i="30"/>
  <c r="L79" i="30" s="1"/>
  <c r="K77" i="30"/>
  <c r="L77" i="30" s="1"/>
  <c r="K118" i="30"/>
  <c r="L118" i="30" s="1"/>
  <c r="K122" i="30"/>
  <c r="L122" i="30" s="1"/>
  <c r="K132" i="30"/>
  <c r="L132" i="30" s="1"/>
  <c r="K135" i="30"/>
  <c r="L135" i="30" s="1"/>
  <c r="K81" i="30"/>
  <c r="L81" i="30" s="1"/>
  <c r="K88" i="30"/>
  <c r="L88" i="30" s="1"/>
  <c r="K90" i="30"/>
  <c r="L90" i="30" s="1"/>
  <c r="K93" i="30"/>
  <c r="L93" i="30" s="1"/>
  <c r="K104" i="30"/>
  <c r="L104" i="30" s="1"/>
  <c r="K101" i="30"/>
  <c r="L101" i="30" s="1"/>
  <c r="K80" i="30"/>
  <c r="L80" i="30" s="1"/>
  <c r="K95" i="30"/>
  <c r="L95" i="30" s="1"/>
  <c r="K76" i="30"/>
  <c r="L76" i="30" s="1"/>
  <c r="K105" i="30"/>
  <c r="L105" i="30" s="1"/>
  <c r="K84" i="30"/>
  <c r="L84" i="30" s="1"/>
  <c r="K91" i="30"/>
  <c r="L91" i="30" s="1"/>
  <c r="K120" i="30"/>
  <c r="L120" i="30" s="1"/>
  <c r="K126" i="30"/>
  <c r="L126" i="30" s="1"/>
  <c r="K78" i="30"/>
  <c r="L78" i="30" s="1"/>
  <c r="K82" i="30"/>
  <c r="L82" i="30" s="1"/>
  <c r="K94" i="30"/>
  <c r="L94" i="30" s="1"/>
  <c r="K74" i="30"/>
  <c r="K119" i="30"/>
  <c r="L119" i="30" s="1"/>
  <c r="K123" i="30"/>
  <c r="L123" i="30" s="1"/>
  <c r="K134" i="30"/>
  <c r="L134" i="30" s="1"/>
  <c r="K144" i="30"/>
  <c r="L144" i="30" s="1"/>
  <c r="K148" i="30"/>
  <c r="L148" i="30" s="1"/>
  <c r="K147" i="30"/>
  <c r="L147" i="30" s="1"/>
  <c r="K127" i="30"/>
  <c r="L127" i="30" s="1"/>
  <c r="K138" i="30"/>
  <c r="L138" i="30" s="1"/>
  <c r="K125" i="30"/>
  <c r="L125" i="30" s="1"/>
  <c r="K137" i="30"/>
  <c r="L137" i="30" s="1"/>
  <c r="K121" i="30"/>
  <c r="L121" i="30" s="1"/>
  <c r="K117" i="30"/>
  <c r="E72" i="51"/>
  <c r="F72" i="51"/>
  <c r="G72" i="51"/>
  <c r="H72" i="51"/>
  <c r="I72" i="51"/>
  <c r="J72" i="51"/>
  <c r="K72" i="51"/>
  <c r="O81" i="86" l="1"/>
  <c r="CC171" i="92" s="1"/>
  <c r="O82" i="86"/>
  <c r="CC172" i="92" s="1"/>
  <c r="O80" i="86"/>
  <c r="CC170" i="92" s="1"/>
  <c r="O91" i="86"/>
  <c r="CD170" i="92" s="1"/>
  <c r="O92" i="86"/>
  <c r="CD171" i="92" s="1"/>
  <c r="O93" i="86"/>
  <c r="CD172" i="92" s="1"/>
  <c r="L324" i="86"/>
  <c r="AX172" i="91" s="1"/>
  <c r="L321" i="86"/>
  <c r="L322" i="86"/>
  <c r="AX170" i="91" s="1"/>
  <c r="L203" i="86"/>
  <c r="AE172" i="91" s="1"/>
  <c r="L202" i="86"/>
  <c r="AE171" i="91" s="1"/>
  <c r="L201" i="86"/>
  <c r="AE170" i="91" s="1"/>
  <c r="O102" i="86"/>
  <c r="CE170" i="92" s="1"/>
  <c r="O104" i="86"/>
  <c r="CE172" i="92" s="1"/>
  <c r="O103" i="86"/>
  <c r="CE171" i="92" s="1"/>
  <c r="O90" i="86"/>
  <c r="CD169" i="92" s="1"/>
  <c r="O101" i="86"/>
  <c r="CE169" i="92" s="1"/>
  <c r="L200" i="86"/>
  <c r="O79" i="86"/>
  <c r="CC169" i="92" s="1"/>
  <c r="L81" i="86"/>
  <c r="CC171" i="91" s="1"/>
  <c r="L80" i="86"/>
  <c r="CC170" i="91" s="1"/>
  <c r="L82" i="86"/>
  <c r="CC172" i="91" s="1"/>
  <c r="L93" i="86"/>
  <c r="CD172" i="91" s="1"/>
  <c r="L91" i="86"/>
  <c r="CD170" i="91" s="1"/>
  <c r="L92" i="86"/>
  <c r="CD171" i="91" s="1"/>
  <c r="O322" i="86"/>
  <c r="AX170" i="92" s="1"/>
  <c r="O324" i="86"/>
  <c r="AX172" i="92" s="1"/>
  <c r="O321" i="86"/>
  <c r="L278" i="86"/>
  <c r="AS170" i="91" s="1"/>
  <c r="L279" i="86"/>
  <c r="AS171" i="91" s="1"/>
  <c r="L280" i="86"/>
  <c r="AS172" i="91" s="1"/>
  <c r="O280" i="86"/>
  <c r="AS172" i="92" s="1"/>
  <c r="O279" i="86"/>
  <c r="AS171" i="92" s="1"/>
  <c r="O278" i="86"/>
  <c r="AS170" i="92" s="1"/>
  <c r="O202" i="86"/>
  <c r="AE171" i="92" s="1"/>
  <c r="O203" i="86"/>
  <c r="AE172" i="92" s="1"/>
  <c r="O201" i="86"/>
  <c r="AE170" i="92" s="1"/>
  <c r="L102" i="86"/>
  <c r="CE170" i="91" s="1"/>
  <c r="L104" i="86"/>
  <c r="CE172" i="91" s="1"/>
  <c r="L103" i="86"/>
  <c r="CE171" i="91" s="1"/>
  <c r="L323" i="86"/>
  <c r="AX171" i="91" s="1"/>
  <c r="L46" i="86"/>
  <c r="BZ169" i="91" s="1"/>
  <c r="O46" i="86"/>
  <c r="BZ169" i="92" s="1"/>
  <c r="I83" i="86"/>
  <c r="I281" i="86"/>
  <c r="AS169" i="92"/>
  <c r="AX171" i="92"/>
  <c r="I204" i="86"/>
  <c r="I105" i="86"/>
  <c r="L47" i="86"/>
  <c r="BZ170" i="91" s="1"/>
  <c r="L48" i="86"/>
  <c r="BZ171" i="91" s="1"/>
  <c r="L49" i="86"/>
  <c r="BZ172" i="91" s="1"/>
  <c r="I94" i="86"/>
  <c r="AE169" i="92"/>
  <c r="CC169" i="91"/>
  <c r="AX169" i="79"/>
  <c r="I325" i="86"/>
  <c r="O49" i="86"/>
  <c r="BZ172" i="92" s="1"/>
  <c r="O47" i="86"/>
  <c r="BZ170" i="92" s="1"/>
  <c r="O48" i="86"/>
  <c r="BZ171" i="92" s="1"/>
  <c r="I50" i="86"/>
  <c r="D72" i="49"/>
  <c r="D72" i="51"/>
  <c r="AI26" i="102"/>
  <c r="AI26" i="101"/>
  <c r="AB31" i="101"/>
  <c r="AB31" i="102"/>
  <c r="AI30" i="102"/>
  <c r="AI30" i="101"/>
  <c r="AI19" i="102"/>
  <c r="AI19" i="101"/>
  <c r="AH20" i="101"/>
  <c r="AH20" i="102"/>
  <c r="AH21" i="102"/>
  <c r="AH21" i="101"/>
  <c r="AH22" i="101"/>
  <c r="AH22" i="102"/>
  <c r="AH25" i="102"/>
  <c r="AH25" i="101"/>
  <c r="AH26" i="102"/>
  <c r="AH26" i="101"/>
  <c r="AI31" i="101"/>
  <c r="AI31" i="102"/>
  <c r="AH30" i="101"/>
  <c r="AH30" i="102"/>
  <c r="AH19" i="102"/>
  <c r="AH19" i="101"/>
  <c r="AG21" i="102"/>
  <c r="AG21" i="101"/>
  <c r="AG22" i="101"/>
  <c r="AG22" i="102"/>
  <c r="AG25" i="101"/>
  <c r="AG25" i="102"/>
  <c r="AG26" i="102"/>
  <c r="AG26" i="101"/>
  <c r="AH31" i="101"/>
  <c r="AH31" i="102"/>
  <c r="AG30" i="101"/>
  <c r="AG30" i="102"/>
  <c r="AI25" i="101"/>
  <c r="AI25" i="102"/>
  <c r="AF19" i="101"/>
  <c r="AF19" i="102"/>
  <c r="AF20" i="101"/>
  <c r="AF20" i="102"/>
  <c r="AF21" i="102"/>
  <c r="AF21" i="101"/>
  <c r="AF22" i="102"/>
  <c r="AF22" i="101"/>
  <c r="AF25" i="101"/>
  <c r="AF25" i="102"/>
  <c r="AF26" i="102"/>
  <c r="AF26" i="101"/>
  <c r="AG31" i="101"/>
  <c r="AG31" i="102"/>
  <c r="AF30" i="102"/>
  <c r="AF30" i="101"/>
  <c r="AE19" i="101"/>
  <c r="AE19" i="102"/>
  <c r="AE20" i="102"/>
  <c r="AE20" i="101"/>
  <c r="AE21" i="101"/>
  <c r="AE21" i="102"/>
  <c r="AE22" i="101"/>
  <c r="AE22" i="102"/>
  <c r="AE25" i="102"/>
  <c r="AE25" i="101"/>
  <c r="AE26" i="101"/>
  <c r="AE26" i="102"/>
  <c r="AF31" i="102"/>
  <c r="AF31" i="101"/>
  <c r="AE30" i="102"/>
  <c r="AE30" i="101"/>
  <c r="AI20" i="101"/>
  <c r="AI20" i="102"/>
  <c r="AD19" i="101"/>
  <c r="AD19" i="102"/>
  <c r="AD20" i="102"/>
  <c r="AD20" i="101"/>
  <c r="AD21" i="101"/>
  <c r="AD21" i="102"/>
  <c r="AD22" i="102"/>
  <c r="AD22" i="101"/>
  <c r="AD25" i="102"/>
  <c r="AD25" i="101"/>
  <c r="AD26" i="102"/>
  <c r="AD26" i="101"/>
  <c r="AE31" i="102"/>
  <c r="AE31" i="101"/>
  <c r="AD30" i="102"/>
  <c r="AD30" i="101"/>
  <c r="AI22" i="101"/>
  <c r="AI22" i="102"/>
  <c r="AG20" i="101"/>
  <c r="AG20" i="102"/>
  <c r="AC19" i="102"/>
  <c r="AC19" i="101"/>
  <c r="AC20" i="102"/>
  <c r="AC20" i="101"/>
  <c r="AC21" i="101"/>
  <c r="AC21" i="102"/>
  <c r="AC22" i="102"/>
  <c r="AC22" i="101"/>
  <c r="AC25" i="102"/>
  <c r="AC25" i="101"/>
  <c r="AC26" i="102"/>
  <c r="AC26" i="101"/>
  <c r="AD31" i="102"/>
  <c r="AD31" i="101"/>
  <c r="AC30" i="102"/>
  <c r="AC30" i="101"/>
  <c r="AI21" i="102"/>
  <c r="AI21" i="101"/>
  <c r="AG19" i="101"/>
  <c r="AG19" i="102"/>
  <c r="AO19" i="102" s="1"/>
  <c r="AB19" i="102"/>
  <c r="AB19" i="101"/>
  <c r="AB20" i="102"/>
  <c r="AB20" i="101"/>
  <c r="AB21" i="101"/>
  <c r="AB21" i="102"/>
  <c r="AB22" i="101"/>
  <c r="AB22" i="102"/>
  <c r="AB25" i="102"/>
  <c r="AB25" i="101"/>
  <c r="AB26" i="101"/>
  <c r="AB26" i="102"/>
  <c r="AB30" i="101"/>
  <c r="AB30" i="102"/>
  <c r="AC31" i="102"/>
  <c r="AC31" i="101"/>
  <c r="AB22" i="95"/>
  <c r="AC31" i="95"/>
  <c r="AI19" i="95"/>
  <c r="AB31" i="95"/>
  <c r="K68" i="49"/>
  <c r="S68" i="49" s="1"/>
  <c r="AH20" i="95"/>
  <c r="AH22" i="95"/>
  <c r="AH25" i="95"/>
  <c r="AI31" i="95"/>
  <c r="AH30" i="95"/>
  <c r="J67" i="49"/>
  <c r="R67" i="49" s="1"/>
  <c r="J68" i="49"/>
  <c r="R68" i="49" s="1"/>
  <c r="J69" i="49"/>
  <c r="R69" i="49" s="1"/>
  <c r="AG19" i="95"/>
  <c r="AG20" i="95"/>
  <c r="AG21" i="95"/>
  <c r="AG22" i="95"/>
  <c r="AG25" i="95"/>
  <c r="AG26" i="95"/>
  <c r="AH31" i="95"/>
  <c r="AG30" i="95"/>
  <c r="AB26" i="95"/>
  <c r="AI20" i="95"/>
  <c r="AI25" i="95"/>
  <c r="AQ25" i="95" s="1"/>
  <c r="K66" i="49"/>
  <c r="S66" i="49" s="1"/>
  <c r="K71" i="49"/>
  <c r="S71" i="49" s="1"/>
  <c r="AH19" i="95"/>
  <c r="AH21" i="95"/>
  <c r="AH26" i="95"/>
  <c r="J66" i="49"/>
  <c r="R66" i="49" s="1"/>
  <c r="AF19" i="95"/>
  <c r="AF20" i="95"/>
  <c r="AF21" i="95"/>
  <c r="AF22" i="95"/>
  <c r="AF25" i="95"/>
  <c r="AF26" i="95"/>
  <c r="AG31" i="95"/>
  <c r="AF30" i="95"/>
  <c r="H66" i="49"/>
  <c r="P66" i="49" s="1"/>
  <c r="H67" i="49"/>
  <c r="P67" i="49" s="1"/>
  <c r="AB20" i="95"/>
  <c r="D66" i="49"/>
  <c r="L66" i="49" s="1"/>
  <c r="AB25" i="95"/>
  <c r="AI22" i="95"/>
  <c r="AI30" i="95"/>
  <c r="K67" i="49"/>
  <c r="S67" i="49" s="1"/>
  <c r="K70" i="49"/>
  <c r="S70" i="49" s="1"/>
  <c r="AE19" i="95"/>
  <c r="AE21" i="95"/>
  <c r="AE25" i="95"/>
  <c r="AF31" i="95"/>
  <c r="AD19" i="95"/>
  <c r="AD20" i="95"/>
  <c r="AD21" i="95"/>
  <c r="AD22" i="95"/>
  <c r="AD25" i="95"/>
  <c r="AD26" i="95"/>
  <c r="AE31" i="95"/>
  <c r="AD30" i="95"/>
  <c r="AB21" i="95"/>
  <c r="AB30" i="95"/>
  <c r="AI21" i="95"/>
  <c r="AI26" i="95"/>
  <c r="K69" i="49"/>
  <c r="S69" i="49" s="1"/>
  <c r="AE20" i="95"/>
  <c r="AE22" i="95"/>
  <c r="AE26" i="95"/>
  <c r="AE30" i="95"/>
  <c r="AC19" i="95"/>
  <c r="AC20" i="95"/>
  <c r="AC21" i="95"/>
  <c r="AC22" i="95"/>
  <c r="AC25" i="95"/>
  <c r="AC26" i="95"/>
  <c r="AD31" i="95"/>
  <c r="AC30" i="95"/>
  <c r="E66" i="49"/>
  <c r="M66" i="49" s="1"/>
  <c r="E67" i="49"/>
  <c r="M67" i="49" s="1"/>
  <c r="E68" i="49"/>
  <c r="M68" i="49" s="1"/>
  <c r="E69" i="49"/>
  <c r="M69" i="49" s="1"/>
  <c r="E70" i="49"/>
  <c r="M70" i="49" s="1"/>
  <c r="E71" i="49"/>
  <c r="M71" i="49" s="1"/>
  <c r="AB19" i="95"/>
  <c r="J70" i="49"/>
  <c r="R70" i="49" s="1"/>
  <c r="J71" i="49"/>
  <c r="R71" i="49" s="1"/>
  <c r="I66" i="49"/>
  <c r="Q66" i="49" s="1"/>
  <c r="I67" i="49"/>
  <c r="Q67" i="49" s="1"/>
  <c r="I68" i="49"/>
  <c r="Q68" i="49" s="1"/>
  <c r="I69" i="49"/>
  <c r="Q69" i="49" s="1"/>
  <c r="I70" i="49"/>
  <c r="Q70" i="49" s="1"/>
  <c r="I71" i="49"/>
  <c r="Q71" i="49" s="1"/>
  <c r="G66" i="49"/>
  <c r="O66" i="49" s="1"/>
  <c r="G67" i="49"/>
  <c r="O67" i="49" s="1"/>
  <c r="G68" i="49"/>
  <c r="O68" i="49" s="1"/>
  <c r="G69" i="49"/>
  <c r="O69" i="49" s="1"/>
  <c r="G70" i="49"/>
  <c r="O70" i="49" s="1"/>
  <c r="G71" i="49"/>
  <c r="O71" i="49" s="1"/>
  <c r="F66" i="49"/>
  <c r="N66" i="49" s="1"/>
  <c r="F67" i="49"/>
  <c r="N67" i="49" s="1"/>
  <c r="F68" i="49"/>
  <c r="N68" i="49" s="1"/>
  <c r="H68" i="49"/>
  <c r="P68" i="49" s="1"/>
  <c r="H69" i="49"/>
  <c r="P69" i="49" s="1"/>
  <c r="H70" i="49"/>
  <c r="P70" i="49" s="1"/>
  <c r="H71" i="49"/>
  <c r="P71" i="49" s="1"/>
  <c r="F69" i="49"/>
  <c r="N69" i="49" s="1"/>
  <c r="F70" i="49"/>
  <c r="N70" i="49" s="1"/>
  <c r="F71" i="49"/>
  <c r="N71" i="49" s="1"/>
  <c r="D67" i="49"/>
  <c r="L67" i="49" s="1"/>
  <c r="D68" i="49"/>
  <c r="L68" i="49" s="1"/>
  <c r="D69" i="49"/>
  <c r="L69" i="49" s="1"/>
  <c r="D70" i="49"/>
  <c r="L70" i="49" s="1"/>
  <c r="D71" i="49"/>
  <c r="L71" i="49" s="1"/>
  <c r="K159" i="30"/>
  <c r="M138" i="30" s="1"/>
  <c r="L117" i="30"/>
  <c r="L159" i="30" s="1"/>
  <c r="O144" i="30" s="1"/>
  <c r="K116" i="30"/>
  <c r="M74" i="30" s="1"/>
  <c r="L74" i="30"/>
  <c r="L116" i="30" s="1"/>
  <c r="O97" i="30" s="1"/>
  <c r="I72" i="49"/>
  <c r="K72" i="49"/>
  <c r="J72" i="49"/>
  <c r="H72" i="49"/>
  <c r="G72" i="49"/>
  <c r="F72" i="49"/>
  <c r="E72" i="49"/>
  <c r="L83" i="86" l="1"/>
  <c r="O50" i="86"/>
  <c r="L50" i="86"/>
  <c r="O105" i="86"/>
  <c r="O83" i="86"/>
  <c r="O94" i="86"/>
  <c r="AS169" i="91"/>
  <c r="L281" i="86"/>
  <c r="AE169" i="91"/>
  <c r="L204" i="86"/>
  <c r="O281" i="86"/>
  <c r="AX169" i="91"/>
  <c r="L325" i="86"/>
  <c r="CD169" i="91"/>
  <c r="L94" i="86"/>
  <c r="CE169" i="91"/>
  <c r="L105" i="86"/>
  <c r="AX169" i="92"/>
  <c r="O325" i="86"/>
  <c r="O204" i="86"/>
  <c r="AP25" i="102"/>
  <c r="AO19" i="101"/>
  <c r="AK31" i="102"/>
  <c r="AQ21" i="101"/>
  <c r="AQ22" i="101"/>
  <c r="AQ20" i="101"/>
  <c r="AK25" i="95"/>
  <c r="AK31" i="101"/>
  <c r="AK26" i="101"/>
  <c r="AL30" i="102"/>
  <c r="AQ21" i="102"/>
  <c r="AP22" i="101"/>
  <c r="AP19" i="102"/>
  <c r="AN25" i="101"/>
  <c r="AQ20" i="102"/>
  <c r="AQ30" i="95"/>
  <c r="AO20" i="102"/>
  <c r="AL31" i="95"/>
  <c r="AN22" i="101"/>
  <c r="AO25" i="102"/>
  <c r="AM22" i="101"/>
  <c r="AQ30" i="102"/>
  <c r="AP21" i="95"/>
  <c r="AK30" i="101"/>
  <c r="AK22" i="101"/>
  <c r="AL26" i="101"/>
  <c r="AL20" i="101"/>
  <c r="AN31" i="101"/>
  <c r="AO31" i="102"/>
  <c r="AN21" i="101"/>
  <c r="AO30" i="102"/>
  <c r="AO22" i="102"/>
  <c r="AP19" i="95"/>
  <c r="AK22" i="102"/>
  <c r="AN31" i="102"/>
  <c r="AO30" i="101"/>
  <c r="AM22" i="95"/>
  <c r="AL31" i="101"/>
  <c r="AK21" i="102"/>
  <c r="AQ22" i="102"/>
  <c r="AL25" i="101"/>
  <c r="AP26" i="101"/>
  <c r="AM22" i="102"/>
  <c r="AL31" i="102"/>
  <c r="AK21" i="101"/>
  <c r="AL25" i="102"/>
  <c r="AL19" i="101"/>
  <c r="AM20" i="102"/>
  <c r="AN20" i="101"/>
  <c r="AO21" i="102"/>
  <c r="Q72" i="49"/>
  <c r="AK20" i="102"/>
  <c r="AL22" i="102"/>
  <c r="AL19" i="102"/>
  <c r="AM25" i="102"/>
  <c r="AM20" i="101"/>
  <c r="AN20" i="102"/>
  <c r="AO26" i="102"/>
  <c r="AO21" i="101"/>
  <c r="AP30" i="101"/>
  <c r="AP25" i="101"/>
  <c r="AQ30" i="101"/>
  <c r="AP20" i="102"/>
  <c r="R72" i="49"/>
  <c r="AK30" i="102"/>
  <c r="AK19" i="101"/>
  <c r="AL26" i="102"/>
  <c r="AL21" i="102"/>
  <c r="AO31" i="101"/>
  <c r="AQ31" i="102"/>
  <c r="AP20" i="101"/>
  <c r="O72" i="49"/>
  <c r="AL30" i="95"/>
  <c r="AN31" i="95"/>
  <c r="AK19" i="102"/>
  <c r="AL30" i="101"/>
  <c r="AL21" i="101"/>
  <c r="AM19" i="102"/>
  <c r="AN22" i="102"/>
  <c r="AN19" i="102"/>
  <c r="AO25" i="101"/>
  <c r="AP19" i="101"/>
  <c r="AQ31" i="101"/>
  <c r="AP22" i="102"/>
  <c r="M72" i="49"/>
  <c r="N72" i="49"/>
  <c r="L72" i="49"/>
  <c r="T72" i="49" s="1"/>
  <c r="S72" i="49"/>
  <c r="AK26" i="102"/>
  <c r="AM26" i="102"/>
  <c r="AM19" i="101"/>
  <c r="AN26" i="101"/>
  <c r="AN19" i="101"/>
  <c r="AP31" i="102"/>
  <c r="AM26" i="101"/>
  <c r="AM21" i="102"/>
  <c r="AN26" i="102"/>
  <c r="AP31" i="101"/>
  <c r="AQ19" i="101"/>
  <c r="AL26" i="95"/>
  <c r="AK22" i="95"/>
  <c r="AN20" i="95"/>
  <c r="AK25" i="101"/>
  <c r="AO20" i="101"/>
  <c r="AM31" i="101"/>
  <c r="AL20" i="102"/>
  <c r="AM30" i="101"/>
  <c r="AM21" i="101"/>
  <c r="AN30" i="101"/>
  <c r="AN21" i="102"/>
  <c r="AQ25" i="102"/>
  <c r="AO22" i="101"/>
  <c r="AP26" i="102"/>
  <c r="AP21" i="101"/>
  <c r="AQ19" i="102"/>
  <c r="AQ26" i="101"/>
  <c r="P72" i="49"/>
  <c r="AK21" i="95"/>
  <c r="AL22" i="95"/>
  <c r="AK25" i="102"/>
  <c r="AK20" i="101"/>
  <c r="AM31" i="102"/>
  <c r="AL22" i="101"/>
  <c r="AM30" i="102"/>
  <c r="AM25" i="101"/>
  <c r="AN30" i="102"/>
  <c r="AN25" i="102"/>
  <c r="AQ25" i="101"/>
  <c r="AO26" i="101"/>
  <c r="AP30" i="102"/>
  <c r="AP21" i="102"/>
  <c r="AQ26" i="102"/>
  <c r="AQ26" i="95"/>
  <c r="AL21" i="95"/>
  <c r="AN25" i="95"/>
  <c r="AL19" i="95"/>
  <c r="AQ20" i="95"/>
  <c r="AO20" i="95"/>
  <c r="AK30" i="95"/>
  <c r="AM20" i="95"/>
  <c r="AO26" i="95"/>
  <c r="AP22" i="95"/>
  <c r="AM19" i="95"/>
  <c r="AO25" i="95"/>
  <c r="AK19" i="95"/>
  <c r="AM31" i="95"/>
  <c r="AP26" i="95"/>
  <c r="AO19" i="95"/>
  <c r="AN19" i="95"/>
  <c r="AL20" i="95"/>
  <c r="AM25" i="95"/>
  <c r="AN30" i="95"/>
  <c r="AN22" i="95"/>
  <c r="AP30" i="95"/>
  <c r="AP20" i="95"/>
  <c r="AK31" i="95"/>
  <c r="AM30" i="95"/>
  <c r="AQ22" i="95"/>
  <c r="AO30" i="95"/>
  <c r="AO22" i="95"/>
  <c r="AQ31" i="95"/>
  <c r="AM21" i="95"/>
  <c r="AO31" i="95"/>
  <c r="AN21" i="95"/>
  <c r="AP31" i="95"/>
  <c r="AQ19" i="95"/>
  <c r="AK26" i="95"/>
  <c r="AK20" i="95"/>
  <c r="AM26" i="95"/>
  <c r="AQ21" i="95"/>
  <c r="AL25" i="95"/>
  <c r="AN26" i="95"/>
  <c r="AO21" i="95"/>
  <c r="AP25" i="95"/>
  <c r="BP87" i="92"/>
  <c r="BP87" i="91"/>
  <c r="BP87" i="90"/>
  <c r="O88" i="30"/>
  <c r="O107" i="30"/>
  <c r="O115" i="30"/>
  <c r="O111" i="30"/>
  <c r="O104" i="30"/>
  <c r="O81" i="30"/>
  <c r="O101" i="30"/>
  <c r="O92" i="30"/>
  <c r="O78" i="30"/>
  <c r="O105" i="30"/>
  <c r="O74" i="30"/>
  <c r="O154" i="30"/>
  <c r="M120" i="30"/>
  <c r="O148" i="30"/>
  <c r="O147" i="30"/>
  <c r="M126" i="30"/>
  <c r="O120" i="30"/>
  <c r="O124" i="30"/>
  <c r="M121" i="30"/>
  <c r="O135" i="30"/>
  <c r="O117" i="30"/>
  <c r="O140" i="30"/>
  <c r="O121" i="30"/>
  <c r="O150" i="30"/>
  <c r="O131" i="30"/>
  <c r="O158" i="30"/>
  <c r="M113" i="30"/>
  <c r="M102" i="30"/>
  <c r="M84" i="30"/>
  <c r="M82" i="30"/>
  <c r="M111" i="30"/>
  <c r="M76" i="30"/>
  <c r="M94" i="30"/>
  <c r="M109" i="30"/>
  <c r="M106" i="30"/>
  <c r="M88" i="30"/>
  <c r="M78" i="30"/>
  <c r="M89" i="30"/>
  <c r="M98" i="30"/>
  <c r="BP170" i="90" s="1"/>
  <c r="F146" i="86" s="1"/>
  <c r="H146" i="86" s="1"/>
  <c r="M86" i="30"/>
  <c r="M110" i="30"/>
  <c r="M83" i="30"/>
  <c r="M92" i="30"/>
  <c r="M112" i="30"/>
  <c r="M103" i="30"/>
  <c r="M87" i="30"/>
  <c r="M97" i="30"/>
  <c r="BP169" i="90" s="1"/>
  <c r="F145" i="86" s="1"/>
  <c r="M115" i="30"/>
  <c r="M93" i="30"/>
  <c r="M107" i="30"/>
  <c r="M90" i="30"/>
  <c r="M100" i="30"/>
  <c r="BP172" i="90" s="1"/>
  <c r="F148" i="86" s="1"/>
  <c r="H148" i="86" s="1"/>
  <c r="M114" i="30"/>
  <c r="M105" i="30"/>
  <c r="M80" i="30"/>
  <c r="M101" i="30"/>
  <c r="M108" i="30"/>
  <c r="M81" i="30"/>
  <c r="M99" i="30"/>
  <c r="BP171" i="90" s="1"/>
  <c r="F147" i="86" s="1"/>
  <c r="H147" i="86" s="1"/>
  <c r="M77" i="30"/>
  <c r="M75" i="30"/>
  <c r="M79" i="30"/>
  <c r="M95" i="30"/>
  <c r="M96" i="30"/>
  <c r="M91" i="30"/>
  <c r="M85" i="30"/>
  <c r="M157" i="30"/>
  <c r="M152" i="30"/>
  <c r="M136" i="30"/>
  <c r="M156" i="30"/>
  <c r="M141" i="30"/>
  <c r="BQ170" i="90" s="1"/>
  <c r="F157" i="86" s="1"/>
  <c r="H157" i="86" s="1"/>
  <c r="M122" i="30"/>
  <c r="M143" i="30"/>
  <c r="BQ172" i="90" s="1"/>
  <c r="F159" i="86" s="1"/>
  <c r="H159" i="86" s="1"/>
  <c r="M155" i="30"/>
  <c r="M140" i="30"/>
  <c r="BQ169" i="90" s="1"/>
  <c r="F156" i="86" s="1"/>
  <c r="M146" i="30"/>
  <c r="M158" i="30"/>
  <c r="M131" i="30"/>
  <c r="M145" i="30"/>
  <c r="M128" i="30"/>
  <c r="M117" i="30"/>
  <c r="M147" i="30"/>
  <c r="M129" i="30"/>
  <c r="M142" i="30"/>
  <c r="BQ171" i="90" s="1"/>
  <c r="F158" i="86" s="1"/>
  <c r="H158" i="86" s="1"/>
  <c r="M123" i="30"/>
  <c r="M132" i="30"/>
  <c r="M150" i="30"/>
  <c r="M149" i="30"/>
  <c r="M154" i="30"/>
  <c r="M135" i="30"/>
  <c r="M124" i="30"/>
  <c r="M118" i="30"/>
  <c r="M130" i="30"/>
  <c r="M133" i="30"/>
  <c r="M148" i="30"/>
  <c r="M127" i="30"/>
  <c r="M137" i="30"/>
  <c r="M153" i="30"/>
  <c r="M144" i="30"/>
  <c r="M151" i="30"/>
  <c r="M125" i="30"/>
  <c r="M119" i="30"/>
  <c r="M139" i="30"/>
  <c r="M134" i="30"/>
  <c r="M104" i="30"/>
  <c r="E25" i="77"/>
  <c r="H24" i="77" s="1"/>
  <c r="O116" i="30" l="1"/>
  <c r="BQ85" i="92"/>
  <c r="BQ85" i="91"/>
  <c r="BQ85" i="90"/>
  <c r="BQ175" i="92"/>
  <c r="BQ175" i="91"/>
  <c r="BQ175" i="90"/>
  <c r="BQ65" i="92"/>
  <c r="BQ65" i="91"/>
  <c r="BQ65" i="90"/>
  <c r="BQ51" i="92"/>
  <c r="BQ51" i="91"/>
  <c r="BQ51" i="90"/>
  <c r="F160" i="86"/>
  <c r="H156" i="86"/>
  <c r="BQ86" i="92"/>
  <c r="BQ86" i="91"/>
  <c r="BQ86" i="90"/>
  <c r="N158" i="86"/>
  <c r="K158" i="86"/>
  <c r="BQ90" i="92"/>
  <c r="BQ90" i="91"/>
  <c r="BQ90" i="90"/>
  <c r="BQ136" i="92"/>
  <c r="BQ136" i="91"/>
  <c r="BQ136" i="90"/>
  <c r="N159" i="86"/>
  <c r="K159" i="86"/>
  <c r="BQ92" i="92"/>
  <c r="BQ92" i="91"/>
  <c r="BQ92" i="90"/>
  <c r="BQ120" i="92"/>
  <c r="BQ120" i="91"/>
  <c r="BQ120" i="90"/>
  <c r="BQ89" i="92"/>
  <c r="BQ89" i="91"/>
  <c r="BQ89" i="90"/>
  <c r="BQ121" i="92"/>
  <c r="BQ121" i="91"/>
  <c r="BQ121" i="90"/>
  <c r="BQ87" i="92"/>
  <c r="BQ87" i="91"/>
  <c r="BQ87" i="90"/>
  <c r="BQ137" i="92"/>
  <c r="BQ137" i="91"/>
  <c r="BQ137" i="90"/>
  <c r="BQ48" i="92"/>
  <c r="BQ48" i="91"/>
  <c r="BQ48" i="90"/>
  <c r="BQ138" i="92"/>
  <c r="BQ138" i="91"/>
  <c r="BQ138" i="90"/>
  <c r="BQ73" i="92"/>
  <c r="BQ73" i="91"/>
  <c r="BQ73" i="90"/>
  <c r="BQ118" i="92"/>
  <c r="BQ118" i="91"/>
  <c r="BQ118" i="90"/>
  <c r="BQ124" i="92"/>
  <c r="BQ124" i="91"/>
  <c r="BQ124" i="90"/>
  <c r="K157" i="86"/>
  <c r="N157" i="86"/>
  <c r="X72" i="49"/>
  <c r="X66" i="49" s="1"/>
  <c r="V72" i="49"/>
  <c r="V69" i="49" s="1"/>
  <c r="AA72" i="49"/>
  <c r="W72" i="49"/>
  <c r="W67" i="49" s="1"/>
  <c r="Y72" i="49"/>
  <c r="Z72" i="49"/>
  <c r="Z66" i="49" s="1"/>
  <c r="U72" i="49"/>
  <c r="U67" i="49" s="1"/>
  <c r="BP85" i="92"/>
  <c r="BP85" i="91"/>
  <c r="BP85" i="90"/>
  <c r="BP136" i="92"/>
  <c r="BP136" i="91"/>
  <c r="BP136" i="90"/>
  <c r="N147" i="86"/>
  <c r="K147" i="86"/>
  <c r="BP86" i="91"/>
  <c r="BP86" i="92"/>
  <c r="BP86" i="90"/>
  <c r="BP137" i="92"/>
  <c r="BP137" i="91"/>
  <c r="BP137" i="90"/>
  <c r="N148" i="86"/>
  <c r="K148" i="86"/>
  <c r="BP48" i="92"/>
  <c r="BP48" i="91"/>
  <c r="BP48" i="90"/>
  <c r="BP65" i="92"/>
  <c r="BP65" i="91"/>
  <c r="BP65" i="90"/>
  <c r="BP118" i="92"/>
  <c r="BP118" i="91"/>
  <c r="BP118" i="90"/>
  <c r="BP121" i="92"/>
  <c r="BP121" i="91"/>
  <c r="BP121" i="90"/>
  <c r="BP89" i="92"/>
  <c r="BP89" i="91"/>
  <c r="BP89" i="90"/>
  <c r="BP124" i="92"/>
  <c r="BP124" i="91"/>
  <c r="BP124" i="90"/>
  <c r="BP138" i="92"/>
  <c r="BP138" i="91"/>
  <c r="BP138" i="90"/>
  <c r="BP73" i="92"/>
  <c r="BP73" i="91"/>
  <c r="BP73" i="90"/>
  <c r="BP175" i="92"/>
  <c r="BP175" i="91"/>
  <c r="BP175" i="90"/>
  <c r="BP51" i="92"/>
  <c r="BP51" i="91"/>
  <c r="BP51" i="90"/>
  <c r="BP92" i="92"/>
  <c r="BP92" i="91"/>
  <c r="BP92" i="90"/>
  <c r="BP90" i="91"/>
  <c r="BP90" i="92"/>
  <c r="BP90" i="90"/>
  <c r="BP120" i="92"/>
  <c r="BP120" i="91"/>
  <c r="BP120" i="90"/>
  <c r="F149" i="86"/>
  <c r="H145" i="86"/>
  <c r="K146" i="86"/>
  <c r="N146" i="86"/>
  <c r="BQ73" i="79"/>
  <c r="BQ118" i="79"/>
  <c r="BQ124" i="79"/>
  <c r="BP175" i="79"/>
  <c r="BP51" i="79"/>
  <c r="BP92" i="79"/>
  <c r="BQ90" i="79"/>
  <c r="BQ175" i="79"/>
  <c r="BP89" i="79"/>
  <c r="BP90" i="79"/>
  <c r="BP85" i="79"/>
  <c r="BQ86" i="79"/>
  <c r="BQ120" i="79"/>
  <c r="BQ136" i="79"/>
  <c r="BQ121" i="79"/>
  <c r="BP136" i="79"/>
  <c r="O159" i="30"/>
  <c r="BQ138" i="79"/>
  <c r="BQ85" i="79"/>
  <c r="BQ65" i="79"/>
  <c r="BQ51" i="79"/>
  <c r="BP86" i="79"/>
  <c r="BP124" i="79"/>
  <c r="BP48" i="79"/>
  <c r="BP65" i="79"/>
  <c r="BP137" i="79"/>
  <c r="BP120" i="79"/>
  <c r="BP118" i="79"/>
  <c r="BP121" i="79"/>
  <c r="BQ137" i="79"/>
  <c r="BQ48" i="79"/>
  <c r="BP73" i="79"/>
  <c r="BP138" i="79"/>
  <c r="BQ89" i="79"/>
  <c r="BQ92" i="79"/>
  <c r="M159" i="30"/>
  <c r="BQ87" i="79"/>
  <c r="M116" i="30"/>
  <c r="BP87" i="79"/>
  <c r="H20" i="77"/>
  <c r="H19" i="77"/>
  <c r="H21" i="77"/>
  <c r="H22" i="77"/>
  <c r="H23" i="77"/>
  <c r="K156" i="86" l="1"/>
  <c r="N156" i="86"/>
  <c r="H160" i="86"/>
  <c r="V66" i="49"/>
  <c r="V70" i="49"/>
  <c r="V68" i="49"/>
  <c r="V67" i="49"/>
  <c r="V71" i="49"/>
  <c r="X71" i="49"/>
  <c r="X69" i="49"/>
  <c r="X70" i="49"/>
  <c r="X67" i="49"/>
  <c r="W66" i="49"/>
  <c r="W70" i="49"/>
  <c r="W68" i="49"/>
  <c r="X68" i="49"/>
  <c r="AA69" i="49"/>
  <c r="AA71" i="49"/>
  <c r="AA66" i="49"/>
  <c r="AA70" i="49"/>
  <c r="Z70" i="49"/>
  <c r="Z68" i="49"/>
  <c r="Z67" i="49"/>
  <c r="Z71" i="49"/>
  <c r="Z69" i="49"/>
  <c r="AA67" i="49"/>
  <c r="U71" i="49"/>
  <c r="U69" i="49"/>
  <c r="U68" i="49"/>
  <c r="U70" i="49"/>
  <c r="U66" i="49"/>
  <c r="Y71" i="49"/>
  <c r="Y68" i="49"/>
  <c r="Y67" i="49"/>
  <c r="Y69" i="49"/>
  <c r="Y70" i="49"/>
  <c r="Y66" i="49"/>
  <c r="W69" i="49"/>
  <c r="W71" i="49"/>
  <c r="AA68" i="49"/>
  <c r="N145" i="86"/>
  <c r="K145" i="86"/>
  <c r="H149" i="86"/>
  <c r="H25" i="77"/>
  <c r="C11" i="54"/>
  <c r="D11" i="54"/>
  <c r="E11" i="54"/>
  <c r="F11" i="54"/>
  <c r="G11" i="54"/>
  <c r="H11" i="54"/>
  <c r="I11" i="54"/>
  <c r="J11" i="54"/>
  <c r="D10" i="54"/>
  <c r="E10" i="54"/>
  <c r="F10" i="54"/>
  <c r="G10" i="54"/>
  <c r="H10" i="54"/>
  <c r="I10" i="54"/>
  <c r="J10" i="54"/>
  <c r="C10" i="54"/>
  <c r="D8" i="54"/>
  <c r="E8" i="54"/>
  <c r="F8" i="54"/>
  <c r="G8" i="54"/>
  <c r="H8" i="54"/>
  <c r="I8" i="54"/>
  <c r="J8" i="54"/>
  <c r="D9" i="54"/>
  <c r="E9" i="54"/>
  <c r="F9" i="54"/>
  <c r="G9" i="54"/>
  <c r="H9" i="54"/>
  <c r="I9" i="54"/>
  <c r="J9" i="54"/>
  <c r="C9" i="54"/>
  <c r="J6" i="54"/>
  <c r="I6" i="54"/>
  <c r="H6" i="54"/>
  <c r="G6" i="54"/>
  <c r="F6" i="54"/>
  <c r="E6" i="54"/>
  <c r="D6" i="54"/>
  <c r="J5" i="54"/>
  <c r="I5" i="54"/>
  <c r="H5" i="54"/>
  <c r="G5" i="54"/>
  <c r="F5" i="54"/>
  <c r="E5" i="54"/>
  <c r="D5" i="54"/>
  <c r="C6" i="54"/>
  <c r="I159" i="86" l="1"/>
  <c r="BQ172" i="79" s="1"/>
  <c r="I157" i="86"/>
  <c r="BQ170" i="79" s="1"/>
  <c r="I158" i="86"/>
  <c r="BQ171" i="79" s="1"/>
  <c r="I156" i="86"/>
  <c r="BQ169" i="79" s="1"/>
  <c r="I147" i="86"/>
  <c r="BP171" i="79" s="1"/>
  <c r="I146" i="86"/>
  <c r="BP170" i="79" s="1"/>
  <c r="I148" i="86"/>
  <c r="BP172" i="79" s="1"/>
  <c r="I145" i="86"/>
  <c r="BP169" i="79" s="1"/>
  <c r="N160" i="86"/>
  <c r="K149" i="86"/>
  <c r="K160" i="86"/>
  <c r="L156" i="86" s="1"/>
  <c r="BQ169" i="91" s="1"/>
  <c r="N149" i="86"/>
  <c r="G22" i="69"/>
  <c r="G21" i="69"/>
  <c r="G20" i="69"/>
  <c r="J22" i="69"/>
  <c r="J21" i="69"/>
  <c r="J20" i="69"/>
  <c r="J16" i="69"/>
  <c r="J15" i="69"/>
  <c r="J14" i="69"/>
  <c r="G16" i="69"/>
  <c r="G14" i="69"/>
  <c r="J8" i="69"/>
  <c r="J10" i="69"/>
  <c r="J9" i="69"/>
  <c r="G9" i="69"/>
  <c r="G10" i="69"/>
  <c r="G8" i="69"/>
  <c r="I160" i="86" l="1"/>
  <c r="I149" i="86"/>
  <c r="L148" i="86"/>
  <c r="BP172" i="91" s="1"/>
  <c r="L147" i="86"/>
  <c r="BP171" i="91" s="1"/>
  <c r="L146" i="86"/>
  <c r="BP170" i="91" s="1"/>
  <c r="O159" i="86"/>
  <c r="BQ172" i="92" s="1"/>
  <c r="O158" i="86"/>
  <c r="BQ171" i="92" s="1"/>
  <c r="O157" i="86"/>
  <c r="BQ170" i="92" s="1"/>
  <c r="L159" i="86"/>
  <c r="BQ172" i="91" s="1"/>
  <c r="L157" i="86"/>
  <c r="BQ170" i="91" s="1"/>
  <c r="L158" i="86"/>
  <c r="BQ171" i="91" s="1"/>
  <c r="O148" i="86"/>
  <c r="BP172" i="92" s="1"/>
  <c r="O147" i="86"/>
  <c r="BP171" i="92" s="1"/>
  <c r="O146" i="86"/>
  <c r="BP170" i="92" s="1"/>
  <c r="O156" i="86"/>
  <c r="L145" i="86"/>
  <c r="O145" i="86"/>
  <c r="BP169" i="92" s="1"/>
  <c r="H36" i="77"/>
  <c r="H18" i="77"/>
  <c r="H8" i="77"/>
  <c r="L149" i="86" l="1"/>
  <c r="BP169" i="91"/>
  <c r="O160" i="86"/>
  <c r="BQ169" i="92"/>
  <c r="L160" i="86"/>
  <c r="O149" i="86"/>
  <c r="F9" i="56"/>
  <c r="I179" i="77"/>
  <c r="G179" i="77"/>
  <c r="F179" i="77"/>
  <c r="I173" i="77"/>
  <c r="G173" i="77"/>
  <c r="F173" i="77"/>
  <c r="I167" i="77"/>
  <c r="G167" i="77"/>
  <c r="F167" i="77"/>
  <c r="I161" i="77"/>
  <c r="G161" i="77"/>
  <c r="F161" i="77"/>
  <c r="I153" i="77"/>
  <c r="G153" i="77"/>
  <c r="F153" i="77"/>
  <c r="I145" i="77"/>
  <c r="G145" i="77"/>
  <c r="F145" i="77"/>
  <c r="I137" i="77"/>
  <c r="G137" i="77"/>
  <c r="F137" i="77"/>
  <c r="I131" i="77"/>
  <c r="G131" i="77"/>
  <c r="F131" i="77"/>
  <c r="I125" i="77"/>
  <c r="G125" i="77"/>
  <c r="F125" i="77"/>
  <c r="I119" i="77"/>
  <c r="G119" i="77"/>
  <c r="F119" i="77"/>
  <c r="H118" i="77" s="1"/>
  <c r="I108" i="77"/>
  <c r="G108" i="77"/>
  <c r="F108" i="77"/>
  <c r="H106" i="77" s="1"/>
  <c r="I97" i="77"/>
  <c r="G97" i="77"/>
  <c r="F97" i="77"/>
  <c r="H93" i="77" s="1"/>
  <c r="I91" i="77"/>
  <c r="G91" i="77"/>
  <c r="F91" i="77"/>
  <c r="I82" i="77"/>
  <c r="G82" i="77"/>
  <c r="F82" i="77"/>
  <c r="I73" i="77"/>
  <c r="G73" i="77"/>
  <c r="F73" i="77"/>
  <c r="H67" i="77" l="1"/>
  <c r="Q2" i="69"/>
  <c r="H136" i="77"/>
  <c r="Q10" i="69"/>
  <c r="H154" i="77"/>
  <c r="Q16" i="69"/>
  <c r="H177" i="77"/>
  <c r="Q22" i="69"/>
  <c r="H76" i="77"/>
  <c r="Q3" i="69"/>
  <c r="H148" i="77"/>
  <c r="Q15" i="69"/>
  <c r="H143" i="77"/>
  <c r="Q14" i="69"/>
  <c r="H163" i="77"/>
  <c r="Q20" i="69"/>
  <c r="H88" i="77"/>
  <c r="Q4" i="69"/>
  <c r="H171" i="77"/>
  <c r="Q21" i="69"/>
  <c r="H124" i="77"/>
  <c r="Q8" i="69"/>
  <c r="H130" i="77"/>
  <c r="Q9" i="69"/>
  <c r="H165" i="77"/>
  <c r="H166" i="77"/>
  <c r="H70" i="77"/>
  <c r="H176" i="77"/>
  <c r="H77" i="77"/>
  <c r="H123" i="77"/>
  <c r="H172" i="77"/>
  <c r="H96" i="77"/>
  <c r="H174" i="77"/>
  <c r="H168" i="77"/>
  <c r="H162" i="77"/>
  <c r="H170" i="77"/>
  <c r="H115" i="77"/>
  <c r="H178" i="77"/>
  <c r="H155" i="77"/>
  <c r="H158" i="77"/>
  <c r="H159" i="77"/>
  <c r="H95" i="77"/>
  <c r="H109" i="77"/>
  <c r="H160" i="77"/>
  <c r="H71" i="77"/>
  <c r="H80" i="77"/>
  <c r="H116" i="77"/>
  <c r="H72" i="77"/>
  <c r="H81" i="77"/>
  <c r="H94" i="77"/>
  <c r="H117" i="77"/>
  <c r="H111" i="77"/>
  <c r="H149" i="77"/>
  <c r="H112" i="77"/>
  <c r="H68" i="77"/>
  <c r="H74" i="77"/>
  <c r="H90" i="77"/>
  <c r="H113" i="77"/>
  <c r="H121" i="77"/>
  <c r="H151" i="77"/>
  <c r="H69" i="77"/>
  <c r="H114" i="77"/>
  <c r="H122" i="77"/>
  <c r="H152" i="77"/>
  <c r="H89" i="77"/>
  <c r="H99" i="77"/>
  <c r="H107" i="77"/>
  <c r="H144" i="77"/>
  <c r="H83" i="77"/>
  <c r="H101" i="77"/>
  <c r="H102" i="77"/>
  <c r="H85" i="77"/>
  <c r="H127" i="77"/>
  <c r="H132" i="77"/>
  <c r="H86" i="77"/>
  <c r="H104" i="77"/>
  <c r="H128" i="77"/>
  <c r="H133" i="77"/>
  <c r="H139" i="77"/>
  <c r="H146" i="77"/>
  <c r="H84" i="77"/>
  <c r="H126" i="77"/>
  <c r="H65" i="77"/>
  <c r="H87" i="77"/>
  <c r="H92" i="77"/>
  <c r="H105" i="77"/>
  <c r="H110" i="77"/>
  <c r="H129" i="77"/>
  <c r="H135" i="77"/>
  <c r="H141" i="77"/>
  <c r="H147" i="77"/>
  <c r="H100" i="77"/>
  <c r="H103" i="77"/>
  <c r="H138" i="77"/>
  <c r="H98" i="77"/>
  <c r="G368" i="55"/>
  <c r="G369" i="55"/>
  <c r="G370" i="55"/>
  <c r="G372" i="55" s="1"/>
  <c r="G371" i="55"/>
  <c r="G367" i="55"/>
  <c r="G361" i="55"/>
  <c r="G362" i="55"/>
  <c r="G363" i="55"/>
  <c r="G364" i="55"/>
  <c r="G365" i="55"/>
  <c r="G360" i="55"/>
  <c r="G355" i="55"/>
  <c r="G356" i="55"/>
  <c r="G357" i="55"/>
  <c r="G358" i="55"/>
  <c r="G354" i="55"/>
  <c r="G359" i="55" s="1"/>
  <c r="E366" i="55"/>
  <c r="E372" i="55"/>
  <c r="E359" i="55"/>
  <c r="H372" i="55"/>
  <c r="F372" i="55"/>
  <c r="H366" i="55"/>
  <c r="F366" i="55"/>
  <c r="H359" i="55"/>
  <c r="F359" i="55"/>
  <c r="G385" i="55"/>
  <c r="G386" i="55"/>
  <c r="G383" i="55"/>
  <c r="G379" i="55"/>
  <c r="G373" i="55"/>
  <c r="H382" i="55"/>
  <c r="H387" i="55"/>
  <c r="F387" i="55"/>
  <c r="F382" i="55"/>
  <c r="E387" i="55"/>
  <c r="G384" i="55" s="1"/>
  <c r="E382" i="55"/>
  <c r="G380" i="55" s="1"/>
  <c r="E377" i="55"/>
  <c r="G374" i="55" s="1"/>
  <c r="H377" i="55"/>
  <c r="F377" i="55"/>
  <c r="T22" i="69" l="1"/>
  <c r="R22" i="69"/>
  <c r="S22" i="69"/>
  <c r="X22" i="69"/>
  <c r="V22" i="69"/>
  <c r="W22" i="69"/>
  <c r="U22" i="69"/>
  <c r="R20" i="69"/>
  <c r="X20" i="69"/>
  <c r="W20" i="69"/>
  <c r="V20" i="69"/>
  <c r="S20" i="69"/>
  <c r="U20" i="69"/>
  <c r="T20" i="69"/>
  <c r="T9" i="69"/>
  <c r="R9" i="69"/>
  <c r="S9" i="69"/>
  <c r="X9" i="69"/>
  <c r="V9" i="69"/>
  <c r="W9" i="69"/>
  <c r="U9" i="69"/>
  <c r="S8" i="69"/>
  <c r="R8" i="69"/>
  <c r="X8" i="69"/>
  <c r="W8" i="69"/>
  <c r="T8" i="69"/>
  <c r="V8" i="69"/>
  <c r="U8" i="69"/>
  <c r="T14" i="69"/>
  <c r="S14" i="69"/>
  <c r="U14" i="69"/>
  <c r="V14" i="69"/>
  <c r="R14" i="69"/>
  <c r="X14" i="69"/>
  <c r="W14" i="69"/>
  <c r="V16" i="69"/>
  <c r="W16" i="69"/>
  <c r="R16" i="69"/>
  <c r="S16" i="69"/>
  <c r="T16" i="69"/>
  <c r="U16" i="69"/>
  <c r="X16" i="69"/>
  <c r="S21" i="69"/>
  <c r="R21" i="69"/>
  <c r="X21" i="69"/>
  <c r="W21" i="69"/>
  <c r="V21" i="69"/>
  <c r="T21" i="69"/>
  <c r="U21" i="69"/>
  <c r="T15" i="69"/>
  <c r="U15" i="69"/>
  <c r="W15" i="69"/>
  <c r="R15" i="69"/>
  <c r="S15" i="69"/>
  <c r="X15" i="69"/>
  <c r="V15" i="69"/>
  <c r="V10" i="69"/>
  <c r="U10" i="69"/>
  <c r="T10" i="69"/>
  <c r="S10" i="69"/>
  <c r="R10" i="69"/>
  <c r="X10" i="69"/>
  <c r="W10" i="69"/>
  <c r="X4" i="69"/>
  <c r="V4" i="69"/>
  <c r="W4" i="69"/>
  <c r="U4" i="69"/>
  <c r="T4" i="69"/>
  <c r="S4" i="69"/>
  <c r="R4" i="69"/>
  <c r="W3" i="69"/>
  <c r="V3" i="69"/>
  <c r="U3" i="69"/>
  <c r="T3" i="69"/>
  <c r="S3" i="69"/>
  <c r="X3" i="69"/>
  <c r="R3" i="69"/>
  <c r="V2" i="69"/>
  <c r="T2" i="69"/>
  <c r="U2" i="69"/>
  <c r="S2" i="69"/>
  <c r="W2" i="69"/>
  <c r="R2" i="69"/>
  <c r="X2" i="69"/>
  <c r="H490" i="30"/>
  <c r="G490" i="30"/>
  <c r="N490" i="30"/>
  <c r="H673" i="30"/>
  <c r="H665" i="30"/>
  <c r="G676" i="30"/>
  <c r="G668" i="30"/>
  <c r="H664" i="30"/>
  <c r="G667" i="30"/>
  <c r="H679" i="30"/>
  <c r="H671" i="30"/>
  <c r="G674" i="30"/>
  <c r="G666" i="30"/>
  <c r="H678" i="30"/>
  <c r="H670" i="30"/>
  <c r="G673" i="30"/>
  <c r="G665" i="30"/>
  <c r="H677" i="30"/>
  <c r="H669" i="30"/>
  <c r="G672" i="30"/>
  <c r="G664" i="30"/>
  <c r="H675" i="30"/>
  <c r="G678" i="30"/>
  <c r="H676" i="30"/>
  <c r="H668" i="30"/>
  <c r="G679" i="30"/>
  <c r="I679" i="30" s="1"/>
  <c r="K679" i="30" s="1"/>
  <c r="G671" i="30"/>
  <c r="H667" i="30"/>
  <c r="G670" i="30"/>
  <c r="H674" i="30"/>
  <c r="H666" i="30"/>
  <c r="G677" i="30"/>
  <c r="G669" i="30"/>
  <c r="H672" i="30"/>
  <c r="G675" i="30"/>
  <c r="N664" i="30"/>
  <c r="N248" i="30"/>
  <c r="G248" i="30"/>
  <c r="H248" i="30"/>
  <c r="H614" i="30"/>
  <c r="G614" i="30"/>
  <c r="H613" i="30"/>
  <c r="G612" i="30"/>
  <c r="G611" i="30"/>
  <c r="H612" i="30"/>
  <c r="H611" i="30"/>
  <c r="H615" i="30"/>
  <c r="G615" i="30"/>
  <c r="G613" i="30"/>
  <c r="N611" i="30"/>
  <c r="G609" i="30"/>
  <c r="H609" i="30"/>
  <c r="N609" i="30"/>
  <c r="H276" i="30"/>
  <c r="N273" i="30"/>
  <c r="H277" i="30"/>
  <c r="H278" i="30"/>
  <c r="H275" i="30"/>
  <c r="H274" i="30"/>
  <c r="H273" i="30"/>
  <c r="H232" i="30"/>
  <c r="I232" i="30" s="1"/>
  <c r="H231" i="30"/>
  <c r="I231" i="30" s="1"/>
  <c r="H233" i="30"/>
  <c r="I233" i="30" s="1"/>
  <c r="N205" i="30"/>
  <c r="H207" i="30"/>
  <c r="H206" i="30"/>
  <c r="H205" i="30"/>
  <c r="G205" i="30"/>
  <c r="G207" i="30"/>
  <c r="G206" i="30"/>
  <c r="G588" i="30"/>
  <c r="H589" i="30"/>
  <c r="H588" i="30"/>
  <c r="G590" i="30"/>
  <c r="G589" i="30"/>
  <c r="G591" i="30"/>
  <c r="H591" i="30"/>
  <c r="H590" i="30"/>
  <c r="N588" i="30"/>
  <c r="G365" i="30"/>
  <c r="N365" i="30"/>
  <c r="H365" i="30"/>
  <c r="G643" i="30"/>
  <c r="G647" i="30"/>
  <c r="H647" i="30"/>
  <c r="G654" i="30"/>
  <c r="H651" i="30"/>
  <c r="H617" i="30"/>
  <c r="I617" i="30" s="1"/>
  <c r="G653" i="30"/>
  <c r="G645" i="30"/>
  <c r="H654" i="30"/>
  <c r="H616" i="30"/>
  <c r="I616" i="30" s="1"/>
  <c r="G652" i="30"/>
  <c r="G644" i="30"/>
  <c r="H653" i="30"/>
  <c r="H645" i="30"/>
  <c r="H644" i="30"/>
  <c r="G651" i="30"/>
  <c r="H652" i="30"/>
  <c r="G649" i="30"/>
  <c r="H649" i="30"/>
  <c r="G650" i="30"/>
  <c r="H650" i="30"/>
  <c r="H646" i="30"/>
  <c r="G648" i="30"/>
  <c r="H648" i="30"/>
  <c r="G646" i="30"/>
  <c r="H643" i="30"/>
  <c r="N643" i="30"/>
  <c r="G401" i="30"/>
  <c r="H401" i="30"/>
  <c r="N401" i="30"/>
  <c r="G436" i="30"/>
  <c r="H436" i="30"/>
  <c r="N436" i="30"/>
  <c r="G503" i="30"/>
  <c r="G494" i="30"/>
  <c r="H499" i="30"/>
  <c r="G509" i="30"/>
  <c r="G501" i="30"/>
  <c r="G492" i="30"/>
  <c r="H506" i="30"/>
  <c r="H497" i="30"/>
  <c r="G507" i="30"/>
  <c r="G499" i="30"/>
  <c r="H503" i="30"/>
  <c r="H495" i="30"/>
  <c r="H502" i="30"/>
  <c r="H494" i="30"/>
  <c r="H504" i="30"/>
  <c r="G496" i="30"/>
  <c r="G506" i="30"/>
  <c r="G498" i="30"/>
  <c r="G504" i="30"/>
  <c r="G495" i="30"/>
  <c r="I495" i="30" s="1"/>
  <c r="K495" i="30" s="1"/>
  <c r="H509" i="30"/>
  <c r="H500" i="30"/>
  <c r="H491" i="30"/>
  <c r="H508" i="30"/>
  <c r="G505" i="30"/>
  <c r="H498" i="30"/>
  <c r="G502" i="30"/>
  <c r="G500" i="30"/>
  <c r="G497" i="30"/>
  <c r="H493" i="30"/>
  <c r="H496" i="30"/>
  <c r="H492" i="30"/>
  <c r="G493" i="30"/>
  <c r="H505" i="30"/>
  <c r="G508" i="30"/>
  <c r="G491" i="30"/>
  <c r="H507" i="30"/>
  <c r="H501" i="30"/>
  <c r="N491" i="30"/>
  <c r="H186" i="30"/>
  <c r="I186" i="30" s="1"/>
  <c r="H187" i="30"/>
  <c r="I187" i="30" s="1"/>
  <c r="H160" i="30"/>
  <c r="H188" i="30"/>
  <c r="I188" i="30" s="1"/>
  <c r="G160" i="30"/>
  <c r="H162" i="30"/>
  <c r="H161" i="30"/>
  <c r="G161" i="30"/>
  <c r="N160" i="30"/>
  <c r="G162" i="30"/>
  <c r="G479" i="30"/>
  <c r="G485" i="30"/>
  <c r="G477" i="30"/>
  <c r="H487" i="30"/>
  <c r="H479" i="30"/>
  <c r="G483" i="30"/>
  <c r="G475" i="30"/>
  <c r="H485" i="30"/>
  <c r="H477" i="30"/>
  <c r="G482" i="30"/>
  <c r="H476" i="30"/>
  <c r="H475" i="30"/>
  <c r="H484" i="30"/>
  <c r="G488" i="30"/>
  <c r="G480" i="30"/>
  <c r="H482" i="30"/>
  <c r="G487" i="30"/>
  <c r="H489" i="30"/>
  <c r="H481" i="30"/>
  <c r="G484" i="30"/>
  <c r="G481" i="30"/>
  <c r="G478" i="30"/>
  <c r="G476" i="30"/>
  <c r="H488" i="30"/>
  <c r="G489" i="30"/>
  <c r="G486" i="30"/>
  <c r="H486" i="30"/>
  <c r="H483" i="30"/>
  <c r="H478" i="30"/>
  <c r="H480" i="30"/>
  <c r="N475" i="30"/>
  <c r="H661" i="30"/>
  <c r="G659" i="30"/>
  <c r="H660" i="30"/>
  <c r="G657" i="30"/>
  <c r="H659" i="30"/>
  <c r="H658" i="30"/>
  <c r="G661" i="30"/>
  <c r="H657" i="30"/>
  <c r="G660" i="30"/>
  <c r="G658" i="30"/>
  <c r="N657" i="30"/>
  <c r="G594" i="30"/>
  <c r="G593" i="30"/>
  <c r="H594" i="30"/>
  <c r="H593" i="30"/>
  <c r="H592" i="30"/>
  <c r="G592" i="30"/>
  <c r="N592" i="30"/>
  <c r="G234" i="30"/>
  <c r="G237" i="30"/>
  <c r="G235" i="30"/>
  <c r="H238" i="30"/>
  <c r="N234" i="30"/>
  <c r="H236" i="30"/>
  <c r="H239" i="30"/>
  <c r="G239" i="30"/>
  <c r="G238" i="30"/>
  <c r="G236" i="30"/>
  <c r="H235" i="30"/>
  <c r="H234" i="30"/>
  <c r="H607" i="30"/>
  <c r="H605" i="30"/>
  <c r="G603" i="30"/>
  <c r="H606" i="30"/>
  <c r="H604" i="30"/>
  <c r="G601" i="30"/>
  <c r="H603" i="30"/>
  <c r="G608" i="30"/>
  <c r="G600" i="30"/>
  <c r="G597" i="30"/>
  <c r="H599" i="30"/>
  <c r="H602" i="30"/>
  <c r="G607" i="30"/>
  <c r="G599" i="30"/>
  <c r="H597" i="30"/>
  <c r="H571" i="30"/>
  <c r="I571" i="30" s="1"/>
  <c r="H601" i="30"/>
  <c r="G606" i="30"/>
  <c r="G598" i="30"/>
  <c r="H570" i="30"/>
  <c r="I570" i="30" s="1"/>
  <c r="G605" i="30"/>
  <c r="H598" i="30"/>
  <c r="H608" i="30"/>
  <c r="H600" i="30"/>
  <c r="G604" i="30"/>
  <c r="G602" i="30"/>
  <c r="N597" i="30"/>
  <c r="H636" i="30"/>
  <c r="G634" i="30"/>
  <c r="H637" i="30"/>
  <c r="G637" i="30"/>
  <c r="G636" i="30"/>
  <c r="H635" i="30"/>
  <c r="G635" i="30"/>
  <c r="H634" i="30"/>
  <c r="N634" i="30"/>
  <c r="G437" i="30"/>
  <c r="H452" i="30"/>
  <c r="H444" i="30"/>
  <c r="G448" i="30"/>
  <c r="G440" i="30"/>
  <c r="H451" i="30"/>
  <c r="H450" i="30"/>
  <c r="H442" i="30"/>
  <c r="G454" i="30"/>
  <c r="G446" i="30"/>
  <c r="G438" i="30"/>
  <c r="N437" i="30"/>
  <c r="H455" i="30"/>
  <c r="G451" i="30"/>
  <c r="I451" i="30" s="1"/>
  <c r="K451" i="30" s="1"/>
  <c r="G443" i="30"/>
  <c r="H449" i="30"/>
  <c r="H441" i="30"/>
  <c r="G453" i="30"/>
  <c r="G445" i="30"/>
  <c r="H447" i="30"/>
  <c r="H448" i="30"/>
  <c r="H440" i="30"/>
  <c r="G452" i="30"/>
  <c r="G444" i="30"/>
  <c r="H439" i="30"/>
  <c r="H453" i="30"/>
  <c r="H445" i="30"/>
  <c r="H437" i="30"/>
  <c r="G449" i="30"/>
  <c r="G441" i="30"/>
  <c r="H443" i="30"/>
  <c r="G455" i="30"/>
  <c r="G447" i="30"/>
  <c r="G439" i="30"/>
  <c r="H438" i="30"/>
  <c r="G442" i="30"/>
  <c r="G450" i="30"/>
  <c r="H454" i="30"/>
  <c r="H446" i="30"/>
  <c r="H182" i="30"/>
  <c r="I182" i="30" s="1"/>
  <c r="H181" i="30"/>
  <c r="I181" i="30" s="1"/>
  <c r="H180" i="30"/>
  <c r="I180" i="30" s="1"/>
  <c r="H195" i="30"/>
  <c r="H179" i="30"/>
  <c r="I179" i="30" s="1"/>
  <c r="G198" i="30"/>
  <c r="H198" i="30"/>
  <c r="G197" i="30"/>
  <c r="H197" i="30"/>
  <c r="G199" i="30"/>
  <c r="H199" i="30"/>
  <c r="N195" i="30"/>
  <c r="H196" i="30"/>
  <c r="H201" i="30"/>
  <c r="H200" i="30"/>
  <c r="H202" i="30"/>
  <c r="G202" i="30"/>
  <c r="G201" i="30"/>
  <c r="G200" i="30"/>
  <c r="G196" i="30"/>
  <c r="G195" i="30"/>
  <c r="H284" i="30"/>
  <c r="I284" i="30" s="1"/>
  <c r="H283" i="30"/>
  <c r="I283" i="30" s="1"/>
  <c r="H281" i="30"/>
  <c r="I281" i="30" s="1"/>
  <c r="H252" i="30"/>
  <c r="H250" i="30"/>
  <c r="G252" i="30"/>
  <c r="H251" i="30"/>
  <c r="N250" i="30"/>
  <c r="G251" i="30"/>
  <c r="G250" i="30"/>
  <c r="H429" i="30"/>
  <c r="G421" i="30"/>
  <c r="H431" i="30"/>
  <c r="H422" i="30"/>
  <c r="G430" i="30"/>
  <c r="G422" i="30"/>
  <c r="H421" i="30"/>
  <c r="H428" i="30"/>
  <c r="G428" i="30"/>
  <c r="H425" i="30"/>
  <c r="G425" i="30"/>
  <c r="H435" i="30"/>
  <c r="H427" i="30"/>
  <c r="G435" i="30"/>
  <c r="G427" i="30"/>
  <c r="N421" i="30"/>
  <c r="H434" i="30"/>
  <c r="G433" i="30"/>
  <c r="H426" i="30"/>
  <c r="G434" i="30"/>
  <c r="G426" i="30"/>
  <c r="H432" i="30"/>
  <c r="H423" i="30"/>
  <c r="G431" i="30"/>
  <c r="G423" i="30"/>
  <c r="H430" i="30"/>
  <c r="G429" i="30"/>
  <c r="H433" i="30"/>
  <c r="H424" i="30"/>
  <c r="G432" i="30"/>
  <c r="I432" i="30" s="1"/>
  <c r="K432" i="30" s="1"/>
  <c r="G424" i="30"/>
  <c r="H389" i="30"/>
  <c r="H387" i="30"/>
  <c r="G387" i="30"/>
  <c r="N387" i="30"/>
  <c r="G388" i="30"/>
  <c r="H400" i="30"/>
  <c r="H392" i="30"/>
  <c r="G395" i="30"/>
  <c r="H391" i="30"/>
  <c r="G394" i="30"/>
  <c r="H398" i="30"/>
  <c r="H390" i="30"/>
  <c r="G393" i="30"/>
  <c r="G391" i="30"/>
  <c r="H395" i="30"/>
  <c r="G398" i="30"/>
  <c r="H397" i="30"/>
  <c r="H388" i="30"/>
  <c r="G400" i="30"/>
  <c r="G392" i="30"/>
  <c r="H396" i="30"/>
  <c r="G390" i="30"/>
  <c r="G389" i="30"/>
  <c r="G399" i="30"/>
  <c r="H394" i="30"/>
  <c r="H393" i="30"/>
  <c r="G396" i="30"/>
  <c r="H399" i="30"/>
  <c r="G397" i="30"/>
  <c r="H686" i="30"/>
  <c r="H685" i="30"/>
  <c r="H684" i="30"/>
  <c r="G686" i="30"/>
  <c r="G685" i="30"/>
  <c r="G684" i="30"/>
  <c r="N684" i="30"/>
  <c r="G293" i="30"/>
  <c r="N293" i="30"/>
  <c r="H293" i="30"/>
  <c r="N350" i="30"/>
  <c r="H350" i="30"/>
  <c r="L350" i="30" s="1"/>
  <c r="N386" i="30"/>
  <c r="H386" i="30"/>
  <c r="L386" i="30" s="1"/>
  <c r="N203" i="30"/>
  <c r="H203" i="30"/>
  <c r="G203" i="30"/>
  <c r="H681" i="30"/>
  <c r="G683" i="30"/>
  <c r="H680" i="30"/>
  <c r="G682" i="30"/>
  <c r="G681" i="30"/>
  <c r="G680" i="30"/>
  <c r="H682" i="30"/>
  <c r="H683" i="30"/>
  <c r="N680" i="30"/>
  <c r="G413" i="30"/>
  <c r="G405" i="30"/>
  <c r="H413" i="30"/>
  <c r="H405" i="30"/>
  <c r="G411" i="30"/>
  <c r="H412" i="30"/>
  <c r="G410" i="30"/>
  <c r="H420" i="30"/>
  <c r="H419" i="30"/>
  <c r="H411" i="30"/>
  <c r="G418" i="30"/>
  <c r="G409" i="30"/>
  <c r="H408" i="30"/>
  <c r="G406" i="30"/>
  <c r="N405" i="30"/>
  <c r="H418" i="30"/>
  <c r="H410" i="30"/>
  <c r="G417" i="30"/>
  <c r="G408" i="30"/>
  <c r="H416" i="30"/>
  <c r="G415" i="30"/>
  <c r="G420" i="30"/>
  <c r="H417" i="30"/>
  <c r="H409" i="30"/>
  <c r="G416" i="30"/>
  <c r="G407" i="30"/>
  <c r="H414" i="30"/>
  <c r="H406" i="30"/>
  <c r="G412" i="30"/>
  <c r="G419" i="30"/>
  <c r="H407" i="30"/>
  <c r="G414" i="30"/>
  <c r="H415" i="30"/>
  <c r="H304" i="30"/>
  <c r="G297" i="30"/>
  <c r="H303" i="30"/>
  <c r="G295" i="30"/>
  <c r="G304" i="30"/>
  <c r="H310" i="30"/>
  <c r="H302" i="30"/>
  <c r="G303" i="30"/>
  <c r="H307" i="30"/>
  <c r="G300" i="30"/>
  <c r="N295" i="30"/>
  <c r="H309" i="30"/>
  <c r="H301" i="30"/>
  <c r="G310" i="30"/>
  <c r="I310" i="30" s="1"/>
  <c r="K310" i="30" s="1"/>
  <c r="G302" i="30"/>
  <c r="I302" i="30" s="1"/>
  <c r="K302" i="30" s="1"/>
  <c r="H308" i="30"/>
  <c r="H300" i="30"/>
  <c r="G309" i="30"/>
  <c r="H298" i="30"/>
  <c r="G299" i="30"/>
  <c r="G301" i="30"/>
  <c r="I301" i="30" s="1"/>
  <c r="K301" i="30" s="1"/>
  <c r="H299" i="30"/>
  <c r="G308" i="30"/>
  <c r="H306" i="30"/>
  <c r="G307" i="30"/>
  <c r="I307" i="30" s="1"/>
  <c r="K307" i="30" s="1"/>
  <c r="H305" i="30"/>
  <c r="H297" i="30"/>
  <c r="G306" i="30"/>
  <c r="G298" i="30"/>
  <c r="H296" i="30"/>
  <c r="G305" i="30"/>
  <c r="H295" i="30"/>
  <c r="G296" i="30"/>
  <c r="H596" i="30"/>
  <c r="G595" i="30"/>
  <c r="H595" i="30"/>
  <c r="G596" i="30"/>
  <c r="N595" i="30"/>
  <c r="H353" i="30"/>
  <c r="H351" i="30"/>
  <c r="G351" i="30"/>
  <c r="G352" i="30"/>
  <c r="N351" i="30"/>
  <c r="H356" i="30"/>
  <c r="G354" i="30"/>
  <c r="H363" i="30"/>
  <c r="H362" i="30"/>
  <c r="H354" i="30"/>
  <c r="G359" i="30"/>
  <c r="G363" i="30"/>
  <c r="G361" i="30"/>
  <c r="H359" i="30"/>
  <c r="H361" i="30"/>
  <c r="H352" i="30"/>
  <c r="G358" i="30"/>
  <c r="G362" i="30"/>
  <c r="H360" i="30"/>
  <c r="G357" i="30"/>
  <c r="H358" i="30"/>
  <c r="G356" i="30"/>
  <c r="I356" i="30" s="1"/>
  <c r="K356" i="30" s="1"/>
  <c r="G360" i="30"/>
  <c r="H357" i="30"/>
  <c r="G355" i="30"/>
  <c r="H364" i="30"/>
  <c r="H355" i="30"/>
  <c r="G353" i="30"/>
  <c r="G364" i="30"/>
  <c r="H227" i="30"/>
  <c r="H226" i="30"/>
  <c r="N224" i="30"/>
  <c r="H224" i="30"/>
  <c r="H225" i="30"/>
  <c r="H557" i="30"/>
  <c r="H548" i="30"/>
  <c r="G557" i="30"/>
  <c r="G549" i="30"/>
  <c r="H556" i="30"/>
  <c r="H546" i="30"/>
  <c r="H555" i="30"/>
  <c r="H545" i="30"/>
  <c r="G563" i="30"/>
  <c r="G555" i="30"/>
  <c r="G547" i="30"/>
  <c r="H562" i="30"/>
  <c r="H553" i="30"/>
  <c r="G561" i="30"/>
  <c r="G553" i="30"/>
  <c r="G545" i="30"/>
  <c r="I545" i="30" s="1"/>
  <c r="K545" i="30" s="1"/>
  <c r="H560" i="30"/>
  <c r="H561" i="30"/>
  <c r="H552" i="30"/>
  <c r="G560" i="30"/>
  <c r="G552" i="30"/>
  <c r="H550" i="30"/>
  <c r="H551" i="30"/>
  <c r="H559" i="30"/>
  <c r="H549" i="30"/>
  <c r="G558" i="30"/>
  <c r="G550" i="30"/>
  <c r="H547" i="30"/>
  <c r="G556" i="30"/>
  <c r="H554" i="30"/>
  <c r="G551" i="30"/>
  <c r="I551" i="30" s="1"/>
  <c r="K551" i="30" s="1"/>
  <c r="G548" i="30"/>
  <c r="G546" i="30"/>
  <c r="G559" i="30"/>
  <c r="H563" i="30"/>
  <c r="G554" i="30"/>
  <c r="G562" i="30"/>
  <c r="H558" i="30"/>
  <c r="N545" i="30"/>
  <c r="N163" i="30"/>
  <c r="H178" i="30"/>
  <c r="H170" i="30"/>
  <c r="H175" i="30"/>
  <c r="H173" i="30"/>
  <c r="H164" i="30"/>
  <c r="H177" i="30"/>
  <c r="H169" i="30"/>
  <c r="H176" i="30"/>
  <c r="H168" i="30"/>
  <c r="H167" i="30"/>
  <c r="H165" i="30"/>
  <c r="H163" i="30"/>
  <c r="H174" i="30"/>
  <c r="H171" i="30"/>
  <c r="H166" i="30"/>
  <c r="H172" i="30"/>
  <c r="G163" i="30"/>
  <c r="G174" i="30"/>
  <c r="G166" i="30"/>
  <c r="G177" i="30"/>
  <c r="G173" i="30"/>
  <c r="G165" i="30"/>
  <c r="G172" i="30"/>
  <c r="G164" i="30"/>
  <c r="G169" i="30"/>
  <c r="G170" i="30"/>
  <c r="I170" i="30" s="1"/>
  <c r="K170" i="30" s="1"/>
  <c r="G168" i="30"/>
  <c r="G167" i="30"/>
  <c r="G171" i="30"/>
  <c r="G176" i="30"/>
  <c r="G178" i="30"/>
  <c r="G175" i="30"/>
  <c r="H313" i="30"/>
  <c r="G313" i="30"/>
  <c r="G312" i="30"/>
  <c r="H312" i="30"/>
  <c r="G311" i="30"/>
  <c r="N311" i="30"/>
  <c r="H311" i="30"/>
  <c r="N208" i="30"/>
  <c r="G208" i="30"/>
  <c r="H223" i="30"/>
  <c r="H215" i="30"/>
  <c r="H218" i="30"/>
  <c r="H217" i="30"/>
  <c r="H208" i="30"/>
  <c r="H222" i="30"/>
  <c r="H214" i="30"/>
  <c r="H213" i="30"/>
  <c r="H220" i="30"/>
  <c r="H212" i="30"/>
  <c r="H221" i="30"/>
  <c r="H219" i="30"/>
  <c r="H210" i="30"/>
  <c r="H209" i="30"/>
  <c r="H211" i="30"/>
  <c r="H216" i="30"/>
  <c r="G223" i="30"/>
  <c r="I223" i="30" s="1"/>
  <c r="K223" i="30" s="1"/>
  <c r="G219" i="30"/>
  <c r="G211" i="30"/>
  <c r="G218" i="30"/>
  <c r="G210" i="30"/>
  <c r="I210" i="30" s="1"/>
  <c r="K210" i="30" s="1"/>
  <c r="G209" i="30"/>
  <c r="I209" i="30" s="1"/>
  <c r="K209" i="30" s="1"/>
  <c r="G217" i="30"/>
  <c r="G216" i="30"/>
  <c r="G215" i="30"/>
  <c r="G222" i="30"/>
  <c r="G214" i="30"/>
  <c r="G213" i="30"/>
  <c r="G221" i="30"/>
  <c r="G220" i="30"/>
  <c r="G212" i="30"/>
  <c r="H458" i="30"/>
  <c r="H457" i="30"/>
  <c r="N457" i="30"/>
  <c r="H511" i="30"/>
  <c r="H512" i="30"/>
  <c r="N511" i="30"/>
  <c r="H334" i="30"/>
  <c r="H341" i="30"/>
  <c r="G342" i="30"/>
  <c r="H340" i="30"/>
  <c r="H332" i="30"/>
  <c r="G346" i="30"/>
  <c r="G338" i="30"/>
  <c r="H346" i="30"/>
  <c r="H337" i="30"/>
  <c r="G335" i="30"/>
  <c r="N331" i="30"/>
  <c r="H339" i="30"/>
  <c r="H331" i="30"/>
  <c r="G345" i="30"/>
  <c r="G337" i="30"/>
  <c r="H338" i="30"/>
  <c r="G344" i="30"/>
  <c r="H345" i="30"/>
  <c r="G336" i="30"/>
  <c r="G343" i="30"/>
  <c r="H344" i="30"/>
  <c r="H336" i="30"/>
  <c r="H343" i="30"/>
  <c r="H335" i="30"/>
  <c r="G331" i="30"/>
  <c r="G341" i="30"/>
  <c r="I341" i="30" s="1"/>
  <c r="K341" i="30" s="1"/>
  <c r="G333" i="30"/>
  <c r="H342" i="30"/>
  <c r="G340" i="30"/>
  <c r="G332" i="30"/>
  <c r="H333" i="30"/>
  <c r="G339" i="30"/>
  <c r="G334" i="30"/>
  <c r="I334" i="30" s="1"/>
  <c r="K334" i="30" s="1"/>
  <c r="G329" i="30"/>
  <c r="N329" i="30"/>
  <c r="H329" i="30"/>
  <c r="H262" i="30"/>
  <c r="H261" i="30"/>
  <c r="H268" i="30"/>
  <c r="H260" i="30"/>
  <c r="H266" i="30"/>
  <c r="H264" i="30"/>
  <c r="H267" i="30"/>
  <c r="H259" i="30"/>
  <c r="H258" i="30"/>
  <c r="H265" i="30"/>
  <c r="H257" i="30"/>
  <c r="H256" i="30"/>
  <c r="H263" i="30"/>
  <c r="H255" i="30"/>
  <c r="H254" i="30"/>
  <c r="H253" i="30"/>
  <c r="G264" i="30"/>
  <c r="G256" i="30"/>
  <c r="G262" i="30"/>
  <c r="G261" i="30"/>
  <c r="G253" i="30"/>
  <c r="G268" i="30"/>
  <c r="G263" i="30"/>
  <c r="G255" i="30"/>
  <c r="N253" i="30"/>
  <c r="G254" i="30"/>
  <c r="G260" i="30"/>
  <c r="G267" i="30"/>
  <c r="G259" i="30"/>
  <c r="G266" i="30"/>
  <c r="G258" i="30"/>
  <c r="G265" i="30"/>
  <c r="G257" i="30"/>
  <c r="H527" i="30"/>
  <c r="H519" i="30"/>
  <c r="G528" i="30"/>
  <c r="G520" i="30"/>
  <c r="H518" i="30"/>
  <c r="G513" i="30"/>
  <c r="H525" i="30"/>
  <c r="H517" i="30"/>
  <c r="G526" i="30"/>
  <c r="G518" i="30"/>
  <c r="H523" i="30"/>
  <c r="H515" i="30"/>
  <c r="G524" i="30"/>
  <c r="G516" i="30"/>
  <c r="H522" i="30"/>
  <c r="H514" i="30"/>
  <c r="G523" i="30"/>
  <c r="G515" i="30"/>
  <c r="H521" i="30"/>
  <c r="H528" i="30"/>
  <c r="H520" i="30"/>
  <c r="G521" i="30"/>
  <c r="H526" i="30"/>
  <c r="G525" i="30"/>
  <c r="G522" i="30"/>
  <c r="G514" i="30"/>
  <c r="H513" i="30"/>
  <c r="G519" i="30"/>
  <c r="G517" i="30"/>
  <c r="H524" i="30"/>
  <c r="H516" i="30"/>
  <c r="G527" i="30"/>
  <c r="N513" i="30"/>
  <c r="H242" i="30"/>
  <c r="G244" i="30"/>
  <c r="G243" i="30"/>
  <c r="G242" i="30"/>
  <c r="H243" i="30"/>
  <c r="H244" i="30"/>
  <c r="N240" i="30"/>
  <c r="G240" i="30"/>
  <c r="H245" i="30"/>
  <c r="H237" i="30"/>
  <c r="H246" i="30"/>
  <c r="H240" i="30"/>
  <c r="H247" i="30"/>
  <c r="G241" i="30"/>
  <c r="H241" i="30"/>
  <c r="G247" i="30"/>
  <c r="G246" i="30"/>
  <c r="G245" i="30"/>
  <c r="G566" i="30"/>
  <c r="G565" i="30"/>
  <c r="H566" i="30"/>
  <c r="H568" i="30"/>
  <c r="H565" i="30"/>
  <c r="H567" i="30"/>
  <c r="G569" i="30"/>
  <c r="G568" i="30"/>
  <c r="G567" i="30"/>
  <c r="H569" i="30"/>
  <c r="N565" i="30"/>
  <c r="H189" i="30"/>
  <c r="H192" i="30"/>
  <c r="H190" i="30"/>
  <c r="H193" i="30"/>
  <c r="H191" i="30"/>
  <c r="G194" i="30"/>
  <c r="G193" i="30"/>
  <c r="G189" i="30"/>
  <c r="G192" i="30"/>
  <c r="N189" i="30"/>
  <c r="G191" i="30"/>
  <c r="G190" i="30"/>
  <c r="H194" i="30"/>
  <c r="G544" i="30"/>
  <c r="H544" i="30"/>
  <c r="N544" i="30"/>
  <c r="H663" i="30"/>
  <c r="H662" i="30"/>
  <c r="N662" i="30"/>
  <c r="H472" i="30"/>
  <c r="G471" i="30"/>
  <c r="H470" i="30"/>
  <c r="H462" i="30"/>
  <c r="G469" i="30"/>
  <c r="G461" i="30"/>
  <c r="H468" i="30"/>
  <c r="H460" i="30"/>
  <c r="G467" i="30"/>
  <c r="H467" i="30"/>
  <c r="G466" i="30"/>
  <c r="H459" i="30"/>
  <c r="G459" i="30"/>
  <c r="H473" i="30"/>
  <c r="H465" i="30"/>
  <c r="G472" i="30"/>
  <c r="G464" i="30"/>
  <c r="H464" i="30"/>
  <c r="G463" i="30"/>
  <c r="H474" i="30"/>
  <c r="G468" i="30"/>
  <c r="H471" i="30"/>
  <c r="G465" i="30"/>
  <c r="I465" i="30" s="1"/>
  <c r="K465" i="30" s="1"/>
  <c r="H469" i="30"/>
  <c r="G460" i="30"/>
  <c r="G474" i="30"/>
  <c r="G473" i="30"/>
  <c r="G470" i="30"/>
  <c r="G462" i="30"/>
  <c r="H466" i="30"/>
  <c r="H463" i="30"/>
  <c r="H461" i="30"/>
  <c r="N459" i="30"/>
  <c r="G696" i="30"/>
  <c r="H700" i="30"/>
  <c r="G695" i="30"/>
  <c r="H699" i="30"/>
  <c r="G694" i="30"/>
  <c r="H698" i="30"/>
  <c r="G693" i="30"/>
  <c r="H695" i="30"/>
  <c r="G700" i="30"/>
  <c r="G692" i="30"/>
  <c r="H696" i="30"/>
  <c r="H693" i="30"/>
  <c r="H691" i="30"/>
  <c r="H692" i="30"/>
  <c r="G690" i="30"/>
  <c r="H694" i="30"/>
  <c r="G699" i="30"/>
  <c r="G691" i="30"/>
  <c r="H690" i="30"/>
  <c r="G698" i="30"/>
  <c r="H689" i="30"/>
  <c r="H697" i="30"/>
  <c r="G697" i="30"/>
  <c r="G689" i="30"/>
  <c r="N689" i="30"/>
  <c r="H701" i="30"/>
  <c r="G701" i="30"/>
  <c r="N701" i="30"/>
  <c r="H655" i="30"/>
  <c r="G655" i="30"/>
  <c r="N655" i="30"/>
  <c r="H269" i="30"/>
  <c r="I269" i="30" s="1"/>
  <c r="H285" i="30"/>
  <c r="H272" i="30"/>
  <c r="I272" i="30" s="1"/>
  <c r="H271" i="30"/>
  <c r="I271" i="30" s="1"/>
  <c r="H270" i="30"/>
  <c r="I270" i="30" s="1"/>
  <c r="H288" i="30"/>
  <c r="H287" i="30"/>
  <c r="G289" i="30"/>
  <c r="G288" i="30"/>
  <c r="H289" i="30"/>
  <c r="G287" i="30"/>
  <c r="H290" i="30"/>
  <c r="G292" i="30"/>
  <c r="G291" i="30"/>
  <c r="H286" i="30"/>
  <c r="N285" i="30"/>
  <c r="G290" i="30"/>
  <c r="G286" i="30"/>
  <c r="H292" i="30"/>
  <c r="G285" i="30"/>
  <c r="H291" i="30"/>
  <c r="H380" i="30"/>
  <c r="G373" i="30"/>
  <c r="H371" i="30"/>
  <c r="G372" i="30"/>
  <c r="G375" i="30"/>
  <c r="H378" i="30"/>
  <c r="H370" i="30"/>
  <c r="G379" i="30"/>
  <c r="G371" i="30"/>
  <c r="G369" i="30"/>
  <c r="H375" i="30"/>
  <c r="G368" i="30"/>
  <c r="H382" i="30"/>
  <c r="G367" i="30"/>
  <c r="H377" i="30"/>
  <c r="H369" i="30"/>
  <c r="G378" i="30"/>
  <c r="G370" i="30"/>
  <c r="H376" i="30"/>
  <c r="H368" i="30"/>
  <c r="G377" i="30"/>
  <c r="H367" i="30"/>
  <c r="H374" i="30"/>
  <c r="G376" i="30"/>
  <c r="H381" i="30"/>
  <c r="H373" i="30"/>
  <c r="G382" i="30"/>
  <c r="G374" i="30"/>
  <c r="H372" i="30"/>
  <c r="G381" i="30"/>
  <c r="H379" i="30"/>
  <c r="N367" i="30"/>
  <c r="G380" i="30"/>
  <c r="I380" i="30" s="1"/>
  <c r="K380" i="30" s="1"/>
  <c r="H316" i="30"/>
  <c r="H315" i="30"/>
  <c r="G315" i="30"/>
  <c r="G316" i="30"/>
  <c r="N315" i="30"/>
  <c r="H314" i="30"/>
  <c r="I314" i="30" s="1"/>
  <c r="G320" i="30"/>
  <c r="H324" i="30"/>
  <c r="H323" i="30"/>
  <c r="G318" i="30"/>
  <c r="H321" i="30"/>
  <c r="G327" i="30"/>
  <c r="H319" i="30"/>
  <c r="G325" i="30"/>
  <c r="H322" i="30"/>
  <c r="G328" i="30"/>
  <c r="H320" i="30"/>
  <c r="G323" i="30"/>
  <c r="G326" i="30"/>
  <c r="H327" i="30"/>
  <c r="H328" i="30"/>
  <c r="G322" i="30"/>
  <c r="H326" i="30"/>
  <c r="H318" i="30"/>
  <c r="G321" i="30"/>
  <c r="G324" i="30"/>
  <c r="H325" i="30"/>
  <c r="H317" i="30"/>
  <c r="G317" i="30"/>
  <c r="G319" i="30"/>
  <c r="H688" i="30"/>
  <c r="G687" i="30"/>
  <c r="H687" i="30"/>
  <c r="G688" i="30"/>
  <c r="N687" i="30"/>
  <c r="G626" i="30"/>
  <c r="H633" i="30"/>
  <c r="H625" i="30"/>
  <c r="G633" i="30"/>
  <c r="H632" i="30"/>
  <c r="G632" i="30"/>
  <c r="G624" i="30"/>
  <c r="H631" i="30"/>
  <c r="H623" i="30"/>
  <c r="G631" i="30"/>
  <c r="G623" i="30"/>
  <c r="H630" i="30"/>
  <c r="H622" i="30"/>
  <c r="G630" i="30"/>
  <c r="G622" i="30"/>
  <c r="H629" i="30"/>
  <c r="H621" i="30"/>
  <c r="G628" i="30"/>
  <c r="H627" i="30"/>
  <c r="G618" i="30"/>
  <c r="G629" i="30"/>
  <c r="G621" i="30"/>
  <c r="H628" i="30"/>
  <c r="H620" i="30"/>
  <c r="G620" i="30"/>
  <c r="H619" i="30"/>
  <c r="G627" i="30"/>
  <c r="I627" i="30" s="1"/>
  <c r="K627" i="30" s="1"/>
  <c r="G619" i="30"/>
  <c r="H626" i="30"/>
  <c r="H618" i="30"/>
  <c r="G625" i="30"/>
  <c r="H624" i="30"/>
  <c r="N618" i="30"/>
  <c r="G572" i="30"/>
  <c r="H583" i="30"/>
  <c r="H575" i="30"/>
  <c r="G585" i="30"/>
  <c r="G577" i="30"/>
  <c r="H574" i="30"/>
  <c r="G576" i="30"/>
  <c r="H587" i="30"/>
  <c r="H581" i="30"/>
  <c r="H573" i="30"/>
  <c r="G583" i="30"/>
  <c r="G575" i="30"/>
  <c r="H580" i="30"/>
  <c r="H572" i="30"/>
  <c r="G587" i="30"/>
  <c r="H579" i="30"/>
  <c r="G581" i="30"/>
  <c r="G573" i="30"/>
  <c r="I573" i="30" s="1"/>
  <c r="K573" i="30" s="1"/>
  <c r="H577" i="30"/>
  <c r="G579" i="30"/>
  <c r="H586" i="30"/>
  <c r="H578" i="30"/>
  <c r="G580" i="30"/>
  <c r="H585" i="30"/>
  <c r="H584" i="30"/>
  <c r="H576" i="30"/>
  <c r="G586" i="30"/>
  <c r="G578" i="30"/>
  <c r="H582" i="30"/>
  <c r="G584" i="30"/>
  <c r="G574" i="30"/>
  <c r="G582" i="30"/>
  <c r="N572" i="30"/>
  <c r="H167" i="77"/>
  <c r="H161" i="77"/>
  <c r="H173" i="77"/>
  <c r="I50" i="77"/>
  <c r="I64" i="77"/>
  <c r="H179" i="77"/>
  <c r="H97" i="77"/>
  <c r="H145" i="77"/>
  <c r="H119" i="77"/>
  <c r="H91" i="77"/>
  <c r="H73" i="77"/>
  <c r="H131" i="77"/>
  <c r="H137" i="77"/>
  <c r="H153" i="77"/>
  <c r="H108" i="77"/>
  <c r="G366" i="55"/>
  <c r="G376" i="55"/>
  <c r="G381" i="55"/>
  <c r="G375" i="55"/>
  <c r="G377" i="55" s="1"/>
  <c r="G378" i="55"/>
  <c r="G387" i="55"/>
  <c r="G382" i="55"/>
  <c r="G320" i="55"/>
  <c r="E326" i="55"/>
  <c r="G322" i="55" s="1"/>
  <c r="H326" i="55"/>
  <c r="F326" i="55"/>
  <c r="E337" i="55"/>
  <c r="G329" i="55" s="1"/>
  <c r="H337" i="55"/>
  <c r="F337" i="55"/>
  <c r="H342" i="55"/>
  <c r="F342" i="55"/>
  <c r="E342" i="55"/>
  <c r="E353" i="55"/>
  <c r="G350" i="55" s="1"/>
  <c r="H353" i="55"/>
  <c r="F353" i="55"/>
  <c r="H348" i="55"/>
  <c r="F348" i="55"/>
  <c r="E348" i="55"/>
  <c r="G344" i="55" s="1"/>
  <c r="I581" i="30" l="1"/>
  <c r="K581" i="30" s="1"/>
  <c r="I556" i="30"/>
  <c r="K556" i="30" s="1"/>
  <c r="I237" i="30"/>
  <c r="K237" i="30" s="1"/>
  <c r="I671" i="30"/>
  <c r="K671" i="30" s="1"/>
  <c r="I216" i="30"/>
  <c r="K216" i="30" s="1"/>
  <c r="L216" i="30" s="1"/>
  <c r="I607" i="30"/>
  <c r="K607" i="30" s="1"/>
  <c r="L607" i="30" s="1"/>
  <c r="I582" i="30"/>
  <c r="K582" i="30" s="1"/>
  <c r="L582" i="30" s="1"/>
  <c r="I316" i="30"/>
  <c r="K314" i="30" s="1"/>
  <c r="I286" i="30"/>
  <c r="K286" i="30" s="1"/>
  <c r="L286" i="30" s="1"/>
  <c r="I578" i="30"/>
  <c r="K578" i="30" s="1"/>
  <c r="L578" i="30" s="1"/>
  <c r="I575" i="30"/>
  <c r="K575" i="30" s="1"/>
  <c r="L575" i="30" s="1"/>
  <c r="I687" i="30"/>
  <c r="K687" i="30" s="1"/>
  <c r="L687" i="30" s="1"/>
  <c r="I371" i="30"/>
  <c r="K371" i="30" s="1"/>
  <c r="L371" i="30" s="1"/>
  <c r="I461" i="30"/>
  <c r="K461" i="30" s="1"/>
  <c r="L662" i="30"/>
  <c r="L457" i="30"/>
  <c r="I633" i="30"/>
  <c r="K633" i="30" s="1"/>
  <c r="L633" i="30" s="1"/>
  <c r="I375" i="30"/>
  <c r="K375" i="30" s="1"/>
  <c r="L375" i="30" s="1"/>
  <c r="I222" i="30"/>
  <c r="K222" i="30" s="1"/>
  <c r="L222" i="30" s="1"/>
  <c r="I219" i="30"/>
  <c r="K219" i="30" s="1"/>
  <c r="L219" i="30" s="1"/>
  <c r="I312" i="30"/>
  <c r="K312" i="30" s="1"/>
  <c r="I168" i="30"/>
  <c r="K168" i="30" s="1"/>
  <c r="L168" i="30" s="1"/>
  <c r="I166" i="30"/>
  <c r="K166" i="30" s="1"/>
  <c r="L166" i="30" s="1"/>
  <c r="I557" i="30"/>
  <c r="K557" i="30" s="1"/>
  <c r="L557" i="30" s="1"/>
  <c r="I405" i="30"/>
  <c r="K405" i="30" s="1"/>
  <c r="L405" i="30" s="1"/>
  <c r="I472" i="30"/>
  <c r="K472" i="30" s="1"/>
  <c r="L472" i="30" s="1"/>
  <c r="I177" i="30"/>
  <c r="K177" i="30" s="1"/>
  <c r="L177" i="30" s="1"/>
  <c r="I554" i="30"/>
  <c r="K554" i="30" s="1"/>
  <c r="L554" i="30" s="1"/>
  <c r="I306" i="30"/>
  <c r="K306" i="30" s="1"/>
  <c r="L306" i="30" s="1"/>
  <c r="I299" i="30"/>
  <c r="K299" i="30" s="1"/>
  <c r="L299" i="30" s="1"/>
  <c r="I201" i="30"/>
  <c r="K201" i="30" s="1"/>
  <c r="L201" i="30" s="1"/>
  <c r="I502" i="30"/>
  <c r="K502" i="30" s="1"/>
  <c r="L502" i="30" s="1"/>
  <c r="I629" i="30"/>
  <c r="K629" i="30" s="1"/>
  <c r="L629" i="30" s="1"/>
  <c r="I328" i="30"/>
  <c r="K328" i="30" s="1"/>
  <c r="L328" i="30" s="1"/>
  <c r="I378" i="30"/>
  <c r="K378" i="30" s="1"/>
  <c r="L378" i="30" s="1"/>
  <c r="I694" i="30"/>
  <c r="K694" i="30" s="1"/>
  <c r="L694" i="30" s="1"/>
  <c r="I550" i="30"/>
  <c r="K550" i="30" s="1"/>
  <c r="L550" i="30" s="1"/>
  <c r="I547" i="30"/>
  <c r="I364" i="30"/>
  <c r="K364" i="30" s="1"/>
  <c r="L364" i="30" s="1"/>
  <c r="I361" i="30"/>
  <c r="K361" i="30" s="1"/>
  <c r="L361" i="30" s="1"/>
  <c r="I684" i="30"/>
  <c r="K684" i="30" s="1"/>
  <c r="L684" i="30" s="1"/>
  <c r="I396" i="30"/>
  <c r="K396" i="30" s="1"/>
  <c r="L396" i="30" s="1"/>
  <c r="I400" i="30"/>
  <c r="K400" i="30" s="1"/>
  <c r="L400" i="30" s="1"/>
  <c r="I444" i="30"/>
  <c r="K444" i="30" s="1"/>
  <c r="L444" i="30" s="1"/>
  <c r="I659" i="30"/>
  <c r="K659" i="30" s="1"/>
  <c r="L659" i="30" s="1"/>
  <c r="I487" i="30"/>
  <c r="K487" i="30" s="1"/>
  <c r="N402" i="30"/>
  <c r="I357" i="30"/>
  <c r="K357" i="30" s="1"/>
  <c r="L357" i="30" s="1"/>
  <c r="I363" i="30"/>
  <c r="K363" i="30" s="1"/>
  <c r="L363" i="30" s="1"/>
  <c r="I603" i="30"/>
  <c r="K603" i="30" s="1"/>
  <c r="L603" i="30" s="1"/>
  <c r="I672" i="30"/>
  <c r="K672" i="30" s="1"/>
  <c r="L672" i="30" s="1"/>
  <c r="I193" i="30"/>
  <c r="I565" i="30"/>
  <c r="I242" i="30"/>
  <c r="I517" i="30"/>
  <c r="K517" i="30" s="1"/>
  <c r="L517" i="30" s="1"/>
  <c r="I524" i="30"/>
  <c r="K524" i="30" s="1"/>
  <c r="L524" i="30" s="1"/>
  <c r="I266" i="30"/>
  <c r="K266" i="30" s="1"/>
  <c r="L266" i="30" s="1"/>
  <c r="I268" i="30"/>
  <c r="K268" i="30" s="1"/>
  <c r="L268" i="30" s="1"/>
  <c r="L458" i="30"/>
  <c r="I208" i="30"/>
  <c r="K208" i="30" s="1"/>
  <c r="L208" i="30" s="1"/>
  <c r="I163" i="30"/>
  <c r="K163" i="30" s="1"/>
  <c r="L163" i="30" s="1"/>
  <c r="I546" i="30"/>
  <c r="K546" i="30" s="1"/>
  <c r="L546" i="30" s="1"/>
  <c r="I296" i="30"/>
  <c r="K296" i="30" s="1"/>
  <c r="L296" i="30" s="1"/>
  <c r="I683" i="30"/>
  <c r="I424" i="30"/>
  <c r="K424" i="30" s="1"/>
  <c r="L424" i="30" s="1"/>
  <c r="I427" i="30"/>
  <c r="K427" i="30" s="1"/>
  <c r="L427" i="30" s="1"/>
  <c r="I251" i="30"/>
  <c r="I483" i="30"/>
  <c r="K483" i="30" s="1"/>
  <c r="L483" i="30" s="1"/>
  <c r="I645" i="30"/>
  <c r="I620" i="30"/>
  <c r="K620" i="30" s="1"/>
  <c r="I700" i="30"/>
  <c r="K700" i="30" s="1"/>
  <c r="L700" i="30" s="1"/>
  <c r="I528" i="30"/>
  <c r="K528" i="30" s="1"/>
  <c r="L528" i="30" s="1"/>
  <c r="I267" i="30"/>
  <c r="K267" i="30" s="1"/>
  <c r="L267" i="30" s="1"/>
  <c r="I220" i="30"/>
  <c r="K220" i="30" s="1"/>
  <c r="L220" i="30" s="1"/>
  <c r="I172" i="30"/>
  <c r="K172" i="30" s="1"/>
  <c r="L172" i="30" s="1"/>
  <c r="I305" i="30"/>
  <c r="K305" i="30" s="1"/>
  <c r="L305" i="30" s="1"/>
  <c r="I308" i="30"/>
  <c r="K308" i="30" s="1"/>
  <c r="L308" i="30" s="1"/>
  <c r="I195" i="30"/>
  <c r="K179" i="30" s="1"/>
  <c r="I448" i="30"/>
  <c r="K448" i="30" s="1"/>
  <c r="L448" i="30" s="1"/>
  <c r="I608" i="30"/>
  <c r="K608" i="30" s="1"/>
  <c r="L608" i="30" s="1"/>
  <c r="L278" i="30"/>
  <c r="I677" i="30"/>
  <c r="K677" i="30" s="1"/>
  <c r="L677" i="30" s="1"/>
  <c r="I673" i="30"/>
  <c r="K673" i="30" s="1"/>
  <c r="L673" i="30" s="1"/>
  <c r="I699" i="30"/>
  <c r="K699" i="30" s="1"/>
  <c r="L699" i="30" s="1"/>
  <c r="I584" i="30"/>
  <c r="K584" i="30" s="1"/>
  <c r="L584" i="30" s="1"/>
  <c r="I624" i="30"/>
  <c r="K624" i="30" s="1"/>
  <c r="L624" i="30" s="1"/>
  <c r="I688" i="30"/>
  <c r="K688" i="30" s="1"/>
  <c r="L688" i="30" s="1"/>
  <c r="I693" i="30"/>
  <c r="K693" i="30" s="1"/>
  <c r="L693" i="30" s="1"/>
  <c r="I191" i="30"/>
  <c r="I247" i="30"/>
  <c r="K247" i="30" s="1"/>
  <c r="L247" i="30" s="1"/>
  <c r="I523" i="30"/>
  <c r="K523" i="30" s="1"/>
  <c r="L523" i="30" s="1"/>
  <c r="I254" i="30"/>
  <c r="K254" i="30" s="1"/>
  <c r="L254" i="30" s="1"/>
  <c r="I256" i="30"/>
  <c r="K256" i="30" s="1"/>
  <c r="L256" i="30" s="1"/>
  <c r="I332" i="30"/>
  <c r="K332" i="30" s="1"/>
  <c r="L332" i="30" s="1"/>
  <c r="I346" i="30"/>
  <c r="K346" i="30" s="1"/>
  <c r="L346" i="30" s="1"/>
  <c r="L226" i="30"/>
  <c r="I360" i="30"/>
  <c r="K360" i="30" s="1"/>
  <c r="L360" i="30" s="1"/>
  <c r="I354" i="30"/>
  <c r="K354" i="30" s="1"/>
  <c r="L354" i="30" s="1"/>
  <c r="I596" i="30"/>
  <c r="K596" i="30" s="1"/>
  <c r="L596" i="30" s="1"/>
  <c r="I304" i="30"/>
  <c r="K304" i="30" s="1"/>
  <c r="L304" i="30" s="1"/>
  <c r="I419" i="30"/>
  <c r="K419" i="30" s="1"/>
  <c r="L419" i="30" s="1"/>
  <c r="I397" i="30"/>
  <c r="K397" i="30" s="1"/>
  <c r="L397" i="30" s="1"/>
  <c r="I393" i="30"/>
  <c r="K393" i="30" s="1"/>
  <c r="L393" i="30" s="1"/>
  <c r="I388" i="30"/>
  <c r="K388" i="30" s="1"/>
  <c r="I434" i="30"/>
  <c r="K434" i="30" s="1"/>
  <c r="L434" i="30" s="1"/>
  <c r="I200" i="30"/>
  <c r="K200" i="30" s="1"/>
  <c r="L200" i="30" s="1"/>
  <c r="I446" i="30"/>
  <c r="K446" i="30" s="1"/>
  <c r="L446" i="30" s="1"/>
  <c r="I599" i="30"/>
  <c r="I236" i="30"/>
  <c r="I657" i="30"/>
  <c r="I491" i="30"/>
  <c r="K491" i="30" s="1"/>
  <c r="L491" i="30" s="1"/>
  <c r="I509" i="30"/>
  <c r="K509" i="30" s="1"/>
  <c r="L509" i="30" s="1"/>
  <c r="I678" i="30"/>
  <c r="K678" i="30" s="1"/>
  <c r="L678" i="30" s="1"/>
  <c r="I668" i="30"/>
  <c r="K668" i="30" s="1"/>
  <c r="L668" i="30" s="1"/>
  <c r="I167" i="30"/>
  <c r="K167" i="30" s="1"/>
  <c r="L167" i="30" s="1"/>
  <c r="I429" i="30"/>
  <c r="K429" i="30" s="1"/>
  <c r="L429" i="30" s="1"/>
  <c r="I634" i="30"/>
  <c r="K634" i="30" s="1"/>
  <c r="L634" i="30" s="1"/>
  <c r="I482" i="30"/>
  <c r="K482" i="30" s="1"/>
  <c r="L482" i="30" s="1"/>
  <c r="I485" i="30"/>
  <c r="K485" i="30" s="1"/>
  <c r="L485" i="30" s="1"/>
  <c r="I291" i="30"/>
  <c r="K291" i="30" s="1"/>
  <c r="L291" i="30" s="1"/>
  <c r="I387" i="30"/>
  <c r="K387" i="30" s="1"/>
  <c r="L387" i="30" s="1"/>
  <c r="I202" i="30"/>
  <c r="K202" i="30" s="1"/>
  <c r="L202" i="30" s="1"/>
  <c r="I239" i="30"/>
  <c r="I652" i="30"/>
  <c r="K652" i="30" s="1"/>
  <c r="L652" i="30" s="1"/>
  <c r="I335" i="30"/>
  <c r="K335" i="30" s="1"/>
  <c r="L335" i="30" s="1"/>
  <c r="I548" i="30"/>
  <c r="K548" i="30" s="1"/>
  <c r="I450" i="30"/>
  <c r="K404" i="30" s="1"/>
  <c r="I661" i="30"/>
  <c r="I414" i="30"/>
  <c r="K414" i="30" s="1"/>
  <c r="L414" i="30" s="1"/>
  <c r="I583" i="30"/>
  <c r="K583" i="30" s="1"/>
  <c r="L583" i="30" s="1"/>
  <c r="I379" i="30"/>
  <c r="K379" i="30" s="1"/>
  <c r="L379" i="30" s="1"/>
  <c r="I462" i="30"/>
  <c r="K462" i="30" s="1"/>
  <c r="L462" i="30" s="1"/>
  <c r="I459" i="30"/>
  <c r="K459" i="30" s="1"/>
  <c r="L459" i="30" s="1"/>
  <c r="I525" i="30"/>
  <c r="K525" i="30" s="1"/>
  <c r="L525" i="30" s="1"/>
  <c r="I340" i="30"/>
  <c r="K340" i="30" s="1"/>
  <c r="L340" i="30" s="1"/>
  <c r="I295" i="30"/>
  <c r="K295" i="30" s="1"/>
  <c r="L295" i="30" s="1"/>
  <c r="I412" i="30"/>
  <c r="K412" i="30" s="1"/>
  <c r="L412" i="30" s="1"/>
  <c r="I411" i="30"/>
  <c r="K411" i="30" s="1"/>
  <c r="L411" i="30" s="1"/>
  <c r="I680" i="30"/>
  <c r="K680" i="30" s="1"/>
  <c r="L680" i="30" s="1"/>
  <c r="I425" i="30"/>
  <c r="K425" i="30" s="1"/>
  <c r="L425" i="30" s="1"/>
  <c r="I199" i="30"/>
  <c r="K199" i="30" s="1"/>
  <c r="L199" i="30" s="1"/>
  <c r="I454" i="30"/>
  <c r="K454" i="30" s="1"/>
  <c r="L454" i="30" s="1"/>
  <c r="I605" i="30"/>
  <c r="I508" i="30"/>
  <c r="K508" i="30" s="1"/>
  <c r="L508" i="30" s="1"/>
  <c r="I654" i="30"/>
  <c r="K654" i="30" s="1"/>
  <c r="L654" i="30" s="1"/>
  <c r="L275" i="30"/>
  <c r="K275" i="30" s="1"/>
  <c r="I631" i="30"/>
  <c r="K631" i="30" s="1"/>
  <c r="L631" i="30" s="1"/>
  <c r="I189" i="30"/>
  <c r="K189" i="30" s="1"/>
  <c r="L189" i="30" s="1"/>
  <c r="I521" i="30"/>
  <c r="K521" i="30" s="1"/>
  <c r="L521" i="30" s="1"/>
  <c r="I516" i="30"/>
  <c r="K516" i="30" s="1"/>
  <c r="L516" i="30" s="1"/>
  <c r="I258" i="30"/>
  <c r="K258" i="30" s="1"/>
  <c r="L258" i="30" s="1"/>
  <c r="I263" i="30"/>
  <c r="K263" i="30" s="1"/>
  <c r="L263" i="30" s="1"/>
  <c r="I342" i="30"/>
  <c r="K342" i="30" s="1"/>
  <c r="L342" i="30" s="1"/>
  <c r="I352" i="30"/>
  <c r="K352" i="30" s="1"/>
  <c r="I300" i="30"/>
  <c r="K300" i="30" s="1"/>
  <c r="L300" i="30" s="1"/>
  <c r="I394" i="30"/>
  <c r="K394" i="30" s="1"/>
  <c r="L394" i="30" s="1"/>
  <c r="I428" i="30"/>
  <c r="K428" i="30" s="1"/>
  <c r="L428" i="30" s="1"/>
  <c r="I592" i="30"/>
  <c r="K592" i="30" s="1"/>
  <c r="L592" i="30" s="1"/>
  <c r="I205" i="30"/>
  <c r="L273" i="30"/>
  <c r="K273" i="30" s="1"/>
  <c r="L276" i="30"/>
  <c r="I377" i="30"/>
  <c r="K377" i="30" s="1"/>
  <c r="L377" i="30" s="1"/>
  <c r="I474" i="30"/>
  <c r="K474" i="30" s="1"/>
  <c r="L474" i="30" s="1"/>
  <c r="I327" i="30"/>
  <c r="K327" i="30" s="1"/>
  <c r="L327" i="30" s="1"/>
  <c r="I471" i="30"/>
  <c r="K471" i="30" s="1"/>
  <c r="L471" i="30" s="1"/>
  <c r="I329" i="30"/>
  <c r="K329" i="30" s="1"/>
  <c r="L329" i="30" s="1"/>
  <c r="I374" i="30"/>
  <c r="K374" i="30" s="1"/>
  <c r="L374" i="30" s="1"/>
  <c r="I290" i="30"/>
  <c r="K290" i="30" s="1"/>
  <c r="L290" i="30" s="1"/>
  <c r="I259" i="30"/>
  <c r="K259" i="30" s="1"/>
  <c r="L259" i="30" s="1"/>
  <c r="I253" i="30"/>
  <c r="K253" i="30" s="1"/>
  <c r="L253" i="30" s="1"/>
  <c r="I217" i="30"/>
  <c r="K217" i="30" s="1"/>
  <c r="L217" i="30" s="1"/>
  <c r="I164" i="30"/>
  <c r="K164" i="30" s="1"/>
  <c r="L164" i="30" s="1"/>
  <c r="L225" i="30"/>
  <c r="I398" i="30"/>
  <c r="K398" i="30" s="1"/>
  <c r="L398" i="30" s="1"/>
  <c r="I198" i="30"/>
  <c r="K182" i="30" s="1"/>
  <c r="I449" i="30"/>
  <c r="K449" i="30" s="1"/>
  <c r="L449" i="30" s="1"/>
  <c r="I440" i="30"/>
  <c r="K440" i="30" s="1"/>
  <c r="L440" i="30" s="1"/>
  <c r="I604" i="30"/>
  <c r="K604" i="30" s="1"/>
  <c r="I488" i="30"/>
  <c r="K488" i="30" s="1"/>
  <c r="L488" i="30" s="1"/>
  <c r="I651" i="30"/>
  <c r="I590" i="30"/>
  <c r="K590" i="30" s="1"/>
  <c r="L590" i="30" s="1"/>
  <c r="I696" i="30"/>
  <c r="L663" i="30"/>
  <c r="I568" i="30"/>
  <c r="K568" i="30" s="1"/>
  <c r="L568" i="30" s="1"/>
  <c r="I244" i="30"/>
  <c r="K244" i="30" s="1"/>
  <c r="L244" i="30" s="1"/>
  <c r="I339" i="30"/>
  <c r="K339" i="30" s="1"/>
  <c r="L339" i="30" s="1"/>
  <c r="I178" i="30"/>
  <c r="K178" i="30" s="1"/>
  <c r="L178" i="30" s="1"/>
  <c r="I553" i="30"/>
  <c r="K553" i="30" s="1"/>
  <c r="L553" i="30" s="1"/>
  <c r="L224" i="30"/>
  <c r="I355" i="30"/>
  <c r="K355" i="30" s="1"/>
  <c r="L355" i="30" s="1"/>
  <c r="I358" i="30"/>
  <c r="K358" i="30" s="1"/>
  <c r="L358" i="30" s="1"/>
  <c r="I389" i="30"/>
  <c r="K389" i="30" s="1"/>
  <c r="L389" i="30" s="1"/>
  <c r="I435" i="30"/>
  <c r="K435" i="30" s="1"/>
  <c r="L435" i="30" s="1"/>
  <c r="I422" i="30"/>
  <c r="K422" i="30" s="1"/>
  <c r="L422" i="30" s="1"/>
  <c r="N294" i="30"/>
  <c r="I442" i="30"/>
  <c r="K442" i="30" s="1"/>
  <c r="L442" i="30" s="1"/>
  <c r="I636" i="30"/>
  <c r="K636" i="30" s="1"/>
  <c r="L636" i="30" s="1"/>
  <c r="I481" i="30"/>
  <c r="K481" i="30" s="1"/>
  <c r="L481" i="30" s="1"/>
  <c r="I492" i="30"/>
  <c r="K492" i="30" s="1"/>
  <c r="L492" i="30" s="1"/>
  <c r="I648" i="30"/>
  <c r="K648" i="30" s="1"/>
  <c r="L648" i="30" s="1"/>
  <c r="I653" i="30"/>
  <c r="K653" i="30" s="1"/>
  <c r="L653" i="30" s="1"/>
  <c r="L274" i="30"/>
  <c r="K274" i="30" s="1"/>
  <c r="I626" i="30"/>
  <c r="K626" i="30" s="1"/>
  <c r="L626" i="30" s="1"/>
  <c r="I625" i="30"/>
  <c r="K625" i="30" s="1"/>
  <c r="L625" i="30" s="1"/>
  <c r="I690" i="30"/>
  <c r="I577" i="30"/>
  <c r="K577" i="30" s="1"/>
  <c r="L577" i="30" s="1"/>
  <c r="I630" i="30"/>
  <c r="K630" i="30" s="1"/>
  <c r="L630" i="30" s="1"/>
  <c r="I632" i="30"/>
  <c r="K632" i="30" s="1"/>
  <c r="L632" i="30" s="1"/>
  <c r="I321" i="30"/>
  <c r="K321" i="30" s="1"/>
  <c r="L321" i="30" s="1"/>
  <c r="I370" i="30"/>
  <c r="K370" i="30" s="1"/>
  <c r="L370" i="30" s="1"/>
  <c r="I369" i="30"/>
  <c r="K369" i="30" s="1"/>
  <c r="L369" i="30" s="1"/>
  <c r="I246" i="30"/>
  <c r="K246" i="30" s="1"/>
  <c r="L246" i="30" s="1"/>
  <c r="I514" i="30"/>
  <c r="K514" i="30" s="1"/>
  <c r="L514" i="30" s="1"/>
  <c r="I515" i="30"/>
  <c r="K515" i="30" s="1"/>
  <c r="L515" i="30" s="1"/>
  <c r="I260" i="30"/>
  <c r="K260" i="30" s="1"/>
  <c r="L260" i="30" s="1"/>
  <c r="I262" i="30"/>
  <c r="K262" i="30" s="1"/>
  <c r="L262" i="30" s="1"/>
  <c r="I337" i="30"/>
  <c r="K337" i="30" s="1"/>
  <c r="L337" i="30" s="1"/>
  <c r="I338" i="30"/>
  <c r="K338" i="30" s="1"/>
  <c r="L338" i="30" s="1"/>
  <c r="L511" i="30"/>
  <c r="K511" i="30" s="1"/>
  <c r="I561" i="30"/>
  <c r="K561" i="30" s="1"/>
  <c r="L561" i="30" s="1"/>
  <c r="I407" i="30"/>
  <c r="K407" i="30" s="1"/>
  <c r="L407" i="30" s="1"/>
  <c r="I391" i="30"/>
  <c r="K391" i="30" s="1"/>
  <c r="L391" i="30" s="1"/>
  <c r="I497" i="30"/>
  <c r="K497" i="30" s="1"/>
  <c r="L497" i="30" s="1"/>
  <c r="I490" i="30"/>
  <c r="K490" i="30" s="1"/>
  <c r="L490" i="30" s="1"/>
  <c r="I522" i="30"/>
  <c r="K522" i="30" s="1"/>
  <c r="L522" i="30" s="1"/>
  <c r="I526" i="30"/>
  <c r="K526" i="30" s="1"/>
  <c r="L526" i="30" s="1"/>
  <c r="I252" i="30"/>
  <c r="I477" i="30"/>
  <c r="K477" i="30" s="1"/>
  <c r="L477" i="30" s="1"/>
  <c r="I160" i="30"/>
  <c r="L620" i="30"/>
  <c r="I579" i="30"/>
  <c r="K579" i="30" s="1"/>
  <c r="L581" i="30"/>
  <c r="I572" i="30"/>
  <c r="K572" i="30" s="1"/>
  <c r="I628" i="30"/>
  <c r="K628" i="30" s="1"/>
  <c r="I317" i="30"/>
  <c r="K317" i="30" s="1"/>
  <c r="I381" i="30"/>
  <c r="K381" i="30" s="1"/>
  <c r="I367" i="30"/>
  <c r="K367" i="30" s="1"/>
  <c r="I287" i="30"/>
  <c r="K287" i="30" s="1"/>
  <c r="L287" i="30" s="1"/>
  <c r="I691" i="30"/>
  <c r="I692" i="30"/>
  <c r="I473" i="30"/>
  <c r="K473" i="30" s="1"/>
  <c r="I463" i="30"/>
  <c r="K463" i="30" s="1"/>
  <c r="I466" i="30"/>
  <c r="K466" i="30" s="1"/>
  <c r="N610" i="30"/>
  <c r="I513" i="30"/>
  <c r="K513" i="30" s="1"/>
  <c r="I333" i="30"/>
  <c r="K333" i="30" s="1"/>
  <c r="I336" i="30"/>
  <c r="K336" i="30" s="1"/>
  <c r="N366" i="30"/>
  <c r="I214" i="30"/>
  <c r="K214" i="30" s="1"/>
  <c r="I211" i="30"/>
  <c r="K211" i="30" s="1"/>
  <c r="I560" i="30"/>
  <c r="K560" i="30" s="1"/>
  <c r="I549" i="30"/>
  <c r="K549" i="30" s="1"/>
  <c r="I362" i="30"/>
  <c r="K362" i="30" s="1"/>
  <c r="I303" i="30"/>
  <c r="K303" i="30" s="1"/>
  <c r="I415" i="30"/>
  <c r="K415" i="30" s="1"/>
  <c r="I416" i="30"/>
  <c r="K416" i="30" s="1"/>
  <c r="I399" i="30"/>
  <c r="K399" i="30" s="1"/>
  <c r="I395" i="30"/>
  <c r="K395" i="30" s="1"/>
  <c r="I600" i="30"/>
  <c r="I478" i="30"/>
  <c r="K478" i="30" s="1"/>
  <c r="I161" i="30"/>
  <c r="I436" i="30"/>
  <c r="K436" i="30" s="1"/>
  <c r="I615" i="30"/>
  <c r="L341" i="30"/>
  <c r="I574" i="30"/>
  <c r="K574" i="30" s="1"/>
  <c r="I580" i="30"/>
  <c r="K580" i="30" s="1"/>
  <c r="I587" i="30"/>
  <c r="K587" i="30" s="1"/>
  <c r="I576" i="30"/>
  <c r="K576" i="30" s="1"/>
  <c r="I326" i="30"/>
  <c r="K326" i="30" s="1"/>
  <c r="I315" i="30"/>
  <c r="K315" i="30" s="1"/>
  <c r="I368" i="30"/>
  <c r="K368" i="30" s="1"/>
  <c r="I372" i="30"/>
  <c r="K372" i="30" s="1"/>
  <c r="I288" i="30"/>
  <c r="K288" i="30" s="1"/>
  <c r="L288" i="30" s="1"/>
  <c r="I689" i="30"/>
  <c r="K689" i="30" s="1"/>
  <c r="I460" i="30"/>
  <c r="K460" i="30" s="1"/>
  <c r="I464" i="30"/>
  <c r="K464" i="30" s="1"/>
  <c r="I467" i="30"/>
  <c r="K467" i="30" s="1"/>
  <c r="I544" i="30"/>
  <c r="K544" i="30" s="1"/>
  <c r="I194" i="30"/>
  <c r="I567" i="30"/>
  <c r="K567" i="30" s="1"/>
  <c r="I566" i="30"/>
  <c r="K566" i="30" s="1"/>
  <c r="I243" i="30"/>
  <c r="I519" i="30"/>
  <c r="K519" i="30" s="1"/>
  <c r="I520" i="30"/>
  <c r="K520" i="30" s="1"/>
  <c r="L334" i="30"/>
  <c r="I331" i="30"/>
  <c r="K331" i="30" s="1"/>
  <c r="I344" i="30"/>
  <c r="K344" i="30" s="1"/>
  <c r="I215" i="30"/>
  <c r="K215" i="30" s="1"/>
  <c r="L223" i="30"/>
  <c r="I313" i="30"/>
  <c r="K313" i="30" s="1"/>
  <c r="L170" i="30"/>
  <c r="I174" i="30"/>
  <c r="K174" i="30" s="1"/>
  <c r="I559" i="30"/>
  <c r="K559" i="30" s="1"/>
  <c r="I558" i="30"/>
  <c r="I555" i="30"/>
  <c r="K555" i="30" s="1"/>
  <c r="L310" i="30"/>
  <c r="N456" i="30"/>
  <c r="I410" i="30"/>
  <c r="K410" i="30" s="1"/>
  <c r="I203" i="30"/>
  <c r="K203" i="30" s="1"/>
  <c r="I390" i="30"/>
  <c r="K390" i="30" s="1"/>
  <c r="I426" i="30"/>
  <c r="K426" i="30" s="1"/>
  <c r="I430" i="30"/>
  <c r="K430" i="30" s="1"/>
  <c r="I196" i="30"/>
  <c r="I445" i="30"/>
  <c r="K445" i="30" s="1"/>
  <c r="I438" i="30"/>
  <c r="K438" i="30" s="1"/>
  <c r="I637" i="30"/>
  <c r="I235" i="30"/>
  <c r="K235" i="30" s="1"/>
  <c r="I593" i="30"/>
  <c r="K593" i="30" s="1"/>
  <c r="I484" i="30"/>
  <c r="K484" i="30" s="1"/>
  <c r="I501" i="30"/>
  <c r="K501" i="30" s="1"/>
  <c r="I365" i="30"/>
  <c r="K365" i="30" s="1"/>
  <c r="N249" i="30"/>
  <c r="L277" i="30"/>
  <c r="I248" i="30"/>
  <c r="K248" i="30" s="1"/>
  <c r="I676" i="30"/>
  <c r="K676" i="30" s="1"/>
  <c r="L302" i="30"/>
  <c r="L432" i="30"/>
  <c r="I622" i="30"/>
  <c r="K622" i="30" s="1"/>
  <c r="I324" i="30"/>
  <c r="K324" i="30" s="1"/>
  <c r="I323" i="30"/>
  <c r="K323" i="30" s="1"/>
  <c r="I318" i="30"/>
  <c r="K318" i="30" s="1"/>
  <c r="I382" i="30"/>
  <c r="K382" i="30" s="1"/>
  <c r="I289" i="30"/>
  <c r="K289" i="30" s="1"/>
  <c r="L289" i="30" s="1"/>
  <c r="I697" i="30"/>
  <c r="I245" i="30"/>
  <c r="K245" i="30" s="1"/>
  <c r="L237" i="30"/>
  <c r="I261" i="30"/>
  <c r="K261" i="30" s="1"/>
  <c r="L261" i="30" s="1"/>
  <c r="L512" i="30"/>
  <c r="I169" i="30"/>
  <c r="K169" i="30" s="1"/>
  <c r="I563" i="30"/>
  <c r="K563" i="30" s="1"/>
  <c r="I298" i="30"/>
  <c r="K298" i="30" s="1"/>
  <c r="L301" i="30"/>
  <c r="I420" i="30"/>
  <c r="K420" i="30" s="1"/>
  <c r="I406" i="30"/>
  <c r="K406" i="30" s="1"/>
  <c r="I293" i="30"/>
  <c r="K293" i="30" s="1"/>
  <c r="L293" i="30" s="1"/>
  <c r="I439" i="30"/>
  <c r="I453" i="30"/>
  <c r="K453" i="30" s="1"/>
  <c r="I601" i="30"/>
  <c r="K601" i="30" s="1"/>
  <c r="I594" i="30"/>
  <c r="K594" i="30" s="1"/>
  <c r="I500" i="30"/>
  <c r="K500" i="30" s="1"/>
  <c r="L495" i="30"/>
  <c r="I588" i="30"/>
  <c r="K588" i="30" s="1"/>
  <c r="I670" i="30"/>
  <c r="K670" i="30" s="1"/>
  <c r="I664" i="30"/>
  <c r="K664" i="30" s="1"/>
  <c r="I666" i="30"/>
  <c r="K666" i="30" s="1"/>
  <c r="I621" i="30"/>
  <c r="K621" i="30" s="1"/>
  <c r="I373" i="30"/>
  <c r="K373" i="30" s="1"/>
  <c r="I655" i="30"/>
  <c r="K655" i="30" s="1"/>
  <c r="L465" i="30"/>
  <c r="I190" i="30"/>
  <c r="K190" i="30" s="1"/>
  <c r="I569" i="30"/>
  <c r="I518" i="30"/>
  <c r="K518" i="30" s="1"/>
  <c r="N564" i="30"/>
  <c r="I212" i="30"/>
  <c r="K212" i="30" s="1"/>
  <c r="I175" i="30"/>
  <c r="K175" i="30" s="1"/>
  <c r="L548" i="30"/>
  <c r="L545" i="30"/>
  <c r="L227" i="30"/>
  <c r="L356" i="30"/>
  <c r="I392" i="30"/>
  <c r="K392" i="30" s="1"/>
  <c r="I447" i="30"/>
  <c r="K447" i="30" s="1"/>
  <c r="I437" i="30"/>
  <c r="K437" i="30" s="1"/>
  <c r="I238" i="30"/>
  <c r="I234" i="30"/>
  <c r="K234" i="30" s="1"/>
  <c r="N702" i="30"/>
  <c r="I486" i="30"/>
  <c r="K486" i="30" s="1"/>
  <c r="I504" i="30"/>
  <c r="I401" i="30"/>
  <c r="K401" i="30" s="1"/>
  <c r="I650" i="30"/>
  <c r="K650" i="30" s="1"/>
  <c r="I644" i="30"/>
  <c r="K644" i="30" s="1"/>
  <c r="I206" i="30"/>
  <c r="I611" i="30"/>
  <c r="I674" i="30"/>
  <c r="K674" i="30" s="1"/>
  <c r="L461" i="30"/>
  <c r="I240" i="30"/>
  <c r="I345" i="30"/>
  <c r="K345" i="30" s="1"/>
  <c r="L209" i="30"/>
  <c r="L551" i="30"/>
  <c r="I595" i="30"/>
  <c r="K595" i="30" s="1"/>
  <c r="N330" i="30"/>
  <c r="I409" i="30"/>
  <c r="K409" i="30" s="1"/>
  <c r="I681" i="30"/>
  <c r="K681" i="30" s="1"/>
  <c r="I433" i="30"/>
  <c r="K433" i="30" s="1"/>
  <c r="I421" i="30"/>
  <c r="K421" i="30" s="1"/>
  <c r="I455" i="30"/>
  <c r="K455" i="30" s="1"/>
  <c r="I658" i="30"/>
  <c r="K658" i="30" s="1"/>
  <c r="I489" i="30"/>
  <c r="K489" i="30" s="1"/>
  <c r="L487" i="30"/>
  <c r="I479" i="30"/>
  <c r="K479" i="30" s="1"/>
  <c r="I498" i="30"/>
  <c r="K498" i="30" s="1"/>
  <c r="I499" i="30"/>
  <c r="K499" i="30" s="1"/>
  <c r="I494" i="30"/>
  <c r="K494" i="30" s="1"/>
  <c r="I207" i="30"/>
  <c r="I609" i="30"/>
  <c r="K609" i="30" s="1"/>
  <c r="I612" i="30"/>
  <c r="K612" i="30" s="1"/>
  <c r="I675" i="30"/>
  <c r="K675" i="30" s="1"/>
  <c r="L671" i="30"/>
  <c r="L312" i="30"/>
  <c r="I585" i="30"/>
  <c r="K585" i="30" s="1"/>
  <c r="I618" i="30"/>
  <c r="K618" i="30" s="1"/>
  <c r="I320" i="30"/>
  <c r="K320" i="30" s="1"/>
  <c r="I376" i="30"/>
  <c r="K376" i="30" s="1"/>
  <c r="I292" i="30"/>
  <c r="K292" i="30" s="1"/>
  <c r="L292" i="30" s="1"/>
  <c r="I698" i="30"/>
  <c r="K698" i="30" s="1"/>
  <c r="I468" i="30"/>
  <c r="K468" i="30" s="1"/>
  <c r="I469" i="30"/>
  <c r="K469" i="30" s="1"/>
  <c r="I527" i="30"/>
  <c r="K527" i="30" s="1"/>
  <c r="I257" i="30"/>
  <c r="K257" i="30" s="1"/>
  <c r="L257" i="30" s="1"/>
  <c r="I264" i="30"/>
  <c r="K264" i="30" s="1"/>
  <c r="L264" i="30" s="1"/>
  <c r="I221" i="30"/>
  <c r="K221" i="30" s="1"/>
  <c r="L210" i="30"/>
  <c r="I176" i="30"/>
  <c r="K176" i="30" s="1"/>
  <c r="I165" i="30"/>
  <c r="K165" i="30" s="1"/>
  <c r="I353" i="30"/>
  <c r="K353" i="30" s="1"/>
  <c r="I309" i="30"/>
  <c r="K309" i="30" s="1"/>
  <c r="I297" i="30"/>
  <c r="K297" i="30" s="1"/>
  <c r="I408" i="30"/>
  <c r="K408" i="30" s="1"/>
  <c r="I418" i="30"/>
  <c r="K418" i="30" s="1"/>
  <c r="I413" i="30"/>
  <c r="K413" i="30" s="1"/>
  <c r="I682" i="30"/>
  <c r="K682" i="30" s="1"/>
  <c r="I685" i="30"/>
  <c r="K685" i="30" s="1"/>
  <c r="I423" i="30"/>
  <c r="K423" i="30" s="1"/>
  <c r="I197" i="30"/>
  <c r="I452" i="30"/>
  <c r="K452" i="30" s="1"/>
  <c r="I443" i="30"/>
  <c r="K443" i="30" s="1"/>
  <c r="I598" i="30"/>
  <c r="K570" i="30" s="1"/>
  <c r="I660" i="30"/>
  <c r="K660" i="30" s="1"/>
  <c r="I162" i="30"/>
  <c r="I493" i="30"/>
  <c r="I505" i="30"/>
  <c r="K505" i="30" s="1"/>
  <c r="I506" i="30"/>
  <c r="K506" i="30" s="1"/>
  <c r="I507" i="30"/>
  <c r="K507" i="30" s="1"/>
  <c r="I503" i="30"/>
  <c r="K503" i="30" s="1"/>
  <c r="I649" i="30"/>
  <c r="K649" i="30" s="1"/>
  <c r="I647" i="30"/>
  <c r="K647" i="30" s="1"/>
  <c r="I591" i="30"/>
  <c r="N656" i="30"/>
  <c r="L679" i="30"/>
  <c r="L380" i="30"/>
  <c r="I586" i="30"/>
  <c r="K586" i="30" s="1"/>
  <c r="I619" i="30"/>
  <c r="K619" i="30" s="1"/>
  <c r="L573" i="30"/>
  <c r="L627" i="30"/>
  <c r="I623" i="30"/>
  <c r="K623" i="30" s="1"/>
  <c r="I319" i="30"/>
  <c r="K319" i="30" s="1"/>
  <c r="I322" i="30"/>
  <c r="K322" i="30" s="1"/>
  <c r="I325" i="30"/>
  <c r="K325" i="30" s="1"/>
  <c r="I285" i="30"/>
  <c r="K285" i="30" s="1"/>
  <c r="L285" i="30" s="1"/>
  <c r="I701" i="30"/>
  <c r="K701" i="30" s="1"/>
  <c r="I695" i="30"/>
  <c r="K695" i="30" s="1"/>
  <c r="I470" i="30"/>
  <c r="K470" i="30" s="1"/>
  <c r="I192" i="30"/>
  <c r="K192" i="30" s="1"/>
  <c r="I241" i="30"/>
  <c r="I265" i="30"/>
  <c r="K265" i="30" s="1"/>
  <c r="L265" i="30" s="1"/>
  <c r="I255" i="30"/>
  <c r="K255" i="30" s="1"/>
  <c r="L255" i="30" s="1"/>
  <c r="I343" i="30"/>
  <c r="K343" i="30" s="1"/>
  <c r="N510" i="30"/>
  <c r="I213" i="30"/>
  <c r="K213" i="30" s="1"/>
  <c r="I218" i="30"/>
  <c r="K218" i="30" s="1"/>
  <c r="I311" i="30"/>
  <c r="K311" i="30" s="1"/>
  <c r="I171" i="30"/>
  <c r="K171" i="30" s="1"/>
  <c r="I173" i="30"/>
  <c r="K173" i="30" s="1"/>
  <c r="I562" i="30"/>
  <c r="K562" i="30" s="1"/>
  <c r="L556" i="30"/>
  <c r="I552" i="30"/>
  <c r="K552" i="30" s="1"/>
  <c r="I359" i="30"/>
  <c r="K359" i="30" s="1"/>
  <c r="I351" i="30"/>
  <c r="K351" i="30" s="1"/>
  <c r="L307" i="30"/>
  <c r="I417" i="30"/>
  <c r="K417" i="30" s="1"/>
  <c r="I686" i="30"/>
  <c r="K686" i="30" s="1"/>
  <c r="I431" i="30"/>
  <c r="K431" i="30" s="1"/>
  <c r="I250" i="30"/>
  <c r="I441" i="30"/>
  <c r="K441" i="30" s="1"/>
  <c r="L451" i="30"/>
  <c r="I635" i="30"/>
  <c r="K635" i="30" s="1"/>
  <c r="I602" i="30"/>
  <c r="K602" i="30" s="1"/>
  <c r="I606" i="30"/>
  <c r="K606" i="30" s="1"/>
  <c r="I597" i="30"/>
  <c r="K597" i="30" s="1"/>
  <c r="I476" i="30"/>
  <c r="K476" i="30" s="1"/>
  <c r="I480" i="30"/>
  <c r="K480" i="30" s="1"/>
  <c r="I475" i="30"/>
  <c r="K475" i="30" s="1"/>
  <c r="N204" i="30"/>
  <c r="I496" i="30"/>
  <c r="K496" i="30" s="1"/>
  <c r="I646" i="30"/>
  <c r="I643" i="30"/>
  <c r="K643" i="30" s="1"/>
  <c r="I589" i="30"/>
  <c r="K589" i="30" s="1"/>
  <c r="I613" i="30"/>
  <c r="K613" i="30" s="1"/>
  <c r="I614" i="30"/>
  <c r="K614" i="30" s="1"/>
  <c r="I669" i="30"/>
  <c r="K669" i="30" s="1"/>
  <c r="I665" i="30"/>
  <c r="K665" i="30" s="1"/>
  <c r="I667" i="30"/>
  <c r="K667" i="30" s="1"/>
  <c r="G321" i="55"/>
  <c r="G319" i="55"/>
  <c r="G316" i="55"/>
  <c r="G318" i="55"/>
  <c r="G325" i="55"/>
  <c r="G317" i="55"/>
  <c r="G324" i="55"/>
  <c r="G323" i="55"/>
  <c r="G328" i="55"/>
  <c r="G336" i="55"/>
  <c r="G327" i="55"/>
  <c r="G335" i="55"/>
  <c r="G334" i="55"/>
  <c r="G333" i="55"/>
  <c r="G332" i="55"/>
  <c r="G331" i="55"/>
  <c r="G330" i="55"/>
  <c r="G349" i="55"/>
  <c r="G352" i="55"/>
  <c r="G351" i="55"/>
  <c r="G339" i="55"/>
  <c r="G343" i="55"/>
  <c r="G347" i="55"/>
  <c r="G345" i="55"/>
  <c r="G346" i="55"/>
  <c r="G338" i="55"/>
  <c r="G340" i="55"/>
  <c r="G341" i="55"/>
  <c r="K242" i="30" l="1"/>
  <c r="L242" i="30" s="1"/>
  <c r="K662" i="30"/>
  <c r="K386" i="30"/>
  <c r="K691" i="30"/>
  <c r="L691" i="30" s="1"/>
  <c r="K316" i="30"/>
  <c r="K547" i="30"/>
  <c r="L547" i="30" s="1"/>
  <c r="K350" i="30"/>
  <c r="K270" i="30"/>
  <c r="L270" i="30" s="1"/>
  <c r="K195" i="30"/>
  <c r="L195" i="30" s="1"/>
  <c r="K661" i="30"/>
  <c r="L661" i="30" s="1"/>
  <c r="K198" i="30"/>
  <c r="K692" i="30"/>
  <c r="L692" i="30" s="1"/>
  <c r="K571" i="30"/>
  <c r="L571" i="30" s="1"/>
  <c r="K283" i="30"/>
  <c r="K205" i="30"/>
  <c r="L205" i="30" s="1"/>
  <c r="K231" i="30"/>
  <c r="L231" i="30" s="1"/>
  <c r="K600" i="30"/>
  <c r="L600" i="30" s="1"/>
  <c r="K236" i="30"/>
  <c r="L236" i="30" s="1"/>
  <c r="K565" i="30"/>
  <c r="L565" i="30" s="1"/>
  <c r="K657" i="30"/>
  <c r="L657" i="30" s="1"/>
  <c r="K226" i="30"/>
  <c r="K186" i="30"/>
  <c r="L186" i="30" s="1"/>
  <c r="K284" i="30"/>
  <c r="K690" i="30"/>
  <c r="L690" i="30" s="1"/>
  <c r="K616" i="30"/>
  <c r="L616" i="30" s="1"/>
  <c r="K663" i="30"/>
  <c r="K160" i="30"/>
  <c r="L160" i="30" s="1"/>
  <c r="K191" i="30"/>
  <c r="L191" i="30" s="1"/>
  <c r="K330" i="30"/>
  <c r="M310" i="30" s="1"/>
  <c r="K696" i="30"/>
  <c r="L696" i="30" s="1"/>
  <c r="K450" i="30"/>
  <c r="L450" i="30" s="1"/>
  <c r="K281" i="30"/>
  <c r="K271" i="30"/>
  <c r="L271" i="30" s="1"/>
  <c r="K617" i="30"/>
  <c r="L617" i="30" s="1"/>
  <c r="K683" i="30"/>
  <c r="L570" i="30"/>
  <c r="L650" i="30"/>
  <c r="L311" i="30"/>
  <c r="L505" i="30"/>
  <c r="L437" i="30"/>
  <c r="L500" i="30"/>
  <c r="L689" i="30"/>
  <c r="L613" i="30"/>
  <c r="L476" i="30"/>
  <c r="L171" i="30"/>
  <c r="K241" i="30"/>
  <c r="K225" i="30"/>
  <c r="L314" i="30"/>
  <c r="L506" i="30"/>
  <c r="L221" i="30"/>
  <c r="L469" i="30"/>
  <c r="L612" i="30"/>
  <c r="L479" i="30"/>
  <c r="K598" i="30"/>
  <c r="K458" i="30"/>
  <c r="K504" i="30"/>
  <c r="L655" i="30"/>
  <c r="K439" i="30"/>
  <c r="K403" i="30"/>
  <c r="L245" i="30"/>
  <c r="L365" i="30"/>
  <c r="L235" i="30"/>
  <c r="L519" i="30"/>
  <c r="L460" i="30"/>
  <c r="L315" i="30"/>
  <c r="L192" i="30"/>
  <c r="K599" i="30"/>
  <c r="K591" i="30"/>
  <c r="L666" i="30"/>
  <c r="L390" i="30"/>
  <c r="L606" i="30"/>
  <c r="L359" i="30"/>
  <c r="L218" i="30"/>
  <c r="L470" i="30"/>
  <c r="L322" i="30"/>
  <c r="L647" i="30"/>
  <c r="K493" i="30"/>
  <c r="K457" i="30"/>
  <c r="L443" i="30"/>
  <c r="L685" i="30"/>
  <c r="L309" i="30"/>
  <c r="L585" i="30"/>
  <c r="K207" i="30"/>
  <c r="K233" i="30"/>
  <c r="K239" i="30"/>
  <c r="K238" i="30"/>
  <c r="K206" i="30"/>
  <c r="K232" i="30"/>
  <c r="L664" i="30"/>
  <c r="L438" i="30"/>
  <c r="L203" i="30"/>
  <c r="K512" i="30"/>
  <c r="K558" i="30"/>
  <c r="L215" i="30"/>
  <c r="L566" i="30"/>
  <c r="K269" i="30"/>
  <c r="L269" i="30" s="1"/>
  <c r="L576" i="30"/>
  <c r="K651" i="30"/>
  <c r="K615" i="30"/>
  <c r="L416" i="30"/>
  <c r="K272" i="30"/>
  <c r="L272" i="30" s="1"/>
  <c r="L572" i="30"/>
  <c r="L589" i="30"/>
  <c r="L325" i="30"/>
  <c r="L373" i="30"/>
  <c r="L169" i="30"/>
  <c r="L643" i="30"/>
  <c r="L686" i="30"/>
  <c r="L602" i="30"/>
  <c r="L552" i="30"/>
  <c r="L213" i="30"/>
  <c r="L695" i="30"/>
  <c r="L319" i="30"/>
  <c r="L619" i="30"/>
  <c r="K188" i="30"/>
  <c r="K194" i="30"/>
  <c r="K162" i="30"/>
  <c r="L452" i="30"/>
  <c r="L682" i="30"/>
  <c r="L352" i="30"/>
  <c r="L468" i="30"/>
  <c r="L376" i="30"/>
  <c r="L489" i="30"/>
  <c r="L455" i="30"/>
  <c r="L345" i="30"/>
  <c r="L234" i="30"/>
  <c r="L670" i="30"/>
  <c r="L594" i="30"/>
  <c r="L382" i="30"/>
  <c r="L622" i="30"/>
  <c r="L501" i="30"/>
  <c r="L445" i="30"/>
  <c r="L410" i="30"/>
  <c r="L559" i="30"/>
  <c r="L344" i="30"/>
  <c r="L567" i="30"/>
  <c r="L587" i="30"/>
  <c r="L478" i="30"/>
  <c r="L415" i="30"/>
  <c r="L336" i="30"/>
  <c r="L179" i="30"/>
  <c r="L486" i="30"/>
  <c r="L555" i="30"/>
  <c r="L667" i="30"/>
  <c r="L417" i="30"/>
  <c r="L701" i="30"/>
  <c r="L623" i="30"/>
  <c r="L586" i="30"/>
  <c r="L604" i="30"/>
  <c r="L644" i="30"/>
  <c r="L660" i="30"/>
  <c r="K197" i="30"/>
  <c r="K181" i="30"/>
  <c r="L413" i="30"/>
  <c r="L165" i="30"/>
  <c r="L320" i="30"/>
  <c r="L409" i="30"/>
  <c r="K224" i="30"/>
  <c r="K240" i="30"/>
  <c r="L447" i="30"/>
  <c r="L175" i="30"/>
  <c r="K605" i="30"/>
  <c r="K569" i="30"/>
  <c r="L621" i="30"/>
  <c r="L588" i="30"/>
  <c r="L601" i="30"/>
  <c r="L563" i="30"/>
  <c r="L318" i="30"/>
  <c r="L676" i="30"/>
  <c r="K180" i="30"/>
  <c r="K196" i="30"/>
  <c r="L174" i="30"/>
  <c r="L331" i="30"/>
  <c r="K366" i="30"/>
  <c r="M359" i="30" s="1"/>
  <c r="L372" i="30"/>
  <c r="L580" i="30"/>
  <c r="K697" i="30"/>
  <c r="L404" i="30"/>
  <c r="L395" i="30"/>
  <c r="L303" i="30"/>
  <c r="L333" i="30"/>
  <c r="K402" i="30"/>
  <c r="M376" i="30" s="1"/>
  <c r="L367" i="30"/>
  <c r="L597" i="30"/>
  <c r="L628" i="30"/>
  <c r="L665" i="30"/>
  <c r="L649" i="30"/>
  <c r="L418" i="30"/>
  <c r="L176" i="30"/>
  <c r="L618" i="30"/>
  <c r="L494" i="30"/>
  <c r="L392" i="30"/>
  <c r="L518" i="30"/>
  <c r="L190" i="30"/>
  <c r="L406" i="30"/>
  <c r="L298" i="30"/>
  <c r="L323" i="30"/>
  <c r="L248" i="30"/>
  <c r="L430" i="30"/>
  <c r="L544" i="30"/>
  <c r="L368" i="30"/>
  <c r="L574" i="30"/>
  <c r="L436" i="30"/>
  <c r="L182" i="30"/>
  <c r="L362" i="30"/>
  <c r="L513" i="30"/>
  <c r="L466" i="30"/>
  <c r="L381" i="30"/>
  <c r="L351" i="30"/>
  <c r="L353" i="30"/>
  <c r="L609" i="30"/>
  <c r="K645" i="30"/>
  <c r="K637" i="30"/>
  <c r="L326" i="30"/>
  <c r="L635" i="30"/>
  <c r="L343" i="30"/>
  <c r="L669" i="30"/>
  <c r="L562" i="30"/>
  <c r="L503" i="30"/>
  <c r="L408" i="30"/>
  <c r="L698" i="30"/>
  <c r="L499" i="30"/>
  <c r="L658" i="30"/>
  <c r="L421" i="30"/>
  <c r="L595" i="30"/>
  <c r="L674" i="30"/>
  <c r="L420" i="30"/>
  <c r="L324" i="30"/>
  <c r="L484" i="30"/>
  <c r="L426" i="30"/>
  <c r="L467" i="30"/>
  <c r="K187" i="30"/>
  <c r="K193" i="30"/>
  <c r="K161" i="30"/>
  <c r="L198" i="30"/>
  <c r="L549" i="30"/>
  <c r="L211" i="30"/>
  <c r="L463" i="30"/>
  <c r="L317" i="30"/>
  <c r="L431" i="30"/>
  <c r="L681" i="30"/>
  <c r="K646" i="30"/>
  <c r="K611" i="30"/>
  <c r="K227" i="30"/>
  <c r="K243" i="30"/>
  <c r="L496" i="30"/>
  <c r="L475" i="30"/>
  <c r="L614" i="30"/>
  <c r="L480" i="30"/>
  <c r="L441" i="30"/>
  <c r="L173" i="30"/>
  <c r="L316" i="30"/>
  <c r="L507" i="30"/>
  <c r="L423" i="30"/>
  <c r="L297" i="30"/>
  <c r="L527" i="30"/>
  <c r="L675" i="30"/>
  <c r="L498" i="30"/>
  <c r="L433" i="30"/>
  <c r="L401" i="30"/>
  <c r="L212" i="30"/>
  <c r="L453" i="30"/>
  <c r="L388" i="30"/>
  <c r="L593" i="30"/>
  <c r="L313" i="30"/>
  <c r="L520" i="30"/>
  <c r="L464" i="30"/>
  <c r="L399" i="30"/>
  <c r="L560" i="30"/>
  <c r="L214" i="30"/>
  <c r="L473" i="30"/>
  <c r="L579" i="30"/>
  <c r="G353" i="55"/>
  <c r="G326" i="55"/>
  <c r="G337" i="55"/>
  <c r="G342" i="55"/>
  <c r="G348" i="55"/>
  <c r="M323" i="30" l="1"/>
  <c r="AF132" i="91" s="1"/>
  <c r="M317" i="30"/>
  <c r="AF116" i="92" s="1"/>
  <c r="M316" i="30"/>
  <c r="AF64" i="92" s="1"/>
  <c r="M313" i="30"/>
  <c r="AF58" i="92" s="1"/>
  <c r="M324" i="30"/>
  <c r="AF133" i="92" s="1"/>
  <c r="M326" i="30"/>
  <c r="AF169" i="90" s="1"/>
  <c r="F211" i="86" s="1"/>
  <c r="H211" i="86" s="1"/>
  <c r="K211" i="86" s="1"/>
  <c r="M306" i="30"/>
  <c r="AF108" i="90" s="1"/>
  <c r="M325" i="30"/>
  <c r="AF138" i="92" s="1"/>
  <c r="M308" i="30"/>
  <c r="AF110" i="92" s="1"/>
  <c r="K702" i="30"/>
  <c r="M669" i="30" s="1"/>
  <c r="L683" i="30"/>
  <c r="M388" i="30"/>
  <c r="M399" i="30"/>
  <c r="AH170" i="90" s="1"/>
  <c r="F234" i="86" s="1"/>
  <c r="H234" i="86" s="1"/>
  <c r="N234" i="86" s="1"/>
  <c r="M401" i="30"/>
  <c r="AH172" i="90" s="1"/>
  <c r="F236" i="86" s="1"/>
  <c r="H236" i="86" s="1"/>
  <c r="M322" i="30"/>
  <c r="AF129" i="92" s="1"/>
  <c r="M309" i="30"/>
  <c r="AF111" i="92" s="1"/>
  <c r="M311" i="30"/>
  <c r="AF21" i="90" s="1"/>
  <c r="M320" i="30"/>
  <c r="AF121" i="91" s="1"/>
  <c r="M343" i="30"/>
  <c r="AG109" i="79" s="1"/>
  <c r="AF112" i="92"/>
  <c r="AF112" i="91"/>
  <c r="AF112" i="90"/>
  <c r="AF132" i="92"/>
  <c r="AF132" i="90"/>
  <c r="K249" i="30"/>
  <c r="M236" i="30" s="1"/>
  <c r="M353" i="30"/>
  <c r="AG116" i="79" s="1"/>
  <c r="AH106" i="92"/>
  <c r="AH106" i="91"/>
  <c r="AH106" i="90"/>
  <c r="M302" i="30"/>
  <c r="AG132" i="92"/>
  <c r="AG132" i="91"/>
  <c r="AG132" i="90"/>
  <c r="M305" i="30"/>
  <c r="AF107" i="79" s="1"/>
  <c r="AH106" i="79"/>
  <c r="AG132" i="79"/>
  <c r="M350" i="30"/>
  <c r="AF112" i="79"/>
  <c r="M301" i="30"/>
  <c r="AF132" i="79"/>
  <c r="M314" i="30"/>
  <c r="M295" i="30"/>
  <c r="AF97" i="79" s="1"/>
  <c r="M362" i="30"/>
  <c r="AG169" i="90" s="1"/>
  <c r="F222" i="86" s="1"/>
  <c r="M307" i="30"/>
  <c r="M381" i="30"/>
  <c r="M298" i="30"/>
  <c r="M367" i="30"/>
  <c r="M319" i="30"/>
  <c r="M327" i="30"/>
  <c r="AF170" i="90" s="1"/>
  <c r="F212" i="86" s="1"/>
  <c r="H212" i="86" s="1"/>
  <c r="M304" i="30"/>
  <c r="M386" i="30"/>
  <c r="M368" i="30"/>
  <c r="M315" i="30"/>
  <c r="M312" i="30"/>
  <c r="M296" i="30"/>
  <c r="M329" i="30"/>
  <c r="AF172" i="90" s="1"/>
  <c r="F214" i="86" s="1"/>
  <c r="H214" i="86" s="1"/>
  <c r="M372" i="30"/>
  <c r="M303" i="30"/>
  <c r="M318" i="30"/>
  <c r="M382" i="30"/>
  <c r="M328" i="30"/>
  <c r="AF171" i="90" s="1"/>
  <c r="F213" i="86" s="1"/>
  <c r="M299" i="30"/>
  <c r="M297" i="30"/>
  <c r="M300" i="30"/>
  <c r="M321" i="30"/>
  <c r="M395" i="30"/>
  <c r="M333" i="30"/>
  <c r="M336" i="30"/>
  <c r="M373" i="30"/>
  <c r="M351" i="30"/>
  <c r="M331" i="30"/>
  <c r="AG97" i="79" s="1"/>
  <c r="L187" i="30"/>
  <c r="L366" i="30"/>
  <c r="O365" i="30" s="1"/>
  <c r="L330" i="30"/>
  <c r="O311" i="30" s="1"/>
  <c r="L197" i="30"/>
  <c r="M352" i="30"/>
  <c r="L188" i="30"/>
  <c r="L697" i="30"/>
  <c r="L206" i="30"/>
  <c r="K510" i="30"/>
  <c r="M457" i="30" s="1"/>
  <c r="M390" i="30"/>
  <c r="M365" i="30"/>
  <c r="AG172" i="90" s="1"/>
  <c r="F225" i="86" s="1"/>
  <c r="H225" i="86" s="1"/>
  <c r="L232" i="30"/>
  <c r="M392" i="30"/>
  <c r="L196" i="30"/>
  <c r="L569" i="30"/>
  <c r="L240" i="30"/>
  <c r="M345" i="30"/>
  <c r="L238" i="30"/>
  <c r="L493" i="30"/>
  <c r="L598" i="30"/>
  <c r="L243" i="30"/>
  <c r="L180" i="30"/>
  <c r="L605" i="30"/>
  <c r="L239" i="30"/>
  <c r="L403" i="30"/>
  <c r="K456" i="30"/>
  <c r="M439" i="30" s="1"/>
  <c r="L611" i="30"/>
  <c r="K656" i="30"/>
  <c r="M615" i="30" s="1"/>
  <c r="M344" i="30"/>
  <c r="L233" i="30"/>
  <c r="K610" i="30"/>
  <c r="M591" i="30" s="1"/>
  <c r="L439" i="30"/>
  <c r="L241" i="30"/>
  <c r="L504" i="30"/>
  <c r="L646" i="30"/>
  <c r="L161" i="30"/>
  <c r="K204" i="30"/>
  <c r="M188" i="30" s="1"/>
  <c r="L637" i="30"/>
  <c r="L402" i="30"/>
  <c r="O367" i="30" s="1"/>
  <c r="L162" i="30"/>
  <c r="L615" i="30"/>
  <c r="L207" i="30"/>
  <c r="L591" i="30"/>
  <c r="L193" i="30"/>
  <c r="L645" i="30"/>
  <c r="M385" i="30"/>
  <c r="M383" i="30"/>
  <c r="M384" i="30"/>
  <c r="M391" i="30"/>
  <c r="M375" i="30"/>
  <c r="M389" i="30"/>
  <c r="M374" i="30"/>
  <c r="M398" i="30"/>
  <c r="AH169" i="90" s="1"/>
  <c r="F233" i="86" s="1"/>
  <c r="H233" i="86" s="1"/>
  <c r="M380" i="30"/>
  <c r="M377" i="30"/>
  <c r="M370" i="30"/>
  <c r="M371" i="30"/>
  <c r="M396" i="30"/>
  <c r="M379" i="30"/>
  <c r="M397" i="30"/>
  <c r="M369" i="30"/>
  <c r="M400" i="30"/>
  <c r="AH171" i="90" s="1"/>
  <c r="F235" i="86" s="1"/>
  <c r="M393" i="30"/>
  <c r="M387" i="30"/>
  <c r="M378" i="30"/>
  <c r="M394" i="30"/>
  <c r="M347" i="30"/>
  <c r="M348" i="30"/>
  <c r="M349" i="30"/>
  <c r="M339" i="30"/>
  <c r="M361" i="30"/>
  <c r="M357" i="30"/>
  <c r="M364" i="30"/>
  <c r="AG171" i="90" s="1"/>
  <c r="F224" i="86" s="1"/>
  <c r="H224" i="86" s="1"/>
  <c r="M334" i="30"/>
  <c r="M363" i="30"/>
  <c r="AG170" i="90" s="1"/>
  <c r="F223" i="86" s="1"/>
  <c r="H223" i="86" s="1"/>
  <c r="M355" i="30"/>
  <c r="M332" i="30"/>
  <c r="M338" i="30"/>
  <c r="M337" i="30"/>
  <c r="M356" i="30"/>
  <c r="M335" i="30"/>
  <c r="M340" i="30"/>
  <c r="M360" i="30"/>
  <c r="M358" i="30"/>
  <c r="M342" i="30"/>
  <c r="M341" i="30"/>
  <c r="M354" i="30"/>
  <c r="M346" i="30"/>
  <c r="L181" i="30"/>
  <c r="L194" i="30"/>
  <c r="L651" i="30"/>
  <c r="L558" i="30"/>
  <c r="L564" i="30" s="1"/>
  <c r="K564" i="30"/>
  <c r="L599" i="30"/>
  <c r="E309" i="55"/>
  <c r="G303" i="55" s="1"/>
  <c r="H300" i="55"/>
  <c r="F300" i="55"/>
  <c r="E300" i="55"/>
  <c r="G298" i="55" s="1"/>
  <c r="H309" i="55"/>
  <c r="F309" i="55"/>
  <c r="F294" i="55"/>
  <c r="E315" i="55"/>
  <c r="G311" i="55" s="1"/>
  <c r="E294" i="55"/>
  <c r="G287" i="55" s="1"/>
  <c r="H294" i="55"/>
  <c r="H315" i="55"/>
  <c r="F315" i="55"/>
  <c r="F286" i="55"/>
  <c r="H278" i="55" s="1"/>
  <c r="E286" i="55"/>
  <c r="G277" i="55" s="1"/>
  <c r="E272" i="55"/>
  <c r="G263" i="55" s="1"/>
  <c r="F272" i="55"/>
  <c r="H265" i="55" s="1"/>
  <c r="AF133" i="79" l="1"/>
  <c r="AF116" i="79"/>
  <c r="AF64" i="79"/>
  <c r="AF64" i="91"/>
  <c r="AF64" i="90"/>
  <c r="AF58" i="79"/>
  <c r="AF116" i="90"/>
  <c r="AF116" i="91"/>
  <c r="AF58" i="90"/>
  <c r="AF133" i="90"/>
  <c r="AF58" i="91"/>
  <c r="N211" i="86"/>
  <c r="AF133" i="91"/>
  <c r="AF110" i="79"/>
  <c r="AF110" i="90"/>
  <c r="AF110" i="91"/>
  <c r="AF138" i="90"/>
  <c r="AF108" i="91"/>
  <c r="AF108" i="92"/>
  <c r="M672" i="30"/>
  <c r="AW105" i="92" s="1"/>
  <c r="M666" i="30"/>
  <c r="AW99" i="92" s="1"/>
  <c r="M676" i="30"/>
  <c r="AW109" i="79" s="1"/>
  <c r="M667" i="30"/>
  <c r="AW100" i="91" s="1"/>
  <c r="M663" i="30"/>
  <c r="AW129" i="79" s="1"/>
  <c r="M694" i="30"/>
  <c r="AW92" i="92" s="1"/>
  <c r="M679" i="30"/>
  <c r="AW112" i="90" s="1"/>
  <c r="M691" i="30"/>
  <c r="M700" i="30"/>
  <c r="AW171" i="90" s="1"/>
  <c r="F312" i="86" s="1"/>
  <c r="H312" i="86" s="1"/>
  <c r="K312" i="86" s="1"/>
  <c r="AF108" i="79"/>
  <c r="M665" i="30"/>
  <c r="AW98" i="92" s="1"/>
  <c r="M662" i="30"/>
  <c r="M697" i="30"/>
  <c r="M695" i="30"/>
  <c r="AW124" i="92" s="1"/>
  <c r="M684" i="30"/>
  <c r="AW74" i="90" s="1"/>
  <c r="M680" i="30"/>
  <c r="AW26" i="90" s="1"/>
  <c r="AF138" i="79"/>
  <c r="AF138" i="91"/>
  <c r="M675" i="30"/>
  <c r="AW108" i="79" s="1"/>
  <c r="M664" i="30"/>
  <c r="AW97" i="92" s="1"/>
  <c r="M671" i="30"/>
  <c r="AW104" i="91" s="1"/>
  <c r="M686" i="30"/>
  <c r="AW95" i="91" s="1"/>
  <c r="M682" i="30"/>
  <c r="AW30" i="91" s="1"/>
  <c r="M681" i="30"/>
  <c r="AW27" i="90" s="1"/>
  <c r="M685" i="30"/>
  <c r="AW78" i="90" s="1"/>
  <c r="M678" i="30"/>
  <c r="AW111" i="91" s="1"/>
  <c r="M692" i="30"/>
  <c r="L702" i="30"/>
  <c r="O657" i="30" s="1"/>
  <c r="M674" i="30"/>
  <c r="AW107" i="79" s="1"/>
  <c r="AF111" i="79"/>
  <c r="M689" i="30"/>
  <c r="AW51" i="91" s="1"/>
  <c r="AW102" i="92"/>
  <c r="AW102" i="90"/>
  <c r="M690" i="30"/>
  <c r="AW73" i="91" s="1"/>
  <c r="M693" i="30"/>
  <c r="AW87" i="92" s="1"/>
  <c r="M688" i="30"/>
  <c r="AW58" i="92" s="1"/>
  <c r="M696" i="30"/>
  <c r="M660" i="30"/>
  <c r="AW121" i="79" s="1"/>
  <c r="M677" i="30"/>
  <c r="AW110" i="92" s="1"/>
  <c r="M687" i="30"/>
  <c r="AW21" i="91" s="1"/>
  <c r="M657" i="30"/>
  <c r="AW86" i="91" s="1"/>
  <c r="M661" i="30"/>
  <c r="AW138" i="90" s="1"/>
  <c r="M701" i="30"/>
  <c r="AW172" i="90" s="1"/>
  <c r="F313" i="86" s="1"/>
  <c r="H313" i="86" s="1"/>
  <c r="K313" i="86" s="1"/>
  <c r="M659" i="30"/>
  <c r="AW120" i="90" s="1"/>
  <c r="M668" i="30"/>
  <c r="AW101" i="90" s="1"/>
  <c r="M670" i="30"/>
  <c r="AW103" i="79" s="1"/>
  <c r="M683" i="30"/>
  <c r="AW85" i="79" s="1"/>
  <c r="M658" i="30"/>
  <c r="AW118" i="91" s="1"/>
  <c r="M651" i="30"/>
  <c r="M699" i="30"/>
  <c r="AW170" i="90" s="1"/>
  <c r="F311" i="86" s="1"/>
  <c r="H311" i="86" s="1"/>
  <c r="N311" i="86" s="1"/>
  <c r="M673" i="30"/>
  <c r="AW106" i="90" s="1"/>
  <c r="M698" i="30"/>
  <c r="AW169" i="90" s="1"/>
  <c r="F310" i="86" s="1"/>
  <c r="H310" i="86" s="1"/>
  <c r="AW102" i="79"/>
  <c r="AW102" i="91"/>
  <c r="AF129" i="90"/>
  <c r="K234" i="86"/>
  <c r="K236" i="86"/>
  <c r="AF129" i="91"/>
  <c r="AF129" i="79"/>
  <c r="N236" i="86"/>
  <c r="M645" i="30"/>
  <c r="M637" i="30"/>
  <c r="AV85" i="92" s="1"/>
  <c r="AF21" i="91"/>
  <c r="AF21" i="92"/>
  <c r="AF21" i="79"/>
  <c r="AF111" i="90"/>
  <c r="AF111" i="91"/>
  <c r="AF121" i="92"/>
  <c r="M227" i="30"/>
  <c r="AC129" i="90" s="1"/>
  <c r="M207" i="30"/>
  <c r="AC121" i="91" s="1"/>
  <c r="M224" i="30"/>
  <c r="AC123" i="92" s="1"/>
  <c r="M217" i="30"/>
  <c r="AC106" i="90" s="1"/>
  <c r="AF121" i="79"/>
  <c r="M216" i="30"/>
  <c r="AC105" i="92" s="1"/>
  <c r="M213" i="30"/>
  <c r="AC102" i="79" s="1"/>
  <c r="M228" i="30"/>
  <c r="AC17" i="92" s="1"/>
  <c r="M246" i="30"/>
  <c r="AC170" i="90" s="1"/>
  <c r="F179" i="86" s="1"/>
  <c r="H179" i="86" s="1"/>
  <c r="AF121" i="90"/>
  <c r="M243" i="30"/>
  <c r="F237" i="86"/>
  <c r="H235" i="86"/>
  <c r="AH118" i="92"/>
  <c r="AH118" i="91"/>
  <c r="AH118" i="90"/>
  <c r="AH103" i="92"/>
  <c r="AH103" i="91"/>
  <c r="AH103" i="90"/>
  <c r="AF124" i="92"/>
  <c r="AF124" i="91"/>
  <c r="AF124" i="90"/>
  <c r="K212" i="86"/>
  <c r="N212" i="86"/>
  <c r="AG129" i="92"/>
  <c r="AG129" i="91"/>
  <c r="AG129" i="90"/>
  <c r="AG120" i="92"/>
  <c r="AG120" i="91"/>
  <c r="AG120" i="90"/>
  <c r="AG23" i="92"/>
  <c r="AG23" i="91"/>
  <c r="AG23" i="90"/>
  <c r="AH138" i="92"/>
  <c r="AH138" i="91"/>
  <c r="AH138" i="90"/>
  <c r="AH104" i="92"/>
  <c r="AH104" i="91"/>
  <c r="AH104" i="90"/>
  <c r="AU85" i="92"/>
  <c r="AU85" i="91"/>
  <c r="AU85" i="90"/>
  <c r="M238" i="30"/>
  <c r="AH121" i="92"/>
  <c r="AH121" i="91"/>
  <c r="AH121" i="90"/>
  <c r="M206" i="30"/>
  <c r="AC120" i="79" s="1"/>
  <c r="M223" i="30"/>
  <c r="AC112" i="79" s="1"/>
  <c r="M220" i="30"/>
  <c r="AC109" i="79" s="1"/>
  <c r="AG102" i="92"/>
  <c r="AG102" i="91"/>
  <c r="AG102" i="90"/>
  <c r="AF99" i="92"/>
  <c r="AF99" i="91"/>
  <c r="AF99" i="90"/>
  <c r="AF98" i="92"/>
  <c r="AF98" i="91"/>
  <c r="AF98" i="90"/>
  <c r="AH97" i="79"/>
  <c r="AH97" i="92"/>
  <c r="AH97" i="91"/>
  <c r="AH97" i="90"/>
  <c r="AF104" i="92"/>
  <c r="AF104" i="91"/>
  <c r="AF104" i="90"/>
  <c r="AG109" i="92"/>
  <c r="AG109" i="91"/>
  <c r="AG109" i="90"/>
  <c r="M599" i="30"/>
  <c r="M194" i="30"/>
  <c r="AG133" i="92"/>
  <c r="AG133" i="91"/>
  <c r="AG133" i="90"/>
  <c r="N223" i="86"/>
  <c r="K223" i="86"/>
  <c r="AG21" i="92"/>
  <c r="AG21" i="91"/>
  <c r="AG21" i="90"/>
  <c r="AH109" i="92"/>
  <c r="AH109" i="91"/>
  <c r="AH109" i="90"/>
  <c r="AH116" i="92"/>
  <c r="AH116" i="91"/>
  <c r="AH116" i="90"/>
  <c r="M193" i="30"/>
  <c r="AV138" i="92"/>
  <c r="AV138" i="91"/>
  <c r="AV138" i="90"/>
  <c r="M233" i="30"/>
  <c r="M248" i="30"/>
  <c r="AC172" i="90" s="1"/>
  <c r="F181" i="86" s="1"/>
  <c r="H181" i="86" s="1"/>
  <c r="M232" i="30"/>
  <c r="M222" i="30"/>
  <c r="AC111" i="79" s="1"/>
  <c r="M247" i="30"/>
  <c r="AC171" i="90" s="1"/>
  <c r="F180" i="86" s="1"/>
  <c r="AG99" i="92"/>
  <c r="AG99" i="91"/>
  <c r="AG99" i="90"/>
  <c r="AF101" i="92"/>
  <c r="AF101" i="91"/>
  <c r="AF101" i="90"/>
  <c r="AF23" i="92"/>
  <c r="AF23" i="91"/>
  <c r="AF23" i="90"/>
  <c r="AF100" i="92"/>
  <c r="AF100" i="91"/>
  <c r="AF100" i="90"/>
  <c r="F226" i="86"/>
  <c r="H222" i="86"/>
  <c r="AG105" i="92"/>
  <c r="AG105" i="91"/>
  <c r="AG105" i="90"/>
  <c r="AG106" i="92"/>
  <c r="AG106" i="91"/>
  <c r="AG106" i="90"/>
  <c r="AG100" i="92"/>
  <c r="AG100" i="91"/>
  <c r="AG100" i="90"/>
  <c r="AH133" i="92"/>
  <c r="AH133" i="91"/>
  <c r="AH133" i="90"/>
  <c r="F215" i="86"/>
  <c r="H213" i="86"/>
  <c r="AF55" i="92"/>
  <c r="AF55" i="91"/>
  <c r="AF55" i="90"/>
  <c r="AH111" i="92"/>
  <c r="AH111" i="91"/>
  <c r="AH111" i="90"/>
  <c r="K224" i="86"/>
  <c r="N224" i="86"/>
  <c r="AH108" i="92"/>
  <c r="AH108" i="91"/>
  <c r="AH108" i="90"/>
  <c r="AH101" i="92"/>
  <c r="AH101" i="91"/>
  <c r="AH101" i="90"/>
  <c r="AH120" i="92"/>
  <c r="AH120" i="91"/>
  <c r="AH120" i="90"/>
  <c r="M212" i="30"/>
  <c r="AC101" i="79" s="1"/>
  <c r="M215" i="30"/>
  <c r="AC104" i="79" s="1"/>
  <c r="AG111" i="92"/>
  <c r="AG111" i="91"/>
  <c r="AG111" i="90"/>
  <c r="M245" i="30"/>
  <c r="AC169" i="90" s="1"/>
  <c r="F178" i="86" s="1"/>
  <c r="H178" i="86" s="1"/>
  <c r="M208" i="30"/>
  <c r="AC97" i="79" s="1"/>
  <c r="M210" i="30"/>
  <c r="AC99" i="79" s="1"/>
  <c r="AH112" i="92"/>
  <c r="AH112" i="91"/>
  <c r="AH112" i="90"/>
  <c r="AH98" i="92"/>
  <c r="AH98" i="91"/>
  <c r="AH98" i="90"/>
  <c r="M242" i="30"/>
  <c r="AG112" i="92"/>
  <c r="AG112" i="91"/>
  <c r="AG112" i="90"/>
  <c r="AG121" i="92"/>
  <c r="AG121" i="91"/>
  <c r="AG121" i="90"/>
  <c r="AG124" i="92"/>
  <c r="AG124" i="91"/>
  <c r="AG124" i="90"/>
  <c r="AH55" i="92"/>
  <c r="AH55" i="91"/>
  <c r="AH55" i="90"/>
  <c r="AH100" i="92"/>
  <c r="AH100" i="91"/>
  <c r="AH100" i="90"/>
  <c r="AH23" i="92"/>
  <c r="AH23" i="91"/>
  <c r="AH23" i="90"/>
  <c r="AG110" i="92"/>
  <c r="AG110" i="91"/>
  <c r="AG110" i="90"/>
  <c r="M239" i="30"/>
  <c r="M221" i="30"/>
  <c r="AC110" i="79" s="1"/>
  <c r="M240" i="30"/>
  <c r="M226" i="30"/>
  <c r="AC125" i="79" s="1"/>
  <c r="M234" i="30"/>
  <c r="M209" i="30"/>
  <c r="AC98" i="79" s="1"/>
  <c r="M237" i="30"/>
  <c r="AC119" i="79" s="1"/>
  <c r="AF118" i="92"/>
  <c r="AF118" i="91"/>
  <c r="AF118" i="90"/>
  <c r="AH64" i="92"/>
  <c r="AH64" i="91"/>
  <c r="AH64" i="90"/>
  <c r="AG64" i="92"/>
  <c r="AG64" i="91"/>
  <c r="AG64" i="90"/>
  <c r="AH110" i="92"/>
  <c r="AH110" i="91"/>
  <c r="AH110" i="90"/>
  <c r="AH129" i="92"/>
  <c r="AH129" i="91"/>
  <c r="AH129" i="90"/>
  <c r="AH105" i="92"/>
  <c r="AH105" i="91"/>
  <c r="AH105" i="90"/>
  <c r="AW26" i="92"/>
  <c r="AG97" i="92"/>
  <c r="AG97" i="91"/>
  <c r="AG97" i="90"/>
  <c r="AG101" i="92"/>
  <c r="AG101" i="91"/>
  <c r="AG101" i="90"/>
  <c r="M218" i="30"/>
  <c r="AC107" i="79" s="1"/>
  <c r="AG55" i="92"/>
  <c r="AG55" i="91"/>
  <c r="AG55" i="90"/>
  <c r="AG118" i="92"/>
  <c r="AG118" i="91"/>
  <c r="AG118" i="90"/>
  <c r="AG103" i="92"/>
  <c r="AG103" i="91"/>
  <c r="AG103" i="90"/>
  <c r="AG138" i="92"/>
  <c r="AG138" i="91"/>
  <c r="AG138" i="90"/>
  <c r="AH124" i="92"/>
  <c r="AH124" i="91"/>
  <c r="AH124" i="90"/>
  <c r="AH107" i="92"/>
  <c r="AH107" i="91"/>
  <c r="AH107" i="90"/>
  <c r="AH21" i="92"/>
  <c r="AH21" i="91"/>
  <c r="AH21" i="90"/>
  <c r="M241" i="30"/>
  <c r="K225" i="86"/>
  <c r="N225" i="86"/>
  <c r="M231" i="30"/>
  <c r="M219" i="30"/>
  <c r="M230" i="30"/>
  <c r="AC19" i="79" s="1"/>
  <c r="M214" i="30"/>
  <c r="AC103" i="79" s="1"/>
  <c r="AH132" i="92"/>
  <c r="AH132" i="91"/>
  <c r="AH132" i="90"/>
  <c r="AF105" i="92"/>
  <c r="AF105" i="91"/>
  <c r="AF105" i="90"/>
  <c r="AF106" i="92"/>
  <c r="AF106" i="91"/>
  <c r="AF106" i="90"/>
  <c r="AF109" i="92"/>
  <c r="AF109" i="91"/>
  <c r="AF109" i="90"/>
  <c r="AF97" i="92"/>
  <c r="AF97" i="91"/>
  <c r="AF97" i="90"/>
  <c r="AF104" i="79"/>
  <c r="AG116" i="92"/>
  <c r="AG116" i="91"/>
  <c r="AG116" i="90"/>
  <c r="AG107" i="92"/>
  <c r="AG107" i="91"/>
  <c r="AG107" i="90"/>
  <c r="AH58" i="92"/>
  <c r="AH58" i="91"/>
  <c r="AH58" i="90"/>
  <c r="AH102" i="92"/>
  <c r="AH102" i="91"/>
  <c r="AH102" i="90"/>
  <c r="M205" i="30"/>
  <c r="AC118" i="79" s="1"/>
  <c r="AG108" i="92"/>
  <c r="AG108" i="91"/>
  <c r="AG108" i="90"/>
  <c r="AG98" i="92"/>
  <c r="AG98" i="91"/>
  <c r="AG98" i="90"/>
  <c r="AG58" i="92"/>
  <c r="AG58" i="91"/>
  <c r="AG58" i="90"/>
  <c r="AH99" i="92"/>
  <c r="AH99" i="91"/>
  <c r="AH99" i="90"/>
  <c r="K233" i="86"/>
  <c r="N233" i="86"/>
  <c r="M225" i="30"/>
  <c r="AC124" i="79" s="1"/>
  <c r="AQ70" i="92"/>
  <c r="AQ70" i="91"/>
  <c r="AQ70" i="90"/>
  <c r="M235" i="30"/>
  <c r="AC58" i="79" s="1"/>
  <c r="M211" i="30"/>
  <c r="AC100" i="79" s="1"/>
  <c r="M244" i="30"/>
  <c r="AC134" i="79" s="1"/>
  <c r="M229" i="30"/>
  <c r="AC18" i="79" s="1"/>
  <c r="AF102" i="92"/>
  <c r="AF102" i="91"/>
  <c r="AF102" i="90"/>
  <c r="N214" i="86"/>
  <c r="K214" i="86"/>
  <c r="AF120" i="92"/>
  <c r="AF120" i="91"/>
  <c r="AF120" i="90"/>
  <c r="AF103" i="92"/>
  <c r="AF103" i="91"/>
  <c r="AF103" i="90"/>
  <c r="AF107" i="92"/>
  <c r="AF107" i="91"/>
  <c r="AF107" i="90"/>
  <c r="AW108" i="90"/>
  <c r="AG104" i="92"/>
  <c r="AG104" i="91"/>
  <c r="AG104" i="90"/>
  <c r="AG100" i="79"/>
  <c r="AH108" i="79"/>
  <c r="AF99" i="79"/>
  <c r="AG112" i="79"/>
  <c r="AG121" i="79"/>
  <c r="AG124" i="79"/>
  <c r="AH55" i="79"/>
  <c r="AH100" i="79"/>
  <c r="AH23" i="79"/>
  <c r="AG99" i="79"/>
  <c r="AF101" i="79"/>
  <c r="AF23" i="79"/>
  <c r="AF100" i="79"/>
  <c r="AF109" i="79"/>
  <c r="AF98" i="79"/>
  <c r="AG103" i="79"/>
  <c r="AH107" i="79"/>
  <c r="AH21" i="79"/>
  <c r="AG110" i="79"/>
  <c r="AG111" i="79"/>
  <c r="AF55" i="79"/>
  <c r="AH111" i="79"/>
  <c r="AF103" i="79"/>
  <c r="AF102" i="79"/>
  <c r="AH101" i="79"/>
  <c r="AG55" i="79"/>
  <c r="AH112" i="79"/>
  <c r="AH98" i="79"/>
  <c r="AH129" i="79"/>
  <c r="AH105" i="79"/>
  <c r="AV138" i="79"/>
  <c r="AH120" i="79"/>
  <c r="AG102" i="79"/>
  <c r="AH124" i="79"/>
  <c r="AG104" i="79"/>
  <c r="AH58" i="79"/>
  <c r="AG108" i="79"/>
  <c r="AG98" i="79"/>
  <c r="AG58" i="79"/>
  <c r="AH99" i="79"/>
  <c r="M458" i="30"/>
  <c r="AF118" i="79"/>
  <c r="AH64" i="79"/>
  <c r="AG101" i="79"/>
  <c r="AG105" i="79"/>
  <c r="AG129" i="79"/>
  <c r="AG120" i="79"/>
  <c r="AG23" i="79"/>
  <c r="AH138" i="79"/>
  <c r="AH104" i="79"/>
  <c r="AH132" i="79"/>
  <c r="AF105" i="79"/>
  <c r="AF106" i="79"/>
  <c r="AG64" i="79"/>
  <c r="AG106" i="79"/>
  <c r="AH133" i="79"/>
  <c r="AH121" i="79"/>
  <c r="AF120" i="79"/>
  <c r="M330" i="30"/>
  <c r="AG118" i="79"/>
  <c r="AG138" i="79"/>
  <c r="AG107" i="79"/>
  <c r="AH110" i="79"/>
  <c r="AG133" i="79"/>
  <c r="AG21" i="79"/>
  <c r="AH109" i="79"/>
  <c r="AH116" i="79"/>
  <c r="AU85" i="79"/>
  <c r="AH118" i="79"/>
  <c r="AH103" i="79"/>
  <c r="AF124" i="79"/>
  <c r="AH102" i="79"/>
  <c r="M493" i="30"/>
  <c r="L610" i="30"/>
  <c r="O588" i="30" s="1"/>
  <c r="M569" i="30"/>
  <c r="L204" i="30"/>
  <c r="O189" i="30" s="1"/>
  <c r="M162" i="30"/>
  <c r="L249" i="30"/>
  <c r="O224" i="30" s="1"/>
  <c r="M504" i="30"/>
  <c r="O544" i="30"/>
  <c r="O511" i="30"/>
  <c r="O513" i="30"/>
  <c r="AQ70" i="79"/>
  <c r="M611" i="30"/>
  <c r="M642" i="30"/>
  <c r="M638" i="30"/>
  <c r="M641" i="30"/>
  <c r="M639" i="30"/>
  <c r="M640" i="30"/>
  <c r="M631" i="30"/>
  <c r="M634" i="30"/>
  <c r="M629" i="30"/>
  <c r="M624" i="30"/>
  <c r="M620" i="30"/>
  <c r="M627" i="30"/>
  <c r="M636" i="30"/>
  <c r="M625" i="30"/>
  <c r="M633" i="30"/>
  <c r="M654" i="30"/>
  <c r="AV171" i="90" s="1"/>
  <c r="F301" i="86" s="1"/>
  <c r="H301" i="86" s="1"/>
  <c r="M652" i="30"/>
  <c r="AV169" i="90" s="1"/>
  <c r="F299" i="86" s="1"/>
  <c r="M626" i="30"/>
  <c r="M630" i="30"/>
  <c r="M653" i="30"/>
  <c r="AV170" i="90" s="1"/>
  <c r="F300" i="86" s="1"/>
  <c r="H300" i="86" s="1"/>
  <c r="M648" i="30"/>
  <c r="M632" i="30"/>
  <c r="M622" i="30"/>
  <c r="M618" i="30"/>
  <c r="M612" i="30"/>
  <c r="M655" i="30"/>
  <c r="AV172" i="90" s="1"/>
  <c r="F302" i="86" s="1"/>
  <c r="H302" i="86" s="1"/>
  <c r="M619" i="30"/>
  <c r="M649" i="30"/>
  <c r="M650" i="30"/>
  <c r="M647" i="30"/>
  <c r="M643" i="30"/>
  <c r="M644" i="30"/>
  <c r="M617" i="30"/>
  <c r="M614" i="30"/>
  <c r="M616" i="30"/>
  <c r="M623" i="30"/>
  <c r="M621" i="30"/>
  <c r="M628" i="30"/>
  <c r="M613" i="30"/>
  <c r="M635" i="30"/>
  <c r="O351" i="30"/>
  <c r="O350" i="30"/>
  <c r="L656" i="30"/>
  <c r="O643" i="30" s="1"/>
  <c r="M534" i="30"/>
  <c r="M539" i="30"/>
  <c r="M541" i="30"/>
  <c r="M531" i="30"/>
  <c r="M532" i="30"/>
  <c r="M542" i="30"/>
  <c r="M537" i="30"/>
  <c r="M535" i="30"/>
  <c r="M538" i="30"/>
  <c r="M530" i="30"/>
  <c r="M543" i="30"/>
  <c r="M533" i="30"/>
  <c r="M536" i="30"/>
  <c r="M529" i="30"/>
  <c r="M540" i="30"/>
  <c r="M556" i="30"/>
  <c r="M550" i="30"/>
  <c r="M516" i="30"/>
  <c r="M524" i="30"/>
  <c r="M515" i="30"/>
  <c r="M545" i="30"/>
  <c r="M526" i="30"/>
  <c r="M546" i="30"/>
  <c r="M551" i="30"/>
  <c r="M525" i="30"/>
  <c r="M553" i="30"/>
  <c r="M557" i="30"/>
  <c r="M517" i="30"/>
  <c r="M528" i="30"/>
  <c r="M522" i="30"/>
  <c r="M561" i="30"/>
  <c r="AR169" i="90" s="1"/>
  <c r="F266" i="86" s="1"/>
  <c r="M521" i="30"/>
  <c r="M554" i="30"/>
  <c r="M514" i="30"/>
  <c r="M548" i="30"/>
  <c r="M523" i="30"/>
  <c r="M559" i="30"/>
  <c r="M519" i="30"/>
  <c r="M511" i="30"/>
  <c r="M552" i="30"/>
  <c r="M513" i="30"/>
  <c r="M547" i="30"/>
  <c r="M555" i="30"/>
  <c r="M560" i="30"/>
  <c r="M518" i="30"/>
  <c r="M520" i="30"/>
  <c r="M562" i="30"/>
  <c r="AR170" i="90" s="1"/>
  <c r="F267" i="86" s="1"/>
  <c r="H267" i="86" s="1"/>
  <c r="M549" i="30"/>
  <c r="M527" i="30"/>
  <c r="M544" i="30"/>
  <c r="AR172" i="90" s="1"/>
  <c r="F269" i="86" s="1"/>
  <c r="H269" i="86" s="1"/>
  <c r="M563" i="30"/>
  <c r="AR171" i="90" s="1"/>
  <c r="F268" i="86" s="1"/>
  <c r="H268" i="86" s="1"/>
  <c r="M183" i="30"/>
  <c r="M185" i="30"/>
  <c r="M184" i="30"/>
  <c r="M163" i="30"/>
  <c r="M201" i="30"/>
  <c r="AB170" i="90" s="1"/>
  <c r="F168" i="86" s="1"/>
  <c r="H168" i="86" s="1"/>
  <c r="M172" i="30"/>
  <c r="M168" i="30"/>
  <c r="M170" i="30"/>
  <c r="M199" i="30"/>
  <c r="M200" i="30"/>
  <c r="AB169" i="90" s="1"/>
  <c r="F167" i="86" s="1"/>
  <c r="H167" i="86" s="1"/>
  <c r="M167" i="30"/>
  <c r="M202" i="30"/>
  <c r="AB171" i="90" s="1"/>
  <c r="F169" i="86" s="1"/>
  <c r="M189" i="30"/>
  <c r="M177" i="30"/>
  <c r="M166" i="30"/>
  <c r="M164" i="30"/>
  <c r="M178" i="30"/>
  <c r="M195" i="30"/>
  <c r="M169" i="30"/>
  <c r="M179" i="30"/>
  <c r="M190" i="30"/>
  <c r="M171" i="30"/>
  <c r="M176" i="30"/>
  <c r="M175" i="30"/>
  <c r="M186" i="30"/>
  <c r="M191" i="30"/>
  <c r="M173" i="30"/>
  <c r="M160" i="30"/>
  <c r="M198" i="30"/>
  <c r="M174" i="30"/>
  <c r="M165" i="30"/>
  <c r="M203" i="30"/>
  <c r="AB172" i="90" s="1"/>
  <c r="F170" i="86" s="1"/>
  <c r="H170" i="86" s="1"/>
  <c r="M192" i="30"/>
  <c r="M182" i="30"/>
  <c r="M603" i="30"/>
  <c r="M582" i="30"/>
  <c r="M573" i="30"/>
  <c r="M584" i="30"/>
  <c r="M596" i="30"/>
  <c r="M583" i="30"/>
  <c r="M607" i="30"/>
  <c r="M577" i="30"/>
  <c r="M592" i="30"/>
  <c r="M608" i="30"/>
  <c r="M568" i="30"/>
  <c r="M581" i="30"/>
  <c r="M590" i="30"/>
  <c r="M578" i="30"/>
  <c r="M575" i="30"/>
  <c r="M602" i="30"/>
  <c r="M586" i="30"/>
  <c r="M588" i="30"/>
  <c r="M585" i="30"/>
  <c r="M587" i="30"/>
  <c r="M570" i="30"/>
  <c r="M593" i="30"/>
  <c r="M579" i="30"/>
  <c r="M589" i="30"/>
  <c r="M600" i="30"/>
  <c r="M604" i="30"/>
  <c r="M595" i="30"/>
  <c r="M565" i="30"/>
  <c r="M594" i="30"/>
  <c r="M574" i="30"/>
  <c r="M572" i="30"/>
  <c r="M566" i="30"/>
  <c r="M571" i="30"/>
  <c r="M567" i="30"/>
  <c r="M601" i="30"/>
  <c r="M597" i="30"/>
  <c r="M580" i="30"/>
  <c r="M606" i="30"/>
  <c r="AU169" i="90" s="1"/>
  <c r="F288" i="86" s="1"/>
  <c r="M576" i="30"/>
  <c r="M609" i="30"/>
  <c r="M181" i="30"/>
  <c r="M161" i="30"/>
  <c r="O401" i="30"/>
  <c r="M403" i="30"/>
  <c r="M440" i="30"/>
  <c r="M419" i="30"/>
  <c r="M435" i="30"/>
  <c r="M422" i="30"/>
  <c r="M451" i="30"/>
  <c r="M432" i="30"/>
  <c r="M407" i="30"/>
  <c r="M446" i="30"/>
  <c r="M442" i="30"/>
  <c r="M428" i="30"/>
  <c r="M434" i="30"/>
  <c r="M429" i="30"/>
  <c r="M425" i="30"/>
  <c r="M444" i="30"/>
  <c r="M414" i="30"/>
  <c r="M424" i="30"/>
  <c r="M412" i="30"/>
  <c r="M454" i="30"/>
  <c r="AP170" i="90" s="1"/>
  <c r="F245" i="86" s="1"/>
  <c r="H245" i="86" s="1"/>
  <c r="M405" i="30"/>
  <c r="M449" i="30"/>
  <c r="M448" i="30"/>
  <c r="M427" i="30"/>
  <c r="M411" i="30"/>
  <c r="M404" i="30"/>
  <c r="M441" i="30"/>
  <c r="M423" i="30"/>
  <c r="M455" i="30"/>
  <c r="AP171" i="90" s="1"/>
  <c r="F246" i="86" s="1"/>
  <c r="H246" i="86" s="1"/>
  <c r="M447" i="30"/>
  <c r="M450" i="30"/>
  <c r="M417" i="30"/>
  <c r="M413" i="30"/>
  <c r="M409" i="30"/>
  <c r="M416" i="30"/>
  <c r="M452" i="30"/>
  <c r="M438" i="30"/>
  <c r="M445" i="30"/>
  <c r="M415" i="30"/>
  <c r="M418" i="30"/>
  <c r="M406" i="30"/>
  <c r="M408" i="30"/>
  <c r="M421" i="30"/>
  <c r="M426" i="30"/>
  <c r="M433" i="30"/>
  <c r="M453" i="30"/>
  <c r="AP169" i="90" s="1"/>
  <c r="F244" i="86" s="1"/>
  <c r="H244" i="86" s="1"/>
  <c r="M410" i="30"/>
  <c r="M420" i="30"/>
  <c r="M430" i="30"/>
  <c r="M436" i="30"/>
  <c r="AP172" i="90" s="1"/>
  <c r="F247" i="86" s="1"/>
  <c r="M431" i="30"/>
  <c r="M437" i="30"/>
  <c r="M443" i="30"/>
  <c r="M196" i="30"/>
  <c r="M197" i="30"/>
  <c r="M187" i="30"/>
  <c r="L456" i="30"/>
  <c r="M605" i="30"/>
  <c r="M646" i="30"/>
  <c r="O315" i="30"/>
  <c r="O329" i="30"/>
  <c r="O545" i="30"/>
  <c r="O662" i="30"/>
  <c r="M180" i="30"/>
  <c r="M598" i="30"/>
  <c r="M402" i="30"/>
  <c r="M366" i="30"/>
  <c r="M558" i="30"/>
  <c r="O387" i="30"/>
  <c r="O386" i="30"/>
  <c r="M483" i="30"/>
  <c r="M477" i="30"/>
  <c r="M495" i="30"/>
  <c r="M482" i="30"/>
  <c r="M465" i="30"/>
  <c r="M509" i="30"/>
  <c r="AQ171" i="90" s="1"/>
  <c r="F257" i="86" s="1"/>
  <c r="H257" i="86" s="1"/>
  <c r="M471" i="30"/>
  <c r="M485" i="30"/>
  <c r="M497" i="30"/>
  <c r="M462" i="30"/>
  <c r="M472" i="30"/>
  <c r="M508" i="30"/>
  <c r="AQ170" i="90" s="1"/>
  <c r="F256" i="86" s="1"/>
  <c r="H256" i="86" s="1"/>
  <c r="M488" i="30"/>
  <c r="M490" i="30"/>
  <c r="AQ172" i="90" s="1"/>
  <c r="F258" i="86" s="1"/>
  <c r="M474" i="30"/>
  <c r="M492" i="30"/>
  <c r="M481" i="30"/>
  <c r="M491" i="30"/>
  <c r="M502" i="30"/>
  <c r="M487" i="30"/>
  <c r="M459" i="30"/>
  <c r="M461" i="30"/>
  <c r="M478" i="30"/>
  <c r="M499" i="30"/>
  <c r="M496" i="30"/>
  <c r="M507" i="30"/>
  <c r="AQ169" i="90" s="1"/>
  <c r="F255" i="86" s="1"/>
  <c r="H255" i="86" s="1"/>
  <c r="M464" i="30"/>
  <c r="M473" i="30"/>
  <c r="M467" i="30"/>
  <c r="M480" i="30"/>
  <c r="M500" i="30"/>
  <c r="M468" i="30"/>
  <c r="M503" i="30"/>
  <c r="M463" i="30"/>
  <c r="M475" i="30"/>
  <c r="M498" i="30"/>
  <c r="M506" i="30"/>
  <c r="M501" i="30"/>
  <c r="M486" i="30"/>
  <c r="M494" i="30"/>
  <c r="M484" i="30"/>
  <c r="M479" i="30"/>
  <c r="M460" i="30"/>
  <c r="M469" i="30"/>
  <c r="M505" i="30"/>
  <c r="M470" i="30"/>
  <c r="M466" i="30"/>
  <c r="M476" i="30"/>
  <c r="M489" i="30"/>
  <c r="M512" i="30"/>
  <c r="O331" i="30"/>
  <c r="L510" i="30"/>
  <c r="O295" i="30"/>
  <c r="G297" i="55"/>
  <c r="G296" i="55"/>
  <c r="G295" i="55"/>
  <c r="G289" i="55"/>
  <c r="G299" i="55"/>
  <c r="G301" i="55"/>
  <c r="G305" i="55"/>
  <c r="G302" i="55"/>
  <c r="G308" i="55"/>
  <c r="G304" i="55"/>
  <c r="G307" i="55"/>
  <c r="G306" i="55"/>
  <c r="G314" i="55"/>
  <c r="G310" i="55"/>
  <c r="G292" i="55"/>
  <c r="G312" i="55"/>
  <c r="G291" i="55"/>
  <c r="G293" i="55"/>
  <c r="G313" i="55"/>
  <c r="G290" i="55"/>
  <c r="G288" i="55"/>
  <c r="H263" i="55"/>
  <c r="H262" i="55"/>
  <c r="G276" i="55"/>
  <c r="H277" i="55"/>
  <c r="H266" i="55"/>
  <c r="H264" i="55"/>
  <c r="H261" i="55"/>
  <c r="H276" i="55"/>
  <c r="H260" i="55"/>
  <c r="G261" i="55"/>
  <c r="G274" i="55"/>
  <c r="H275" i="55"/>
  <c r="G260" i="55"/>
  <c r="G273" i="55"/>
  <c r="H274" i="55"/>
  <c r="G266" i="55"/>
  <c r="G280" i="55"/>
  <c r="H273" i="55"/>
  <c r="G262" i="55"/>
  <c r="G275" i="55"/>
  <c r="G265" i="55"/>
  <c r="G279" i="55"/>
  <c r="H280" i="55"/>
  <c r="G264" i="55"/>
  <c r="G278" i="55"/>
  <c r="H279" i="55"/>
  <c r="O701" i="30" l="1"/>
  <c r="O664" i="30"/>
  <c r="AW100" i="90"/>
  <c r="AW100" i="79"/>
  <c r="AW97" i="90"/>
  <c r="AW97" i="91"/>
  <c r="O684" i="30"/>
  <c r="O702" i="30" s="1"/>
  <c r="O687" i="30"/>
  <c r="AW95" i="92"/>
  <c r="AW92" i="79"/>
  <c r="AW111" i="90"/>
  <c r="AW74" i="92"/>
  <c r="AW97" i="79"/>
  <c r="AW85" i="91"/>
  <c r="AW120" i="92"/>
  <c r="N313" i="86"/>
  <c r="O689" i="30"/>
  <c r="AW21" i="79"/>
  <c r="AW100" i="92"/>
  <c r="AW112" i="92"/>
  <c r="AW99" i="79"/>
  <c r="O680" i="30"/>
  <c r="AW73" i="79"/>
  <c r="AW120" i="79"/>
  <c r="AW120" i="91"/>
  <c r="AC105" i="90"/>
  <c r="AW111" i="92"/>
  <c r="AW99" i="90"/>
  <c r="AW105" i="91"/>
  <c r="N312" i="86"/>
  <c r="AW99" i="91"/>
  <c r="AW111" i="79"/>
  <c r="AW92" i="90"/>
  <c r="AW109" i="90"/>
  <c r="AW109" i="91"/>
  <c r="AW109" i="92"/>
  <c r="AW105" i="79"/>
  <c r="AW105" i="90"/>
  <c r="AW78" i="79"/>
  <c r="AW104" i="92"/>
  <c r="AW129" i="90"/>
  <c r="AW129" i="91"/>
  <c r="AW104" i="79"/>
  <c r="AW129" i="92"/>
  <c r="AW104" i="90"/>
  <c r="AW74" i="79"/>
  <c r="AW112" i="91"/>
  <c r="AW74" i="91"/>
  <c r="AW92" i="91"/>
  <c r="AW51" i="79"/>
  <c r="AW30" i="92"/>
  <c r="AW112" i="79"/>
  <c r="AW30" i="79"/>
  <c r="AW108" i="92"/>
  <c r="AW107" i="92"/>
  <c r="AW30" i="90"/>
  <c r="AW98" i="79"/>
  <c r="AW98" i="90"/>
  <c r="AW86" i="79"/>
  <c r="AW98" i="91"/>
  <c r="AW108" i="91"/>
  <c r="AW107" i="90"/>
  <c r="AW26" i="79"/>
  <c r="AW26" i="91"/>
  <c r="AW27" i="79"/>
  <c r="AW106" i="79"/>
  <c r="AW103" i="90"/>
  <c r="AW78" i="91"/>
  <c r="AW106" i="91"/>
  <c r="AW103" i="91"/>
  <c r="AW78" i="92"/>
  <c r="AW106" i="92"/>
  <c r="AW27" i="91"/>
  <c r="AW27" i="92"/>
  <c r="AW101" i="91"/>
  <c r="AW110" i="79"/>
  <c r="AW101" i="79"/>
  <c r="AW121" i="91"/>
  <c r="AW121" i="92"/>
  <c r="AW101" i="92"/>
  <c r="AW107" i="91"/>
  <c r="AW124" i="90"/>
  <c r="AW124" i="91"/>
  <c r="AW95" i="90"/>
  <c r="AW95" i="79"/>
  <c r="AW124" i="79"/>
  <c r="AW121" i="90"/>
  <c r="AV85" i="90"/>
  <c r="AW85" i="92"/>
  <c r="AW87" i="90"/>
  <c r="AV85" i="91"/>
  <c r="AV85" i="79"/>
  <c r="AW87" i="91"/>
  <c r="AW87" i="79"/>
  <c r="AC121" i="79"/>
  <c r="AW85" i="90"/>
  <c r="AW86" i="90"/>
  <c r="AW86" i="92"/>
  <c r="AW21" i="90"/>
  <c r="AW21" i="92"/>
  <c r="AW73" i="92"/>
  <c r="K311" i="86"/>
  <c r="AC123" i="90"/>
  <c r="AW138" i="91"/>
  <c r="AW138" i="92"/>
  <c r="AW58" i="79"/>
  <c r="AW58" i="90"/>
  <c r="AW58" i="91"/>
  <c r="AW138" i="79"/>
  <c r="M702" i="30"/>
  <c r="F314" i="86"/>
  <c r="AW73" i="90"/>
  <c r="AW118" i="92"/>
  <c r="AW51" i="92"/>
  <c r="AW51" i="90"/>
  <c r="AW103" i="92"/>
  <c r="AW118" i="79"/>
  <c r="AW110" i="90"/>
  <c r="AW110" i="91"/>
  <c r="AW118" i="90"/>
  <c r="AC106" i="79"/>
  <c r="H237" i="86"/>
  <c r="I235" i="86" s="1"/>
  <c r="AH171" i="79" s="1"/>
  <c r="H215" i="86"/>
  <c r="I213" i="86" s="1"/>
  <c r="O248" i="30"/>
  <c r="AC106" i="92"/>
  <c r="AC102" i="91"/>
  <c r="AC17" i="79"/>
  <c r="N179" i="86"/>
  <c r="AC129" i="92"/>
  <c r="K179" i="86"/>
  <c r="AC129" i="91"/>
  <c r="AC17" i="90"/>
  <c r="AC129" i="79"/>
  <c r="AC121" i="92"/>
  <c r="AC106" i="91"/>
  <c r="AC121" i="90"/>
  <c r="AC102" i="90"/>
  <c r="AC102" i="92"/>
  <c r="O208" i="30"/>
  <c r="AC105" i="79"/>
  <c r="AC105" i="91"/>
  <c r="AC17" i="91"/>
  <c r="O205" i="30"/>
  <c r="O234" i="30"/>
  <c r="AC123" i="79"/>
  <c r="AC123" i="91"/>
  <c r="AP138" i="92"/>
  <c r="AP138" i="91"/>
  <c r="AP138" i="90"/>
  <c r="AU78" i="92"/>
  <c r="AU78" i="91"/>
  <c r="AU78" i="90"/>
  <c r="AP146" i="92"/>
  <c r="AP146" i="91"/>
  <c r="AP146" i="90"/>
  <c r="AP99" i="92"/>
  <c r="AP99" i="91"/>
  <c r="AP99" i="90"/>
  <c r="AU87" i="92"/>
  <c r="AU87" i="91"/>
  <c r="AU87" i="90"/>
  <c r="AU121" i="92"/>
  <c r="AU121" i="91"/>
  <c r="AU121" i="90"/>
  <c r="AB129" i="92"/>
  <c r="AB129" i="91"/>
  <c r="AB129" i="90"/>
  <c r="AR72" i="92"/>
  <c r="AR72" i="91"/>
  <c r="AR72" i="90"/>
  <c r="AR87" i="92"/>
  <c r="AR87" i="91"/>
  <c r="AR87" i="90"/>
  <c r="AR143" i="92"/>
  <c r="AR143" i="91"/>
  <c r="AR143" i="90"/>
  <c r="AV102" i="92"/>
  <c r="AV102" i="91"/>
  <c r="AV102" i="90"/>
  <c r="AV21" i="92"/>
  <c r="AV21" i="91"/>
  <c r="AV21" i="90"/>
  <c r="AR129" i="92"/>
  <c r="AR129" i="91"/>
  <c r="AR129" i="90"/>
  <c r="AQ58" i="92"/>
  <c r="AQ58" i="91"/>
  <c r="AQ58" i="90"/>
  <c r="AQ33" i="92"/>
  <c r="AQ33" i="91"/>
  <c r="AQ33" i="90"/>
  <c r="AQ23" i="92"/>
  <c r="AQ23" i="91"/>
  <c r="AQ23" i="90"/>
  <c r="AB125" i="92"/>
  <c r="AB125" i="91"/>
  <c r="AB125" i="90"/>
  <c r="AP109" i="92"/>
  <c r="AP109" i="91"/>
  <c r="AP109" i="90"/>
  <c r="AP148" i="92"/>
  <c r="AP148" i="91"/>
  <c r="AP148" i="90"/>
  <c r="AB118" i="92"/>
  <c r="AB118" i="91"/>
  <c r="AB118" i="90"/>
  <c r="N267" i="86"/>
  <c r="K267" i="86"/>
  <c r="AR34" i="92"/>
  <c r="AR34" i="91"/>
  <c r="AR34" i="90"/>
  <c r="AR145" i="92"/>
  <c r="AR145" i="91"/>
  <c r="AR145" i="90"/>
  <c r="AV98" i="92"/>
  <c r="AV98" i="91"/>
  <c r="AV98" i="90"/>
  <c r="AV74" i="92"/>
  <c r="AV74" i="91"/>
  <c r="AV74" i="90"/>
  <c r="AQ146" i="92"/>
  <c r="AQ146" i="91"/>
  <c r="AQ146" i="90"/>
  <c r="AQ86" i="92"/>
  <c r="AQ86" i="91"/>
  <c r="AQ86" i="90"/>
  <c r="AQ87" i="92"/>
  <c r="AQ87" i="91"/>
  <c r="AQ87" i="90"/>
  <c r="AP102" i="92"/>
  <c r="AP102" i="91"/>
  <c r="AP102" i="90"/>
  <c r="AP121" i="92"/>
  <c r="AP121" i="91"/>
  <c r="AP121" i="90"/>
  <c r="AP131" i="92"/>
  <c r="AP131" i="91"/>
  <c r="AP131" i="90"/>
  <c r="AU129" i="92"/>
  <c r="AU129" i="91"/>
  <c r="AU129" i="90"/>
  <c r="AU74" i="92"/>
  <c r="AU74" i="91"/>
  <c r="AU74" i="90"/>
  <c r="AB107" i="92"/>
  <c r="AB107" i="91"/>
  <c r="AB107" i="90"/>
  <c r="AB101" i="92"/>
  <c r="AB101" i="91"/>
  <c r="AB101" i="90"/>
  <c r="AR103" i="92"/>
  <c r="AR103" i="91"/>
  <c r="AR103" i="90"/>
  <c r="AR110" i="92"/>
  <c r="AR110" i="91"/>
  <c r="AR110" i="90"/>
  <c r="AR150" i="92"/>
  <c r="AR150" i="91"/>
  <c r="AR150" i="90"/>
  <c r="AV121" i="92"/>
  <c r="AV121" i="91"/>
  <c r="AV121" i="90"/>
  <c r="AV105" i="92"/>
  <c r="AV105" i="91"/>
  <c r="AV105" i="90"/>
  <c r="AC134" i="92"/>
  <c r="AC134" i="91"/>
  <c r="AC134" i="90"/>
  <c r="AQ104" i="92"/>
  <c r="AQ104" i="91"/>
  <c r="AQ104" i="90"/>
  <c r="AQ148" i="92"/>
  <c r="AQ148" i="91"/>
  <c r="AQ148" i="90"/>
  <c r="AQ118" i="92"/>
  <c r="AQ118" i="91"/>
  <c r="AQ118" i="90"/>
  <c r="AQ24" i="92"/>
  <c r="AQ24" i="91"/>
  <c r="AQ24" i="90"/>
  <c r="AQ112" i="92"/>
  <c r="AQ112" i="91"/>
  <c r="AQ112" i="90"/>
  <c r="AQ109" i="92"/>
  <c r="AQ109" i="91"/>
  <c r="AQ109" i="90"/>
  <c r="AP87" i="92"/>
  <c r="AP87" i="91"/>
  <c r="AP87" i="90"/>
  <c r="AP149" i="92"/>
  <c r="AP149" i="91"/>
  <c r="AP149" i="90"/>
  <c r="AP34" i="92"/>
  <c r="AP34" i="91"/>
  <c r="AP34" i="90"/>
  <c r="K246" i="86"/>
  <c r="N246" i="86"/>
  <c r="AP97" i="92"/>
  <c r="AP97" i="91"/>
  <c r="AP97" i="90"/>
  <c r="AP150" i="92"/>
  <c r="AP150" i="91"/>
  <c r="AP150" i="90"/>
  <c r="AP151" i="92"/>
  <c r="AP151" i="91"/>
  <c r="AP151" i="90"/>
  <c r="AU101" i="92"/>
  <c r="AU101" i="91"/>
  <c r="AU101" i="90"/>
  <c r="AU97" i="92"/>
  <c r="AU97" i="91"/>
  <c r="AU97" i="90"/>
  <c r="AU104" i="92"/>
  <c r="AU104" i="91"/>
  <c r="AU104" i="90"/>
  <c r="AU100" i="92"/>
  <c r="AU100" i="91"/>
  <c r="AU100" i="90"/>
  <c r="AU170" i="92"/>
  <c r="AU170" i="91"/>
  <c r="AU170" i="90"/>
  <c r="F289" i="86" s="1"/>
  <c r="H289" i="86" s="1"/>
  <c r="AB119" i="92"/>
  <c r="AB119" i="91"/>
  <c r="AB119" i="90"/>
  <c r="AB112" i="92"/>
  <c r="AB112" i="91"/>
  <c r="AB112" i="90"/>
  <c r="AB134" i="92"/>
  <c r="AB134" i="91"/>
  <c r="AB134" i="90"/>
  <c r="AB17" i="92"/>
  <c r="AB17" i="91"/>
  <c r="AB17" i="90"/>
  <c r="AR138" i="92"/>
  <c r="AR138" i="91"/>
  <c r="AR138" i="90"/>
  <c r="AR107" i="92"/>
  <c r="AR107" i="91"/>
  <c r="AR107" i="90"/>
  <c r="AR101" i="92"/>
  <c r="AR101" i="91"/>
  <c r="AR101" i="90"/>
  <c r="AR99" i="92"/>
  <c r="AR99" i="91"/>
  <c r="AR99" i="90"/>
  <c r="AR58" i="92"/>
  <c r="AR58" i="91"/>
  <c r="AR58" i="90"/>
  <c r="AR23" i="92"/>
  <c r="AR23" i="91"/>
  <c r="AR23" i="90"/>
  <c r="AV27" i="92"/>
  <c r="AV27" i="91"/>
  <c r="AV27" i="90"/>
  <c r="AV73" i="92"/>
  <c r="AV73" i="91"/>
  <c r="AV73" i="90"/>
  <c r="AV97" i="92"/>
  <c r="AV97" i="91"/>
  <c r="AV97" i="90"/>
  <c r="K301" i="86"/>
  <c r="N301" i="86"/>
  <c r="AV26" i="92"/>
  <c r="AV26" i="91"/>
  <c r="AV26" i="90"/>
  <c r="AQ129" i="92"/>
  <c r="AQ129" i="91"/>
  <c r="AQ129" i="90"/>
  <c r="AC58" i="92"/>
  <c r="AC58" i="91"/>
  <c r="AC58" i="90"/>
  <c r="AC108" i="92"/>
  <c r="AC108" i="91"/>
  <c r="AC108" i="90"/>
  <c r="N178" i="86"/>
  <c r="K178" i="86"/>
  <c r="AC101" i="92"/>
  <c r="AC101" i="91"/>
  <c r="AC101" i="90"/>
  <c r="AQ120" i="92"/>
  <c r="AQ120" i="91"/>
  <c r="AQ120" i="90"/>
  <c r="AP142" i="92"/>
  <c r="AP142" i="91"/>
  <c r="AP142" i="90"/>
  <c r="AP111" i="92"/>
  <c r="AP111" i="91"/>
  <c r="AP111" i="90"/>
  <c r="AU103" i="92"/>
  <c r="AU103" i="91"/>
  <c r="AU103" i="90"/>
  <c r="AB98" i="92"/>
  <c r="AB98" i="91"/>
  <c r="AB98" i="90"/>
  <c r="AB104" i="92"/>
  <c r="AB104" i="91"/>
  <c r="AB104" i="90"/>
  <c r="AR120" i="92"/>
  <c r="AR120" i="91"/>
  <c r="AR120" i="90"/>
  <c r="AR124" i="92"/>
  <c r="AR124" i="91"/>
  <c r="AR124" i="90"/>
  <c r="AR151" i="92"/>
  <c r="AR151" i="91"/>
  <c r="AR151" i="90"/>
  <c r="AV120" i="92"/>
  <c r="AV120" i="91"/>
  <c r="AV120" i="90"/>
  <c r="AV112" i="92"/>
  <c r="AV112" i="91"/>
  <c r="AV112" i="90"/>
  <c r="N310" i="86"/>
  <c r="K310" i="86"/>
  <c r="H314" i="86"/>
  <c r="AQ131" i="92"/>
  <c r="AQ131" i="91"/>
  <c r="AQ131" i="90"/>
  <c r="AQ138" i="92"/>
  <c r="AQ138" i="91"/>
  <c r="AQ138" i="90"/>
  <c r="AQ97" i="92"/>
  <c r="AQ97" i="91"/>
  <c r="AQ97" i="90"/>
  <c r="AQ150" i="92"/>
  <c r="AQ150" i="91"/>
  <c r="AQ150" i="90"/>
  <c r="AQ103" i="92"/>
  <c r="AQ103" i="91"/>
  <c r="AQ103" i="90"/>
  <c r="AP21" i="92"/>
  <c r="AP21" i="91"/>
  <c r="AP21" i="90"/>
  <c r="AP104" i="92"/>
  <c r="AP104" i="91"/>
  <c r="AP104" i="90"/>
  <c r="AU30" i="92"/>
  <c r="AU30" i="91"/>
  <c r="AU30" i="90"/>
  <c r="AB99" i="92"/>
  <c r="AB99" i="91"/>
  <c r="AB99" i="90"/>
  <c r="AB110" i="92"/>
  <c r="AB110" i="91"/>
  <c r="AB110" i="90"/>
  <c r="AB100" i="92"/>
  <c r="AB100" i="91"/>
  <c r="AB100" i="90"/>
  <c r="AB102" i="92"/>
  <c r="AB102" i="91"/>
  <c r="AB102" i="90"/>
  <c r="AR116" i="92"/>
  <c r="AR116" i="91"/>
  <c r="AR116" i="90"/>
  <c r="AR100" i="92"/>
  <c r="AR100" i="91"/>
  <c r="AR100" i="90"/>
  <c r="AR22" i="92"/>
  <c r="AR22" i="91"/>
  <c r="AR22" i="90"/>
  <c r="AR147" i="92"/>
  <c r="AR147" i="91"/>
  <c r="AR147" i="90"/>
  <c r="AV107" i="92"/>
  <c r="AV107" i="91"/>
  <c r="AV107" i="90"/>
  <c r="AV87" i="92"/>
  <c r="AV87" i="91"/>
  <c r="AV87" i="90"/>
  <c r="AV111" i="92"/>
  <c r="AV111" i="91"/>
  <c r="AV111" i="90"/>
  <c r="AV104" i="92"/>
  <c r="AV104" i="91"/>
  <c r="AV104" i="90"/>
  <c r="AC119" i="92"/>
  <c r="AC119" i="91"/>
  <c r="AC119" i="90"/>
  <c r="AQ99" i="92"/>
  <c r="AQ99" i="91"/>
  <c r="AQ99" i="90"/>
  <c r="N245" i="86"/>
  <c r="K245" i="86"/>
  <c r="AU99" i="92"/>
  <c r="AU99" i="91"/>
  <c r="AU99" i="90"/>
  <c r="AB109" i="92"/>
  <c r="AB109" i="91"/>
  <c r="AB109" i="90"/>
  <c r="N268" i="86"/>
  <c r="K268" i="86"/>
  <c r="AR71" i="92"/>
  <c r="AR71" i="91"/>
  <c r="AR71" i="90"/>
  <c r="AR108" i="92"/>
  <c r="AR108" i="91"/>
  <c r="AR108" i="90"/>
  <c r="AR149" i="92"/>
  <c r="AR149" i="91"/>
  <c r="AR149" i="90"/>
  <c r="AV51" i="92"/>
  <c r="AV51" i="91"/>
  <c r="AV51" i="90"/>
  <c r="AV101" i="92"/>
  <c r="AV101" i="91"/>
  <c r="AV101" i="90"/>
  <c r="AV110" i="92"/>
  <c r="AV110" i="91"/>
  <c r="AV110" i="90"/>
  <c r="AB121" i="92"/>
  <c r="AB121" i="91"/>
  <c r="AB121" i="90"/>
  <c r="AQ105" i="92"/>
  <c r="AQ105" i="91"/>
  <c r="AQ105" i="90"/>
  <c r="AP147" i="92"/>
  <c r="AP147" i="91"/>
  <c r="AP147" i="90"/>
  <c r="AP108" i="92"/>
  <c r="AP108" i="91"/>
  <c r="AP108" i="90"/>
  <c r="AP72" i="92"/>
  <c r="AP72" i="91"/>
  <c r="AP72" i="90"/>
  <c r="AP86" i="92"/>
  <c r="AP86" i="91"/>
  <c r="AP86" i="90"/>
  <c r="AP71" i="92"/>
  <c r="AP71" i="91"/>
  <c r="AP71" i="90"/>
  <c r="AU105" i="92"/>
  <c r="AU105" i="91"/>
  <c r="AU105" i="90"/>
  <c r="AU95" i="92"/>
  <c r="AU95" i="91"/>
  <c r="AU95" i="90"/>
  <c r="AU58" i="92"/>
  <c r="AU58" i="91"/>
  <c r="AU58" i="90"/>
  <c r="K269" i="86"/>
  <c r="N269" i="86"/>
  <c r="AR98" i="92"/>
  <c r="AR98" i="91"/>
  <c r="AR98" i="90"/>
  <c r="AV95" i="92"/>
  <c r="AV95" i="91"/>
  <c r="AV95" i="90"/>
  <c r="AQ107" i="92"/>
  <c r="AQ107" i="91"/>
  <c r="AQ107" i="90"/>
  <c r="AQ92" i="92"/>
  <c r="AQ92" i="91"/>
  <c r="AQ92" i="90"/>
  <c r="AQ111" i="92"/>
  <c r="AQ111" i="91"/>
  <c r="AQ111" i="90"/>
  <c r="AQ149" i="92"/>
  <c r="AQ149" i="91"/>
  <c r="AQ149" i="90"/>
  <c r="N256" i="86"/>
  <c r="K256" i="86"/>
  <c r="AQ144" i="92"/>
  <c r="AQ144" i="91"/>
  <c r="AQ144" i="90"/>
  <c r="F248" i="86"/>
  <c r="H247" i="86"/>
  <c r="AP100" i="92"/>
  <c r="AP100" i="91"/>
  <c r="AP100" i="90"/>
  <c r="AP101" i="92"/>
  <c r="AP101" i="91"/>
  <c r="AP101" i="90"/>
  <c r="AP129" i="92"/>
  <c r="AP129" i="91"/>
  <c r="AP129" i="90"/>
  <c r="AP24" i="92"/>
  <c r="AP24" i="91"/>
  <c r="AP24" i="90"/>
  <c r="AP118" i="92"/>
  <c r="AP118" i="91"/>
  <c r="AP118" i="90"/>
  <c r="AP70" i="92"/>
  <c r="AP70" i="91"/>
  <c r="AP70" i="90"/>
  <c r="AU51" i="92"/>
  <c r="AU51" i="91"/>
  <c r="AU51" i="90"/>
  <c r="AU86" i="92"/>
  <c r="AU86" i="91"/>
  <c r="AU86" i="90"/>
  <c r="AU112" i="92"/>
  <c r="AU112" i="91"/>
  <c r="AU112" i="90"/>
  <c r="AU106" i="92"/>
  <c r="AU106" i="91"/>
  <c r="AU106" i="90"/>
  <c r="AU109" i="92"/>
  <c r="AU109" i="91"/>
  <c r="AU109" i="90"/>
  <c r="AB108" i="92"/>
  <c r="AB108" i="91"/>
  <c r="AB108" i="90"/>
  <c r="AB105" i="92"/>
  <c r="AB105" i="91"/>
  <c r="AB105" i="90"/>
  <c r="AB111" i="92"/>
  <c r="AB111" i="91"/>
  <c r="AB111" i="90"/>
  <c r="AB106" i="92"/>
  <c r="AB106" i="91"/>
  <c r="AB106" i="90"/>
  <c r="AR111" i="92"/>
  <c r="AR111" i="91"/>
  <c r="AR111" i="90"/>
  <c r="AR97" i="92"/>
  <c r="AR97" i="91"/>
  <c r="AR97" i="90"/>
  <c r="AR118" i="92"/>
  <c r="AR118" i="91"/>
  <c r="AR118" i="90"/>
  <c r="AR109" i="92"/>
  <c r="AR109" i="91"/>
  <c r="AR109" i="90"/>
  <c r="AR86" i="92"/>
  <c r="AR86" i="91"/>
  <c r="AR86" i="90"/>
  <c r="AR146" i="92"/>
  <c r="AR146" i="91"/>
  <c r="AR146" i="90"/>
  <c r="AR142" i="92"/>
  <c r="AR142" i="91"/>
  <c r="AR142" i="90"/>
  <c r="AV100" i="92"/>
  <c r="AV100" i="91"/>
  <c r="AV100" i="90"/>
  <c r="AV92" i="92"/>
  <c r="AV92" i="91"/>
  <c r="AV92" i="90"/>
  <c r="AV30" i="92"/>
  <c r="AV30" i="91"/>
  <c r="AV30" i="90"/>
  <c r="AV78" i="92"/>
  <c r="AV78" i="91"/>
  <c r="AV78" i="90"/>
  <c r="AU138" i="92"/>
  <c r="AU138" i="91"/>
  <c r="AU138" i="90"/>
  <c r="AC108" i="79"/>
  <c r="AC118" i="92"/>
  <c r="AC118" i="91"/>
  <c r="AC118" i="90"/>
  <c r="AC98" i="92"/>
  <c r="AC98" i="91"/>
  <c r="AC98" i="90"/>
  <c r="N222" i="86"/>
  <c r="H226" i="86"/>
  <c r="I222" i="86" s="1"/>
  <c r="K222" i="86"/>
  <c r="AC109" i="92"/>
  <c r="AC109" i="91"/>
  <c r="AC109" i="90"/>
  <c r="AQ142" i="92"/>
  <c r="AQ142" i="91"/>
  <c r="AQ142" i="90"/>
  <c r="AP144" i="92"/>
  <c r="AP144" i="91"/>
  <c r="AP144" i="90"/>
  <c r="AQ21" i="92"/>
  <c r="AQ21" i="91"/>
  <c r="AQ21" i="90"/>
  <c r="AP98" i="92"/>
  <c r="AP98" i="91"/>
  <c r="AP98" i="90"/>
  <c r="K168" i="86"/>
  <c r="N168" i="86"/>
  <c r="AR121" i="92"/>
  <c r="AR121" i="91"/>
  <c r="AR121" i="90"/>
  <c r="AV106" i="92"/>
  <c r="AV106" i="91"/>
  <c r="AV106" i="90"/>
  <c r="AC124" i="92"/>
  <c r="AC124" i="91"/>
  <c r="AC124" i="90"/>
  <c r="AC21" i="92"/>
  <c r="AC21" i="91"/>
  <c r="AC21" i="90"/>
  <c r="K213" i="86"/>
  <c r="N213" i="86"/>
  <c r="F182" i="86"/>
  <c r="H180" i="86"/>
  <c r="AC112" i="92"/>
  <c r="AC112" i="91"/>
  <c r="AC112" i="90"/>
  <c r="K257" i="86"/>
  <c r="N257" i="86"/>
  <c r="AP33" i="92"/>
  <c r="AP33" i="91"/>
  <c r="AP33" i="90"/>
  <c r="AP23" i="92"/>
  <c r="AP23" i="91"/>
  <c r="AP23" i="90"/>
  <c r="AU108" i="92"/>
  <c r="AU108" i="91"/>
  <c r="AU108" i="90"/>
  <c r="AQ98" i="92"/>
  <c r="AQ98" i="91"/>
  <c r="AQ98" i="90"/>
  <c r="AQ102" i="92"/>
  <c r="AQ102" i="91"/>
  <c r="AQ102" i="90"/>
  <c r="AQ72" i="92"/>
  <c r="AQ72" i="91"/>
  <c r="AQ72" i="90"/>
  <c r="AP106" i="92"/>
  <c r="AP106" i="91"/>
  <c r="AP106" i="90"/>
  <c r="AU21" i="92"/>
  <c r="AU21" i="91"/>
  <c r="AU21" i="90"/>
  <c r="AB58" i="92"/>
  <c r="AB58" i="91"/>
  <c r="AB58" i="90"/>
  <c r="AV124" i="92"/>
  <c r="AV124" i="91"/>
  <c r="AV124" i="90"/>
  <c r="N255" i="86"/>
  <c r="K255" i="86"/>
  <c r="AQ100" i="92"/>
  <c r="AQ100" i="91"/>
  <c r="AQ100" i="90"/>
  <c r="AP112" i="92"/>
  <c r="AP112" i="91"/>
  <c r="AP112" i="90"/>
  <c r="AB120" i="92"/>
  <c r="AB120" i="91"/>
  <c r="AB120" i="90"/>
  <c r="AU171" i="92"/>
  <c r="AU171" i="91"/>
  <c r="AU171" i="90"/>
  <c r="F290" i="86" s="1"/>
  <c r="H290" i="86" s="1"/>
  <c r="F270" i="86"/>
  <c r="H266" i="86"/>
  <c r="AC18" i="92"/>
  <c r="AC18" i="91"/>
  <c r="AC18" i="90"/>
  <c r="AC125" i="92"/>
  <c r="AC125" i="91"/>
  <c r="AC125" i="90"/>
  <c r="AC111" i="92"/>
  <c r="AC111" i="91"/>
  <c r="AC111" i="90"/>
  <c r="AC120" i="92"/>
  <c r="AC120" i="91"/>
  <c r="AC120" i="90"/>
  <c r="AQ108" i="92"/>
  <c r="AQ108" i="91"/>
  <c r="AQ108" i="90"/>
  <c r="H288" i="86"/>
  <c r="AQ110" i="92"/>
  <c r="AQ110" i="91"/>
  <c r="AQ110" i="90"/>
  <c r="AP103" i="92"/>
  <c r="AP103" i="91"/>
  <c r="AP103" i="90"/>
  <c r="AR92" i="92"/>
  <c r="AR92" i="91"/>
  <c r="AR92" i="90"/>
  <c r="AP143" i="92"/>
  <c r="AP143" i="91"/>
  <c r="AP143" i="90"/>
  <c r="AU26" i="92"/>
  <c r="AU26" i="91"/>
  <c r="AU26" i="90"/>
  <c r="AB97" i="92"/>
  <c r="AB97" i="91"/>
  <c r="AB97" i="90"/>
  <c r="AV99" i="92"/>
  <c r="AV99" i="91"/>
  <c r="AV99" i="90"/>
  <c r="AQ145" i="92"/>
  <c r="AQ145" i="91"/>
  <c r="AQ145" i="90"/>
  <c r="AB18" i="92"/>
  <c r="AB18" i="91"/>
  <c r="AB18" i="90"/>
  <c r="AV103" i="92"/>
  <c r="AV103" i="91"/>
  <c r="AV103" i="90"/>
  <c r="AC103" i="92"/>
  <c r="AC103" i="91"/>
  <c r="AC103" i="90"/>
  <c r="AC99" i="92"/>
  <c r="AC99" i="91"/>
  <c r="AC99" i="90"/>
  <c r="K235" i="86"/>
  <c r="N235" i="86"/>
  <c r="F259" i="86"/>
  <c r="H258" i="86"/>
  <c r="N170" i="86"/>
  <c r="K170" i="86"/>
  <c r="AQ121" i="92"/>
  <c r="AQ121" i="91"/>
  <c r="AQ121" i="90"/>
  <c r="AP105" i="92"/>
  <c r="AP105" i="91"/>
  <c r="AP105" i="90"/>
  <c r="AU110" i="92"/>
  <c r="AU110" i="91"/>
  <c r="AU110" i="90"/>
  <c r="AU98" i="92"/>
  <c r="AU98" i="91"/>
  <c r="AU98" i="90"/>
  <c r="AB21" i="92"/>
  <c r="AB21" i="91"/>
  <c r="AB21" i="90"/>
  <c r="AR105" i="92"/>
  <c r="AR105" i="91"/>
  <c r="AR105" i="90"/>
  <c r="K300" i="86"/>
  <c r="N300" i="86"/>
  <c r="AQ101" i="92"/>
  <c r="AQ101" i="91"/>
  <c r="AQ101" i="90"/>
  <c r="M249" i="30"/>
  <c r="AP110" i="92"/>
  <c r="AP110" i="91"/>
  <c r="AP110" i="90"/>
  <c r="AP92" i="92"/>
  <c r="AP92" i="91"/>
  <c r="AP92" i="90"/>
  <c r="AU120" i="92"/>
  <c r="AU120" i="91"/>
  <c r="AU120" i="90"/>
  <c r="AU107" i="92"/>
  <c r="AU107" i="91"/>
  <c r="AU107" i="90"/>
  <c r="F171" i="86"/>
  <c r="H169" i="86"/>
  <c r="AR70" i="92"/>
  <c r="AR70" i="91"/>
  <c r="AR70" i="90"/>
  <c r="AR148" i="92"/>
  <c r="AR148" i="91"/>
  <c r="AR148" i="90"/>
  <c r="AV109" i="92"/>
  <c r="AV109" i="91"/>
  <c r="AV109" i="90"/>
  <c r="AQ151" i="92"/>
  <c r="AQ151" i="91"/>
  <c r="AQ151" i="90"/>
  <c r="AQ124" i="92"/>
  <c r="AQ124" i="91"/>
  <c r="AQ124" i="90"/>
  <c r="AQ143" i="92"/>
  <c r="AQ143" i="91"/>
  <c r="AQ143" i="90"/>
  <c r="AP107" i="92"/>
  <c r="AP107" i="91"/>
  <c r="AP107" i="90"/>
  <c r="AP58" i="92"/>
  <c r="AP58" i="91"/>
  <c r="AP58" i="90"/>
  <c r="AU111" i="92"/>
  <c r="AU111" i="91"/>
  <c r="AU111" i="90"/>
  <c r="AU124" i="92"/>
  <c r="AU124" i="91"/>
  <c r="AU124" i="90"/>
  <c r="AB103" i="92"/>
  <c r="AB103" i="91"/>
  <c r="AB103" i="90"/>
  <c r="AR104" i="92"/>
  <c r="AR104" i="91"/>
  <c r="AR104" i="90"/>
  <c r="AR106" i="92"/>
  <c r="AR106" i="91"/>
  <c r="AR106" i="90"/>
  <c r="AR21" i="92"/>
  <c r="AR21" i="91"/>
  <c r="AR21" i="90"/>
  <c r="N302" i="86"/>
  <c r="K302" i="86"/>
  <c r="AV58" i="92"/>
  <c r="AV58" i="91"/>
  <c r="AV58" i="90"/>
  <c r="AQ22" i="92"/>
  <c r="AQ22" i="91"/>
  <c r="AQ22" i="90"/>
  <c r="AQ71" i="92"/>
  <c r="AQ71" i="91"/>
  <c r="AQ71" i="90"/>
  <c r="AQ106" i="92"/>
  <c r="AQ106" i="91"/>
  <c r="AQ106" i="90"/>
  <c r="AQ116" i="92"/>
  <c r="AQ116" i="91"/>
  <c r="AQ116" i="90"/>
  <c r="AQ34" i="92"/>
  <c r="AQ34" i="91"/>
  <c r="AQ34" i="90"/>
  <c r="AQ147" i="92"/>
  <c r="AQ147" i="91"/>
  <c r="AQ147" i="90"/>
  <c r="AU73" i="92"/>
  <c r="AU73" i="91"/>
  <c r="AU73" i="90"/>
  <c r="AB124" i="92"/>
  <c r="AB124" i="91"/>
  <c r="AB124" i="90"/>
  <c r="K244" i="86"/>
  <c r="N244" i="86"/>
  <c r="AP116" i="92"/>
  <c r="AP116" i="91"/>
  <c r="AP116" i="90"/>
  <c r="AP120" i="92"/>
  <c r="AP120" i="91"/>
  <c r="AP120" i="90"/>
  <c r="AP124" i="92"/>
  <c r="AP124" i="91"/>
  <c r="AP124" i="90"/>
  <c r="AP145" i="92"/>
  <c r="AP145" i="91"/>
  <c r="AP145" i="90"/>
  <c r="AP22" i="92"/>
  <c r="AP22" i="91"/>
  <c r="AP22" i="90"/>
  <c r="AU172" i="92"/>
  <c r="AU172" i="91"/>
  <c r="AU172" i="90"/>
  <c r="F291" i="86" s="1"/>
  <c r="H291" i="86" s="1"/>
  <c r="AU118" i="92"/>
  <c r="AU118" i="91"/>
  <c r="AU118" i="90"/>
  <c r="AU27" i="92"/>
  <c r="AU27" i="91"/>
  <c r="AU27" i="90"/>
  <c r="AU92" i="92"/>
  <c r="AU92" i="91"/>
  <c r="AU92" i="90"/>
  <c r="AU102" i="92"/>
  <c r="AU102" i="91"/>
  <c r="AU102" i="90"/>
  <c r="AB123" i="92"/>
  <c r="AB123" i="91"/>
  <c r="AB123" i="90"/>
  <c r="K167" i="86"/>
  <c r="N167" i="86"/>
  <c r="AB19" i="92"/>
  <c r="AB19" i="91"/>
  <c r="AB19" i="90"/>
  <c r="AR102" i="92"/>
  <c r="AR102" i="91"/>
  <c r="AR102" i="90"/>
  <c r="AR131" i="92"/>
  <c r="AR131" i="91"/>
  <c r="AR131" i="90"/>
  <c r="AR112" i="92"/>
  <c r="AR112" i="91"/>
  <c r="AR112" i="90"/>
  <c r="AR33" i="92"/>
  <c r="AR33" i="91"/>
  <c r="AR33" i="90"/>
  <c r="AR144" i="92"/>
  <c r="AR144" i="91"/>
  <c r="AR144" i="90"/>
  <c r="AR24" i="92"/>
  <c r="AR24" i="91"/>
  <c r="AR24" i="90"/>
  <c r="O240" i="30"/>
  <c r="AV129" i="92"/>
  <c r="AV129" i="91"/>
  <c r="AV129" i="90"/>
  <c r="AV118" i="92"/>
  <c r="AV118" i="91"/>
  <c r="AV118" i="90"/>
  <c r="F303" i="86"/>
  <c r="H299" i="86"/>
  <c r="AV108" i="92"/>
  <c r="AV108" i="91"/>
  <c r="AV108" i="90"/>
  <c r="AV86" i="92"/>
  <c r="AV86" i="91"/>
  <c r="AV86" i="90"/>
  <c r="AC21" i="79"/>
  <c r="AC100" i="92"/>
  <c r="AC100" i="91"/>
  <c r="AC100" i="90"/>
  <c r="AC19" i="92"/>
  <c r="AC19" i="91"/>
  <c r="AC19" i="90"/>
  <c r="AC107" i="92"/>
  <c r="AC107" i="91"/>
  <c r="AC107" i="90"/>
  <c r="AC110" i="92"/>
  <c r="AC110" i="91"/>
  <c r="AC110" i="90"/>
  <c r="AC97" i="92"/>
  <c r="AC97" i="91"/>
  <c r="AC97" i="90"/>
  <c r="AC104" i="92"/>
  <c r="AC104" i="91"/>
  <c r="AC104" i="90"/>
  <c r="K181" i="86"/>
  <c r="N181" i="86"/>
  <c r="AQ146" i="79"/>
  <c r="AR103" i="79"/>
  <c r="AQ34" i="79"/>
  <c r="AP145" i="79"/>
  <c r="AB123" i="79"/>
  <c r="AR24" i="79"/>
  <c r="AV108" i="79"/>
  <c r="AQ124" i="79"/>
  <c r="AQ87" i="79"/>
  <c r="AP102" i="79"/>
  <c r="AP58" i="79"/>
  <c r="AU74" i="79"/>
  <c r="AR104" i="79"/>
  <c r="AR110" i="79"/>
  <c r="AV105" i="79"/>
  <c r="AQ71" i="79"/>
  <c r="AP22" i="79"/>
  <c r="AU92" i="79"/>
  <c r="AR112" i="79"/>
  <c r="AQ104" i="79"/>
  <c r="AQ148" i="79"/>
  <c r="AQ118" i="79"/>
  <c r="AQ24" i="79"/>
  <c r="AQ112" i="79"/>
  <c r="AQ109" i="79"/>
  <c r="AP87" i="79"/>
  <c r="AP149" i="79"/>
  <c r="AP34" i="79"/>
  <c r="AP97" i="79"/>
  <c r="AP150" i="79"/>
  <c r="AP151" i="79"/>
  <c r="AU101" i="79"/>
  <c r="AU97" i="79"/>
  <c r="AU104" i="79"/>
  <c r="AU100" i="79"/>
  <c r="AU170" i="79"/>
  <c r="AB119" i="79"/>
  <c r="AB112" i="79"/>
  <c r="AB134" i="79"/>
  <c r="AB17" i="79"/>
  <c r="AR138" i="79"/>
  <c r="AR107" i="79"/>
  <c r="AR101" i="79"/>
  <c r="AR99" i="79"/>
  <c r="AR58" i="79"/>
  <c r="AR23" i="79"/>
  <c r="AV27" i="79"/>
  <c r="AV73" i="79"/>
  <c r="AV97" i="79"/>
  <c r="AV26" i="79"/>
  <c r="AQ145" i="79"/>
  <c r="AP121" i="79"/>
  <c r="AU111" i="79"/>
  <c r="AB101" i="79"/>
  <c r="AV103" i="79"/>
  <c r="AQ147" i="79"/>
  <c r="AP116" i="79"/>
  <c r="AU118" i="79"/>
  <c r="AR102" i="79"/>
  <c r="AR144" i="79"/>
  <c r="AV129" i="79"/>
  <c r="AQ142" i="79"/>
  <c r="AQ99" i="79"/>
  <c r="AP33" i="79"/>
  <c r="AP142" i="79"/>
  <c r="AP138" i="79"/>
  <c r="AP23" i="79"/>
  <c r="AP144" i="79"/>
  <c r="AP111" i="79"/>
  <c r="AU99" i="79"/>
  <c r="AU78" i="79"/>
  <c r="AU103" i="79"/>
  <c r="AU108" i="79"/>
  <c r="AB109" i="79"/>
  <c r="AB104" i="79"/>
  <c r="AR120" i="79"/>
  <c r="AR71" i="79"/>
  <c r="AR124" i="79"/>
  <c r="AR108" i="79"/>
  <c r="AR151" i="79"/>
  <c r="AR149" i="79"/>
  <c r="AV120" i="79"/>
  <c r="AV51" i="79"/>
  <c r="AV101" i="79"/>
  <c r="AV112" i="79"/>
  <c r="AV110" i="79"/>
  <c r="AQ143" i="79"/>
  <c r="AU129" i="79"/>
  <c r="AB18" i="79"/>
  <c r="AR21" i="79"/>
  <c r="AV58" i="79"/>
  <c r="AQ22" i="79"/>
  <c r="AU73" i="79"/>
  <c r="AP124" i="79"/>
  <c r="AU27" i="79"/>
  <c r="AR131" i="79"/>
  <c r="AQ108" i="79"/>
  <c r="AQ131" i="79"/>
  <c r="AQ105" i="79"/>
  <c r="AQ150" i="79"/>
  <c r="AP147" i="79"/>
  <c r="AP21" i="79"/>
  <c r="AP108" i="79"/>
  <c r="AP72" i="79"/>
  <c r="AP104" i="79"/>
  <c r="AP86" i="79"/>
  <c r="AP71" i="79"/>
  <c r="AU105" i="79"/>
  <c r="AU95" i="79"/>
  <c r="AU30" i="79"/>
  <c r="AU58" i="79"/>
  <c r="AB99" i="79"/>
  <c r="AB110" i="79"/>
  <c r="AB100" i="79"/>
  <c r="AB102" i="79"/>
  <c r="AR98" i="79"/>
  <c r="AR116" i="79"/>
  <c r="AR100" i="79"/>
  <c r="AR22" i="79"/>
  <c r="AR147" i="79"/>
  <c r="AV107" i="79"/>
  <c r="AV87" i="79"/>
  <c r="AV111" i="79"/>
  <c r="AV104" i="79"/>
  <c r="AV95" i="79"/>
  <c r="AP107" i="79"/>
  <c r="AP131" i="79"/>
  <c r="AU124" i="79"/>
  <c r="AR106" i="79"/>
  <c r="AV121" i="79"/>
  <c r="AQ116" i="79"/>
  <c r="AB124" i="79"/>
  <c r="AP120" i="79"/>
  <c r="AU172" i="79"/>
  <c r="AU102" i="79"/>
  <c r="AB19" i="79"/>
  <c r="AR33" i="79"/>
  <c r="AV118" i="79"/>
  <c r="AQ120" i="79"/>
  <c r="AQ138" i="79"/>
  <c r="AQ97" i="79"/>
  <c r="AQ103" i="79"/>
  <c r="AQ107" i="79"/>
  <c r="AQ92" i="79"/>
  <c r="AQ111" i="79"/>
  <c r="AQ149" i="79"/>
  <c r="AQ144" i="79"/>
  <c r="AP100" i="79"/>
  <c r="AP101" i="79"/>
  <c r="AP129" i="79"/>
  <c r="AP24" i="79"/>
  <c r="AP118" i="79"/>
  <c r="AU51" i="79"/>
  <c r="AU112" i="79"/>
  <c r="AU106" i="79"/>
  <c r="AU109" i="79"/>
  <c r="AB108" i="79"/>
  <c r="AB105" i="79"/>
  <c r="AB111" i="79"/>
  <c r="AB106" i="79"/>
  <c r="AR111" i="79"/>
  <c r="AR97" i="79"/>
  <c r="AR118" i="79"/>
  <c r="AR109" i="79"/>
  <c r="AR86" i="79"/>
  <c r="AR146" i="79"/>
  <c r="AR142" i="79"/>
  <c r="AV100" i="79"/>
  <c r="AV92" i="79"/>
  <c r="AV30" i="79"/>
  <c r="AV78" i="79"/>
  <c r="AQ129" i="79"/>
  <c r="AQ86" i="79"/>
  <c r="AB103" i="79"/>
  <c r="AR150" i="79"/>
  <c r="AQ106" i="79"/>
  <c r="AQ21" i="79"/>
  <c r="AQ121" i="79"/>
  <c r="AQ72" i="79"/>
  <c r="AP146" i="79"/>
  <c r="AP105" i="79"/>
  <c r="AP99" i="79"/>
  <c r="AU87" i="79"/>
  <c r="AU110" i="79"/>
  <c r="AU121" i="79"/>
  <c r="AU98" i="79"/>
  <c r="AB129" i="79"/>
  <c r="AB58" i="79"/>
  <c r="AB21" i="79"/>
  <c r="AR72" i="79"/>
  <c r="AR92" i="79"/>
  <c r="AR105" i="79"/>
  <c r="AR87" i="79"/>
  <c r="AR121" i="79"/>
  <c r="AR143" i="79"/>
  <c r="AV102" i="79"/>
  <c r="AV124" i="79"/>
  <c r="AV106" i="79"/>
  <c r="AV21" i="79"/>
  <c r="AQ151" i="79"/>
  <c r="AB107" i="79"/>
  <c r="AQ98" i="79"/>
  <c r="AQ102" i="79"/>
  <c r="AQ110" i="79"/>
  <c r="AP98" i="79"/>
  <c r="AP103" i="79"/>
  <c r="AP106" i="79"/>
  <c r="AU21" i="79"/>
  <c r="AR129" i="79"/>
  <c r="AQ58" i="79"/>
  <c r="AQ101" i="79"/>
  <c r="AQ33" i="79"/>
  <c r="AQ100" i="79"/>
  <c r="AQ23" i="79"/>
  <c r="AB125" i="79"/>
  <c r="AP112" i="79"/>
  <c r="AP110" i="79"/>
  <c r="AP109" i="79"/>
  <c r="AP143" i="79"/>
  <c r="AP92" i="79"/>
  <c r="AP148" i="79"/>
  <c r="AU120" i="79"/>
  <c r="AU26" i="79"/>
  <c r="AU171" i="79"/>
  <c r="AU107" i="79"/>
  <c r="AR34" i="79"/>
  <c r="AR148" i="79"/>
  <c r="AR145" i="79"/>
  <c r="AV98" i="79"/>
  <c r="AV109" i="79"/>
  <c r="AV99" i="79"/>
  <c r="AV74" i="79"/>
  <c r="O203" i="30"/>
  <c r="AU138" i="79"/>
  <c r="O592" i="30"/>
  <c r="O609" i="30"/>
  <c r="O595" i="30"/>
  <c r="O402" i="30"/>
  <c r="O565" i="30"/>
  <c r="O597" i="30"/>
  <c r="O572" i="30"/>
  <c r="AB120" i="79"/>
  <c r="AB97" i="79"/>
  <c r="AB121" i="79"/>
  <c r="O160" i="30"/>
  <c r="O163" i="30"/>
  <c r="AB98" i="79"/>
  <c r="O195" i="30"/>
  <c r="O366" i="30"/>
  <c r="O330" i="30"/>
  <c r="O611" i="30"/>
  <c r="O634" i="30"/>
  <c r="AU86" i="79"/>
  <c r="M610" i="30"/>
  <c r="M510" i="30"/>
  <c r="O490" i="30"/>
  <c r="O457" i="30"/>
  <c r="O475" i="30"/>
  <c r="O459" i="30"/>
  <c r="O491" i="30"/>
  <c r="AB118" i="79"/>
  <c r="M204" i="30"/>
  <c r="O436" i="30"/>
  <c r="O405" i="30"/>
  <c r="O421" i="30"/>
  <c r="AR70" i="79"/>
  <c r="M564" i="30"/>
  <c r="O655" i="30"/>
  <c r="O618" i="30"/>
  <c r="AP70" i="79"/>
  <c r="M456" i="30"/>
  <c r="AV86" i="79"/>
  <c r="M656" i="30"/>
  <c r="O564" i="30"/>
  <c r="O437" i="30"/>
  <c r="G294" i="55"/>
  <c r="G300" i="55"/>
  <c r="G315" i="55"/>
  <c r="G309" i="55"/>
  <c r="H272" i="55"/>
  <c r="H286" i="55"/>
  <c r="G286" i="55"/>
  <c r="G272" i="55"/>
  <c r="O249" i="30" l="1"/>
  <c r="I311" i="86"/>
  <c r="AW170" i="79" s="1"/>
  <c r="I313" i="86"/>
  <c r="AW172" i="79" s="1"/>
  <c r="I312" i="86"/>
  <c r="AW171" i="79" s="1"/>
  <c r="I211" i="86"/>
  <c r="AF169" i="79" s="1"/>
  <c r="I212" i="86"/>
  <c r="AF170" i="79" s="1"/>
  <c r="I214" i="86"/>
  <c r="AF172" i="79" s="1"/>
  <c r="I310" i="86"/>
  <c r="AW169" i="79" s="1"/>
  <c r="H248" i="86"/>
  <c r="I247" i="86" s="1"/>
  <c r="AP172" i="79" s="1"/>
  <c r="I224" i="86"/>
  <c r="AG171" i="79" s="1"/>
  <c r="I225" i="86"/>
  <c r="AG172" i="79" s="1"/>
  <c r="I223" i="86"/>
  <c r="AG170" i="79" s="1"/>
  <c r="H182" i="86"/>
  <c r="I180" i="86" s="1"/>
  <c r="AC171" i="79" s="1"/>
  <c r="I234" i="86"/>
  <c r="AH170" i="79" s="1"/>
  <c r="I233" i="86"/>
  <c r="AH169" i="79" s="1"/>
  <c r="I236" i="86"/>
  <c r="AH172" i="79" s="1"/>
  <c r="H171" i="86"/>
  <c r="I169" i="86" s="1"/>
  <c r="AB171" i="79" s="1"/>
  <c r="K237" i="86"/>
  <c r="N299" i="86"/>
  <c r="K299" i="86"/>
  <c r="H303" i="86"/>
  <c r="N247" i="86"/>
  <c r="K247" i="86"/>
  <c r="N314" i="86"/>
  <c r="N169" i="86"/>
  <c r="N171" i="86" s="1"/>
  <c r="K169" i="86"/>
  <c r="O610" i="30"/>
  <c r="AG169" i="79"/>
  <c r="N291" i="86"/>
  <c r="K291" i="86"/>
  <c r="N258" i="86"/>
  <c r="K258" i="86"/>
  <c r="N180" i="86"/>
  <c r="K180" i="86"/>
  <c r="K226" i="86"/>
  <c r="K288" i="86"/>
  <c r="H292" i="86"/>
  <c r="N288" i="86"/>
  <c r="F292" i="86"/>
  <c r="H270" i="86"/>
  <c r="I266" i="86" s="1"/>
  <c r="K266" i="86"/>
  <c r="N266" i="86"/>
  <c r="H259" i="86"/>
  <c r="AF171" i="79"/>
  <c r="N226" i="86"/>
  <c r="O222" i="86" s="1"/>
  <c r="N215" i="86"/>
  <c r="N237" i="86"/>
  <c r="K290" i="86"/>
  <c r="N290" i="86"/>
  <c r="K215" i="86"/>
  <c r="L213" i="86" s="1"/>
  <c r="K314" i="86"/>
  <c r="N289" i="86"/>
  <c r="K289" i="86"/>
  <c r="O204" i="30"/>
  <c r="O656" i="30"/>
  <c r="O456" i="30"/>
  <c r="O510" i="30"/>
  <c r="D5" i="66"/>
  <c r="D4" i="66"/>
  <c r="D3" i="66"/>
  <c r="D2" i="66"/>
  <c r="P14" i="65"/>
  <c r="O14" i="65"/>
  <c r="N14" i="65"/>
  <c r="M14" i="65"/>
  <c r="L14" i="65"/>
  <c r="K14" i="65"/>
  <c r="J14" i="65"/>
  <c r="I14" i="65"/>
  <c r="H14" i="65"/>
  <c r="P13" i="65"/>
  <c r="O13" i="65"/>
  <c r="N13" i="65"/>
  <c r="M13" i="65"/>
  <c r="L13" i="65"/>
  <c r="K13" i="65"/>
  <c r="J13" i="65"/>
  <c r="I13" i="65"/>
  <c r="H13" i="65"/>
  <c r="P12" i="65"/>
  <c r="O12" i="65"/>
  <c r="N12" i="65"/>
  <c r="M12" i="65"/>
  <c r="L12" i="65"/>
  <c r="K12" i="65"/>
  <c r="J12" i="65"/>
  <c r="I12" i="65"/>
  <c r="H12" i="65"/>
  <c r="P11" i="65"/>
  <c r="O11" i="65"/>
  <c r="N11" i="65"/>
  <c r="P10" i="65"/>
  <c r="O10" i="65"/>
  <c r="N10" i="65"/>
  <c r="P9" i="65"/>
  <c r="O9" i="65"/>
  <c r="N9" i="65"/>
  <c r="M9" i="65"/>
  <c r="L9" i="65"/>
  <c r="K9" i="65"/>
  <c r="J9" i="65"/>
  <c r="I9" i="65"/>
  <c r="H9" i="65"/>
  <c r="P8" i="65"/>
  <c r="O8" i="65"/>
  <c r="N8" i="65"/>
  <c r="M8" i="65"/>
  <c r="L8" i="65"/>
  <c r="K8" i="65"/>
  <c r="J8" i="65"/>
  <c r="I8" i="65"/>
  <c r="H8" i="65"/>
  <c r="P7" i="65"/>
  <c r="O7" i="65"/>
  <c r="N7" i="65"/>
  <c r="M7" i="65"/>
  <c r="L7" i="65"/>
  <c r="K7" i="65"/>
  <c r="J7" i="65"/>
  <c r="I7" i="65"/>
  <c r="H7" i="65"/>
  <c r="P6" i="65"/>
  <c r="O6" i="65"/>
  <c r="N6" i="65"/>
  <c r="M6" i="65"/>
  <c r="L6" i="65"/>
  <c r="K6" i="65"/>
  <c r="J6" i="65"/>
  <c r="I6" i="65"/>
  <c r="H6" i="65"/>
  <c r="P5" i="65"/>
  <c r="O5" i="65"/>
  <c r="N5" i="65"/>
  <c r="M5" i="65"/>
  <c r="L5" i="65"/>
  <c r="K5" i="65"/>
  <c r="J5" i="65"/>
  <c r="I5" i="65"/>
  <c r="H5" i="65"/>
  <c r="P4" i="65"/>
  <c r="O4" i="65"/>
  <c r="N4" i="65"/>
  <c r="M4" i="65"/>
  <c r="L4" i="65"/>
  <c r="K4" i="65"/>
  <c r="J4" i="65"/>
  <c r="I4" i="65"/>
  <c r="H4" i="65"/>
  <c r="P3" i="65"/>
  <c r="O3" i="65"/>
  <c r="N3" i="65"/>
  <c r="M3" i="65"/>
  <c r="L3" i="65"/>
  <c r="K3" i="65"/>
  <c r="J3" i="65"/>
  <c r="I3" i="65"/>
  <c r="H3" i="65"/>
  <c r="P2" i="65"/>
  <c r="O2" i="65"/>
  <c r="N2" i="65"/>
  <c r="M2" i="65"/>
  <c r="L2" i="65"/>
  <c r="K2" i="65"/>
  <c r="J2" i="65"/>
  <c r="I2" i="65"/>
  <c r="H2" i="65"/>
  <c r="P14" i="64"/>
  <c r="O14" i="64"/>
  <c r="N14" i="64"/>
  <c r="M14" i="64"/>
  <c r="L14" i="64"/>
  <c r="K14" i="64"/>
  <c r="J14" i="64"/>
  <c r="I14" i="64"/>
  <c r="H14" i="64"/>
  <c r="P13" i="64"/>
  <c r="O13" i="64"/>
  <c r="N13" i="64"/>
  <c r="M13" i="64"/>
  <c r="L13" i="64"/>
  <c r="K13" i="64"/>
  <c r="J13" i="64"/>
  <c r="I13" i="64"/>
  <c r="H13" i="64"/>
  <c r="P12" i="64"/>
  <c r="O12" i="64"/>
  <c r="N12" i="64"/>
  <c r="M12" i="64"/>
  <c r="L12" i="64"/>
  <c r="K12" i="64"/>
  <c r="J12" i="64"/>
  <c r="I12" i="64"/>
  <c r="H12" i="64"/>
  <c r="P11" i="64"/>
  <c r="O11" i="64"/>
  <c r="N11" i="64"/>
  <c r="P10" i="64"/>
  <c r="O10" i="64"/>
  <c r="N10" i="64"/>
  <c r="P9" i="64"/>
  <c r="O9" i="64"/>
  <c r="N9" i="64"/>
  <c r="M9" i="64"/>
  <c r="L9" i="64"/>
  <c r="K9" i="64"/>
  <c r="J9" i="64"/>
  <c r="I9" i="64"/>
  <c r="H9" i="64"/>
  <c r="P8" i="64"/>
  <c r="O8" i="64"/>
  <c r="N8" i="64"/>
  <c r="M8" i="64"/>
  <c r="L8" i="64"/>
  <c r="K8" i="64"/>
  <c r="J8" i="64"/>
  <c r="I8" i="64"/>
  <c r="H8" i="64"/>
  <c r="P7" i="64"/>
  <c r="O7" i="64"/>
  <c r="N7" i="64"/>
  <c r="M7" i="64"/>
  <c r="L7" i="64"/>
  <c r="K7" i="64"/>
  <c r="J7" i="64"/>
  <c r="I7" i="64"/>
  <c r="H7" i="64"/>
  <c r="P6" i="64"/>
  <c r="O6" i="64"/>
  <c r="N6" i="64"/>
  <c r="M6" i="64"/>
  <c r="L6" i="64"/>
  <c r="K6" i="64"/>
  <c r="J6" i="64"/>
  <c r="I6" i="64"/>
  <c r="H6" i="64"/>
  <c r="P5" i="64"/>
  <c r="O5" i="64"/>
  <c r="N5" i="64"/>
  <c r="M5" i="64"/>
  <c r="L5" i="64"/>
  <c r="K5" i="64"/>
  <c r="J5" i="64"/>
  <c r="I5" i="64"/>
  <c r="H5" i="64"/>
  <c r="P4" i="64"/>
  <c r="O4" i="64"/>
  <c r="N4" i="64"/>
  <c r="M4" i="64"/>
  <c r="L4" i="64"/>
  <c r="K4" i="64"/>
  <c r="J4" i="64"/>
  <c r="I4" i="64"/>
  <c r="H4" i="64"/>
  <c r="P3" i="64"/>
  <c r="O3" i="64"/>
  <c r="N3" i="64"/>
  <c r="M3" i="64"/>
  <c r="L3" i="64"/>
  <c r="K3" i="64"/>
  <c r="J3" i="64"/>
  <c r="I3" i="64"/>
  <c r="H3" i="64"/>
  <c r="P2" i="64"/>
  <c r="O2" i="64"/>
  <c r="N2" i="64"/>
  <c r="M2" i="64"/>
  <c r="L2" i="64"/>
  <c r="K2" i="64"/>
  <c r="J2" i="64"/>
  <c r="I2" i="64"/>
  <c r="H2" i="64"/>
  <c r="X14" i="58"/>
  <c r="V14" i="58"/>
  <c r="T14" i="58"/>
  <c r="S14" i="58"/>
  <c r="R14" i="58"/>
  <c r="Q14" i="58"/>
  <c r="N14" i="58"/>
  <c r="W14" i="58" s="1"/>
  <c r="L14" i="58"/>
  <c r="U14" i="58" s="1"/>
  <c r="J14" i="58"/>
  <c r="H14" i="58"/>
  <c r="X13" i="58"/>
  <c r="V13" i="58"/>
  <c r="U13" i="58"/>
  <c r="T13" i="58"/>
  <c r="R13" i="58"/>
  <c r="N13" i="58"/>
  <c r="W13" i="58" s="1"/>
  <c r="L13" i="58"/>
  <c r="J13" i="58"/>
  <c r="S13" i="58" s="1"/>
  <c r="H13" i="58"/>
  <c r="Q13" i="58" s="1"/>
  <c r="X12" i="58"/>
  <c r="V12" i="58"/>
  <c r="T12" i="58"/>
  <c r="R12" i="58"/>
  <c r="Q12" i="58"/>
  <c r="N12" i="58"/>
  <c r="W12" i="58" s="1"/>
  <c r="L12" i="58"/>
  <c r="U12" i="58" s="1"/>
  <c r="J12" i="58"/>
  <c r="S12" i="58" s="1"/>
  <c r="H12" i="58"/>
  <c r="H11" i="58"/>
  <c r="I11" i="58" s="1"/>
  <c r="H10" i="58"/>
  <c r="I10" i="58" s="1"/>
  <c r="X9" i="58"/>
  <c r="V9" i="58"/>
  <c r="U9" i="58"/>
  <c r="T9" i="58"/>
  <c r="R9" i="58"/>
  <c r="Q9" i="58"/>
  <c r="N9" i="58"/>
  <c r="W9" i="58" s="1"/>
  <c r="L9" i="58"/>
  <c r="J9" i="58"/>
  <c r="S9" i="58" s="1"/>
  <c r="H9" i="58"/>
  <c r="X8" i="58"/>
  <c r="V8" i="58"/>
  <c r="T8" i="58"/>
  <c r="R8" i="58"/>
  <c r="N8" i="58"/>
  <c r="W8" i="58" s="1"/>
  <c r="L8" i="58"/>
  <c r="U8" i="58" s="1"/>
  <c r="J8" i="58"/>
  <c r="S8" i="58" s="1"/>
  <c r="H8" i="58"/>
  <c r="Q8" i="58" s="1"/>
  <c r="H7" i="58"/>
  <c r="I7" i="58" s="1"/>
  <c r="H6" i="58"/>
  <c r="I6" i="58" s="1"/>
  <c r="H5" i="58"/>
  <c r="I5" i="58" s="1"/>
  <c r="R5" i="58" s="1"/>
  <c r="X4" i="58"/>
  <c r="V4" i="58"/>
  <c r="U4" i="58"/>
  <c r="T4" i="58"/>
  <c r="N4" i="58"/>
  <c r="W4" i="58" s="1"/>
  <c r="L4" i="58"/>
  <c r="J4" i="58"/>
  <c r="S4" i="58" s="1"/>
  <c r="I4" i="58"/>
  <c r="R4" i="58" s="1"/>
  <c r="H4" i="58"/>
  <c r="Q4" i="58" s="1"/>
  <c r="J3" i="58"/>
  <c r="S3" i="58" s="1"/>
  <c r="H3" i="58"/>
  <c r="Q3" i="58" s="1"/>
  <c r="H2" i="58"/>
  <c r="Q2" i="58" s="1"/>
  <c r="F150" i="56"/>
  <c r="F149" i="56"/>
  <c r="AG134" i="57" s="1"/>
  <c r="F148" i="56"/>
  <c r="AG132" i="57" s="1"/>
  <c r="F147" i="56"/>
  <c r="F146" i="56"/>
  <c r="AG138" i="57" s="1"/>
  <c r="F145" i="56"/>
  <c r="F144" i="56"/>
  <c r="AG133" i="57" s="1"/>
  <c r="F143" i="56"/>
  <c r="AG131" i="57" s="1"/>
  <c r="F142" i="56"/>
  <c r="AG89" i="57" s="1"/>
  <c r="F141" i="56"/>
  <c r="AG87" i="57" s="1"/>
  <c r="F140" i="56"/>
  <c r="F138" i="56"/>
  <c r="F137" i="56"/>
  <c r="AF134" i="57" s="1"/>
  <c r="F136" i="56"/>
  <c r="AF132" i="57" s="1"/>
  <c r="F135" i="56"/>
  <c r="F134" i="56"/>
  <c r="AF138" i="57" s="1"/>
  <c r="F133" i="56"/>
  <c r="F132" i="56"/>
  <c r="AF133" i="57" s="1"/>
  <c r="F131" i="56"/>
  <c r="F130" i="56"/>
  <c r="AF89" i="57" s="1"/>
  <c r="F129" i="56"/>
  <c r="AF87" i="57" s="1"/>
  <c r="F128" i="56"/>
  <c r="F126" i="56"/>
  <c r="F125" i="56"/>
  <c r="AE134" i="57" s="1"/>
  <c r="F124" i="56"/>
  <c r="AE132" i="57" s="1"/>
  <c r="F123" i="56"/>
  <c r="F122" i="56"/>
  <c r="AE138" i="57" s="1"/>
  <c r="F121" i="56"/>
  <c r="F120" i="56"/>
  <c r="AE133" i="57" s="1"/>
  <c r="F119" i="56"/>
  <c r="AE131" i="57" s="1"/>
  <c r="F118" i="56"/>
  <c r="AE89" i="57" s="1"/>
  <c r="F117" i="56"/>
  <c r="AE87" i="57" s="1"/>
  <c r="F116" i="56"/>
  <c r="F114" i="56"/>
  <c r="F113" i="56"/>
  <c r="AD132" i="57" s="1"/>
  <c r="F112" i="56"/>
  <c r="F111" i="56"/>
  <c r="AD138" i="57" s="1"/>
  <c r="F110" i="56"/>
  <c r="F109" i="56"/>
  <c r="AD133" i="57" s="1"/>
  <c r="F108" i="56"/>
  <c r="AD131" i="57" s="1"/>
  <c r="F107" i="56"/>
  <c r="F106" i="56"/>
  <c r="AD87" i="57" s="1"/>
  <c r="F105" i="56"/>
  <c r="F103" i="56"/>
  <c r="F102" i="56"/>
  <c r="AC134" i="57" s="1"/>
  <c r="F101" i="56"/>
  <c r="AC132" i="57" s="1"/>
  <c r="F100" i="56"/>
  <c r="F99" i="56"/>
  <c r="AC138" i="57" s="1"/>
  <c r="F98" i="56"/>
  <c r="F97" i="56"/>
  <c r="AC133" i="57" s="1"/>
  <c r="F96" i="56"/>
  <c r="AC131" i="57" s="1"/>
  <c r="F95" i="56"/>
  <c r="AC89" i="57" s="1"/>
  <c r="F94" i="56"/>
  <c r="AC87" i="57" s="1"/>
  <c r="F93" i="56"/>
  <c r="F91" i="56"/>
  <c r="F90" i="56"/>
  <c r="AB134" i="57" s="1"/>
  <c r="F89" i="56"/>
  <c r="AB132" i="57" s="1"/>
  <c r="F88" i="56"/>
  <c r="F87" i="56"/>
  <c r="AB138" i="57" s="1"/>
  <c r="F86" i="56"/>
  <c r="F85" i="56"/>
  <c r="AB133" i="57" s="1"/>
  <c r="F84" i="56"/>
  <c r="AB131" i="57" s="1"/>
  <c r="F83" i="56"/>
  <c r="AB89" i="57" s="1"/>
  <c r="F82" i="56"/>
  <c r="AB87" i="57" s="1"/>
  <c r="F81" i="56"/>
  <c r="F79" i="56"/>
  <c r="F78" i="56"/>
  <c r="AA134" i="57" s="1"/>
  <c r="F77" i="56"/>
  <c r="AA132" i="57" s="1"/>
  <c r="F76" i="56"/>
  <c r="F75" i="56"/>
  <c r="AA138" i="57" s="1"/>
  <c r="F74" i="56"/>
  <c r="F73" i="56"/>
  <c r="AA133" i="57" s="1"/>
  <c r="F72" i="56"/>
  <c r="AA131" i="57" s="1"/>
  <c r="F71" i="56"/>
  <c r="F70" i="56"/>
  <c r="AA87" i="57" s="1"/>
  <c r="F69" i="56"/>
  <c r="F67" i="56"/>
  <c r="Z132" i="57" s="1"/>
  <c r="F66" i="56"/>
  <c r="Z138" i="57" s="1"/>
  <c r="F65" i="56"/>
  <c r="Z136" i="57" s="1"/>
  <c r="F64" i="56"/>
  <c r="Z133" i="57" s="1"/>
  <c r="F63" i="56"/>
  <c r="Z131" i="57" s="1"/>
  <c r="F62" i="56"/>
  <c r="AA89" i="57" s="1"/>
  <c r="F61" i="56"/>
  <c r="Z87" i="57" s="1"/>
  <c r="F60" i="56"/>
  <c r="Z116" i="57" s="1"/>
  <c r="F58" i="56"/>
  <c r="Y134" i="57" s="1"/>
  <c r="F57" i="56"/>
  <c r="Y132" i="57" s="1"/>
  <c r="F56" i="56"/>
  <c r="Y138" i="57" s="1"/>
  <c r="F55" i="56"/>
  <c r="Y136" i="57" s="1"/>
  <c r="F54" i="56"/>
  <c r="Y133" i="57" s="1"/>
  <c r="F53" i="56"/>
  <c r="Y131" i="57" s="1"/>
  <c r="F52" i="56"/>
  <c r="Y89" i="57" s="1"/>
  <c r="F51" i="56"/>
  <c r="F50" i="56"/>
  <c r="Y116" i="57" s="1"/>
  <c r="F48" i="56"/>
  <c r="F47" i="56"/>
  <c r="X134" i="57" s="1"/>
  <c r="F46" i="56"/>
  <c r="X132" i="57" s="1"/>
  <c r="F45" i="56"/>
  <c r="F44" i="56"/>
  <c r="X138" i="57" s="1"/>
  <c r="F43" i="56"/>
  <c r="F42" i="56"/>
  <c r="X133" i="57" s="1"/>
  <c r="F41" i="56"/>
  <c r="X131" i="57" s="1"/>
  <c r="F40" i="56"/>
  <c r="X89" i="57" s="1"/>
  <c r="F39" i="56"/>
  <c r="X87" i="57" s="1"/>
  <c r="F38" i="56"/>
  <c r="F36" i="56"/>
  <c r="F35" i="56"/>
  <c r="W134" i="57" s="1"/>
  <c r="F34" i="56"/>
  <c r="W132" i="57" s="1"/>
  <c r="F33" i="56"/>
  <c r="F32" i="56"/>
  <c r="W138" i="57" s="1"/>
  <c r="F31" i="56"/>
  <c r="F30" i="56"/>
  <c r="W133" i="57" s="1"/>
  <c r="F29" i="56"/>
  <c r="W131" i="57" s="1"/>
  <c r="F28" i="56"/>
  <c r="W89" i="57" s="1"/>
  <c r="F27" i="56"/>
  <c r="W87" i="57" s="1"/>
  <c r="F26" i="56"/>
  <c r="F24" i="56"/>
  <c r="F23" i="56"/>
  <c r="V134" i="57" s="1"/>
  <c r="F22" i="56"/>
  <c r="V132" i="57" s="1"/>
  <c r="F21" i="56"/>
  <c r="F20" i="56"/>
  <c r="V138" i="57" s="1"/>
  <c r="F19" i="56"/>
  <c r="F18" i="56"/>
  <c r="V133" i="57" s="1"/>
  <c r="F17" i="56"/>
  <c r="V131" i="57" s="1"/>
  <c r="F16" i="56"/>
  <c r="V89" i="57" s="1"/>
  <c r="F15" i="56"/>
  <c r="V87" i="57" s="1"/>
  <c r="F14" i="56"/>
  <c r="F12" i="56"/>
  <c r="F11" i="56"/>
  <c r="U134" i="57" s="1"/>
  <c r="F10" i="56"/>
  <c r="U132" i="57" s="1"/>
  <c r="F8" i="56"/>
  <c r="U138" i="57" s="1"/>
  <c r="F7" i="56"/>
  <c r="F6" i="56"/>
  <c r="U133" i="57" s="1"/>
  <c r="F5" i="56"/>
  <c r="U131" i="57" s="1"/>
  <c r="F4" i="56"/>
  <c r="U89" i="57" s="1"/>
  <c r="F3" i="56"/>
  <c r="U87" i="57" s="1"/>
  <c r="F2" i="56"/>
  <c r="G259" i="55"/>
  <c r="G248" i="55"/>
  <c r="G231" i="55"/>
  <c r="G224" i="55"/>
  <c r="G219" i="55"/>
  <c r="G212" i="55"/>
  <c r="G206" i="55"/>
  <c r="G196" i="55"/>
  <c r="G187" i="55"/>
  <c r="G181" i="55"/>
  <c r="G170" i="55"/>
  <c r="G164" i="55"/>
  <c r="G151" i="55"/>
  <c r="G134" i="55"/>
  <c r="G128" i="55"/>
  <c r="G119" i="55"/>
  <c r="G110" i="55"/>
  <c r="G104" i="55"/>
  <c r="G98" i="55"/>
  <c r="G92" i="55"/>
  <c r="G86" i="55"/>
  <c r="G80" i="55"/>
  <c r="G74" i="55"/>
  <c r="G66" i="55"/>
  <c r="G60" i="55"/>
  <c r="G59" i="55"/>
  <c r="G58" i="55"/>
  <c r="G57" i="55"/>
  <c r="G56" i="55"/>
  <c r="G55" i="55"/>
  <c r="G50" i="55"/>
  <c r="G43" i="55"/>
  <c r="G37" i="55"/>
  <c r="G31" i="55"/>
  <c r="G25" i="55"/>
  <c r="G19" i="55"/>
  <c r="G13" i="55"/>
  <c r="G7" i="55"/>
  <c r="C14" i="54"/>
  <c r="I13" i="54"/>
  <c r="F13" i="54"/>
  <c r="C13" i="54"/>
  <c r="I12" i="54"/>
  <c r="G12" i="54"/>
  <c r="C12" i="54"/>
  <c r="C8" i="54"/>
  <c r="J7" i="54"/>
  <c r="I7" i="54"/>
  <c r="H7" i="54"/>
  <c r="G7" i="54"/>
  <c r="F7" i="54"/>
  <c r="D7" i="54"/>
  <c r="C7" i="54"/>
  <c r="C5" i="54"/>
  <c r="I4" i="54"/>
  <c r="G4" i="54"/>
  <c r="F4" i="54"/>
  <c r="C4" i="54"/>
  <c r="C3" i="54"/>
  <c r="I2" i="54"/>
  <c r="F2" i="54"/>
  <c r="C2" i="54"/>
  <c r="J22" i="53"/>
  <c r="J14" i="54" s="1"/>
  <c r="I22" i="53"/>
  <c r="I14" i="54" s="1"/>
  <c r="H22" i="53"/>
  <c r="H14" i="54" s="1"/>
  <c r="G22" i="53"/>
  <c r="G14" i="54" s="1"/>
  <c r="F22" i="53"/>
  <c r="F14" i="54" s="1"/>
  <c r="E22" i="53"/>
  <c r="E14" i="54" s="1"/>
  <c r="D22" i="53"/>
  <c r="D14" i="54" s="1"/>
  <c r="J21" i="53"/>
  <c r="I21" i="53"/>
  <c r="H21" i="53"/>
  <c r="G21" i="53"/>
  <c r="F21" i="53"/>
  <c r="E21" i="53"/>
  <c r="D21" i="53"/>
  <c r="J20" i="53"/>
  <c r="J13" i="54" s="1"/>
  <c r="I20" i="53"/>
  <c r="H20" i="53"/>
  <c r="H13" i="54" s="1"/>
  <c r="G20" i="53"/>
  <c r="G13" i="54" s="1"/>
  <c r="F20" i="53"/>
  <c r="E20" i="53"/>
  <c r="E13" i="54" s="1"/>
  <c r="D20" i="53"/>
  <c r="D13" i="54" s="1"/>
  <c r="J19" i="53"/>
  <c r="J12" i="54" s="1"/>
  <c r="I19" i="53"/>
  <c r="H19" i="53"/>
  <c r="H12" i="54" s="1"/>
  <c r="G19" i="53"/>
  <c r="F19" i="53"/>
  <c r="F12" i="54" s="1"/>
  <c r="E19" i="53"/>
  <c r="E12" i="54" s="1"/>
  <c r="D19" i="53"/>
  <c r="D12" i="54" s="1"/>
  <c r="J18" i="53"/>
  <c r="I18" i="53"/>
  <c r="H18" i="53"/>
  <c r="G18" i="53"/>
  <c r="F18" i="53"/>
  <c r="E18" i="53"/>
  <c r="D18" i="53"/>
  <c r="J17" i="53"/>
  <c r="I17" i="53"/>
  <c r="H17" i="53"/>
  <c r="G17" i="53"/>
  <c r="F17" i="53"/>
  <c r="E17" i="53"/>
  <c r="D17" i="53"/>
  <c r="J16" i="53"/>
  <c r="I16" i="53"/>
  <c r="H16" i="53"/>
  <c r="G16" i="53"/>
  <c r="F16" i="53"/>
  <c r="E16" i="53"/>
  <c r="D16" i="53"/>
  <c r="J15" i="53"/>
  <c r="I15" i="53"/>
  <c r="H15" i="53"/>
  <c r="G15" i="53"/>
  <c r="F15" i="53"/>
  <c r="E15" i="53"/>
  <c r="D15" i="53"/>
  <c r="J14" i="53"/>
  <c r="I14" i="53"/>
  <c r="H14" i="53"/>
  <c r="G14" i="53"/>
  <c r="F14" i="53"/>
  <c r="E14" i="53"/>
  <c r="D14" i="53"/>
  <c r="J13" i="53"/>
  <c r="I13" i="53"/>
  <c r="H13" i="53"/>
  <c r="G13" i="53"/>
  <c r="F13" i="53"/>
  <c r="E13" i="53"/>
  <c r="D13" i="53"/>
  <c r="J12" i="53"/>
  <c r="I12" i="53"/>
  <c r="H12" i="53"/>
  <c r="G12" i="53"/>
  <c r="F12" i="53"/>
  <c r="E12" i="53"/>
  <c r="D12" i="53"/>
  <c r="I10" i="53"/>
  <c r="G10" i="53"/>
  <c r="E10" i="53"/>
  <c r="E7" i="54" s="1"/>
  <c r="I9" i="53"/>
  <c r="G9" i="53"/>
  <c r="E9" i="53"/>
  <c r="J8" i="53"/>
  <c r="I8" i="53"/>
  <c r="H8" i="53"/>
  <c r="G8" i="53"/>
  <c r="F8" i="53"/>
  <c r="E8" i="53"/>
  <c r="D8" i="53"/>
  <c r="J7" i="53"/>
  <c r="J4" i="54" s="1"/>
  <c r="I7" i="53"/>
  <c r="H7" i="53"/>
  <c r="H4" i="54" s="1"/>
  <c r="G7" i="53"/>
  <c r="F7" i="53"/>
  <c r="E7" i="53"/>
  <c r="E4" i="54" s="1"/>
  <c r="D7" i="53"/>
  <c r="D4" i="54" s="1"/>
  <c r="J6" i="53"/>
  <c r="I6" i="53"/>
  <c r="H6" i="53"/>
  <c r="G6" i="53"/>
  <c r="F6" i="53"/>
  <c r="E6" i="53"/>
  <c r="D6" i="53"/>
  <c r="J5" i="53"/>
  <c r="J3" i="54" s="1"/>
  <c r="I5" i="53"/>
  <c r="I3" i="54" s="1"/>
  <c r="H5" i="53"/>
  <c r="H3" i="54" s="1"/>
  <c r="G5" i="53"/>
  <c r="G3" i="54" s="1"/>
  <c r="F5" i="53"/>
  <c r="F3" i="54" s="1"/>
  <c r="E5" i="53"/>
  <c r="E3" i="54" s="1"/>
  <c r="D5" i="53"/>
  <c r="D3" i="54" s="1"/>
  <c r="J3" i="53"/>
  <c r="I3" i="53"/>
  <c r="H3" i="53"/>
  <c r="G3" i="53"/>
  <c r="F3" i="53"/>
  <c r="E3" i="53"/>
  <c r="D3" i="53"/>
  <c r="J2" i="53"/>
  <c r="J2" i="54" s="1"/>
  <c r="I2" i="53"/>
  <c r="H2" i="53"/>
  <c r="H2" i="54" s="1"/>
  <c r="G2" i="53"/>
  <c r="G2" i="54" s="1"/>
  <c r="F2" i="53"/>
  <c r="E2" i="53"/>
  <c r="E2" i="54" s="1"/>
  <c r="D2" i="53"/>
  <c r="D2" i="54" s="1"/>
  <c r="AB30" i="67"/>
  <c r="AB29" i="67"/>
  <c r="O167" i="86" l="1"/>
  <c r="AB169" i="92" s="1"/>
  <c r="O168" i="86"/>
  <c r="AB170" i="92" s="1"/>
  <c r="I291" i="86"/>
  <c r="L313" i="86"/>
  <c r="AW172" i="91" s="1"/>
  <c r="L311" i="86"/>
  <c r="AW170" i="91" s="1"/>
  <c r="L312" i="86"/>
  <c r="AW171" i="91" s="1"/>
  <c r="O211" i="86"/>
  <c r="AF169" i="92" s="1"/>
  <c r="O214" i="86"/>
  <c r="AF172" i="92" s="1"/>
  <c r="O212" i="86"/>
  <c r="AF170" i="92" s="1"/>
  <c r="I215" i="86"/>
  <c r="I300" i="86"/>
  <c r="AV170" i="79" s="1"/>
  <c r="I301" i="86"/>
  <c r="AV171" i="79" s="1"/>
  <c r="I302" i="86"/>
  <c r="AV172" i="79" s="1"/>
  <c r="I255" i="86"/>
  <c r="AQ169" i="79" s="1"/>
  <c r="I257" i="86"/>
  <c r="AQ171" i="79" s="1"/>
  <c r="I256" i="86"/>
  <c r="AQ170" i="79" s="1"/>
  <c r="I245" i="86"/>
  <c r="AP170" i="79" s="1"/>
  <c r="I246" i="86"/>
  <c r="AP171" i="79" s="1"/>
  <c r="I244" i="86"/>
  <c r="AP169" i="79" s="1"/>
  <c r="I314" i="86"/>
  <c r="L223" i="86"/>
  <c r="AG170" i="91" s="1"/>
  <c r="L225" i="86"/>
  <c r="AG172" i="91" s="1"/>
  <c r="L224" i="86"/>
  <c r="AG171" i="91" s="1"/>
  <c r="O169" i="86"/>
  <c r="AB171" i="92" s="1"/>
  <c r="L234" i="86"/>
  <c r="AH170" i="91" s="1"/>
  <c r="L233" i="86"/>
  <c r="L236" i="86"/>
  <c r="AH172" i="91" s="1"/>
  <c r="L235" i="86"/>
  <c r="AH171" i="91" s="1"/>
  <c r="I299" i="86"/>
  <c r="AV169" i="79" s="1"/>
  <c r="O312" i="86"/>
  <c r="AW171" i="92" s="1"/>
  <c r="O311" i="86"/>
  <c r="AW170" i="92" s="1"/>
  <c r="O313" i="86"/>
  <c r="AW172" i="92" s="1"/>
  <c r="I289" i="86"/>
  <c r="O213" i="86"/>
  <c r="AF171" i="92" s="1"/>
  <c r="L310" i="86"/>
  <c r="AW169" i="91" s="1"/>
  <c r="L211" i="86"/>
  <c r="AF169" i="91" s="1"/>
  <c r="L214" i="86"/>
  <c r="AF172" i="91" s="1"/>
  <c r="L212" i="86"/>
  <c r="AF170" i="91" s="1"/>
  <c r="O223" i="86"/>
  <c r="AG170" i="92" s="1"/>
  <c r="O224" i="86"/>
  <c r="AG171" i="92" s="1"/>
  <c r="O225" i="86"/>
  <c r="AG172" i="92" s="1"/>
  <c r="I269" i="86"/>
  <c r="AR172" i="79" s="1"/>
  <c r="I267" i="86"/>
  <c r="AR170" i="79" s="1"/>
  <c r="I268" i="86"/>
  <c r="AR171" i="79" s="1"/>
  <c r="I288" i="86"/>
  <c r="AU169" i="79" s="1"/>
  <c r="I258" i="86"/>
  <c r="AQ172" i="79" s="1"/>
  <c r="I226" i="86"/>
  <c r="O170" i="86"/>
  <c r="AB172" i="92" s="1"/>
  <c r="I179" i="86"/>
  <c r="AC170" i="79" s="1"/>
  <c r="I181" i="86"/>
  <c r="AC172" i="79" s="1"/>
  <c r="I178" i="86"/>
  <c r="AC169" i="79" s="1"/>
  <c r="I290" i="86"/>
  <c r="L222" i="86"/>
  <c r="AG169" i="91" s="1"/>
  <c r="O234" i="86"/>
  <c r="AH170" i="92" s="1"/>
  <c r="O236" i="86"/>
  <c r="AH172" i="92" s="1"/>
  <c r="O233" i="86"/>
  <c r="I237" i="86"/>
  <c r="I168" i="86"/>
  <c r="AB170" i="79" s="1"/>
  <c r="I170" i="86"/>
  <c r="AB172" i="79" s="1"/>
  <c r="I167" i="86"/>
  <c r="AB169" i="79" s="1"/>
  <c r="O235" i="86"/>
  <c r="AH171" i="92" s="1"/>
  <c r="O310" i="86"/>
  <c r="AW169" i="92" s="1"/>
  <c r="N182" i="86"/>
  <c r="K259" i="86"/>
  <c r="AG169" i="92"/>
  <c r="N270" i="86"/>
  <c r="O266" i="86" s="1"/>
  <c r="N292" i="86"/>
  <c r="O289" i="86" s="1"/>
  <c r="K171" i="86"/>
  <c r="L169" i="86" s="1"/>
  <c r="AB171" i="91" s="1"/>
  <c r="AF171" i="91"/>
  <c r="K248" i="86"/>
  <c r="L247" i="86" s="1"/>
  <c r="AP172" i="91" s="1"/>
  <c r="K270" i="86"/>
  <c r="N259" i="86"/>
  <c r="AR169" i="79"/>
  <c r="K182" i="86"/>
  <c r="K292" i="86"/>
  <c r="L291" i="86" s="1"/>
  <c r="K303" i="86"/>
  <c r="L299" i="86" s="1"/>
  <c r="N248" i="86"/>
  <c r="N303" i="86"/>
  <c r="O299" i="86" s="1"/>
  <c r="T8" i="64"/>
  <c r="AB21" i="67"/>
  <c r="AB20" i="67"/>
  <c r="AB22" i="67"/>
  <c r="AB31" i="67"/>
  <c r="U116" i="57"/>
  <c r="W136" i="57"/>
  <c r="AC116" i="57"/>
  <c r="AA116" i="57"/>
  <c r="AF116" i="57"/>
  <c r="V136" i="57"/>
  <c r="AG136" i="57"/>
  <c r="AE136" i="57"/>
  <c r="W116" i="57"/>
  <c r="AD116" i="57"/>
  <c r="X136" i="57"/>
  <c r="AD136" i="57"/>
  <c r="F37" i="56"/>
  <c r="X116" i="57"/>
  <c r="AB116" i="57"/>
  <c r="AC136" i="57"/>
  <c r="F115" i="56"/>
  <c r="F127" i="56"/>
  <c r="AF136" i="57"/>
  <c r="V116" i="57"/>
  <c r="F25" i="56"/>
  <c r="F49" i="56"/>
  <c r="AA136" i="57"/>
  <c r="AB136" i="57"/>
  <c r="U136" i="57"/>
  <c r="F59" i="56"/>
  <c r="Z89" i="57"/>
  <c r="F139" i="56"/>
  <c r="F151" i="56"/>
  <c r="S2" i="64"/>
  <c r="R3" i="64"/>
  <c r="S8" i="64"/>
  <c r="U6" i="64"/>
  <c r="T7" i="64"/>
  <c r="L11" i="64"/>
  <c r="W11" i="64"/>
  <c r="V12" i="64"/>
  <c r="U13" i="64"/>
  <c r="T14" i="64"/>
  <c r="J5" i="58"/>
  <c r="S5" i="58" s="1"/>
  <c r="X4" i="64"/>
  <c r="W5" i="64"/>
  <c r="V6" i="64"/>
  <c r="U7" i="64"/>
  <c r="S9" i="64"/>
  <c r="M11" i="65"/>
  <c r="R9" i="64"/>
  <c r="Q4" i="64"/>
  <c r="X5" i="64"/>
  <c r="T3" i="64"/>
  <c r="V9" i="64"/>
  <c r="G61" i="55"/>
  <c r="X13" i="64"/>
  <c r="W14" i="64"/>
  <c r="K10" i="64"/>
  <c r="R12" i="64"/>
  <c r="Q13" i="64"/>
  <c r="W10" i="64"/>
  <c r="U12" i="64"/>
  <c r="T13" i="64"/>
  <c r="S14" i="64"/>
  <c r="K5" i="58"/>
  <c r="T5" i="58" s="1"/>
  <c r="V8" i="64"/>
  <c r="M5" i="58"/>
  <c r="V5" i="58" s="1"/>
  <c r="U9" i="64"/>
  <c r="K11" i="64"/>
  <c r="S13" i="64"/>
  <c r="R14" i="64"/>
  <c r="M10" i="65"/>
  <c r="U2" i="64"/>
  <c r="S4" i="64"/>
  <c r="R5" i="64"/>
  <c r="X7" i="64"/>
  <c r="W8" i="64"/>
  <c r="R6" i="64"/>
  <c r="X8" i="64"/>
  <c r="W7" i="64"/>
  <c r="W2" i="64"/>
  <c r="V3" i="64"/>
  <c r="U4" i="64"/>
  <c r="T5" i="64"/>
  <c r="X11" i="64"/>
  <c r="W12" i="64"/>
  <c r="U14" i="64"/>
  <c r="X6" i="64"/>
  <c r="V14" i="64"/>
  <c r="H10" i="64"/>
  <c r="S12" i="64"/>
  <c r="H10" i="65"/>
  <c r="R2" i="64"/>
  <c r="Q3" i="64"/>
  <c r="I10" i="64"/>
  <c r="J11" i="64"/>
  <c r="J2" i="58"/>
  <c r="S2" i="58" s="1"/>
  <c r="T2" i="64"/>
  <c r="S3" i="64"/>
  <c r="R4" i="64"/>
  <c r="Q5" i="64"/>
  <c r="W6" i="64"/>
  <c r="V7" i="64"/>
  <c r="U8" i="64"/>
  <c r="T9" i="64"/>
  <c r="L10" i="64"/>
  <c r="X14" i="64"/>
  <c r="R13" i="64"/>
  <c r="M10" i="64"/>
  <c r="I11" i="64"/>
  <c r="Q14" i="64"/>
  <c r="V2" i="64"/>
  <c r="Q6" i="64"/>
  <c r="AB19" i="67"/>
  <c r="AB25" i="67"/>
  <c r="AJ25" i="67" s="1"/>
  <c r="AB26" i="67"/>
  <c r="X2" i="64"/>
  <c r="W3" i="64"/>
  <c r="V4" i="64"/>
  <c r="U5" i="64"/>
  <c r="S6" i="64"/>
  <c r="R7" i="64"/>
  <c r="Q8" i="64"/>
  <c r="X9" i="64"/>
  <c r="X10" i="64"/>
  <c r="X12" i="64"/>
  <c r="V13" i="64"/>
  <c r="Q2" i="64"/>
  <c r="X3" i="64"/>
  <c r="W4" i="64"/>
  <c r="V5" i="64"/>
  <c r="T6" i="64"/>
  <c r="S7" i="64"/>
  <c r="R8" i="64"/>
  <c r="Q9" i="64"/>
  <c r="H11" i="64"/>
  <c r="Q12" i="64"/>
  <c r="W13" i="64"/>
  <c r="Q7" i="64"/>
  <c r="W9" i="64"/>
  <c r="T12" i="64"/>
  <c r="U3" i="64"/>
  <c r="T4" i="64"/>
  <c r="S5" i="64"/>
  <c r="M11" i="64"/>
  <c r="I10" i="65"/>
  <c r="H11" i="65"/>
  <c r="J10" i="65"/>
  <c r="I11" i="65"/>
  <c r="K10" i="65"/>
  <c r="J11" i="65"/>
  <c r="L10" i="65"/>
  <c r="K11" i="65"/>
  <c r="J10" i="64"/>
  <c r="L11" i="65"/>
  <c r="K11" i="58"/>
  <c r="J11" i="58" s="1"/>
  <c r="S11" i="58" s="1"/>
  <c r="R11" i="58"/>
  <c r="K10" i="58"/>
  <c r="J10" i="58" s="1"/>
  <c r="S10" i="58" s="1"/>
  <c r="R10" i="58"/>
  <c r="K6" i="58"/>
  <c r="J6" i="58" s="1"/>
  <c r="S6" i="58" s="1"/>
  <c r="R6" i="58"/>
  <c r="K7" i="58"/>
  <c r="J7" i="58" s="1"/>
  <c r="S7" i="58" s="1"/>
  <c r="R7" i="58"/>
  <c r="F68" i="56"/>
  <c r="F92" i="56"/>
  <c r="Y87" i="57"/>
  <c r="AE116" i="57"/>
  <c r="I2" i="58"/>
  <c r="R2" i="58" s="1"/>
  <c r="I3" i="58"/>
  <c r="R3" i="58" s="1"/>
  <c r="L5" i="58"/>
  <c r="U5" i="58" s="1"/>
  <c r="F13" i="56"/>
  <c r="AD89" i="57"/>
  <c r="AG116" i="57"/>
  <c r="K2" i="58"/>
  <c r="T2" i="58" s="1"/>
  <c r="K3" i="58"/>
  <c r="T3" i="58" s="1"/>
  <c r="N5" i="58"/>
  <c r="W5" i="58" s="1"/>
  <c r="L2" i="58"/>
  <c r="U2" i="58" s="1"/>
  <c r="L3" i="58"/>
  <c r="U3" i="58" s="1"/>
  <c r="O5" i="58"/>
  <c r="X5" i="58" s="1"/>
  <c r="F80" i="56"/>
  <c r="F104" i="56"/>
  <c r="M2" i="58"/>
  <c r="V2" i="58" s="1"/>
  <c r="M3" i="58"/>
  <c r="V3" i="58" s="1"/>
  <c r="Q5" i="58"/>
  <c r="Q6" i="58"/>
  <c r="Q7" i="58"/>
  <c r="Q10" i="58"/>
  <c r="Q11" i="58"/>
  <c r="N2" i="58"/>
  <c r="W2" i="58" s="1"/>
  <c r="N3" i="58"/>
  <c r="W3" i="58" s="1"/>
  <c r="AF131" i="57"/>
  <c r="O2" i="58"/>
  <c r="X2" i="58" s="1"/>
  <c r="O3" i="58"/>
  <c r="X3" i="58" s="1"/>
  <c r="I303" i="86" l="1"/>
  <c r="L289" i="86"/>
  <c r="I182" i="86"/>
  <c r="I292" i="86"/>
  <c r="O171" i="86"/>
  <c r="O226" i="86"/>
  <c r="O314" i="86"/>
  <c r="L215" i="86"/>
  <c r="I171" i="86"/>
  <c r="O246" i="86"/>
  <c r="AP171" i="92" s="1"/>
  <c r="O244" i="86"/>
  <c r="O245" i="86"/>
  <c r="AP170" i="92" s="1"/>
  <c r="O255" i="86"/>
  <c r="O256" i="86"/>
  <c r="AQ170" i="92" s="1"/>
  <c r="O257" i="86"/>
  <c r="AQ171" i="92" s="1"/>
  <c r="L255" i="86"/>
  <c r="L256" i="86"/>
  <c r="AQ170" i="91" s="1"/>
  <c r="L257" i="86"/>
  <c r="AQ171" i="91" s="1"/>
  <c r="L288" i="86"/>
  <c r="AU169" i="91" s="1"/>
  <c r="O288" i="86"/>
  <c r="AU169" i="92" s="1"/>
  <c r="O181" i="86"/>
  <c r="AC172" i="92" s="1"/>
  <c r="O179" i="86"/>
  <c r="AC170" i="92" s="1"/>
  <c r="O178" i="86"/>
  <c r="O215" i="86"/>
  <c r="AH169" i="92"/>
  <c r="O237" i="86"/>
  <c r="L267" i="86"/>
  <c r="AR170" i="91" s="1"/>
  <c r="L269" i="86"/>
  <c r="AR172" i="91" s="1"/>
  <c r="L268" i="86"/>
  <c r="AR171" i="91" s="1"/>
  <c r="O291" i="86"/>
  <c r="AH169" i="91"/>
  <c r="L237" i="86"/>
  <c r="O290" i="86"/>
  <c r="O268" i="86"/>
  <c r="AR171" i="92" s="1"/>
  <c r="O267" i="86"/>
  <c r="AR170" i="92" s="1"/>
  <c r="O269" i="86"/>
  <c r="AR172" i="92" s="1"/>
  <c r="L244" i="86"/>
  <c r="L246" i="86"/>
  <c r="AP171" i="91" s="1"/>
  <c r="L245" i="86"/>
  <c r="AP170" i="91" s="1"/>
  <c r="L178" i="86"/>
  <c r="L179" i="86"/>
  <c r="AC170" i="91" s="1"/>
  <c r="L181" i="86"/>
  <c r="AC172" i="91" s="1"/>
  <c r="L314" i="86"/>
  <c r="L180" i="86"/>
  <c r="AC171" i="91" s="1"/>
  <c r="L290" i="86"/>
  <c r="L302" i="86"/>
  <c r="AV172" i="91" s="1"/>
  <c r="L301" i="86"/>
  <c r="AV171" i="91" s="1"/>
  <c r="L300" i="86"/>
  <c r="AV170" i="91" s="1"/>
  <c r="I270" i="86"/>
  <c r="L226" i="86"/>
  <c r="I259" i="86"/>
  <c r="L258" i="86"/>
  <c r="AQ172" i="91" s="1"/>
  <c r="O258" i="86"/>
  <c r="AQ172" i="92" s="1"/>
  <c r="O302" i="86"/>
  <c r="AV172" i="92" s="1"/>
  <c r="O300" i="86"/>
  <c r="AV170" i="92" s="1"/>
  <c r="O301" i="86"/>
  <c r="AV171" i="92" s="1"/>
  <c r="L168" i="86"/>
  <c r="AB170" i="91" s="1"/>
  <c r="L170" i="86"/>
  <c r="AB172" i="91" s="1"/>
  <c r="L167" i="86"/>
  <c r="I248" i="86"/>
  <c r="O247" i="86"/>
  <c r="AP172" i="92" s="1"/>
  <c r="O180" i="86"/>
  <c r="AC171" i="92" s="1"/>
  <c r="L266" i="86"/>
  <c r="AR169" i="91" s="1"/>
  <c r="AR169" i="92"/>
  <c r="AV169" i="92"/>
  <c r="AV169" i="91"/>
  <c r="G59" i="98"/>
  <c r="H59" i="98" s="1"/>
  <c r="I59" i="98" s="1"/>
  <c r="J59" i="98" s="1"/>
  <c r="K59" i="98" s="1"/>
  <c r="E59" i="94"/>
  <c r="F59" i="98"/>
  <c r="E59" i="98"/>
  <c r="D59" i="94"/>
  <c r="D59" i="98"/>
  <c r="G59" i="97"/>
  <c r="H59" i="97" s="1"/>
  <c r="I59" i="97" s="1"/>
  <c r="J59" i="97" s="1"/>
  <c r="K59" i="97" s="1"/>
  <c r="D59" i="97"/>
  <c r="G59" i="94"/>
  <c r="H59" i="94" s="1"/>
  <c r="I59" i="94" s="1"/>
  <c r="J59" i="94" s="1"/>
  <c r="K59" i="94" s="1"/>
  <c r="F59" i="97"/>
  <c r="F59" i="94"/>
  <c r="E59" i="97"/>
  <c r="F58" i="97"/>
  <c r="G58" i="94"/>
  <c r="E58" i="97"/>
  <c r="F58" i="94"/>
  <c r="D58" i="97"/>
  <c r="G58" i="97"/>
  <c r="H58" i="97" s="1"/>
  <c r="I58" i="97" s="1"/>
  <c r="E58" i="94"/>
  <c r="D58" i="94"/>
  <c r="G58" i="98"/>
  <c r="E58" i="98"/>
  <c r="F58" i="98"/>
  <c r="D58" i="98"/>
  <c r="G42" i="94"/>
  <c r="G42" i="98"/>
  <c r="F42" i="94"/>
  <c r="F42" i="98"/>
  <c r="G42" i="97"/>
  <c r="H42" i="97" s="1"/>
  <c r="I42" i="97" s="1"/>
  <c r="J42" i="97" s="1"/>
  <c r="K42" i="97" s="1"/>
  <c r="E42" i="94"/>
  <c r="E42" i="98"/>
  <c r="F42" i="97"/>
  <c r="D42" i="94"/>
  <c r="D42" i="98"/>
  <c r="E42" i="97"/>
  <c r="D42" i="97"/>
  <c r="D43" i="97"/>
  <c r="E43" i="98"/>
  <c r="D43" i="94"/>
  <c r="G43" i="94"/>
  <c r="H43" i="94" s="1"/>
  <c r="I43" i="94" s="1"/>
  <c r="J43" i="94" s="1"/>
  <c r="K43" i="94" s="1"/>
  <c r="F43" i="94"/>
  <c r="G43" i="98"/>
  <c r="H43" i="98" s="1"/>
  <c r="I43" i="98" s="1"/>
  <c r="J43" i="98" s="1"/>
  <c r="K43" i="98" s="1"/>
  <c r="F43" i="97"/>
  <c r="D43" i="98"/>
  <c r="E43" i="97"/>
  <c r="E43" i="94"/>
  <c r="F43" i="98"/>
  <c r="G43" i="97"/>
  <c r="H43" i="97" s="1"/>
  <c r="I43" i="97" s="1"/>
  <c r="J43" i="97" s="1"/>
  <c r="K43" i="97" s="1"/>
  <c r="G59" i="51"/>
  <c r="H59" i="51"/>
  <c r="I59" i="51"/>
  <c r="J59" i="51"/>
  <c r="K59" i="51"/>
  <c r="F59" i="51"/>
  <c r="D59" i="51"/>
  <c r="E59" i="51"/>
  <c r="AJ22" i="101"/>
  <c r="AJ22" i="102"/>
  <c r="AJ22" i="95"/>
  <c r="D43" i="51"/>
  <c r="E43" i="51"/>
  <c r="K43" i="51"/>
  <c r="F43" i="51"/>
  <c r="G43" i="51"/>
  <c r="H43" i="51"/>
  <c r="I43" i="51"/>
  <c r="J43" i="51"/>
  <c r="AJ29" i="101"/>
  <c r="AJ29" i="102"/>
  <c r="AJ29" i="95"/>
  <c r="F58" i="51"/>
  <c r="E58" i="51"/>
  <c r="E63" i="51" s="1"/>
  <c r="G58" i="51"/>
  <c r="H58" i="51"/>
  <c r="H63" i="51" s="1"/>
  <c r="I58" i="51"/>
  <c r="J58" i="51"/>
  <c r="K58" i="51"/>
  <c r="K63" i="51" s="1"/>
  <c r="D58" i="51"/>
  <c r="AJ19" i="102"/>
  <c r="AJ19" i="95"/>
  <c r="AJ19" i="101"/>
  <c r="AJ31" i="95"/>
  <c r="AJ31" i="101"/>
  <c r="AJ31" i="102"/>
  <c r="AJ20" i="102"/>
  <c r="AJ20" i="101"/>
  <c r="AJ20" i="95"/>
  <c r="AJ26" i="95"/>
  <c r="AJ26" i="102"/>
  <c r="AJ26" i="101"/>
  <c r="K42" i="51"/>
  <c r="K47" i="51" s="1"/>
  <c r="D42" i="51"/>
  <c r="E42" i="51"/>
  <c r="E47" i="51" s="1"/>
  <c r="F42" i="51"/>
  <c r="G42" i="51"/>
  <c r="H42" i="51"/>
  <c r="J42" i="51"/>
  <c r="I42" i="51"/>
  <c r="AJ21" i="102"/>
  <c r="AJ21" i="101"/>
  <c r="AJ21" i="95"/>
  <c r="AJ30" i="67"/>
  <c r="Y13" i="58" s="1"/>
  <c r="AJ30" i="102"/>
  <c r="AJ30" i="101"/>
  <c r="AJ30" i="95"/>
  <c r="AJ25" i="95"/>
  <c r="AJ25" i="101"/>
  <c r="AJ25" i="102"/>
  <c r="AC24" i="102"/>
  <c r="AC24" i="101"/>
  <c r="AD23" i="101"/>
  <c r="AD23" i="102"/>
  <c r="AH23" i="101"/>
  <c r="AH23" i="102"/>
  <c r="AD24" i="101"/>
  <c r="AD24" i="102"/>
  <c r="AC23" i="101"/>
  <c r="AC23" i="102"/>
  <c r="AF24" i="101"/>
  <c r="AF24" i="102"/>
  <c r="AI24" i="101"/>
  <c r="AI24" i="102"/>
  <c r="AG23" i="102"/>
  <c r="AG23" i="101"/>
  <c r="AB24" i="102"/>
  <c r="AJ24" i="102" s="1"/>
  <c r="AB24" i="101"/>
  <c r="AJ24" i="101" s="1"/>
  <c r="AH24" i="101"/>
  <c r="AH24" i="102"/>
  <c r="AE23" i="101"/>
  <c r="AE23" i="102"/>
  <c r="AI23" i="101"/>
  <c r="AI23" i="102"/>
  <c r="AG24" i="101"/>
  <c r="AG24" i="102"/>
  <c r="AF23" i="102"/>
  <c r="AF23" i="101"/>
  <c r="AE24" i="102"/>
  <c r="AE24" i="101"/>
  <c r="AB23" i="101"/>
  <c r="AJ23" i="101" s="1"/>
  <c r="AB23" i="102"/>
  <c r="AF23" i="95"/>
  <c r="AE24" i="95"/>
  <c r="AB24" i="95"/>
  <c r="AJ24" i="95" s="1"/>
  <c r="AI23" i="95"/>
  <c r="AC24" i="95"/>
  <c r="AD23" i="95"/>
  <c r="AF24" i="95"/>
  <c r="AH23" i="95"/>
  <c r="AB23" i="95"/>
  <c r="AJ23" i="95" s="1"/>
  <c r="AD24" i="95"/>
  <c r="AC23" i="95"/>
  <c r="AG24" i="95"/>
  <c r="AI24" i="95"/>
  <c r="AG23" i="95"/>
  <c r="AH24" i="95"/>
  <c r="AE23" i="95"/>
  <c r="R10" i="64"/>
  <c r="AJ20" i="67"/>
  <c r="Y3" i="58" s="1"/>
  <c r="AB23" i="67"/>
  <c r="AJ23" i="67" s="1"/>
  <c r="AB24" i="67"/>
  <c r="AJ24" i="67" s="1"/>
  <c r="AJ31" i="67"/>
  <c r="Y14" i="58" s="1"/>
  <c r="AJ22" i="67"/>
  <c r="Y5" i="58" s="1"/>
  <c r="U11" i="64"/>
  <c r="S11" i="64"/>
  <c r="T11" i="64"/>
  <c r="U10" i="64"/>
  <c r="V10" i="64"/>
  <c r="T10" i="64"/>
  <c r="Q10" i="64"/>
  <c r="Q11" i="64"/>
  <c r="AJ21" i="67"/>
  <c r="Y4" i="58" s="1"/>
  <c r="AJ19" i="67"/>
  <c r="Y2" i="58" s="1"/>
  <c r="AJ26" i="67"/>
  <c r="R11" i="64"/>
  <c r="AJ29" i="67"/>
  <c r="Y12" i="58" s="1"/>
  <c r="S10" i="64"/>
  <c r="V11" i="64"/>
  <c r="T6" i="58"/>
  <c r="M6" i="58"/>
  <c r="L6" i="58" s="1"/>
  <c r="U6" i="58" s="1"/>
  <c r="T10" i="58"/>
  <c r="M10" i="58"/>
  <c r="L10" i="58" s="1"/>
  <c r="U10" i="58" s="1"/>
  <c r="T7" i="58"/>
  <c r="M7" i="58"/>
  <c r="T11" i="58"/>
  <c r="M11" i="58"/>
  <c r="L11" i="58" s="1"/>
  <c r="U11" i="58" s="1"/>
  <c r="I63" i="51" l="1"/>
  <c r="J59" i="99"/>
  <c r="R59" i="99" s="1"/>
  <c r="L292" i="86"/>
  <c r="O270" i="86"/>
  <c r="O292" i="86"/>
  <c r="L303" i="86"/>
  <c r="AC169" i="92"/>
  <c r="O182" i="86"/>
  <c r="AC169" i="91"/>
  <c r="L182" i="86"/>
  <c r="O303" i="86"/>
  <c r="L248" i="86"/>
  <c r="AP169" i="91"/>
  <c r="AQ169" i="92"/>
  <c r="O259" i="86"/>
  <c r="AQ169" i="91"/>
  <c r="L259" i="86"/>
  <c r="L270" i="86"/>
  <c r="AB169" i="91"/>
  <c r="L171" i="86"/>
  <c r="O248" i="86"/>
  <c r="AP169" i="92"/>
  <c r="D63" i="98"/>
  <c r="E47" i="98"/>
  <c r="F63" i="98"/>
  <c r="E63" i="94"/>
  <c r="F63" i="94"/>
  <c r="D59" i="99"/>
  <c r="L59" i="99" s="1"/>
  <c r="D63" i="49"/>
  <c r="E63" i="98"/>
  <c r="D63" i="94"/>
  <c r="G63" i="51"/>
  <c r="E47" i="94"/>
  <c r="H58" i="94"/>
  <c r="H63" i="93" s="1"/>
  <c r="G63" i="94"/>
  <c r="H58" i="98"/>
  <c r="H58" i="100" s="1"/>
  <c r="P58" i="100" s="1"/>
  <c r="G63" i="98"/>
  <c r="I47" i="51"/>
  <c r="F47" i="98"/>
  <c r="F47" i="94"/>
  <c r="D47" i="98"/>
  <c r="H42" i="98"/>
  <c r="H47" i="100" s="1"/>
  <c r="G47" i="98"/>
  <c r="J58" i="97"/>
  <c r="J63" i="99" s="1"/>
  <c r="I63" i="97"/>
  <c r="G47" i="51"/>
  <c r="D47" i="94"/>
  <c r="H42" i="94"/>
  <c r="H47" i="93" s="1"/>
  <c r="G47" i="94"/>
  <c r="D47" i="49"/>
  <c r="F59" i="100"/>
  <c r="N59" i="100" s="1"/>
  <c r="H47" i="51"/>
  <c r="J47" i="51"/>
  <c r="F63" i="51"/>
  <c r="J63" i="51"/>
  <c r="K43" i="100"/>
  <c r="S43" i="100" s="1"/>
  <c r="E43" i="100"/>
  <c r="M43" i="100" s="1"/>
  <c r="G43" i="100"/>
  <c r="O43" i="100" s="1"/>
  <c r="E43" i="99"/>
  <c r="M43" i="99" s="1"/>
  <c r="F47" i="51"/>
  <c r="K43" i="99"/>
  <c r="S43" i="99" s="1"/>
  <c r="E42" i="93"/>
  <c r="M42" i="93" s="1"/>
  <c r="E47" i="93"/>
  <c r="G42" i="93"/>
  <c r="O42" i="93" s="1"/>
  <c r="G47" i="93"/>
  <c r="H42" i="99"/>
  <c r="P42" i="99" s="1"/>
  <c r="H47" i="97"/>
  <c r="H47" i="99"/>
  <c r="G43" i="93"/>
  <c r="O43" i="93" s="1"/>
  <c r="J43" i="93"/>
  <c r="R43" i="93" s="1"/>
  <c r="J59" i="100"/>
  <c r="R59" i="100" s="1"/>
  <c r="D59" i="100"/>
  <c r="L59" i="100" s="1"/>
  <c r="F59" i="93"/>
  <c r="N59" i="93" s="1"/>
  <c r="G47" i="100"/>
  <c r="G42" i="100"/>
  <c r="O42" i="100" s="1"/>
  <c r="F63" i="93"/>
  <c r="F58" i="93"/>
  <c r="N58" i="93" s="1"/>
  <c r="H59" i="93"/>
  <c r="P59" i="93" s="1"/>
  <c r="E47" i="97"/>
  <c r="E42" i="99"/>
  <c r="M42" i="99" s="1"/>
  <c r="E47" i="99"/>
  <c r="G42" i="99"/>
  <c r="O42" i="99" s="1"/>
  <c r="G47" i="97"/>
  <c r="G47" i="99"/>
  <c r="I55" i="100"/>
  <c r="Q55" i="100" s="1"/>
  <c r="K55" i="100"/>
  <c r="S55" i="100" s="1"/>
  <c r="F60" i="100"/>
  <c r="N60" i="100" s="1"/>
  <c r="J60" i="100"/>
  <c r="R60" i="100" s="1"/>
  <c r="D51" i="100"/>
  <c r="L51" i="100" s="1"/>
  <c r="J50" i="100"/>
  <c r="R50" i="100" s="1"/>
  <c r="E53" i="100"/>
  <c r="M53" i="100" s="1"/>
  <c r="F56" i="100"/>
  <c r="N56" i="100" s="1"/>
  <c r="G52" i="100"/>
  <c r="O52" i="100" s="1"/>
  <c r="G62" i="100"/>
  <c r="O62" i="100" s="1"/>
  <c r="H56" i="100"/>
  <c r="P56" i="100" s="1"/>
  <c r="J52" i="100"/>
  <c r="R52" i="100" s="1"/>
  <c r="J62" i="100"/>
  <c r="R62" i="100" s="1"/>
  <c r="I56" i="100"/>
  <c r="Q56" i="100" s="1"/>
  <c r="K56" i="100"/>
  <c r="S56" i="100" s="1"/>
  <c r="D61" i="100"/>
  <c r="L61" i="100" s="1"/>
  <c r="D50" i="100"/>
  <c r="L50" i="100" s="1"/>
  <c r="D52" i="100"/>
  <c r="L52" i="100" s="1"/>
  <c r="D62" i="100"/>
  <c r="L62" i="100" s="1"/>
  <c r="E54" i="100"/>
  <c r="M54" i="100" s="1"/>
  <c r="J53" i="100"/>
  <c r="R53" i="100" s="1"/>
  <c r="I57" i="100"/>
  <c r="Q57" i="100" s="1"/>
  <c r="K57" i="100"/>
  <c r="S57" i="100" s="1"/>
  <c r="E60" i="100"/>
  <c r="M60" i="100" s="1"/>
  <c r="H61" i="100"/>
  <c r="P61" i="100" s="1"/>
  <c r="D53" i="100"/>
  <c r="L53" i="100" s="1"/>
  <c r="E55" i="100"/>
  <c r="M55" i="100" s="1"/>
  <c r="G54" i="100"/>
  <c r="O54" i="100" s="1"/>
  <c r="F61" i="100"/>
  <c r="N61" i="100" s="1"/>
  <c r="J54" i="100"/>
  <c r="R54" i="100" s="1"/>
  <c r="I50" i="100"/>
  <c r="Q50" i="100" s="1"/>
  <c r="K50" i="100"/>
  <c r="S50" i="100" s="1"/>
  <c r="K61" i="100"/>
  <c r="S61" i="100" s="1"/>
  <c r="I60" i="100"/>
  <c r="Q60" i="100" s="1"/>
  <c r="D54" i="100"/>
  <c r="L54" i="100" s="1"/>
  <c r="E56" i="100"/>
  <c r="M56" i="100" s="1"/>
  <c r="J51" i="100"/>
  <c r="R51" i="100" s="1"/>
  <c r="J55" i="100"/>
  <c r="R55" i="100" s="1"/>
  <c r="I51" i="100"/>
  <c r="Q51" i="100" s="1"/>
  <c r="K51" i="100"/>
  <c r="S51" i="100" s="1"/>
  <c r="D60" i="100"/>
  <c r="L60" i="100" s="1"/>
  <c r="G61" i="100"/>
  <c r="O61" i="100" s="1"/>
  <c r="D55" i="100"/>
  <c r="L55" i="100" s="1"/>
  <c r="E50" i="100"/>
  <c r="M50" i="100" s="1"/>
  <c r="E57" i="100"/>
  <c r="M57" i="100" s="1"/>
  <c r="F52" i="100"/>
  <c r="N52" i="100" s="1"/>
  <c r="F62" i="100"/>
  <c r="N62" i="100" s="1"/>
  <c r="G56" i="100"/>
  <c r="O56" i="100" s="1"/>
  <c r="H52" i="100"/>
  <c r="P52" i="100" s="1"/>
  <c r="H62" i="100"/>
  <c r="P62" i="100" s="1"/>
  <c r="J56" i="100"/>
  <c r="R56" i="100" s="1"/>
  <c r="J57" i="100"/>
  <c r="R57" i="100" s="1"/>
  <c r="I53" i="100"/>
  <c r="Q53" i="100" s="1"/>
  <c r="K53" i="100"/>
  <c r="S53" i="100" s="1"/>
  <c r="K60" i="100"/>
  <c r="S60" i="100" s="1"/>
  <c r="G60" i="100"/>
  <c r="O60" i="100" s="1"/>
  <c r="D57" i="100"/>
  <c r="L57" i="100" s="1"/>
  <c r="E51" i="100"/>
  <c r="M51" i="100" s="1"/>
  <c r="F54" i="100"/>
  <c r="N54" i="100" s="1"/>
  <c r="K52" i="100"/>
  <c r="S52" i="100" s="1"/>
  <c r="D56" i="100"/>
  <c r="L56" i="100" s="1"/>
  <c r="F55" i="100"/>
  <c r="N55" i="100" s="1"/>
  <c r="K54" i="100"/>
  <c r="S54" i="100" s="1"/>
  <c r="D58" i="100"/>
  <c r="L58" i="100" s="1"/>
  <c r="F57" i="100"/>
  <c r="N57" i="100" s="1"/>
  <c r="H53" i="100"/>
  <c r="P53" i="100" s="1"/>
  <c r="K62" i="100"/>
  <c r="S62" i="100" s="1"/>
  <c r="H54" i="100"/>
  <c r="P54" i="100" s="1"/>
  <c r="G55" i="100"/>
  <c r="O55" i="100" s="1"/>
  <c r="E61" i="100"/>
  <c r="M61" i="100" s="1"/>
  <c r="E52" i="100"/>
  <c r="M52" i="100" s="1"/>
  <c r="G50" i="100"/>
  <c r="O50" i="100" s="1"/>
  <c r="H55" i="100"/>
  <c r="P55" i="100" s="1"/>
  <c r="F51" i="100"/>
  <c r="N51" i="100" s="1"/>
  <c r="J61" i="100"/>
  <c r="R61" i="100" s="1"/>
  <c r="G51" i="100"/>
  <c r="O51" i="100" s="1"/>
  <c r="H57" i="100"/>
  <c r="P57" i="100" s="1"/>
  <c r="H60" i="100"/>
  <c r="P60" i="100" s="1"/>
  <c r="I61" i="100"/>
  <c r="Q61" i="100" s="1"/>
  <c r="E62" i="100"/>
  <c r="M62" i="100" s="1"/>
  <c r="F50" i="100"/>
  <c r="N50" i="100" s="1"/>
  <c r="G53" i="100"/>
  <c r="O53" i="100" s="1"/>
  <c r="I52" i="100"/>
  <c r="Q52" i="100" s="1"/>
  <c r="H50" i="100"/>
  <c r="P50" i="100" s="1"/>
  <c r="I54" i="100"/>
  <c r="Q54" i="100" s="1"/>
  <c r="D63" i="100"/>
  <c r="F53" i="100"/>
  <c r="N53" i="100" s="1"/>
  <c r="G57" i="100"/>
  <c r="O57" i="100" s="1"/>
  <c r="I62" i="100"/>
  <c r="Q62" i="100" s="1"/>
  <c r="H51" i="100"/>
  <c r="P51" i="100" s="1"/>
  <c r="F63" i="100"/>
  <c r="F58" i="100"/>
  <c r="N58" i="100" s="1"/>
  <c r="G43" i="99"/>
  <c r="O43" i="99" s="1"/>
  <c r="I43" i="93"/>
  <c r="Q43" i="93" s="1"/>
  <c r="F59" i="99"/>
  <c r="N59" i="99" s="1"/>
  <c r="H59" i="100"/>
  <c r="P59" i="100" s="1"/>
  <c r="I52" i="99"/>
  <c r="Q52" i="99" s="1"/>
  <c r="J51" i="99"/>
  <c r="R51" i="99" s="1"/>
  <c r="K52" i="99"/>
  <c r="S52" i="99" s="1"/>
  <c r="H60" i="99"/>
  <c r="P60" i="99" s="1"/>
  <c r="K61" i="99"/>
  <c r="S61" i="99" s="1"/>
  <c r="F51" i="99"/>
  <c r="N51" i="99" s="1"/>
  <c r="I53" i="99"/>
  <c r="Q53" i="99" s="1"/>
  <c r="H51" i="99"/>
  <c r="P51" i="99" s="1"/>
  <c r="J52" i="99"/>
  <c r="R52" i="99" s="1"/>
  <c r="J62" i="99"/>
  <c r="R62" i="99" s="1"/>
  <c r="E51" i="99"/>
  <c r="M51" i="99" s="1"/>
  <c r="D63" i="99"/>
  <c r="D60" i="99"/>
  <c r="L60" i="99" s="1"/>
  <c r="F52" i="99"/>
  <c r="N52" i="99" s="1"/>
  <c r="I54" i="99"/>
  <c r="Q54" i="99" s="1"/>
  <c r="H52" i="99"/>
  <c r="P52" i="99" s="1"/>
  <c r="J53" i="99"/>
  <c r="R53" i="99" s="1"/>
  <c r="E52" i="99"/>
  <c r="M52" i="99" s="1"/>
  <c r="E62" i="99"/>
  <c r="M62" i="99" s="1"/>
  <c r="G55" i="99"/>
  <c r="O55" i="99" s="1"/>
  <c r="D63" i="97"/>
  <c r="F61" i="99"/>
  <c r="N61" i="99" s="1"/>
  <c r="K60" i="99"/>
  <c r="S60" i="99" s="1"/>
  <c r="F57" i="99"/>
  <c r="N57" i="99" s="1"/>
  <c r="H53" i="99"/>
  <c r="P53" i="99" s="1"/>
  <c r="J54" i="99"/>
  <c r="R54" i="99" s="1"/>
  <c r="E53" i="99"/>
  <c r="M53" i="99" s="1"/>
  <c r="J50" i="99"/>
  <c r="R50" i="99" s="1"/>
  <c r="I61" i="99"/>
  <c r="Q61" i="99" s="1"/>
  <c r="G60" i="99"/>
  <c r="O60" i="99" s="1"/>
  <c r="J61" i="99"/>
  <c r="R61" i="99" s="1"/>
  <c r="H54" i="99"/>
  <c r="P54" i="99" s="1"/>
  <c r="J55" i="99"/>
  <c r="R55" i="99" s="1"/>
  <c r="E54" i="99"/>
  <c r="M54" i="99" s="1"/>
  <c r="J60" i="99"/>
  <c r="R60" i="99" s="1"/>
  <c r="E61" i="99"/>
  <c r="M61" i="99" s="1"/>
  <c r="D50" i="99"/>
  <c r="L50" i="99" s="1"/>
  <c r="I55" i="99"/>
  <c r="Q55" i="99" s="1"/>
  <c r="H55" i="99"/>
  <c r="P55" i="99" s="1"/>
  <c r="J56" i="99"/>
  <c r="R56" i="99" s="1"/>
  <c r="H56" i="99"/>
  <c r="P56" i="99" s="1"/>
  <c r="J57" i="99"/>
  <c r="R57" i="99" s="1"/>
  <c r="E56" i="99"/>
  <c r="M56" i="99" s="1"/>
  <c r="I60" i="99"/>
  <c r="Q60" i="99" s="1"/>
  <c r="D61" i="99"/>
  <c r="L61" i="99" s="1"/>
  <c r="D52" i="99"/>
  <c r="L52" i="99" s="1"/>
  <c r="E50" i="99"/>
  <c r="M50" i="99" s="1"/>
  <c r="E55" i="99"/>
  <c r="M55" i="99" s="1"/>
  <c r="D56" i="99"/>
  <c r="L56" i="99" s="1"/>
  <c r="E57" i="99"/>
  <c r="M57" i="99" s="1"/>
  <c r="F50" i="99"/>
  <c r="N50" i="99" s="1"/>
  <c r="D57" i="99"/>
  <c r="L57" i="99" s="1"/>
  <c r="H61" i="99"/>
  <c r="P61" i="99" s="1"/>
  <c r="K57" i="99"/>
  <c r="S57" i="99" s="1"/>
  <c r="D58" i="99"/>
  <c r="L58" i="99" s="1"/>
  <c r="G54" i="99"/>
  <c r="O54" i="99" s="1"/>
  <c r="G50" i="99"/>
  <c r="O50" i="99" s="1"/>
  <c r="G61" i="99"/>
  <c r="O61" i="99" s="1"/>
  <c r="I50" i="99"/>
  <c r="Q50" i="99" s="1"/>
  <c r="F62" i="99"/>
  <c r="N62" i="99" s="1"/>
  <c r="G56" i="99"/>
  <c r="O56" i="99" s="1"/>
  <c r="G57" i="99"/>
  <c r="O57" i="99" s="1"/>
  <c r="K51" i="99"/>
  <c r="S51" i="99" s="1"/>
  <c r="K53" i="99"/>
  <c r="S53" i="99" s="1"/>
  <c r="G53" i="99"/>
  <c r="O53" i="99" s="1"/>
  <c r="F60" i="99"/>
  <c r="N60" i="99" s="1"/>
  <c r="D62" i="99"/>
  <c r="L62" i="99" s="1"/>
  <c r="I57" i="99"/>
  <c r="Q57" i="99" s="1"/>
  <c r="F54" i="99"/>
  <c r="N54" i="99" s="1"/>
  <c r="F56" i="99"/>
  <c r="N56" i="99" s="1"/>
  <c r="E60" i="99"/>
  <c r="M60" i="99" s="1"/>
  <c r="H50" i="99"/>
  <c r="P50" i="99" s="1"/>
  <c r="I56" i="99"/>
  <c r="Q56" i="99" s="1"/>
  <c r="K50" i="99"/>
  <c r="S50" i="99" s="1"/>
  <c r="K62" i="99"/>
  <c r="S62" i="99" s="1"/>
  <c r="F53" i="99"/>
  <c r="N53" i="99" s="1"/>
  <c r="D51" i="99"/>
  <c r="L51" i="99" s="1"/>
  <c r="H62" i="99"/>
  <c r="P62" i="99" s="1"/>
  <c r="D54" i="99"/>
  <c r="L54" i="99" s="1"/>
  <c r="H57" i="99"/>
  <c r="P57" i="99" s="1"/>
  <c r="D53" i="99"/>
  <c r="L53" i="99" s="1"/>
  <c r="K54" i="99"/>
  <c r="S54" i="99" s="1"/>
  <c r="D55" i="99"/>
  <c r="L55" i="99" s="1"/>
  <c r="F55" i="99"/>
  <c r="N55" i="99" s="1"/>
  <c r="G51" i="99"/>
  <c r="O51" i="99" s="1"/>
  <c r="G62" i="99"/>
  <c r="O62" i="99" s="1"/>
  <c r="I51" i="99"/>
  <c r="Q51" i="99" s="1"/>
  <c r="I62" i="99"/>
  <c r="Q62" i="99" s="1"/>
  <c r="K55" i="99"/>
  <c r="S55" i="99" s="1"/>
  <c r="G52" i="99"/>
  <c r="O52" i="99" s="1"/>
  <c r="K56" i="99"/>
  <c r="S56" i="99" s="1"/>
  <c r="F63" i="99"/>
  <c r="F63" i="97"/>
  <c r="F58" i="99"/>
  <c r="N58" i="99" s="1"/>
  <c r="D43" i="93"/>
  <c r="L43" i="93" s="1"/>
  <c r="F43" i="93"/>
  <c r="N43" i="93" s="1"/>
  <c r="I43" i="100"/>
  <c r="Q43" i="100" s="1"/>
  <c r="K59" i="93"/>
  <c r="S59" i="93" s="1"/>
  <c r="J59" i="93"/>
  <c r="R59" i="93" s="1"/>
  <c r="H59" i="99"/>
  <c r="P59" i="99" s="1"/>
  <c r="G58" i="93"/>
  <c r="O58" i="93" s="1"/>
  <c r="G63" i="93"/>
  <c r="H58" i="99"/>
  <c r="P58" i="99" s="1"/>
  <c r="H63" i="97"/>
  <c r="H63" i="99"/>
  <c r="D43" i="100"/>
  <c r="L43" i="100" s="1"/>
  <c r="F43" i="100"/>
  <c r="N43" i="100" s="1"/>
  <c r="I43" i="99"/>
  <c r="Q43" i="99" s="1"/>
  <c r="K59" i="100"/>
  <c r="S59" i="100" s="1"/>
  <c r="E59" i="93"/>
  <c r="M59" i="93" s="1"/>
  <c r="E47" i="100"/>
  <c r="E42" i="100"/>
  <c r="M42" i="100" s="1"/>
  <c r="J35" i="93"/>
  <c r="R35" i="93" s="1"/>
  <c r="E36" i="93"/>
  <c r="M36" i="93" s="1"/>
  <c r="E38" i="93"/>
  <c r="M38" i="93" s="1"/>
  <c r="G40" i="93"/>
  <c r="O40" i="93" s="1"/>
  <c r="D45" i="93"/>
  <c r="L45" i="93" s="1"/>
  <c r="D34" i="93"/>
  <c r="L34" i="93" s="1"/>
  <c r="D38" i="93"/>
  <c r="L38" i="93" s="1"/>
  <c r="F38" i="93"/>
  <c r="N38" i="93" s="1"/>
  <c r="H36" i="93"/>
  <c r="P36" i="93" s="1"/>
  <c r="H46" i="93"/>
  <c r="P46" i="93" s="1"/>
  <c r="I38" i="93"/>
  <c r="Q38" i="93" s="1"/>
  <c r="K39" i="93"/>
  <c r="S39" i="93" s="1"/>
  <c r="J41" i="93"/>
  <c r="R41" i="93" s="1"/>
  <c r="E37" i="93"/>
  <c r="M37" i="93" s="1"/>
  <c r="J37" i="93"/>
  <c r="R37" i="93" s="1"/>
  <c r="G41" i="93"/>
  <c r="O41" i="93" s="1"/>
  <c r="J38" i="93"/>
  <c r="R38" i="93" s="1"/>
  <c r="E44" i="93"/>
  <c r="M44" i="93" s="1"/>
  <c r="H45" i="93"/>
  <c r="P45" i="93" s="1"/>
  <c r="D39" i="93"/>
  <c r="L39" i="93" s="1"/>
  <c r="F39" i="93"/>
  <c r="N39" i="93" s="1"/>
  <c r="H37" i="93"/>
  <c r="P37" i="93" s="1"/>
  <c r="E39" i="93"/>
  <c r="M39" i="93" s="1"/>
  <c r="G46" i="93"/>
  <c r="O46" i="93" s="1"/>
  <c r="K45" i="93"/>
  <c r="S45" i="93" s="1"/>
  <c r="I44" i="93"/>
  <c r="Q44" i="93" s="1"/>
  <c r="D40" i="93"/>
  <c r="L40" i="93" s="1"/>
  <c r="F40" i="93"/>
  <c r="N40" i="93" s="1"/>
  <c r="G34" i="93"/>
  <c r="O34" i="93" s="1"/>
  <c r="H38" i="93"/>
  <c r="P38" i="93" s="1"/>
  <c r="I40" i="93"/>
  <c r="Q40" i="93" s="1"/>
  <c r="E40" i="93"/>
  <c r="M40" i="93" s="1"/>
  <c r="G38" i="93"/>
  <c r="O38" i="93" s="1"/>
  <c r="D47" i="93"/>
  <c r="D44" i="93"/>
  <c r="L44" i="93" s="1"/>
  <c r="G45" i="93"/>
  <c r="O45" i="93" s="1"/>
  <c r="D41" i="93"/>
  <c r="L41" i="93" s="1"/>
  <c r="F34" i="93"/>
  <c r="N34" i="93" s="1"/>
  <c r="F41" i="93"/>
  <c r="N41" i="93" s="1"/>
  <c r="H39" i="93"/>
  <c r="P39" i="93" s="1"/>
  <c r="J39" i="93"/>
  <c r="R39" i="93" s="1"/>
  <c r="E41" i="93"/>
  <c r="M41" i="93" s="1"/>
  <c r="G35" i="93"/>
  <c r="O35" i="93" s="1"/>
  <c r="J40" i="93"/>
  <c r="R40" i="93" s="1"/>
  <c r="F45" i="93"/>
  <c r="N45" i="93" s="1"/>
  <c r="J45" i="93"/>
  <c r="R45" i="93" s="1"/>
  <c r="H44" i="93"/>
  <c r="P44" i="93" s="1"/>
  <c r="D42" i="93"/>
  <c r="L42" i="93" s="1"/>
  <c r="E34" i="93"/>
  <c r="M34" i="93" s="1"/>
  <c r="H40" i="93"/>
  <c r="P40" i="93" s="1"/>
  <c r="I34" i="93"/>
  <c r="Q34" i="93" s="1"/>
  <c r="K35" i="93"/>
  <c r="S35" i="93" s="1"/>
  <c r="J36" i="93"/>
  <c r="R36" i="93" s="1"/>
  <c r="E46" i="93"/>
  <c r="M46" i="93" s="1"/>
  <c r="G36" i="93"/>
  <c r="O36" i="93" s="1"/>
  <c r="G37" i="93"/>
  <c r="O37" i="93" s="1"/>
  <c r="I35" i="93"/>
  <c r="Q35" i="93" s="1"/>
  <c r="E45" i="93"/>
  <c r="M45" i="93" s="1"/>
  <c r="I45" i="93"/>
  <c r="Q45" i="93" s="1"/>
  <c r="D36" i="93"/>
  <c r="L36" i="93" s="1"/>
  <c r="D46" i="93"/>
  <c r="L46" i="93" s="1"/>
  <c r="F36" i="93"/>
  <c r="N36" i="93" s="1"/>
  <c r="F46" i="93"/>
  <c r="N46" i="93" s="1"/>
  <c r="I36" i="93"/>
  <c r="Q36" i="93" s="1"/>
  <c r="I46" i="93"/>
  <c r="Q46" i="93" s="1"/>
  <c r="J46" i="93"/>
  <c r="R46" i="93" s="1"/>
  <c r="E35" i="93"/>
  <c r="M35" i="93" s="1"/>
  <c r="D37" i="93"/>
  <c r="L37" i="93" s="1"/>
  <c r="H35" i="93"/>
  <c r="P35" i="93" s="1"/>
  <c r="K46" i="93"/>
  <c r="S46" i="93" s="1"/>
  <c r="H41" i="93"/>
  <c r="P41" i="93" s="1"/>
  <c r="K34" i="93"/>
  <c r="S34" i="93" s="1"/>
  <c r="F35" i="93"/>
  <c r="N35" i="93" s="1"/>
  <c r="K36" i="93"/>
  <c r="S36" i="93" s="1"/>
  <c r="K44" i="93"/>
  <c r="S44" i="93" s="1"/>
  <c r="I41" i="93"/>
  <c r="Q41" i="93" s="1"/>
  <c r="K40" i="93"/>
  <c r="S40" i="93" s="1"/>
  <c r="G39" i="93"/>
  <c r="O39" i="93" s="1"/>
  <c r="G44" i="93"/>
  <c r="O44" i="93" s="1"/>
  <c r="I37" i="93"/>
  <c r="Q37" i="93" s="1"/>
  <c r="K37" i="93"/>
  <c r="S37" i="93" s="1"/>
  <c r="J34" i="93"/>
  <c r="R34" i="93" s="1"/>
  <c r="F44" i="93"/>
  <c r="N44" i="93" s="1"/>
  <c r="I39" i="93"/>
  <c r="Q39" i="93" s="1"/>
  <c r="K38" i="93"/>
  <c r="S38" i="93" s="1"/>
  <c r="J44" i="93"/>
  <c r="R44" i="93" s="1"/>
  <c r="F37" i="93"/>
  <c r="N37" i="93" s="1"/>
  <c r="K41" i="93"/>
  <c r="S41" i="93" s="1"/>
  <c r="D35" i="93"/>
  <c r="L35" i="93" s="1"/>
  <c r="H34" i="93"/>
  <c r="P34" i="93" s="1"/>
  <c r="F47" i="93"/>
  <c r="F42" i="93"/>
  <c r="N42" i="93" s="1"/>
  <c r="I42" i="99"/>
  <c r="Q42" i="99" s="1"/>
  <c r="I47" i="99"/>
  <c r="I47" i="97"/>
  <c r="E58" i="93"/>
  <c r="M58" i="93" s="1"/>
  <c r="E63" i="93"/>
  <c r="G63" i="100"/>
  <c r="G58" i="100"/>
  <c r="O58" i="100" s="1"/>
  <c r="J43" i="99"/>
  <c r="R43" i="99" s="1"/>
  <c r="D43" i="99"/>
  <c r="L43" i="99" s="1"/>
  <c r="F43" i="99"/>
  <c r="N43" i="99" s="1"/>
  <c r="H43" i="93"/>
  <c r="P43" i="93" s="1"/>
  <c r="K59" i="99"/>
  <c r="S59" i="99" s="1"/>
  <c r="E59" i="100"/>
  <c r="M59" i="100" s="1"/>
  <c r="G59" i="93"/>
  <c r="O59" i="93" s="1"/>
  <c r="I59" i="93"/>
  <c r="Q59" i="93" s="1"/>
  <c r="K47" i="99"/>
  <c r="K42" i="99"/>
  <c r="S42" i="99" s="1"/>
  <c r="K47" i="97"/>
  <c r="J42" i="99"/>
  <c r="R42" i="99" s="1"/>
  <c r="J47" i="97"/>
  <c r="J47" i="99"/>
  <c r="E53" i="93"/>
  <c r="M53" i="93" s="1"/>
  <c r="G56" i="93"/>
  <c r="O56" i="93" s="1"/>
  <c r="H61" i="93"/>
  <c r="P61" i="93" s="1"/>
  <c r="F60" i="93"/>
  <c r="N60" i="93" s="1"/>
  <c r="D50" i="93"/>
  <c r="L50" i="93" s="1"/>
  <c r="D57" i="93"/>
  <c r="L57" i="93" s="1"/>
  <c r="F57" i="93"/>
  <c r="N57" i="93" s="1"/>
  <c r="H55" i="93"/>
  <c r="P55" i="93" s="1"/>
  <c r="I50" i="93"/>
  <c r="Q50" i="93" s="1"/>
  <c r="I57" i="93"/>
  <c r="Q57" i="93" s="1"/>
  <c r="J50" i="93"/>
  <c r="R50" i="93" s="1"/>
  <c r="E54" i="93"/>
  <c r="M54" i="93" s="1"/>
  <c r="G57" i="93"/>
  <c r="O57" i="93" s="1"/>
  <c r="E50" i="93"/>
  <c r="M50" i="93" s="1"/>
  <c r="I60" i="93"/>
  <c r="Q60" i="93" s="1"/>
  <c r="D61" i="93"/>
  <c r="L61" i="93" s="1"/>
  <c r="I61" i="93"/>
  <c r="Q61" i="93" s="1"/>
  <c r="D58" i="93"/>
  <c r="L58" i="93" s="1"/>
  <c r="F50" i="93"/>
  <c r="N50" i="93" s="1"/>
  <c r="H56" i="93"/>
  <c r="P56" i="93" s="1"/>
  <c r="J54" i="93"/>
  <c r="R54" i="93" s="1"/>
  <c r="E55" i="93"/>
  <c r="M55" i="93" s="1"/>
  <c r="J51" i="93"/>
  <c r="R51" i="93" s="1"/>
  <c r="G62" i="93"/>
  <c r="O62" i="93" s="1"/>
  <c r="G61" i="93"/>
  <c r="O61" i="93" s="1"/>
  <c r="E60" i="93"/>
  <c r="M60" i="93" s="1"/>
  <c r="D51" i="93"/>
  <c r="L51" i="93" s="1"/>
  <c r="F51" i="93"/>
  <c r="N51" i="93" s="1"/>
  <c r="H50" i="93"/>
  <c r="P50" i="93" s="1"/>
  <c r="H57" i="93"/>
  <c r="P57" i="93" s="1"/>
  <c r="I51" i="93"/>
  <c r="Q51" i="93" s="1"/>
  <c r="J55" i="93"/>
  <c r="R55" i="93" s="1"/>
  <c r="E56" i="93"/>
  <c r="M56" i="93" s="1"/>
  <c r="G51" i="93"/>
  <c r="O51" i="93" s="1"/>
  <c r="H60" i="93"/>
  <c r="P60" i="93" s="1"/>
  <c r="K61" i="93"/>
  <c r="S61" i="93" s="1"/>
  <c r="D52" i="93"/>
  <c r="L52" i="93" s="1"/>
  <c r="D62" i="93"/>
  <c r="L62" i="93" s="1"/>
  <c r="F52" i="93"/>
  <c r="N52" i="93" s="1"/>
  <c r="F62" i="93"/>
  <c r="N62" i="93" s="1"/>
  <c r="E57" i="93"/>
  <c r="M57" i="93" s="1"/>
  <c r="G52" i="93"/>
  <c r="O52" i="93" s="1"/>
  <c r="D63" i="93"/>
  <c r="D60" i="93"/>
  <c r="L60" i="93" s="1"/>
  <c r="D53" i="93"/>
  <c r="L53" i="93" s="1"/>
  <c r="F53" i="93"/>
  <c r="N53" i="93" s="1"/>
  <c r="G50" i="93"/>
  <c r="O50" i="93" s="1"/>
  <c r="H51" i="93"/>
  <c r="P51" i="93" s="1"/>
  <c r="I53" i="93"/>
  <c r="Q53" i="93" s="1"/>
  <c r="J57" i="93"/>
  <c r="R57" i="93" s="1"/>
  <c r="K54" i="93"/>
  <c r="S54" i="93" s="1"/>
  <c r="J53" i="93"/>
  <c r="R53" i="93" s="1"/>
  <c r="E62" i="93"/>
  <c r="M62" i="93" s="1"/>
  <c r="G53" i="93"/>
  <c r="O53" i="93" s="1"/>
  <c r="J52" i="93"/>
  <c r="R52" i="93" s="1"/>
  <c r="E51" i="93"/>
  <c r="M51" i="93" s="1"/>
  <c r="G54" i="93"/>
  <c r="O54" i="93" s="1"/>
  <c r="G60" i="93"/>
  <c r="O60" i="93" s="1"/>
  <c r="K60" i="93"/>
  <c r="S60" i="93" s="1"/>
  <c r="D55" i="93"/>
  <c r="L55" i="93" s="1"/>
  <c r="F55" i="93"/>
  <c r="N55" i="93" s="1"/>
  <c r="H53" i="93"/>
  <c r="P53" i="93" s="1"/>
  <c r="I55" i="93"/>
  <c r="Q55" i="93" s="1"/>
  <c r="D54" i="93"/>
  <c r="L54" i="93" s="1"/>
  <c r="D56" i="93"/>
  <c r="L56" i="93" s="1"/>
  <c r="K57" i="93"/>
  <c r="S57" i="93" s="1"/>
  <c r="E52" i="93"/>
  <c r="M52" i="93" s="1"/>
  <c r="F54" i="93"/>
  <c r="N54" i="93" s="1"/>
  <c r="I52" i="93"/>
  <c r="Q52" i="93" s="1"/>
  <c r="J56" i="93"/>
  <c r="R56" i="93" s="1"/>
  <c r="F56" i="93"/>
  <c r="N56" i="93" s="1"/>
  <c r="I54" i="93"/>
  <c r="Q54" i="93" s="1"/>
  <c r="K50" i="93"/>
  <c r="S50" i="93" s="1"/>
  <c r="K62" i="93"/>
  <c r="S62" i="93" s="1"/>
  <c r="F61" i="93"/>
  <c r="N61" i="93" s="1"/>
  <c r="H52" i="93"/>
  <c r="P52" i="93" s="1"/>
  <c r="I56" i="93"/>
  <c r="Q56" i="93" s="1"/>
  <c r="J62" i="93"/>
  <c r="R62" i="93" s="1"/>
  <c r="K51" i="93"/>
  <c r="S51" i="93" s="1"/>
  <c r="J61" i="93"/>
  <c r="R61" i="93" s="1"/>
  <c r="K53" i="93"/>
  <c r="S53" i="93" s="1"/>
  <c r="G55" i="93"/>
  <c r="O55" i="93" s="1"/>
  <c r="E61" i="93"/>
  <c r="M61" i="93" s="1"/>
  <c r="H54" i="93"/>
  <c r="P54" i="93" s="1"/>
  <c r="K52" i="93"/>
  <c r="S52" i="93" s="1"/>
  <c r="H62" i="93"/>
  <c r="P62" i="93" s="1"/>
  <c r="I62" i="93"/>
  <c r="Q62" i="93" s="1"/>
  <c r="J60" i="93"/>
  <c r="R60" i="93" s="1"/>
  <c r="K55" i="93"/>
  <c r="S55" i="93" s="1"/>
  <c r="K56" i="93"/>
  <c r="S56" i="93" s="1"/>
  <c r="I63" i="99"/>
  <c r="I58" i="99"/>
  <c r="Q58" i="99" s="1"/>
  <c r="J39" i="100"/>
  <c r="R39" i="100" s="1"/>
  <c r="I36" i="100"/>
  <c r="Q36" i="100" s="1"/>
  <c r="I46" i="100"/>
  <c r="Q46" i="100" s="1"/>
  <c r="K36" i="100"/>
  <c r="S36" i="100" s="1"/>
  <c r="K46" i="100"/>
  <c r="S46" i="100" s="1"/>
  <c r="D34" i="100"/>
  <c r="L34" i="100" s="1"/>
  <c r="E45" i="100"/>
  <c r="M45" i="100" s="1"/>
  <c r="D39" i="100"/>
  <c r="L39" i="100" s="1"/>
  <c r="F37" i="100"/>
  <c r="N37" i="100" s="1"/>
  <c r="G41" i="100"/>
  <c r="O41" i="100" s="1"/>
  <c r="H37" i="100"/>
  <c r="P37" i="100" s="1"/>
  <c r="J46" i="100"/>
  <c r="R46" i="100" s="1"/>
  <c r="I37" i="100"/>
  <c r="Q37" i="100" s="1"/>
  <c r="K37" i="100"/>
  <c r="S37" i="100" s="1"/>
  <c r="J34" i="100"/>
  <c r="R34" i="100" s="1"/>
  <c r="H45" i="100"/>
  <c r="P45" i="100" s="1"/>
  <c r="F44" i="100"/>
  <c r="N44" i="100" s="1"/>
  <c r="D40" i="100"/>
  <c r="L40" i="100" s="1"/>
  <c r="E35" i="100"/>
  <c r="M35" i="100" s="1"/>
  <c r="J41" i="100"/>
  <c r="R41" i="100" s="1"/>
  <c r="I38" i="100"/>
  <c r="Q38" i="100" s="1"/>
  <c r="K38" i="100"/>
  <c r="S38" i="100" s="1"/>
  <c r="K45" i="100"/>
  <c r="S45" i="100" s="1"/>
  <c r="I44" i="100"/>
  <c r="Q44" i="100" s="1"/>
  <c r="D45" i="100"/>
  <c r="L45" i="100" s="1"/>
  <c r="D41" i="100"/>
  <c r="L41" i="100" s="1"/>
  <c r="E36" i="100"/>
  <c r="M36" i="100" s="1"/>
  <c r="E46" i="100"/>
  <c r="M46" i="100" s="1"/>
  <c r="F39" i="100"/>
  <c r="N39" i="100" s="1"/>
  <c r="G35" i="100"/>
  <c r="O35" i="100" s="1"/>
  <c r="J38" i="100"/>
  <c r="R38" i="100" s="1"/>
  <c r="J36" i="100"/>
  <c r="R36" i="100" s="1"/>
  <c r="I39" i="100"/>
  <c r="Q39" i="100" s="1"/>
  <c r="K39" i="100"/>
  <c r="S39" i="100" s="1"/>
  <c r="D44" i="100"/>
  <c r="L44" i="100" s="1"/>
  <c r="G45" i="100"/>
  <c r="O45" i="100" s="1"/>
  <c r="E44" i="100"/>
  <c r="M44" i="100" s="1"/>
  <c r="D42" i="100"/>
  <c r="L42" i="100" s="1"/>
  <c r="E37" i="100"/>
  <c r="M37" i="100" s="1"/>
  <c r="I40" i="100"/>
  <c r="Q40" i="100" s="1"/>
  <c r="K40" i="100"/>
  <c r="S40" i="100" s="1"/>
  <c r="J45" i="100"/>
  <c r="R45" i="100" s="1"/>
  <c r="H44" i="100"/>
  <c r="P44" i="100" s="1"/>
  <c r="D35" i="100"/>
  <c r="L35" i="100" s="1"/>
  <c r="E38" i="100"/>
  <c r="M38" i="100" s="1"/>
  <c r="F34" i="100"/>
  <c r="N34" i="100" s="1"/>
  <c r="F41" i="100"/>
  <c r="N41" i="100" s="1"/>
  <c r="G37" i="100"/>
  <c r="O37" i="100" s="1"/>
  <c r="H41" i="100"/>
  <c r="P41" i="100" s="1"/>
  <c r="J37" i="100"/>
  <c r="R37" i="100" s="1"/>
  <c r="J40" i="100"/>
  <c r="R40" i="100" s="1"/>
  <c r="I34" i="100"/>
  <c r="Q34" i="100" s="1"/>
  <c r="I45" i="100"/>
  <c r="Q45" i="100" s="1"/>
  <c r="F45" i="100"/>
  <c r="N45" i="100" s="1"/>
  <c r="D37" i="100"/>
  <c r="L37" i="100" s="1"/>
  <c r="E40" i="100"/>
  <c r="M40" i="100" s="1"/>
  <c r="F35" i="100"/>
  <c r="N35" i="100" s="1"/>
  <c r="G39" i="100"/>
  <c r="O39" i="100" s="1"/>
  <c r="J35" i="100"/>
  <c r="R35" i="100" s="1"/>
  <c r="H38" i="100"/>
  <c r="P38" i="100" s="1"/>
  <c r="D38" i="100"/>
  <c r="L38" i="100" s="1"/>
  <c r="E41" i="100"/>
  <c r="M41" i="100" s="1"/>
  <c r="F38" i="100"/>
  <c r="N38" i="100" s="1"/>
  <c r="H39" i="100"/>
  <c r="P39" i="100" s="1"/>
  <c r="D46" i="100"/>
  <c r="L46" i="100" s="1"/>
  <c r="F40" i="100"/>
  <c r="N40" i="100" s="1"/>
  <c r="G46" i="100"/>
  <c r="O46" i="100" s="1"/>
  <c r="H40" i="100"/>
  <c r="P40" i="100" s="1"/>
  <c r="H35" i="100"/>
  <c r="P35" i="100" s="1"/>
  <c r="I35" i="100"/>
  <c r="Q35" i="100" s="1"/>
  <c r="D47" i="100"/>
  <c r="G36" i="100"/>
  <c r="O36" i="100" s="1"/>
  <c r="I41" i="100"/>
  <c r="Q41" i="100" s="1"/>
  <c r="K34" i="100"/>
  <c r="S34" i="100" s="1"/>
  <c r="K44" i="100"/>
  <c r="S44" i="100" s="1"/>
  <c r="F46" i="100"/>
  <c r="N46" i="100" s="1"/>
  <c r="K41" i="100"/>
  <c r="S41" i="100" s="1"/>
  <c r="K35" i="100"/>
  <c r="S35" i="100" s="1"/>
  <c r="J44" i="100"/>
  <c r="R44" i="100" s="1"/>
  <c r="G34" i="100"/>
  <c r="O34" i="100" s="1"/>
  <c r="H34" i="100"/>
  <c r="P34" i="100" s="1"/>
  <c r="H46" i="100"/>
  <c r="P46" i="100" s="1"/>
  <c r="G44" i="100"/>
  <c r="O44" i="100" s="1"/>
  <c r="E34" i="100"/>
  <c r="M34" i="100" s="1"/>
  <c r="G38" i="100"/>
  <c r="O38" i="100" s="1"/>
  <c r="H36" i="100"/>
  <c r="P36" i="100" s="1"/>
  <c r="D36" i="100"/>
  <c r="L36" i="100" s="1"/>
  <c r="E39" i="100"/>
  <c r="M39" i="100" s="1"/>
  <c r="F36" i="100"/>
  <c r="N36" i="100" s="1"/>
  <c r="G40" i="100"/>
  <c r="O40" i="100" s="1"/>
  <c r="F42" i="100"/>
  <c r="N42" i="100" s="1"/>
  <c r="F47" i="100"/>
  <c r="E63" i="100"/>
  <c r="E58" i="100"/>
  <c r="M58" i="100" s="1"/>
  <c r="G63" i="97"/>
  <c r="G63" i="99"/>
  <c r="G58" i="99"/>
  <c r="O58" i="99" s="1"/>
  <c r="J43" i="100"/>
  <c r="R43" i="100" s="1"/>
  <c r="H43" i="100"/>
  <c r="P43" i="100" s="1"/>
  <c r="E59" i="99"/>
  <c r="M59" i="99" s="1"/>
  <c r="G59" i="100"/>
  <c r="O59" i="100" s="1"/>
  <c r="I59" i="100"/>
  <c r="Q59" i="100" s="1"/>
  <c r="G40" i="99"/>
  <c r="O40" i="99" s="1"/>
  <c r="I36" i="99"/>
  <c r="Q36" i="99" s="1"/>
  <c r="H36" i="99"/>
  <c r="P36" i="99" s="1"/>
  <c r="H46" i="99"/>
  <c r="P46" i="99" s="1"/>
  <c r="J37" i="99"/>
  <c r="R37" i="99" s="1"/>
  <c r="K36" i="99"/>
  <c r="S36" i="99" s="1"/>
  <c r="E46" i="99"/>
  <c r="M46" i="99" s="1"/>
  <c r="G41" i="99"/>
  <c r="O41" i="99" s="1"/>
  <c r="J34" i="99"/>
  <c r="R34" i="99" s="1"/>
  <c r="F44" i="99"/>
  <c r="N44" i="99" s="1"/>
  <c r="J44" i="99"/>
  <c r="R44" i="99" s="1"/>
  <c r="D35" i="99"/>
  <c r="L35" i="99" s="1"/>
  <c r="F40" i="99"/>
  <c r="N40" i="99" s="1"/>
  <c r="G46" i="99"/>
  <c r="O46" i="99" s="1"/>
  <c r="I37" i="99"/>
  <c r="Q37" i="99" s="1"/>
  <c r="H37" i="99"/>
  <c r="P37" i="99" s="1"/>
  <c r="J38" i="99"/>
  <c r="R38" i="99" s="1"/>
  <c r="K37" i="99"/>
  <c r="S37" i="99" s="1"/>
  <c r="E37" i="99"/>
  <c r="M37" i="99" s="1"/>
  <c r="K34" i="99"/>
  <c r="S34" i="99" s="1"/>
  <c r="D45" i="99"/>
  <c r="L45" i="99" s="1"/>
  <c r="D34" i="99"/>
  <c r="L34" i="99" s="1"/>
  <c r="D36" i="99"/>
  <c r="L36" i="99" s="1"/>
  <c r="D46" i="99"/>
  <c r="L46" i="99" s="1"/>
  <c r="F34" i="99"/>
  <c r="N34" i="99" s="1"/>
  <c r="F41" i="99"/>
  <c r="N41" i="99" s="1"/>
  <c r="J35" i="99"/>
  <c r="R35" i="99" s="1"/>
  <c r="I38" i="99"/>
  <c r="Q38" i="99" s="1"/>
  <c r="H38" i="99"/>
  <c r="P38" i="99" s="1"/>
  <c r="J39" i="99"/>
  <c r="R39" i="99" s="1"/>
  <c r="K38" i="99"/>
  <c r="S38" i="99" s="1"/>
  <c r="E38" i="99"/>
  <c r="M38" i="99" s="1"/>
  <c r="E44" i="99"/>
  <c r="M44" i="99" s="1"/>
  <c r="D47" i="99"/>
  <c r="D37" i="99"/>
  <c r="L37" i="99" s="1"/>
  <c r="I44" i="99"/>
  <c r="Q44" i="99" s="1"/>
  <c r="H34" i="99"/>
  <c r="P34" i="99" s="1"/>
  <c r="G35" i="99"/>
  <c r="O35" i="99" s="1"/>
  <c r="I39" i="99"/>
  <c r="Q39" i="99" s="1"/>
  <c r="H39" i="99"/>
  <c r="P39" i="99" s="1"/>
  <c r="J40" i="99"/>
  <c r="R40" i="99" s="1"/>
  <c r="K39" i="99"/>
  <c r="S39" i="99" s="1"/>
  <c r="E39" i="99"/>
  <c r="M39" i="99" s="1"/>
  <c r="K45" i="99"/>
  <c r="S45" i="99" s="1"/>
  <c r="F45" i="99"/>
  <c r="N45" i="99" s="1"/>
  <c r="D38" i="99"/>
  <c r="L38" i="99" s="1"/>
  <c r="E34" i="99"/>
  <c r="M34" i="99" s="1"/>
  <c r="F35" i="99"/>
  <c r="N35" i="99" s="1"/>
  <c r="G36" i="99"/>
  <c r="O36" i="99" s="1"/>
  <c r="I40" i="99"/>
  <c r="Q40" i="99" s="1"/>
  <c r="H40" i="99"/>
  <c r="P40" i="99" s="1"/>
  <c r="J41" i="99"/>
  <c r="R41" i="99" s="1"/>
  <c r="K40" i="99"/>
  <c r="S40" i="99" s="1"/>
  <c r="E40" i="99"/>
  <c r="M40" i="99" s="1"/>
  <c r="D44" i="99"/>
  <c r="L44" i="99" s="1"/>
  <c r="G44" i="99"/>
  <c r="O44" i="99" s="1"/>
  <c r="D39" i="99"/>
  <c r="L39" i="99" s="1"/>
  <c r="F36" i="99"/>
  <c r="N36" i="99" s="1"/>
  <c r="F46" i="99"/>
  <c r="N46" i="99" s="1"/>
  <c r="G37" i="99"/>
  <c r="O37" i="99" s="1"/>
  <c r="I41" i="99"/>
  <c r="Q41" i="99" s="1"/>
  <c r="H41" i="99"/>
  <c r="P41" i="99" s="1"/>
  <c r="K41" i="99"/>
  <c r="S41" i="99" s="1"/>
  <c r="E41" i="99"/>
  <c r="M41" i="99" s="1"/>
  <c r="E35" i="99"/>
  <c r="M35" i="99" s="1"/>
  <c r="G38" i="99"/>
  <c r="O38" i="99" s="1"/>
  <c r="I46" i="99"/>
  <c r="Q46" i="99" s="1"/>
  <c r="D47" i="97"/>
  <c r="K44" i="99"/>
  <c r="S44" i="99" s="1"/>
  <c r="G45" i="99"/>
  <c r="O45" i="99" s="1"/>
  <c r="D41" i="99"/>
  <c r="L41" i="99" s="1"/>
  <c r="F38" i="99"/>
  <c r="N38" i="99" s="1"/>
  <c r="G34" i="99"/>
  <c r="O34" i="99" s="1"/>
  <c r="D42" i="99"/>
  <c r="L42" i="99" s="1"/>
  <c r="K46" i="99"/>
  <c r="S46" i="99" s="1"/>
  <c r="E36" i="99"/>
  <c r="M36" i="99" s="1"/>
  <c r="E45" i="99"/>
  <c r="M45" i="99" s="1"/>
  <c r="H45" i="99"/>
  <c r="P45" i="99" s="1"/>
  <c r="J45" i="99"/>
  <c r="R45" i="99" s="1"/>
  <c r="G39" i="99"/>
  <c r="O39" i="99" s="1"/>
  <c r="F37" i="99"/>
  <c r="N37" i="99" s="1"/>
  <c r="I34" i="99"/>
  <c r="Q34" i="99" s="1"/>
  <c r="H35" i="99"/>
  <c r="P35" i="99" s="1"/>
  <c r="J36" i="99"/>
  <c r="R36" i="99" s="1"/>
  <c r="K35" i="99"/>
  <c r="S35" i="99" s="1"/>
  <c r="I45" i="99"/>
  <c r="Q45" i="99" s="1"/>
  <c r="J46" i="99"/>
  <c r="R46" i="99" s="1"/>
  <c r="I35" i="99"/>
  <c r="Q35" i="99" s="1"/>
  <c r="H44" i="99"/>
  <c r="P44" i="99" s="1"/>
  <c r="F39" i="99"/>
  <c r="N39" i="99" s="1"/>
  <c r="D40" i="99"/>
  <c r="L40" i="99" s="1"/>
  <c r="F47" i="97"/>
  <c r="F47" i="99"/>
  <c r="F42" i="99"/>
  <c r="N42" i="99" s="1"/>
  <c r="H42" i="100"/>
  <c r="P42" i="100" s="1"/>
  <c r="J58" i="99"/>
  <c r="R58" i="99" s="1"/>
  <c r="E58" i="99"/>
  <c r="M58" i="99" s="1"/>
  <c r="E63" i="97"/>
  <c r="E63" i="99"/>
  <c r="K43" i="93"/>
  <c r="S43" i="93" s="1"/>
  <c r="E43" i="93"/>
  <c r="M43" i="93" s="1"/>
  <c r="H43" i="99"/>
  <c r="P43" i="99" s="1"/>
  <c r="D59" i="93"/>
  <c r="L59" i="93" s="1"/>
  <c r="G59" i="99"/>
  <c r="O59" i="99" s="1"/>
  <c r="I59" i="99"/>
  <c r="Q59" i="99" s="1"/>
  <c r="K34" i="49"/>
  <c r="D47" i="51"/>
  <c r="K47" i="49"/>
  <c r="D63" i="51"/>
  <c r="AL24" i="101"/>
  <c r="AQ23" i="101"/>
  <c r="AM23" i="101"/>
  <c r="AQ24" i="101"/>
  <c r="K63" i="49"/>
  <c r="AO23" i="95"/>
  <c r="AL24" i="102"/>
  <c r="AM24" i="102"/>
  <c r="AM23" i="102"/>
  <c r="AM24" i="101"/>
  <c r="AO24" i="95"/>
  <c r="AN23" i="101"/>
  <c r="AP23" i="102"/>
  <c r="AN24" i="101"/>
  <c r="AO24" i="102"/>
  <c r="H55" i="49"/>
  <c r="P55" i="49" s="1"/>
  <c r="AB28" i="101"/>
  <c r="AJ28" i="101" s="1"/>
  <c r="AB28" i="102"/>
  <c r="AJ28" i="102" s="1"/>
  <c r="D59" i="49"/>
  <c r="L59" i="49" s="1"/>
  <c r="K52" i="49"/>
  <c r="S52" i="49" s="1"/>
  <c r="E57" i="49"/>
  <c r="M57" i="49" s="1"/>
  <c r="D62" i="49"/>
  <c r="L62" i="49" s="1"/>
  <c r="D57" i="49"/>
  <c r="L57" i="49" s="1"/>
  <c r="J57" i="49"/>
  <c r="R57" i="49" s="1"/>
  <c r="K56" i="49"/>
  <c r="S56" i="49" s="1"/>
  <c r="G56" i="49"/>
  <c r="O56" i="49" s="1"/>
  <c r="F50" i="49"/>
  <c r="N50" i="49" s="1"/>
  <c r="I54" i="49"/>
  <c r="Q54" i="49" s="1"/>
  <c r="AE27" i="101"/>
  <c r="AE27" i="102"/>
  <c r="G58" i="49"/>
  <c r="O58" i="49" s="1"/>
  <c r="E53" i="49"/>
  <c r="M53" i="49" s="1"/>
  <c r="AD27" i="102"/>
  <c r="AD27" i="101"/>
  <c r="F58" i="49"/>
  <c r="N58" i="49" s="1"/>
  <c r="AF28" i="102"/>
  <c r="AF28" i="101"/>
  <c r="H59" i="49"/>
  <c r="P59" i="49" s="1"/>
  <c r="AK24" i="95"/>
  <c r="F57" i="49"/>
  <c r="N57" i="49" s="1"/>
  <c r="E50" i="49"/>
  <c r="M50" i="49" s="1"/>
  <c r="F61" i="49"/>
  <c r="N61" i="49" s="1"/>
  <c r="I60" i="49"/>
  <c r="Q60" i="49" s="1"/>
  <c r="E60" i="49"/>
  <c r="M60" i="49" s="1"/>
  <c r="K50" i="49"/>
  <c r="S50" i="49" s="1"/>
  <c r="J52" i="49"/>
  <c r="R52" i="49" s="1"/>
  <c r="H56" i="49"/>
  <c r="P56" i="49" s="1"/>
  <c r="G51" i="49"/>
  <c r="O51" i="49" s="1"/>
  <c r="G55" i="49"/>
  <c r="O55" i="49" s="1"/>
  <c r="AO24" i="101"/>
  <c r="AO23" i="101"/>
  <c r="E54" i="49"/>
  <c r="M54" i="49" s="1"/>
  <c r="AP23" i="101"/>
  <c r="AC27" i="102"/>
  <c r="AC27" i="101"/>
  <c r="E58" i="49"/>
  <c r="M58" i="49" s="1"/>
  <c r="AI28" i="101"/>
  <c r="AI28" i="102"/>
  <c r="K59" i="49"/>
  <c r="S59" i="49" s="1"/>
  <c r="H62" i="49"/>
  <c r="P62" i="49" s="1"/>
  <c r="F52" i="49"/>
  <c r="N52" i="49" s="1"/>
  <c r="K51" i="49"/>
  <c r="S51" i="49" s="1"/>
  <c r="G60" i="49"/>
  <c r="O60" i="49" s="1"/>
  <c r="E61" i="49"/>
  <c r="M61" i="49" s="1"/>
  <c r="D52" i="49"/>
  <c r="L52" i="49" s="1"/>
  <c r="K57" i="49"/>
  <c r="S57" i="49" s="1"/>
  <c r="I57" i="49"/>
  <c r="Q57" i="49" s="1"/>
  <c r="H51" i="49"/>
  <c r="P51" i="49" s="1"/>
  <c r="J55" i="49"/>
  <c r="R55" i="49" s="1"/>
  <c r="AO23" i="102"/>
  <c r="F54" i="49"/>
  <c r="N54" i="49" s="1"/>
  <c r="AH28" i="102"/>
  <c r="AH28" i="101"/>
  <c r="J59" i="49"/>
  <c r="R59" i="49" s="1"/>
  <c r="I62" i="49"/>
  <c r="Q62" i="49" s="1"/>
  <c r="G53" i="49"/>
  <c r="O53" i="49" s="1"/>
  <c r="G50" i="49"/>
  <c r="O50" i="49" s="1"/>
  <c r="E52" i="49"/>
  <c r="M52" i="49" s="1"/>
  <c r="I51" i="49"/>
  <c r="Q51" i="49" s="1"/>
  <c r="K60" i="49"/>
  <c r="S60" i="49" s="1"/>
  <c r="E62" i="49"/>
  <c r="M62" i="49" s="1"/>
  <c r="J61" i="49"/>
  <c r="R61" i="49" s="1"/>
  <c r="I52" i="49"/>
  <c r="Q52" i="49" s="1"/>
  <c r="AP24" i="102"/>
  <c r="K55" i="49"/>
  <c r="S55" i="49" s="1"/>
  <c r="AK23" i="101"/>
  <c r="AL23" i="102"/>
  <c r="AF27" i="101"/>
  <c r="AF27" i="102"/>
  <c r="H58" i="49"/>
  <c r="P58" i="49" s="1"/>
  <c r="AG28" i="102"/>
  <c r="AG28" i="101"/>
  <c r="I59" i="49"/>
  <c r="Q59" i="49" s="1"/>
  <c r="I61" i="49"/>
  <c r="Q61" i="49" s="1"/>
  <c r="I56" i="49"/>
  <c r="Q56" i="49" s="1"/>
  <c r="H53" i="49"/>
  <c r="P53" i="49" s="1"/>
  <c r="F56" i="49"/>
  <c r="N56" i="49" s="1"/>
  <c r="F51" i="49"/>
  <c r="N51" i="49" s="1"/>
  <c r="E56" i="49"/>
  <c r="M56" i="49" s="1"/>
  <c r="D50" i="49"/>
  <c r="L50" i="49" s="1"/>
  <c r="D56" i="49"/>
  <c r="L56" i="49" s="1"/>
  <c r="J56" i="49"/>
  <c r="R56" i="49" s="1"/>
  <c r="H54" i="49"/>
  <c r="P54" i="49" s="1"/>
  <c r="K54" i="49"/>
  <c r="S54" i="49" s="1"/>
  <c r="AP24" i="101"/>
  <c r="AQ24" i="102"/>
  <c r="F55" i="49"/>
  <c r="N55" i="49" s="1"/>
  <c r="AL23" i="101"/>
  <c r="AD28" i="101"/>
  <c r="AD28" i="102"/>
  <c r="F59" i="49"/>
  <c r="N59" i="49" s="1"/>
  <c r="J51" i="49"/>
  <c r="R51" i="49" s="1"/>
  <c r="K62" i="49"/>
  <c r="S62" i="49" s="1"/>
  <c r="H50" i="49"/>
  <c r="P50" i="49" s="1"/>
  <c r="G57" i="49"/>
  <c r="O57" i="49" s="1"/>
  <c r="G52" i="49"/>
  <c r="O52" i="49" s="1"/>
  <c r="G62" i="49"/>
  <c r="O62" i="49" s="1"/>
  <c r="I50" i="49"/>
  <c r="Q50" i="49" s="1"/>
  <c r="J60" i="49"/>
  <c r="R60" i="49" s="1"/>
  <c r="K61" i="49"/>
  <c r="S61" i="49" s="1"/>
  <c r="AQ23" i="102"/>
  <c r="D55" i="49"/>
  <c r="L55" i="49" s="1"/>
  <c r="E55" i="49"/>
  <c r="M55" i="49" s="1"/>
  <c r="AI27" i="102"/>
  <c r="AI27" i="101"/>
  <c r="K58" i="49"/>
  <c r="S58" i="49" s="1"/>
  <c r="AC28" i="101"/>
  <c r="AC28" i="102"/>
  <c r="E59" i="49"/>
  <c r="M59" i="49" s="1"/>
  <c r="D51" i="49"/>
  <c r="L51" i="49" s="1"/>
  <c r="D61" i="49"/>
  <c r="L61" i="49" s="1"/>
  <c r="D53" i="49"/>
  <c r="L53" i="49" s="1"/>
  <c r="J50" i="49"/>
  <c r="R50" i="49" s="1"/>
  <c r="H57" i="49"/>
  <c r="P57" i="49" s="1"/>
  <c r="H52" i="49"/>
  <c r="P52" i="49" s="1"/>
  <c r="G61" i="49"/>
  <c r="O61" i="49" s="1"/>
  <c r="E51" i="49"/>
  <c r="M51" i="49" s="1"/>
  <c r="F62" i="49"/>
  <c r="N62" i="49" s="1"/>
  <c r="D54" i="49"/>
  <c r="L54" i="49" s="1"/>
  <c r="AN23" i="102"/>
  <c r="AK24" i="101"/>
  <c r="AG27" i="102"/>
  <c r="AG27" i="101"/>
  <c r="I58" i="49"/>
  <c r="Q58" i="49" s="1"/>
  <c r="AB27" i="102"/>
  <c r="AJ27" i="102" s="1"/>
  <c r="AB27" i="101"/>
  <c r="AJ27" i="101" s="1"/>
  <c r="D58" i="49"/>
  <c r="L58" i="49" s="1"/>
  <c r="AH27" i="102"/>
  <c r="AH27" i="101"/>
  <c r="J58" i="49"/>
  <c r="R58" i="49" s="1"/>
  <c r="AE28" i="102"/>
  <c r="AE28" i="101"/>
  <c r="G59" i="49"/>
  <c r="O59" i="49" s="1"/>
  <c r="AP24" i="95"/>
  <c r="AN24" i="95"/>
  <c r="F60" i="49"/>
  <c r="N60" i="49" s="1"/>
  <c r="D60" i="49"/>
  <c r="L60" i="49" s="1"/>
  <c r="H60" i="49"/>
  <c r="P60" i="49" s="1"/>
  <c r="J53" i="49"/>
  <c r="R53" i="49" s="1"/>
  <c r="J62" i="49"/>
  <c r="R62" i="49" s="1"/>
  <c r="I53" i="49"/>
  <c r="Q53" i="49" s="1"/>
  <c r="H61" i="49"/>
  <c r="P61" i="49" s="1"/>
  <c r="F53" i="49"/>
  <c r="N53" i="49" s="1"/>
  <c r="K53" i="49"/>
  <c r="S53" i="49" s="1"/>
  <c r="AK23" i="102"/>
  <c r="AJ23" i="102"/>
  <c r="I55" i="49"/>
  <c r="Q55" i="49" s="1"/>
  <c r="G54" i="49"/>
  <c r="O54" i="49" s="1"/>
  <c r="AN24" i="102"/>
  <c r="J54" i="49"/>
  <c r="R54" i="49" s="1"/>
  <c r="AK24" i="102"/>
  <c r="AM23" i="95"/>
  <c r="AL24" i="95"/>
  <c r="AN23" i="95"/>
  <c r="AP23" i="95"/>
  <c r="AB27" i="95"/>
  <c r="AJ27" i="95" s="1"/>
  <c r="AD28" i="95"/>
  <c r="AI28" i="95"/>
  <c r="AG27" i="95"/>
  <c r="AI27" i="95"/>
  <c r="E37" i="49"/>
  <c r="M37" i="49" s="1"/>
  <c r="AC28" i="95"/>
  <c r="AH28" i="95"/>
  <c r="AF27" i="95"/>
  <c r="AE28" i="95"/>
  <c r="AL23" i="95"/>
  <c r="AM24" i="95"/>
  <c r="AG28" i="95"/>
  <c r="AH27" i="95"/>
  <c r="AE27" i="95"/>
  <c r="F43" i="49"/>
  <c r="N43" i="49" s="1"/>
  <c r="AB28" i="95"/>
  <c r="AJ28" i="95" s="1"/>
  <c r="AK23" i="95"/>
  <c r="AQ23" i="95"/>
  <c r="AC27" i="95"/>
  <c r="AQ24" i="95"/>
  <c r="AD27" i="95"/>
  <c r="AF28" i="95"/>
  <c r="D42" i="49"/>
  <c r="L42" i="49" s="1"/>
  <c r="E43" i="49"/>
  <c r="M43" i="49" s="1"/>
  <c r="H42" i="49"/>
  <c r="P42" i="49" s="1"/>
  <c r="G37" i="49"/>
  <c r="O37" i="49" s="1"/>
  <c r="E40" i="49"/>
  <c r="M40" i="49" s="1"/>
  <c r="K37" i="49"/>
  <c r="S37" i="49" s="1"/>
  <c r="S34" i="49"/>
  <c r="G44" i="49"/>
  <c r="O44" i="49" s="1"/>
  <c r="K39" i="49"/>
  <c r="S39" i="49" s="1"/>
  <c r="J35" i="49"/>
  <c r="R35" i="49" s="1"/>
  <c r="H40" i="49"/>
  <c r="P40" i="49" s="1"/>
  <c r="J43" i="49"/>
  <c r="R43" i="49" s="1"/>
  <c r="I42" i="49"/>
  <c r="Q42" i="49" s="1"/>
  <c r="I39" i="49"/>
  <c r="Q39" i="49" s="1"/>
  <c r="K36" i="49"/>
  <c r="S36" i="49" s="1"/>
  <c r="J46" i="49"/>
  <c r="R46" i="49" s="1"/>
  <c r="I40" i="49"/>
  <c r="Q40" i="49" s="1"/>
  <c r="G46" i="49"/>
  <c r="O46" i="49" s="1"/>
  <c r="I43" i="49"/>
  <c r="Q43" i="49" s="1"/>
  <c r="G42" i="49"/>
  <c r="O42" i="49" s="1"/>
  <c r="F36" i="49"/>
  <c r="N36" i="49" s="1"/>
  <c r="H46" i="49"/>
  <c r="P46" i="49" s="1"/>
  <c r="H37" i="49"/>
  <c r="P37" i="49" s="1"/>
  <c r="D35" i="49"/>
  <c r="L35" i="49" s="1"/>
  <c r="E47" i="49"/>
  <c r="F35" i="49"/>
  <c r="N35" i="49" s="1"/>
  <c r="H45" i="49"/>
  <c r="P45" i="49" s="1"/>
  <c r="E38" i="49"/>
  <c r="M38" i="49" s="1"/>
  <c r="J39" i="49"/>
  <c r="R39" i="49" s="1"/>
  <c r="G41" i="49"/>
  <c r="O41" i="49" s="1"/>
  <c r="G40" i="49"/>
  <c r="O40" i="49" s="1"/>
  <c r="D37" i="49"/>
  <c r="L37" i="49" s="1"/>
  <c r="J36" i="49"/>
  <c r="R36" i="49" s="1"/>
  <c r="I37" i="49"/>
  <c r="Q37" i="49" s="1"/>
  <c r="E45" i="49"/>
  <c r="M45" i="49" s="1"/>
  <c r="E44" i="49"/>
  <c r="M44" i="49" s="1"/>
  <c r="E35" i="49"/>
  <c r="M35" i="49" s="1"/>
  <c r="J41" i="49"/>
  <c r="R41" i="49" s="1"/>
  <c r="H39" i="49"/>
  <c r="P39" i="49" s="1"/>
  <c r="F38" i="49"/>
  <c r="N38" i="49" s="1"/>
  <c r="H36" i="49"/>
  <c r="P36" i="49" s="1"/>
  <c r="H35" i="49"/>
  <c r="P35" i="49" s="1"/>
  <c r="J45" i="49"/>
  <c r="R45" i="49" s="1"/>
  <c r="D36" i="49"/>
  <c r="L36" i="49" s="1"/>
  <c r="J34" i="49"/>
  <c r="R34" i="49" s="1"/>
  <c r="F41" i="49"/>
  <c r="N41" i="49" s="1"/>
  <c r="G45" i="49"/>
  <c r="O45" i="49" s="1"/>
  <c r="E41" i="49"/>
  <c r="M41" i="49" s="1"/>
  <c r="K46" i="49"/>
  <c r="S46" i="49" s="1"/>
  <c r="H38" i="49"/>
  <c r="P38" i="49" s="1"/>
  <c r="H43" i="49"/>
  <c r="P43" i="49" s="1"/>
  <c r="K42" i="49"/>
  <c r="S42" i="49" s="1"/>
  <c r="G39" i="49"/>
  <c r="O39" i="49" s="1"/>
  <c r="J40" i="49"/>
  <c r="R40" i="49" s="1"/>
  <c r="J37" i="49"/>
  <c r="R37" i="49" s="1"/>
  <c r="F45" i="49"/>
  <c r="N45" i="49" s="1"/>
  <c r="H44" i="49"/>
  <c r="P44" i="49" s="1"/>
  <c r="K35" i="49"/>
  <c r="S35" i="49" s="1"/>
  <c r="I41" i="49"/>
  <c r="Q41" i="49" s="1"/>
  <c r="K44" i="49"/>
  <c r="S44" i="49" s="1"/>
  <c r="J44" i="49"/>
  <c r="R44" i="49" s="1"/>
  <c r="E36" i="49"/>
  <c r="M36" i="49" s="1"/>
  <c r="G38" i="49"/>
  <c r="O38" i="49" s="1"/>
  <c r="G43" i="49"/>
  <c r="O43" i="49" s="1"/>
  <c r="F42" i="49"/>
  <c r="N42" i="49" s="1"/>
  <c r="D46" i="49"/>
  <c r="L46" i="49" s="1"/>
  <c r="K41" i="49"/>
  <c r="S41" i="49" s="1"/>
  <c r="K40" i="49"/>
  <c r="S40" i="49" s="1"/>
  <c r="G36" i="49"/>
  <c r="O36" i="49" s="1"/>
  <c r="D44" i="49"/>
  <c r="L44" i="49" s="1"/>
  <c r="I44" i="49"/>
  <c r="Q44" i="49" s="1"/>
  <c r="I35" i="49"/>
  <c r="Q35" i="49" s="1"/>
  <c r="F40" i="49"/>
  <c r="N40" i="49" s="1"/>
  <c r="D45" i="49"/>
  <c r="L45" i="49" s="1"/>
  <c r="D38" i="49"/>
  <c r="L38" i="49" s="1"/>
  <c r="F39" i="49"/>
  <c r="N39" i="49" s="1"/>
  <c r="K43" i="49"/>
  <c r="S43" i="49" s="1"/>
  <c r="E42" i="49"/>
  <c r="M42" i="49" s="1"/>
  <c r="D34" i="49"/>
  <c r="L34" i="49" s="1"/>
  <c r="D41" i="49"/>
  <c r="L41" i="49" s="1"/>
  <c r="D40" i="49"/>
  <c r="L40" i="49" s="1"/>
  <c r="G35" i="49"/>
  <c r="O35" i="49" s="1"/>
  <c r="F46" i="49"/>
  <c r="N46" i="49" s="1"/>
  <c r="F34" i="49"/>
  <c r="N34" i="49" s="1"/>
  <c r="H41" i="49"/>
  <c r="P41" i="49" s="1"/>
  <c r="I36" i="49"/>
  <c r="Q36" i="49" s="1"/>
  <c r="E46" i="49"/>
  <c r="M46" i="49" s="1"/>
  <c r="D39" i="49"/>
  <c r="L39" i="49" s="1"/>
  <c r="K38" i="49"/>
  <c r="S38" i="49" s="1"/>
  <c r="D43" i="49"/>
  <c r="L43" i="49" s="1"/>
  <c r="J42" i="49"/>
  <c r="R42" i="49" s="1"/>
  <c r="J38" i="49"/>
  <c r="R38" i="49" s="1"/>
  <c r="I45" i="49"/>
  <c r="Q45" i="49" s="1"/>
  <c r="K45" i="49"/>
  <c r="S45" i="49" s="1"/>
  <c r="F44" i="49"/>
  <c r="N44" i="49" s="1"/>
  <c r="I46" i="49"/>
  <c r="Q46" i="49" s="1"/>
  <c r="G34" i="49"/>
  <c r="O34" i="49" s="1"/>
  <c r="H34" i="49"/>
  <c r="P34" i="49" s="1"/>
  <c r="I34" i="49"/>
  <c r="Q34" i="49" s="1"/>
  <c r="E34" i="49"/>
  <c r="M34" i="49" s="1"/>
  <c r="F37" i="49"/>
  <c r="N37" i="49" s="1"/>
  <c r="E39" i="49"/>
  <c r="M39" i="49" s="1"/>
  <c r="I38" i="49"/>
  <c r="Q38" i="49" s="1"/>
  <c r="E63" i="49"/>
  <c r="H63" i="49"/>
  <c r="F47" i="49"/>
  <c r="G63" i="49"/>
  <c r="G47" i="49"/>
  <c r="I47" i="49"/>
  <c r="I63" i="49"/>
  <c r="F63" i="49"/>
  <c r="J47" i="49"/>
  <c r="H47" i="49"/>
  <c r="J63" i="49"/>
  <c r="AF22" i="67"/>
  <c r="AF29" i="67"/>
  <c r="AG21" i="67"/>
  <c r="AE28" i="67"/>
  <c r="AH26" i="67"/>
  <c r="AH25" i="67"/>
  <c r="AI20" i="67"/>
  <c r="AI27" i="67"/>
  <c r="AI23" i="67"/>
  <c r="AI31" i="67"/>
  <c r="AE29" i="67"/>
  <c r="AF31" i="67"/>
  <c r="AE31" i="67"/>
  <c r="AB28" i="67"/>
  <c r="AJ28" i="67" s="1"/>
  <c r="AI22" i="67"/>
  <c r="AG26" i="67"/>
  <c r="AH24" i="67"/>
  <c r="AF27" i="67"/>
  <c r="AG29" i="67"/>
  <c r="AH28" i="67"/>
  <c r="AF25" i="67"/>
  <c r="AB27" i="67"/>
  <c r="AJ27" i="67" s="1"/>
  <c r="AI21" i="67"/>
  <c r="AE27" i="67"/>
  <c r="AH20" i="67"/>
  <c r="AE24" i="67"/>
  <c r="AE25" i="67"/>
  <c r="AI29" i="67"/>
  <c r="AF24" i="67"/>
  <c r="AE19" i="67"/>
  <c r="AE21" i="67"/>
  <c r="AH22" i="67"/>
  <c r="AE22" i="67"/>
  <c r="AG25" i="67"/>
  <c r="AI28" i="67"/>
  <c r="AI30" i="67"/>
  <c r="AE20" i="67"/>
  <c r="AH31" i="67"/>
  <c r="AG27" i="67"/>
  <c r="AG28" i="67"/>
  <c r="AF23" i="67"/>
  <c r="AE30" i="67"/>
  <c r="AG31" i="67"/>
  <c r="AE23" i="67"/>
  <c r="AF20" i="67"/>
  <c r="AG24" i="67"/>
  <c r="AG20" i="67"/>
  <c r="AG30" i="67"/>
  <c r="AI25" i="67"/>
  <c r="AF26" i="67"/>
  <c r="AH30" i="67"/>
  <c r="AH19" i="67"/>
  <c r="AF30" i="67"/>
  <c r="AI24" i="67"/>
  <c r="AH29" i="67"/>
  <c r="AE26" i="67"/>
  <c r="AG22" i="67"/>
  <c r="AI26" i="67"/>
  <c r="AF28" i="67"/>
  <c r="AH27" i="67"/>
  <c r="AF21" i="67"/>
  <c r="AG19" i="67"/>
  <c r="AF19" i="67"/>
  <c r="AH21" i="67"/>
  <c r="AG23" i="67"/>
  <c r="AH23" i="67"/>
  <c r="AI19" i="67"/>
  <c r="V10" i="58"/>
  <c r="O10" i="58"/>
  <c r="X10" i="58" s="1"/>
  <c r="V11" i="58"/>
  <c r="O11" i="58"/>
  <c r="X11" i="58" s="1"/>
  <c r="O7" i="58"/>
  <c r="X7" i="58" s="1"/>
  <c r="V7" i="58"/>
  <c r="V6" i="58"/>
  <c r="O6" i="58"/>
  <c r="X6" i="58" s="1"/>
  <c r="L7" i="58"/>
  <c r="U7" i="58" s="1"/>
  <c r="H58" i="93" l="1"/>
  <c r="P58" i="93" s="1"/>
  <c r="P63" i="93" s="1"/>
  <c r="H63" i="100"/>
  <c r="H42" i="93"/>
  <c r="P42" i="93" s="1"/>
  <c r="P47" i="93" s="1"/>
  <c r="I42" i="94"/>
  <c r="H47" i="94"/>
  <c r="K58" i="97"/>
  <c r="J63" i="97"/>
  <c r="I58" i="98"/>
  <c r="H63" i="98"/>
  <c r="I42" i="98"/>
  <c r="H47" i="98"/>
  <c r="I58" i="94"/>
  <c r="H63" i="94"/>
  <c r="M47" i="100"/>
  <c r="Q47" i="99"/>
  <c r="L47" i="100"/>
  <c r="T47" i="100" s="1"/>
  <c r="N47" i="93"/>
  <c r="P63" i="99"/>
  <c r="O47" i="99"/>
  <c r="N47" i="99"/>
  <c r="R47" i="99"/>
  <c r="L63" i="93"/>
  <c r="L47" i="93"/>
  <c r="T47" i="93" s="1"/>
  <c r="P63" i="100"/>
  <c r="M63" i="93"/>
  <c r="L63" i="99"/>
  <c r="M63" i="100"/>
  <c r="P47" i="100"/>
  <c r="N63" i="93"/>
  <c r="M47" i="93"/>
  <c r="O47" i="93"/>
  <c r="L47" i="99"/>
  <c r="T47" i="99" s="1"/>
  <c r="O47" i="100"/>
  <c r="O63" i="93"/>
  <c r="Q63" i="99"/>
  <c r="N63" i="99"/>
  <c r="N63" i="100"/>
  <c r="P47" i="99"/>
  <c r="R63" i="99"/>
  <c r="O63" i="100"/>
  <c r="L63" i="100"/>
  <c r="T63" i="100" s="1"/>
  <c r="T59" i="100" s="1"/>
  <c r="M47" i="99"/>
  <c r="M63" i="99"/>
  <c r="S47" i="99"/>
  <c r="N47" i="100"/>
  <c r="O63" i="99"/>
  <c r="AO28" i="102"/>
  <c r="AK28" i="102"/>
  <c r="AM27" i="101"/>
  <c r="AK28" i="95"/>
  <c r="AL28" i="102"/>
  <c r="AM28" i="102"/>
  <c r="AO27" i="101"/>
  <c r="AK28" i="101"/>
  <c r="AK27" i="101"/>
  <c r="AO27" i="102"/>
  <c r="AM27" i="102"/>
  <c r="AN28" i="95"/>
  <c r="AM28" i="95"/>
  <c r="AO28" i="101"/>
  <c r="AK27" i="95"/>
  <c r="AQ28" i="102"/>
  <c r="Q63" i="49"/>
  <c r="AK27" i="102"/>
  <c r="AP27" i="101"/>
  <c r="R63" i="49"/>
  <c r="AQ27" i="101"/>
  <c r="AL28" i="101"/>
  <c r="O63" i="49"/>
  <c r="S63" i="49"/>
  <c r="AN28" i="101"/>
  <c r="Q47" i="49"/>
  <c r="R47" i="49"/>
  <c r="AO28" i="95"/>
  <c r="AP27" i="102"/>
  <c r="AQ27" i="102"/>
  <c r="L63" i="49"/>
  <c r="AN28" i="102"/>
  <c r="M47" i="49"/>
  <c r="N47" i="49"/>
  <c r="N63" i="49"/>
  <c r="L47" i="49"/>
  <c r="T47" i="49" s="1"/>
  <c r="O47" i="49"/>
  <c r="P63" i="49"/>
  <c r="AL27" i="101"/>
  <c r="S47" i="49"/>
  <c r="AN27" i="102"/>
  <c r="AP28" i="101"/>
  <c r="AQ28" i="101"/>
  <c r="M63" i="49"/>
  <c r="AL27" i="102"/>
  <c r="P47" i="49"/>
  <c r="AM28" i="101"/>
  <c r="AN27" i="101"/>
  <c r="AP28" i="102"/>
  <c r="AM27" i="95"/>
  <c r="AP27" i="95"/>
  <c r="AQ28" i="95"/>
  <c r="AL28" i="95"/>
  <c r="AP28" i="95"/>
  <c r="AQ27" i="95"/>
  <c r="AN27" i="95"/>
  <c r="AL27" i="95"/>
  <c r="AO27" i="95"/>
  <c r="AQ26" i="67"/>
  <c r="AN22" i="67"/>
  <c r="AC5" i="58" s="1"/>
  <c r="AO22" i="67"/>
  <c r="AD5" i="58" s="1"/>
  <c r="AO25" i="67"/>
  <c r="AO29" i="67"/>
  <c r="AD12" i="58" s="1"/>
  <c r="AP21" i="67"/>
  <c r="AE4" i="58" s="1"/>
  <c r="AP31" i="67"/>
  <c r="AE14" i="58" s="1"/>
  <c r="AQ27" i="67"/>
  <c r="AQ25" i="67"/>
  <c r="N11" i="58"/>
  <c r="W11" i="58" s="1"/>
  <c r="AN29" i="67"/>
  <c r="AC12" i="58" s="1"/>
  <c r="AN31" i="67"/>
  <c r="AC14" i="58" s="1"/>
  <c r="AQ28" i="67"/>
  <c r="AQ21" i="67"/>
  <c r="AF4" i="58" s="1"/>
  <c r="AN27" i="67"/>
  <c r="AQ23" i="67"/>
  <c r="AP19" i="67"/>
  <c r="AE2" i="58" s="1"/>
  <c r="AN24" i="67"/>
  <c r="AO23" i="67"/>
  <c r="AN28" i="67"/>
  <c r="AP30" i="67"/>
  <c r="AE13" i="58" s="1"/>
  <c r="AN20" i="67"/>
  <c r="AC3" i="58" s="1"/>
  <c r="AQ31" i="67"/>
  <c r="AF14" i="58" s="1"/>
  <c r="AO19" i="67"/>
  <c r="AD2" i="58" s="1"/>
  <c r="AQ22" i="67"/>
  <c r="AF5" i="58" s="1"/>
  <c r="AO30" i="67"/>
  <c r="AD13" i="58" s="1"/>
  <c r="AP22" i="67"/>
  <c r="AE5" i="58" s="1"/>
  <c r="AQ24" i="67"/>
  <c r="N10" i="58"/>
  <c r="W10" i="58" s="1"/>
  <c r="AQ20" i="67"/>
  <c r="AF3" i="58" s="1"/>
  <c r="AO28" i="67"/>
  <c r="AN19" i="67"/>
  <c r="AC2" i="58" s="1"/>
  <c r="AN26" i="67"/>
  <c r="AO27" i="67"/>
  <c r="AQ29" i="67"/>
  <c r="AF12" i="58" s="1"/>
  <c r="AP24" i="67"/>
  <c r="AO26" i="67"/>
  <c r="AN21" i="67"/>
  <c r="AC4" i="58" s="1"/>
  <c r="AO21" i="67"/>
  <c r="AD4" i="58" s="1"/>
  <c r="AO20" i="67"/>
  <c r="AD3" i="58" s="1"/>
  <c r="AO31" i="67"/>
  <c r="AD14" i="58" s="1"/>
  <c r="AP29" i="67"/>
  <c r="AE12" i="58" s="1"/>
  <c r="AQ19" i="67"/>
  <c r="AF2" i="58" s="1"/>
  <c r="AO24" i="67"/>
  <c r="AP20" i="67"/>
  <c r="AE3" i="58" s="1"/>
  <c r="AN25" i="67"/>
  <c r="AP26" i="67"/>
  <c r="AP25" i="67"/>
  <c r="AP23" i="67"/>
  <c r="AP27" i="67"/>
  <c r="AN30" i="67"/>
  <c r="AC13" i="58" s="1"/>
  <c r="AN23" i="67"/>
  <c r="AQ30" i="67"/>
  <c r="AF13" i="58" s="1"/>
  <c r="AP28" i="67"/>
  <c r="N6" i="58"/>
  <c r="W6" i="58" s="1"/>
  <c r="N7" i="58"/>
  <c r="W7" i="58" s="1"/>
  <c r="T37" i="100" l="1"/>
  <c r="D22" i="102" s="1"/>
  <c r="T34" i="100"/>
  <c r="D19" i="102" s="1"/>
  <c r="J42" i="98"/>
  <c r="I47" i="98"/>
  <c r="I42" i="100"/>
  <c r="Q42" i="100" s="1"/>
  <c r="Q47" i="100" s="1"/>
  <c r="Y47" i="100" s="1"/>
  <c r="I47" i="100"/>
  <c r="J58" i="98"/>
  <c r="I63" i="98"/>
  <c r="I63" i="100"/>
  <c r="I58" i="100"/>
  <c r="Q58" i="100" s="1"/>
  <c r="Q63" i="100" s="1"/>
  <c r="Y63" i="100" s="1"/>
  <c r="Y57" i="100" s="1"/>
  <c r="K63" i="97"/>
  <c r="K58" i="99"/>
  <c r="S58" i="99" s="1"/>
  <c r="S63" i="99" s="1"/>
  <c r="AA63" i="99" s="1"/>
  <c r="AA57" i="99" s="1"/>
  <c r="K63" i="99"/>
  <c r="J58" i="94"/>
  <c r="I63" i="94"/>
  <c r="I63" i="93"/>
  <c r="I58" i="93"/>
  <c r="Q58" i="93" s="1"/>
  <c r="Q63" i="93" s="1"/>
  <c r="Y63" i="93" s="1"/>
  <c r="Y52" i="93" s="1"/>
  <c r="J42" i="94"/>
  <c r="I47" i="94"/>
  <c r="I42" i="93"/>
  <c r="Q42" i="93" s="1"/>
  <c r="Q47" i="93" s="1"/>
  <c r="Y47" i="93" s="1"/>
  <c r="Y38" i="93" s="1"/>
  <c r="I23" i="95" s="1"/>
  <c r="I47" i="93"/>
  <c r="T38" i="100"/>
  <c r="D23" i="102" s="1"/>
  <c r="T41" i="100"/>
  <c r="D26" i="102" s="1"/>
  <c r="T42" i="100"/>
  <c r="D27" i="102" s="1"/>
  <c r="T39" i="100"/>
  <c r="D24" i="102" s="1"/>
  <c r="T58" i="100"/>
  <c r="T39" i="93"/>
  <c r="D24" i="95" s="1"/>
  <c r="X47" i="93"/>
  <c r="X41" i="93" s="1"/>
  <c r="H26" i="95" s="1"/>
  <c r="T46" i="100"/>
  <c r="D31" i="102" s="1"/>
  <c r="W63" i="99"/>
  <c r="W60" i="99" s="1"/>
  <c r="U63" i="99"/>
  <c r="U51" i="99" s="1"/>
  <c r="X47" i="100"/>
  <c r="X37" i="100" s="1"/>
  <c r="H22" i="102" s="1"/>
  <c r="T43" i="100"/>
  <c r="D28" i="102" s="1"/>
  <c r="Y63" i="99"/>
  <c r="Y56" i="99" s="1"/>
  <c r="T62" i="100"/>
  <c r="T43" i="93"/>
  <c r="D28" i="95" s="1"/>
  <c r="T38" i="99"/>
  <c r="D23" i="101" s="1"/>
  <c r="T36" i="93"/>
  <c r="D21" i="95" s="1"/>
  <c r="T39" i="99"/>
  <c r="D24" i="101" s="1"/>
  <c r="X47" i="99"/>
  <c r="X45" i="99" s="1"/>
  <c r="H30" i="101" s="1"/>
  <c r="X30" i="101" s="1"/>
  <c r="T36" i="99"/>
  <c r="D21" i="101" s="1"/>
  <c r="T40" i="93"/>
  <c r="D25" i="95" s="1"/>
  <c r="T37" i="93"/>
  <c r="D22" i="95" s="1"/>
  <c r="T45" i="99"/>
  <c r="D30" i="101" s="1"/>
  <c r="T35" i="99"/>
  <c r="D20" i="101" s="1"/>
  <c r="T44" i="93"/>
  <c r="D29" i="95" s="1"/>
  <c r="T41" i="93"/>
  <c r="D26" i="95" s="1"/>
  <c r="T44" i="99"/>
  <c r="D29" i="101" s="1"/>
  <c r="T46" i="99"/>
  <c r="D31" i="101" s="1"/>
  <c r="T42" i="93"/>
  <c r="D27" i="95" s="1"/>
  <c r="T35" i="93"/>
  <c r="D20" i="95" s="1"/>
  <c r="T46" i="93"/>
  <c r="D31" i="95" s="1"/>
  <c r="T45" i="100"/>
  <c r="D30" i="102" s="1"/>
  <c r="T44" i="100"/>
  <c r="D29" i="102" s="1"/>
  <c r="V47" i="100"/>
  <c r="V39" i="100" s="1"/>
  <c r="F24" i="102" s="1"/>
  <c r="T36" i="100"/>
  <c r="D21" i="102" s="1"/>
  <c r="T34" i="99"/>
  <c r="D19" i="101" s="1"/>
  <c r="U47" i="93"/>
  <c r="U39" i="93" s="1"/>
  <c r="E24" i="95" s="1"/>
  <c r="U24" i="95" s="1"/>
  <c r="T34" i="93"/>
  <c r="D19" i="95" s="1"/>
  <c r="T40" i="100"/>
  <c r="D25" i="102" s="1"/>
  <c r="T45" i="93"/>
  <c r="D30" i="95" s="1"/>
  <c r="Z47" i="99"/>
  <c r="Z44" i="99" s="1"/>
  <c r="J29" i="101" s="1"/>
  <c r="W47" i="93"/>
  <c r="W35" i="93" s="1"/>
  <c r="G20" i="95" s="1"/>
  <c r="V63" i="93"/>
  <c r="V61" i="93" s="1"/>
  <c r="V63" i="99"/>
  <c r="V62" i="99" s="1"/>
  <c r="U47" i="99"/>
  <c r="U43" i="99" s="1"/>
  <c r="E28" i="101" s="1"/>
  <c r="W63" i="93"/>
  <c r="W54" i="93" s="1"/>
  <c r="W47" i="100"/>
  <c r="W43" i="100" s="1"/>
  <c r="G28" i="102" s="1"/>
  <c r="T63" i="99"/>
  <c r="T59" i="99" s="1"/>
  <c r="X63" i="99"/>
  <c r="X57" i="99" s="1"/>
  <c r="U47" i="100"/>
  <c r="U43" i="100" s="1"/>
  <c r="E28" i="102" s="1"/>
  <c r="T50" i="100"/>
  <c r="T57" i="100"/>
  <c r="T54" i="100"/>
  <c r="U63" i="93"/>
  <c r="W47" i="99"/>
  <c r="W36" i="99" s="1"/>
  <c r="G21" i="101" s="1"/>
  <c r="V47" i="93"/>
  <c r="W63" i="100"/>
  <c r="W59" i="100" s="1"/>
  <c r="T56" i="100"/>
  <c r="T55" i="100"/>
  <c r="T51" i="100"/>
  <c r="V47" i="99"/>
  <c r="V39" i="99" s="1"/>
  <c r="F24" i="101" s="1"/>
  <c r="T40" i="99"/>
  <c r="D25" i="101" s="1"/>
  <c r="Z63" i="99"/>
  <c r="Z60" i="99" s="1"/>
  <c r="X63" i="100"/>
  <c r="X58" i="100" s="1"/>
  <c r="X63" i="93"/>
  <c r="X53" i="93" s="1"/>
  <c r="T37" i="99"/>
  <c r="D22" i="101" s="1"/>
  <c r="Y47" i="99"/>
  <c r="Y40" i="99" s="1"/>
  <c r="I25" i="101" s="1"/>
  <c r="T35" i="100"/>
  <c r="D20" i="102" s="1"/>
  <c r="T61" i="100"/>
  <c r="AA47" i="99"/>
  <c r="AA43" i="99" s="1"/>
  <c r="K28" i="101" s="1"/>
  <c r="T52" i="100"/>
  <c r="T38" i="93"/>
  <c r="D23" i="95" s="1"/>
  <c r="T63" i="93"/>
  <c r="T59" i="93" s="1"/>
  <c r="T60" i="100"/>
  <c r="T53" i="100"/>
  <c r="V63" i="100"/>
  <c r="V62" i="100" s="1"/>
  <c r="T41" i="99"/>
  <c r="D26" i="101" s="1"/>
  <c r="U63" i="100"/>
  <c r="U53" i="100" s="1"/>
  <c r="T43" i="99"/>
  <c r="D28" i="101" s="1"/>
  <c r="T42" i="99"/>
  <c r="D27" i="101" s="1"/>
  <c r="W47" i="49"/>
  <c r="W45" i="49" s="1"/>
  <c r="G30" i="67" s="1"/>
  <c r="W30" i="67" s="1"/>
  <c r="X47" i="49"/>
  <c r="X41" i="49" s="1"/>
  <c r="H26" i="67" s="1"/>
  <c r="V63" i="49"/>
  <c r="V55" i="49" s="1"/>
  <c r="V47" i="49"/>
  <c r="V41" i="49" s="1"/>
  <c r="F26" i="67" s="1"/>
  <c r="AA63" i="49"/>
  <c r="AA58" i="49" s="1"/>
  <c r="T63" i="49"/>
  <c r="U63" i="49"/>
  <c r="U54" i="49" s="1"/>
  <c r="W63" i="49"/>
  <c r="W62" i="49" s="1"/>
  <c r="U47" i="49"/>
  <c r="U35" i="49" s="1"/>
  <c r="E20" i="67" s="1"/>
  <c r="Y47" i="49"/>
  <c r="Y34" i="49" s="1"/>
  <c r="I19" i="67" s="1"/>
  <c r="Z63" i="49"/>
  <c r="Z57" i="49" s="1"/>
  <c r="X63" i="49"/>
  <c r="X55" i="49" s="1"/>
  <c r="Y63" i="49"/>
  <c r="Y56" i="49" s="1"/>
  <c r="AA47" i="49"/>
  <c r="AA36" i="49" s="1"/>
  <c r="K21" i="67" s="1"/>
  <c r="Z47" i="49"/>
  <c r="AC27" i="67"/>
  <c r="AK27" i="67" s="1"/>
  <c r="AD29" i="67"/>
  <c r="X40" i="100" l="1"/>
  <c r="H25" i="102" s="1"/>
  <c r="X25" i="102" s="1"/>
  <c r="X34" i="100"/>
  <c r="H19" i="102" s="1"/>
  <c r="W56" i="99"/>
  <c r="X39" i="100"/>
  <c r="H24" i="102" s="1"/>
  <c r="X24" i="102" s="1"/>
  <c r="X35" i="100"/>
  <c r="H20" i="102" s="1"/>
  <c r="X20" i="102" s="1"/>
  <c r="V38" i="100"/>
  <c r="F23" i="102" s="1"/>
  <c r="X43" i="93"/>
  <c r="H28" i="95" s="1"/>
  <c r="X28" i="95" s="1"/>
  <c r="V36" i="100"/>
  <c r="F21" i="102" s="1"/>
  <c r="V21" i="102" s="1"/>
  <c r="Y58" i="99"/>
  <c r="W55" i="99"/>
  <c r="W62" i="99"/>
  <c r="X57" i="100"/>
  <c r="T54" i="99"/>
  <c r="U56" i="99"/>
  <c r="U62" i="99"/>
  <c r="U54" i="99"/>
  <c r="U57" i="99"/>
  <c r="U46" i="93"/>
  <c r="E31" i="95" s="1"/>
  <c r="U31" i="95" s="1"/>
  <c r="Y45" i="100"/>
  <c r="I30" i="102" s="1"/>
  <c r="Y30" i="102" s="1"/>
  <c r="Y38" i="100"/>
  <c r="I23" i="102" s="1"/>
  <c r="Y23" i="102" s="1"/>
  <c r="Y34" i="100"/>
  <c r="I19" i="102" s="1"/>
  <c r="Y19" i="102" s="1"/>
  <c r="U61" i="99"/>
  <c r="U55" i="99"/>
  <c r="W38" i="100"/>
  <c r="G23" i="102" s="1"/>
  <c r="W23" i="102" s="1"/>
  <c r="W44" i="100"/>
  <c r="G29" i="102" s="1"/>
  <c r="W29" i="102" s="1"/>
  <c r="Y37" i="100"/>
  <c r="I22" i="102" s="1"/>
  <c r="Y22" i="102" s="1"/>
  <c r="X60" i="100"/>
  <c r="W36" i="100"/>
  <c r="G21" i="102" s="1"/>
  <c r="W21" i="102" s="1"/>
  <c r="U60" i="99"/>
  <c r="U59" i="99"/>
  <c r="U53" i="99"/>
  <c r="K42" i="94"/>
  <c r="J47" i="94"/>
  <c r="J47" i="93"/>
  <c r="J42" i="93"/>
  <c r="R42" i="93" s="1"/>
  <c r="R47" i="93" s="1"/>
  <c r="W45" i="100"/>
  <c r="G30" i="102" s="1"/>
  <c r="W30" i="102" s="1"/>
  <c r="W34" i="100"/>
  <c r="G19" i="102" s="1"/>
  <c r="W19" i="102" s="1"/>
  <c r="V44" i="100"/>
  <c r="F29" i="102" s="1"/>
  <c r="W43" i="93"/>
  <c r="G28" i="95" s="1"/>
  <c r="W28" i="95" s="1"/>
  <c r="K58" i="98"/>
  <c r="J63" i="98"/>
  <c r="J58" i="100"/>
  <c r="R58" i="100" s="1"/>
  <c r="R63" i="100" s="1"/>
  <c r="Z63" i="100" s="1"/>
  <c r="J63" i="100"/>
  <c r="K58" i="94"/>
  <c r="J63" i="94"/>
  <c r="J63" i="93"/>
  <c r="J58" i="93"/>
  <c r="R58" i="93" s="1"/>
  <c r="R63" i="93" s="1"/>
  <c r="Z63" i="93" s="1"/>
  <c r="Z51" i="93" s="1"/>
  <c r="L28" i="95"/>
  <c r="W40" i="100"/>
  <c r="G25" i="102" s="1"/>
  <c r="W25" i="102" s="1"/>
  <c r="W59" i="93"/>
  <c r="K42" i="98"/>
  <c r="J47" i="98"/>
  <c r="J42" i="100"/>
  <c r="R42" i="100" s="1"/>
  <c r="J47" i="100"/>
  <c r="X38" i="93"/>
  <c r="H23" i="95" s="1"/>
  <c r="X23" i="95" s="1"/>
  <c r="X34" i="93"/>
  <c r="H19" i="95" s="1"/>
  <c r="X19" i="95" s="1"/>
  <c r="X42" i="93"/>
  <c r="H27" i="95" s="1"/>
  <c r="X27" i="95" s="1"/>
  <c r="X40" i="93"/>
  <c r="H25" i="95" s="1"/>
  <c r="X25" i="95" s="1"/>
  <c r="X45" i="93"/>
  <c r="H30" i="95" s="1"/>
  <c r="X30" i="95" s="1"/>
  <c r="X39" i="93"/>
  <c r="H24" i="95" s="1"/>
  <c r="X24" i="95" s="1"/>
  <c r="X36" i="93"/>
  <c r="H21" i="95" s="1"/>
  <c r="X21" i="95" s="1"/>
  <c r="X35" i="93"/>
  <c r="H20" i="95" s="1"/>
  <c r="X20" i="95" s="1"/>
  <c r="X37" i="93"/>
  <c r="H22" i="95" s="1"/>
  <c r="X22" i="95" s="1"/>
  <c r="L26" i="102"/>
  <c r="X45" i="100"/>
  <c r="H30" i="102" s="1"/>
  <c r="X30" i="102" s="1"/>
  <c r="X41" i="100"/>
  <c r="H26" i="102" s="1"/>
  <c r="X26" i="102" s="1"/>
  <c r="X42" i="100"/>
  <c r="H27" i="102" s="1"/>
  <c r="X27" i="102" s="1"/>
  <c r="W37" i="100"/>
  <c r="G22" i="102" s="1"/>
  <c r="W22" i="102" s="1"/>
  <c r="X44" i="100"/>
  <c r="H29" i="102" s="1"/>
  <c r="X29" i="102" s="1"/>
  <c r="X46" i="100"/>
  <c r="H31" i="102" s="1"/>
  <c r="X31" i="102" s="1"/>
  <c r="X38" i="100"/>
  <c r="H23" i="102" s="1"/>
  <c r="Y55" i="99"/>
  <c r="W51" i="99"/>
  <c r="W59" i="99"/>
  <c r="W57" i="99"/>
  <c r="AA56" i="99"/>
  <c r="V60" i="99"/>
  <c r="W53" i="99"/>
  <c r="W61" i="99"/>
  <c r="W50" i="99"/>
  <c r="V61" i="99"/>
  <c r="W52" i="99"/>
  <c r="W54" i="99"/>
  <c r="W58" i="99"/>
  <c r="V57" i="99"/>
  <c r="AA51" i="99"/>
  <c r="V52" i="99"/>
  <c r="V59" i="99"/>
  <c r="U58" i="99"/>
  <c r="AA60" i="99"/>
  <c r="V58" i="99"/>
  <c r="AA59" i="99"/>
  <c r="Y50" i="99"/>
  <c r="W21" i="101"/>
  <c r="U46" i="99"/>
  <c r="E31" i="101" s="1"/>
  <c r="U31" i="101" s="1"/>
  <c r="U41" i="99"/>
  <c r="E26" i="101" s="1"/>
  <c r="U26" i="101" s="1"/>
  <c r="U39" i="99"/>
  <c r="E24" i="101" s="1"/>
  <c r="U24" i="101" s="1"/>
  <c r="V35" i="99"/>
  <c r="F20" i="101" s="1"/>
  <c r="V20" i="101" s="1"/>
  <c r="V41" i="99"/>
  <c r="F26" i="101" s="1"/>
  <c r="V26" i="101" s="1"/>
  <c r="W40" i="99"/>
  <c r="G25" i="101" s="1"/>
  <c r="W25" i="101" s="1"/>
  <c r="X40" i="99"/>
  <c r="H25" i="101" s="1"/>
  <c r="X25" i="101" s="1"/>
  <c r="V43" i="99"/>
  <c r="F28" i="101" s="1"/>
  <c r="V28" i="101" s="1"/>
  <c r="U34" i="99"/>
  <c r="E19" i="101" s="1"/>
  <c r="U19" i="101" s="1"/>
  <c r="V62" i="93"/>
  <c r="W50" i="93"/>
  <c r="U38" i="93"/>
  <c r="E23" i="95" s="1"/>
  <c r="U23" i="95" s="1"/>
  <c r="L23" i="95"/>
  <c r="AA61" i="99"/>
  <c r="V42" i="100"/>
  <c r="F27" i="102" s="1"/>
  <c r="V27" i="102" s="1"/>
  <c r="AA54" i="99"/>
  <c r="Y53" i="99"/>
  <c r="V55" i="93"/>
  <c r="V58" i="93"/>
  <c r="Y52" i="99"/>
  <c r="T53" i="93"/>
  <c r="L31" i="102"/>
  <c r="Y57" i="99"/>
  <c r="U42" i="93"/>
  <c r="E27" i="95" s="1"/>
  <c r="U27" i="95" s="1"/>
  <c r="V43" i="100"/>
  <c r="F28" i="102" s="1"/>
  <c r="V28" i="102" s="1"/>
  <c r="AA52" i="99"/>
  <c r="V55" i="99"/>
  <c r="V50" i="93"/>
  <c r="V52" i="93"/>
  <c r="V46" i="100"/>
  <c r="F31" i="102" s="1"/>
  <c r="V31" i="102" s="1"/>
  <c r="W57" i="100"/>
  <c r="W52" i="93"/>
  <c r="AA55" i="99"/>
  <c r="W57" i="93"/>
  <c r="V53" i="93"/>
  <c r="Y61" i="93"/>
  <c r="V37" i="100"/>
  <c r="F22" i="102" s="1"/>
  <c r="V22" i="102" s="1"/>
  <c r="Y59" i="99"/>
  <c r="W51" i="93"/>
  <c r="U35" i="93"/>
  <c r="E20" i="95" s="1"/>
  <c r="U20" i="95" s="1"/>
  <c r="Y61" i="99"/>
  <c r="V50" i="99"/>
  <c r="V54" i="99"/>
  <c r="V57" i="93"/>
  <c r="W36" i="93"/>
  <c r="G21" i="95" s="1"/>
  <c r="W21" i="95" s="1"/>
  <c r="Y51" i="99"/>
  <c r="X43" i="100"/>
  <c r="H28" i="102" s="1"/>
  <c r="X28" i="102" s="1"/>
  <c r="X36" i="100"/>
  <c r="H21" i="102" s="1"/>
  <c r="X21" i="102" s="1"/>
  <c r="X46" i="93"/>
  <c r="H31" i="95" s="1"/>
  <c r="X31" i="95" s="1"/>
  <c r="X44" i="93"/>
  <c r="H29" i="95" s="1"/>
  <c r="X29" i="95" s="1"/>
  <c r="W55" i="93"/>
  <c r="W60" i="93"/>
  <c r="AA62" i="99"/>
  <c r="Y62" i="99"/>
  <c r="V51" i="99"/>
  <c r="V56" i="99"/>
  <c r="V60" i="93"/>
  <c r="W37" i="93"/>
  <c r="G22" i="95" s="1"/>
  <c r="AA50" i="99"/>
  <c r="U52" i="99"/>
  <c r="U50" i="99"/>
  <c r="V54" i="93"/>
  <c r="U35" i="100"/>
  <c r="E20" i="102" s="1"/>
  <c r="U20" i="102" s="1"/>
  <c r="W58" i="100"/>
  <c r="U46" i="100"/>
  <c r="E31" i="102" s="1"/>
  <c r="U31" i="102" s="1"/>
  <c r="AA58" i="99"/>
  <c r="Y54" i="99"/>
  <c r="T51" i="93"/>
  <c r="AA53" i="99"/>
  <c r="Y60" i="99"/>
  <c r="Z45" i="99"/>
  <c r="J30" i="101" s="1"/>
  <c r="Z30" i="101" s="1"/>
  <c r="W38" i="99"/>
  <c r="G23" i="101" s="1"/>
  <c r="W23" i="101" s="1"/>
  <c r="Z39" i="99"/>
  <c r="J24" i="101" s="1"/>
  <c r="Z24" i="101" s="1"/>
  <c r="X36" i="99"/>
  <c r="H21" i="101" s="1"/>
  <c r="X21" i="101" s="1"/>
  <c r="Z38" i="99"/>
  <c r="J23" i="101" s="1"/>
  <c r="Z23" i="101" s="1"/>
  <c r="Z35" i="99"/>
  <c r="J20" i="101" s="1"/>
  <c r="Z20" i="101" s="1"/>
  <c r="X43" i="99"/>
  <c r="H28" i="101" s="1"/>
  <c r="X28" i="101" s="1"/>
  <c r="Z36" i="99"/>
  <c r="J21" i="101" s="1"/>
  <c r="Z37" i="99"/>
  <c r="J22" i="101" s="1"/>
  <c r="Z22" i="101" s="1"/>
  <c r="Z34" i="99"/>
  <c r="J19" i="101" s="1"/>
  <c r="Z19" i="101" s="1"/>
  <c r="X37" i="99"/>
  <c r="H22" i="101" s="1"/>
  <c r="X22" i="101" s="1"/>
  <c r="X39" i="99"/>
  <c r="H24" i="101" s="1"/>
  <c r="Z40" i="99"/>
  <c r="J25" i="101" s="1"/>
  <c r="X44" i="99"/>
  <c r="H29" i="101" s="1"/>
  <c r="X29" i="101" s="1"/>
  <c r="Z42" i="99"/>
  <c r="J27" i="101" s="1"/>
  <c r="Z27" i="101" s="1"/>
  <c r="U44" i="99"/>
  <c r="E29" i="101" s="1"/>
  <c r="U29" i="101" s="1"/>
  <c r="X35" i="99"/>
  <c r="H20" i="101" s="1"/>
  <c r="X20" i="101" s="1"/>
  <c r="U40" i="99"/>
  <c r="E25" i="101" s="1"/>
  <c r="U25" i="101" s="1"/>
  <c r="Y43" i="93"/>
  <c r="I28" i="95" s="1"/>
  <c r="Y28" i="95" s="1"/>
  <c r="Y35" i="93"/>
  <c r="I20" i="95" s="1"/>
  <c r="Y20" i="95" s="1"/>
  <c r="V46" i="99"/>
  <c r="F31" i="101" s="1"/>
  <c r="V31" i="101" s="1"/>
  <c r="L27" i="102"/>
  <c r="Y41" i="93"/>
  <c r="I26" i="95" s="1"/>
  <c r="Y26" i="95" s="1"/>
  <c r="Y40" i="93"/>
  <c r="I25" i="95" s="1"/>
  <c r="Y25" i="95" s="1"/>
  <c r="Y37" i="93"/>
  <c r="I22" i="95" s="1"/>
  <c r="Y22" i="95" s="1"/>
  <c r="L25" i="102"/>
  <c r="Y34" i="93"/>
  <c r="I19" i="95" s="1"/>
  <c r="Y19" i="95" s="1"/>
  <c r="L30" i="102"/>
  <c r="Y44" i="93"/>
  <c r="I29" i="95" s="1"/>
  <c r="Y51" i="93"/>
  <c r="U37" i="93"/>
  <c r="E22" i="95" s="1"/>
  <c r="U22" i="95" s="1"/>
  <c r="U40" i="93"/>
  <c r="E25" i="95" s="1"/>
  <c r="U25" i="95" s="1"/>
  <c r="U43" i="93"/>
  <c r="E28" i="95" s="1"/>
  <c r="U45" i="93"/>
  <c r="E30" i="95" s="1"/>
  <c r="U30" i="95" s="1"/>
  <c r="U34" i="93"/>
  <c r="E19" i="95" s="1"/>
  <c r="U41" i="93"/>
  <c r="E26" i="95" s="1"/>
  <c r="U26" i="95" s="1"/>
  <c r="U44" i="93"/>
  <c r="E29" i="95" s="1"/>
  <c r="U29" i="95" s="1"/>
  <c r="U36" i="93"/>
  <c r="E21" i="95" s="1"/>
  <c r="U21" i="95" s="1"/>
  <c r="V40" i="100"/>
  <c r="F25" i="102" s="1"/>
  <c r="V25" i="102" s="1"/>
  <c r="V34" i="100"/>
  <c r="F19" i="102" s="1"/>
  <c r="V19" i="102" s="1"/>
  <c r="V41" i="100"/>
  <c r="F26" i="102" s="1"/>
  <c r="V26" i="102" s="1"/>
  <c r="V45" i="100"/>
  <c r="F30" i="102" s="1"/>
  <c r="V30" i="102" s="1"/>
  <c r="T52" i="93"/>
  <c r="W22" i="95"/>
  <c r="X26" i="95"/>
  <c r="L20" i="95"/>
  <c r="V36" i="99"/>
  <c r="F21" i="101" s="1"/>
  <c r="V21" i="101" s="1"/>
  <c r="Y42" i="93"/>
  <c r="I27" i="95" s="1"/>
  <c r="Y27" i="95" s="1"/>
  <c r="U42" i="99"/>
  <c r="E27" i="101" s="1"/>
  <c r="U27" i="101" s="1"/>
  <c r="AA37" i="99"/>
  <c r="K22" i="101" s="1"/>
  <c r="AA22" i="101" s="1"/>
  <c r="Z50" i="99"/>
  <c r="L21" i="101"/>
  <c r="U37" i="99"/>
  <c r="E22" i="101" s="1"/>
  <c r="V35" i="100"/>
  <c r="F20" i="102" s="1"/>
  <c r="V20" i="102" s="1"/>
  <c r="W45" i="93"/>
  <c r="G30" i="95" s="1"/>
  <c r="W30" i="95" s="1"/>
  <c r="Y46" i="100"/>
  <c r="I31" i="102" s="1"/>
  <c r="Y31" i="102" s="1"/>
  <c r="Y39" i="100"/>
  <c r="I24" i="102" s="1"/>
  <c r="Y24" i="102" s="1"/>
  <c r="Y42" i="100"/>
  <c r="I27" i="102" s="1"/>
  <c r="Y27" i="102" s="1"/>
  <c r="Y36" i="100"/>
  <c r="I21" i="102" s="1"/>
  <c r="Y21" i="102" s="1"/>
  <c r="Y40" i="100"/>
  <c r="I25" i="102" s="1"/>
  <c r="Y25" i="102" s="1"/>
  <c r="Y43" i="100"/>
  <c r="I28" i="102" s="1"/>
  <c r="Y28" i="102" s="1"/>
  <c r="Y41" i="100"/>
  <c r="I26" i="102" s="1"/>
  <c r="Y26" i="102" s="1"/>
  <c r="Y44" i="100"/>
  <c r="I29" i="102" s="1"/>
  <c r="Y29" i="102" s="1"/>
  <c r="Y35" i="100"/>
  <c r="I20" i="102" s="1"/>
  <c r="Y20" i="102" s="1"/>
  <c r="Y39" i="93"/>
  <c r="I24" i="95" s="1"/>
  <c r="Y24" i="95" s="1"/>
  <c r="W62" i="100"/>
  <c r="W51" i="100"/>
  <c r="Y46" i="93"/>
  <c r="I31" i="95" s="1"/>
  <c r="Y31" i="95" s="1"/>
  <c r="U36" i="99"/>
  <c r="E21" i="101" s="1"/>
  <c r="U21" i="101" s="1"/>
  <c r="L22" i="95"/>
  <c r="Y36" i="93"/>
  <c r="I21" i="95" s="1"/>
  <c r="Y21" i="95" s="1"/>
  <c r="L19" i="102"/>
  <c r="L23" i="102"/>
  <c r="W54" i="100"/>
  <c r="X62" i="93"/>
  <c r="U38" i="99"/>
  <c r="E23" i="101" s="1"/>
  <c r="U23" i="101" s="1"/>
  <c r="Y45" i="93"/>
  <c r="I30" i="95" s="1"/>
  <c r="Y30" i="95" s="1"/>
  <c r="T58" i="93"/>
  <c r="Z43" i="99"/>
  <c r="J28" i="101" s="1"/>
  <c r="Z28" i="101" s="1"/>
  <c r="Z41" i="99"/>
  <c r="J26" i="101" s="1"/>
  <c r="Z26" i="101" s="1"/>
  <c r="Z46" i="99"/>
  <c r="J31" i="101" s="1"/>
  <c r="Z31" i="101" s="1"/>
  <c r="X42" i="99"/>
  <c r="H27" i="101" s="1"/>
  <c r="X34" i="99"/>
  <c r="H19" i="101" s="1"/>
  <c r="X46" i="99"/>
  <c r="H31" i="101" s="1"/>
  <c r="X31" i="101" s="1"/>
  <c r="X41" i="99"/>
  <c r="H26" i="101" s="1"/>
  <c r="X38" i="99"/>
  <c r="H23" i="101" s="1"/>
  <c r="X23" i="101" s="1"/>
  <c r="W20" i="95"/>
  <c r="AA28" i="101"/>
  <c r="V24" i="101"/>
  <c r="U28" i="102"/>
  <c r="Y61" i="100"/>
  <c r="Y52" i="100"/>
  <c r="Y50" i="100"/>
  <c r="Y56" i="100"/>
  <c r="Y59" i="100"/>
  <c r="Y62" i="100"/>
  <c r="Y60" i="100"/>
  <c r="Y53" i="100"/>
  <c r="Y55" i="100"/>
  <c r="W28" i="102"/>
  <c r="U28" i="101"/>
  <c r="L21" i="95"/>
  <c r="L24" i="95"/>
  <c r="L26" i="101"/>
  <c r="V60" i="100"/>
  <c r="V59" i="100"/>
  <c r="Y25" i="101"/>
  <c r="Z61" i="99"/>
  <c r="T57" i="93"/>
  <c r="Y44" i="99"/>
  <c r="I29" i="101" s="1"/>
  <c r="Y45" i="99"/>
  <c r="I30" i="101" s="1"/>
  <c r="Y38" i="99"/>
  <c r="I23" i="101" s="1"/>
  <c r="Y34" i="99"/>
  <c r="I19" i="101" s="1"/>
  <c r="Y39" i="99"/>
  <c r="I24" i="101" s="1"/>
  <c r="Y35" i="99"/>
  <c r="I20" i="101" s="1"/>
  <c r="Y43" i="99"/>
  <c r="I28" i="101" s="1"/>
  <c r="Y42" i="99"/>
  <c r="I27" i="101" s="1"/>
  <c r="Y37" i="99"/>
  <c r="I22" i="101" s="1"/>
  <c r="Y41" i="99"/>
  <c r="I26" i="101" s="1"/>
  <c r="Y46" i="99"/>
  <c r="I31" i="101" s="1"/>
  <c r="L28" i="102"/>
  <c r="L30" i="101"/>
  <c r="Y60" i="93"/>
  <c r="T61" i="93"/>
  <c r="U42" i="100"/>
  <c r="E27" i="102" s="1"/>
  <c r="U41" i="100"/>
  <c r="E26" i="102" s="1"/>
  <c r="U45" i="100"/>
  <c r="E30" i="102" s="1"/>
  <c r="U34" i="100"/>
  <c r="E19" i="102" s="1"/>
  <c r="U40" i="100"/>
  <c r="E25" i="102" s="1"/>
  <c r="U37" i="100"/>
  <c r="E22" i="102" s="1"/>
  <c r="U38" i="100"/>
  <c r="E23" i="102" s="1"/>
  <c r="U44" i="100"/>
  <c r="E29" i="102" s="1"/>
  <c r="U36" i="100"/>
  <c r="E21" i="102" s="1"/>
  <c r="U39" i="100"/>
  <c r="E24" i="102" s="1"/>
  <c r="L24" i="101"/>
  <c r="W42" i="100"/>
  <c r="G27" i="102" s="1"/>
  <c r="W35" i="100"/>
  <c r="G20" i="102" s="1"/>
  <c r="U35" i="99"/>
  <c r="E20" i="101" s="1"/>
  <c r="U45" i="99"/>
  <c r="E30" i="101" s="1"/>
  <c r="W50" i="100"/>
  <c r="AA36" i="99"/>
  <c r="K21" i="101" s="1"/>
  <c r="T61" i="99"/>
  <c r="T55" i="99"/>
  <c r="T56" i="99"/>
  <c r="T58" i="99"/>
  <c r="T62" i="99"/>
  <c r="T50" i="99"/>
  <c r="T53" i="99"/>
  <c r="T57" i="99"/>
  <c r="V36" i="93"/>
  <c r="F21" i="95" s="1"/>
  <c r="V40" i="93"/>
  <c r="F25" i="95" s="1"/>
  <c r="V45" i="93"/>
  <c r="F30" i="95" s="1"/>
  <c r="V38" i="93"/>
  <c r="F23" i="95" s="1"/>
  <c r="V39" i="93"/>
  <c r="F24" i="95" s="1"/>
  <c r="V44" i="93"/>
  <c r="F29" i="95" s="1"/>
  <c r="V46" i="93"/>
  <c r="F31" i="95" s="1"/>
  <c r="V35" i="93"/>
  <c r="F20" i="95" s="1"/>
  <c r="V42" i="93"/>
  <c r="F27" i="95" s="1"/>
  <c r="V34" i="93"/>
  <c r="F19" i="95" s="1"/>
  <c r="V41" i="93"/>
  <c r="F26" i="95" s="1"/>
  <c r="V43" i="93"/>
  <c r="F28" i="95" s="1"/>
  <c r="V37" i="93"/>
  <c r="F22" i="95" s="1"/>
  <c r="L27" i="95"/>
  <c r="L25" i="95"/>
  <c r="T55" i="93"/>
  <c r="T51" i="99"/>
  <c r="L22" i="101"/>
  <c r="T60" i="93"/>
  <c r="X57" i="93"/>
  <c r="X19" i="102"/>
  <c r="W56" i="100"/>
  <c r="T52" i="99"/>
  <c r="L23" i="101"/>
  <c r="T50" i="93"/>
  <c r="W39" i="93"/>
  <c r="G24" i="95" s="1"/>
  <c r="L27" i="101"/>
  <c r="L28" i="101"/>
  <c r="L19" i="101"/>
  <c r="AA40" i="99"/>
  <c r="K25" i="101" s="1"/>
  <c r="AA34" i="99"/>
  <c r="K19" i="101" s="1"/>
  <c r="AA44" i="99"/>
  <c r="K29" i="101" s="1"/>
  <c r="AA45" i="99"/>
  <c r="K30" i="101" s="1"/>
  <c r="AA35" i="99"/>
  <c r="K20" i="101" s="1"/>
  <c r="L20" i="102"/>
  <c r="X58" i="93"/>
  <c r="X51" i="93"/>
  <c r="X61" i="93"/>
  <c r="X59" i="93"/>
  <c r="X54" i="93"/>
  <c r="X50" i="93"/>
  <c r="X52" i="93"/>
  <c r="X56" i="93"/>
  <c r="X60" i="93"/>
  <c r="X55" i="93"/>
  <c r="T56" i="93"/>
  <c r="AA39" i="99"/>
  <c r="K24" i="101" s="1"/>
  <c r="Y51" i="100"/>
  <c r="V29" i="102"/>
  <c r="L29" i="102"/>
  <c r="AA46" i="99"/>
  <c r="K31" i="101" s="1"/>
  <c r="AA38" i="99"/>
  <c r="K23" i="101" s="1"/>
  <c r="V24" i="102"/>
  <c r="W53" i="93"/>
  <c r="W62" i="93"/>
  <c r="W61" i="93"/>
  <c r="W56" i="93"/>
  <c r="W58" i="93"/>
  <c r="W46" i="93"/>
  <c r="G31" i="95" s="1"/>
  <c r="W41" i="93"/>
  <c r="G26" i="95" s="1"/>
  <c r="Z53" i="99"/>
  <c r="Z58" i="99"/>
  <c r="Z57" i="99"/>
  <c r="Z55" i="99"/>
  <c r="Z54" i="99"/>
  <c r="Z52" i="99"/>
  <c r="Z51" i="99"/>
  <c r="Z62" i="99"/>
  <c r="U57" i="93"/>
  <c r="U55" i="93"/>
  <c r="U52" i="93"/>
  <c r="U53" i="93"/>
  <c r="U60" i="93"/>
  <c r="U59" i="93"/>
  <c r="U61" i="93"/>
  <c r="U54" i="93"/>
  <c r="U62" i="93"/>
  <c r="U51" i="93"/>
  <c r="U56" i="93"/>
  <c r="U50" i="93"/>
  <c r="L19" i="95"/>
  <c r="Y23" i="95"/>
  <c r="T54" i="93"/>
  <c r="AA41" i="99"/>
  <c r="K26" i="101" s="1"/>
  <c r="V23" i="102"/>
  <c r="L29" i="101"/>
  <c r="Y58" i="100"/>
  <c r="T62" i="93"/>
  <c r="Z29" i="101"/>
  <c r="W34" i="93"/>
  <c r="G19" i="95" s="1"/>
  <c r="W44" i="93"/>
  <c r="G29" i="95" s="1"/>
  <c r="V56" i="100"/>
  <c r="V50" i="100"/>
  <c r="V54" i="100"/>
  <c r="V58" i="100"/>
  <c r="V57" i="100"/>
  <c r="V51" i="100"/>
  <c r="V53" i="100"/>
  <c r="Y54" i="100"/>
  <c r="V61" i="100"/>
  <c r="T60" i="99"/>
  <c r="U58" i="93"/>
  <c r="Y57" i="93"/>
  <c r="Y58" i="93"/>
  <c r="Y54" i="93"/>
  <c r="Y50" i="93"/>
  <c r="Y55" i="93"/>
  <c r="Y62" i="93"/>
  <c r="Y53" i="93"/>
  <c r="Y56" i="93"/>
  <c r="Y59" i="93"/>
  <c r="Y36" i="99"/>
  <c r="I21" i="101" s="1"/>
  <c r="X59" i="100"/>
  <c r="X53" i="100"/>
  <c r="X55" i="100"/>
  <c r="X61" i="100"/>
  <c r="X54" i="100"/>
  <c r="X51" i="100"/>
  <c r="X62" i="100"/>
  <c r="X56" i="100"/>
  <c r="X52" i="100"/>
  <c r="L22" i="102"/>
  <c r="L25" i="101"/>
  <c r="V37" i="99"/>
  <c r="F22" i="101" s="1"/>
  <c r="V45" i="99"/>
  <c r="F30" i="101" s="1"/>
  <c r="V40" i="99"/>
  <c r="F25" i="101" s="1"/>
  <c r="V38" i="99"/>
  <c r="F23" i="101" s="1"/>
  <c r="V42" i="99"/>
  <c r="F27" i="101" s="1"/>
  <c r="V27" i="101" s="1"/>
  <c r="W55" i="100"/>
  <c r="W52" i="100"/>
  <c r="W53" i="100"/>
  <c r="W60" i="100"/>
  <c r="W61" i="100"/>
  <c r="W42" i="99"/>
  <c r="G27" i="101" s="1"/>
  <c r="W44" i="99"/>
  <c r="G29" i="101" s="1"/>
  <c r="W45" i="99"/>
  <c r="G30" i="101" s="1"/>
  <c r="W46" i="99"/>
  <c r="G31" i="101" s="1"/>
  <c r="W39" i="99"/>
  <c r="G24" i="101" s="1"/>
  <c r="W34" i="99"/>
  <c r="G19" i="101" s="1"/>
  <c r="W37" i="99"/>
  <c r="G22" i="101" s="1"/>
  <c r="W41" i="99"/>
  <c r="G26" i="101" s="1"/>
  <c r="W35" i="99"/>
  <c r="G20" i="101" s="1"/>
  <c r="W43" i="99"/>
  <c r="G28" i="101" s="1"/>
  <c r="L31" i="101"/>
  <c r="V44" i="99"/>
  <c r="F29" i="101" s="1"/>
  <c r="V55" i="100"/>
  <c r="V51" i="93"/>
  <c r="V56" i="93"/>
  <c r="W40" i="93"/>
  <c r="G25" i="95" s="1"/>
  <c r="W38" i="93"/>
  <c r="G23" i="95" s="1"/>
  <c r="L20" i="101"/>
  <c r="L31" i="95"/>
  <c r="L26" i="95"/>
  <c r="L29" i="95"/>
  <c r="L30" i="95"/>
  <c r="U60" i="100"/>
  <c r="U50" i="100"/>
  <c r="U51" i="100"/>
  <c r="U52" i="100"/>
  <c r="U56" i="100"/>
  <c r="U62" i="100"/>
  <c r="U54" i="100"/>
  <c r="U55" i="100"/>
  <c r="U57" i="100"/>
  <c r="U58" i="100"/>
  <c r="U59" i="100"/>
  <c r="X50" i="100"/>
  <c r="Z56" i="99"/>
  <c r="V52" i="100"/>
  <c r="Z59" i="99"/>
  <c r="W46" i="100"/>
  <c r="G31" i="102" s="1"/>
  <c r="X22" i="102"/>
  <c r="V34" i="99"/>
  <c r="F19" i="101" s="1"/>
  <c r="X62" i="99"/>
  <c r="X56" i="99"/>
  <c r="X54" i="99"/>
  <c r="X60" i="99"/>
  <c r="X61" i="99"/>
  <c r="X53" i="99"/>
  <c r="X51" i="99"/>
  <c r="X52" i="99"/>
  <c r="X58" i="99"/>
  <c r="X50" i="99"/>
  <c r="X55" i="99"/>
  <c r="X59" i="99"/>
  <c r="W39" i="100"/>
  <c r="G24" i="102" s="1"/>
  <c r="W41" i="100"/>
  <c r="G26" i="102" s="1"/>
  <c r="AA42" i="99"/>
  <c r="K27" i="101" s="1"/>
  <c r="L24" i="102"/>
  <c r="U61" i="100"/>
  <c r="V53" i="99"/>
  <c r="L21" i="102"/>
  <c r="V59" i="93"/>
  <c r="W42" i="93"/>
  <c r="G27" i="95" s="1"/>
  <c r="V60" i="49"/>
  <c r="V61" i="49"/>
  <c r="V59" i="49"/>
  <c r="W46" i="49"/>
  <c r="G31" i="67" s="1"/>
  <c r="W31" i="67" s="1"/>
  <c r="W37" i="49"/>
  <c r="G22" i="67" s="1"/>
  <c r="W39" i="49"/>
  <c r="G24" i="67" s="1"/>
  <c r="W24" i="67" s="1"/>
  <c r="W42" i="49"/>
  <c r="G27" i="67" s="1"/>
  <c r="X37" i="49"/>
  <c r="H22" i="67" s="1"/>
  <c r="W38" i="49"/>
  <c r="G23" i="67" s="1"/>
  <c r="W40" i="49"/>
  <c r="G25" i="67" s="1"/>
  <c r="W35" i="49"/>
  <c r="G20" i="67" s="1"/>
  <c r="W34" i="49"/>
  <c r="G19" i="67" s="1"/>
  <c r="W44" i="49"/>
  <c r="G29" i="67" s="1"/>
  <c r="W29" i="67" s="1"/>
  <c r="W36" i="49"/>
  <c r="G21" i="67" s="1"/>
  <c r="X34" i="49"/>
  <c r="H19" i="67" s="1"/>
  <c r="W41" i="49"/>
  <c r="G26" i="67" s="1"/>
  <c r="W43" i="49"/>
  <c r="G28" i="67" s="1"/>
  <c r="X40" i="49"/>
  <c r="H25" i="67" s="1"/>
  <c r="V52" i="49"/>
  <c r="V62" i="49"/>
  <c r="V51" i="49"/>
  <c r="V50" i="49"/>
  <c r="V53" i="49"/>
  <c r="V58" i="49"/>
  <c r="V56" i="49"/>
  <c r="V54" i="49"/>
  <c r="W56" i="49"/>
  <c r="W61" i="49"/>
  <c r="U39" i="49"/>
  <c r="E24" i="67" s="1"/>
  <c r="U24" i="67" s="1"/>
  <c r="V39" i="49"/>
  <c r="F24" i="67" s="1"/>
  <c r="V24" i="67" s="1"/>
  <c r="X42" i="49"/>
  <c r="H27" i="67" s="1"/>
  <c r="Z53" i="49"/>
  <c r="U46" i="49"/>
  <c r="E31" i="67" s="1"/>
  <c r="U31" i="67" s="1"/>
  <c r="U41" i="49"/>
  <c r="E26" i="67" s="1"/>
  <c r="U62" i="49"/>
  <c r="U40" i="49"/>
  <c r="E25" i="67" s="1"/>
  <c r="X43" i="49"/>
  <c r="H28" i="67" s="1"/>
  <c r="X44" i="49"/>
  <c r="H29" i="67" s="1"/>
  <c r="X29" i="67" s="1"/>
  <c r="X38" i="49"/>
  <c r="H23" i="67" s="1"/>
  <c r="V57" i="49"/>
  <c r="X46" i="49"/>
  <c r="H31" i="67" s="1"/>
  <c r="X31" i="67" s="1"/>
  <c r="X39" i="49"/>
  <c r="H24" i="67" s="1"/>
  <c r="X24" i="67" s="1"/>
  <c r="Z50" i="49"/>
  <c r="X35" i="49"/>
  <c r="H20" i="67" s="1"/>
  <c r="X45" i="49"/>
  <c r="H30" i="67" s="1"/>
  <c r="X30" i="67" s="1"/>
  <c r="X36" i="49"/>
  <c r="H21" i="67" s="1"/>
  <c r="V40" i="49"/>
  <c r="F25" i="67" s="1"/>
  <c r="V44" i="49"/>
  <c r="F29" i="67" s="1"/>
  <c r="V29" i="67" s="1"/>
  <c r="V35" i="49"/>
  <c r="F20" i="67" s="1"/>
  <c r="X62" i="49"/>
  <c r="X51" i="49"/>
  <c r="X52" i="49"/>
  <c r="Y42" i="49"/>
  <c r="I27" i="67" s="1"/>
  <c r="V37" i="49"/>
  <c r="F22" i="67" s="1"/>
  <c r="U44" i="49"/>
  <c r="E29" i="67" s="1"/>
  <c r="U29" i="67" s="1"/>
  <c r="X59" i="49"/>
  <c r="U38" i="49"/>
  <c r="E23" i="67" s="1"/>
  <c r="V38" i="49"/>
  <c r="F23" i="67" s="1"/>
  <c r="U37" i="49"/>
  <c r="E22" i="67" s="1"/>
  <c r="Z52" i="49"/>
  <c r="Z58" i="49"/>
  <c r="Y40" i="49"/>
  <c r="I25" i="67" s="1"/>
  <c r="V42" i="49"/>
  <c r="F27" i="67" s="1"/>
  <c r="V45" i="49"/>
  <c r="F30" i="67" s="1"/>
  <c r="V30" i="67" s="1"/>
  <c r="V36" i="49"/>
  <c r="F21" i="67" s="1"/>
  <c r="Z56" i="49"/>
  <c r="U57" i="49"/>
  <c r="W51" i="49"/>
  <c r="W59" i="49"/>
  <c r="W60" i="49"/>
  <c r="W55" i="49"/>
  <c r="W54" i="49"/>
  <c r="W52" i="49"/>
  <c r="W57" i="49"/>
  <c r="W50" i="49"/>
  <c r="W53" i="49"/>
  <c r="Z55" i="49"/>
  <c r="X54" i="49"/>
  <c r="Z36" i="49"/>
  <c r="J21" i="67" s="1"/>
  <c r="Z44" i="49"/>
  <c r="J29" i="67" s="1"/>
  <c r="Z35" i="49"/>
  <c r="J20" i="67" s="1"/>
  <c r="Z46" i="49"/>
  <c r="J31" i="67" s="1"/>
  <c r="Z41" i="49"/>
  <c r="J26" i="67" s="1"/>
  <c r="Z34" i="49"/>
  <c r="J19" i="67" s="1"/>
  <c r="Z43" i="49"/>
  <c r="J28" i="67" s="1"/>
  <c r="Z39" i="49"/>
  <c r="J24" i="67" s="1"/>
  <c r="Z45" i="49"/>
  <c r="J30" i="67" s="1"/>
  <c r="Z37" i="49"/>
  <c r="J22" i="67" s="1"/>
  <c r="Z38" i="49"/>
  <c r="J23" i="67" s="1"/>
  <c r="Z42" i="49"/>
  <c r="J27" i="67" s="1"/>
  <c r="AA41" i="49"/>
  <c r="K26" i="67" s="1"/>
  <c r="AA42" i="49"/>
  <c r="K27" i="67" s="1"/>
  <c r="AA45" i="49"/>
  <c r="K30" i="67" s="1"/>
  <c r="AA35" i="49"/>
  <c r="K20" i="67" s="1"/>
  <c r="AA40" i="49"/>
  <c r="K25" i="67" s="1"/>
  <c r="AA44" i="49"/>
  <c r="K29" i="67" s="1"/>
  <c r="AA37" i="49"/>
  <c r="K22" i="67" s="1"/>
  <c r="AA43" i="49"/>
  <c r="K28" i="67" s="1"/>
  <c r="Y39" i="49"/>
  <c r="I24" i="67" s="1"/>
  <c r="Y41" i="49"/>
  <c r="I26" i="67" s="1"/>
  <c r="Y38" i="49"/>
  <c r="I23" i="67" s="1"/>
  <c r="Y35" i="49"/>
  <c r="I20" i="67" s="1"/>
  <c r="Y36" i="49"/>
  <c r="I21" i="67" s="1"/>
  <c r="Y45" i="49"/>
  <c r="I30" i="67" s="1"/>
  <c r="Y43" i="49"/>
  <c r="I28" i="67" s="1"/>
  <c r="Y37" i="49"/>
  <c r="I22" i="67" s="1"/>
  <c r="Z62" i="49"/>
  <c r="Z60" i="49"/>
  <c r="Y46" i="49"/>
  <c r="I31" i="67" s="1"/>
  <c r="Y52" i="49"/>
  <c r="Y62" i="49"/>
  <c r="Y50" i="49"/>
  <c r="Y57" i="49"/>
  <c r="Y51" i="49"/>
  <c r="Y53" i="49"/>
  <c r="Y59" i="49"/>
  <c r="Y55" i="49"/>
  <c r="Y61" i="49"/>
  <c r="Y60" i="49"/>
  <c r="Y54" i="49"/>
  <c r="Y58" i="49"/>
  <c r="U36" i="49"/>
  <c r="E21" i="67" s="1"/>
  <c r="U52" i="49"/>
  <c r="AA46" i="49"/>
  <c r="K31" i="67" s="1"/>
  <c r="AA39" i="49"/>
  <c r="K24" i="67" s="1"/>
  <c r="U58" i="49"/>
  <c r="AA38" i="49"/>
  <c r="K23" i="67" s="1"/>
  <c r="U51" i="49"/>
  <c r="U53" i="49"/>
  <c r="U50" i="49"/>
  <c r="Z54" i="49"/>
  <c r="Z59" i="49"/>
  <c r="AA34" i="49"/>
  <c r="K19" i="67" s="1"/>
  <c r="W58" i="49"/>
  <c r="U34" i="49"/>
  <c r="E19" i="67" s="1"/>
  <c r="U43" i="49"/>
  <c r="E28" i="67" s="1"/>
  <c r="U42" i="49"/>
  <c r="E27" i="67" s="1"/>
  <c r="U45" i="49"/>
  <c r="E30" i="67" s="1"/>
  <c r="U30" i="67" s="1"/>
  <c r="AA56" i="49"/>
  <c r="AA53" i="49"/>
  <c r="AA61" i="49"/>
  <c r="AA50" i="49"/>
  <c r="AA52" i="49"/>
  <c r="AA59" i="49"/>
  <c r="AA54" i="49"/>
  <c r="AA62" i="49"/>
  <c r="AA55" i="49"/>
  <c r="AA51" i="49"/>
  <c r="AA60" i="49"/>
  <c r="AA57" i="49"/>
  <c r="V43" i="49"/>
  <c r="F28" i="67" s="1"/>
  <c r="V46" i="49"/>
  <c r="F31" i="67" s="1"/>
  <c r="V31" i="67" s="1"/>
  <c r="V34" i="49"/>
  <c r="F19" i="67" s="1"/>
  <c r="Z40" i="49"/>
  <c r="J25" i="67" s="1"/>
  <c r="X56" i="49"/>
  <c r="X50" i="49"/>
  <c r="X58" i="49"/>
  <c r="X53" i="49"/>
  <c r="X60" i="49"/>
  <c r="X57" i="49"/>
  <c r="X61" i="49"/>
  <c r="U60" i="49"/>
  <c r="U55" i="49"/>
  <c r="Z61" i="49"/>
  <c r="Z51" i="49"/>
  <c r="U61" i="49"/>
  <c r="Y44" i="49"/>
  <c r="I29" i="67" s="1"/>
  <c r="U59" i="49"/>
  <c r="U56" i="49"/>
  <c r="AD20" i="67"/>
  <c r="AM20" i="67" s="1"/>
  <c r="AB3" i="58" s="1"/>
  <c r="AC24" i="67"/>
  <c r="AK24" i="67" s="1"/>
  <c r="AC19" i="67"/>
  <c r="AK19" i="67" s="1"/>
  <c r="Z2" i="58" s="1"/>
  <c r="AC25" i="67"/>
  <c r="AK25" i="67" s="1"/>
  <c r="AC29" i="67"/>
  <c r="AK29" i="67" s="1"/>
  <c r="Z12" i="58" s="1"/>
  <c r="AC20" i="67"/>
  <c r="AK20" i="67" s="1"/>
  <c r="Z3" i="58" s="1"/>
  <c r="AC21" i="67"/>
  <c r="AK21" i="67" s="1"/>
  <c r="Z4" i="58" s="1"/>
  <c r="AC23" i="67"/>
  <c r="AK23" i="67" s="1"/>
  <c r="AD19" i="67"/>
  <c r="AM19" i="67" s="1"/>
  <c r="AB2" i="58" s="1"/>
  <c r="AD25" i="67"/>
  <c r="AM25" i="67" s="1"/>
  <c r="AD22" i="67"/>
  <c r="AM22" i="67" s="1"/>
  <c r="AB5" i="58" s="1"/>
  <c r="AC30" i="67"/>
  <c r="AK30" i="67" s="1"/>
  <c r="Z13" i="58" s="1"/>
  <c r="AC26" i="67"/>
  <c r="AK26" i="67" s="1"/>
  <c r="AD27" i="67"/>
  <c r="AM27" i="67" s="1"/>
  <c r="AC31" i="67"/>
  <c r="AK31" i="67" s="1"/>
  <c r="Z14" i="58" s="1"/>
  <c r="AD31" i="67"/>
  <c r="AM31" i="67" s="1"/>
  <c r="AB14" i="58" s="1"/>
  <c r="AD30" i="67"/>
  <c r="AM30" i="67" s="1"/>
  <c r="AB13" i="58" s="1"/>
  <c r="AC22" i="67"/>
  <c r="AK22" i="67" s="1"/>
  <c r="Z5" i="58" s="1"/>
  <c r="AD28" i="67"/>
  <c r="AM28" i="67" s="1"/>
  <c r="AC28" i="67"/>
  <c r="AK28" i="67" s="1"/>
  <c r="AD23" i="67"/>
  <c r="AD24" i="67"/>
  <c r="AM24" i="67" s="1"/>
  <c r="AD21" i="67"/>
  <c r="AM21" i="67" s="1"/>
  <c r="AB4" i="58" s="1"/>
  <c r="AM29" i="67"/>
  <c r="AB12" i="58" s="1"/>
  <c r="AD26" i="67"/>
  <c r="Z59" i="93" l="1"/>
  <c r="Z50" i="93"/>
  <c r="Z52" i="100"/>
  <c r="Z61" i="100"/>
  <c r="Z53" i="100"/>
  <c r="Z58" i="93"/>
  <c r="N29" i="102"/>
  <c r="Z61" i="93"/>
  <c r="Z54" i="100"/>
  <c r="Z50" i="100"/>
  <c r="Z54" i="93"/>
  <c r="P24" i="95"/>
  <c r="Z57" i="93"/>
  <c r="Z55" i="100"/>
  <c r="Z51" i="100"/>
  <c r="P25" i="95"/>
  <c r="Z53" i="93"/>
  <c r="Z60" i="100"/>
  <c r="N19" i="102"/>
  <c r="Z56" i="93"/>
  <c r="Z60" i="93"/>
  <c r="Z56" i="100"/>
  <c r="Z62" i="93"/>
  <c r="P28" i="102"/>
  <c r="Z52" i="93"/>
  <c r="Z59" i="100"/>
  <c r="Z62" i="100"/>
  <c r="Z55" i="93"/>
  <c r="Z57" i="100"/>
  <c r="Z58" i="100"/>
  <c r="R47" i="100"/>
  <c r="P23" i="102"/>
  <c r="K47" i="98"/>
  <c r="K47" i="100"/>
  <c r="K42" i="100"/>
  <c r="S42" i="100" s="1"/>
  <c r="K63" i="94"/>
  <c r="K63" i="93"/>
  <c r="K58" i="93"/>
  <c r="S58" i="93" s="1"/>
  <c r="Z47" i="93"/>
  <c r="Z35" i="93" s="1"/>
  <c r="J20" i="95" s="1"/>
  <c r="K63" i="98"/>
  <c r="K63" i="100"/>
  <c r="K58" i="100"/>
  <c r="S58" i="100" s="1"/>
  <c r="K47" i="94"/>
  <c r="K42" i="93"/>
  <c r="S42" i="93" s="1"/>
  <c r="K47" i="93"/>
  <c r="P26" i="95"/>
  <c r="P28" i="95"/>
  <c r="P22" i="95"/>
  <c r="P30" i="95"/>
  <c r="P23" i="95"/>
  <c r="P19" i="95"/>
  <c r="P29" i="95"/>
  <c r="P31" i="95"/>
  <c r="P21" i="95"/>
  <c r="P31" i="102"/>
  <c r="P25" i="102"/>
  <c r="P21" i="102"/>
  <c r="Q25" i="102"/>
  <c r="P30" i="102"/>
  <c r="X23" i="102"/>
  <c r="P24" i="102"/>
  <c r="P26" i="102"/>
  <c r="P27" i="102"/>
  <c r="P22" i="102"/>
  <c r="P20" i="102"/>
  <c r="Q27" i="102"/>
  <c r="P19" i="102"/>
  <c r="P29" i="102"/>
  <c r="R28" i="101"/>
  <c r="O19" i="102"/>
  <c r="Q27" i="95"/>
  <c r="Q20" i="95"/>
  <c r="N22" i="102"/>
  <c r="N28" i="102"/>
  <c r="N26" i="102"/>
  <c r="R21" i="101"/>
  <c r="N21" i="102"/>
  <c r="N27" i="102"/>
  <c r="N24" i="102"/>
  <c r="M25" i="101"/>
  <c r="N31" i="102"/>
  <c r="R25" i="101"/>
  <c r="R23" i="101"/>
  <c r="P20" i="95"/>
  <c r="P27" i="95"/>
  <c r="N25" i="102"/>
  <c r="N23" i="102"/>
  <c r="N20" i="102"/>
  <c r="M19" i="95"/>
  <c r="Q28" i="102"/>
  <c r="M24" i="95"/>
  <c r="P24" i="101"/>
  <c r="R27" i="101"/>
  <c r="P26" i="101"/>
  <c r="R24" i="101"/>
  <c r="R22" i="101"/>
  <c r="R30" i="101"/>
  <c r="R31" i="101"/>
  <c r="R20" i="101"/>
  <c r="R29" i="101"/>
  <c r="X24" i="101"/>
  <c r="Z25" i="101"/>
  <c r="R19" i="101"/>
  <c r="M24" i="101"/>
  <c r="P27" i="101"/>
  <c r="X27" i="101"/>
  <c r="M21" i="101"/>
  <c r="Z21" i="101"/>
  <c r="Q23" i="95"/>
  <c r="O23" i="101"/>
  <c r="P22" i="101"/>
  <c r="M29" i="95"/>
  <c r="M23" i="101"/>
  <c r="Q20" i="102"/>
  <c r="M26" i="101"/>
  <c r="O28" i="102"/>
  <c r="M21" i="95"/>
  <c r="M28" i="101"/>
  <c r="Q31" i="102"/>
  <c r="M30" i="95"/>
  <c r="P29" i="101"/>
  <c r="Q21" i="102"/>
  <c r="P21" i="101"/>
  <c r="Q22" i="102"/>
  <c r="N24" i="101"/>
  <c r="M23" i="95"/>
  <c r="O21" i="101"/>
  <c r="U22" i="101"/>
  <c r="X26" i="101"/>
  <c r="P19" i="101"/>
  <c r="M26" i="95"/>
  <c r="Q19" i="95"/>
  <c r="P30" i="101"/>
  <c r="X19" i="101"/>
  <c r="Q30" i="95"/>
  <c r="P23" i="101"/>
  <c r="U28" i="95"/>
  <c r="M28" i="95"/>
  <c r="Q30" i="102"/>
  <c r="Q21" i="95"/>
  <c r="M31" i="95"/>
  <c r="Q26" i="102"/>
  <c r="M22" i="101"/>
  <c r="P25" i="101"/>
  <c r="P20" i="101"/>
  <c r="M27" i="95"/>
  <c r="P28" i="101"/>
  <c r="Q26" i="95"/>
  <c r="M25" i="95"/>
  <c r="R26" i="101"/>
  <c r="Q29" i="102"/>
  <c r="Q22" i="95"/>
  <c r="Q28" i="95"/>
  <c r="P31" i="101"/>
  <c r="Q31" i="95"/>
  <c r="N30" i="102"/>
  <c r="U19" i="95"/>
  <c r="M20" i="95"/>
  <c r="Q24" i="102"/>
  <c r="M22" i="95"/>
  <c r="Q23" i="102"/>
  <c r="Q25" i="95"/>
  <c r="M19" i="101"/>
  <c r="Q19" i="102"/>
  <c r="Q24" i="95"/>
  <c r="Y29" i="95"/>
  <c r="Q29" i="95"/>
  <c r="AA31" i="101"/>
  <c r="S31" i="101"/>
  <c r="Y22" i="101"/>
  <c r="Q22" i="101"/>
  <c r="O26" i="102"/>
  <c r="W26" i="102"/>
  <c r="N25" i="101"/>
  <c r="AA29" i="101"/>
  <c r="S29" i="101"/>
  <c r="M26" i="102"/>
  <c r="U26" i="102"/>
  <c r="W24" i="102"/>
  <c r="O24" i="102"/>
  <c r="W28" i="101"/>
  <c r="O28" i="101"/>
  <c r="W29" i="101"/>
  <c r="O29" i="101"/>
  <c r="V30" i="101"/>
  <c r="N30" i="101"/>
  <c r="W19" i="95"/>
  <c r="O21" i="95"/>
  <c r="O19" i="95"/>
  <c r="O22" i="95"/>
  <c r="O22" i="102"/>
  <c r="W31" i="95"/>
  <c r="O31" i="95"/>
  <c r="AA19" i="101"/>
  <c r="S19" i="101"/>
  <c r="N28" i="95"/>
  <c r="V28" i="95"/>
  <c r="N23" i="95"/>
  <c r="V23" i="95"/>
  <c r="U30" i="101"/>
  <c r="M30" i="101"/>
  <c r="U21" i="102"/>
  <c r="M21" i="102"/>
  <c r="M27" i="102"/>
  <c r="U27" i="102"/>
  <c r="O25" i="102"/>
  <c r="Y28" i="101"/>
  <c r="Q28" i="101"/>
  <c r="N19" i="101"/>
  <c r="V19" i="101"/>
  <c r="O23" i="95"/>
  <c r="W23" i="95"/>
  <c r="AA30" i="101"/>
  <c r="S30" i="101"/>
  <c r="U30" i="102"/>
  <c r="M30" i="102"/>
  <c r="M28" i="102"/>
  <c r="AA24" i="101"/>
  <c r="S24" i="101"/>
  <c r="V24" i="95"/>
  <c r="N24" i="95"/>
  <c r="U24" i="102"/>
  <c r="M24" i="102"/>
  <c r="Q27" i="101"/>
  <c r="Y27" i="101"/>
  <c r="W27" i="95"/>
  <c r="O27" i="95"/>
  <c r="O23" i="102"/>
  <c r="O20" i="101"/>
  <c r="W20" i="101"/>
  <c r="W27" i="101"/>
  <c r="O27" i="101"/>
  <c r="N22" i="101"/>
  <c r="V22" i="101"/>
  <c r="AA25" i="101"/>
  <c r="S25" i="101"/>
  <c r="N20" i="101"/>
  <c r="V26" i="95"/>
  <c r="N26" i="95"/>
  <c r="V30" i="95"/>
  <c r="N30" i="95"/>
  <c r="M20" i="101"/>
  <c r="U20" i="101"/>
  <c r="M29" i="102"/>
  <c r="U29" i="102"/>
  <c r="Y20" i="101"/>
  <c r="Q20" i="101"/>
  <c r="M20" i="102"/>
  <c r="S28" i="101"/>
  <c r="N23" i="101"/>
  <c r="V23" i="101"/>
  <c r="W29" i="95"/>
  <c r="O29" i="95"/>
  <c r="S27" i="101"/>
  <c r="AA27" i="101"/>
  <c r="O26" i="101"/>
  <c r="W26" i="101"/>
  <c r="Q21" i="101"/>
  <c r="Y21" i="101"/>
  <c r="O30" i="95"/>
  <c r="N19" i="95"/>
  <c r="V19" i="95"/>
  <c r="V25" i="95"/>
  <c r="N25" i="95"/>
  <c r="W20" i="102"/>
  <c r="O20" i="102"/>
  <c r="U23" i="102"/>
  <c r="M23" i="102"/>
  <c r="M29" i="101"/>
  <c r="Y24" i="101"/>
  <c r="Q24" i="101"/>
  <c r="Q25" i="101"/>
  <c r="W31" i="101"/>
  <c r="O31" i="101"/>
  <c r="V29" i="95"/>
  <c r="N29" i="95"/>
  <c r="O25" i="101"/>
  <c r="O25" i="95"/>
  <c r="W25" i="95"/>
  <c r="S26" i="101"/>
  <c r="AA26" i="101"/>
  <c r="W26" i="95"/>
  <c r="O26" i="95"/>
  <c r="N29" i="101"/>
  <c r="V29" i="101"/>
  <c r="W22" i="101"/>
  <c r="O22" i="101"/>
  <c r="V25" i="101"/>
  <c r="O29" i="102"/>
  <c r="N27" i="95"/>
  <c r="V27" i="95"/>
  <c r="N21" i="95"/>
  <c r="V21" i="95"/>
  <c r="N31" i="101"/>
  <c r="M27" i="101"/>
  <c r="O27" i="102"/>
  <c r="W27" i="102"/>
  <c r="M22" i="102"/>
  <c r="U22" i="102"/>
  <c r="Y19" i="101"/>
  <c r="Q19" i="101"/>
  <c r="O28" i="95"/>
  <c r="W19" i="101"/>
  <c r="O19" i="101"/>
  <c r="W24" i="95"/>
  <c r="O24" i="95"/>
  <c r="N28" i="101"/>
  <c r="V20" i="95"/>
  <c r="N20" i="95"/>
  <c r="M31" i="101"/>
  <c r="U25" i="102"/>
  <c r="M25" i="102"/>
  <c r="Y31" i="101"/>
  <c r="Q31" i="101"/>
  <c r="Q23" i="101"/>
  <c r="Y23" i="101"/>
  <c r="N26" i="101"/>
  <c r="O20" i="95"/>
  <c r="S22" i="101"/>
  <c r="AA21" i="101"/>
  <c r="S21" i="101"/>
  <c r="Y29" i="101"/>
  <c r="Q29" i="101"/>
  <c r="W30" i="101"/>
  <c r="O30" i="101"/>
  <c r="N22" i="95"/>
  <c r="V22" i="95"/>
  <c r="W31" i="102"/>
  <c r="O31" i="102"/>
  <c r="O30" i="102"/>
  <c r="O24" i="101"/>
  <c r="W24" i="101"/>
  <c r="N27" i="101"/>
  <c r="O21" i="102"/>
  <c r="S23" i="101"/>
  <c r="AA23" i="101"/>
  <c r="AA20" i="101"/>
  <c r="S20" i="101"/>
  <c r="N21" i="101"/>
  <c r="M31" i="102"/>
  <c r="V31" i="95"/>
  <c r="N31" i="95"/>
  <c r="M19" i="102"/>
  <c r="U19" i="102"/>
  <c r="Q26" i="101"/>
  <c r="Y26" i="101"/>
  <c r="Y30" i="101"/>
  <c r="Q30" i="101"/>
  <c r="O30" i="67"/>
  <c r="O22" i="67"/>
  <c r="O31" i="67"/>
  <c r="O25" i="67"/>
  <c r="O28" i="67"/>
  <c r="O27" i="67"/>
  <c r="O19" i="67"/>
  <c r="O20" i="67"/>
  <c r="O23" i="67"/>
  <c r="O21" i="67"/>
  <c r="O26" i="67"/>
  <c r="O24" i="67"/>
  <c r="O29" i="67"/>
  <c r="P25" i="67"/>
  <c r="P28" i="67"/>
  <c r="P23" i="67"/>
  <c r="P26" i="67"/>
  <c r="P22" i="67"/>
  <c r="P30" i="67"/>
  <c r="P20" i="67"/>
  <c r="P24" i="67"/>
  <c r="P19" i="67"/>
  <c r="P27" i="67"/>
  <c r="P29" i="67"/>
  <c r="P21" i="67"/>
  <c r="P31" i="67"/>
  <c r="N28" i="67"/>
  <c r="S23" i="67"/>
  <c r="S25" i="67"/>
  <c r="Q20" i="67"/>
  <c r="Q27" i="67"/>
  <c r="Q25" i="67"/>
  <c r="Q19" i="67"/>
  <c r="S20" i="67"/>
  <c r="Z24" i="67"/>
  <c r="R24" i="67"/>
  <c r="Y29" i="67"/>
  <c r="Q29" i="67"/>
  <c r="S19" i="67"/>
  <c r="AA24" i="67"/>
  <c r="S24" i="67"/>
  <c r="Y31" i="67"/>
  <c r="Q31" i="67"/>
  <c r="Q23" i="67"/>
  <c r="AA30" i="67"/>
  <c r="S30" i="67"/>
  <c r="R28" i="67"/>
  <c r="M31" i="67"/>
  <c r="M24" i="67"/>
  <c r="M25" i="67"/>
  <c r="M23" i="67"/>
  <c r="M26" i="67"/>
  <c r="M19" i="67"/>
  <c r="M29" i="67"/>
  <c r="AA31" i="67"/>
  <c r="S31" i="67"/>
  <c r="Q26" i="67"/>
  <c r="S27" i="67"/>
  <c r="R19" i="67"/>
  <c r="Z30" i="67"/>
  <c r="R30" i="67"/>
  <c r="Y24" i="67"/>
  <c r="Q24" i="67"/>
  <c r="S26" i="67"/>
  <c r="R26" i="67"/>
  <c r="R21" i="67"/>
  <c r="R25" i="67"/>
  <c r="M30" i="67"/>
  <c r="M21" i="67"/>
  <c r="Q22" i="67"/>
  <c r="S28" i="67"/>
  <c r="R27" i="67"/>
  <c r="Z31" i="67"/>
  <c r="R31" i="67"/>
  <c r="S21" i="67"/>
  <c r="Q21" i="67"/>
  <c r="N27" i="67"/>
  <c r="N26" i="67"/>
  <c r="N23" i="67"/>
  <c r="N20" i="67"/>
  <c r="N22" i="67"/>
  <c r="N29" i="67"/>
  <c r="N21" i="67"/>
  <c r="N25" i="67"/>
  <c r="N19" i="67"/>
  <c r="N30" i="67"/>
  <c r="N24" i="67"/>
  <c r="M27" i="67"/>
  <c r="Q28" i="67"/>
  <c r="S22" i="67"/>
  <c r="R23" i="67"/>
  <c r="R20" i="67"/>
  <c r="M20" i="67"/>
  <c r="N31" i="67"/>
  <c r="M28" i="67"/>
  <c r="Y30" i="67"/>
  <c r="Q30" i="67"/>
  <c r="AA29" i="67"/>
  <c r="S29" i="67"/>
  <c r="R22" i="67"/>
  <c r="Z29" i="67"/>
  <c r="R29" i="67"/>
  <c r="M22" i="67"/>
  <c r="AL29" i="67"/>
  <c r="AA12" i="58" s="1"/>
  <c r="AL19" i="67"/>
  <c r="AA2" i="58" s="1"/>
  <c r="AL20" i="67"/>
  <c r="AA3" i="58" s="1"/>
  <c r="AL23" i="67"/>
  <c r="AL27" i="67"/>
  <c r="AL21" i="67"/>
  <c r="AA4" i="58" s="1"/>
  <c r="AL24" i="67"/>
  <c r="AL31" i="67"/>
  <c r="AA14" i="58" s="1"/>
  <c r="AL25" i="67"/>
  <c r="AL30" i="67"/>
  <c r="AA13" i="58" s="1"/>
  <c r="AL28" i="67"/>
  <c r="AM23" i="67"/>
  <c r="AL22" i="67"/>
  <c r="AA5" i="58" s="1"/>
  <c r="AM26" i="67"/>
  <c r="AL26" i="67"/>
  <c r="Z20" i="95" l="1"/>
  <c r="Z43" i="93"/>
  <c r="J28" i="95" s="1"/>
  <c r="S47" i="93"/>
  <c r="Z37" i="93"/>
  <c r="J22" i="95" s="1"/>
  <c r="S47" i="100"/>
  <c r="Z45" i="93"/>
  <c r="J30" i="95" s="1"/>
  <c r="Z34" i="93"/>
  <c r="J19" i="95" s="1"/>
  <c r="Z38" i="93"/>
  <c r="J23" i="95" s="1"/>
  <c r="Z40" i="93"/>
  <c r="J25" i="95" s="1"/>
  <c r="Z42" i="93"/>
  <c r="J27" i="95" s="1"/>
  <c r="Z39" i="93"/>
  <c r="J24" i="95" s="1"/>
  <c r="S63" i="100"/>
  <c r="Z41" i="93"/>
  <c r="J26" i="95" s="1"/>
  <c r="Z36" i="93"/>
  <c r="J21" i="95" s="1"/>
  <c r="Z44" i="93"/>
  <c r="J29" i="95" s="1"/>
  <c r="Z46" i="93"/>
  <c r="J31" i="95" s="1"/>
  <c r="Z31" i="95" s="1"/>
  <c r="S63" i="93"/>
  <c r="Z47" i="100"/>
  <c r="Z39" i="100" s="1"/>
  <c r="J24" i="102" s="1"/>
  <c r="AA7" i="58"/>
  <c r="AB7" i="58"/>
  <c r="AC7" i="58"/>
  <c r="AD7" i="58"/>
  <c r="AE7" i="58"/>
  <c r="AF7" i="58"/>
  <c r="AA8" i="58"/>
  <c r="AB8" i="58"/>
  <c r="AC8" i="58"/>
  <c r="AD8" i="58"/>
  <c r="AE8" i="58"/>
  <c r="AF8" i="58"/>
  <c r="Z8" i="58"/>
  <c r="Z7" i="58"/>
  <c r="Z41" i="100" l="1"/>
  <c r="J26" i="102" s="1"/>
  <c r="Z26" i="102" s="1"/>
  <c r="Z37" i="100"/>
  <c r="J22" i="102" s="1"/>
  <c r="Z22" i="102" s="1"/>
  <c r="Z44" i="100"/>
  <c r="J29" i="102" s="1"/>
  <c r="Z29" i="102" s="1"/>
  <c r="Z24" i="102"/>
  <c r="AA63" i="100"/>
  <c r="AA57" i="100" s="1"/>
  <c r="Z24" i="95"/>
  <c r="R24" i="95"/>
  <c r="AA63" i="93"/>
  <c r="AA62" i="93" s="1"/>
  <c r="AA47" i="93"/>
  <c r="AA42" i="93" s="1"/>
  <c r="K27" i="95" s="1"/>
  <c r="Z40" i="100"/>
  <c r="J25" i="102" s="1"/>
  <c r="Z42" i="100"/>
  <c r="J27" i="102" s="1"/>
  <c r="Z43" i="100"/>
  <c r="J28" i="102" s="1"/>
  <c r="Z27" i="95"/>
  <c r="R27" i="95"/>
  <c r="Z28" i="95"/>
  <c r="R28" i="95"/>
  <c r="Z34" i="100"/>
  <c r="J19" i="102" s="1"/>
  <c r="R31" i="95"/>
  <c r="Z25" i="95"/>
  <c r="R25" i="95"/>
  <c r="Z29" i="95"/>
  <c r="R29" i="95"/>
  <c r="Z38" i="100"/>
  <c r="J23" i="102" s="1"/>
  <c r="Z36" i="100"/>
  <c r="J21" i="102" s="1"/>
  <c r="Z21" i="95"/>
  <c r="R21" i="95"/>
  <c r="R19" i="95"/>
  <c r="Z19" i="95"/>
  <c r="R20" i="95"/>
  <c r="AA47" i="100"/>
  <c r="AA37" i="100" s="1"/>
  <c r="K22" i="102" s="1"/>
  <c r="Z22" i="95"/>
  <c r="R22" i="95"/>
  <c r="Z45" i="100"/>
  <c r="J30" i="102" s="1"/>
  <c r="Z23" i="95"/>
  <c r="R23" i="95"/>
  <c r="Z46" i="100"/>
  <c r="J31" i="102" s="1"/>
  <c r="Z35" i="100"/>
  <c r="J20" i="102" s="1"/>
  <c r="Z26" i="95"/>
  <c r="R26" i="95"/>
  <c r="Z30" i="95"/>
  <c r="R30" i="95"/>
  <c r="Y8" i="58"/>
  <c r="Y7" i="58"/>
  <c r="AA43" i="100" l="1"/>
  <c r="K28" i="102" s="1"/>
  <c r="AA28" i="102" s="1"/>
  <c r="AA40" i="93"/>
  <c r="K25" i="95" s="1"/>
  <c r="AA25" i="95" s="1"/>
  <c r="AA35" i="93"/>
  <c r="K20" i="95" s="1"/>
  <c r="AA20" i="95" s="1"/>
  <c r="AA39" i="93"/>
  <c r="K24" i="95" s="1"/>
  <c r="AA24" i="95" s="1"/>
  <c r="AA34" i="93"/>
  <c r="K19" i="95" s="1"/>
  <c r="AA19" i="95" s="1"/>
  <c r="AA60" i="93"/>
  <c r="AA37" i="93"/>
  <c r="K22" i="95" s="1"/>
  <c r="AA22" i="95" s="1"/>
  <c r="AA45" i="93"/>
  <c r="K30" i="95" s="1"/>
  <c r="AA30" i="95" s="1"/>
  <c r="AA43" i="93"/>
  <c r="K28" i="95" s="1"/>
  <c r="AA28" i="95" s="1"/>
  <c r="AA46" i="93"/>
  <c r="K31" i="95" s="1"/>
  <c r="AA31" i="95" s="1"/>
  <c r="AA41" i="93"/>
  <c r="K26" i="95" s="1"/>
  <c r="AA26" i="95" s="1"/>
  <c r="AA56" i="93"/>
  <c r="AA55" i="100"/>
  <c r="AA50" i="100"/>
  <c r="AA54" i="93"/>
  <c r="AA57" i="93"/>
  <c r="AA38" i="100"/>
  <c r="K23" i="102" s="1"/>
  <c r="AA23" i="102" s="1"/>
  <c r="AA36" i="100"/>
  <c r="K21" i="102" s="1"/>
  <c r="AA21" i="102" s="1"/>
  <c r="AA22" i="102"/>
  <c r="Z28" i="102"/>
  <c r="R28" i="102"/>
  <c r="AA61" i="100"/>
  <c r="AA58" i="100"/>
  <c r="Z20" i="102"/>
  <c r="R20" i="102"/>
  <c r="AA44" i="100"/>
  <c r="K29" i="102" s="1"/>
  <c r="AA40" i="100"/>
  <c r="K25" i="102" s="1"/>
  <c r="Z25" i="102"/>
  <c r="R25" i="102"/>
  <c r="AA44" i="93"/>
  <c r="K29" i="95" s="1"/>
  <c r="AA53" i="93"/>
  <c r="AA52" i="93"/>
  <c r="AA53" i="100"/>
  <c r="AA51" i="100"/>
  <c r="Z31" i="102"/>
  <c r="R31" i="102"/>
  <c r="AA35" i="100"/>
  <c r="K20" i="102" s="1"/>
  <c r="Z19" i="102"/>
  <c r="R19" i="102"/>
  <c r="AA51" i="93"/>
  <c r="AA62" i="100"/>
  <c r="AA52" i="100"/>
  <c r="AA41" i="100"/>
  <c r="K26" i="102" s="1"/>
  <c r="AA42" i="100"/>
  <c r="K27" i="102" s="1"/>
  <c r="Z21" i="102"/>
  <c r="R21" i="102"/>
  <c r="R26" i="102"/>
  <c r="AA61" i="93"/>
  <c r="AA60" i="100"/>
  <c r="Z27" i="102"/>
  <c r="R27" i="102"/>
  <c r="Z23" i="102"/>
  <c r="R23" i="102"/>
  <c r="AA55" i="93"/>
  <c r="AA58" i="93"/>
  <c r="AA54" i="100"/>
  <c r="R29" i="102"/>
  <c r="AA46" i="100"/>
  <c r="K31" i="102" s="1"/>
  <c r="AA50" i="93"/>
  <c r="AA59" i="100"/>
  <c r="R24" i="102"/>
  <c r="AA39" i="100"/>
  <c r="K24" i="102" s="1"/>
  <c r="AA34" i="100"/>
  <c r="K19" i="102" s="1"/>
  <c r="R22" i="102"/>
  <c r="Z30" i="102"/>
  <c r="R30" i="102"/>
  <c r="AA27" i="95"/>
  <c r="AA45" i="100"/>
  <c r="K30" i="102" s="1"/>
  <c r="AA36" i="93"/>
  <c r="K21" i="95" s="1"/>
  <c r="AA38" i="93"/>
  <c r="K23" i="95" s="1"/>
  <c r="AA59" i="93"/>
  <c r="AA56" i="100"/>
  <c r="Y11" i="58"/>
  <c r="Y10" i="58"/>
  <c r="Y9" i="58"/>
  <c r="Y6" i="58"/>
  <c r="S26" i="95" l="1"/>
  <c r="S28" i="95"/>
  <c r="S22" i="95"/>
  <c r="S30" i="95"/>
  <c r="AA20" i="102"/>
  <c r="S20" i="102"/>
  <c r="AA31" i="102"/>
  <c r="S31" i="102"/>
  <c r="AA26" i="102"/>
  <c r="S26" i="102"/>
  <c r="AA29" i="95"/>
  <c r="S29" i="95"/>
  <c r="AA21" i="95"/>
  <c r="S21" i="95"/>
  <c r="AA24" i="102"/>
  <c r="S24" i="102"/>
  <c r="S19" i="102"/>
  <c r="AA19" i="102"/>
  <c r="S23" i="102"/>
  <c r="S25" i="102"/>
  <c r="AA25" i="102"/>
  <c r="S28" i="102"/>
  <c r="AA29" i="102"/>
  <c r="S29" i="102"/>
  <c r="AA30" i="102"/>
  <c r="S30" i="102"/>
  <c r="S19" i="95"/>
  <c r="S21" i="102"/>
  <c r="S22" i="102"/>
  <c r="AA23" i="95"/>
  <c r="S23" i="95"/>
  <c r="S24" i="95"/>
  <c r="S25" i="95"/>
  <c r="S20" i="95"/>
  <c r="S27" i="95"/>
  <c r="S31" i="95"/>
  <c r="S27" i="102"/>
  <c r="AA27" i="102"/>
  <c r="Z6" i="58"/>
  <c r="AC11" i="58"/>
  <c r="AB9" i="58"/>
  <c r="AD10" i="58"/>
  <c r="AF11" i="58"/>
  <c r="Z9" i="58"/>
  <c r="AB10" i="58"/>
  <c r="AA6" i="58"/>
  <c r="AC10" i="58"/>
  <c r="AC9" i="58"/>
  <c r="AE11" i="58"/>
  <c r="AF10" i="58"/>
  <c r="AB11" i="58"/>
  <c r="AA9" i="58"/>
  <c r="AD11" i="58"/>
  <c r="AB6" i="58"/>
  <c r="AC6" i="58"/>
  <c r="AD9" i="58"/>
  <c r="AE10" i="58"/>
  <c r="AD6" i="58"/>
  <c r="AE9" i="58"/>
  <c r="AE6" i="58"/>
  <c r="AF9" i="58"/>
  <c r="Z11" i="58"/>
  <c r="AA10" i="58"/>
  <c r="AF6" i="58"/>
  <c r="Z10" i="58"/>
  <c r="AA11" i="58"/>
  <c r="F50" i="77"/>
  <c r="Q24" i="69" l="1"/>
  <c r="Q25" i="69"/>
  <c r="H50" i="77"/>
  <c r="L281" i="30"/>
  <c r="K276" i="30" s="1"/>
  <c r="L283" i="30"/>
  <c r="K277" i="30" s="1"/>
  <c r="L284" i="30"/>
  <c r="K278" i="30" s="1"/>
  <c r="S25" i="69" l="1"/>
  <c r="R25" i="69"/>
  <c r="S24" i="69"/>
  <c r="R24" i="69"/>
  <c r="K250" i="30"/>
  <c r="L250" i="30" s="1"/>
  <c r="K251" i="30"/>
  <c r="L251" i="30" s="1"/>
  <c r="K252" i="30"/>
  <c r="K294" i="30" l="1"/>
  <c r="L252" i="30"/>
  <c r="M290" i="30" l="1"/>
  <c r="AD169" i="90" s="1"/>
  <c r="M262" i="30"/>
  <c r="M253" i="30"/>
  <c r="M254" i="30"/>
  <c r="M251" i="30"/>
  <c r="M250" i="30"/>
  <c r="M275" i="30"/>
  <c r="M273" i="30"/>
  <c r="M284" i="30"/>
  <c r="M261" i="30"/>
  <c r="M267" i="30"/>
  <c r="M283" i="30"/>
  <c r="M259" i="30"/>
  <c r="M256" i="30"/>
  <c r="M288" i="30"/>
  <c r="M260" i="30"/>
  <c r="M292" i="30"/>
  <c r="AD171" i="90" s="1"/>
  <c r="F191" i="86" s="1"/>
  <c r="M274" i="30"/>
  <c r="M269" i="30"/>
  <c r="M271" i="30"/>
  <c r="M282" i="30"/>
  <c r="M285" i="30"/>
  <c r="M286" i="30"/>
  <c r="M287" i="30"/>
  <c r="M263" i="30"/>
  <c r="M279" i="30"/>
  <c r="M268" i="30"/>
  <c r="M257" i="30"/>
  <c r="M289" i="30"/>
  <c r="M266" i="30"/>
  <c r="M264" i="30"/>
  <c r="M276" i="30"/>
  <c r="M291" i="30"/>
  <c r="AD170" i="90" s="1"/>
  <c r="M280" i="30"/>
  <c r="M265" i="30"/>
  <c r="M258" i="30"/>
  <c r="M293" i="30"/>
  <c r="AD172" i="90" s="1"/>
  <c r="M255" i="30"/>
  <c r="M272" i="30"/>
  <c r="M277" i="30"/>
  <c r="M270" i="30"/>
  <c r="M281" i="30"/>
  <c r="M278" i="30"/>
  <c r="M252" i="30"/>
  <c r="L294" i="30"/>
  <c r="F192" i="86" l="1"/>
  <c r="H192" i="86" s="1"/>
  <c r="F190" i="86"/>
  <c r="H190" i="86" s="1"/>
  <c r="F189" i="86"/>
  <c r="H189" i="86" s="1"/>
  <c r="AD17" i="92"/>
  <c r="AD17" i="91"/>
  <c r="AD17" i="90"/>
  <c r="AD19" i="92"/>
  <c r="AD19" i="91"/>
  <c r="AD19" i="90"/>
  <c r="H191" i="86"/>
  <c r="AD125" i="92"/>
  <c r="AD125" i="91"/>
  <c r="AD125" i="90"/>
  <c r="AD108" i="92"/>
  <c r="AD108" i="91"/>
  <c r="AD108" i="90"/>
  <c r="AD129" i="92"/>
  <c r="AD129" i="91"/>
  <c r="AD129" i="90"/>
  <c r="AD99" i="92"/>
  <c r="AD99" i="91"/>
  <c r="AD99" i="90"/>
  <c r="AD110" i="92"/>
  <c r="AD110" i="91"/>
  <c r="AD110" i="90"/>
  <c r="AD123" i="92"/>
  <c r="AD123" i="91"/>
  <c r="AD123" i="90"/>
  <c r="AD100" i="92"/>
  <c r="AD100" i="91"/>
  <c r="AD100" i="90"/>
  <c r="AD118" i="92"/>
  <c r="AD118" i="91"/>
  <c r="AD118" i="90"/>
  <c r="AD124" i="92"/>
  <c r="AD124" i="91"/>
  <c r="AD124" i="90"/>
  <c r="AD134" i="92"/>
  <c r="AD134" i="91"/>
  <c r="AD134" i="90"/>
  <c r="AD120" i="92"/>
  <c r="AD120" i="91"/>
  <c r="AD120" i="90"/>
  <c r="AD101" i="92"/>
  <c r="AD101" i="91"/>
  <c r="AD101" i="90"/>
  <c r="AD98" i="92"/>
  <c r="AD98" i="91"/>
  <c r="AD98" i="90"/>
  <c r="AD107" i="92"/>
  <c r="AD107" i="91"/>
  <c r="AD107" i="90"/>
  <c r="AD119" i="92"/>
  <c r="AD119" i="91"/>
  <c r="AD119" i="90"/>
  <c r="AD102" i="92"/>
  <c r="AD102" i="91"/>
  <c r="AD102" i="90"/>
  <c r="AD109" i="92"/>
  <c r="AD109" i="91"/>
  <c r="AD109" i="90"/>
  <c r="AD112" i="92"/>
  <c r="AD112" i="91"/>
  <c r="AD112" i="90"/>
  <c r="AD111" i="92"/>
  <c r="AD111" i="91"/>
  <c r="AD111" i="90"/>
  <c r="AD97" i="92"/>
  <c r="AD97" i="91"/>
  <c r="AD97" i="90"/>
  <c r="AD104" i="92"/>
  <c r="AD104" i="91"/>
  <c r="AD104" i="90"/>
  <c r="AD103" i="92"/>
  <c r="AD103" i="91"/>
  <c r="AD103" i="90"/>
  <c r="AD121" i="92"/>
  <c r="AD121" i="91"/>
  <c r="AD121" i="90"/>
  <c r="AD58" i="92"/>
  <c r="AD58" i="91"/>
  <c r="AD58" i="90"/>
  <c r="AD21" i="92"/>
  <c r="AD21" i="91"/>
  <c r="AD21" i="90"/>
  <c r="AD18" i="92"/>
  <c r="AD18" i="91"/>
  <c r="AD18" i="90"/>
  <c r="AD105" i="92"/>
  <c r="AD105" i="91"/>
  <c r="AD105" i="90"/>
  <c r="AD106" i="92"/>
  <c r="AD106" i="91"/>
  <c r="AD106" i="90"/>
  <c r="AD120" i="79"/>
  <c r="AD129" i="79"/>
  <c r="AD100" i="79"/>
  <c r="AD102" i="79"/>
  <c r="AD98" i="79"/>
  <c r="AD17" i="79"/>
  <c r="AD19" i="79"/>
  <c r="AD110" i="79"/>
  <c r="AD118" i="79"/>
  <c r="AD103" i="79"/>
  <c r="AD112" i="79"/>
  <c r="AD111" i="79"/>
  <c r="AD97" i="79"/>
  <c r="AD125" i="79"/>
  <c r="AD124" i="79"/>
  <c r="AD99" i="79"/>
  <c r="AD123" i="79"/>
  <c r="AD134" i="79"/>
  <c r="AD58" i="79"/>
  <c r="AD21" i="79"/>
  <c r="AD18" i="79"/>
  <c r="AD105" i="79"/>
  <c r="AD106" i="79"/>
  <c r="AD104" i="79"/>
  <c r="AD108" i="79"/>
  <c r="AD119" i="79"/>
  <c r="AD121" i="79"/>
  <c r="AD101" i="79"/>
  <c r="AD109" i="79"/>
  <c r="AD107" i="79"/>
  <c r="O285" i="30"/>
  <c r="O273" i="30"/>
  <c r="M294" i="30"/>
  <c r="O253" i="30"/>
  <c r="O293" i="30"/>
  <c r="O250" i="30"/>
  <c r="K192" i="86" l="1"/>
  <c r="N192" i="86"/>
  <c r="F193" i="86"/>
  <c r="N189" i="86"/>
  <c r="K189" i="86"/>
  <c r="N190" i="86"/>
  <c r="K190" i="86"/>
  <c r="H193" i="86"/>
  <c r="K191" i="86"/>
  <c r="N191" i="86"/>
  <c r="O294" i="30"/>
  <c r="I191" i="86" l="1"/>
  <c r="AD171" i="79" s="1"/>
  <c r="I192" i="86"/>
  <c r="AD172" i="79" s="1"/>
  <c r="I190" i="86"/>
  <c r="AD170" i="79" s="1"/>
  <c r="I189" i="86"/>
  <c r="AD169" i="79" s="1"/>
  <c r="K193" i="86"/>
  <c r="N193" i="86"/>
  <c r="S7" i="49"/>
  <c r="AA7" i="49" s="1"/>
  <c r="I193" i="86" l="1"/>
  <c r="O192" i="86"/>
  <c r="AD172" i="92" s="1"/>
  <c r="O190" i="86"/>
  <c r="AD170" i="92" s="1"/>
  <c r="O189" i="86"/>
  <c r="AD169" i="92" s="1"/>
  <c r="O191" i="86"/>
  <c r="AD171" i="92" s="1"/>
  <c r="L189" i="86"/>
  <c r="AD169" i="91" s="1"/>
  <c r="L192" i="86"/>
  <c r="AD172" i="91" s="1"/>
  <c r="L190" i="86"/>
  <c r="AD170" i="91" s="1"/>
  <c r="L191" i="86"/>
  <c r="AD171" i="91" s="1"/>
  <c r="AA4" i="49"/>
  <c r="K13" i="67" s="1"/>
  <c r="AA5" i="49"/>
  <c r="K14" i="67" s="1"/>
  <c r="AA6" i="49"/>
  <c r="K15" i="67" s="1"/>
  <c r="L28" i="49"/>
  <c r="R28" i="49"/>
  <c r="N28" i="49"/>
  <c r="Q28" i="49"/>
  <c r="M28" i="49"/>
  <c r="O28" i="49"/>
  <c r="P28" i="49"/>
  <c r="S28" i="49"/>
  <c r="L23" i="49"/>
  <c r="T11" i="49"/>
  <c r="D9" i="67" s="1"/>
  <c r="L193" i="86" l="1"/>
  <c r="O193" i="86"/>
  <c r="S13" i="67"/>
  <c r="AA13" i="67"/>
  <c r="S14" i="67"/>
  <c r="AA14" i="67"/>
  <c r="S15" i="67"/>
  <c r="AA15" i="67"/>
  <c r="U26" i="49"/>
  <c r="E7" i="67" s="1"/>
  <c r="U7" i="67" s="1"/>
  <c r="U25" i="49"/>
  <c r="E6" i="67" s="1"/>
  <c r="U27" i="49"/>
  <c r="E8" i="67" s="1"/>
  <c r="Y26" i="49"/>
  <c r="I7" i="67" s="1"/>
  <c r="Y25" i="49"/>
  <c r="I6" i="67" s="1"/>
  <c r="Y27" i="49"/>
  <c r="I8" i="67" s="1"/>
  <c r="W26" i="49"/>
  <c r="G7" i="67" s="1"/>
  <c r="W27" i="49"/>
  <c r="G8" i="67" s="1"/>
  <c r="W25" i="49"/>
  <c r="G6" i="67" s="1"/>
  <c r="V25" i="49"/>
  <c r="F6" i="67" s="1"/>
  <c r="V27" i="49"/>
  <c r="F8" i="67" s="1"/>
  <c r="V26" i="49"/>
  <c r="F7" i="67" s="1"/>
  <c r="Z27" i="49"/>
  <c r="J8" i="67" s="1"/>
  <c r="Z26" i="49"/>
  <c r="J7" i="67" s="1"/>
  <c r="Z25" i="49"/>
  <c r="J6" i="67" s="1"/>
  <c r="AA26" i="49"/>
  <c r="K7" i="67" s="1"/>
  <c r="AA27" i="49"/>
  <c r="K8" i="67" s="1"/>
  <c r="AA25" i="49"/>
  <c r="K6" i="67" s="1"/>
  <c r="X25" i="49"/>
  <c r="H6" i="67" s="1"/>
  <c r="X27" i="49"/>
  <c r="H8" i="67" s="1"/>
  <c r="X26" i="49"/>
  <c r="H7" i="67" s="1"/>
  <c r="Y28" i="49"/>
  <c r="X28" i="49"/>
  <c r="W28" i="49"/>
  <c r="V28" i="49"/>
  <c r="U28" i="49"/>
  <c r="T28" i="49"/>
  <c r="T27" i="49" s="1"/>
  <c r="D8" i="67" s="1"/>
  <c r="Z28" i="49"/>
  <c r="AA28" i="49"/>
  <c r="V23" i="49"/>
  <c r="AA23" i="49"/>
  <c r="U23" i="49"/>
  <c r="T23" i="49"/>
  <c r="T22" i="49" s="1"/>
  <c r="D5" i="67" s="1"/>
  <c r="Z23" i="49"/>
  <c r="Y23" i="49"/>
  <c r="X23" i="49"/>
  <c r="W23" i="49"/>
  <c r="L10" i="67"/>
  <c r="L11" i="67"/>
  <c r="T9" i="67"/>
  <c r="L9" i="67"/>
  <c r="T44" i="49"/>
  <c r="D29" i="67" s="1"/>
  <c r="T36" i="49"/>
  <c r="D21" i="67" s="1"/>
  <c r="T42" i="49"/>
  <c r="D27" i="67" s="1"/>
  <c r="T38" i="49"/>
  <c r="D23" i="67" s="1"/>
  <c r="V23" i="67" s="1"/>
  <c r="T35" i="49"/>
  <c r="D20" i="67" s="1"/>
  <c r="T46" i="49"/>
  <c r="D31" i="67" s="1"/>
  <c r="T43" i="49"/>
  <c r="D28" i="67" s="1"/>
  <c r="T45" i="49"/>
  <c r="D30" i="67" s="1"/>
  <c r="T39" i="49"/>
  <c r="D24" i="67" s="1"/>
  <c r="T40" i="49"/>
  <c r="D25" i="67" s="1"/>
  <c r="U25" i="67" s="1"/>
  <c r="T41" i="49"/>
  <c r="D26" i="67" s="1"/>
  <c r="V26" i="67" s="1"/>
  <c r="T34" i="49"/>
  <c r="D19" i="67" s="1"/>
  <c r="V19" i="67" s="1"/>
  <c r="T37" i="49"/>
  <c r="D22" i="67" s="1"/>
  <c r="U22" i="67" s="1"/>
  <c r="U23" i="67" l="1"/>
  <c r="W27" i="67"/>
  <c r="V27" i="67"/>
  <c r="W23" i="67"/>
  <c r="Z6" i="67"/>
  <c r="R6" i="67"/>
  <c r="R8" i="67"/>
  <c r="Z8" i="67"/>
  <c r="Y6" i="67"/>
  <c r="Q6" i="67"/>
  <c r="W8" i="67"/>
  <c r="O8" i="67"/>
  <c r="P8" i="67"/>
  <c r="X8" i="67"/>
  <c r="Y7" i="67"/>
  <c r="Q7" i="67"/>
  <c r="AA7" i="67"/>
  <c r="S7" i="67"/>
  <c r="Q8" i="67"/>
  <c r="Y8" i="67"/>
  <c r="P6" i="67"/>
  <c r="X6" i="67"/>
  <c r="U8" i="67"/>
  <c r="M8" i="67"/>
  <c r="Z7" i="67"/>
  <c r="R7" i="67"/>
  <c r="X7" i="67"/>
  <c r="P7" i="67"/>
  <c r="N7" i="67"/>
  <c r="V7" i="67"/>
  <c r="AA6" i="67"/>
  <c r="S6" i="67"/>
  <c r="V6" i="67"/>
  <c r="N6" i="67"/>
  <c r="U6" i="67"/>
  <c r="M6" i="67"/>
  <c r="W7" i="67"/>
  <c r="O7" i="67"/>
  <c r="V8" i="67"/>
  <c r="N8" i="67"/>
  <c r="AA8" i="67"/>
  <c r="S8" i="67"/>
  <c r="W6" i="67"/>
  <c r="O6" i="67"/>
  <c r="M7" i="67"/>
  <c r="T25" i="49"/>
  <c r="D6" i="67" s="1"/>
  <c r="T6" i="67" s="1"/>
  <c r="T26" i="49"/>
  <c r="D7" i="67" s="1"/>
  <c r="T8" i="67"/>
  <c r="L5" i="67"/>
  <c r="AA26" i="67"/>
  <c r="U26" i="67"/>
  <c r="AA25" i="67"/>
  <c r="Y25" i="67"/>
  <c r="Z25" i="67"/>
  <c r="X19" i="67"/>
  <c r="V28" i="67"/>
  <c r="X28" i="67"/>
  <c r="L28" i="67"/>
  <c r="U28" i="67"/>
  <c r="Z28" i="67"/>
  <c r="W28" i="67"/>
  <c r="Y28" i="67"/>
  <c r="AA28" i="67"/>
  <c r="L31" i="67"/>
  <c r="Z21" i="67"/>
  <c r="AA21" i="67"/>
  <c r="U21" i="67"/>
  <c r="X21" i="67"/>
  <c r="W21" i="67"/>
  <c r="L21" i="67"/>
  <c r="V21" i="67"/>
  <c r="Y21" i="67"/>
  <c r="Y20" i="67"/>
  <c r="U20" i="67"/>
  <c r="AA20" i="67"/>
  <c r="X20" i="67"/>
  <c r="Z20" i="67"/>
  <c r="L27" i="67"/>
  <c r="L20" i="67"/>
  <c r="V20" i="67"/>
  <c r="W20" i="67"/>
  <c r="L29" i="67"/>
  <c r="L24" i="67"/>
  <c r="W22" i="67"/>
  <c r="Y19" i="67"/>
  <c r="Y26" i="67"/>
  <c r="AA22" i="67"/>
  <c r="L23" i="67"/>
  <c r="AA27" i="67"/>
  <c r="V25" i="67"/>
  <c r="Z19" i="67"/>
  <c r="W26" i="67"/>
  <c r="Y22" i="67"/>
  <c r="AA23" i="67"/>
  <c r="Z27" i="67"/>
  <c r="X25" i="67"/>
  <c r="L19" i="67"/>
  <c r="L26" i="67"/>
  <c r="Z22" i="67"/>
  <c r="Y23" i="67"/>
  <c r="AA19" i="67"/>
  <c r="X27" i="67"/>
  <c r="W25" i="67"/>
  <c r="W19" i="67"/>
  <c r="Z26" i="67"/>
  <c r="L22" i="67"/>
  <c r="X23" i="67"/>
  <c r="V22" i="67"/>
  <c r="L30" i="67"/>
  <c r="Y27" i="67"/>
  <c r="L25" i="67"/>
  <c r="U19" i="67"/>
  <c r="X26" i="67"/>
  <c r="X22" i="67"/>
  <c r="Z23" i="67"/>
  <c r="U27" i="67"/>
  <c r="T61" i="49"/>
  <c r="T52" i="49"/>
  <c r="T53" i="49"/>
  <c r="T54" i="49"/>
  <c r="T60" i="49"/>
  <c r="T51" i="49"/>
  <c r="T59" i="49"/>
  <c r="T57" i="49"/>
  <c r="T55" i="49"/>
  <c r="T62" i="49"/>
  <c r="T56" i="49"/>
  <c r="T58" i="49"/>
  <c r="T50" i="49"/>
  <c r="T67" i="49"/>
  <c r="T70" i="49"/>
  <c r="T68" i="49"/>
  <c r="T69" i="49"/>
  <c r="T71" i="49"/>
  <c r="T66" i="49"/>
  <c r="L8" i="67" l="1"/>
  <c r="L7" i="67"/>
  <c r="L6" i="67"/>
  <c r="T7" i="67"/>
  <c r="H7" i="51"/>
  <c r="E7" i="51"/>
  <c r="N7" i="49" l="1"/>
  <c r="M7" i="49"/>
  <c r="U7" i="49" l="1"/>
  <c r="U6" i="49" s="1"/>
  <c r="E15" i="67" s="1"/>
  <c r="V7" i="49"/>
  <c r="V5" i="49" s="1"/>
  <c r="F14" i="67" s="1"/>
  <c r="U5" i="49" l="1"/>
  <c r="E14" i="67" s="1"/>
  <c r="U4" i="49"/>
  <c r="E13" i="67" s="1"/>
  <c r="U13" i="67" s="1"/>
  <c r="U15" i="67"/>
  <c r="V14" i="67"/>
  <c r="V6" i="49"/>
  <c r="F15" i="67" s="1"/>
  <c r="V4" i="49"/>
  <c r="F13" i="67" s="1"/>
  <c r="M15" i="67" l="1"/>
  <c r="M13" i="67"/>
  <c r="U14" i="67"/>
  <c r="M14" i="67"/>
  <c r="V13" i="67"/>
  <c r="N13" i="67"/>
  <c r="V15" i="67"/>
  <c r="N15" i="67"/>
  <c r="N14" i="67"/>
  <c r="H4" i="51"/>
  <c r="H4" i="49" l="1"/>
  <c r="H7" i="49"/>
  <c r="R7" i="49"/>
  <c r="Q7" i="49"/>
  <c r="O7" i="49"/>
  <c r="P7" i="49" l="1"/>
  <c r="X7" i="49" s="1"/>
  <c r="X4" i="49" s="1"/>
  <c r="H13" i="67" s="1"/>
  <c r="W7" i="49"/>
  <c r="W4" i="49" s="1"/>
  <c r="G13" i="67" s="1"/>
  <c r="Y7" i="49"/>
  <c r="Y5" i="49" s="1"/>
  <c r="I14" i="67" s="1"/>
  <c r="Z7" i="49"/>
  <c r="Z4" i="49" s="1"/>
  <c r="J13" i="67" s="1"/>
  <c r="Y4" i="49" l="1"/>
  <c r="I13" i="67" s="1"/>
  <c r="Y6" i="49"/>
  <c r="I15" i="67" s="1"/>
  <c r="Y15" i="67" s="1"/>
  <c r="Z6" i="49"/>
  <c r="J15" i="67" s="1"/>
  <c r="Z15" i="67" s="1"/>
  <c r="Y14" i="67"/>
  <c r="W13" i="67"/>
  <c r="Z5" i="49"/>
  <c r="J14" i="67" s="1"/>
  <c r="Z13" i="67"/>
  <c r="X13" i="67"/>
  <c r="W6" i="49"/>
  <c r="G15" i="67" s="1"/>
  <c r="X6" i="49"/>
  <c r="H15" i="67" s="1"/>
  <c r="W5" i="49"/>
  <c r="G14" i="67" s="1"/>
  <c r="X5" i="49"/>
  <c r="H14" i="67" s="1"/>
  <c r="R15" i="67" l="1"/>
  <c r="Q14" i="67"/>
  <c r="Y13" i="67"/>
  <c r="Q13" i="67"/>
  <c r="Q15" i="67"/>
  <c r="P13" i="67"/>
  <c r="W15" i="67"/>
  <c r="O15" i="67"/>
  <c r="R13" i="67"/>
  <c r="R14" i="67"/>
  <c r="Z14" i="67"/>
  <c r="X14" i="67"/>
  <c r="P14" i="67"/>
  <c r="O13" i="67"/>
  <c r="W14" i="67"/>
  <c r="O14" i="67"/>
  <c r="X15" i="67"/>
  <c r="P15" i="67"/>
  <c r="F31" i="51"/>
  <c r="F31" i="49"/>
  <c r="E31" i="51"/>
  <c r="J31" i="51" s="1"/>
  <c r="J31" i="49" s="1"/>
  <c r="I30" i="51"/>
  <c r="I30" i="49"/>
  <c r="E30" i="51"/>
  <c r="E32" i="49" s="1"/>
  <c r="G30" i="51" l="1"/>
  <c r="G31" i="51"/>
  <c r="G31" i="49" s="1"/>
  <c r="E31" i="49"/>
  <c r="M31" i="49" s="1"/>
  <c r="H31" i="51"/>
  <c r="H31" i="49" s="1"/>
  <c r="J30" i="51"/>
  <c r="F30" i="51"/>
  <c r="I31" i="51"/>
  <c r="I31" i="49" s="1"/>
  <c r="E30" i="49"/>
  <c r="M30" i="49" s="1"/>
  <c r="H30" i="51"/>
  <c r="H30" i="49" l="1"/>
  <c r="H32" i="49"/>
  <c r="M32" i="49"/>
  <c r="U32" i="49" s="1"/>
  <c r="U30" i="49" s="1"/>
  <c r="E17" i="67" s="1"/>
  <c r="P31" i="49"/>
  <c r="G30" i="49"/>
  <c r="O30" i="49" s="1"/>
  <c r="G32" i="49"/>
  <c r="O31" i="49" s="1"/>
  <c r="F32" i="49"/>
  <c r="N31" i="49" s="1"/>
  <c r="F30" i="49"/>
  <c r="N30" i="49" s="1"/>
  <c r="I32" i="49"/>
  <c r="Q30" i="49" s="1"/>
  <c r="J32" i="49"/>
  <c r="R31" i="49" s="1"/>
  <c r="J30" i="49"/>
  <c r="R30" i="49" s="1"/>
  <c r="O32" i="49" l="1"/>
  <c r="W32" i="49" s="1"/>
  <c r="R32" i="49"/>
  <c r="Z32" i="49" s="1"/>
  <c r="Z30" i="49" s="1"/>
  <c r="J17" i="67" s="1"/>
  <c r="U17" i="67"/>
  <c r="Q31" i="49"/>
  <c r="N32" i="49"/>
  <c r="V32" i="49" s="1"/>
  <c r="P30" i="49"/>
  <c r="U31" i="49"/>
  <c r="E18" i="67" s="1"/>
  <c r="M17" i="67" s="1"/>
  <c r="W30" i="49" l="1"/>
  <c r="G17" i="67" s="1"/>
  <c r="W17" i="67" s="1"/>
  <c r="Z17" i="67"/>
  <c r="P32" i="49"/>
  <c r="V31" i="49"/>
  <c r="F18" i="67" s="1"/>
  <c r="V30" i="49"/>
  <c r="F17" i="67" s="1"/>
  <c r="Z31" i="49"/>
  <c r="J18" i="67" s="1"/>
  <c r="R17" i="67" s="1"/>
  <c r="M18" i="67"/>
  <c r="U18" i="67"/>
  <c r="Q32" i="49"/>
  <c r="W31" i="49"/>
  <c r="G18" i="67" s="1"/>
  <c r="O17" i="67" l="1"/>
  <c r="V17" i="67"/>
  <c r="N17" i="67"/>
  <c r="O18" i="67"/>
  <c r="W18" i="67"/>
  <c r="N18" i="67"/>
  <c r="V18" i="67"/>
  <c r="Y32" i="49"/>
  <c r="Y31" i="49" s="1"/>
  <c r="I18" i="67" s="1"/>
  <c r="X32" i="49"/>
  <c r="X30" i="49" s="1"/>
  <c r="H17" i="67" s="1"/>
  <c r="Z18" i="67"/>
  <c r="R18" i="67"/>
  <c r="X31" i="49" l="1"/>
  <c r="H18" i="67" s="1"/>
  <c r="P18" i="67" s="1"/>
  <c r="Y30" i="49"/>
  <c r="I17" i="67" s="1"/>
  <c r="Q18" i="67" s="1"/>
  <c r="Y18" i="67"/>
  <c r="X17" i="67"/>
  <c r="P17" i="67" l="1"/>
  <c r="Q17" i="67"/>
  <c r="Y17" i="67"/>
  <c r="X18" i="67"/>
</calcChain>
</file>

<file path=xl/comments1.xml><?xml version="1.0" encoding="utf-8"?>
<comments xmlns="http://schemas.openxmlformats.org/spreadsheetml/2006/main">
  <authors>
    <author>Cerny</author>
  </authors>
  <commentList>
    <comment ref="D65" authorId="0" shapeId="0">
      <text>
        <r>
          <rPr>
            <b/>
            <sz val="9"/>
            <color indexed="81"/>
            <rFont val="Tahoma"/>
            <family val="2"/>
            <charset val="238"/>
          </rPr>
          <t>Cerny:</t>
        </r>
        <r>
          <rPr>
            <sz val="9"/>
            <color indexed="81"/>
            <rFont val="Tahoma"/>
            <family val="2"/>
            <charset val="238"/>
          </rPr>
          <t xml:space="preserve">
Considering alternative ways of production, not  cases with alternative fuels only</t>
        </r>
      </text>
    </comment>
    <comment ref="D66" authorId="0" shapeId="0">
      <text>
        <r>
          <rPr>
            <b/>
            <sz val="9"/>
            <color indexed="81"/>
            <rFont val="Tahoma"/>
            <family val="2"/>
            <charset val="238"/>
          </rPr>
          <t>Cerny:</t>
        </r>
        <r>
          <rPr>
            <sz val="9"/>
            <color indexed="81"/>
            <rFont val="Tahoma"/>
            <family val="2"/>
            <charset val="238"/>
          </rPr>
          <t xml:space="preserve">
Considering alternative ways of production, not  cases with alternative fuels only</t>
        </r>
      </text>
    </comment>
    <comment ref="D67" authorId="0" shapeId="0">
      <text>
        <r>
          <rPr>
            <b/>
            <sz val="9"/>
            <color indexed="81"/>
            <rFont val="Tahoma"/>
            <family val="2"/>
            <charset val="238"/>
          </rPr>
          <t>Cerny:</t>
        </r>
        <r>
          <rPr>
            <sz val="9"/>
            <color indexed="81"/>
            <rFont val="Tahoma"/>
            <family val="2"/>
            <charset val="238"/>
          </rPr>
          <t xml:space="preserve">
Considering alternative ways of production, not  cases with alternative fuels only</t>
        </r>
      </text>
    </comment>
    <comment ref="D68" authorId="0" shapeId="0">
      <text>
        <r>
          <rPr>
            <b/>
            <sz val="9"/>
            <color indexed="81"/>
            <rFont val="Tahoma"/>
            <family val="2"/>
            <charset val="238"/>
          </rPr>
          <t>Cerny:</t>
        </r>
        <r>
          <rPr>
            <sz val="9"/>
            <color indexed="81"/>
            <rFont val="Tahoma"/>
            <family val="2"/>
            <charset val="238"/>
          </rPr>
          <t xml:space="preserve">
Considering alternative ways of production, not  cases with alternative fuels only</t>
        </r>
      </text>
    </comment>
    <comment ref="D69" authorId="0" shapeId="0">
      <text>
        <r>
          <rPr>
            <b/>
            <sz val="9"/>
            <color indexed="81"/>
            <rFont val="Tahoma"/>
            <family val="2"/>
            <charset val="238"/>
          </rPr>
          <t>Cerny:</t>
        </r>
        <r>
          <rPr>
            <sz val="9"/>
            <color indexed="81"/>
            <rFont val="Tahoma"/>
            <family val="2"/>
            <charset val="238"/>
          </rPr>
          <t xml:space="preserve">
Considering alternative ways of production, not  cases with alternative fuels only</t>
        </r>
      </text>
    </comment>
    <comment ref="D70" authorId="0" shapeId="0">
      <text>
        <r>
          <rPr>
            <b/>
            <sz val="9"/>
            <color indexed="81"/>
            <rFont val="Tahoma"/>
            <family val="2"/>
            <charset val="238"/>
          </rPr>
          <t>Cerny:</t>
        </r>
        <r>
          <rPr>
            <sz val="9"/>
            <color indexed="81"/>
            <rFont val="Tahoma"/>
            <family val="2"/>
            <charset val="238"/>
          </rPr>
          <t xml:space="preserve">
Considering alternative ways of production, not  cases with alternative fuels only</t>
        </r>
      </text>
    </comment>
    <comment ref="D71" authorId="0" shapeId="0">
      <text>
        <r>
          <rPr>
            <b/>
            <sz val="9"/>
            <color indexed="81"/>
            <rFont val="Tahoma"/>
            <family val="2"/>
            <charset val="238"/>
          </rPr>
          <t>Cerny:</t>
        </r>
        <r>
          <rPr>
            <sz val="9"/>
            <color indexed="81"/>
            <rFont val="Tahoma"/>
            <family val="2"/>
            <charset val="238"/>
          </rPr>
          <t xml:space="preserve">
Considering alternative ways of production, not  cases with alternative fuels only</t>
        </r>
      </text>
    </comment>
    <comment ref="B77" authorId="0" shapeId="0">
      <text>
        <r>
          <rPr>
            <b/>
            <sz val="9"/>
            <color indexed="81"/>
            <rFont val="Tahoma"/>
            <family val="2"/>
            <charset val="238"/>
          </rPr>
          <t>Cerny:</t>
        </r>
        <r>
          <rPr>
            <sz val="9"/>
            <color indexed="81"/>
            <rFont val="Tahoma"/>
            <family val="2"/>
            <charset val="238"/>
          </rPr>
          <t xml:space="preserve">
Rather strategies than technologies</t>
        </r>
      </text>
    </comment>
    <comment ref="C77" authorId="0" shapeId="0">
      <text>
        <r>
          <rPr>
            <b/>
            <sz val="9"/>
            <color indexed="81"/>
            <rFont val="Tahoma"/>
            <family val="2"/>
            <charset val="238"/>
          </rPr>
          <t>Cerny:</t>
        </r>
        <r>
          <rPr>
            <sz val="9"/>
            <color indexed="81"/>
            <rFont val="Tahoma"/>
            <family val="2"/>
            <charset val="238"/>
          </rPr>
          <t xml:space="preserve">
Rather strategies than technologies</t>
        </r>
      </text>
    </comment>
  </commentList>
</comments>
</file>

<file path=xl/comments2.xml><?xml version="1.0" encoding="utf-8"?>
<comments xmlns="http://schemas.openxmlformats.org/spreadsheetml/2006/main">
  <authors>
    <author>Cerny</author>
  </authors>
  <commentList>
    <comment ref="E1" authorId="0" shapeId="0">
      <text>
        <r>
          <rPr>
            <b/>
            <sz val="9"/>
            <color indexed="81"/>
            <rFont val="Tahoma"/>
            <family val="2"/>
            <charset val="238"/>
          </rPr>
          <t>Cerny:</t>
        </r>
        <r>
          <rPr>
            <sz val="9"/>
            <color indexed="81"/>
            <rFont val="Tahoma"/>
            <family val="2"/>
            <charset val="238"/>
          </rPr>
          <t xml:space="preserve">
NR = Not Relevant (we do not split the sector into technology-specific production functions)</t>
        </r>
      </text>
    </comment>
    <comment ref="G1" authorId="0" shapeId="0">
      <text>
        <r>
          <rPr>
            <b/>
            <sz val="9"/>
            <color indexed="81"/>
            <rFont val="Tahoma"/>
            <family val="2"/>
            <charset val="238"/>
          </rPr>
          <t>Cerny:</t>
        </r>
        <r>
          <rPr>
            <sz val="9"/>
            <color indexed="81"/>
            <rFont val="Tahoma"/>
            <family val="2"/>
            <charset val="238"/>
          </rPr>
          <t xml:space="preserve">
NR = Not Relevant (we do not split the sector into technology-specific production functions)</t>
        </r>
      </text>
    </comment>
    <comment ref="H1" authorId="0" shapeId="0">
      <text>
        <r>
          <rPr>
            <b/>
            <sz val="9"/>
            <color indexed="81"/>
            <rFont val="Tahoma"/>
            <family val="2"/>
            <charset val="238"/>
          </rPr>
          <t>Cerny:</t>
        </r>
        <r>
          <rPr>
            <sz val="9"/>
            <color indexed="81"/>
            <rFont val="Tahoma"/>
            <family val="2"/>
            <charset val="238"/>
          </rPr>
          <t xml:space="preserve">
NR = Not Relevant (we do not split the sector into technology-specific production functions)</t>
        </r>
      </text>
    </comment>
    <comment ref="J1" authorId="0" shapeId="0">
      <text>
        <r>
          <rPr>
            <b/>
            <sz val="9"/>
            <color indexed="81"/>
            <rFont val="Tahoma"/>
            <family val="2"/>
            <charset val="238"/>
          </rPr>
          <t>Cerny:</t>
        </r>
        <r>
          <rPr>
            <sz val="9"/>
            <color indexed="81"/>
            <rFont val="Tahoma"/>
            <family val="2"/>
            <charset val="238"/>
          </rPr>
          <t xml:space="preserve">
NR = Not Relevant (we do not split the sector into technology-specific production functions)</t>
        </r>
      </text>
    </comment>
    <comment ref="K1" authorId="0" shapeId="0">
      <text>
        <r>
          <rPr>
            <b/>
            <sz val="9"/>
            <color indexed="81"/>
            <rFont val="Tahoma"/>
            <family val="2"/>
            <charset val="238"/>
          </rPr>
          <t>Cerny:</t>
        </r>
        <r>
          <rPr>
            <sz val="9"/>
            <color indexed="81"/>
            <rFont val="Tahoma"/>
            <family val="2"/>
            <charset val="238"/>
          </rPr>
          <t xml:space="preserve">
NR = Not Relevant (we do not split the sector into technology-specific production functions)</t>
        </r>
      </text>
    </comment>
    <comment ref="M1" authorId="0" shapeId="0">
      <text>
        <r>
          <rPr>
            <b/>
            <sz val="9"/>
            <color indexed="81"/>
            <rFont val="Tahoma"/>
            <family val="2"/>
            <charset val="238"/>
          </rPr>
          <t>Cerny:</t>
        </r>
        <r>
          <rPr>
            <sz val="9"/>
            <color indexed="81"/>
            <rFont val="Tahoma"/>
            <family val="2"/>
            <charset val="238"/>
          </rPr>
          <t xml:space="preserve">
Technology Readiness Level, see https://ec.europa.eu/research/participants/data/ref/h2020/wp/2014_2015/annexes/h2020-wp1415-annex-g-trl_en.pdf</t>
        </r>
      </text>
    </comment>
    <comment ref="O1" authorId="0" shapeId="0">
      <text>
        <r>
          <rPr>
            <b/>
            <sz val="9"/>
            <color indexed="81"/>
            <rFont val="Tahoma"/>
            <family val="2"/>
            <charset val="238"/>
          </rPr>
          <t>Cerny:</t>
        </r>
        <r>
          <rPr>
            <sz val="9"/>
            <color indexed="81"/>
            <rFont val="Tahoma"/>
            <family val="2"/>
            <charset val="238"/>
          </rPr>
          <t xml:space="preserve">
Technology Readiness Level, see https://ec.europa.eu/research/participants/data/ref/h2020/wp/2014_2015/annexes/h2020-wp1415-annex-g-trl_en.pdf</t>
        </r>
      </text>
    </comment>
    <comment ref="A6" authorId="0" shapeId="0">
      <text>
        <r>
          <rPr>
            <b/>
            <sz val="9"/>
            <color indexed="81"/>
            <rFont val="Tahoma"/>
            <charset val="1"/>
          </rPr>
          <t>Cerny:</t>
        </r>
        <r>
          <rPr>
            <sz val="9"/>
            <color indexed="81"/>
            <rFont val="Tahoma"/>
            <charset val="1"/>
          </rPr>
          <t xml:space="preserve">
For scenario modeling purposes only</t>
        </r>
      </text>
    </comment>
    <comment ref="C7" authorId="0" shapeId="0">
      <text>
        <r>
          <rPr>
            <b/>
            <sz val="9"/>
            <color indexed="81"/>
            <rFont val="Tahoma"/>
            <charset val="1"/>
          </rPr>
          <t>Cerny:</t>
        </r>
        <r>
          <rPr>
            <sz val="9"/>
            <color indexed="81"/>
            <rFont val="Tahoma"/>
            <charset val="1"/>
          </rPr>
          <t xml:space="preserve">
For scenario modeling purposes only</t>
        </r>
      </text>
    </comment>
    <comment ref="G8" authorId="0" shapeId="0">
      <text>
        <r>
          <rPr>
            <b/>
            <sz val="9"/>
            <color indexed="81"/>
            <rFont val="Tahoma"/>
            <charset val="1"/>
          </rPr>
          <t>Cerny:</t>
        </r>
        <r>
          <rPr>
            <sz val="9"/>
            <color indexed="81"/>
            <rFont val="Tahoma"/>
            <charset val="1"/>
          </rPr>
          <t xml:space="preserve">
Linear interpolation between now and 2050</t>
        </r>
      </text>
    </comment>
    <comment ref="I8" authorId="0" shapeId="0">
      <text>
        <r>
          <rPr>
            <b/>
            <sz val="9"/>
            <color indexed="81"/>
            <rFont val="Tahoma"/>
            <charset val="1"/>
          </rPr>
          <t>Cerny:</t>
        </r>
        <r>
          <rPr>
            <sz val="9"/>
            <color indexed="81"/>
            <rFont val="Tahoma"/>
            <charset val="1"/>
          </rPr>
          <t xml:space="preserve">
"New processes pathway"</t>
        </r>
      </text>
    </comment>
    <comment ref="J8" authorId="0" shapeId="0">
      <text>
        <r>
          <rPr>
            <b/>
            <sz val="9"/>
            <color indexed="81"/>
            <rFont val="Tahoma"/>
            <charset val="1"/>
          </rPr>
          <t>Cerny:</t>
        </r>
        <r>
          <rPr>
            <sz val="9"/>
            <color indexed="81"/>
            <rFont val="Tahoma"/>
            <charset val="1"/>
          </rPr>
          <t xml:space="preserve">
Linear interpolation between now and 2050</t>
        </r>
      </text>
    </comment>
    <comment ref="L8" authorId="0" shapeId="0">
      <text>
        <r>
          <rPr>
            <b/>
            <sz val="9"/>
            <color indexed="81"/>
            <rFont val="Tahoma"/>
            <charset val="1"/>
          </rPr>
          <t>Cerny:</t>
        </r>
        <r>
          <rPr>
            <sz val="9"/>
            <color indexed="81"/>
            <rFont val="Tahoma"/>
            <charset val="1"/>
          </rPr>
          <t xml:space="preserve">
"Carbon capture pathway"</t>
        </r>
      </text>
    </comment>
    <comment ref="G9" authorId="0" shapeId="0">
      <text>
        <r>
          <rPr>
            <b/>
            <sz val="9"/>
            <color indexed="81"/>
            <rFont val="Tahoma"/>
            <charset val="1"/>
          </rPr>
          <t>Cerny:</t>
        </r>
        <r>
          <rPr>
            <sz val="9"/>
            <color indexed="81"/>
            <rFont val="Tahoma"/>
            <charset val="1"/>
          </rPr>
          <t xml:space="preserve">
Interpolation between now and 2050</t>
        </r>
      </text>
    </comment>
    <comment ref="H9" authorId="0" shapeId="0">
      <text>
        <r>
          <rPr>
            <b/>
            <sz val="9"/>
            <color indexed="81"/>
            <rFont val="Tahoma"/>
            <charset val="1"/>
          </rPr>
          <t>Cerny:</t>
        </r>
        <r>
          <rPr>
            <sz val="9"/>
            <color indexed="81"/>
            <rFont val="Tahoma"/>
            <charset val="1"/>
          </rPr>
          <t xml:space="preserve">
Electrification of kiln and Electrification of kiln + direct separation (CCS) added together</t>
        </r>
      </text>
    </comment>
    <comment ref="I9" authorId="0" shapeId="0">
      <text>
        <r>
          <rPr>
            <b/>
            <sz val="9"/>
            <color indexed="81"/>
            <rFont val="Tahoma"/>
            <charset val="1"/>
          </rPr>
          <t>Cerny:</t>
        </r>
        <r>
          <rPr>
            <sz val="9"/>
            <color indexed="81"/>
            <rFont val="Tahoma"/>
            <charset val="1"/>
          </rPr>
          <t xml:space="preserve">
"New processes pathway"</t>
        </r>
      </text>
    </comment>
    <comment ref="J9" authorId="0" shapeId="0">
      <text>
        <r>
          <rPr>
            <b/>
            <sz val="9"/>
            <color indexed="81"/>
            <rFont val="Tahoma"/>
            <charset val="1"/>
          </rPr>
          <t>Cerny:</t>
        </r>
        <r>
          <rPr>
            <sz val="9"/>
            <color indexed="81"/>
            <rFont val="Tahoma"/>
            <charset val="1"/>
          </rPr>
          <t xml:space="preserve">
Interpolation between now and 2050</t>
        </r>
      </text>
    </comment>
    <comment ref="L9" authorId="0" shapeId="0">
      <text>
        <r>
          <rPr>
            <b/>
            <sz val="9"/>
            <color indexed="81"/>
            <rFont val="Tahoma"/>
            <charset val="1"/>
          </rPr>
          <t>Cerny:</t>
        </r>
        <r>
          <rPr>
            <sz val="9"/>
            <color indexed="81"/>
            <rFont val="Tahoma"/>
            <charset val="1"/>
          </rPr>
          <t xml:space="preserve">
"Carbon capture pathway"</t>
        </r>
      </text>
    </comment>
    <comment ref="G10" authorId="0" shapeId="0">
      <text>
        <r>
          <rPr>
            <b/>
            <sz val="9"/>
            <color indexed="81"/>
            <rFont val="Tahoma"/>
            <charset val="1"/>
          </rPr>
          <t>Cerny:</t>
        </r>
        <r>
          <rPr>
            <sz val="9"/>
            <color indexed="81"/>
            <rFont val="Tahoma"/>
            <charset val="1"/>
          </rPr>
          <t xml:space="preserve">
Interpolation between now and 2050</t>
        </r>
      </text>
    </comment>
    <comment ref="I10" authorId="0" shapeId="0">
      <text>
        <r>
          <rPr>
            <b/>
            <sz val="9"/>
            <color indexed="81"/>
            <rFont val="Tahoma"/>
            <charset val="1"/>
          </rPr>
          <t>Cerny:</t>
        </r>
        <r>
          <rPr>
            <sz val="9"/>
            <color indexed="81"/>
            <rFont val="Tahoma"/>
            <charset val="1"/>
          </rPr>
          <t xml:space="preserve">
"New processes pathway"</t>
        </r>
      </text>
    </comment>
    <comment ref="J10" authorId="0" shapeId="0">
      <text>
        <r>
          <rPr>
            <b/>
            <sz val="9"/>
            <color indexed="81"/>
            <rFont val="Tahoma"/>
            <charset val="1"/>
          </rPr>
          <t>Cerny:</t>
        </r>
        <r>
          <rPr>
            <sz val="9"/>
            <color indexed="81"/>
            <rFont val="Tahoma"/>
            <charset val="1"/>
          </rPr>
          <t xml:space="preserve">
Interpolation between now and 2050</t>
        </r>
      </text>
    </comment>
    <comment ref="L10" authorId="0" shapeId="0">
      <text>
        <r>
          <rPr>
            <b/>
            <sz val="9"/>
            <color indexed="81"/>
            <rFont val="Tahoma"/>
            <charset val="1"/>
          </rPr>
          <t>Cerny:</t>
        </r>
        <r>
          <rPr>
            <sz val="9"/>
            <color indexed="81"/>
            <rFont val="Tahoma"/>
            <charset val="1"/>
          </rPr>
          <t xml:space="preserve">
"Carbon capture pathway"</t>
        </r>
      </text>
    </comment>
    <comment ref="A12" authorId="0" shapeId="0">
      <text>
        <r>
          <rPr>
            <b/>
            <sz val="9"/>
            <color indexed="81"/>
            <rFont val="Tahoma"/>
            <charset val="1"/>
          </rPr>
          <t>Cerny:</t>
        </r>
        <r>
          <rPr>
            <sz val="9"/>
            <color indexed="81"/>
            <rFont val="Tahoma"/>
            <charset val="1"/>
          </rPr>
          <t xml:space="preserve">
For scenario modeling purposes only</t>
        </r>
      </text>
    </comment>
    <comment ref="C13" authorId="0" shapeId="0">
      <text>
        <r>
          <rPr>
            <b/>
            <sz val="9"/>
            <color indexed="81"/>
            <rFont val="Tahoma"/>
            <charset val="1"/>
          </rPr>
          <t>Cerny:</t>
        </r>
        <r>
          <rPr>
            <sz val="9"/>
            <color indexed="81"/>
            <rFont val="Tahoma"/>
            <charset val="1"/>
          </rPr>
          <t xml:space="preserve">
For scenario modeling purposes only</t>
        </r>
      </text>
    </comment>
    <comment ref="G14" authorId="0" shapeId="0">
      <text>
        <r>
          <rPr>
            <b/>
            <sz val="9"/>
            <color indexed="81"/>
            <rFont val="Tahoma"/>
            <charset val="1"/>
          </rPr>
          <t>Cerny:</t>
        </r>
        <r>
          <rPr>
            <sz val="9"/>
            <color indexed="81"/>
            <rFont val="Tahoma"/>
            <charset val="1"/>
          </rPr>
          <t xml:space="preserve">
Interpolation between now and 2050</t>
        </r>
      </text>
    </comment>
    <comment ref="I14" authorId="0" shapeId="0">
      <text>
        <r>
          <rPr>
            <b/>
            <sz val="9"/>
            <color indexed="81"/>
            <rFont val="Tahoma"/>
            <charset val="1"/>
          </rPr>
          <t>Cerny:</t>
        </r>
        <r>
          <rPr>
            <sz val="9"/>
            <color indexed="81"/>
            <rFont val="Tahoma"/>
            <charset val="1"/>
          </rPr>
          <t xml:space="preserve">
"New processes pathway"</t>
        </r>
      </text>
    </comment>
    <comment ref="J14" authorId="0" shapeId="0">
      <text>
        <r>
          <rPr>
            <b/>
            <sz val="9"/>
            <color indexed="81"/>
            <rFont val="Tahoma"/>
            <charset val="1"/>
          </rPr>
          <t>Cerny:</t>
        </r>
        <r>
          <rPr>
            <sz val="9"/>
            <color indexed="81"/>
            <rFont val="Tahoma"/>
            <charset val="1"/>
          </rPr>
          <t xml:space="preserve">
Linear interpolation between now and 2050</t>
        </r>
      </text>
    </comment>
    <comment ref="L14" authorId="0" shapeId="0">
      <text>
        <r>
          <rPr>
            <b/>
            <sz val="9"/>
            <color indexed="81"/>
            <rFont val="Tahoma"/>
            <charset val="1"/>
          </rPr>
          <t>Cerny:</t>
        </r>
        <r>
          <rPr>
            <sz val="9"/>
            <color indexed="81"/>
            <rFont val="Tahoma"/>
            <charset val="1"/>
          </rPr>
          <t xml:space="preserve">
"Carbon capture pathway"</t>
        </r>
      </text>
    </comment>
    <comment ref="G15" authorId="0" shapeId="0">
      <text>
        <r>
          <rPr>
            <b/>
            <sz val="9"/>
            <color indexed="81"/>
            <rFont val="Tahoma"/>
            <charset val="1"/>
          </rPr>
          <t>Cerny:</t>
        </r>
        <r>
          <rPr>
            <sz val="9"/>
            <color indexed="81"/>
            <rFont val="Tahoma"/>
            <charset val="1"/>
          </rPr>
          <t xml:space="preserve">
Estimation based on the figure in Material Economics (2019)</t>
        </r>
      </text>
    </comment>
    <comment ref="I15" authorId="0" shapeId="0">
      <text>
        <r>
          <rPr>
            <b/>
            <sz val="9"/>
            <color indexed="81"/>
            <rFont val="Tahoma"/>
            <charset val="1"/>
          </rPr>
          <t>Cerny:</t>
        </r>
        <r>
          <rPr>
            <sz val="9"/>
            <color indexed="81"/>
            <rFont val="Tahoma"/>
            <charset val="1"/>
          </rPr>
          <t xml:space="preserve">
"New processes pathway"</t>
        </r>
      </text>
    </comment>
    <comment ref="J15" authorId="0" shapeId="0">
      <text>
        <r>
          <rPr>
            <b/>
            <sz val="9"/>
            <color indexed="81"/>
            <rFont val="Tahoma"/>
            <charset val="1"/>
          </rPr>
          <t>Cerny:</t>
        </r>
        <r>
          <rPr>
            <sz val="9"/>
            <color indexed="81"/>
            <rFont val="Tahoma"/>
            <charset val="1"/>
          </rPr>
          <t xml:space="preserve">
Interpolation between now and 2050</t>
        </r>
      </text>
    </comment>
    <comment ref="L15" authorId="0" shapeId="0">
      <text>
        <r>
          <rPr>
            <b/>
            <sz val="9"/>
            <color indexed="81"/>
            <rFont val="Tahoma"/>
            <charset val="1"/>
          </rPr>
          <t>Cerny:</t>
        </r>
        <r>
          <rPr>
            <sz val="9"/>
            <color indexed="81"/>
            <rFont val="Tahoma"/>
            <charset val="1"/>
          </rPr>
          <t xml:space="preserve">
"Carbon capture pathway"</t>
        </r>
      </text>
    </comment>
    <comment ref="G16" authorId="0" shapeId="0">
      <text>
        <r>
          <rPr>
            <b/>
            <sz val="9"/>
            <color indexed="81"/>
            <rFont val="Tahoma"/>
            <charset val="1"/>
          </rPr>
          <t>Cerny:</t>
        </r>
        <r>
          <rPr>
            <sz val="9"/>
            <color indexed="81"/>
            <rFont val="Tahoma"/>
            <charset val="1"/>
          </rPr>
          <t xml:space="preserve">
Interpolation between now and 2050</t>
        </r>
      </text>
    </comment>
    <comment ref="I16" authorId="0" shapeId="0">
      <text>
        <r>
          <rPr>
            <b/>
            <sz val="9"/>
            <color indexed="81"/>
            <rFont val="Tahoma"/>
            <charset val="1"/>
          </rPr>
          <t>Cerny:</t>
        </r>
        <r>
          <rPr>
            <sz val="9"/>
            <color indexed="81"/>
            <rFont val="Tahoma"/>
            <charset val="1"/>
          </rPr>
          <t xml:space="preserve">
"New processes pathway"</t>
        </r>
      </text>
    </comment>
    <comment ref="J16" authorId="0" shapeId="0">
      <text>
        <r>
          <rPr>
            <b/>
            <sz val="9"/>
            <color indexed="81"/>
            <rFont val="Tahoma"/>
            <charset val="1"/>
          </rPr>
          <t>Cerny:</t>
        </r>
        <r>
          <rPr>
            <sz val="9"/>
            <color indexed="81"/>
            <rFont val="Tahoma"/>
            <charset val="1"/>
          </rPr>
          <t xml:space="preserve">
Interpolation between now and 2050</t>
        </r>
      </text>
    </comment>
    <comment ref="L16" authorId="0" shapeId="0">
      <text>
        <r>
          <rPr>
            <b/>
            <sz val="9"/>
            <color indexed="81"/>
            <rFont val="Tahoma"/>
            <charset val="1"/>
          </rPr>
          <t>Cerny:</t>
        </r>
        <r>
          <rPr>
            <sz val="9"/>
            <color indexed="81"/>
            <rFont val="Tahoma"/>
            <charset val="1"/>
          </rPr>
          <t xml:space="preserve">
"Carbon capture pathway"</t>
        </r>
      </text>
    </comment>
    <comment ref="A18" authorId="0" shapeId="0">
      <text>
        <r>
          <rPr>
            <b/>
            <sz val="9"/>
            <color indexed="81"/>
            <rFont val="Tahoma"/>
            <charset val="1"/>
          </rPr>
          <t>Cerny:</t>
        </r>
        <r>
          <rPr>
            <sz val="9"/>
            <color indexed="81"/>
            <rFont val="Tahoma"/>
            <charset val="1"/>
          </rPr>
          <t xml:space="preserve">
For scenario modeling purposes only</t>
        </r>
      </text>
    </comment>
    <comment ref="C19" authorId="0" shapeId="0">
      <text>
        <r>
          <rPr>
            <b/>
            <sz val="9"/>
            <color indexed="81"/>
            <rFont val="Tahoma"/>
            <charset val="1"/>
          </rPr>
          <t>Cerny:</t>
        </r>
        <r>
          <rPr>
            <sz val="9"/>
            <color indexed="81"/>
            <rFont val="Tahoma"/>
            <charset val="1"/>
          </rPr>
          <t xml:space="preserve">
For scenario modeling purposes only</t>
        </r>
      </text>
    </comment>
    <comment ref="G20" authorId="0" shapeId="0">
      <text>
        <r>
          <rPr>
            <b/>
            <sz val="9"/>
            <color indexed="81"/>
            <rFont val="Tahoma"/>
            <charset val="1"/>
          </rPr>
          <t>Cerny:</t>
        </r>
        <r>
          <rPr>
            <sz val="9"/>
            <color indexed="81"/>
            <rFont val="Tahoma"/>
            <charset val="1"/>
          </rPr>
          <t xml:space="preserve">
Linear interpolation between now and 2050</t>
        </r>
      </text>
    </comment>
    <comment ref="H20" authorId="0" shapeId="0">
      <text>
        <r>
          <rPr>
            <b/>
            <sz val="9"/>
            <color indexed="81"/>
            <rFont val="Tahoma"/>
            <charset val="1"/>
          </rPr>
          <t>Cerny:</t>
        </r>
        <r>
          <rPr>
            <sz val="9"/>
            <color indexed="81"/>
            <rFont val="Tahoma"/>
            <charset val="1"/>
          </rPr>
          <t xml:space="preserve">
NOTE: THE FINAL MIX IS BASED ON THE CONTRIBUTION TO EMISSION REDUCTIONS! THIS MIGHT DIFFER FROM THE SHARE ON PRODUCTION, THE REPORT IS NOT EXPLICIT ABOUT THAT.</t>
        </r>
      </text>
    </comment>
    <comment ref="I20" authorId="0" shapeId="0">
      <text>
        <r>
          <rPr>
            <b/>
            <sz val="9"/>
            <color indexed="81"/>
            <rFont val="Tahoma"/>
            <charset val="1"/>
          </rPr>
          <t>Cerny:</t>
        </r>
        <r>
          <rPr>
            <sz val="9"/>
            <color indexed="81"/>
            <rFont val="Tahoma"/>
            <charset val="1"/>
          </rPr>
          <t xml:space="preserve">
"New processes pathway"</t>
        </r>
      </text>
    </comment>
    <comment ref="J20" authorId="0" shapeId="0">
      <text>
        <r>
          <rPr>
            <b/>
            <sz val="9"/>
            <color indexed="81"/>
            <rFont val="Tahoma"/>
            <charset val="1"/>
          </rPr>
          <t>Cerny:</t>
        </r>
        <r>
          <rPr>
            <sz val="9"/>
            <color indexed="81"/>
            <rFont val="Tahoma"/>
            <charset val="1"/>
          </rPr>
          <t xml:space="preserve">
Linear interpolation between now and 2050</t>
        </r>
      </text>
    </comment>
    <comment ref="K20" authorId="0" shapeId="0">
      <text>
        <r>
          <rPr>
            <b/>
            <sz val="9"/>
            <color indexed="81"/>
            <rFont val="Tahoma"/>
            <charset val="1"/>
          </rPr>
          <t>Cerny:</t>
        </r>
        <r>
          <rPr>
            <sz val="9"/>
            <color indexed="81"/>
            <rFont val="Tahoma"/>
            <charset val="1"/>
          </rPr>
          <t xml:space="preserve">
NOTE: THE FINAL MIX IS BASED ON THE CONTRIBUTION TO EMISSION REDUCTIONS! THIS MIGHT DIFFER FROM THE SHARE ON PRODUCTION, THE REPORT IS NOT EXPLICIT ABOUT THAT.</t>
        </r>
      </text>
    </comment>
    <comment ref="L20" authorId="0" shapeId="0">
      <text>
        <r>
          <rPr>
            <b/>
            <sz val="9"/>
            <color indexed="81"/>
            <rFont val="Tahoma"/>
            <charset val="1"/>
          </rPr>
          <t>Cerny:</t>
        </r>
        <r>
          <rPr>
            <sz val="9"/>
            <color indexed="81"/>
            <rFont val="Tahoma"/>
            <charset val="1"/>
          </rPr>
          <t xml:space="preserve">
"Carbon capture pathway"</t>
        </r>
      </text>
    </comment>
    <comment ref="G21" authorId="0" shapeId="0">
      <text>
        <r>
          <rPr>
            <b/>
            <sz val="9"/>
            <color indexed="81"/>
            <rFont val="Tahoma"/>
            <charset val="1"/>
          </rPr>
          <t>Cerny:</t>
        </r>
        <r>
          <rPr>
            <sz val="9"/>
            <color indexed="81"/>
            <rFont val="Tahoma"/>
            <charset val="1"/>
          </rPr>
          <t xml:space="preserve">
Interpolation between now and 2050</t>
        </r>
      </text>
    </comment>
    <comment ref="H21" authorId="0" shapeId="0">
      <text>
        <r>
          <rPr>
            <b/>
            <sz val="9"/>
            <color indexed="81"/>
            <rFont val="Tahoma"/>
            <charset val="1"/>
          </rPr>
          <t>Cerny:</t>
        </r>
        <r>
          <rPr>
            <sz val="9"/>
            <color indexed="81"/>
            <rFont val="Tahoma"/>
            <charset val="1"/>
          </rPr>
          <t xml:space="preserve">
NOTE: THE FINAL MIX IS BASED ON THE CONTRIBUTION TO EMISSION REDUCTIONS! THIS MIGHT DIFFER FROM THE SHARE ON PRODUCTION, THE REPORT IS NOT EXPLICIT ABOUT THAT.</t>
        </r>
      </text>
    </comment>
    <comment ref="I21" authorId="0" shapeId="0">
      <text>
        <r>
          <rPr>
            <b/>
            <sz val="9"/>
            <color indexed="81"/>
            <rFont val="Tahoma"/>
            <charset val="1"/>
          </rPr>
          <t>Cerny:</t>
        </r>
        <r>
          <rPr>
            <sz val="9"/>
            <color indexed="81"/>
            <rFont val="Tahoma"/>
            <charset val="1"/>
          </rPr>
          <t xml:space="preserve">
"New processes pathway"</t>
        </r>
      </text>
    </comment>
    <comment ref="J21" authorId="0" shapeId="0">
      <text>
        <r>
          <rPr>
            <b/>
            <sz val="9"/>
            <color indexed="81"/>
            <rFont val="Tahoma"/>
            <charset val="1"/>
          </rPr>
          <t>Cerny:</t>
        </r>
        <r>
          <rPr>
            <sz val="9"/>
            <color indexed="81"/>
            <rFont val="Tahoma"/>
            <charset val="1"/>
          </rPr>
          <t xml:space="preserve">
Interpolation between now and 2050</t>
        </r>
      </text>
    </comment>
    <comment ref="K21" authorId="0" shapeId="0">
      <text>
        <r>
          <rPr>
            <b/>
            <sz val="9"/>
            <color indexed="81"/>
            <rFont val="Tahoma"/>
            <charset val="1"/>
          </rPr>
          <t>Cerny:</t>
        </r>
        <r>
          <rPr>
            <sz val="9"/>
            <color indexed="81"/>
            <rFont val="Tahoma"/>
            <charset val="1"/>
          </rPr>
          <t xml:space="preserve">
NOTE: THE FINAL MIX IS BASED ON THE CONTRIBUTION TO EMISSION REDUCTIONS! THIS MIGHT DIFFER FROM THE SHARE ON PRODUCTION, THE REPORT IS NOT EXPLICIT ABOUT THAT.</t>
        </r>
      </text>
    </comment>
    <comment ref="L21" authorId="0" shapeId="0">
      <text>
        <r>
          <rPr>
            <b/>
            <sz val="9"/>
            <color indexed="81"/>
            <rFont val="Tahoma"/>
            <charset val="1"/>
          </rPr>
          <t>Cerny:</t>
        </r>
        <r>
          <rPr>
            <sz val="9"/>
            <color indexed="81"/>
            <rFont val="Tahoma"/>
            <charset val="1"/>
          </rPr>
          <t xml:space="preserve">
"Carbon capture pathway"</t>
        </r>
      </text>
    </comment>
    <comment ref="G22" authorId="0" shapeId="0">
      <text>
        <r>
          <rPr>
            <b/>
            <sz val="9"/>
            <color indexed="81"/>
            <rFont val="Tahoma"/>
            <charset val="1"/>
          </rPr>
          <t>Cerny:</t>
        </r>
        <r>
          <rPr>
            <sz val="9"/>
            <color indexed="81"/>
            <rFont val="Tahoma"/>
            <charset val="1"/>
          </rPr>
          <t xml:space="preserve">
Interpolation between now and 2050</t>
        </r>
      </text>
    </comment>
    <comment ref="H22" authorId="0" shapeId="0">
      <text>
        <r>
          <rPr>
            <b/>
            <sz val="9"/>
            <color indexed="81"/>
            <rFont val="Tahoma"/>
            <charset val="1"/>
          </rPr>
          <t>Cerny:</t>
        </r>
        <r>
          <rPr>
            <sz val="9"/>
            <color indexed="81"/>
            <rFont val="Tahoma"/>
            <charset val="1"/>
          </rPr>
          <t xml:space="preserve">
NOTE: THE FINAL MIX IS BASED ON THE CONTRIBUTION TO EMISSION REDUCTIONS! THIS MIGHT DIFFER FROM THE SHARE ON PRODUCTION, THE REPORT IS NOT EXPLICIT ABOUT THAT.</t>
        </r>
      </text>
    </comment>
    <comment ref="I22" authorId="0" shapeId="0">
      <text>
        <r>
          <rPr>
            <b/>
            <sz val="9"/>
            <color indexed="81"/>
            <rFont val="Tahoma"/>
            <charset val="1"/>
          </rPr>
          <t>Cerny:</t>
        </r>
        <r>
          <rPr>
            <sz val="9"/>
            <color indexed="81"/>
            <rFont val="Tahoma"/>
            <charset val="1"/>
          </rPr>
          <t xml:space="preserve">
"New processes pathway"</t>
        </r>
      </text>
    </comment>
    <comment ref="J22" authorId="0" shapeId="0">
      <text>
        <r>
          <rPr>
            <b/>
            <sz val="9"/>
            <color indexed="81"/>
            <rFont val="Tahoma"/>
            <charset val="1"/>
          </rPr>
          <t>Cerny:</t>
        </r>
        <r>
          <rPr>
            <sz val="9"/>
            <color indexed="81"/>
            <rFont val="Tahoma"/>
            <charset val="1"/>
          </rPr>
          <t xml:space="preserve">
Interpolation between now and 2050</t>
        </r>
      </text>
    </comment>
    <comment ref="K22" authorId="0" shapeId="0">
      <text>
        <r>
          <rPr>
            <b/>
            <sz val="9"/>
            <color indexed="81"/>
            <rFont val="Tahoma"/>
            <charset val="1"/>
          </rPr>
          <t>Cerny:</t>
        </r>
        <r>
          <rPr>
            <sz val="9"/>
            <color indexed="81"/>
            <rFont val="Tahoma"/>
            <charset val="1"/>
          </rPr>
          <t xml:space="preserve">
NOTE: THE FINAL MIX IS BASED ON THE CONTRIBUTION TO EMISSION REDUCTIONS! THIS MIGHT DIFFER FROM THE SHARE ON PRODUCTION, THE REPORT IS NOT EXPLICIT ABOUT THAT.</t>
        </r>
      </text>
    </comment>
    <comment ref="L22" authorId="0" shapeId="0">
      <text>
        <r>
          <rPr>
            <b/>
            <sz val="9"/>
            <color indexed="81"/>
            <rFont val="Tahoma"/>
            <charset val="1"/>
          </rPr>
          <t>Cerny:</t>
        </r>
        <r>
          <rPr>
            <sz val="9"/>
            <color indexed="81"/>
            <rFont val="Tahoma"/>
            <charset val="1"/>
          </rPr>
          <t xml:space="preserve">
"Carbon capture pathway"</t>
        </r>
      </text>
    </comment>
    <comment ref="I24" authorId="0" shapeId="0">
      <text>
        <r>
          <rPr>
            <b/>
            <sz val="9"/>
            <color indexed="81"/>
            <rFont val="Tahoma"/>
            <charset val="1"/>
          </rPr>
          <t>Cerny:</t>
        </r>
        <r>
          <rPr>
            <sz val="9"/>
            <color indexed="81"/>
            <rFont val="Tahoma"/>
            <charset val="1"/>
          </rPr>
          <t xml:space="preserve">
TECH OEM Scenario</t>
        </r>
      </text>
    </comment>
    <comment ref="L24" authorId="0" shapeId="0">
      <text>
        <r>
          <rPr>
            <b/>
            <sz val="9"/>
            <color indexed="81"/>
            <rFont val="Tahoma"/>
            <charset val="1"/>
          </rPr>
          <t>Cerny:</t>
        </r>
        <r>
          <rPr>
            <sz val="9"/>
            <color indexed="81"/>
            <rFont val="Tahoma"/>
            <charset val="1"/>
          </rPr>
          <t xml:space="preserve">
TECH/TECH PHEV Scenario</t>
        </r>
      </text>
    </comment>
    <comment ref="I25" authorId="0" shapeId="0">
      <text>
        <r>
          <rPr>
            <b/>
            <sz val="9"/>
            <color indexed="81"/>
            <rFont val="Tahoma"/>
            <charset val="1"/>
          </rPr>
          <t>Cerny:</t>
        </r>
        <r>
          <rPr>
            <sz val="9"/>
            <color indexed="81"/>
            <rFont val="Tahoma"/>
            <charset val="1"/>
          </rPr>
          <t xml:space="preserve">
TECH OEM Scenario</t>
        </r>
      </text>
    </comment>
    <comment ref="L25" authorId="0" shapeId="0">
      <text>
        <r>
          <rPr>
            <b/>
            <sz val="9"/>
            <color indexed="81"/>
            <rFont val="Tahoma"/>
            <charset val="1"/>
          </rPr>
          <t>Cerny:</t>
        </r>
        <r>
          <rPr>
            <sz val="9"/>
            <color indexed="81"/>
            <rFont val="Tahoma"/>
            <charset val="1"/>
          </rPr>
          <t xml:space="preserve">
TECH/TECH PHEV Scenario</t>
        </r>
      </text>
    </comment>
  </commentList>
</comments>
</file>

<file path=xl/comments3.xml><?xml version="1.0" encoding="utf-8"?>
<comments xmlns="http://schemas.openxmlformats.org/spreadsheetml/2006/main">
  <authors>
    <author>Cerny</author>
  </authors>
  <commentList>
    <comment ref="C1" authorId="0" shapeId="0">
      <text>
        <r>
          <rPr>
            <b/>
            <sz val="9"/>
            <color indexed="81"/>
            <rFont val="Tahoma"/>
            <family val="2"/>
            <charset val="238"/>
          </rPr>
          <t>Cerny:</t>
        </r>
        <r>
          <rPr>
            <sz val="9"/>
            <color indexed="81"/>
            <rFont val="Tahoma"/>
            <family val="2"/>
            <charset val="238"/>
          </rPr>
          <t xml:space="preserve">
Green fields can be replaced if outcomes from the participatory modelling are different from default values from ETRI listed here</t>
        </r>
      </text>
    </comment>
  </commentList>
</comments>
</file>

<file path=xl/comments4.xml><?xml version="1.0" encoding="utf-8"?>
<comments xmlns="http://schemas.openxmlformats.org/spreadsheetml/2006/main">
  <authors>
    <author>Cerny</author>
  </authors>
  <commentList>
    <comment ref="I1" authorId="0" shapeId="0">
      <text>
        <r>
          <rPr>
            <b/>
            <sz val="9"/>
            <color indexed="81"/>
            <rFont val="Tahoma"/>
            <charset val="1"/>
          </rPr>
          <t>Cerny:</t>
        </r>
        <r>
          <rPr>
            <sz val="9"/>
            <color indexed="81"/>
            <rFont val="Tahoma"/>
            <charset val="1"/>
          </rPr>
          <t xml:space="preserve">
Reasoning for the derivation of the respective factors</t>
        </r>
      </text>
    </comment>
    <comment ref="J1" authorId="0" shapeId="0">
      <text>
        <r>
          <rPr>
            <b/>
            <sz val="9"/>
            <color indexed="81"/>
            <rFont val="Tahoma"/>
            <charset val="1"/>
          </rPr>
          <t>Cerny:</t>
        </r>
        <r>
          <rPr>
            <sz val="9"/>
            <color indexed="81"/>
            <rFont val="Tahoma"/>
            <charset val="1"/>
          </rPr>
          <t xml:space="preserve">
Link, citation, etc. so that the source can be unambiguously traced</t>
        </r>
      </text>
    </comment>
    <comment ref="K1" authorId="0" shapeId="0">
      <text>
        <r>
          <rPr>
            <b/>
            <sz val="9"/>
            <color indexed="81"/>
            <rFont val="Tahoma"/>
            <charset val="1"/>
          </rPr>
          <t>Cerny:</t>
        </r>
        <r>
          <rPr>
            <sz val="9"/>
            <color indexed="81"/>
            <rFont val="Tahoma"/>
            <charset val="1"/>
          </rPr>
          <t xml:space="preserve">
Page, figure, table etc. - where exactly in the referenced document the information can be found</t>
        </r>
      </text>
    </comment>
    <comment ref="L1" authorId="0" shapeId="0">
      <text>
        <r>
          <rPr>
            <b/>
            <sz val="9"/>
            <color indexed="81"/>
            <rFont val="Tahoma"/>
            <charset val="1"/>
          </rPr>
          <t>Cerny:</t>
        </r>
        <r>
          <rPr>
            <sz val="9"/>
            <color indexed="81"/>
            <rFont val="Tahoma"/>
            <charset val="1"/>
          </rPr>
          <t xml:space="preserve">
Irregularities, any additional relevant information etc.</t>
        </r>
      </text>
    </comment>
    <comment ref="E2"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2" authorId="0" shapeId="0">
      <text>
        <r>
          <rPr>
            <b/>
            <sz val="9"/>
            <color indexed="81"/>
            <rFont val="Tahoma"/>
            <charset val="1"/>
          </rPr>
          <t>Cerny:</t>
        </r>
        <r>
          <rPr>
            <sz val="9"/>
            <color indexed="81"/>
            <rFont val="Tahoma"/>
            <charset val="1"/>
          </rPr>
          <t xml:space="preserve">
Generic coefficients for the whole NACE C ("industry")</t>
        </r>
      </text>
    </comment>
    <comment ref="H2" authorId="0" shapeId="0">
      <text>
        <r>
          <rPr>
            <b/>
            <sz val="9"/>
            <color indexed="81"/>
            <rFont val="Tahoma"/>
            <charset val="1"/>
          </rPr>
          <t>Cerny:</t>
        </r>
        <r>
          <rPr>
            <sz val="9"/>
            <color indexed="81"/>
            <rFont val="Tahoma"/>
            <charset val="1"/>
          </rPr>
          <t xml:space="preserve">
Generic coefficients for the whole NACE C ("industry")</t>
        </r>
      </text>
    </comment>
    <comment ref="E3"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3" authorId="0" shapeId="0">
      <text>
        <r>
          <rPr>
            <b/>
            <sz val="9"/>
            <color indexed="81"/>
            <rFont val="Tahoma"/>
            <charset val="1"/>
          </rPr>
          <t>Cerny:</t>
        </r>
        <r>
          <rPr>
            <sz val="9"/>
            <color indexed="81"/>
            <rFont val="Tahoma"/>
            <charset val="1"/>
          </rPr>
          <t xml:space="preserve">
Generic coefficients for the whole NACE C ("industry")</t>
        </r>
      </text>
    </comment>
    <comment ref="H3" authorId="0" shapeId="0">
      <text>
        <r>
          <rPr>
            <b/>
            <sz val="9"/>
            <color indexed="81"/>
            <rFont val="Tahoma"/>
            <charset val="1"/>
          </rPr>
          <t>Cerny:</t>
        </r>
        <r>
          <rPr>
            <sz val="9"/>
            <color indexed="81"/>
            <rFont val="Tahoma"/>
            <charset val="1"/>
          </rPr>
          <t xml:space="preserve">
Generic coefficients for the whole NACE C ("industry")</t>
        </r>
      </text>
    </comment>
    <comment ref="E4"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4" authorId="0" shapeId="0">
      <text>
        <r>
          <rPr>
            <b/>
            <sz val="9"/>
            <color indexed="81"/>
            <rFont val="Tahoma"/>
            <charset val="1"/>
          </rPr>
          <t>Cerny:</t>
        </r>
        <r>
          <rPr>
            <sz val="9"/>
            <color indexed="81"/>
            <rFont val="Tahoma"/>
            <charset val="1"/>
          </rPr>
          <t xml:space="preserve">
Generic coefficients for the whole NACE C ("industry")</t>
        </r>
      </text>
    </comment>
    <comment ref="H4" authorId="0" shapeId="0">
      <text>
        <r>
          <rPr>
            <b/>
            <sz val="9"/>
            <color indexed="81"/>
            <rFont val="Tahoma"/>
            <charset val="1"/>
          </rPr>
          <t>Cerny:</t>
        </r>
        <r>
          <rPr>
            <sz val="9"/>
            <color indexed="81"/>
            <rFont val="Tahoma"/>
            <charset val="1"/>
          </rPr>
          <t xml:space="preserve">
Generic coefficients for the whole NACE C ("industry")</t>
        </r>
      </text>
    </comment>
    <comment ref="E5"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5" authorId="0" shapeId="0">
      <text>
        <r>
          <rPr>
            <b/>
            <sz val="9"/>
            <color indexed="81"/>
            <rFont val="Tahoma"/>
            <charset val="1"/>
          </rPr>
          <t>Cerny:</t>
        </r>
        <r>
          <rPr>
            <sz val="9"/>
            <color indexed="81"/>
            <rFont val="Tahoma"/>
            <charset val="1"/>
          </rPr>
          <t xml:space="preserve">
Generic coefficients for the whole NACE C ("industry")</t>
        </r>
      </text>
    </comment>
    <comment ref="H5" authorId="0" shapeId="0">
      <text>
        <r>
          <rPr>
            <b/>
            <sz val="9"/>
            <color indexed="81"/>
            <rFont val="Tahoma"/>
            <charset val="1"/>
          </rPr>
          <t>Cerny:</t>
        </r>
        <r>
          <rPr>
            <sz val="9"/>
            <color indexed="81"/>
            <rFont val="Tahoma"/>
            <charset val="1"/>
          </rPr>
          <t xml:space="preserve">
Generic coefficients for the whole NACE C ("industry")</t>
        </r>
      </text>
    </comment>
    <comment ref="E6"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6" authorId="0" shapeId="0">
      <text>
        <r>
          <rPr>
            <b/>
            <sz val="9"/>
            <color indexed="81"/>
            <rFont val="Tahoma"/>
            <charset val="1"/>
          </rPr>
          <t>Cerny:</t>
        </r>
        <r>
          <rPr>
            <sz val="9"/>
            <color indexed="81"/>
            <rFont val="Tahoma"/>
            <charset val="1"/>
          </rPr>
          <t xml:space="preserve">
Generic coefficients for the whole NACE C ("industry")</t>
        </r>
      </text>
    </comment>
    <comment ref="H6" authorId="0" shapeId="0">
      <text>
        <r>
          <rPr>
            <b/>
            <sz val="9"/>
            <color indexed="81"/>
            <rFont val="Tahoma"/>
            <charset val="1"/>
          </rPr>
          <t>Cerny:</t>
        </r>
        <r>
          <rPr>
            <sz val="9"/>
            <color indexed="81"/>
            <rFont val="Tahoma"/>
            <charset val="1"/>
          </rPr>
          <t xml:space="preserve">
Generic coefficients for the whole NACE C ("industry")</t>
        </r>
      </text>
    </comment>
    <comment ref="E7"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8"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8" authorId="0" shapeId="0">
      <text>
        <r>
          <rPr>
            <b/>
            <sz val="9"/>
            <color indexed="81"/>
            <rFont val="Tahoma"/>
            <charset val="1"/>
          </rPr>
          <t>Cerny:</t>
        </r>
        <r>
          <rPr>
            <sz val="9"/>
            <color indexed="81"/>
            <rFont val="Tahoma"/>
            <charset val="1"/>
          </rPr>
          <t xml:space="preserve">
Generic coefficients for the whole NACE C ("industry")</t>
        </r>
      </text>
    </comment>
    <comment ref="H8" authorId="0" shapeId="0">
      <text>
        <r>
          <rPr>
            <b/>
            <sz val="9"/>
            <color indexed="81"/>
            <rFont val="Tahoma"/>
            <charset val="1"/>
          </rPr>
          <t>Cerny:</t>
        </r>
        <r>
          <rPr>
            <sz val="9"/>
            <color indexed="81"/>
            <rFont val="Tahoma"/>
            <charset val="1"/>
          </rPr>
          <t xml:space="preserve">
Generic coefficients for the whole NACE C ("industry")</t>
        </r>
      </text>
    </comment>
    <comment ref="E9"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9" authorId="0" shapeId="0">
      <text>
        <r>
          <rPr>
            <b/>
            <sz val="9"/>
            <color indexed="81"/>
            <rFont val="Tahoma"/>
            <charset val="1"/>
          </rPr>
          <t>Cerny:</t>
        </r>
        <r>
          <rPr>
            <sz val="9"/>
            <color indexed="81"/>
            <rFont val="Tahoma"/>
            <charset val="1"/>
          </rPr>
          <t xml:space="preserve">
Generic coefficients for the whole NACE C ("industry")</t>
        </r>
      </text>
    </comment>
    <comment ref="H9" authorId="0" shapeId="0">
      <text>
        <r>
          <rPr>
            <b/>
            <sz val="9"/>
            <color indexed="81"/>
            <rFont val="Tahoma"/>
            <charset val="1"/>
          </rPr>
          <t>Cerny:</t>
        </r>
        <r>
          <rPr>
            <sz val="9"/>
            <color indexed="81"/>
            <rFont val="Tahoma"/>
            <charset val="1"/>
          </rPr>
          <t xml:space="preserve">
Generic coefficients for the whole NACE C ("industry")</t>
        </r>
      </text>
    </comment>
    <comment ref="E10"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10" authorId="0" shapeId="0">
      <text>
        <r>
          <rPr>
            <b/>
            <sz val="9"/>
            <color indexed="81"/>
            <rFont val="Tahoma"/>
            <charset val="1"/>
          </rPr>
          <t>Cerny:</t>
        </r>
        <r>
          <rPr>
            <sz val="9"/>
            <color indexed="81"/>
            <rFont val="Tahoma"/>
            <charset val="1"/>
          </rPr>
          <t xml:space="preserve">
Generic coefficients for the whole NACE C ("industry")</t>
        </r>
      </text>
    </comment>
    <comment ref="H10" authorId="0" shapeId="0">
      <text>
        <r>
          <rPr>
            <b/>
            <sz val="9"/>
            <color indexed="81"/>
            <rFont val="Tahoma"/>
            <charset val="1"/>
          </rPr>
          <t>Cerny:</t>
        </r>
        <r>
          <rPr>
            <sz val="9"/>
            <color indexed="81"/>
            <rFont val="Tahoma"/>
            <charset val="1"/>
          </rPr>
          <t xml:space="preserve">
Generic coefficients for the whole NACE C ("industry")</t>
        </r>
      </text>
    </comment>
    <comment ref="E11"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1" authorId="0" shapeId="0">
      <text>
        <r>
          <rPr>
            <b/>
            <sz val="9"/>
            <color indexed="81"/>
            <rFont val="Tahoma"/>
            <charset val="1"/>
          </rPr>
          <t>Cerny:</t>
        </r>
        <r>
          <rPr>
            <sz val="9"/>
            <color indexed="81"/>
            <rFont val="Tahoma"/>
            <charset val="1"/>
          </rPr>
          <t xml:space="preserve">
Generic coefficients for the whole NACE C ("industry")</t>
        </r>
      </text>
    </comment>
    <comment ref="H11" authorId="0" shapeId="0">
      <text>
        <r>
          <rPr>
            <b/>
            <sz val="9"/>
            <color indexed="81"/>
            <rFont val="Tahoma"/>
            <charset val="1"/>
          </rPr>
          <t>Cerny:</t>
        </r>
        <r>
          <rPr>
            <sz val="9"/>
            <color indexed="81"/>
            <rFont val="Tahoma"/>
            <charset val="1"/>
          </rPr>
          <t xml:space="preserve">
Generic coefficients for the whole NACE C ("industry")</t>
        </r>
      </text>
    </comment>
    <comment ref="E12"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2" authorId="0" shapeId="0">
      <text>
        <r>
          <rPr>
            <b/>
            <sz val="9"/>
            <color indexed="81"/>
            <rFont val="Tahoma"/>
            <charset val="1"/>
          </rPr>
          <t>Cerny:</t>
        </r>
        <r>
          <rPr>
            <sz val="9"/>
            <color indexed="81"/>
            <rFont val="Tahoma"/>
            <charset val="1"/>
          </rPr>
          <t xml:space="preserve">
Generic coefficients for the whole NACE C ("industry")</t>
        </r>
      </text>
    </comment>
    <comment ref="H12" authorId="0" shapeId="0">
      <text>
        <r>
          <rPr>
            <b/>
            <sz val="9"/>
            <color indexed="81"/>
            <rFont val="Tahoma"/>
            <charset val="1"/>
          </rPr>
          <t>Cerny:</t>
        </r>
        <r>
          <rPr>
            <sz val="9"/>
            <color indexed="81"/>
            <rFont val="Tahoma"/>
            <charset val="1"/>
          </rPr>
          <t xml:space="preserve">
Generic coefficients for the whole NACE C ("industry")</t>
        </r>
      </text>
    </comment>
    <comment ref="E13"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14"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14" authorId="0" shapeId="0">
      <text>
        <r>
          <rPr>
            <b/>
            <sz val="9"/>
            <color indexed="81"/>
            <rFont val="Tahoma"/>
            <charset val="1"/>
          </rPr>
          <t>Cerny:</t>
        </r>
        <r>
          <rPr>
            <sz val="9"/>
            <color indexed="81"/>
            <rFont val="Tahoma"/>
            <charset val="1"/>
          </rPr>
          <t xml:space="preserve">
Generic coefficients for the whole NACE C ("industry")</t>
        </r>
      </text>
    </comment>
    <comment ref="H14" authorId="0" shapeId="0">
      <text>
        <r>
          <rPr>
            <b/>
            <sz val="9"/>
            <color indexed="81"/>
            <rFont val="Tahoma"/>
            <charset val="1"/>
          </rPr>
          <t>Cerny:</t>
        </r>
        <r>
          <rPr>
            <sz val="9"/>
            <color indexed="81"/>
            <rFont val="Tahoma"/>
            <charset val="1"/>
          </rPr>
          <t xml:space="preserve">
Generic coefficients for the whole NACE C ("industry")</t>
        </r>
      </text>
    </comment>
    <comment ref="E15"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15" authorId="0" shapeId="0">
      <text>
        <r>
          <rPr>
            <b/>
            <sz val="9"/>
            <color indexed="81"/>
            <rFont val="Tahoma"/>
            <charset val="1"/>
          </rPr>
          <t>Cerny:</t>
        </r>
        <r>
          <rPr>
            <sz val="9"/>
            <color indexed="81"/>
            <rFont val="Tahoma"/>
            <charset val="1"/>
          </rPr>
          <t xml:space="preserve">
Generic coefficients for the whole NACE C ("industry")</t>
        </r>
      </text>
    </comment>
    <comment ref="H15" authorId="0" shapeId="0">
      <text>
        <r>
          <rPr>
            <b/>
            <sz val="9"/>
            <color indexed="81"/>
            <rFont val="Tahoma"/>
            <charset val="1"/>
          </rPr>
          <t>Cerny:</t>
        </r>
        <r>
          <rPr>
            <sz val="9"/>
            <color indexed="81"/>
            <rFont val="Tahoma"/>
            <charset val="1"/>
          </rPr>
          <t xml:space="preserve">
Generic coefficients for the whole NACE C ("industry")</t>
        </r>
      </text>
    </comment>
    <comment ref="E16"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16" authorId="0" shapeId="0">
      <text>
        <r>
          <rPr>
            <b/>
            <sz val="9"/>
            <color indexed="81"/>
            <rFont val="Tahoma"/>
            <charset val="1"/>
          </rPr>
          <t>Cerny:</t>
        </r>
        <r>
          <rPr>
            <sz val="9"/>
            <color indexed="81"/>
            <rFont val="Tahoma"/>
            <charset val="1"/>
          </rPr>
          <t xml:space="preserve">
Generic coefficients for the whole NACE C ("industry")</t>
        </r>
      </text>
    </comment>
    <comment ref="H16" authorId="0" shapeId="0">
      <text>
        <r>
          <rPr>
            <b/>
            <sz val="9"/>
            <color indexed="81"/>
            <rFont val="Tahoma"/>
            <charset val="1"/>
          </rPr>
          <t>Cerny:</t>
        </r>
        <r>
          <rPr>
            <sz val="9"/>
            <color indexed="81"/>
            <rFont val="Tahoma"/>
            <charset val="1"/>
          </rPr>
          <t xml:space="preserve">
Generic coefficients for the whole NACE C ("industry")</t>
        </r>
      </text>
    </comment>
    <comment ref="E17"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7" authorId="0" shapeId="0">
      <text>
        <r>
          <rPr>
            <b/>
            <sz val="9"/>
            <color indexed="81"/>
            <rFont val="Tahoma"/>
            <charset val="1"/>
          </rPr>
          <t>Cerny:</t>
        </r>
        <r>
          <rPr>
            <sz val="9"/>
            <color indexed="81"/>
            <rFont val="Tahoma"/>
            <charset val="1"/>
          </rPr>
          <t xml:space="preserve">
Generic coefficients for the whole NACE C ("industry")</t>
        </r>
      </text>
    </comment>
    <comment ref="H17" authorId="0" shapeId="0">
      <text>
        <r>
          <rPr>
            <b/>
            <sz val="9"/>
            <color indexed="81"/>
            <rFont val="Tahoma"/>
            <charset val="1"/>
          </rPr>
          <t>Cerny:</t>
        </r>
        <r>
          <rPr>
            <sz val="9"/>
            <color indexed="81"/>
            <rFont val="Tahoma"/>
            <charset val="1"/>
          </rPr>
          <t xml:space="preserve">
Generic coefficients for the whole NACE C ("industry")</t>
        </r>
      </text>
    </comment>
    <comment ref="E18"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8" authorId="0" shapeId="0">
      <text>
        <r>
          <rPr>
            <b/>
            <sz val="9"/>
            <color indexed="81"/>
            <rFont val="Tahoma"/>
            <charset val="1"/>
          </rPr>
          <t>Cerny:</t>
        </r>
        <r>
          <rPr>
            <sz val="9"/>
            <color indexed="81"/>
            <rFont val="Tahoma"/>
            <charset val="1"/>
          </rPr>
          <t xml:space="preserve">
Generic coefficients for the whole NACE C ("industry")</t>
        </r>
      </text>
    </comment>
    <comment ref="H18" authorId="0" shapeId="0">
      <text>
        <r>
          <rPr>
            <b/>
            <sz val="9"/>
            <color indexed="81"/>
            <rFont val="Tahoma"/>
            <charset val="1"/>
          </rPr>
          <t>Cerny:</t>
        </r>
        <r>
          <rPr>
            <sz val="9"/>
            <color indexed="81"/>
            <rFont val="Tahoma"/>
            <charset val="1"/>
          </rPr>
          <t xml:space="preserve">
Generic coefficients for the whole NACE C ("industry")</t>
        </r>
      </text>
    </comment>
    <comment ref="E19"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20"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20" authorId="0" shapeId="0">
      <text>
        <r>
          <rPr>
            <b/>
            <sz val="9"/>
            <color indexed="81"/>
            <rFont val="Tahoma"/>
            <charset val="1"/>
          </rPr>
          <t>Cerny:</t>
        </r>
        <r>
          <rPr>
            <sz val="9"/>
            <color indexed="81"/>
            <rFont val="Tahoma"/>
            <charset val="1"/>
          </rPr>
          <t xml:space="preserve">
Generic coefficients for the whole NACE C ("industry")</t>
        </r>
      </text>
    </comment>
    <comment ref="H20" authorId="0" shapeId="0">
      <text>
        <r>
          <rPr>
            <b/>
            <sz val="9"/>
            <color indexed="81"/>
            <rFont val="Tahoma"/>
            <charset val="1"/>
          </rPr>
          <t>Cerny:</t>
        </r>
        <r>
          <rPr>
            <sz val="9"/>
            <color indexed="81"/>
            <rFont val="Tahoma"/>
            <charset val="1"/>
          </rPr>
          <t xml:space="preserve">
Generic coefficients for the whole NACE C ("industry")</t>
        </r>
      </text>
    </comment>
    <comment ref="E21"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21" authorId="0" shapeId="0">
      <text>
        <r>
          <rPr>
            <b/>
            <sz val="9"/>
            <color indexed="81"/>
            <rFont val="Tahoma"/>
            <charset val="1"/>
          </rPr>
          <t>Cerny:</t>
        </r>
        <r>
          <rPr>
            <sz val="9"/>
            <color indexed="81"/>
            <rFont val="Tahoma"/>
            <charset val="1"/>
          </rPr>
          <t xml:space="preserve">
Generic coefficients for the whole NACE C ("industry")</t>
        </r>
      </text>
    </comment>
    <comment ref="H21" authorId="0" shapeId="0">
      <text>
        <r>
          <rPr>
            <b/>
            <sz val="9"/>
            <color indexed="81"/>
            <rFont val="Tahoma"/>
            <charset val="1"/>
          </rPr>
          <t>Cerny:</t>
        </r>
        <r>
          <rPr>
            <sz val="9"/>
            <color indexed="81"/>
            <rFont val="Tahoma"/>
            <charset val="1"/>
          </rPr>
          <t xml:space="preserve">
Generic coefficients for the whole NACE C ("industry")</t>
        </r>
      </text>
    </comment>
    <comment ref="E22"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22" authorId="0" shapeId="0">
      <text>
        <r>
          <rPr>
            <b/>
            <sz val="9"/>
            <color indexed="81"/>
            <rFont val="Tahoma"/>
            <charset val="1"/>
          </rPr>
          <t>Cerny:</t>
        </r>
        <r>
          <rPr>
            <sz val="9"/>
            <color indexed="81"/>
            <rFont val="Tahoma"/>
            <charset val="1"/>
          </rPr>
          <t xml:space="preserve">
Generic coefficients for the whole NACE C ("industry")</t>
        </r>
      </text>
    </comment>
    <comment ref="H22" authorId="0" shapeId="0">
      <text>
        <r>
          <rPr>
            <b/>
            <sz val="9"/>
            <color indexed="81"/>
            <rFont val="Tahoma"/>
            <charset val="1"/>
          </rPr>
          <t>Cerny:</t>
        </r>
        <r>
          <rPr>
            <sz val="9"/>
            <color indexed="81"/>
            <rFont val="Tahoma"/>
            <charset val="1"/>
          </rPr>
          <t xml:space="preserve">
Generic coefficients for the whole NACE C ("industry")</t>
        </r>
      </text>
    </comment>
    <comment ref="E23"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23" authorId="0" shapeId="0">
      <text>
        <r>
          <rPr>
            <b/>
            <sz val="9"/>
            <color indexed="81"/>
            <rFont val="Tahoma"/>
            <charset val="1"/>
          </rPr>
          <t>Cerny:</t>
        </r>
        <r>
          <rPr>
            <sz val="9"/>
            <color indexed="81"/>
            <rFont val="Tahoma"/>
            <charset val="1"/>
          </rPr>
          <t xml:space="preserve">
Generic coefficients for the whole NACE C ("industry")</t>
        </r>
      </text>
    </comment>
    <comment ref="H23" authorId="0" shapeId="0">
      <text>
        <r>
          <rPr>
            <b/>
            <sz val="9"/>
            <color indexed="81"/>
            <rFont val="Tahoma"/>
            <charset val="1"/>
          </rPr>
          <t>Cerny:</t>
        </r>
        <r>
          <rPr>
            <sz val="9"/>
            <color indexed="81"/>
            <rFont val="Tahoma"/>
            <charset val="1"/>
          </rPr>
          <t xml:space="preserve">
Generic coefficients for the whole NACE C ("industry")</t>
        </r>
      </text>
    </comment>
    <comment ref="E24"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24" authorId="0" shapeId="0">
      <text>
        <r>
          <rPr>
            <b/>
            <sz val="9"/>
            <color indexed="81"/>
            <rFont val="Tahoma"/>
            <charset val="1"/>
          </rPr>
          <t>Cerny:</t>
        </r>
        <r>
          <rPr>
            <sz val="9"/>
            <color indexed="81"/>
            <rFont val="Tahoma"/>
            <charset val="1"/>
          </rPr>
          <t xml:space="preserve">
Generic coefficients for the whole NACE C ("industry")</t>
        </r>
      </text>
    </comment>
    <comment ref="H24" authorId="0" shapeId="0">
      <text>
        <r>
          <rPr>
            <b/>
            <sz val="9"/>
            <color indexed="81"/>
            <rFont val="Tahoma"/>
            <charset val="1"/>
          </rPr>
          <t>Cerny:</t>
        </r>
        <r>
          <rPr>
            <sz val="9"/>
            <color indexed="81"/>
            <rFont val="Tahoma"/>
            <charset val="1"/>
          </rPr>
          <t xml:space="preserve">
Generic coefficients for the whole NACE C ("industry")</t>
        </r>
      </text>
    </comment>
    <comment ref="E25"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26"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27"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28"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29"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29" authorId="0" shapeId="0">
      <text>
        <r>
          <rPr>
            <b/>
            <sz val="9"/>
            <color indexed="81"/>
            <rFont val="Tahoma"/>
            <charset val="1"/>
          </rPr>
          <t>Cerny:</t>
        </r>
        <r>
          <rPr>
            <sz val="9"/>
            <color indexed="81"/>
            <rFont val="Tahoma"/>
            <charset val="1"/>
          </rPr>
          <t xml:space="preserve">
Generic coefficients for the whole NACE C ("industry")</t>
        </r>
      </text>
    </comment>
    <comment ref="H29" authorId="0" shapeId="0">
      <text>
        <r>
          <rPr>
            <b/>
            <sz val="9"/>
            <color indexed="81"/>
            <rFont val="Tahoma"/>
            <charset val="1"/>
          </rPr>
          <t>Cerny:</t>
        </r>
        <r>
          <rPr>
            <sz val="9"/>
            <color indexed="81"/>
            <rFont val="Tahoma"/>
            <charset val="1"/>
          </rPr>
          <t xml:space="preserve">
Generic coefficients for the whole NACE C ("industry")</t>
        </r>
      </text>
    </comment>
    <comment ref="E30"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30" authorId="0" shapeId="0">
      <text>
        <r>
          <rPr>
            <b/>
            <sz val="9"/>
            <color indexed="81"/>
            <rFont val="Tahoma"/>
            <charset val="1"/>
          </rPr>
          <t>Cerny:</t>
        </r>
        <r>
          <rPr>
            <sz val="9"/>
            <color indexed="81"/>
            <rFont val="Tahoma"/>
            <charset val="1"/>
          </rPr>
          <t xml:space="preserve">
Generic coefficients for the whole NACE C ("industry")</t>
        </r>
      </text>
    </comment>
    <comment ref="H30" authorId="0" shapeId="0">
      <text>
        <r>
          <rPr>
            <b/>
            <sz val="9"/>
            <color indexed="81"/>
            <rFont val="Tahoma"/>
            <charset val="1"/>
          </rPr>
          <t>Cerny:</t>
        </r>
        <r>
          <rPr>
            <sz val="9"/>
            <color indexed="81"/>
            <rFont val="Tahoma"/>
            <charset val="1"/>
          </rPr>
          <t xml:space="preserve">
Generic coefficients for the whole NACE C ("industry")</t>
        </r>
      </text>
    </comment>
    <comment ref="E31"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32"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33"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34"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35"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35" authorId="0" shapeId="0">
      <text>
        <r>
          <rPr>
            <b/>
            <sz val="9"/>
            <color indexed="81"/>
            <rFont val="Tahoma"/>
            <charset val="1"/>
          </rPr>
          <t>Cerny:</t>
        </r>
        <r>
          <rPr>
            <sz val="9"/>
            <color indexed="81"/>
            <rFont val="Tahoma"/>
            <charset val="1"/>
          </rPr>
          <t xml:space="preserve">
Generic coefficients for the whole NACE C ("industry")</t>
        </r>
      </text>
    </comment>
    <comment ref="H35" authorId="0" shapeId="0">
      <text>
        <r>
          <rPr>
            <b/>
            <sz val="9"/>
            <color indexed="81"/>
            <rFont val="Tahoma"/>
            <charset val="1"/>
          </rPr>
          <t>Cerny:</t>
        </r>
        <r>
          <rPr>
            <sz val="9"/>
            <color indexed="81"/>
            <rFont val="Tahoma"/>
            <charset val="1"/>
          </rPr>
          <t xml:space="preserve">
Generic coefficients for the whole NACE C ("industry")</t>
        </r>
      </text>
    </comment>
    <comment ref="E36"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36" authorId="0" shapeId="0">
      <text>
        <r>
          <rPr>
            <b/>
            <sz val="9"/>
            <color indexed="81"/>
            <rFont val="Tahoma"/>
            <charset val="1"/>
          </rPr>
          <t>Cerny:</t>
        </r>
        <r>
          <rPr>
            <sz val="9"/>
            <color indexed="81"/>
            <rFont val="Tahoma"/>
            <charset val="1"/>
          </rPr>
          <t xml:space="preserve">
Generic coefficients for the whole NACE C ("industry")</t>
        </r>
      </text>
    </comment>
    <comment ref="H36" authorId="0" shapeId="0">
      <text>
        <r>
          <rPr>
            <b/>
            <sz val="9"/>
            <color indexed="81"/>
            <rFont val="Tahoma"/>
            <charset val="1"/>
          </rPr>
          <t>Cerny:</t>
        </r>
        <r>
          <rPr>
            <sz val="9"/>
            <color indexed="81"/>
            <rFont val="Tahoma"/>
            <charset val="1"/>
          </rPr>
          <t xml:space="preserve">
Generic coefficients for the whole NACE C ("industry")</t>
        </r>
      </text>
    </comment>
    <comment ref="E37"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38"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39"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40"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41"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41" authorId="0" shapeId="0">
      <text>
        <r>
          <rPr>
            <b/>
            <sz val="9"/>
            <color indexed="81"/>
            <rFont val="Tahoma"/>
            <charset val="1"/>
          </rPr>
          <t>Cerny:</t>
        </r>
        <r>
          <rPr>
            <sz val="9"/>
            <color indexed="81"/>
            <rFont val="Tahoma"/>
            <charset val="1"/>
          </rPr>
          <t xml:space="preserve">
Generic coefficients for the whole NACE C ("industry")</t>
        </r>
      </text>
    </comment>
    <comment ref="H41" authorId="0" shapeId="0">
      <text>
        <r>
          <rPr>
            <b/>
            <sz val="9"/>
            <color indexed="81"/>
            <rFont val="Tahoma"/>
            <charset val="1"/>
          </rPr>
          <t>Cerny:</t>
        </r>
        <r>
          <rPr>
            <sz val="9"/>
            <color indexed="81"/>
            <rFont val="Tahoma"/>
            <charset val="1"/>
          </rPr>
          <t xml:space="preserve">
Generic coefficients for the whole NACE C ("industry")</t>
        </r>
      </text>
    </comment>
    <comment ref="E42"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42" authorId="0" shapeId="0">
      <text>
        <r>
          <rPr>
            <b/>
            <sz val="9"/>
            <color indexed="81"/>
            <rFont val="Tahoma"/>
            <charset val="1"/>
          </rPr>
          <t>Cerny:</t>
        </r>
        <r>
          <rPr>
            <sz val="9"/>
            <color indexed="81"/>
            <rFont val="Tahoma"/>
            <charset val="1"/>
          </rPr>
          <t xml:space="preserve">
Generic coefficients for the whole NACE C ("industry")</t>
        </r>
      </text>
    </comment>
    <comment ref="H42" authorId="0" shapeId="0">
      <text>
        <r>
          <rPr>
            <b/>
            <sz val="9"/>
            <color indexed="81"/>
            <rFont val="Tahoma"/>
            <charset val="1"/>
          </rPr>
          <t>Cerny:</t>
        </r>
        <r>
          <rPr>
            <sz val="9"/>
            <color indexed="81"/>
            <rFont val="Tahoma"/>
            <charset val="1"/>
          </rPr>
          <t xml:space="preserve">
Generic coefficients for the whole NACE C ("industry")</t>
        </r>
      </text>
    </comment>
    <comment ref="E43"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44"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45"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46"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47"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47" authorId="0" shapeId="0">
      <text>
        <r>
          <rPr>
            <b/>
            <sz val="9"/>
            <color indexed="81"/>
            <rFont val="Tahoma"/>
            <charset val="1"/>
          </rPr>
          <t>Cerny:</t>
        </r>
        <r>
          <rPr>
            <sz val="9"/>
            <color indexed="81"/>
            <rFont val="Tahoma"/>
            <charset val="1"/>
          </rPr>
          <t xml:space="preserve">
Generic coefficients for the whole NACE C ("industry")</t>
        </r>
      </text>
    </comment>
    <comment ref="H47" authorId="0" shapeId="0">
      <text>
        <r>
          <rPr>
            <b/>
            <sz val="9"/>
            <color indexed="81"/>
            <rFont val="Tahoma"/>
            <charset val="1"/>
          </rPr>
          <t>Cerny:</t>
        </r>
        <r>
          <rPr>
            <sz val="9"/>
            <color indexed="81"/>
            <rFont val="Tahoma"/>
            <charset val="1"/>
          </rPr>
          <t xml:space="preserve">
Generic coefficients for the whole NACE C ("industry")</t>
        </r>
      </text>
    </comment>
    <comment ref="E48"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48" authorId="0" shapeId="0">
      <text>
        <r>
          <rPr>
            <b/>
            <sz val="9"/>
            <color indexed="81"/>
            <rFont val="Tahoma"/>
            <charset val="1"/>
          </rPr>
          <t>Cerny:</t>
        </r>
        <r>
          <rPr>
            <sz val="9"/>
            <color indexed="81"/>
            <rFont val="Tahoma"/>
            <charset val="1"/>
          </rPr>
          <t xml:space="preserve">
Generic coefficients for the whole NACE C ("industry")</t>
        </r>
      </text>
    </comment>
    <comment ref="H48" authorId="0" shapeId="0">
      <text>
        <r>
          <rPr>
            <b/>
            <sz val="9"/>
            <color indexed="81"/>
            <rFont val="Tahoma"/>
            <charset val="1"/>
          </rPr>
          <t>Cerny:</t>
        </r>
        <r>
          <rPr>
            <sz val="9"/>
            <color indexed="81"/>
            <rFont val="Tahoma"/>
            <charset val="1"/>
          </rPr>
          <t xml:space="preserve">
Generic coefficients for the whole NACE C ("industry")</t>
        </r>
      </text>
    </comment>
    <comment ref="E49"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50"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51"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52"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53"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53" authorId="0" shapeId="0">
      <text>
        <r>
          <rPr>
            <b/>
            <sz val="9"/>
            <color indexed="81"/>
            <rFont val="Tahoma"/>
            <charset val="1"/>
          </rPr>
          <t>Cerny:</t>
        </r>
        <r>
          <rPr>
            <sz val="9"/>
            <color indexed="81"/>
            <rFont val="Tahoma"/>
            <charset val="1"/>
          </rPr>
          <t xml:space="preserve">
Generic coefficients for the whole NACE C ("industry")</t>
        </r>
      </text>
    </comment>
    <comment ref="H53" authorId="0" shapeId="0">
      <text>
        <r>
          <rPr>
            <b/>
            <sz val="9"/>
            <color indexed="81"/>
            <rFont val="Tahoma"/>
            <charset val="1"/>
          </rPr>
          <t>Cerny:</t>
        </r>
        <r>
          <rPr>
            <sz val="9"/>
            <color indexed="81"/>
            <rFont val="Tahoma"/>
            <charset val="1"/>
          </rPr>
          <t xml:space="preserve">
Generic coefficients for the whole NACE C ("industry")</t>
        </r>
      </text>
    </comment>
    <comment ref="E54"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54" authorId="0" shapeId="0">
      <text>
        <r>
          <rPr>
            <b/>
            <sz val="9"/>
            <color indexed="81"/>
            <rFont val="Tahoma"/>
            <charset val="1"/>
          </rPr>
          <t>Cerny:</t>
        </r>
        <r>
          <rPr>
            <sz val="9"/>
            <color indexed="81"/>
            <rFont val="Tahoma"/>
            <charset val="1"/>
          </rPr>
          <t xml:space="preserve">
Generic coefficients for the whole NACE C ("industry")</t>
        </r>
      </text>
    </comment>
    <comment ref="H54" authorId="0" shapeId="0">
      <text>
        <r>
          <rPr>
            <b/>
            <sz val="9"/>
            <color indexed="81"/>
            <rFont val="Tahoma"/>
            <charset val="1"/>
          </rPr>
          <t>Cerny:</t>
        </r>
        <r>
          <rPr>
            <sz val="9"/>
            <color indexed="81"/>
            <rFont val="Tahoma"/>
            <charset val="1"/>
          </rPr>
          <t xml:space="preserve">
Generic coefficients for the whole NACE C ("industry")</t>
        </r>
      </text>
    </comment>
    <comment ref="E55"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56"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57"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58"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59"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59" authorId="0" shapeId="0">
      <text>
        <r>
          <rPr>
            <b/>
            <sz val="9"/>
            <color indexed="81"/>
            <rFont val="Tahoma"/>
            <charset val="1"/>
          </rPr>
          <t>Cerny:</t>
        </r>
        <r>
          <rPr>
            <sz val="9"/>
            <color indexed="81"/>
            <rFont val="Tahoma"/>
            <charset val="1"/>
          </rPr>
          <t xml:space="preserve">
Generic coefficients for the whole NACE C ("industry")</t>
        </r>
      </text>
    </comment>
    <comment ref="H59" authorId="0" shapeId="0">
      <text>
        <r>
          <rPr>
            <b/>
            <sz val="9"/>
            <color indexed="81"/>
            <rFont val="Tahoma"/>
            <charset val="1"/>
          </rPr>
          <t>Cerny:</t>
        </r>
        <r>
          <rPr>
            <sz val="9"/>
            <color indexed="81"/>
            <rFont val="Tahoma"/>
            <charset val="1"/>
          </rPr>
          <t xml:space="preserve">
Generic coefficients for the whole NACE C ("industry")</t>
        </r>
      </text>
    </comment>
    <comment ref="E60"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60" authorId="0" shapeId="0">
      <text>
        <r>
          <rPr>
            <b/>
            <sz val="9"/>
            <color indexed="81"/>
            <rFont val="Tahoma"/>
            <charset val="1"/>
          </rPr>
          <t>Cerny:</t>
        </r>
        <r>
          <rPr>
            <sz val="9"/>
            <color indexed="81"/>
            <rFont val="Tahoma"/>
            <charset val="1"/>
          </rPr>
          <t xml:space="preserve">
Generic coefficients for the whole NACE C ("industry")</t>
        </r>
      </text>
    </comment>
    <comment ref="H60" authorId="0" shapeId="0">
      <text>
        <r>
          <rPr>
            <b/>
            <sz val="9"/>
            <color indexed="81"/>
            <rFont val="Tahoma"/>
            <charset val="1"/>
          </rPr>
          <t>Cerny:</t>
        </r>
        <r>
          <rPr>
            <sz val="9"/>
            <color indexed="81"/>
            <rFont val="Tahoma"/>
            <charset val="1"/>
          </rPr>
          <t xml:space="preserve">
Generic coefficients for the whole NACE C ("industry")</t>
        </r>
      </text>
    </comment>
    <comment ref="E61"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62"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63"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64"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65"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65" authorId="0" shapeId="0">
      <text>
        <r>
          <rPr>
            <b/>
            <sz val="9"/>
            <color indexed="81"/>
            <rFont val="Tahoma"/>
            <charset val="1"/>
          </rPr>
          <t>Cerny:</t>
        </r>
        <r>
          <rPr>
            <sz val="9"/>
            <color indexed="81"/>
            <rFont val="Tahoma"/>
            <charset val="1"/>
          </rPr>
          <t xml:space="preserve">
Generic coefficients for the whole NACE C ("industry")</t>
        </r>
      </text>
    </comment>
    <comment ref="H65" authorId="0" shapeId="0">
      <text>
        <r>
          <rPr>
            <b/>
            <sz val="9"/>
            <color indexed="81"/>
            <rFont val="Tahoma"/>
            <charset val="1"/>
          </rPr>
          <t>Cerny:</t>
        </r>
        <r>
          <rPr>
            <sz val="9"/>
            <color indexed="81"/>
            <rFont val="Tahoma"/>
            <charset val="1"/>
          </rPr>
          <t xml:space="preserve">
Generic coefficients for the whole NACE C ("industry")</t>
        </r>
      </text>
    </comment>
    <comment ref="E66"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66" authorId="0" shapeId="0">
      <text>
        <r>
          <rPr>
            <b/>
            <sz val="9"/>
            <color indexed="81"/>
            <rFont val="Tahoma"/>
            <charset val="1"/>
          </rPr>
          <t>Cerny:</t>
        </r>
        <r>
          <rPr>
            <sz val="9"/>
            <color indexed="81"/>
            <rFont val="Tahoma"/>
            <charset val="1"/>
          </rPr>
          <t xml:space="preserve">
Generic coefficients for the whole NACE C ("industry")</t>
        </r>
      </text>
    </comment>
    <comment ref="H66" authorId="0" shapeId="0">
      <text>
        <r>
          <rPr>
            <b/>
            <sz val="9"/>
            <color indexed="81"/>
            <rFont val="Tahoma"/>
            <charset val="1"/>
          </rPr>
          <t>Cerny:</t>
        </r>
        <r>
          <rPr>
            <sz val="9"/>
            <color indexed="81"/>
            <rFont val="Tahoma"/>
            <charset val="1"/>
          </rPr>
          <t xml:space="preserve">
Generic coefficients for the whole NACE C ("industry")</t>
        </r>
      </text>
    </comment>
    <comment ref="E67"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68"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69"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70"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71"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71" authorId="0" shapeId="0">
      <text>
        <r>
          <rPr>
            <b/>
            <sz val="9"/>
            <color indexed="81"/>
            <rFont val="Tahoma"/>
            <charset val="1"/>
          </rPr>
          <t>Cerny:</t>
        </r>
        <r>
          <rPr>
            <sz val="9"/>
            <color indexed="81"/>
            <rFont val="Tahoma"/>
            <charset val="1"/>
          </rPr>
          <t xml:space="preserve">
Generic coefficients for the whole NACE C ("industry")</t>
        </r>
      </text>
    </comment>
    <comment ref="H71" authorId="0" shapeId="0">
      <text>
        <r>
          <rPr>
            <b/>
            <sz val="9"/>
            <color indexed="81"/>
            <rFont val="Tahoma"/>
            <charset val="1"/>
          </rPr>
          <t>Cerny:</t>
        </r>
        <r>
          <rPr>
            <sz val="9"/>
            <color indexed="81"/>
            <rFont val="Tahoma"/>
            <charset val="1"/>
          </rPr>
          <t xml:space="preserve">
Generic coefficients for the whole NACE C ("industry")</t>
        </r>
      </text>
    </comment>
    <comment ref="E72"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72" authorId="0" shapeId="0">
      <text>
        <r>
          <rPr>
            <b/>
            <sz val="9"/>
            <color indexed="81"/>
            <rFont val="Tahoma"/>
            <charset val="1"/>
          </rPr>
          <t>Cerny:</t>
        </r>
        <r>
          <rPr>
            <sz val="9"/>
            <color indexed="81"/>
            <rFont val="Tahoma"/>
            <charset val="1"/>
          </rPr>
          <t xml:space="preserve">
Generic coefficients for the whole NACE C ("industry")</t>
        </r>
      </text>
    </comment>
    <comment ref="H72" authorId="0" shapeId="0">
      <text>
        <r>
          <rPr>
            <b/>
            <sz val="9"/>
            <color indexed="81"/>
            <rFont val="Tahoma"/>
            <charset val="1"/>
          </rPr>
          <t>Cerny:</t>
        </r>
        <r>
          <rPr>
            <sz val="9"/>
            <color indexed="81"/>
            <rFont val="Tahoma"/>
            <charset val="1"/>
          </rPr>
          <t xml:space="preserve">
Generic coefficients for the whole NACE C ("industry")</t>
        </r>
      </text>
    </comment>
    <comment ref="E73"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74"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75"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76"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77"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77" authorId="0" shapeId="0">
      <text>
        <r>
          <rPr>
            <b/>
            <sz val="9"/>
            <color indexed="81"/>
            <rFont val="Tahoma"/>
            <charset val="1"/>
          </rPr>
          <t>Cerny:</t>
        </r>
        <r>
          <rPr>
            <sz val="9"/>
            <color indexed="81"/>
            <rFont val="Tahoma"/>
            <charset val="1"/>
          </rPr>
          <t xml:space="preserve">
Generic coefficients for the whole NACE C ("industry")</t>
        </r>
      </text>
    </comment>
    <comment ref="H77" authorId="0" shapeId="0">
      <text>
        <r>
          <rPr>
            <b/>
            <sz val="9"/>
            <color indexed="81"/>
            <rFont val="Tahoma"/>
            <charset val="1"/>
          </rPr>
          <t>Cerny:</t>
        </r>
        <r>
          <rPr>
            <sz val="9"/>
            <color indexed="81"/>
            <rFont val="Tahoma"/>
            <charset val="1"/>
          </rPr>
          <t xml:space="preserve">
Generic coefficients for the whole NACE C ("industry")</t>
        </r>
      </text>
    </comment>
    <comment ref="E78"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78" authorId="0" shapeId="0">
      <text>
        <r>
          <rPr>
            <b/>
            <sz val="9"/>
            <color indexed="81"/>
            <rFont val="Tahoma"/>
            <charset val="1"/>
          </rPr>
          <t>Cerny:</t>
        </r>
        <r>
          <rPr>
            <sz val="9"/>
            <color indexed="81"/>
            <rFont val="Tahoma"/>
            <charset val="1"/>
          </rPr>
          <t xml:space="preserve">
Generic coefficients for the whole NACE C ("industry")</t>
        </r>
      </text>
    </comment>
    <comment ref="H78" authorId="0" shapeId="0">
      <text>
        <r>
          <rPr>
            <b/>
            <sz val="9"/>
            <color indexed="81"/>
            <rFont val="Tahoma"/>
            <charset val="1"/>
          </rPr>
          <t>Cerny:</t>
        </r>
        <r>
          <rPr>
            <sz val="9"/>
            <color indexed="81"/>
            <rFont val="Tahoma"/>
            <charset val="1"/>
          </rPr>
          <t xml:space="preserve">
Generic coefficients for the whole NACE C ("industry")</t>
        </r>
      </text>
    </comment>
    <comment ref="E79"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80"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81"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82"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83"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83" authorId="0" shapeId="0">
      <text>
        <r>
          <rPr>
            <b/>
            <sz val="9"/>
            <color indexed="81"/>
            <rFont val="Tahoma"/>
            <charset val="1"/>
          </rPr>
          <t>Cerny:</t>
        </r>
        <r>
          <rPr>
            <sz val="9"/>
            <color indexed="81"/>
            <rFont val="Tahoma"/>
            <charset val="1"/>
          </rPr>
          <t xml:space="preserve">
Generic coefficients for the whole NACE C ("industry")</t>
        </r>
      </text>
    </comment>
    <comment ref="H83" authorId="0" shapeId="0">
      <text>
        <r>
          <rPr>
            <b/>
            <sz val="9"/>
            <color indexed="81"/>
            <rFont val="Tahoma"/>
            <charset val="1"/>
          </rPr>
          <t>Cerny:</t>
        </r>
        <r>
          <rPr>
            <sz val="9"/>
            <color indexed="81"/>
            <rFont val="Tahoma"/>
            <charset val="1"/>
          </rPr>
          <t xml:space="preserve">
Generic coefficients for the whole NACE C ("industry")</t>
        </r>
      </text>
    </comment>
    <comment ref="E84"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84" authorId="0" shapeId="0">
      <text>
        <r>
          <rPr>
            <b/>
            <sz val="9"/>
            <color indexed="81"/>
            <rFont val="Tahoma"/>
            <charset val="1"/>
          </rPr>
          <t>Cerny:</t>
        </r>
        <r>
          <rPr>
            <sz val="9"/>
            <color indexed="81"/>
            <rFont val="Tahoma"/>
            <charset val="1"/>
          </rPr>
          <t xml:space="preserve">
Generic coefficients for the whole NACE C ("industry")</t>
        </r>
      </text>
    </comment>
    <comment ref="H84" authorId="0" shapeId="0">
      <text>
        <r>
          <rPr>
            <b/>
            <sz val="9"/>
            <color indexed="81"/>
            <rFont val="Tahoma"/>
            <charset val="1"/>
          </rPr>
          <t>Cerny:</t>
        </r>
        <r>
          <rPr>
            <sz val="9"/>
            <color indexed="81"/>
            <rFont val="Tahoma"/>
            <charset val="1"/>
          </rPr>
          <t xml:space="preserve">
Generic coefficients for the whole NACE C ("industry")</t>
        </r>
      </text>
    </comment>
    <comment ref="E85"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86"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87"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88"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89"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89" authorId="0" shapeId="0">
      <text>
        <r>
          <rPr>
            <b/>
            <sz val="9"/>
            <color indexed="81"/>
            <rFont val="Tahoma"/>
            <charset val="1"/>
          </rPr>
          <t>Cerny:</t>
        </r>
        <r>
          <rPr>
            <sz val="9"/>
            <color indexed="81"/>
            <rFont val="Tahoma"/>
            <charset val="1"/>
          </rPr>
          <t xml:space="preserve">
Generic coefficients for the whole NACE C ("industry")</t>
        </r>
      </text>
    </comment>
    <comment ref="H89" authorId="0" shapeId="0">
      <text>
        <r>
          <rPr>
            <b/>
            <sz val="9"/>
            <color indexed="81"/>
            <rFont val="Tahoma"/>
            <charset val="1"/>
          </rPr>
          <t>Cerny:</t>
        </r>
        <r>
          <rPr>
            <sz val="9"/>
            <color indexed="81"/>
            <rFont val="Tahoma"/>
            <charset val="1"/>
          </rPr>
          <t xml:space="preserve">
Generic coefficients for the whole NACE C ("industry")</t>
        </r>
      </text>
    </comment>
    <comment ref="E90"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90" authorId="0" shapeId="0">
      <text>
        <r>
          <rPr>
            <b/>
            <sz val="9"/>
            <color indexed="81"/>
            <rFont val="Tahoma"/>
            <charset val="1"/>
          </rPr>
          <t>Cerny:</t>
        </r>
        <r>
          <rPr>
            <sz val="9"/>
            <color indexed="81"/>
            <rFont val="Tahoma"/>
            <charset val="1"/>
          </rPr>
          <t xml:space="preserve">
Generic coefficients for the whole NACE C ("industry")</t>
        </r>
      </text>
    </comment>
    <comment ref="H90" authorId="0" shapeId="0">
      <text>
        <r>
          <rPr>
            <b/>
            <sz val="9"/>
            <color indexed="81"/>
            <rFont val="Tahoma"/>
            <charset val="1"/>
          </rPr>
          <t>Cerny:</t>
        </r>
        <r>
          <rPr>
            <sz val="9"/>
            <color indexed="81"/>
            <rFont val="Tahoma"/>
            <charset val="1"/>
          </rPr>
          <t xml:space="preserve">
Generic coefficients for the whole NACE C ("industry")</t>
        </r>
      </text>
    </comment>
    <comment ref="E91"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92"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93"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94"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95"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95" authorId="0" shapeId="0">
      <text>
        <r>
          <rPr>
            <b/>
            <sz val="9"/>
            <color indexed="81"/>
            <rFont val="Tahoma"/>
            <charset val="1"/>
          </rPr>
          <t>Cerny:</t>
        </r>
        <r>
          <rPr>
            <sz val="9"/>
            <color indexed="81"/>
            <rFont val="Tahoma"/>
            <charset val="1"/>
          </rPr>
          <t xml:space="preserve">
Generic coefficients for the whole NACE C ("industry")</t>
        </r>
      </text>
    </comment>
    <comment ref="H95" authorId="0" shapeId="0">
      <text>
        <r>
          <rPr>
            <b/>
            <sz val="9"/>
            <color indexed="81"/>
            <rFont val="Tahoma"/>
            <charset val="1"/>
          </rPr>
          <t>Cerny:</t>
        </r>
        <r>
          <rPr>
            <sz val="9"/>
            <color indexed="81"/>
            <rFont val="Tahoma"/>
            <charset val="1"/>
          </rPr>
          <t xml:space="preserve">
Generic coefficients for the whole NACE C ("industry")</t>
        </r>
      </text>
    </comment>
    <comment ref="E96"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96" authorId="0" shapeId="0">
      <text>
        <r>
          <rPr>
            <b/>
            <sz val="9"/>
            <color indexed="81"/>
            <rFont val="Tahoma"/>
            <charset val="1"/>
          </rPr>
          <t>Cerny:</t>
        </r>
        <r>
          <rPr>
            <sz val="9"/>
            <color indexed="81"/>
            <rFont val="Tahoma"/>
            <charset val="1"/>
          </rPr>
          <t xml:space="preserve">
Generic coefficients for the whole NACE C ("industry")</t>
        </r>
      </text>
    </comment>
    <comment ref="H96" authorId="0" shapeId="0">
      <text>
        <r>
          <rPr>
            <b/>
            <sz val="9"/>
            <color indexed="81"/>
            <rFont val="Tahoma"/>
            <charset val="1"/>
          </rPr>
          <t>Cerny:</t>
        </r>
        <r>
          <rPr>
            <sz val="9"/>
            <color indexed="81"/>
            <rFont val="Tahoma"/>
            <charset val="1"/>
          </rPr>
          <t xml:space="preserve">
Generic coefficients for the whole NACE C ("industry")</t>
        </r>
      </text>
    </comment>
    <comment ref="E97"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98"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99"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100"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101"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01" authorId="0" shapeId="0">
      <text>
        <r>
          <rPr>
            <b/>
            <sz val="9"/>
            <color indexed="81"/>
            <rFont val="Tahoma"/>
            <charset val="1"/>
          </rPr>
          <t>Cerny:</t>
        </r>
        <r>
          <rPr>
            <sz val="9"/>
            <color indexed="81"/>
            <rFont val="Tahoma"/>
            <charset val="1"/>
          </rPr>
          <t xml:space="preserve">
Generic coefficients for the whole NACE C ("industry")</t>
        </r>
      </text>
    </comment>
    <comment ref="H101" authorId="0" shapeId="0">
      <text>
        <r>
          <rPr>
            <b/>
            <sz val="9"/>
            <color indexed="81"/>
            <rFont val="Tahoma"/>
            <charset val="1"/>
          </rPr>
          <t>Cerny:</t>
        </r>
        <r>
          <rPr>
            <sz val="9"/>
            <color indexed="81"/>
            <rFont val="Tahoma"/>
            <charset val="1"/>
          </rPr>
          <t xml:space="preserve">
Generic coefficients for the whole NACE C ("industry")</t>
        </r>
      </text>
    </comment>
    <comment ref="E102"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02" authorId="0" shapeId="0">
      <text>
        <r>
          <rPr>
            <b/>
            <sz val="9"/>
            <color indexed="81"/>
            <rFont val="Tahoma"/>
            <charset val="1"/>
          </rPr>
          <t>Cerny:</t>
        </r>
        <r>
          <rPr>
            <sz val="9"/>
            <color indexed="81"/>
            <rFont val="Tahoma"/>
            <charset val="1"/>
          </rPr>
          <t xml:space="preserve">
Generic coefficients for the whole NACE C ("industry")</t>
        </r>
      </text>
    </comment>
    <comment ref="H102" authorId="0" shapeId="0">
      <text>
        <r>
          <rPr>
            <b/>
            <sz val="9"/>
            <color indexed="81"/>
            <rFont val="Tahoma"/>
            <charset val="1"/>
          </rPr>
          <t>Cerny:</t>
        </r>
        <r>
          <rPr>
            <sz val="9"/>
            <color indexed="81"/>
            <rFont val="Tahoma"/>
            <charset val="1"/>
          </rPr>
          <t xml:space="preserve">
Generic coefficients for the whole NACE C ("industry")</t>
        </r>
      </text>
    </comment>
    <comment ref="E103"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104"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105"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106"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107"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07" authorId="0" shapeId="0">
      <text>
        <r>
          <rPr>
            <b/>
            <sz val="9"/>
            <color indexed="81"/>
            <rFont val="Tahoma"/>
            <charset val="1"/>
          </rPr>
          <t>Cerny:</t>
        </r>
        <r>
          <rPr>
            <sz val="9"/>
            <color indexed="81"/>
            <rFont val="Tahoma"/>
            <charset val="1"/>
          </rPr>
          <t xml:space="preserve">
Generic coefficients for the whole NACE C ("industry")</t>
        </r>
      </text>
    </comment>
    <comment ref="H107" authorId="0" shapeId="0">
      <text>
        <r>
          <rPr>
            <b/>
            <sz val="9"/>
            <color indexed="81"/>
            <rFont val="Tahoma"/>
            <charset val="1"/>
          </rPr>
          <t>Cerny:</t>
        </r>
        <r>
          <rPr>
            <sz val="9"/>
            <color indexed="81"/>
            <rFont val="Tahoma"/>
            <charset val="1"/>
          </rPr>
          <t xml:space="preserve">
Generic coefficients for the whole NACE C ("industry")</t>
        </r>
      </text>
    </comment>
    <comment ref="E108"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08" authorId="0" shapeId="0">
      <text>
        <r>
          <rPr>
            <b/>
            <sz val="9"/>
            <color indexed="81"/>
            <rFont val="Tahoma"/>
            <charset val="1"/>
          </rPr>
          <t>Cerny:</t>
        </r>
        <r>
          <rPr>
            <sz val="9"/>
            <color indexed="81"/>
            <rFont val="Tahoma"/>
            <charset val="1"/>
          </rPr>
          <t xml:space="preserve">
Generic coefficients for the whole NACE C ("industry")</t>
        </r>
      </text>
    </comment>
    <comment ref="H108" authorId="0" shapeId="0">
      <text>
        <r>
          <rPr>
            <b/>
            <sz val="9"/>
            <color indexed="81"/>
            <rFont val="Tahoma"/>
            <charset val="1"/>
          </rPr>
          <t>Cerny:</t>
        </r>
        <r>
          <rPr>
            <sz val="9"/>
            <color indexed="81"/>
            <rFont val="Tahoma"/>
            <charset val="1"/>
          </rPr>
          <t xml:space="preserve">
Generic coefficients for the whole NACE C ("industry")</t>
        </r>
      </text>
    </comment>
    <comment ref="E109"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110"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111"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112"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113"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13" authorId="0" shapeId="0">
      <text>
        <r>
          <rPr>
            <b/>
            <sz val="9"/>
            <color indexed="81"/>
            <rFont val="Tahoma"/>
            <charset val="1"/>
          </rPr>
          <t>Cerny:</t>
        </r>
        <r>
          <rPr>
            <sz val="9"/>
            <color indexed="81"/>
            <rFont val="Tahoma"/>
            <charset val="1"/>
          </rPr>
          <t xml:space="preserve">
Generic coefficients for the whole NACE C ("industry")</t>
        </r>
      </text>
    </comment>
    <comment ref="H113" authorId="0" shapeId="0">
      <text>
        <r>
          <rPr>
            <b/>
            <sz val="9"/>
            <color indexed="81"/>
            <rFont val="Tahoma"/>
            <charset val="1"/>
          </rPr>
          <t>Cerny:</t>
        </r>
        <r>
          <rPr>
            <sz val="9"/>
            <color indexed="81"/>
            <rFont val="Tahoma"/>
            <charset val="1"/>
          </rPr>
          <t xml:space="preserve">
Generic coefficients for the whole NACE C ("industry")</t>
        </r>
      </text>
    </comment>
    <comment ref="E114"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14" authorId="0" shapeId="0">
      <text>
        <r>
          <rPr>
            <b/>
            <sz val="9"/>
            <color indexed="81"/>
            <rFont val="Tahoma"/>
            <charset val="1"/>
          </rPr>
          <t>Cerny:</t>
        </r>
        <r>
          <rPr>
            <sz val="9"/>
            <color indexed="81"/>
            <rFont val="Tahoma"/>
            <charset val="1"/>
          </rPr>
          <t xml:space="preserve">
Generic coefficients for the whole NACE C ("industry")</t>
        </r>
      </text>
    </comment>
    <comment ref="H114" authorId="0" shapeId="0">
      <text>
        <r>
          <rPr>
            <b/>
            <sz val="9"/>
            <color indexed="81"/>
            <rFont val="Tahoma"/>
            <charset val="1"/>
          </rPr>
          <t>Cerny:</t>
        </r>
        <r>
          <rPr>
            <sz val="9"/>
            <color indexed="81"/>
            <rFont val="Tahoma"/>
            <charset val="1"/>
          </rPr>
          <t xml:space="preserve">
Generic coefficients for the whole NACE C ("industry")</t>
        </r>
      </text>
    </comment>
    <comment ref="E115"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116"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117"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118"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119"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19" authorId="0" shapeId="0">
      <text>
        <r>
          <rPr>
            <b/>
            <sz val="9"/>
            <color indexed="81"/>
            <rFont val="Tahoma"/>
            <charset val="1"/>
          </rPr>
          <t>Cerny:</t>
        </r>
        <r>
          <rPr>
            <sz val="9"/>
            <color indexed="81"/>
            <rFont val="Tahoma"/>
            <charset val="1"/>
          </rPr>
          <t xml:space="preserve">
Generic coefficients for the whole NACE C ("industry")</t>
        </r>
      </text>
    </comment>
    <comment ref="H119" authorId="0" shapeId="0">
      <text>
        <r>
          <rPr>
            <b/>
            <sz val="9"/>
            <color indexed="81"/>
            <rFont val="Tahoma"/>
            <charset val="1"/>
          </rPr>
          <t>Cerny:</t>
        </r>
        <r>
          <rPr>
            <sz val="9"/>
            <color indexed="81"/>
            <rFont val="Tahoma"/>
            <charset val="1"/>
          </rPr>
          <t xml:space="preserve">
Generic coefficients for the whole NACE C ("industry")</t>
        </r>
      </text>
    </comment>
    <comment ref="E120"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20" authorId="0" shapeId="0">
      <text>
        <r>
          <rPr>
            <b/>
            <sz val="9"/>
            <color indexed="81"/>
            <rFont val="Tahoma"/>
            <charset val="1"/>
          </rPr>
          <t>Cerny:</t>
        </r>
        <r>
          <rPr>
            <sz val="9"/>
            <color indexed="81"/>
            <rFont val="Tahoma"/>
            <charset val="1"/>
          </rPr>
          <t xml:space="preserve">
Generic coefficients for the whole NACE C ("industry")</t>
        </r>
      </text>
    </comment>
    <comment ref="H120" authorId="0" shapeId="0">
      <text>
        <r>
          <rPr>
            <b/>
            <sz val="9"/>
            <color indexed="81"/>
            <rFont val="Tahoma"/>
            <charset val="1"/>
          </rPr>
          <t>Cerny:</t>
        </r>
        <r>
          <rPr>
            <sz val="9"/>
            <color indexed="81"/>
            <rFont val="Tahoma"/>
            <charset val="1"/>
          </rPr>
          <t xml:space="preserve">
Generic coefficients for the whole NACE C ("industry")</t>
        </r>
      </text>
    </comment>
    <comment ref="E121"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122"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123"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124"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E125"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25" authorId="0" shapeId="0">
      <text>
        <r>
          <rPr>
            <b/>
            <sz val="9"/>
            <color indexed="81"/>
            <rFont val="Tahoma"/>
            <charset val="1"/>
          </rPr>
          <t>Cerny:</t>
        </r>
        <r>
          <rPr>
            <sz val="9"/>
            <color indexed="81"/>
            <rFont val="Tahoma"/>
            <charset val="1"/>
          </rPr>
          <t xml:space="preserve">
Generic coefficients for the whole NACE C ("industry")</t>
        </r>
      </text>
    </comment>
    <comment ref="H125" authorId="0" shapeId="0">
      <text>
        <r>
          <rPr>
            <b/>
            <sz val="9"/>
            <color indexed="81"/>
            <rFont val="Tahoma"/>
            <charset val="1"/>
          </rPr>
          <t>Cerny:</t>
        </r>
        <r>
          <rPr>
            <sz val="9"/>
            <color indexed="81"/>
            <rFont val="Tahoma"/>
            <charset val="1"/>
          </rPr>
          <t xml:space="preserve">
Generic coefficients for the whole NACE C ("industry")</t>
        </r>
      </text>
    </comment>
    <comment ref="E126"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26" authorId="0" shapeId="0">
      <text>
        <r>
          <rPr>
            <b/>
            <sz val="9"/>
            <color indexed="81"/>
            <rFont val="Tahoma"/>
            <charset val="1"/>
          </rPr>
          <t>Cerny:</t>
        </r>
        <r>
          <rPr>
            <sz val="9"/>
            <color indexed="81"/>
            <rFont val="Tahoma"/>
            <charset val="1"/>
          </rPr>
          <t xml:space="preserve">
Generic coefficients for the whole NACE C ("industry")</t>
        </r>
      </text>
    </comment>
    <comment ref="H126" authorId="0" shapeId="0">
      <text>
        <r>
          <rPr>
            <b/>
            <sz val="9"/>
            <color indexed="81"/>
            <rFont val="Tahoma"/>
            <charset val="1"/>
          </rPr>
          <t>Cerny:</t>
        </r>
        <r>
          <rPr>
            <sz val="9"/>
            <color indexed="81"/>
            <rFont val="Tahoma"/>
            <charset val="1"/>
          </rPr>
          <t xml:space="preserve">
Generic coefficients for the whole NACE C ("industry")</t>
        </r>
      </text>
    </comment>
    <comment ref="E127"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 ref="E128"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128" authorId="0" shapeId="0">
      <text>
        <r>
          <rPr>
            <b/>
            <sz val="9"/>
            <color indexed="81"/>
            <rFont val="Tahoma"/>
            <charset val="1"/>
          </rPr>
          <t>Cerny:</t>
        </r>
        <r>
          <rPr>
            <sz val="9"/>
            <color indexed="81"/>
            <rFont val="Tahoma"/>
            <charset val="1"/>
          </rPr>
          <t xml:space="preserve">
Generic coefficients for the whole NACE C ("industry")</t>
        </r>
      </text>
    </comment>
    <comment ref="H128" authorId="0" shapeId="0">
      <text>
        <r>
          <rPr>
            <b/>
            <sz val="9"/>
            <color indexed="81"/>
            <rFont val="Tahoma"/>
            <charset val="1"/>
          </rPr>
          <t>Cerny:</t>
        </r>
        <r>
          <rPr>
            <sz val="9"/>
            <color indexed="81"/>
            <rFont val="Tahoma"/>
            <charset val="1"/>
          </rPr>
          <t xml:space="preserve">
Generic coefficients for the whole NACE C ("industry")</t>
        </r>
      </text>
    </comment>
    <comment ref="E129"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129" authorId="0" shapeId="0">
      <text>
        <r>
          <rPr>
            <b/>
            <sz val="9"/>
            <color indexed="81"/>
            <rFont val="Tahoma"/>
            <charset val="1"/>
          </rPr>
          <t>Cerny:</t>
        </r>
        <r>
          <rPr>
            <sz val="9"/>
            <color indexed="81"/>
            <rFont val="Tahoma"/>
            <charset val="1"/>
          </rPr>
          <t xml:space="preserve">
Generic coefficients for the whole NACE C ("industry")</t>
        </r>
      </text>
    </comment>
    <comment ref="H129" authorId="0" shapeId="0">
      <text>
        <r>
          <rPr>
            <b/>
            <sz val="9"/>
            <color indexed="81"/>
            <rFont val="Tahoma"/>
            <charset val="1"/>
          </rPr>
          <t>Cerny:</t>
        </r>
        <r>
          <rPr>
            <sz val="9"/>
            <color indexed="81"/>
            <rFont val="Tahoma"/>
            <charset val="1"/>
          </rPr>
          <t xml:space="preserve">
Generic coefficients for the whole NACE C ("industry")</t>
        </r>
      </text>
    </comment>
    <comment ref="E130" authorId="0" shapeId="0">
      <text>
        <r>
          <rPr>
            <b/>
            <sz val="9"/>
            <color indexed="81"/>
            <rFont val="Tahoma"/>
            <charset val="1"/>
          </rPr>
          <t>Cerny:</t>
        </r>
        <r>
          <rPr>
            <sz val="9"/>
            <color indexed="81"/>
            <rFont val="Tahoma"/>
            <charset val="1"/>
          </rPr>
          <t xml:space="preserve">
If only the total change in employment intensity is reported in the source, we change all three skill level categories by the same amount. If the source reports a change in only one of these categories and does not comment on the overall change in employment intensity, we change only the category (=skill level) concerned; we do not address the remaining categories. Example: the source states that the demand for low-skilled employment will fall by 20%. The factor for Low-skilled is therefore 0,8 (1,0 = 100%; the calculation is 1,0 - 0,2 * 1,0 = 0,8).</t>
        </r>
      </text>
    </comment>
    <comment ref="G130" authorId="0" shapeId="0">
      <text>
        <r>
          <rPr>
            <b/>
            <sz val="9"/>
            <color indexed="81"/>
            <rFont val="Tahoma"/>
            <charset val="1"/>
          </rPr>
          <t>Cerny:</t>
        </r>
        <r>
          <rPr>
            <sz val="9"/>
            <color indexed="81"/>
            <rFont val="Tahoma"/>
            <charset val="1"/>
          </rPr>
          <t xml:space="preserve">
Generic coefficients for the whole NACE C ("industry")</t>
        </r>
      </text>
    </comment>
    <comment ref="H130" authorId="0" shapeId="0">
      <text>
        <r>
          <rPr>
            <b/>
            <sz val="9"/>
            <color indexed="81"/>
            <rFont val="Tahoma"/>
            <charset val="1"/>
          </rPr>
          <t>Cerny:</t>
        </r>
        <r>
          <rPr>
            <sz val="9"/>
            <color indexed="81"/>
            <rFont val="Tahoma"/>
            <charset val="1"/>
          </rPr>
          <t xml:space="preserve">
Generic coefficients for the whole NACE C ("industry")</t>
        </r>
      </text>
    </comment>
    <comment ref="E131"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31" authorId="0" shapeId="0">
      <text>
        <r>
          <rPr>
            <b/>
            <sz val="9"/>
            <color indexed="81"/>
            <rFont val="Tahoma"/>
            <charset val="1"/>
          </rPr>
          <t>Cerny:</t>
        </r>
        <r>
          <rPr>
            <sz val="9"/>
            <color indexed="81"/>
            <rFont val="Tahoma"/>
            <charset val="1"/>
          </rPr>
          <t xml:space="preserve">
Generic coefficients for the whole NACE C ("industry")</t>
        </r>
      </text>
    </comment>
    <comment ref="H131" authorId="0" shapeId="0">
      <text>
        <r>
          <rPr>
            <b/>
            <sz val="9"/>
            <color indexed="81"/>
            <rFont val="Tahoma"/>
            <charset val="1"/>
          </rPr>
          <t>Cerny:</t>
        </r>
        <r>
          <rPr>
            <sz val="9"/>
            <color indexed="81"/>
            <rFont val="Tahoma"/>
            <charset val="1"/>
          </rPr>
          <t xml:space="preserve">
Generic coefficients for the whole NACE C ("industry")</t>
        </r>
      </text>
    </comment>
    <comment ref="E132" authorId="0" shapeId="0">
      <text>
        <r>
          <rPr>
            <b/>
            <sz val="9"/>
            <color indexed="81"/>
            <rFont val="Tahoma"/>
            <charset val="1"/>
          </rPr>
          <t>Cerny:</t>
        </r>
        <r>
          <rPr>
            <sz val="9"/>
            <color indexed="81"/>
            <rFont val="Tahoma"/>
            <charset val="1"/>
          </rPr>
          <t xml:space="preserve">
If the labor/capital ratio remains constant, the coefficients remain at 1,0. If, for example, the capital share rises (increased automation, robotization or digitalization), its factor increases above 1,0 and vice versa. Example: the source states that the automation rate (=capital consumption in the input-output logic) increases by 20%. The factor for capital will therefore be 1,2 and for labour 0,8, since we assume perfect substitution of these factors of production (haha yes).</t>
        </r>
      </text>
    </comment>
    <comment ref="G132" authorId="0" shapeId="0">
      <text>
        <r>
          <rPr>
            <b/>
            <sz val="9"/>
            <color indexed="81"/>
            <rFont val="Tahoma"/>
            <charset val="1"/>
          </rPr>
          <t>Cerny:</t>
        </r>
        <r>
          <rPr>
            <sz val="9"/>
            <color indexed="81"/>
            <rFont val="Tahoma"/>
            <charset val="1"/>
          </rPr>
          <t xml:space="preserve">
Generic coefficients for the whole NACE C ("industry")</t>
        </r>
      </text>
    </comment>
    <comment ref="H132" authorId="0" shapeId="0">
      <text>
        <r>
          <rPr>
            <b/>
            <sz val="9"/>
            <color indexed="81"/>
            <rFont val="Tahoma"/>
            <charset val="1"/>
          </rPr>
          <t>Cerny:</t>
        </r>
        <r>
          <rPr>
            <sz val="9"/>
            <color indexed="81"/>
            <rFont val="Tahoma"/>
            <charset val="1"/>
          </rPr>
          <t xml:space="preserve">
Generic coefficients for the whole NACE C ("industry")</t>
        </r>
      </text>
    </comment>
    <comment ref="E133" authorId="0" shapeId="0">
      <text>
        <r>
          <rPr>
            <b/>
            <sz val="9"/>
            <color indexed="81"/>
            <rFont val="Tahoma"/>
            <family val="2"/>
            <charset val="238"/>
          </rPr>
          <t>Cerny:</t>
        </r>
        <r>
          <rPr>
            <sz val="9"/>
            <color indexed="81"/>
            <rFont val="Tahoma"/>
            <family val="2"/>
            <charset val="238"/>
          </rPr>
          <t xml:space="preserve">
If the value is equal to 2.0, the sum is correct.</t>
        </r>
      </text>
    </comment>
  </commentList>
</comments>
</file>

<file path=xl/comments5.xml><?xml version="1.0" encoding="utf-8"?>
<comments xmlns="http://schemas.openxmlformats.org/spreadsheetml/2006/main">
  <authors>
    <author>Cerny</author>
  </authors>
  <commentList>
    <comment ref="F1" authorId="0" shapeId="0">
      <text>
        <r>
          <rPr>
            <b/>
            <sz val="9"/>
            <color indexed="81"/>
            <rFont val="Tahoma"/>
            <charset val="1"/>
          </rPr>
          <t>Cerny:</t>
        </r>
        <r>
          <rPr>
            <sz val="9"/>
            <color indexed="81"/>
            <rFont val="Tahoma"/>
            <charset val="1"/>
          </rPr>
          <t xml:space="preserve">
We already take the percentages and intensities from the split (det) sectors, the factors (Factor.Det) would only adjust the ratios between skill levels and labor vs. capital. We have to do this since the changes in skill level proportions and labor to capital ratio are additional changes to those already modeled.</t>
        </r>
      </text>
    </comment>
    <comment ref="G2" authorId="0" shapeId="0">
      <text>
        <r>
          <rPr>
            <b/>
            <sz val="9"/>
            <color indexed="81"/>
            <rFont val="Tahoma"/>
            <charset val="1"/>
          </rPr>
          <t>Cerny:</t>
        </r>
        <r>
          <rPr>
            <sz val="9"/>
            <color indexed="81"/>
            <rFont val="Tahoma"/>
            <charset val="1"/>
          </rPr>
          <t xml:space="preserve">
Generic coefficients for the whole NACE C ("industry")</t>
        </r>
      </text>
    </comment>
    <comment ref="J2" authorId="0" shapeId="0">
      <text>
        <r>
          <rPr>
            <b/>
            <sz val="9"/>
            <color indexed="81"/>
            <rFont val="Tahoma"/>
            <charset val="1"/>
          </rPr>
          <t>Cerny:</t>
        </r>
        <r>
          <rPr>
            <sz val="9"/>
            <color indexed="81"/>
            <rFont val="Tahoma"/>
            <charset val="1"/>
          </rPr>
          <t xml:space="preserve">
Generic coefficients for the whole NACE C ("industry")</t>
        </r>
      </text>
    </comment>
    <comment ref="M2" authorId="0" shapeId="0">
      <text>
        <r>
          <rPr>
            <b/>
            <sz val="9"/>
            <color indexed="81"/>
            <rFont val="Tahoma"/>
            <charset val="1"/>
          </rPr>
          <t>Cerny:</t>
        </r>
        <r>
          <rPr>
            <sz val="9"/>
            <color indexed="81"/>
            <rFont val="Tahoma"/>
            <charset val="1"/>
          </rPr>
          <t xml:space="preserve">
Generic coefficients for the whole NACE C ("industry")</t>
        </r>
      </text>
    </comment>
    <comment ref="G13" authorId="0" shapeId="0">
      <text>
        <r>
          <rPr>
            <b/>
            <sz val="9"/>
            <color indexed="81"/>
            <rFont val="Tahoma"/>
            <charset val="1"/>
          </rPr>
          <t>Cerny:</t>
        </r>
        <r>
          <rPr>
            <sz val="9"/>
            <color indexed="81"/>
            <rFont val="Tahoma"/>
            <charset val="1"/>
          </rPr>
          <t xml:space="preserve">
Generic coefficients for the whole NACE C ("industry")</t>
        </r>
      </text>
    </comment>
    <comment ref="J13" authorId="0" shapeId="0">
      <text>
        <r>
          <rPr>
            <b/>
            <sz val="9"/>
            <color indexed="81"/>
            <rFont val="Tahoma"/>
            <charset val="1"/>
          </rPr>
          <t>Cerny:</t>
        </r>
        <r>
          <rPr>
            <sz val="9"/>
            <color indexed="81"/>
            <rFont val="Tahoma"/>
            <charset val="1"/>
          </rPr>
          <t xml:space="preserve">
Generic coefficients for the whole NACE C ("industry")</t>
        </r>
      </text>
    </comment>
    <comment ref="M13" authorId="0" shapeId="0">
      <text>
        <r>
          <rPr>
            <b/>
            <sz val="9"/>
            <color indexed="81"/>
            <rFont val="Tahoma"/>
            <charset val="1"/>
          </rPr>
          <t>Cerny:</t>
        </r>
        <r>
          <rPr>
            <sz val="9"/>
            <color indexed="81"/>
            <rFont val="Tahoma"/>
            <charset val="1"/>
          </rPr>
          <t xml:space="preserve">
Generic coefficients for the whole NACE C ("industry")</t>
        </r>
      </text>
    </comment>
    <comment ref="G24" authorId="0" shapeId="0">
      <text>
        <r>
          <rPr>
            <b/>
            <sz val="9"/>
            <color indexed="81"/>
            <rFont val="Tahoma"/>
            <charset val="1"/>
          </rPr>
          <t>Cerny:</t>
        </r>
        <r>
          <rPr>
            <sz val="9"/>
            <color indexed="81"/>
            <rFont val="Tahoma"/>
            <charset val="1"/>
          </rPr>
          <t xml:space="preserve">
Generic coefficients for the whole NACE C ("industry")</t>
        </r>
      </text>
    </comment>
    <comment ref="J24" authorId="0" shapeId="0">
      <text>
        <r>
          <rPr>
            <b/>
            <sz val="9"/>
            <color indexed="81"/>
            <rFont val="Tahoma"/>
            <charset val="1"/>
          </rPr>
          <t>Cerny:</t>
        </r>
        <r>
          <rPr>
            <sz val="9"/>
            <color indexed="81"/>
            <rFont val="Tahoma"/>
            <charset val="1"/>
          </rPr>
          <t xml:space="preserve">
Generic coefficients for the whole NACE C ("industry")</t>
        </r>
      </text>
    </comment>
    <comment ref="M24" authorId="0" shapeId="0">
      <text>
        <r>
          <rPr>
            <b/>
            <sz val="9"/>
            <color indexed="81"/>
            <rFont val="Tahoma"/>
            <charset val="1"/>
          </rPr>
          <t>Cerny:</t>
        </r>
        <r>
          <rPr>
            <sz val="9"/>
            <color indexed="81"/>
            <rFont val="Tahoma"/>
            <charset val="1"/>
          </rPr>
          <t xml:space="preserve">
Generic coefficients for the whole NACE C ("industry")</t>
        </r>
      </text>
    </comment>
    <comment ref="G35" authorId="0" shapeId="0">
      <text>
        <r>
          <rPr>
            <b/>
            <sz val="9"/>
            <color indexed="81"/>
            <rFont val="Tahoma"/>
            <charset val="1"/>
          </rPr>
          <t>Cerny:</t>
        </r>
        <r>
          <rPr>
            <sz val="9"/>
            <color indexed="81"/>
            <rFont val="Tahoma"/>
            <charset val="1"/>
          </rPr>
          <t xml:space="preserve">
Generic coefficients for the whole NACE C ("industry")</t>
        </r>
      </text>
    </comment>
    <comment ref="J35" authorId="0" shapeId="0">
      <text>
        <r>
          <rPr>
            <b/>
            <sz val="9"/>
            <color indexed="81"/>
            <rFont val="Tahoma"/>
            <charset val="1"/>
          </rPr>
          <t>Cerny:</t>
        </r>
        <r>
          <rPr>
            <sz val="9"/>
            <color indexed="81"/>
            <rFont val="Tahoma"/>
            <charset val="1"/>
          </rPr>
          <t xml:space="preserve">
Generic coefficients for the whole NACE C ("industry")</t>
        </r>
      </text>
    </comment>
    <comment ref="M35" authorId="0" shapeId="0">
      <text>
        <r>
          <rPr>
            <b/>
            <sz val="9"/>
            <color indexed="81"/>
            <rFont val="Tahoma"/>
            <charset val="1"/>
          </rPr>
          <t>Cerny:</t>
        </r>
        <r>
          <rPr>
            <sz val="9"/>
            <color indexed="81"/>
            <rFont val="Tahoma"/>
            <charset val="1"/>
          </rPr>
          <t xml:space="preserve">
Generic coefficients for the whole NACE C ("industry")</t>
        </r>
      </text>
    </comment>
    <comment ref="G57" authorId="0" shapeId="0">
      <text>
        <r>
          <rPr>
            <b/>
            <sz val="9"/>
            <color indexed="81"/>
            <rFont val="Tahoma"/>
            <charset val="1"/>
          </rPr>
          <t>Cerny:</t>
        </r>
        <r>
          <rPr>
            <sz val="9"/>
            <color indexed="81"/>
            <rFont val="Tahoma"/>
            <charset val="1"/>
          </rPr>
          <t xml:space="preserve">
Generic coefficients for the whole NACE C ("industry")</t>
        </r>
      </text>
    </comment>
    <comment ref="J57" authorId="0" shapeId="0">
      <text>
        <r>
          <rPr>
            <b/>
            <sz val="9"/>
            <color indexed="81"/>
            <rFont val="Tahoma"/>
            <charset val="1"/>
          </rPr>
          <t>Cerny:</t>
        </r>
        <r>
          <rPr>
            <sz val="9"/>
            <color indexed="81"/>
            <rFont val="Tahoma"/>
            <charset val="1"/>
          </rPr>
          <t xml:space="preserve">
Generic coefficients for the whole NACE C ("industry")</t>
        </r>
      </text>
    </comment>
    <comment ref="M57" authorId="0" shapeId="0">
      <text>
        <r>
          <rPr>
            <b/>
            <sz val="9"/>
            <color indexed="81"/>
            <rFont val="Tahoma"/>
            <charset val="1"/>
          </rPr>
          <t>Cerny:</t>
        </r>
        <r>
          <rPr>
            <sz val="9"/>
            <color indexed="81"/>
            <rFont val="Tahoma"/>
            <charset val="1"/>
          </rPr>
          <t xml:space="preserve">
Generic coefficients for the whole NACE C ("industry")</t>
        </r>
      </text>
    </comment>
    <comment ref="G68" authorId="0" shapeId="0">
      <text>
        <r>
          <rPr>
            <b/>
            <sz val="9"/>
            <color indexed="81"/>
            <rFont val="Tahoma"/>
            <charset val="1"/>
          </rPr>
          <t>Cerny:</t>
        </r>
        <r>
          <rPr>
            <sz val="9"/>
            <color indexed="81"/>
            <rFont val="Tahoma"/>
            <charset val="1"/>
          </rPr>
          <t xml:space="preserve">
Generic coefficients for the whole NACE C ("industry")</t>
        </r>
      </text>
    </comment>
    <comment ref="J68" authorId="0" shapeId="0">
      <text>
        <r>
          <rPr>
            <b/>
            <sz val="9"/>
            <color indexed="81"/>
            <rFont val="Tahoma"/>
            <charset val="1"/>
          </rPr>
          <t>Cerny:</t>
        </r>
        <r>
          <rPr>
            <sz val="9"/>
            <color indexed="81"/>
            <rFont val="Tahoma"/>
            <charset val="1"/>
          </rPr>
          <t xml:space="preserve">
Generic coefficients for the whole NACE C ("industry")</t>
        </r>
      </text>
    </comment>
    <comment ref="M68" authorId="0" shapeId="0">
      <text>
        <r>
          <rPr>
            <b/>
            <sz val="9"/>
            <color indexed="81"/>
            <rFont val="Tahoma"/>
            <charset val="1"/>
          </rPr>
          <t>Cerny:</t>
        </r>
        <r>
          <rPr>
            <sz val="9"/>
            <color indexed="81"/>
            <rFont val="Tahoma"/>
            <charset val="1"/>
          </rPr>
          <t xml:space="preserve">
Generic coefficients for the whole NACE C ("industry")</t>
        </r>
      </text>
    </comment>
    <comment ref="G112" authorId="0" shapeId="0">
      <text>
        <r>
          <rPr>
            <b/>
            <sz val="9"/>
            <color indexed="81"/>
            <rFont val="Tahoma"/>
            <charset val="1"/>
          </rPr>
          <t>Cerny:</t>
        </r>
        <r>
          <rPr>
            <sz val="9"/>
            <color indexed="81"/>
            <rFont val="Tahoma"/>
            <charset val="1"/>
          </rPr>
          <t xml:space="preserve">
Generic coefficients for the whole NACE C ("industry")</t>
        </r>
      </text>
    </comment>
    <comment ref="J112" authorId="0" shapeId="0">
      <text>
        <r>
          <rPr>
            <b/>
            <sz val="9"/>
            <color indexed="81"/>
            <rFont val="Tahoma"/>
            <charset val="1"/>
          </rPr>
          <t>Cerny:</t>
        </r>
        <r>
          <rPr>
            <sz val="9"/>
            <color indexed="81"/>
            <rFont val="Tahoma"/>
            <charset val="1"/>
          </rPr>
          <t xml:space="preserve">
Generic coefficients for the whole NACE C ("industry")</t>
        </r>
      </text>
    </comment>
    <comment ref="M112" authorId="0" shapeId="0">
      <text>
        <r>
          <rPr>
            <b/>
            <sz val="9"/>
            <color indexed="81"/>
            <rFont val="Tahoma"/>
            <charset val="1"/>
          </rPr>
          <t>Cerny:</t>
        </r>
        <r>
          <rPr>
            <sz val="9"/>
            <color indexed="81"/>
            <rFont val="Tahoma"/>
            <charset val="1"/>
          </rPr>
          <t xml:space="preserve">
Generic coefficients for the whole NACE C ("industry")</t>
        </r>
      </text>
    </comment>
    <comment ref="G123" authorId="0" shapeId="0">
      <text>
        <r>
          <rPr>
            <b/>
            <sz val="9"/>
            <color indexed="81"/>
            <rFont val="Tahoma"/>
            <charset val="1"/>
          </rPr>
          <t>Cerny:</t>
        </r>
        <r>
          <rPr>
            <sz val="9"/>
            <color indexed="81"/>
            <rFont val="Tahoma"/>
            <charset val="1"/>
          </rPr>
          <t xml:space="preserve">
Generic coefficients for the whole NACE C ("industry")</t>
        </r>
      </text>
    </comment>
    <comment ref="J123" authorId="0" shapeId="0">
      <text>
        <r>
          <rPr>
            <b/>
            <sz val="9"/>
            <color indexed="81"/>
            <rFont val="Tahoma"/>
            <charset val="1"/>
          </rPr>
          <t>Cerny:</t>
        </r>
        <r>
          <rPr>
            <sz val="9"/>
            <color indexed="81"/>
            <rFont val="Tahoma"/>
            <charset val="1"/>
          </rPr>
          <t xml:space="preserve">
Generic coefficients for the whole NACE C ("industry")</t>
        </r>
      </text>
    </comment>
    <comment ref="M123" authorId="0" shapeId="0">
      <text>
        <r>
          <rPr>
            <b/>
            <sz val="9"/>
            <color indexed="81"/>
            <rFont val="Tahoma"/>
            <charset val="1"/>
          </rPr>
          <t>Cerny:</t>
        </r>
        <r>
          <rPr>
            <sz val="9"/>
            <color indexed="81"/>
            <rFont val="Tahoma"/>
            <charset val="1"/>
          </rPr>
          <t xml:space="preserve">
Generic coefficients for the whole NACE C ("industry")</t>
        </r>
      </text>
    </comment>
    <comment ref="G134" authorId="0" shapeId="0">
      <text>
        <r>
          <rPr>
            <b/>
            <sz val="9"/>
            <color indexed="81"/>
            <rFont val="Tahoma"/>
            <charset val="1"/>
          </rPr>
          <t>Cerny:</t>
        </r>
        <r>
          <rPr>
            <sz val="9"/>
            <color indexed="81"/>
            <rFont val="Tahoma"/>
            <charset val="1"/>
          </rPr>
          <t xml:space="preserve">
Generic coefficients for the whole NACE C ("industry")</t>
        </r>
      </text>
    </comment>
    <comment ref="J134" authorId="0" shapeId="0">
      <text>
        <r>
          <rPr>
            <b/>
            <sz val="9"/>
            <color indexed="81"/>
            <rFont val="Tahoma"/>
            <charset val="1"/>
          </rPr>
          <t>Cerny:</t>
        </r>
        <r>
          <rPr>
            <sz val="9"/>
            <color indexed="81"/>
            <rFont val="Tahoma"/>
            <charset val="1"/>
          </rPr>
          <t xml:space="preserve">
Generic coefficients for the whole NACE C ("industry")</t>
        </r>
      </text>
    </comment>
    <comment ref="M134" authorId="0" shapeId="0">
      <text>
        <r>
          <rPr>
            <b/>
            <sz val="9"/>
            <color indexed="81"/>
            <rFont val="Tahoma"/>
            <charset val="1"/>
          </rPr>
          <t>Cerny:</t>
        </r>
        <r>
          <rPr>
            <sz val="9"/>
            <color indexed="81"/>
            <rFont val="Tahoma"/>
            <charset val="1"/>
          </rPr>
          <t xml:space="preserve">
Generic coefficients for the whole NACE C ("industry")</t>
        </r>
      </text>
    </comment>
    <comment ref="G332" authorId="0" shapeId="0">
      <text>
        <r>
          <rPr>
            <b/>
            <sz val="9"/>
            <color indexed="81"/>
            <rFont val="Tahoma"/>
            <charset val="1"/>
          </rPr>
          <t>Cerny:</t>
        </r>
        <r>
          <rPr>
            <sz val="9"/>
            <color indexed="81"/>
            <rFont val="Tahoma"/>
            <charset val="1"/>
          </rPr>
          <t xml:space="preserve">
Generic coefficients for the whole NACE C ("industry")</t>
        </r>
      </text>
    </comment>
    <comment ref="J332" authorId="0" shapeId="0">
      <text>
        <r>
          <rPr>
            <b/>
            <sz val="9"/>
            <color indexed="81"/>
            <rFont val="Tahoma"/>
            <charset val="1"/>
          </rPr>
          <t>Cerny:</t>
        </r>
        <r>
          <rPr>
            <sz val="9"/>
            <color indexed="81"/>
            <rFont val="Tahoma"/>
            <charset val="1"/>
          </rPr>
          <t xml:space="preserve">
Generic coefficients for the whole NACE C ("industry")</t>
        </r>
      </text>
    </comment>
    <comment ref="M332" authorId="0" shapeId="0">
      <text>
        <r>
          <rPr>
            <b/>
            <sz val="9"/>
            <color indexed="81"/>
            <rFont val="Tahoma"/>
            <charset val="1"/>
          </rPr>
          <t>Cerny:</t>
        </r>
        <r>
          <rPr>
            <sz val="9"/>
            <color indexed="81"/>
            <rFont val="Tahoma"/>
            <charset val="1"/>
          </rPr>
          <t xml:space="preserve">
Generic coefficients for the whole NACE C ("industry")</t>
        </r>
      </text>
    </comment>
    <comment ref="G343" authorId="0" shapeId="0">
      <text>
        <r>
          <rPr>
            <b/>
            <sz val="9"/>
            <color indexed="81"/>
            <rFont val="Tahoma"/>
            <charset val="1"/>
          </rPr>
          <t>Cerny:</t>
        </r>
        <r>
          <rPr>
            <sz val="9"/>
            <color indexed="81"/>
            <rFont val="Tahoma"/>
            <charset val="1"/>
          </rPr>
          <t xml:space="preserve">
Generic coefficients for the whole NACE C ("industry")</t>
        </r>
      </text>
    </comment>
    <comment ref="J343" authorId="0" shapeId="0">
      <text>
        <r>
          <rPr>
            <b/>
            <sz val="9"/>
            <color indexed="81"/>
            <rFont val="Tahoma"/>
            <charset val="1"/>
          </rPr>
          <t>Cerny:</t>
        </r>
        <r>
          <rPr>
            <sz val="9"/>
            <color indexed="81"/>
            <rFont val="Tahoma"/>
            <charset val="1"/>
          </rPr>
          <t xml:space="preserve">
Generic coefficients for the whole NACE C ("industry")</t>
        </r>
      </text>
    </comment>
    <comment ref="M343" authorId="0" shapeId="0">
      <text>
        <r>
          <rPr>
            <b/>
            <sz val="9"/>
            <color indexed="81"/>
            <rFont val="Tahoma"/>
            <charset val="1"/>
          </rPr>
          <t>Cerny:</t>
        </r>
        <r>
          <rPr>
            <sz val="9"/>
            <color indexed="81"/>
            <rFont val="Tahoma"/>
            <charset val="1"/>
          </rPr>
          <t xml:space="preserve">
Generic coefficients for the whole NACE C ("industry")</t>
        </r>
      </text>
    </comment>
    <comment ref="G354" authorId="0" shapeId="0">
      <text>
        <r>
          <rPr>
            <b/>
            <sz val="9"/>
            <color indexed="81"/>
            <rFont val="Tahoma"/>
            <charset val="1"/>
          </rPr>
          <t>Cerny:</t>
        </r>
        <r>
          <rPr>
            <sz val="9"/>
            <color indexed="81"/>
            <rFont val="Tahoma"/>
            <charset val="1"/>
          </rPr>
          <t xml:space="preserve">
Generic coefficients for the whole NACE C ("industry")</t>
        </r>
      </text>
    </comment>
    <comment ref="J354" authorId="0" shapeId="0">
      <text>
        <r>
          <rPr>
            <b/>
            <sz val="9"/>
            <color indexed="81"/>
            <rFont val="Tahoma"/>
            <charset val="1"/>
          </rPr>
          <t>Cerny:</t>
        </r>
        <r>
          <rPr>
            <sz val="9"/>
            <color indexed="81"/>
            <rFont val="Tahoma"/>
            <charset val="1"/>
          </rPr>
          <t xml:space="preserve">
Generic coefficients for the whole NACE C ("industry")</t>
        </r>
      </text>
    </comment>
    <comment ref="M354" authorId="0" shapeId="0">
      <text>
        <r>
          <rPr>
            <b/>
            <sz val="9"/>
            <color indexed="81"/>
            <rFont val="Tahoma"/>
            <charset val="1"/>
          </rPr>
          <t>Cerny:</t>
        </r>
        <r>
          <rPr>
            <sz val="9"/>
            <color indexed="81"/>
            <rFont val="Tahoma"/>
            <charset val="1"/>
          </rPr>
          <t xml:space="preserve">
Generic coefficients for the whole NACE C ("industry")</t>
        </r>
      </text>
    </comment>
    <comment ref="G365" authorId="0" shapeId="0">
      <text>
        <r>
          <rPr>
            <b/>
            <sz val="9"/>
            <color indexed="81"/>
            <rFont val="Tahoma"/>
            <charset val="1"/>
          </rPr>
          <t>Cerny:</t>
        </r>
        <r>
          <rPr>
            <sz val="9"/>
            <color indexed="81"/>
            <rFont val="Tahoma"/>
            <charset val="1"/>
          </rPr>
          <t xml:space="preserve">
Generic coefficients for the whole NACE C ("industry")</t>
        </r>
      </text>
    </comment>
    <comment ref="J365" authorId="0" shapeId="0">
      <text>
        <r>
          <rPr>
            <b/>
            <sz val="9"/>
            <color indexed="81"/>
            <rFont val="Tahoma"/>
            <charset val="1"/>
          </rPr>
          <t>Cerny:</t>
        </r>
        <r>
          <rPr>
            <sz val="9"/>
            <color indexed="81"/>
            <rFont val="Tahoma"/>
            <charset val="1"/>
          </rPr>
          <t xml:space="preserve">
Generic coefficients for the whole NACE C ("industry")</t>
        </r>
      </text>
    </comment>
    <comment ref="M365" authorId="0" shapeId="0">
      <text>
        <r>
          <rPr>
            <b/>
            <sz val="9"/>
            <color indexed="81"/>
            <rFont val="Tahoma"/>
            <charset val="1"/>
          </rPr>
          <t>Cerny:</t>
        </r>
        <r>
          <rPr>
            <sz val="9"/>
            <color indexed="81"/>
            <rFont val="Tahoma"/>
            <charset val="1"/>
          </rPr>
          <t xml:space="preserve">
Generic coefficients for the whole NACE C ("industry")</t>
        </r>
      </text>
    </comment>
    <comment ref="G376" authorId="0" shapeId="0">
      <text>
        <r>
          <rPr>
            <b/>
            <sz val="9"/>
            <color indexed="81"/>
            <rFont val="Tahoma"/>
            <charset val="1"/>
          </rPr>
          <t>Cerny:</t>
        </r>
        <r>
          <rPr>
            <sz val="9"/>
            <color indexed="81"/>
            <rFont val="Tahoma"/>
            <charset val="1"/>
          </rPr>
          <t xml:space="preserve">
Generic coefficients for the whole NACE C ("industry")</t>
        </r>
      </text>
    </comment>
    <comment ref="J376" authorId="0" shapeId="0">
      <text>
        <r>
          <rPr>
            <b/>
            <sz val="9"/>
            <color indexed="81"/>
            <rFont val="Tahoma"/>
            <charset val="1"/>
          </rPr>
          <t>Cerny:</t>
        </r>
        <r>
          <rPr>
            <sz val="9"/>
            <color indexed="81"/>
            <rFont val="Tahoma"/>
            <charset val="1"/>
          </rPr>
          <t xml:space="preserve">
Generic coefficients for the whole NACE C ("industry")</t>
        </r>
      </text>
    </comment>
    <comment ref="M376" authorId="0" shapeId="0">
      <text>
        <r>
          <rPr>
            <b/>
            <sz val="9"/>
            <color indexed="81"/>
            <rFont val="Tahoma"/>
            <charset val="1"/>
          </rPr>
          <t>Cerny:</t>
        </r>
        <r>
          <rPr>
            <sz val="9"/>
            <color indexed="81"/>
            <rFont val="Tahoma"/>
            <charset val="1"/>
          </rPr>
          <t xml:space="preserve">
Generic coefficients for the whole NACE C ("industry")</t>
        </r>
      </text>
    </comment>
    <comment ref="G387" authorId="0" shapeId="0">
      <text>
        <r>
          <rPr>
            <b/>
            <sz val="9"/>
            <color indexed="81"/>
            <rFont val="Tahoma"/>
            <charset val="1"/>
          </rPr>
          <t>Cerny:</t>
        </r>
        <r>
          <rPr>
            <sz val="9"/>
            <color indexed="81"/>
            <rFont val="Tahoma"/>
            <charset val="1"/>
          </rPr>
          <t xml:space="preserve">
Generic coefficients for the whole NACE C ("industry")</t>
        </r>
      </text>
    </comment>
    <comment ref="J387" authorId="0" shapeId="0">
      <text>
        <r>
          <rPr>
            <b/>
            <sz val="9"/>
            <color indexed="81"/>
            <rFont val="Tahoma"/>
            <charset val="1"/>
          </rPr>
          <t>Cerny:</t>
        </r>
        <r>
          <rPr>
            <sz val="9"/>
            <color indexed="81"/>
            <rFont val="Tahoma"/>
            <charset val="1"/>
          </rPr>
          <t xml:space="preserve">
Generic coefficients for the whole NACE C ("industry")</t>
        </r>
      </text>
    </comment>
    <comment ref="M387" authorId="0" shapeId="0">
      <text>
        <r>
          <rPr>
            <b/>
            <sz val="9"/>
            <color indexed="81"/>
            <rFont val="Tahoma"/>
            <charset val="1"/>
          </rPr>
          <t>Cerny:</t>
        </r>
        <r>
          <rPr>
            <sz val="9"/>
            <color indexed="81"/>
            <rFont val="Tahoma"/>
            <charset val="1"/>
          </rPr>
          <t xml:space="preserve">
Generic coefficients for the whole NACE C ("industry")</t>
        </r>
      </text>
    </comment>
    <comment ref="G398" authorId="0" shapeId="0">
      <text>
        <r>
          <rPr>
            <b/>
            <sz val="9"/>
            <color indexed="81"/>
            <rFont val="Tahoma"/>
            <charset val="1"/>
          </rPr>
          <t>Cerny:</t>
        </r>
        <r>
          <rPr>
            <sz val="9"/>
            <color indexed="81"/>
            <rFont val="Tahoma"/>
            <charset val="1"/>
          </rPr>
          <t xml:space="preserve">
Generic coefficients for the whole NACE C ("industry")</t>
        </r>
      </text>
    </comment>
    <comment ref="J398" authorId="0" shapeId="0">
      <text>
        <r>
          <rPr>
            <b/>
            <sz val="9"/>
            <color indexed="81"/>
            <rFont val="Tahoma"/>
            <charset val="1"/>
          </rPr>
          <t>Cerny:</t>
        </r>
        <r>
          <rPr>
            <sz val="9"/>
            <color indexed="81"/>
            <rFont val="Tahoma"/>
            <charset val="1"/>
          </rPr>
          <t xml:space="preserve">
Generic coefficients for the whole NACE C ("industry")</t>
        </r>
      </text>
    </comment>
    <comment ref="M398" authorId="0" shapeId="0">
      <text>
        <r>
          <rPr>
            <b/>
            <sz val="9"/>
            <color indexed="81"/>
            <rFont val="Tahoma"/>
            <charset val="1"/>
          </rPr>
          <t>Cerny:</t>
        </r>
        <r>
          <rPr>
            <sz val="9"/>
            <color indexed="81"/>
            <rFont val="Tahoma"/>
            <charset val="1"/>
          </rPr>
          <t xml:space="preserve">
Generic coefficients for the whole NACE C ("industry")</t>
        </r>
      </text>
    </comment>
    <comment ref="G409" authorId="0" shapeId="0">
      <text>
        <r>
          <rPr>
            <b/>
            <sz val="9"/>
            <color indexed="81"/>
            <rFont val="Tahoma"/>
            <charset val="1"/>
          </rPr>
          <t>Cerny:</t>
        </r>
        <r>
          <rPr>
            <sz val="9"/>
            <color indexed="81"/>
            <rFont val="Tahoma"/>
            <charset val="1"/>
          </rPr>
          <t xml:space="preserve">
Generic coefficients for the whole NACE C ("industry")</t>
        </r>
      </text>
    </comment>
    <comment ref="J409" authorId="0" shapeId="0">
      <text>
        <r>
          <rPr>
            <b/>
            <sz val="9"/>
            <color indexed="81"/>
            <rFont val="Tahoma"/>
            <charset val="1"/>
          </rPr>
          <t>Cerny:</t>
        </r>
        <r>
          <rPr>
            <sz val="9"/>
            <color indexed="81"/>
            <rFont val="Tahoma"/>
            <charset val="1"/>
          </rPr>
          <t xml:space="preserve">
Generic coefficients for the whole NACE C ("industry")</t>
        </r>
      </text>
    </comment>
    <comment ref="M409" authorId="0" shapeId="0">
      <text>
        <r>
          <rPr>
            <b/>
            <sz val="9"/>
            <color indexed="81"/>
            <rFont val="Tahoma"/>
            <charset val="1"/>
          </rPr>
          <t>Cerny:</t>
        </r>
        <r>
          <rPr>
            <sz val="9"/>
            <color indexed="81"/>
            <rFont val="Tahoma"/>
            <charset val="1"/>
          </rPr>
          <t xml:space="preserve">
Generic coefficients for the whole NACE C ("industry")</t>
        </r>
      </text>
    </comment>
    <comment ref="G420" authorId="0" shapeId="0">
      <text>
        <r>
          <rPr>
            <b/>
            <sz val="9"/>
            <color indexed="81"/>
            <rFont val="Tahoma"/>
            <charset val="1"/>
          </rPr>
          <t>Cerny:</t>
        </r>
        <r>
          <rPr>
            <sz val="9"/>
            <color indexed="81"/>
            <rFont val="Tahoma"/>
            <charset val="1"/>
          </rPr>
          <t xml:space="preserve">
Generic coefficients for the whole NACE C ("industry")</t>
        </r>
      </text>
    </comment>
    <comment ref="J420" authorId="0" shapeId="0">
      <text>
        <r>
          <rPr>
            <b/>
            <sz val="9"/>
            <color indexed="81"/>
            <rFont val="Tahoma"/>
            <charset val="1"/>
          </rPr>
          <t>Cerny:</t>
        </r>
        <r>
          <rPr>
            <sz val="9"/>
            <color indexed="81"/>
            <rFont val="Tahoma"/>
            <charset val="1"/>
          </rPr>
          <t xml:space="preserve">
Generic coefficients for the whole NACE C ("industry")</t>
        </r>
      </text>
    </comment>
    <comment ref="M420" authorId="0" shapeId="0">
      <text>
        <r>
          <rPr>
            <b/>
            <sz val="9"/>
            <color indexed="81"/>
            <rFont val="Tahoma"/>
            <charset val="1"/>
          </rPr>
          <t>Cerny:</t>
        </r>
        <r>
          <rPr>
            <sz val="9"/>
            <color indexed="81"/>
            <rFont val="Tahoma"/>
            <charset val="1"/>
          </rPr>
          <t xml:space="preserve">
Generic coefficients for the whole NACE C ("industry")</t>
        </r>
      </text>
    </comment>
    <comment ref="G431" authorId="0" shapeId="0">
      <text>
        <r>
          <rPr>
            <b/>
            <sz val="9"/>
            <color indexed="81"/>
            <rFont val="Tahoma"/>
            <charset val="1"/>
          </rPr>
          <t>Cerny:</t>
        </r>
        <r>
          <rPr>
            <sz val="9"/>
            <color indexed="81"/>
            <rFont val="Tahoma"/>
            <charset val="1"/>
          </rPr>
          <t xml:space="preserve">
Generic coefficients for the whole NACE C ("industry")</t>
        </r>
      </text>
    </comment>
    <comment ref="J431" authorId="0" shapeId="0">
      <text>
        <r>
          <rPr>
            <b/>
            <sz val="9"/>
            <color indexed="81"/>
            <rFont val="Tahoma"/>
            <charset val="1"/>
          </rPr>
          <t>Cerny:</t>
        </r>
        <r>
          <rPr>
            <sz val="9"/>
            <color indexed="81"/>
            <rFont val="Tahoma"/>
            <charset val="1"/>
          </rPr>
          <t xml:space="preserve">
Generic coefficients for the whole NACE C ("industry")</t>
        </r>
      </text>
    </comment>
    <comment ref="M431" authorId="0" shapeId="0">
      <text>
        <r>
          <rPr>
            <b/>
            <sz val="9"/>
            <color indexed="81"/>
            <rFont val="Tahoma"/>
            <charset val="1"/>
          </rPr>
          <t>Cerny:</t>
        </r>
        <r>
          <rPr>
            <sz val="9"/>
            <color indexed="81"/>
            <rFont val="Tahoma"/>
            <charset val="1"/>
          </rPr>
          <t xml:space="preserve">
Generic coefficients for the whole NACE C ("industry")</t>
        </r>
      </text>
    </comment>
    <comment ref="G442" authorId="0" shapeId="0">
      <text>
        <r>
          <rPr>
            <b/>
            <sz val="9"/>
            <color indexed="81"/>
            <rFont val="Tahoma"/>
            <charset val="1"/>
          </rPr>
          <t>Cerny:</t>
        </r>
        <r>
          <rPr>
            <sz val="9"/>
            <color indexed="81"/>
            <rFont val="Tahoma"/>
            <charset val="1"/>
          </rPr>
          <t xml:space="preserve">
Generic coefficients for the whole NACE C ("industry")</t>
        </r>
      </text>
    </comment>
    <comment ref="J442" authorId="0" shapeId="0">
      <text>
        <r>
          <rPr>
            <b/>
            <sz val="9"/>
            <color indexed="81"/>
            <rFont val="Tahoma"/>
            <charset val="1"/>
          </rPr>
          <t>Cerny:</t>
        </r>
        <r>
          <rPr>
            <sz val="9"/>
            <color indexed="81"/>
            <rFont val="Tahoma"/>
            <charset val="1"/>
          </rPr>
          <t xml:space="preserve">
Generic coefficients for the whole NACE C ("industry")</t>
        </r>
      </text>
    </comment>
    <comment ref="M442" authorId="0" shapeId="0">
      <text>
        <r>
          <rPr>
            <b/>
            <sz val="9"/>
            <color indexed="81"/>
            <rFont val="Tahoma"/>
            <charset val="1"/>
          </rPr>
          <t>Cerny:</t>
        </r>
        <r>
          <rPr>
            <sz val="9"/>
            <color indexed="81"/>
            <rFont val="Tahoma"/>
            <charset val="1"/>
          </rPr>
          <t xml:space="preserve">
Generic coefficients for the whole NACE C ("industry")</t>
        </r>
      </text>
    </comment>
    <comment ref="G453" authorId="0" shapeId="0">
      <text>
        <r>
          <rPr>
            <b/>
            <sz val="9"/>
            <color indexed="81"/>
            <rFont val="Tahoma"/>
            <charset val="1"/>
          </rPr>
          <t>Cerny:</t>
        </r>
        <r>
          <rPr>
            <sz val="9"/>
            <color indexed="81"/>
            <rFont val="Tahoma"/>
            <charset val="1"/>
          </rPr>
          <t xml:space="preserve">
Generic coefficients for the whole NACE C ("industry")</t>
        </r>
      </text>
    </comment>
    <comment ref="J453" authorId="0" shapeId="0">
      <text>
        <r>
          <rPr>
            <b/>
            <sz val="9"/>
            <color indexed="81"/>
            <rFont val="Tahoma"/>
            <charset val="1"/>
          </rPr>
          <t>Cerny:</t>
        </r>
        <r>
          <rPr>
            <sz val="9"/>
            <color indexed="81"/>
            <rFont val="Tahoma"/>
            <charset val="1"/>
          </rPr>
          <t xml:space="preserve">
Generic coefficients for the whole NACE C ("industry")</t>
        </r>
      </text>
    </comment>
    <comment ref="M453" authorId="0" shapeId="0">
      <text>
        <r>
          <rPr>
            <b/>
            <sz val="9"/>
            <color indexed="81"/>
            <rFont val="Tahoma"/>
            <charset val="1"/>
          </rPr>
          <t>Cerny:</t>
        </r>
        <r>
          <rPr>
            <sz val="9"/>
            <color indexed="81"/>
            <rFont val="Tahoma"/>
            <charset val="1"/>
          </rPr>
          <t xml:space="preserve">
Generic coefficients for the whole NACE C ("industry")</t>
        </r>
      </text>
    </comment>
    <comment ref="G464" authorId="0" shapeId="0">
      <text>
        <r>
          <rPr>
            <b/>
            <sz val="9"/>
            <color indexed="81"/>
            <rFont val="Tahoma"/>
            <charset val="1"/>
          </rPr>
          <t>Cerny:</t>
        </r>
        <r>
          <rPr>
            <sz val="9"/>
            <color indexed="81"/>
            <rFont val="Tahoma"/>
            <charset val="1"/>
          </rPr>
          <t xml:space="preserve">
Generic coefficients for the whole NACE C ("industry")</t>
        </r>
      </text>
    </comment>
    <comment ref="J464" authorId="0" shapeId="0">
      <text>
        <r>
          <rPr>
            <b/>
            <sz val="9"/>
            <color indexed="81"/>
            <rFont val="Tahoma"/>
            <charset val="1"/>
          </rPr>
          <t>Cerny:</t>
        </r>
        <r>
          <rPr>
            <sz val="9"/>
            <color indexed="81"/>
            <rFont val="Tahoma"/>
            <charset val="1"/>
          </rPr>
          <t xml:space="preserve">
Generic coefficients for the whole NACE C ("industry")</t>
        </r>
      </text>
    </comment>
    <comment ref="M464" authorId="0" shapeId="0">
      <text>
        <r>
          <rPr>
            <b/>
            <sz val="9"/>
            <color indexed="81"/>
            <rFont val="Tahoma"/>
            <charset val="1"/>
          </rPr>
          <t>Cerny:</t>
        </r>
        <r>
          <rPr>
            <sz val="9"/>
            <color indexed="81"/>
            <rFont val="Tahoma"/>
            <charset val="1"/>
          </rPr>
          <t xml:space="preserve">
Generic coefficients for the whole NACE C ("industry")</t>
        </r>
      </text>
    </comment>
    <comment ref="G475" authorId="0" shapeId="0">
      <text>
        <r>
          <rPr>
            <b/>
            <sz val="9"/>
            <color indexed="81"/>
            <rFont val="Tahoma"/>
            <charset val="1"/>
          </rPr>
          <t>Cerny:</t>
        </r>
        <r>
          <rPr>
            <sz val="9"/>
            <color indexed="81"/>
            <rFont val="Tahoma"/>
            <charset val="1"/>
          </rPr>
          <t xml:space="preserve">
Generic coefficients for the whole NACE C ("industry")</t>
        </r>
      </text>
    </comment>
    <comment ref="J475" authorId="0" shapeId="0">
      <text>
        <r>
          <rPr>
            <b/>
            <sz val="9"/>
            <color indexed="81"/>
            <rFont val="Tahoma"/>
            <charset val="1"/>
          </rPr>
          <t>Cerny:</t>
        </r>
        <r>
          <rPr>
            <sz val="9"/>
            <color indexed="81"/>
            <rFont val="Tahoma"/>
            <charset val="1"/>
          </rPr>
          <t xml:space="preserve">
Generic coefficients for the whole NACE C ("industry")</t>
        </r>
      </text>
    </comment>
    <comment ref="M475" authorId="0" shapeId="0">
      <text>
        <r>
          <rPr>
            <b/>
            <sz val="9"/>
            <color indexed="81"/>
            <rFont val="Tahoma"/>
            <charset val="1"/>
          </rPr>
          <t>Cerny:</t>
        </r>
        <r>
          <rPr>
            <sz val="9"/>
            <color indexed="81"/>
            <rFont val="Tahoma"/>
            <charset val="1"/>
          </rPr>
          <t xml:space="preserve">
Generic coefficients for the whole NACE C ("industry")</t>
        </r>
      </text>
    </comment>
    <comment ref="G486" authorId="0" shapeId="0">
      <text>
        <r>
          <rPr>
            <b/>
            <sz val="9"/>
            <color indexed="81"/>
            <rFont val="Tahoma"/>
            <charset val="1"/>
          </rPr>
          <t>Cerny:</t>
        </r>
        <r>
          <rPr>
            <sz val="9"/>
            <color indexed="81"/>
            <rFont val="Tahoma"/>
            <charset val="1"/>
          </rPr>
          <t xml:space="preserve">
Generic coefficients for the whole NACE C ("industry")</t>
        </r>
      </text>
    </comment>
    <comment ref="J486" authorId="0" shapeId="0">
      <text>
        <r>
          <rPr>
            <b/>
            <sz val="9"/>
            <color indexed="81"/>
            <rFont val="Tahoma"/>
            <charset val="1"/>
          </rPr>
          <t>Cerny:</t>
        </r>
        <r>
          <rPr>
            <sz val="9"/>
            <color indexed="81"/>
            <rFont val="Tahoma"/>
            <charset val="1"/>
          </rPr>
          <t xml:space="preserve">
Generic coefficients for the whole NACE C ("industry")</t>
        </r>
      </text>
    </comment>
    <comment ref="M486" authorId="0" shapeId="0">
      <text>
        <r>
          <rPr>
            <b/>
            <sz val="9"/>
            <color indexed="81"/>
            <rFont val="Tahoma"/>
            <charset val="1"/>
          </rPr>
          <t>Cerny:</t>
        </r>
        <r>
          <rPr>
            <sz val="9"/>
            <color indexed="81"/>
            <rFont val="Tahoma"/>
            <charset val="1"/>
          </rPr>
          <t xml:space="preserve">
Generic coefficients for the whole NACE C ("industry")</t>
        </r>
      </text>
    </comment>
    <comment ref="G497" authorId="0" shapeId="0">
      <text>
        <r>
          <rPr>
            <b/>
            <sz val="9"/>
            <color indexed="81"/>
            <rFont val="Tahoma"/>
            <charset val="1"/>
          </rPr>
          <t>Cerny:</t>
        </r>
        <r>
          <rPr>
            <sz val="9"/>
            <color indexed="81"/>
            <rFont val="Tahoma"/>
            <charset val="1"/>
          </rPr>
          <t xml:space="preserve">
Generic coefficients for the whole NACE C ("industry")</t>
        </r>
      </text>
    </comment>
    <comment ref="J497" authorId="0" shapeId="0">
      <text>
        <r>
          <rPr>
            <b/>
            <sz val="9"/>
            <color indexed="81"/>
            <rFont val="Tahoma"/>
            <charset val="1"/>
          </rPr>
          <t>Cerny:</t>
        </r>
        <r>
          <rPr>
            <sz val="9"/>
            <color indexed="81"/>
            <rFont val="Tahoma"/>
            <charset val="1"/>
          </rPr>
          <t xml:space="preserve">
Generic coefficients for the whole NACE C ("industry")</t>
        </r>
      </text>
    </comment>
    <comment ref="M497" authorId="0" shapeId="0">
      <text>
        <r>
          <rPr>
            <b/>
            <sz val="9"/>
            <color indexed="81"/>
            <rFont val="Tahoma"/>
            <charset val="1"/>
          </rPr>
          <t>Cerny:</t>
        </r>
        <r>
          <rPr>
            <sz val="9"/>
            <color indexed="81"/>
            <rFont val="Tahoma"/>
            <charset val="1"/>
          </rPr>
          <t xml:space="preserve">
Generic coefficients for the whole NACE C ("industry")</t>
        </r>
      </text>
    </comment>
    <comment ref="G508" authorId="0" shapeId="0">
      <text>
        <r>
          <rPr>
            <b/>
            <sz val="9"/>
            <color indexed="81"/>
            <rFont val="Tahoma"/>
            <charset val="1"/>
          </rPr>
          <t>Cerny:</t>
        </r>
        <r>
          <rPr>
            <sz val="9"/>
            <color indexed="81"/>
            <rFont val="Tahoma"/>
            <charset val="1"/>
          </rPr>
          <t xml:space="preserve">
Generic coefficients for the whole NACE C ("industry")</t>
        </r>
      </text>
    </comment>
    <comment ref="J508" authorId="0" shapeId="0">
      <text>
        <r>
          <rPr>
            <b/>
            <sz val="9"/>
            <color indexed="81"/>
            <rFont val="Tahoma"/>
            <charset val="1"/>
          </rPr>
          <t>Cerny:</t>
        </r>
        <r>
          <rPr>
            <sz val="9"/>
            <color indexed="81"/>
            <rFont val="Tahoma"/>
            <charset val="1"/>
          </rPr>
          <t xml:space="preserve">
Generic coefficients for the whole NACE C ("industry")</t>
        </r>
      </text>
    </comment>
    <comment ref="M508" authorId="0" shapeId="0">
      <text>
        <r>
          <rPr>
            <b/>
            <sz val="9"/>
            <color indexed="81"/>
            <rFont val="Tahoma"/>
            <charset val="1"/>
          </rPr>
          <t>Cerny:</t>
        </r>
        <r>
          <rPr>
            <sz val="9"/>
            <color indexed="81"/>
            <rFont val="Tahoma"/>
            <charset val="1"/>
          </rPr>
          <t xml:space="preserve">
Generic coefficients for the whole NACE C ("industry")</t>
        </r>
      </text>
    </comment>
    <comment ref="G519" authorId="0" shapeId="0">
      <text>
        <r>
          <rPr>
            <b/>
            <sz val="9"/>
            <color indexed="81"/>
            <rFont val="Tahoma"/>
            <charset val="1"/>
          </rPr>
          <t>Cerny:</t>
        </r>
        <r>
          <rPr>
            <sz val="9"/>
            <color indexed="81"/>
            <rFont val="Tahoma"/>
            <charset val="1"/>
          </rPr>
          <t xml:space="preserve">
Generic coefficients for the whole NACE C ("industry")</t>
        </r>
      </text>
    </comment>
    <comment ref="J519" authorId="0" shapeId="0">
      <text>
        <r>
          <rPr>
            <b/>
            <sz val="9"/>
            <color indexed="81"/>
            <rFont val="Tahoma"/>
            <charset val="1"/>
          </rPr>
          <t>Cerny:</t>
        </r>
        <r>
          <rPr>
            <sz val="9"/>
            <color indexed="81"/>
            <rFont val="Tahoma"/>
            <charset val="1"/>
          </rPr>
          <t xml:space="preserve">
Generic coefficients for the whole NACE C ("industry")</t>
        </r>
      </text>
    </comment>
    <comment ref="M519" authorId="0" shapeId="0">
      <text>
        <r>
          <rPr>
            <b/>
            <sz val="9"/>
            <color indexed="81"/>
            <rFont val="Tahoma"/>
            <charset val="1"/>
          </rPr>
          <t>Cerny:</t>
        </r>
        <r>
          <rPr>
            <sz val="9"/>
            <color indexed="81"/>
            <rFont val="Tahoma"/>
            <charset val="1"/>
          </rPr>
          <t xml:space="preserve">
Generic coefficients for the whole NACE C ("industry")</t>
        </r>
      </text>
    </comment>
    <comment ref="G530" authorId="0" shapeId="0">
      <text>
        <r>
          <rPr>
            <b/>
            <sz val="9"/>
            <color indexed="81"/>
            <rFont val="Tahoma"/>
            <charset val="1"/>
          </rPr>
          <t>Cerny:</t>
        </r>
        <r>
          <rPr>
            <sz val="9"/>
            <color indexed="81"/>
            <rFont val="Tahoma"/>
            <charset val="1"/>
          </rPr>
          <t xml:space="preserve">
Generic coefficients for the whole NACE C ("industry")</t>
        </r>
      </text>
    </comment>
    <comment ref="J530" authorId="0" shapeId="0">
      <text>
        <r>
          <rPr>
            <b/>
            <sz val="9"/>
            <color indexed="81"/>
            <rFont val="Tahoma"/>
            <charset val="1"/>
          </rPr>
          <t>Cerny:</t>
        </r>
        <r>
          <rPr>
            <sz val="9"/>
            <color indexed="81"/>
            <rFont val="Tahoma"/>
            <charset val="1"/>
          </rPr>
          <t xml:space="preserve">
Generic coefficients for the whole NACE C ("industry")</t>
        </r>
      </text>
    </comment>
    <comment ref="M530" authorId="0" shapeId="0">
      <text>
        <r>
          <rPr>
            <b/>
            <sz val="9"/>
            <color indexed="81"/>
            <rFont val="Tahoma"/>
            <charset val="1"/>
          </rPr>
          <t>Cerny:</t>
        </r>
        <r>
          <rPr>
            <sz val="9"/>
            <color indexed="81"/>
            <rFont val="Tahoma"/>
            <charset val="1"/>
          </rPr>
          <t xml:space="preserve">
Generic coefficients for the whole NACE C ("industry")</t>
        </r>
      </text>
    </comment>
    <comment ref="G541" authorId="0" shapeId="0">
      <text>
        <r>
          <rPr>
            <b/>
            <sz val="9"/>
            <color indexed="81"/>
            <rFont val="Tahoma"/>
            <charset val="1"/>
          </rPr>
          <t>Cerny:</t>
        </r>
        <r>
          <rPr>
            <sz val="9"/>
            <color indexed="81"/>
            <rFont val="Tahoma"/>
            <charset val="1"/>
          </rPr>
          <t xml:space="preserve">
Generic coefficients for the whole NACE C ("industry")</t>
        </r>
      </text>
    </comment>
    <comment ref="J541" authorId="0" shapeId="0">
      <text>
        <r>
          <rPr>
            <b/>
            <sz val="9"/>
            <color indexed="81"/>
            <rFont val="Tahoma"/>
            <charset val="1"/>
          </rPr>
          <t>Cerny:</t>
        </r>
        <r>
          <rPr>
            <sz val="9"/>
            <color indexed="81"/>
            <rFont val="Tahoma"/>
            <charset val="1"/>
          </rPr>
          <t xml:space="preserve">
Generic coefficients for the whole NACE C ("industry")</t>
        </r>
      </text>
    </comment>
    <comment ref="M541" authorId="0" shapeId="0">
      <text>
        <r>
          <rPr>
            <b/>
            <sz val="9"/>
            <color indexed="81"/>
            <rFont val="Tahoma"/>
            <charset val="1"/>
          </rPr>
          <t>Cerny:</t>
        </r>
        <r>
          <rPr>
            <sz val="9"/>
            <color indexed="81"/>
            <rFont val="Tahoma"/>
            <charset val="1"/>
          </rPr>
          <t xml:space="preserve">
Generic coefficients for the whole NACE C ("industry")</t>
        </r>
      </text>
    </comment>
    <comment ref="G552" authorId="0" shapeId="0">
      <text>
        <r>
          <rPr>
            <b/>
            <sz val="9"/>
            <color indexed="81"/>
            <rFont val="Tahoma"/>
            <charset val="1"/>
          </rPr>
          <t>Cerny:</t>
        </r>
        <r>
          <rPr>
            <sz val="9"/>
            <color indexed="81"/>
            <rFont val="Tahoma"/>
            <charset val="1"/>
          </rPr>
          <t xml:space="preserve">
Generic coefficients for the whole NACE C ("industry")</t>
        </r>
      </text>
    </comment>
    <comment ref="J552" authorId="0" shapeId="0">
      <text>
        <r>
          <rPr>
            <b/>
            <sz val="9"/>
            <color indexed="81"/>
            <rFont val="Tahoma"/>
            <charset val="1"/>
          </rPr>
          <t>Cerny:</t>
        </r>
        <r>
          <rPr>
            <sz val="9"/>
            <color indexed="81"/>
            <rFont val="Tahoma"/>
            <charset val="1"/>
          </rPr>
          <t xml:space="preserve">
Generic coefficients for the whole NACE C ("industry")</t>
        </r>
      </text>
    </comment>
    <comment ref="M552" authorId="0" shapeId="0">
      <text>
        <r>
          <rPr>
            <b/>
            <sz val="9"/>
            <color indexed="81"/>
            <rFont val="Tahoma"/>
            <charset val="1"/>
          </rPr>
          <t>Cerny:</t>
        </r>
        <r>
          <rPr>
            <sz val="9"/>
            <color indexed="81"/>
            <rFont val="Tahoma"/>
            <charset val="1"/>
          </rPr>
          <t xml:space="preserve">
Generic coefficients for the whole NACE C ("industry")</t>
        </r>
      </text>
    </comment>
    <comment ref="G563" authorId="0" shapeId="0">
      <text>
        <r>
          <rPr>
            <b/>
            <sz val="9"/>
            <color indexed="81"/>
            <rFont val="Tahoma"/>
            <charset val="1"/>
          </rPr>
          <t>Cerny:</t>
        </r>
        <r>
          <rPr>
            <sz val="9"/>
            <color indexed="81"/>
            <rFont val="Tahoma"/>
            <charset val="1"/>
          </rPr>
          <t xml:space="preserve">
Generic coefficients for the whole NACE C ("industry")</t>
        </r>
      </text>
    </comment>
    <comment ref="J563" authorId="0" shapeId="0">
      <text>
        <r>
          <rPr>
            <b/>
            <sz val="9"/>
            <color indexed="81"/>
            <rFont val="Tahoma"/>
            <charset val="1"/>
          </rPr>
          <t>Cerny:</t>
        </r>
        <r>
          <rPr>
            <sz val="9"/>
            <color indexed="81"/>
            <rFont val="Tahoma"/>
            <charset val="1"/>
          </rPr>
          <t xml:space="preserve">
Generic coefficients for the whole NACE C ("industry")</t>
        </r>
      </text>
    </comment>
    <comment ref="M563" authorId="0" shapeId="0">
      <text>
        <r>
          <rPr>
            <b/>
            <sz val="9"/>
            <color indexed="81"/>
            <rFont val="Tahoma"/>
            <charset val="1"/>
          </rPr>
          <t>Cerny:</t>
        </r>
        <r>
          <rPr>
            <sz val="9"/>
            <color indexed="81"/>
            <rFont val="Tahoma"/>
            <charset val="1"/>
          </rPr>
          <t xml:space="preserve">
Generic coefficients for the whole NACE C ("industry")</t>
        </r>
      </text>
    </comment>
    <comment ref="G574" authorId="0" shapeId="0">
      <text>
        <r>
          <rPr>
            <b/>
            <sz val="9"/>
            <color indexed="81"/>
            <rFont val="Tahoma"/>
            <charset val="1"/>
          </rPr>
          <t>Cerny:</t>
        </r>
        <r>
          <rPr>
            <sz val="9"/>
            <color indexed="81"/>
            <rFont val="Tahoma"/>
            <charset val="1"/>
          </rPr>
          <t xml:space="preserve">
Generic coefficients for the whole NACE C ("industry")</t>
        </r>
      </text>
    </comment>
    <comment ref="J574" authorId="0" shapeId="0">
      <text>
        <r>
          <rPr>
            <b/>
            <sz val="9"/>
            <color indexed="81"/>
            <rFont val="Tahoma"/>
            <charset val="1"/>
          </rPr>
          <t>Cerny:</t>
        </r>
        <r>
          <rPr>
            <sz val="9"/>
            <color indexed="81"/>
            <rFont val="Tahoma"/>
            <charset val="1"/>
          </rPr>
          <t xml:space="preserve">
Generic coefficients for the whole NACE C ("industry")</t>
        </r>
      </text>
    </comment>
    <comment ref="M574" authorId="0" shapeId="0">
      <text>
        <r>
          <rPr>
            <b/>
            <sz val="9"/>
            <color indexed="81"/>
            <rFont val="Tahoma"/>
            <charset val="1"/>
          </rPr>
          <t>Cerny:</t>
        </r>
        <r>
          <rPr>
            <sz val="9"/>
            <color indexed="81"/>
            <rFont val="Tahoma"/>
            <charset val="1"/>
          </rPr>
          <t xml:space="preserve">
Generic coefficients for the whole NACE C ("industry")</t>
        </r>
      </text>
    </comment>
    <comment ref="G585" authorId="0" shapeId="0">
      <text>
        <r>
          <rPr>
            <b/>
            <sz val="9"/>
            <color indexed="81"/>
            <rFont val="Tahoma"/>
            <charset val="1"/>
          </rPr>
          <t>Cerny:</t>
        </r>
        <r>
          <rPr>
            <sz val="9"/>
            <color indexed="81"/>
            <rFont val="Tahoma"/>
            <charset val="1"/>
          </rPr>
          <t xml:space="preserve">
Generic coefficients for the whole NACE C ("industry")</t>
        </r>
      </text>
    </comment>
    <comment ref="J585" authorId="0" shapeId="0">
      <text>
        <r>
          <rPr>
            <b/>
            <sz val="9"/>
            <color indexed="81"/>
            <rFont val="Tahoma"/>
            <charset val="1"/>
          </rPr>
          <t>Cerny:</t>
        </r>
        <r>
          <rPr>
            <sz val="9"/>
            <color indexed="81"/>
            <rFont val="Tahoma"/>
            <charset val="1"/>
          </rPr>
          <t xml:space="preserve">
Generic coefficients for the whole NACE C ("industry")</t>
        </r>
      </text>
    </comment>
    <comment ref="M585" authorId="0" shapeId="0">
      <text>
        <r>
          <rPr>
            <b/>
            <sz val="9"/>
            <color indexed="81"/>
            <rFont val="Tahoma"/>
            <charset val="1"/>
          </rPr>
          <t>Cerny:</t>
        </r>
        <r>
          <rPr>
            <sz val="9"/>
            <color indexed="81"/>
            <rFont val="Tahoma"/>
            <charset val="1"/>
          </rPr>
          <t xml:space="preserve">
Generic coefficients for the whole NACE C ("industry")</t>
        </r>
      </text>
    </comment>
    <comment ref="G596" authorId="0" shapeId="0">
      <text>
        <r>
          <rPr>
            <b/>
            <sz val="9"/>
            <color indexed="81"/>
            <rFont val="Tahoma"/>
            <charset val="1"/>
          </rPr>
          <t>Cerny:</t>
        </r>
        <r>
          <rPr>
            <sz val="9"/>
            <color indexed="81"/>
            <rFont val="Tahoma"/>
            <charset val="1"/>
          </rPr>
          <t xml:space="preserve">
Generic coefficients for the whole NACE C ("industry")</t>
        </r>
      </text>
    </comment>
    <comment ref="J596" authorId="0" shapeId="0">
      <text>
        <r>
          <rPr>
            <b/>
            <sz val="9"/>
            <color indexed="81"/>
            <rFont val="Tahoma"/>
            <charset val="1"/>
          </rPr>
          <t>Cerny:</t>
        </r>
        <r>
          <rPr>
            <sz val="9"/>
            <color indexed="81"/>
            <rFont val="Tahoma"/>
            <charset val="1"/>
          </rPr>
          <t xml:space="preserve">
Generic coefficients for the whole NACE C ("industry")</t>
        </r>
      </text>
    </comment>
    <comment ref="M596" authorId="0" shapeId="0">
      <text>
        <r>
          <rPr>
            <b/>
            <sz val="9"/>
            <color indexed="81"/>
            <rFont val="Tahoma"/>
            <charset val="1"/>
          </rPr>
          <t>Cerny:</t>
        </r>
        <r>
          <rPr>
            <sz val="9"/>
            <color indexed="81"/>
            <rFont val="Tahoma"/>
            <charset val="1"/>
          </rPr>
          <t xml:space="preserve">
Generic coefficients for the whole NACE C ("industry")</t>
        </r>
      </text>
    </comment>
    <comment ref="G607" authorId="0" shapeId="0">
      <text>
        <r>
          <rPr>
            <b/>
            <sz val="9"/>
            <color indexed="81"/>
            <rFont val="Tahoma"/>
            <charset val="1"/>
          </rPr>
          <t>Cerny:</t>
        </r>
        <r>
          <rPr>
            <sz val="9"/>
            <color indexed="81"/>
            <rFont val="Tahoma"/>
            <charset val="1"/>
          </rPr>
          <t xml:space="preserve">
Generic coefficients for the whole NACE C ("industry")</t>
        </r>
      </text>
    </comment>
    <comment ref="J607" authorId="0" shapeId="0">
      <text>
        <r>
          <rPr>
            <b/>
            <sz val="9"/>
            <color indexed="81"/>
            <rFont val="Tahoma"/>
            <charset val="1"/>
          </rPr>
          <t>Cerny:</t>
        </r>
        <r>
          <rPr>
            <sz val="9"/>
            <color indexed="81"/>
            <rFont val="Tahoma"/>
            <charset val="1"/>
          </rPr>
          <t xml:space="preserve">
Generic coefficients for the whole NACE C ("industry")</t>
        </r>
      </text>
    </comment>
    <comment ref="M607" authorId="0" shapeId="0">
      <text>
        <r>
          <rPr>
            <b/>
            <sz val="9"/>
            <color indexed="81"/>
            <rFont val="Tahoma"/>
            <charset val="1"/>
          </rPr>
          <t>Cerny:</t>
        </r>
        <r>
          <rPr>
            <sz val="9"/>
            <color indexed="81"/>
            <rFont val="Tahoma"/>
            <charset val="1"/>
          </rPr>
          <t xml:space="preserve">
Generic coefficients for the whole NACE C ("industry")</t>
        </r>
      </text>
    </comment>
    <comment ref="G618" authorId="0" shapeId="0">
      <text>
        <r>
          <rPr>
            <b/>
            <sz val="9"/>
            <color indexed="81"/>
            <rFont val="Tahoma"/>
            <charset val="1"/>
          </rPr>
          <t>Cerny:</t>
        </r>
        <r>
          <rPr>
            <sz val="9"/>
            <color indexed="81"/>
            <rFont val="Tahoma"/>
            <charset val="1"/>
          </rPr>
          <t xml:space="preserve">
Generic coefficients for the whole NACE C ("industry")</t>
        </r>
      </text>
    </comment>
    <comment ref="J618" authorId="0" shapeId="0">
      <text>
        <r>
          <rPr>
            <b/>
            <sz val="9"/>
            <color indexed="81"/>
            <rFont val="Tahoma"/>
            <charset val="1"/>
          </rPr>
          <t>Cerny:</t>
        </r>
        <r>
          <rPr>
            <sz val="9"/>
            <color indexed="81"/>
            <rFont val="Tahoma"/>
            <charset val="1"/>
          </rPr>
          <t xml:space="preserve">
Generic coefficients for the whole NACE C ("industry")</t>
        </r>
      </text>
    </comment>
    <comment ref="M618" authorId="0" shapeId="0">
      <text>
        <r>
          <rPr>
            <b/>
            <sz val="9"/>
            <color indexed="81"/>
            <rFont val="Tahoma"/>
            <charset val="1"/>
          </rPr>
          <t>Cerny:</t>
        </r>
        <r>
          <rPr>
            <sz val="9"/>
            <color indexed="81"/>
            <rFont val="Tahoma"/>
            <charset val="1"/>
          </rPr>
          <t xml:space="preserve">
Generic coefficients for the whole NACE C ("industry")</t>
        </r>
      </text>
    </comment>
    <comment ref="G629" authorId="0" shapeId="0">
      <text>
        <r>
          <rPr>
            <b/>
            <sz val="9"/>
            <color indexed="81"/>
            <rFont val="Tahoma"/>
            <charset val="1"/>
          </rPr>
          <t>Cerny:</t>
        </r>
        <r>
          <rPr>
            <sz val="9"/>
            <color indexed="81"/>
            <rFont val="Tahoma"/>
            <charset val="1"/>
          </rPr>
          <t xml:space="preserve">
Generic coefficients for the whole NACE C ("industry")</t>
        </r>
      </text>
    </comment>
    <comment ref="J629" authorId="0" shapeId="0">
      <text>
        <r>
          <rPr>
            <b/>
            <sz val="9"/>
            <color indexed="81"/>
            <rFont val="Tahoma"/>
            <charset val="1"/>
          </rPr>
          <t>Cerny:</t>
        </r>
        <r>
          <rPr>
            <sz val="9"/>
            <color indexed="81"/>
            <rFont val="Tahoma"/>
            <charset val="1"/>
          </rPr>
          <t xml:space="preserve">
Generic coefficients for the whole NACE C ("industry")</t>
        </r>
      </text>
    </comment>
    <comment ref="M629" authorId="0" shapeId="0">
      <text>
        <r>
          <rPr>
            <b/>
            <sz val="9"/>
            <color indexed="81"/>
            <rFont val="Tahoma"/>
            <charset val="1"/>
          </rPr>
          <t>Cerny:</t>
        </r>
        <r>
          <rPr>
            <sz val="9"/>
            <color indexed="81"/>
            <rFont val="Tahoma"/>
            <charset val="1"/>
          </rPr>
          <t xml:space="preserve">
Generic coefficients for the whole NACE C ("industry")</t>
        </r>
      </text>
    </comment>
    <comment ref="G640" authorId="0" shapeId="0">
      <text>
        <r>
          <rPr>
            <b/>
            <sz val="9"/>
            <color indexed="81"/>
            <rFont val="Tahoma"/>
            <charset val="1"/>
          </rPr>
          <t>Cerny:</t>
        </r>
        <r>
          <rPr>
            <sz val="9"/>
            <color indexed="81"/>
            <rFont val="Tahoma"/>
            <charset val="1"/>
          </rPr>
          <t xml:space="preserve">
Generic coefficients for the whole NACE C ("industry")</t>
        </r>
      </text>
    </comment>
    <comment ref="J640" authorId="0" shapeId="0">
      <text>
        <r>
          <rPr>
            <b/>
            <sz val="9"/>
            <color indexed="81"/>
            <rFont val="Tahoma"/>
            <charset val="1"/>
          </rPr>
          <t>Cerny:</t>
        </r>
        <r>
          <rPr>
            <sz val="9"/>
            <color indexed="81"/>
            <rFont val="Tahoma"/>
            <charset val="1"/>
          </rPr>
          <t xml:space="preserve">
Generic coefficients for the whole NACE C ("industry")</t>
        </r>
      </text>
    </comment>
    <comment ref="M640" authorId="0" shapeId="0">
      <text>
        <r>
          <rPr>
            <b/>
            <sz val="9"/>
            <color indexed="81"/>
            <rFont val="Tahoma"/>
            <charset val="1"/>
          </rPr>
          <t>Cerny:</t>
        </r>
        <r>
          <rPr>
            <sz val="9"/>
            <color indexed="81"/>
            <rFont val="Tahoma"/>
            <charset val="1"/>
          </rPr>
          <t xml:space="preserve">
Generic coefficients for the whole NACE C ("industry")</t>
        </r>
      </text>
    </comment>
    <comment ref="G651" authorId="0" shapeId="0">
      <text>
        <r>
          <rPr>
            <b/>
            <sz val="9"/>
            <color indexed="81"/>
            <rFont val="Tahoma"/>
            <charset val="1"/>
          </rPr>
          <t>Cerny:</t>
        </r>
        <r>
          <rPr>
            <sz val="9"/>
            <color indexed="81"/>
            <rFont val="Tahoma"/>
            <charset val="1"/>
          </rPr>
          <t xml:space="preserve">
Generic coefficients for the whole NACE C ("industry")</t>
        </r>
      </text>
    </comment>
    <comment ref="J651" authorId="0" shapeId="0">
      <text>
        <r>
          <rPr>
            <b/>
            <sz val="9"/>
            <color indexed="81"/>
            <rFont val="Tahoma"/>
            <charset val="1"/>
          </rPr>
          <t>Cerny:</t>
        </r>
        <r>
          <rPr>
            <sz val="9"/>
            <color indexed="81"/>
            <rFont val="Tahoma"/>
            <charset val="1"/>
          </rPr>
          <t xml:space="preserve">
Generic coefficients for the whole NACE C ("industry")</t>
        </r>
      </text>
    </comment>
    <comment ref="M651" authorId="0" shapeId="0">
      <text>
        <r>
          <rPr>
            <b/>
            <sz val="9"/>
            <color indexed="81"/>
            <rFont val="Tahoma"/>
            <charset val="1"/>
          </rPr>
          <t>Cerny:</t>
        </r>
        <r>
          <rPr>
            <sz val="9"/>
            <color indexed="81"/>
            <rFont val="Tahoma"/>
            <charset val="1"/>
          </rPr>
          <t xml:space="preserve">
Generic coefficients for the whole NACE C ("industry")</t>
        </r>
      </text>
    </comment>
    <comment ref="G662" authorId="0" shapeId="0">
      <text>
        <r>
          <rPr>
            <b/>
            <sz val="9"/>
            <color indexed="81"/>
            <rFont val="Tahoma"/>
            <charset val="1"/>
          </rPr>
          <t>Cerny:</t>
        </r>
        <r>
          <rPr>
            <sz val="9"/>
            <color indexed="81"/>
            <rFont val="Tahoma"/>
            <charset val="1"/>
          </rPr>
          <t xml:space="preserve">
Generic coefficients for the whole NACE C ("industry")</t>
        </r>
      </text>
    </comment>
    <comment ref="J662" authorId="0" shapeId="0">
      <text>
        <r>
          <rPr>
            <b/>
            <sz val="9"/>
            <color indexed="81"/>
            <rFont val="Tahoma"/>
            <charset val="1"/>
          </rPr>
          <t>Cerny:</t>
        </r>
        <r>
          <rPr>
            <sz val="9"/>
            <color indexed="81"/>
            <rFont val="Tahoma"/>
            <charset val="1"/>
          </rPr>
          <t xml:space="preserve">
Generic coefficients for the whole NACE C ("industry")</t>
        </r>
      </text>
    </comment>
    <comment ref="M662" authorId="0" shapeId="0">
      <text>
        <r>
          <rPr>
            <b/>
            <sz val="9"/>
            <color indexed="81"/>
            <rFont val="Tahoma"/>
            <charset val="1"/>
          </rPr>
          <t>Cerny:</t>
        </r>
        <r>
          <rPr>
            <sz val="9"/>
            <color indexed="81"/>
            <rFont val="Tahoma"/>
            <charset val="1"/>
          </rPr>
          <t xml:space="preserve">
Generic coefficients for the whole NACE C ("industry")</t>
        </r>
      </text>
    </comment>
    <comment ref="G673" authorId="0" shapeId="0">
      <text>
        <r>
          <rPr>
            <b/>
            <sz val="9"/>
            <color indexed="81"/>
            <rFont val="Tahoma"/>
            <charset val="1"/>
          </rPr>
          <t>Cerny:</t>
        </r>
        <r>
          <rPr>
            <sz val="9"/>
            <color indexed="81"/>
            <rFont val="Tahoma"/>
            <charset val="1"/>
          </rPr>
          <t xml:space="preserve">
Generic coefficients for the whole NACE C ("industry")</t>
        </r>
      </text>
    </comment>
    <comment ref="J673" authorId="0" shapeId="0">
      <text>
        <r>
          <rPr>
            <b/>
            <sz val="9"/>
            <color indexed="81"/>
            <rFont val="Tahoma"/>
            <charset val="1"/>
          </rPr>
          <t>Cerny:</t>
        </r>
        <r>
          <rPr>
            <sz val="9"/>
            <color indexed="81"/>
            <rFont val="Tahoma"/>
            <charset val="1"/>
          </rPr>
          <t xml:space="preserve">
Generic coefficients for the whole NACE C ("industry")</t>
        </r>
      </text>
    </comment>
    <comment ref="M673" authorId="0" shapeId="0">
      <text>
        <r>
          <rPr>
            <b/>
            <sz val="9"/>
            <color indexed="81"/>
            <rFont val="Tahoma"/>
            <charset val="1"/>
          </rPr>
          <t>Cerny:</t>
        </r>
        <r>
          <rPr>
            <sz val="9"/>
            <color indexed="81"/>
            <rFont val="Tahoma"/>
            <charset val="1"/>
          </rPr>
          <t xml:space="preserve">
Generic coefficients for the whole NACE C ("industry")</t>
        </r>
      </text>
    </comment>
    <comment ref="G684" authorId="0" shapeId="0">
      <text>
        <r>
          <rPr>
            <b/>
            <sz val="9"/>
            <color indexed="81"/>
            <rFont val="Tahoma"/>
            <charset val="1"/>
          </rPr>
          <t>Cerny:</t>
        </r>
        <r>
          <rPr>
            <sz val="9"/>
            <color indexed="81"/>
            <rFont val="Tahoma"/>
            <charset val="1"/>
          </rPr>
          <t xml:space="preserve">
Generic coefficients for the whole NACE C ("industry")</t>
        </r>
      </text>
    </comment>
    <comment ref="J684" authorId="0" shapeId="0">
      <text>
        <r>
          <rPr>
            <b/>
            <sz val="9"/>
            <color indexed="81"/>
            <rFont val="Tahoma"/>
            <charset val="1"/>
          </rPr>
          <t>Cerny:</t>
        </r>
        <r>
          <rPr>
            <sz val="9"/>
            <color indexed="81"/>
            <rFont val="Tahoma"/>
            <charset val="1"/>
          </rPr>
          <t xml:space="preserve">
Generic coefficients for the whole NACE C ("industry")</t>
        </r>
      </text>
    </comment>
    <comment ref="M684" authorId="0" shapeId="0">
      <text>
        <r>
          <rPr>
            <b/>
            <sz val="9"/>
            <color indexed="81"/>
            <rFont val="Tahoma"/>
            <charset val="1"/>
          </rPr>
          <t>Cerny:</t>
        </r>
        <r>
          <rPr>
            <sz val="9"/>
            <color indexed="81"/>
            <rFont val="Tahoma"/>
            <charset val="1"/>
          </rPr>
          <t xml:space="preserve">
Generic coefficients for the whole NACE C ("industry")</t>
        </r>
      </text>
    </comment>
    <comment ref="G695" authorId="0" shapeId="0">
      <text>
        <r>
          <rPr>
            <b/>
            <sz val="9"/>
            <color indexed="81"/>
            <rFont val="Tahoma"/>
            <charset val="1"/>
          </rPr>
          <t>Cerny:</t>
        </r>
        <r>
          <rPr>
            <sz val="9"/>
            <color indexed="81"/>
            <rFont val="Tahoma"/>
            <charset val="1"/>
          </rPr>
          <t xml:space="preserve">
Generic coefficients for the whole NACE C ("industry")</t>
        </r>
      </text>
    </comment>
    <comment ref="J695" authorId="0" shapeId="0">
      <text>
        <r>
          <rPr>
            <b/>
            <sz val="9"/>
            <color indexed="81"/>
            <rFont val="Tahoma"/>
            <charset val="1"/>
          </rPr>
          <t>Cerny:</t>
        </r>
        <r>
          <rPr>
            <sz val="9"/>
            <color indexed="81"/>
            <rFont val="Tahoma"/>
            <charset val="1"/>
          </rPr>
          <t xml:space="preserve">
Generic coefficients for the whole NACE C ("industry")</t>
        </r>
      </text>
    </comment>
    <comment ref="M695" authorId="0" shapeId="0">
      <text>
        <r>
          <rPr>
            <b/>
            <sz val="9"/>
            <color indexed="81"/>
            <rFont val="Tahoma"/>
            <charset val="1"/>
          </rPr>
          <t>Cerny:</t>
        </r>
        <r>
          <rPr>
            <sz val="9"/>
            <color indexed="81"/>
            <rFont val="Tahoma"/>
            <charset val="1"/>
          </rPr>
          <t xml:space="preserve">
Generic coefficients for the whole NACE C ("industry")</t>
        </r>
      </text>
    </comment>
    <comment ref="G706" authorId="0" shapeId="0">
      <text>
        <r>
          <rPr>
            <b/>
            <sz val="9"/>
            <color indexed="81"/>
            <rFont val="Tahoma"/>
            <charset val="1"/>
          </rPr>
          <t>Cerny:</t>
        </r>
        <r>
          <rPr>
            <sz val="9"/>
            <color indexed="81"/>
            <rFont val="Tahoma"/>
            <charset val="1"/>
          </rPr>
          <t xml:space="preserve">
Generic coefficients for the whole NACE C ("industry")</t>
        </r>
      </text>
    </comment>
    <comment ref="J706" authorId="0" shapeId="0">
      <text>
        <r>
          <rPr>
            <b/>
            <sz val="9"/>
            <color indexed="81"/>
            <rFont val="Tahoma"/>
            <charset val="1"/>
          </rPr>
          <t>Cerny:</t>
        </r>
        <r>
          <rPr>
            <sz val="9"/>
            <color indexed="81"/>
            <rFont val="Tahoma"/>
            <charset val="1"/>
          </rPr>
          <t xml:space="preserve">
Generic coefficients for the whole NACE C ("industry")</t>
        </r>
      </text>
    </comment>
    <comment ref="M706" authorId="0" shapeId="0">
      <text>
        <r>
          <rPr>
            <b/>
            <sz val="9"/>
            <color indexed="81"/>
            <rFont val="Tahoma"/>
            <charset val="1"/>
          </rPr>
          <t>Cerny:</t>
        </r>
        <r>
          <rPr>
            <sz val="9"/>
            <color indexed="81"/>
            <rFont val="Tahoma"/>
            <charset val="1"/>
          </rPr>
          <t xml:space="preserve">
Generic coefficients for the whole NACE C ("industry")</t>
        </r>
      </text>
    </comment>
    <comment ref="G717" authorId="0" shapeId="0">
      <text>
        <r>
          <rPr>
            <b/>
            <sz val="9"/>
            <color indexed="81"/>
            <rFont val="Tahoma"/>
            <charset val="1"/>
          </rPr>
          <t>Cerny:</t>
        </r>
        <r>
          <rPr>
            <sz val="9"/>
            <color indexed="81"/>
            <rFont val="Tahoma"/>
            <charset val="1"/>
          </rPr>
          <t xml:space="preserve">
Generic coefficients for the whole NACE C ("industry")</t>
        </r>
      </text>
    </comment>
    <comment ref="J717" authorId="0" shapeId="0">
      <text>
        <r>
          <rPr>
            <b/>
            <sz val="9"/>
            <color indexed="81"/>
            <rFont val="Tahoma"/>
            <charset val="1"/>
          </rPr>
          <t>Cerny:</t>
        </r>
        <r>
          <rPr>
            <sz val="9"/>
            <color indexed="81"/>
            <rFont val="Tahoma"/>
            <charset val="1"/>
          </rPr>
          <t xml:space="preserve">
Generic coefficients for the whole NACE C ("industry")</t>
        </r>
      </text>
    </comment>
    <comment ref="M717" authorId="0" shapeId="0">
      <text>
        <r>
          <rPr>
            <b/>
            <sz val="9"/>
            <color indexed="81"/>
            <rFont val="Tahoma"/>
            <charset val="1"/>
          </rPr>
          <t>Cerny:</t>
        </r>
        <r>
          <rPr>
            <sz val="9"/>
            <color indexed="81"/>
            <rFont val="Tahoma"/>
            <charset val="1"/>
          </rPr>
          <t xml:space="preserve">
Generic coefficients for the whole NACE C ("industry")</t>
        </r>
      </text>
    </comment>
    <comment ref="G728" authorId="0" shapeId="0">
      <text>
        <r>
          <rPr>
            <b/>
            <sz val="9"/>
            <color indexed="81"/>
            <rFont val="Tahoma"/>
            <charset val="1"/>
          </rPr>
          <t>Cerny:</t>
        </r>
        <r>
          <rPr>
            <sz val="9"/>
            <color indexed="81"/>
            <rFont val="Tahoma"/>
            <charset val="1"/>
          </rPr>
          <t xml:space="preserve">
Generic coefficients for the whole NACE C ("industry")</t>
        </r>
      </text>
    </comment>
    <comment ref="J728" authorId="0" shapeId="0">
      <text>
        <r>
          <rPr>
            <b/>
            <sz val="9"/>
            <color indexed="81"/>
            <rFont val="Tahoma"/>
            <charset val="1"/>
          </rPr>
          <t>Cerny:</t>
        </r>
        <r>
          <rPr>
            <sz val="9"/>
            <color indexed="81"/>
            <rFont val="Tahoma"/>
            <charset val="1"/>
          </rPr>
          <t xml:space="preserve">
Generic coefficients for the whole NACE C ("industry")</t>
        </r>
      </text>
    </comment>
    <comment ref="M728" authorId="0" shapeId="0">
      <text>
        <r>
          <rPr>
            <b/>
            <sz val="9"/>
            <color indexed="81"/>
            <rFont val="Tahoma"/>
            <charset val="1"/>
          </rPr>
          <t>Cerny:</t>
        </r>
        <r>
          <rPr>
            <sz val="9"/>
            <color indexed="81"/>
            <rFont val="Tahoma"/>
            <charset val="1"/>
          </rPr>
          <t xml:space="preserve">
Generic coefficients for the whole NACE C ("industry")</t>
        </r>
      </text>
    </comment>
    <comment ref="G739" authorId="0" shapeId="0">
      <text>
        <r>
          <rPr>
            <b/>
            <sz val="9"/>
            <color indexed="81"/>
            <rFont val="Tahoma"/>
            <charset val="1"/>
          </rPr>
          <t>Cerny:</t>
        </r>
        <r>
          <rPr>
            <sz val="9"/>
            <color indexed="81"/>
            <rFont val="Tahoma"/>
            <charset val="1"/>
          </rPr>
          <t xml:space="preserve">
Generic coefficients for the whole NACE C ("industry")</t>
        </r>
      </text>
    </comment>
    <comment ref="J739" authorId="0" shapeId="0">
      <text>
        <r>
          <rPr>
            <b/>
            <sz val="9"/>
            <color indexed="81"/>
            <rFont val="Tahoma"/>
            <charset val="1"/>
          </rPr>
          <t>Cerny:</t>
        </r>
        <r>
          <rPr>
            <sz val="9"/>
            <color indexed="81"/>
            <rFont val="Tahoma"/>
            <charset val="1"/>
          </rPr>
          <t xml:space="preserve">
Generic coefficients for the whole NACE C ("industry")</t>
        </r>
      </text>
    </comment>
    <comment ref="M739" authorId="0" shapeId="0">
      <text>
        <r>
          <rPr>
            <b/>
            <sz val="9"/>
            <color indexed="81"/>
            <rFont val="Tahoma"/>
            <charset val="1"/>
          </rPr>
          <t>Cerny:</t>
        </r>
        <r>
          <rPr>
            <sz val="9"/>
            <color indexed="81"/>
            <rFont val="Tahoma"/>
            <charset val="1"/>
          </rPr>
          <t xml:space="preserve">
Generic coefficients for the whole NACE C ("industry")</t>
        </r>
      </text>
    </comment>
    <comment ref="G750" authorId="0" shapeId="0">
      <text>
        <r>
          <rPr>
            <b/>
            <sz val="9"/>
            <color indexed="81"/>
            <rFont val="Tahoma"/>
            <charset val="1"/>
          </rPr>
          <t>Cerny:</t>
        </r>
        <r>
          <rPr>
            <sz val="9"/>
            <color indexed="81"/>
            <rFont val="Tahoma"/>
            <charset val="1"/>
          </rPr>
          <t xml:space="preserve">
Generic coefficients for the whole NACE C ("industry")</t>
        </r>
      </text>
    </comment>
    <comment ref="J750" authorId="0" shapeId="0">
      <text>
        <r>
          <rPr>
            <b/>
            <sz val="9"/>
            <color indexed="81"/>
            <rFont val="Tahoma"/>
            <charset val="1"/>
          </rPr>
          <t>Cerny:</t>
        </r>
        <r>
          <rPr>
            <sz val="9"/>
            <color indexed="81"/>
            <rFont val="Tahoma"/>
            <charset val="1"/>
          </rPr>
          <t xml:space="preserve">
Generic coefficients for the whole NACE C ("industry")</t>
        </r>
      </text>
    </comment>
    <comment ref="M750" authorId="0" shapeId="0">
      <text>
        <r>
          <rPr>
            <b/>
            <sz val="9"/>
            <color indexed="81"/>
            <rFont val="Tahoma"/>
            <charset val="1"/>
          </rPr>
          <t>Cerny:</t>
        </r>
        <r>
          <rPr>
            <sz val="9"/>
            <color indexed="81"/>
            <rFont val="Tahoma"/>
            <charset val="1"/>
          </rPr>
          <t xml:space="preserve">
Generic coefficients for the whole NACE C ("industry")</t>
        </r>
      </text>
    </comment>
    <comment ref="G761" authorId="0" shapeId="0">
      <text>
        <r>
          <rPr>
            <b/>
            <sz val="9"/>
            <color indexed="81"/>
            <rFont val="Tahoma"/>
            <charset val="1"/>
          </rPr>
          <t>Cerny:</t>
        </r>
        <r>
          <rPr>
            <sz val="9"/>
            <color indexed="81"/>
            <rFont val="Tahoma"/>
            <charset val="1"/>
          </rPr>
          <t xml:space="preserve">
Generic coefficients for the whole NACE C ("industry")</t>
        </r>
      </text>
    </comment>
    <comment ref="J761" authorId="0" shapeId="0">
      <text>
        <r>
          <rPr>
            <b/>
            <sz val="9"/>
            <color indexed="81"/>
            <rFont val="Tahoma"/>
            <charset val="1"/>
          </rPr>
          <t>Cerny:</t>
        </r>
        <r>
          <rPr>
            <sz val="9"/>
            <color indexed="81"/>
            <rFont val="Tahoma"/>
            <charset val="1"/>
          </rPr>
          <t xml:space="preserve">
Generic coefficients for the whole NACE C ("industry")</t>
        </r>
      </text>
    </comment>
    <comment ref="M761" authorId="0" shapeId="0">
      <text>
        <r>
          <rPr>
            <b/>
            <sz val="9"/>
            <color indexed="81"/>
            <rFont val="Tahoma"/>
            <charset val="1"/>
          </rPr>
          <t>Cerny:</t>
        </r>
        <r>
          <rPr>
            <sz val="9"/>
            <color indexed="81"/>
            <rFont val="Tahoma"/>
            <charset val="1"/>
          </rPr>
          <t xml:space="preserve">
Generic coefficients for the whole NACE C ("industry")</t>
        </r>
      </text>
    </comment>
    <comment ref="G772" authorId="0" shapeId="0">
      <text>
        <r>
          <rPr>
            <b/>
            <sz val="9"/>
            <color indexed="81"/>
            <rFont val="Tahoma"/>
            <charset val="1"/>
          </rPr>
          <t>Cerny:</t>
        </r>
        <r>
          <rPr>
            <sz val="9"/>
            <color indexed="81"/>
            <rFont val="Tahoma"/>
            <charset val="1"/>
          </rPr>
          <t xml:space="preserve">
Generic coefficients for the whole NACE C ("industry")</t>
        </r>
      </text>
    </comment>
    <comment ref="J772" authorId="0" shapeId="0">
      <text>
        <r>
          <rPr>
            <b/>
            <sz val="9"/>
            <color indexed="81"/>
            <rFont val="Tahoma"/>
            <charset val="1"/>
          </rPr>
          <t>Cerny:</t>
        </r>
        <r>
          <rPr>
            <sz val="9"/>
            <color indexed="81"/>
            <rFont val="Tahoma"/>
            <charset val="1"/>
          </rPr>
          <t xml:space="preserve">
Generic coefficients for the whole NACE C ("industry")</t>
        </r>
      </text>
    </comment>
    <comment ref="M772" authorId="0" shapeId="0">
      <text>
        <r>
          <rPr>
            <b/>
            <sz val="9"/>
            <color indexed="81"/>
            <rFont val="Tahoma"/>
            <charset val="1"/>
          </rPr>
          <t>Cerny:</t>
        </r>
        <r>
          <rPr>
            <sz val="9"/>
            <color indexed="81"/>
            <rFont val="Tahoma"/>
            <charset val="1"/>
          </rPr>
          <t xml:space="preserve">
Generic coefficients for the whole NACE C ("industry")</t>
        </r>
      </text>
    </comment>
    <comment ref="G783" authorId="0" shapeId="0">
      <text>
        <r>
          <rPr>
            <b/>
            <sz val="9"/>
            <color indexed="81"/>
            <rFont val="Tahoma"/>
            <charset val="1"/>
          </rPr>
          <t>Cerny:</t>
        </r>
        <r>
          <rPr>
            <sz val="9"/>
            <color indexed="81"/>
            <rFont val="Tahoma"/>
            <charset val="1"/>
          </rPr>
          <t xml:space="preserve">
Generic coefficients for the whole NACE C ("industry")</t>
        </r>
      </text>
    </comment>
    <comment ref="J783" authorId="0" shapeId="0">
      <text>
        <r>
          <rPr>
            <b/>
            <sz val="9"/>
            <color indexed="81"/>
            <rFont val="Tahoma"/>
            <charset val="1"/>
          </rPr>
          <t>Cerny:</t>
        </r>
        <r>
          <rPr>
            <sz val="9"/>
            <color indexed="81"/>
            <rFont val="Tahoma"/>
            <charset val="1"/>
          </rPr>
          <t xml:space="preserve">
Generic coefficients for the whole NACE C ("industry")</t>
        </r>
      </text>
    </comment>
    <comment ref="M783" authorId="0" shapeId="0">
      <text>
        <r>
          <rPr>
            <b/>
            <sz val="9"/>
            <color indexed="81"/>
            <rFont val="Tahoma"/>
            <charset val="1"/>
          </rPr>
          <t>Cerny:</t>
        </r>
        <r>
          <rPr>
            <sz val="9"/>
            <color indexed="81"/>
            <rFont val="Tahoma"/>
            <charset val="1"/>
          </rPr>
          <t xml:space="preserve">
Generic coefficients for the whole NACE C ("industry")</t>
        </r>
      </text>
    </comment>
    <comment ref="G794" authorId="0" shapeId="0">
      <text>
        <r>
          <rPr>
            <b/>
            <sz val="9"/>
            <color indexed="81"/>
            <rFont val="Tahoma"/>
            <charset val="1"/>
          </rPr>
          <t>Cerny:</t>
        </r>
        <r>
          <rPr>
            <sz val="9"/>
            <color indexed="81"/>
            <rFont val="Tahoma"/>
            <charset val="1"/>
          </rPr>
          <t xml:space="preserve">
Generic coefficients for the whole NACE C ("industry")</t>
        </r>
      </text>
    </comment>
    <comment ref="J794" authorId="0" shapeId="0">
      <text>
        <r>
          <rPr>
            <b/>
            <sz val="9"/>
            <color indexed="81"/>
            <rFont val="Tahoma"/>
            <charset val="1"/>
          </rPr>
          <t>Cerny:</t>
        </r>
        <r>
          <rPr>
            <sz val="9"/>
            <color indexed="81"/>
            <rFont val="Tahoma"/>
            <charset val="1"/>
          </rPr>
          <t xml:space="preserve">
Generic coefficients for the whole NACE C ("industry")</t>
        </r>
      </text>
    </comment>
    <comment ref="M794" authorId="0" shapeId="0">
      <text>
        <r>
          <rPr>
            <b/>
            <sz val="9"/>
            <color indexed="81"/>
            <rFont val="Tahoma"/>
            <charset val="1"/>
          </rPr>
          <t>Cerny:</t>
        </r>
        <r>
          <rPr>
            <sz val="9"/>
            <color indexed="81"/>
            <rFont val="Tahoma"/>
            <charset val="1"/>
          </rPr>
          <t xml:space="preserve">
Generic coefficients for the whole NACE C ("industry")</t>
        </r>
      </text>
    </comment>
    <comment ref="G805" authorId="0" shapeId="0">
      <text>
        <r>
          <rPr>
            <b/>
            <sz val="9"/>
            <color indexed="81"/>
            <rFont val="Tahoma"/>
            <charset val="1"/>
          </rPr>
          <t>Cerny:</t>
        </r>
        <r>
          <rPr>
            <sz val="9"/>
            <color indexed="81"/>
            <rFont val="Tahoma"/>
            <charset val="1"/>
          </rPr>
          <t xml:space="preserve">
Generic coefficients for the whole NACE C ("industry")</t>
        </r>
      </text>
    </comment>
    <comment ref="J805" authorId="0" shapeId="0">
      <text>
        <r>
          <rPr>
            <b/>
            <sz val="9"/>
            <color indexed="81"/>
            <rFont val="Tahoma"/>
            <charset val="1"/>
          </rPr>
          <t>Cerny:</t>
        </r>
        <r>
          <rPr>
            <sz val="9"/>
            <color indexed="81"/>
            <rFont val="Tahoma"/>
            <charset val="1"/>
          </rPr>
          <t xml:space="preserve">
Generic coefficients for the whole NACE C ("industry")</t>
        </r>
      </text>
    </comment>
    <comment ref="M805" authorId="0" shapeId="0">
      <text>
        <r>
          <rPr>
            <b/>
            <sz val="9"/>
            <color indexed="81"/>
            <rFont val="Tahoma"/>
            <charset val="1"/>
          </rPr>
          <t>Cerny:</t>
        </r>
        <r>
          <rPr>
            <sz val="9"/>
            <color indexed="81"/>
            <rFont val="Tahoma"/>
            <charset val="1"/>
          </rPr>
          <t xml:space="preserve">
Generic coefficients for the whole NACE C ("industry")</t>
        </r>
      </text>
    </comment>
    <comment ref="G816" authorId="0" shapeId="0">
      <text>
        <r>
          <rPr>
            <b/>
            <sz val="9"/>
            <color indexed="81"/>
            <rFont val="Tahoma"/>
            <charset val="1"/>
          </rPr>
          <t>Cerny:</t>
        </r>
        <r>
          <rPr>
            <sz val="9"/>
            <color indexed="81"/>
            <rFont val="Tahoma"/>
            <charset val="1"/>
          </rPr>
          <t xml:space="preserve">
Generic coefficients for the whole NACE C ("industry")</t>
        </r>
      </text>
    </comment>
    <comment ref="J816" authorId="0" shapeId="0">
      <text>
        <r>
          <rPr>
            <b/>
            <sz val="9"/>
            <color indexed="81"/>
            <rFont val="Tahoma"/>
            <charset val="1"/>
          </rPr>
          <t>Cerny:</t>
        </r>
        <r>
          <rPr>
            <sz val="9"/>
            <color indexed="81"/>
            <rFont val="Tahoma"/>
            <charset val="1"/>
          </rPr>
          <t xml:space="preserve">
Generic coefficients for the whole NACE C ("industry")</t>
        </r>
      </text>
    </comment>
    <comment ref="M816" authorId="0" shapeId="0">
      <text>
        <r>
          <rPr>
            <b/>
            <sz val="9"/>
            <color indexed="81"/>
            <rFont val="Tahoma"/>
            <charset val="1"/>
          </rPr>
          <t>Cerny:</t>
        </r>
        <r>
          <rPr>
            <sz val="9"/>
            <color indexed="81"/>
            <rFont val="Tahoma"/>
            <charset val="1"/>
          </rPr>
          <t xml:space="preserve">
Generic coefficients for the whole NACE C ("industry")</t>
        </r>
      </text>
    </comment>
    <comment ref="G827" authorId="0" shapeId="0">
      <text>
        <r>
          <rPr>
            <b/>
            <sz val="9"/>
            <color indexed="81"/>
            <rFont val="Tahoma"/>
            <charset val="1"/>
          </rPr>
          <t>Cerny:</t>
        </r>
        <r>
          <rPr>
            <sz val="9"/>
            <color indexed="81"/>
            <rFont val="Tahoma"/>
            <charset val="1"/>
          </rPr>
          <t xml:space="preserve">
Generic coefficients for the whole NACE C ("industry")</t>
        </r>
      </text>
    </comment>
    <comment ref="J827" authorId="0" shapeId="0">
      <text>
        <r>
          <rPr>
            <b/>
            <sz val="9"/>
            <color indexed="81"/>
            <rFont val="Tahoma"/>
            <charset val="1"/>
          </rPr>
          <t>Cerny:</t>
        </r>
        <r>
          <rPr>
            <sz val="9"/>
            <color indexed="81"/>
            <rFont val="Tahoma"/>
            <charset val="1"/>
          </rPr>
          <t xml:space="preserve">
Generic coefficients for the whole NACE C ("industry")</t>
        </r>
      </text>
    </comment>
    <comment ref="M827" authorId="0" shapeId="0">
      <text>
        <r>
          <rPr>
            <b/>
            <sz val="9"/>
            <color indexed="81"/>
            <rFont val="Tahoma"/>
            <charset val="1"/>
          </rPr>
          <t>Cerny:</t>
        </r>
        <r>
          <rPr>
            <sz val="9"/>
            <color indexed="81"/>
            <rFont val="Tahoma"/>
            <charset val="1"/>
          </rPr>
          <t xml:space="preserve">
Generic coefficients for the whole NACE C ("industry")</t>
        </r>
      </text>
    </comment>
    <comment ref="G838" authorId="0" shapeId="0">
      <text>
        <r>
          <rPr>
            <b/>
            <sz val="9"/>
            <color indexed="81"/>
            <rFont val="Tahoma"/>
            <charset val="1"/>
          </rPr>
          <t>Cerny:</t>
        </r>
        <r>
          <rPr>
            <sz val="9"/>
            <color indexed="81"/>
            <rFont val="Tahoma"/>
            <charset val="1"/>
          </rPr>
          <t xml:space="preserve">
Generic coefficients for the whole NACE C ("industry")</t>
        </r>
      </text>
    </comment>
    <comment ref="J838" authorId="0" shapeId="0">
      <text>
        <r>
          <rPr>
            <b/>
            <sz val="9"/>
            <color indexed="81"/>
            <rFont val="Tahoma"/>
            <charset val="1"/>
          </rPr>
          <t>Cerny:</t>
        </r>
        <r>
          <rPr>
            <sz val="9"/>
            <color indexed="81"/>
            <rFont val="Tahoma"/>
            <charset val="1"/>
          </rPr>
          <t xml:space="preserve">
Generic coefficients for the whole NACE C ("industry")</t>
        </r>
      </text>
    </comment>
    <comment ref="M838" authorId="0" shapeId="0">
      <text>
        <r>
          <rPr>
            <b/>
            <sz val="9"/>
            <color indexed="81"/>
            <rFont val="Tahoma"/>
            <charset val="1"/>
          </rPr>
          <t>Cerny:</t>
        </r>
        <r>
          <rPr>
            <sz val="9"/>
            <color indexed="81"/>
            <rFont val="Tahoma"/>
            <charset val="1"/>
          </rPr>
          <t xml:space="preserve">
Generic coefficients for the whole NACE C ("industry")</t>
        </r>
      </text>
    </comment>
    <comment ref="G849" authorId="0" shapeId="0">
      <text>
        <r>
          <rPr>
            <b/>
            <sz val="9"/>
            <color indexed="81"/>
            <rFont val="Tahoma"/>
            <charset val="1"/>
          </rPr>
          <t>Cerny:</t>
        </r>
        <r>
          <rPr>
            <sz val="9"/>
            <color indexed="81"/>
            <rFont val="Tahoma"/>
            <charset val="1"/>
          </rPr>
          <t xml:space="preserve">
Generic coefficients for the whole NACE C ("industry")</t>
        </r>
      </text>
    </comment>
    <comment ref="J849" authorId="0" shapeId="0">
      <text>
        <r>
          <rPr>
            <b/>
            <sz val="9"/>
            <color indexed="81"/>
            <rFont val="Tahoma"/>
            <charset val="1"/>
          </rPr>
          <t>Cerny:</t>
        </r>
        <r>
          <rPr>
            <sz val="9"/>
            <color indexed="81"/>
            <rFont val="Tahoma"/>
            <charset val="1"/>
          </rPr>
          <t xml:space="preserve">
Generic coefficients for the whole NACE C ("industry")</t>
        </r>
      </text>
    </comment>
    <comment ref="M849" authorId="0" shapeId="0">
      <text>
        <r>
          <rPr>
            <b/>
            <sz val="9"/>
            <color indexed="81"/>
            <rFont val="Tahoma"/>
            <charset val="1"/>
          </rPr>
          <t>Cerny:</t>
        </r>
        <r>
          <rPr>
            <sz val="9"/>
            <color indexed="81"/>
            <rFont val="Tahoma"/>
            <charset val="1"/>
          </rPr>
          <t xml:space="preserve">
Generic coefficients for the whole NACE C ("industry")</t>
        </r>
      </text>
    </comment>
    <comment ref="G860" authorId="0" shapeId="0">
      <text>
        <r>
          <rPr>
            <b/>
            <sz val="9"/>
            <color indexed="81"/>
            <rFont val="Tahoma"/>
            <charset val="1"/>
          </rPr>
          <t>Cerny:</t>
        </r>
        <r>
          <rPr>
            <sz val="9"/>
            <color indexed="81"/>
            <rFont val="Tahoma"/>
            <charset val="1"/>
          </rPr>
          <t xml:space="preserve">
Generic coefficients for the whole NACE C ("industry")</t>
        </r>
      </text>
    </comment>
    <comment ref="J860" authorId="0" shapeId="0">
      <text>
        <r>
          <rPr>
            <b/>
            <sz val="9"/>
            <color indexed="81"/>
            <rFont val="Tahoma"/>
            <charset val="1"/>
          </rPr>
          <t>Cerny:</t>
        </r>
        <r>
          <rPr>
            <sz val="9"/>
            <color indexed="81"/>
            <rFont val="Tahoma"/>
            <charset val="1"/>
          </rPr>
          <t xml:space="preserve">
Generic coefficients for the whole NACE C ("industry")</t>
        </r>
      </text>
    </comment>
    <comment ref="M860" authorId="0" shapeId="0">
      <text>
        <r>
          <rPr>
            <b/>
            <sz val="9"/>
            <color indexed="81"/>
            <rFont val="Tahoma"/>
            <charset val="1"/>
          </rPr>
          <t>Cerny:</t>
        </r>
        <r>
          <rPr>
            <sz val="9"/>
            <color indexed="81"/>
            <rFont val="Tahoma"/>
            <charset val="1"/>
          </rPr>
          <t xml:space="preserve">
Generic coefficients for the whole NACE C ("industry")</t>
        </r>
      </text>
    </comment>
    <comment ref="G871" authorId="0" shapeId="0">
      <text>
        <r>
          <rPr>
            <b/>
            <sz val="9"/>
            <color indexed="81"/>
            <rFont val="Tahoma"/>
            <charset val="1"/>
          </rPr>
          <t>Cerny:</t>
        </r>
        <r>
          <rPr>
            <sz val="9"/>
            <color indexed="81"/>
            <rFont val="Tahoma"/>
            <charset val="1"/>
          </rPr>
          <t xml:space="preserve">
Generic coefficients for the whole NACE C ("industry")</t>
        </r>
      </text>
    </comment>
    <comment ref="J871" authorId="0" shapeId="0">
      <text>
        <r>
          <rPr>
            <b/>
            <sz val="9"/>
            <color indexed="81"/>
            <rFont val="Tahoma"/>
            <charset val="1"/>
          </rPr>
          <t>Cerny:</t>
        </r>
        <r>
          <rPr>
            <sz val="9"/>
            <color indexed="81"/>
            <rFont val="Tahoma"/>
            <charset val="1"/>
          </rPr>
          <t xml:space="preserve">
Generic coefficients for the whole NACE C ("industry")</t>
        </r>
      </text>
    </comment>
    <comment ref="M871" authorId="0" shapeId="0">
      <text>
        <r>
          <rPr>
            <b/>
            <sz val="9"/>
            <color indexed="81"/>
            <rFont val="Tahoma"/>
            <charset val="1"/>
          </rPr>
          <t>Cerny:</t>
        </r>
        <r>
          <rPr>
            <sz val="9"/>
            <color indexed="81"/>
            <rFont val="Tahoma"/>
            <charset val="1"/>
          </rPr>
          <t xml:space="preserve">
Generic coefficients for the whole NACE C ("industry")</t>
        </r>
      </text>
    </comment>
    <comment ref="G882" authorId="0" shapeId="0">
      <text>
        <r>
          <rPr>
            <b/>
            <sz val="9"/>
            <color indexed="81"/>
            <rFont val="Tahoma"/>
            <charset val="1"/>
          </rPr>
          <t>Cerny:</t>
        </r>
        <r>
          <rPr>
            <sz val="9"/>
            <color indexed="81"/>
            <rFont val="Tahoma"/>
            <charset val="1"/>
          </rPr>
          <t xml:space="preserve">
Generic coefficients for the whole NACE C ("industry")</t>
        </r>
      </text>
    </comment>
    <comment ref="J882" authorId="0" shapeId="0">
      <text>
        <r>
          <rPr>
            <b/>
            <sz val="9"/>
            <color indexed="81"/>
            <rFont val="Tahoma"/>
            <charset val="1"/>
          </rPr>
          <t>Cerny:</t>
        </r>
        <r>
          <rPr>
            <sz val="9"/>
            <color indexed="81"/>
            <rFont val="Tahoma"/>
            <charset val="1"/>
          </rPr>
          <t xml:space="preserve">
Generic coefficients for the whole NACE C ("industry")</t>
        </r>
      </text>
    </comment>
    <comment ref="M882" authorId="0" shapeId="0">
      <text>
        <r>
          <rPr>
            <b/>
            <sz val="9"/>
            <color indexed="81"/>
            <rFont val="Tahoma"/>
            <charset val="1"/>
          </rPr>
          <t>Cerny:</t>
        </r>
        <r>
          <rPr>
            <sz val="9"/>
            <color indexed="81"/>
            <rFont val="Tahoma"/>
            <charset val="1"/>
          </rPr>
          <t xml:space="preserve">
Generic coefficients for the whole NACE C ("industry")</t>
        </r>
      </text>
    </comment>
    <comment ref="G893" authorId="0" shapeId="0">
      <text>
        <r>
          <rPr>
            <b/>
            <sz val="9"/>
            <color indexed="81"/>
            <rFont val="Tahoma"/>
            <charset val="1"/>
          </rPr>
          <t>Cerny:</t>
        </r>
        <r>
          <rPr>
            <sz val="9"/>
            <color indexed="81"/>
            <rFont val="Tahoma"/>
            <charset val="1"/>
          </rPr>
          <t xml:space="preserve">
Generic coefficients for the whole NACE C ("industry")</t>
        </r>
      </text>
    </comment>
    <comment ref="J893" authorId="0" shapeId="0">
      <text>
        <r>
          <rPr>
            <b/>
            <sz val="9"/>
            <color indexed="81"/>
            <rFont val="Tahoma"/>
            <charset val="1"/>
          </rPr>
          <t>Cerny:</t>
        </r>
        <r>
          <rPr>
            <sz val="9"/>
            <color indexed="81"/>
            <rFont val="Tahoma"/>
            <charset val="1"/>
          </rPr>
          <t xml:space="preserve">
Generic coefficients for the whole NACE C ("industry")</t>
        </r>
      </text>
    </comment>
    <comment ref="M893" authorId="0" shapeId="0">
      <text>
        <r>
          <rPr>
            <b/>
            <sz val="9"/>
            <color indexed="81"/>
            <rFont val="Tahoma"/>
            <charset val="1"/>
          </rPr>
          <t>Cerny:</t>
        </r>
        <r>
          <rPr>
            <sz val="9"/>
            <color indexed="81"/>
            <rFont val="Tahoma"/>
            <charset val="1"/>
          </rPr>
          <t xml:space="preserve">
Generic coefficients for the whole NACE C ("industry")</t>
        </r>
      </text>
    </comment>
    <comment ref="G904" authorId="0" shapeId="0">
      <text>
        <r>
          <rPr>
            <b/>
            <sz val="9"/>
            <color indexed="81"/>
            <rFont val="Tahoma"/>
            <charset val="1"/>
          </rPr>
          <t>Cerny:</t>
        </r>
        <r>
          <rPr>
            <sz val="9"/>
            <color indexed="81"/>
            <rFont val="Tahoma"/>
            <charset val="1"/>
          </rPr>
          <t xml:space="preserve">
Generic coefficients for the whole NACE C ("industry")</t>
        </r>
      </text>
    </comment>
    <comment ref="J904" authorId="0" shapeId="0">
      <text>
        <r>
          <rPr>
            <b/>
            <sz val="9"/>
            <color indexed="81"/>
            <rFont val="Tahoma"/>
            <charset val="1"/>
          </rPr>
          <t>Cerny:</t>
        </r>
        <r>
          <rPr>
            <sz val="9"/>
            <color indexed="81"/>
            <rFont val="Tahoma"/>
            <charset val="1"/>
          </rPr>
          <t xml:space="preserve">
Generic coefficients for the whole NACE C ("industry")</t>
        </r>
      </text>
    </comment>
    <comment ref="M904" authorId="0" shapeId="0">
      <text>
        <r>
          <rPr>
            <b/>
            <sz val="9"/>
            <color indexed="81"/>
            <rFont val="Tahoma"/>
            <charset val="1"/>
          </rPr>
          <t>Cerny:</t>
        </r>
        <r>
          <rPr>
            <sz val="9"/>
            <color indexed="81"/>
            <rFont val="Tahoma"/>
            <charset val="1"/>
          </rPr>
          <t xml:space="preserve">
Generic coefficients for the whole NACE C ("industry")</t>
        </r>
      </text>
    </comment>
    <comment ref="G915" authorId="0" shapeId="0">
      <text>
        <r>
          <rPr>
            <b/>
            <sz val="9"/>
            <color indexed="81"/>
            <rFont val="Tahoma"/>
            <charset val="1"/>
          </rPr>
          <t>Cerny:</t>
        </r>
        <r>
          <rPr>
            <sz val="9"/>
            <color indexed="81"/>
            <rFont val="Tahoma"/>
            <charset val="1"/>
          </rPr>
          <t xml:space="preserve">
Generic coefficients for the whole NACE C ("industry")</t>
        </r>
      </text>
    </comment>
    <comment ref="J915" authorId="0" shapeId="0">
      <text>
        <r>
          <rPr>
            <b/>
            <sz val="9"/>
            <color indexed="81"/>
            <rFont val="Tahoma"/>
            <charset val="1"/>
          </rPr>
          <t>Cerny:</t>
        </r>
        <r>
          <rPr>
            <sz val="9"/>
            <color indexed="81"/>
            <rFont val="Tahoma"/>
            <charset val="1"/>
          </rPr>
          <t xml:space="preserve">
Generic coefficients for the whole NACE C ("industry")</t>
        </r>
      </text>
    </comment>
    <comment ref="M915" authorId="0" shapeId="0">
      <text>
        <r>
          <rPr>
            <b/>
            <sz val="9"/>
            <color indexed="81"/>
            <rFont val="Tahoma"/>
            <charset val="1"/>
          </rPr>
          <t>Cerny:</t>
        </r>
        <r>
          <rPr>
            <sz val="9"/>
            <color indexed="81"/>
            <rFont val="Tahoma"/>
            <charset val="1"/>
          </rPr>
          <t xml:space="preserve">
Generic coefficients for the whole NACE C ("industry")</t>
        </r>
      </text>
    </comment>
    <comment ref="G926" authorId="0" shapeId="0">
      <text>
        <r>
          <rPr>
            <b/>
            <sz val="9"/>
            <color indexed="81"/>
            <rFont val="Tahoma"/>
            <charset val="1"/>
          </rPr>
          <t>Cerny:</t>
        </r>
        <r>
          <rPr>
            <sz val="9"/>
            <color indexed="81"/>
            <rFont val="Tahoma"/>
            <charset val="1"/>
          </rPr>
          <t xml:space="preserve">
Generic coefficients for the whole NACE C ("industry")</t>
        </r>
      </text>
    </comment>
    <comment ref="J926" authorId="0" shapeId="0">
      <text>
        <r>
          <rPr>
            <b/>
            <sz val="9"/>
            <color indexed="81"/>
            <rFont val="Tahoma"/>
            <charset val="1"/>
          </rPr>
          <t>Cerny:</t>
        </r>
        <r>
          <rPr>
            <sz val="9"/>
            <color indexed="81"/>
            <rFont val="Tahoma"/>
            <charset val="1"/>
          </rPr>
          <t xml:space="preserve">
Generic coefficients for the whole NACE C ("industry")</t>
        </r>
      </text>
    </comment>
    <comment ref="M926" authorId="0" shapeId="0">
      <text>
        <r>
          <rPr>
            <b/>
            <sz val="9"/>
            <color indexed="81"/>
            <rFont val="Tahoma"/>
            <charset val="1"/>
          </rPr>
          <t>Cerny:</t>
        </r>
        <r>
          <rPr>
            <sz val="9"/>
            <color indexed="81"/>
            <rFont val="Tahoma"/>
            <charset val="1"/>
          </rPr>
          <t xml:space="preserve">
Generic coefficients for the whole NACE C ("industry")</t>
        </r>
      </text>
    </comment>
    <comment ref="G937" authorId="0" shapeId="0">
      <text>
        <r>
          <rPr>
            <b/>
            <sz val="9"/>
            <color indexed="81"/>
            <rFont val="Tahoma"/>
            <charset val="1"/>
          </rPr>
          <t>Cerny:</t>
        </r>
        <r>
          <rPr>
            <sz val="9"/>
            <color indexed="81"/>
            <rFont val="Tahoma"/>
            <charset val="1"/>
          </rPr>
          <t xml:space="preserve">
Generic coefficients for the whole NACE C ("industry")</t>
        </r>
      </text>
    </comment>
    <comment ref="J937" authorId="0" shapeId="0">
      <text>
        <r>
          <rPr>
            <b/>
            <sz val="9"/>
            <color indexed="81"/>
            <rFont val="Tahoma"/>
            <charset val="1"/>
          </rPr>
          <t>Cerny:</t>
        </r>
        <r>
          <rPr>
            <sz val="9"/>
            <color indexed="81"/>
            <rFont val="Tahoma"/>
            <charset val="1"/>
          </rPr>
          <t xml:space="preserve">
Generic coefficients for the whole NACE C ("industry")</t>
        </r>
      </text>
    </comment>
    <comment ref="M937" authorId="0" shapeId="0">
      <text>
        <r>
          <rPr>
            <b/>
            <sz val="9"/>
            <color indexed="81"/>
            <rFont val="Tahoma"/>
            <charset val="1"/>
          </rPr>
          <t>Cerny:</t>
        </r>
        <r>
          <rPr>
            <sz val="9"/>
            <color indexed="81"/>
            <rFont val="Tahoma"/>
            <charset val="1"/>
          </rPr>
          <t xml:space="preserve">
Generic coefficients for the whole NACE C ("industry")</t>
        </r>
      </text>
    </comment>
    <comment ref="G948" authorId="0" shapeId="0">
      <text>
        <r>
          <rPr>
            <b/>
            <sz val="9"/>
            <color indexed="81"/>
            <rFont val="Tahoma"/>
            <charset val="1"/>
          </rPr>
          <t>Cerny:</t>
        </r>
        <r>
          <rPr>
            <sz val="9"/>
            <color indexed="81"/>
            <rFont val="Tahoma"/>
            <charset val="1"/>
          </rPr>
          <t xml:space="preserve">
Generic coefficients for the whole NACE C ("industry")</t>
        </r>
      </text>
    </comment>
    <comment ref="J948" authorId="0" shapeId="0">
      <text>
        <r>
          <rPr>
            <b/>
            <sz val="9"/>
            <color indexed="81"/>
            <rFont val="Tahoma"/>
            <charset val="1"/>
          </rPr>
          <t>Cerny:</t>
        </r>
        <r>
          <rPr>
            <sz val="9"/>
            <color indexed="81"/>
            <rFont val="Tahoma"/>
            <charset val="1"/>
          </rPr>
          <t xml:space="preserve">
Generic coefficients for the whole NACE C ("industry")</t>
        </r>
      </text>
    </comment>
    <comment ref="M948" authorId="0" shapeId="0">
      <text>
        <r>
          <rPr>
            <b/>
            <sz val="9"/>
            <color indexed="81"/>
            <rFont val="Tahoma"/>
            <charset val="1"/>
          </rPr>
          <t>Cerny:</t>
        </r>
        <r>
          <rPr>
            <sz val="9"/>
            <color indexed="81"/>
            <rFont val="Tahoma"/>
            <charset val="1"/>
          </rPr>
          <t xml:space="preserve">
Generic coefficients for the whole NACE C ("industry")</t>
        </r>
      </text>
    </comment>
    <comment ref="G959" authorId="0" shapeId="0">
      <text>
        <r>
          <rPr>
            <b/>
            <sz val="9"/>
            <color indexed="81"/>
            <rFont val="Tahoma"/>
            <charset val="1"/>
          </rPr>
          <t>Cerny:</t>
        </r>
        <r>
          <rPr>
            <sz val="9"/>
            <color indexed="81"/>
            <rFont val="Tahoma"/>
            <charset val="1"/>
          </rPr>
          <t xml:space="preserve">
Generic coefficients for the whole NACE C ("industry")</t>
        </r>
      </text>
    </comment>
    <comment ref="J959" authorId="0" shapeId="0">
      <text>
        <r>
          <rPr>
            <b/>
            <sz val="9"/>
            <color indexed="81"/>
            <rFont val="Tahoma"/>
            <charset val="1"/>
          </rPr>
          <t>Cerny:</t>
        </r>
        <r>
          <rPr>
            <sz val="9"/>
            <color indexed="81"/>
            <rFont val="Tahoma"/>
            <charset val="1"/>
          </rPr>
          <t xml:space="preserve">
Generic coefficients for the whole NACE C ("industry")</t>
        </r>
      </text>
    </comment>
    <comment ref="M959" authorId="0" shapeId="0">
      <text>
        <r>
          <rPr>
            <b/>
            <sz val="9"/>
            <color indexed="81"/>
            <rFont val="Tahoma"/>
            <charset val="1"/>
          </rPr>
          <t>Cerny:</t>
        </r>
        <r>
          <rPr>
            <sz val="9"/>
            <color indexed="81"/>
            <rFont val="Tahoma"/>
            <charset val="1"/>
          </rPr>
          <t xml:space="preserve">
Generic coefficients for the whole NACE C ("industry")</t>
        </r>
      </text>
    </comment>
    <comment ref="G970" authorId="0" shapeId="0">
      <text>
        <r>
          <rPr>
            <b/>
            <sz val="9"/>
            <color indexed="81"/>
            <rFont val="Tahoma"/>
            <charset val="1"/>
          </rPr>
          <t>Cerny:</t>
        </r>
        <r>
          <rPr>
            <sz val="9"/>
            <color indexed="81"/>
            <rFont val="Tahoma"/>
            <charset val="1"/>
          </rPr>
          <t xml:space="preserve">
Generic coefficients for the whole NACE C ("industry")</t>
        </r>
      </text>
    </comment>
    <comment ref="J970" authorId="0" shapeId="0">
      <text>
        <r>
          <rPr>
            <b/>
            <sz val="9"/>
            <color indexed="81"/>
            <rFont val="Tahoma"/>
            <charset val="1"/>
          </rPr>
          <t>Cerny:</t>
        </r>
        <r>
          <rPr>
            <sz val="9"/>
            <color indexed="81"/>
            <rFont val="Tahoma"/>
            <charset val="1"/>
          </rPr>
          <t xml:space="preserve">
Generic coefficients for the whole NACE C ("industry")</t>
        </r>
      </text>
    </comment>
    <comment ref="M970" authorId="0" shapeId="0">
      <text>
        <r>
          <rPr>
            <b/>
            <sz val="9"/>
            <color indexed="81"/>
            <rFont val="Tahoma"/>
            <charset val="1"/>
          </rPr>
          <t>Cerny:</t>
        </r>
        <r>
          <rPr>
            <sz val="9"/>
            <color indexed="81"/>
            <rFont val="Tahoma"/>
            <charset val="1"/>
          </rPr>
          <t xml:space="preserve">
Generic coefficients for the whole NACE C ("industry")</t>
        </r>
      </text>
    </comment>
    <comment ref="G981" authorId="0" shapeId="0">
      <text>
        <r>
          <rPr>
            <b/>
            <sz val="9"/>
            <color indexed="81"/>
            <rFont val="Tahoma"/>
            <charset val="1"/>
          </rPr>
          <t>Cerny:</t>
        </r>
        <r>
          <rPr>
            <sz val="9"/>
            <color indexed="81"/>
            <rFont val="Tahoma"/>
            <charset val="1"/>
          </rPr>
          <t xml:space="preserve">
Generic coefficients for the whole NACE C ("industry")</t>
        </r>
      </text>
    </comment>
    <comment ref="J981" authorId="0" shapeId="0">
      <text>
        <r>
          <rPr>
            <b/>
            <sz val="9"/>
            <color indexed="81"/>
            <rFont val="Tahoma"/>
            <charset val="1"/>
          </rPr>
          <t>Cerny:</t>
        </r>
        <r>
          <rPr>
            <sz val="9"/>
            <color indexed="81"/>
            <rFont val="Tahoma"/>
            <charset val="1"/>
          </rPr>
          <t xml:space="preserve">
Generic coefficients for the whole NACE C ("industry")</t>
        </r>
      </text>
    </comment>
    <comment ref="M981" authorId="0" shapeId="0">
      <text>
        <r>
          <rPr>
            <b/>
            <sz val="9"/>
            <color indexed="81"/>
            <rFont val="Tahoma"/>
            <charset val="1"/>
          </rPr>
          <t>Cerny:</t>
        </r>
        <r>
          <rPr>
            <sz val="9"/>
            <color indexed="81"/>
            <rFont val="Tahoma"/>
            <charset val="1"/>
          </rPr>
          <t xml:space="preserve">
Generic coefficients for the whole NACE C ("industry")</t>
        </r>
      </text>
    </comment>
    <comment ref="G992" authorId="0" shapeId="0">
      <text>
        <r>
          <rPr>
            <b/>
            <sz val="9"/>
            <color indexed="81"/>
            <rFont val="Tahoma"/>
            <charset val="1"/>
          </rPr>
          <t>Cerny:</t>
        </r>
        <r>
          <rPr>
            <sz val="9"/>
            <color indexed="81"/>
            <rFont val="Tahoma"/>
            <charset val="1"/>
          </rPr>
          <t xml:space="preserve">
Generic coefficients for the whole NACE C ("industry")</t>
        </r>
      </text>
    </comment>
    <comment ref="J992" authorId="0" shapeId="0">
      <text>
        <r>
          <rPr>
            <b/>
            <sz val="9"/>
            <color indexed="81"/>
            <rFont val="Tahoma"/>
            <charset val="1"/>
          </rPr>
          <t>Cerny:</t>
        </r>
        <r>
          <rPr>
            <sz val="9"/>
            <color indexed="81"/>
            <rFont val="Tahoma"/>
            <charset val="1"/>
          </rPr>
          <t xml:space="preserve">
Generic coefficients for the whole NACE C ("industry")</t>
        </r>
      </text>
    </comment>
    <comment ref="M992" authorId="0" shapeId="0">
      <text>
        <r>
          <rPr>
            <b/>
            <sz val="9"/>
            <color indexed="81"/>
            <rFont val="Tahoma"/>
            <charset val="1"/>
          </rPr>
          <t>Cerny:</t>
        </r>
        <r>
          <rPr>
            <sz val="9"/>
            <color indexed="81"/>
            <rFont val="Tahoma"/>
            <charset val="1"/>
          </rPr>
          <t xml:space="preserve">
Generic coefficients for the whole NACE C ("industry")</t>
        </r>
      </text>
    </comment>
  </commentList>
</comments>
</file>

<file path=xl/comments6.xml><?xml version="1.0" encoding="utf-8"?>
<comments xmlns="http://schemas.openxmlformats.org/spreadsheetml/2006/main">
  <authors>
    <author>Cerny</author>
  </authors>
  <commentList>
    <comment ref="K1" authorId="0" shapeId="0">
      <text>
        <r>
          <rPr>
            <b/>
            <sz val="9"/>
            <color indexed="81"/>
            <rFont val="Tahoma"/>
            <family val="2"/>
            <charset val="238"/>
          </rPr>
          <t>Cerny:</t>
        </r>
        <r>
          <rPr>
            <sz val="9"/>
            <color indexed="81"/>
            <rFont val="Tahoma"/>
            <family val="2"/>
            <charset val="238"/>
          </rPr>
          <t xml:space="preserve">
Green = used</t>
        </r>
      </text>
    </comment>
    <comment ref="L1" authorId="0" shapeId="0">
      <text>
        <r>
          <rPr>
            <b/>
            <sz val="9"/>
            <color indexed="81"/>
            <rFont val="Tahoma"/>
            <family val="2"/>
            <charset val="238"/>
          </rPr>
          <t>Cerny:</t>
        </r>
        <r>
          <rPr>
            <sz val="9"/>
            <color indexed="81"/>
            <rFont val="Tahoma"/>
            <family val="2"/>
            <charset val="238"/>
          </rPr>
          <t xml:space="preserve">
Green = used</t>
        </r>
      </text>
    </comment>
    <comment ref="H25" authorId="0" shapeId="0">
      <text>
        <r>
          <rPr>
            <b/>
            <sz val="9"/>
            <color indexed="81"/>
            <rFont val="Tahoma"/>
            <family val="2"/>
            <charset val="238"/>
          </rPr>
          <t>Cerny:</t>
        </r>
        <r>
          <rPr>
            <sz val="9"/>
            <color indexed="81"/>
            <rFont val="Tahoma"/>
            <family val="2"/>
            <charset val="238"/>
          </rPr>
          <t xml:space="preserve">
Scaled up without taxes (not included in the other sources' breakdown and are usually country-specific), therefore the sum in the "Original" column is not 100%.</t>
        </r>
      </text>
    </comment>
    <comment ref="B37" authorId="0" shapeId="0">
      <text>
        <r>
          <rPr>
            <b/>
            <sz val="9"/>
            <color indexed="81"/>
            <rFont val="Tahoma"/>
            <family val="2"/>
            <charset val="238"/>
          </rPr>
          <t>Cerny:</t>
        </r>
        <r>
          <rPr>
            <sz val="9"/>
            <color indexed="81"/>
            <rFont val="Tahoma"/>
            <family val="2"/>
            <charset val="238"/>
          </rPr>
          <t xml:space="preserve">
Data for cars</t>
        </r>
      </text>
    </comment>
    <comment ref="B38" authorId="0" shapeId="0">
      <text>
        <r>
          <rPr>
            <b/>
            <sz val="9"/>
            <color indexed="81"/>
            <rFont val="Tahoma"/>
            <family val="2"/>
            <charset val="238"/>
          </rPr>
          <t>Cerny:</t>
        </r>
        <r>
          <rPr>
            <sz val="9"/>
            <color indexed="81"/>
            <rFont val="Tahoma"/>
            <family val="2"/>
            <charset val="238"/>
          </rPr>
          <t xml:space="preserve">
Data for cars</t>
        </r>
      </text>
    </comment>
    <comment ref="F45" authorId="0" shapeId="0">
      <text>
        <r>
          <rPr>
            <b/>
            <sz val="9"/>
            <color indexed="81"/>
            <rFont val="Tahoma"/>
            <charset val="1"/>
          </rPr>
          <t>Cerny:</t>
        </r>
        <r>
          <rPr>
            <sz val="9"/>
            <color indexed="81"/>
            <rFont val="Tahoma"/>
            <charset val="1"/>
          </rPr>
          <t xml:space="preserve">
Calculated to cover the remaining non-manufacturing costs from the shares</t>
        </r>
      </text>
    </comment>
    <comment ref="G45" authorId="0" shapeId="0">
      <text>
        <r>
          <rPr>
            <b/>
            <sz val="9"/>
            <color indexed="81"/>
            <rFont val="Tahoma"/>
            <charset val="1"/>
          </rPr>
          <t>Cerny:</t>
        </r>
        <r>
          <rPr>
            <sz val="9"/>
            <color indexed="81"/>
            <rFont val="Tahoma"/>
            <charset val="1"/>
          </rPr>
          <t xml:space="preserve">
Calculated to cover the remaining non-manufacturing costs from the shares</t>
        </r>
      </text>
    </comment>
    <comment ref="B51" authorId="0" shapeId="0">
      <text>
        <r>
          <rPr>
            <b/>
            <sz val="9"/>
            <color indexed="81"/>
            <rFont val="Tahoma"/>
            <family val="2"/>
            <charset val="238"/>
          </rPr>
          <t>Cerny:</t>
        </r>
        <r>
          <rPr>
            <sz val="9"/>
            <color indexed="81"/>
            <rFont val="Tahoma"/>
            <family val="2"/>
            <charset val="238"/>
          </rPr>
          <t xml:space="preserve">
Data for cars</t>
        </r>
      </text>
    </comment>
    <comment ref="F59" authorId="0" shapeId="0">
      <text>
        <r>
          <rPr>
            <b/>
            <sz val="9"/>
            <color indexed="81"/>
            <rFont val="Tahoma"/>
            <charset val="1"/>
          </rPr>
          <t>Cerny:</t>
        </r>
        <r>
          <rPr>
            <sz val="9"/>
            <color indexed="81"/>
            <rFont val="Tahoma"/>
            <charset val="1"/>
          </rPr>
          <t xml:space="preserve">
Calculated to cover the remaining non-manufacturing costs from the shares</t>
        </r>
      </text>
    </comment>
    <comment ref="G59" authorId="0" shapeId="0">
      <text>
        <r>
          <rPr>
            <b/>
            <sz val="9"/>
            <color indexed="81"/>
            <rFont val="Tahoma"/>
            <charset val="1"/>
          </rPr>
          <t>Cerny:</t>
        </r>
        <r>
          <rPr>
            <sz val="9"/>
            <color indexed="81"/>
            <rFont val="Tahoma"/>
            <charset val="1"/>
          </rPr>
          <t xml:space="preserve">
Calculated to cover the remaining non-manufacturing costs from the shares</t>
        </r>
      </text>
    </comment>
    <comment ref="F65" authorId="0" shapeId="0">
      <text>
        <r>
          <rPr>
            <b/>
            <sz val="9"/>
            <color indexed="81"/>
            <rFont val="Tahoma"/>
            <family val="2"/>
            <charset val="238"/>
          </rPr>
          <t>Cerny:</t>
        </r>
        <r>
          <rPr>
            <sz val="9"/>
            <color indexed="81"/>
            <rFont val="Tahoma"/>
            <family val="2"/>
            <charset val="238"/>
          </rPr>
          <t xml:space="preserve">
Average (150-200)</t>
        </r>
      </text>
    </comment>
    <comment ref="C7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F74" authorId="0" shapeId="0">
      <text>
        <r>
          <rPr>
            <b/>
            <sz val="9"/>
            <color indexed="81"/>
            <rFont val="Tahoma"/>
            <family val="2"/>
            <charset val="238"/>
          </rPr>
          <t>Cerny:</t>
        </r>
        <r>
          <rPr>
            <sz val="9"/>
            <color indexed="81"/>
            <rFont val="Tahoma"/>
            <family val="2"/>
            <charset val="238"/>
          </rPr>
          <t xml:space="preserve">
Average (150-200)</t>
        </r>
      </text>
    </comment>
    <comment ref="C7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7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8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8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82"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F83" authorId="0" shapeId="0">
      <text>
        <r>
          <rPr>
            <b/>
            <sz val="9"/>
            <color indexed="81"/>
            <rFont val="Tahoma"/>
            <family val="2"/>
            <charset val="238"/>
          </rPr>
          <t>Cerny:</t>
        </r>
        <r>
          <rPr>
            <sz val="9"/>
            <color indexed="81"/>
            <rFont val="Tahoma"/>
            <family val="2"/>
            <charset val="238"/>
          </rPr>
          <t xml:space="preserve">
Average (150-200)</t>
        </r>
      </text>
    </comment>
    <comment ref="F92" authorId="0" shapeId="0">
      <text>
        <r>
          <rPr>
            <b/>
            <sz val="9"/>
            <color indexed="81"/>
            <rFont val="Tahoma"/>
            <family val="2"/>
            <charset val="238"/>
          </rPr>
          <t>Cerny:</t>
        </r>
        <r>
          <rPr>
            <sz val="9"/>
            <color indexed="81"/>
            <rFont val="Tahoma"/>
            <family val="2"/>
            <charset val="238"/>
          </rPr>
          <t xml:space="preserve">
Average (150-200)</t>
        </r>
      </text>
    </comment>
    <comment ref="C12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12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12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12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13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13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17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17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17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17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17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17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List>
</comments>
</file>

<file path=xl/comments7.xml><?xml version="1.0" encoding="utf-8"?>
<comments xmlns="http://schemas.openxmlformats.org/spreadsheetml/2006/main">
  <authors>
    <author>Cerny</author>
  </authors>
  <commentList>
    <comment ref="F1" authorId="0" shapeId="0">
      <text>
        <r>
          <rPr>
            <b/>
            <sz val="9"/>
            <color indexed="81"/>
            <rFont val="Tahoma"/>
            <charset val="1"/>
          </rPr>
          <t>Cerny:</t>
        </r>
        <r>
          <rPr>
            <sz val="9"/>
            <color indexed="81"/>
            <rFont val="Tahoma"/>
            <charset val="1"/>
          </rPr>
          <t xml:space="preserve">
Further split the modeled sectors themselves (into 1,2,3 etc., as listed here)</t>
        </r>
      </text>
    </comment>
    <comment ref="G1" authorId="0" shapeId="0">
      <text>
        <r>
          <rPr>
            <b/>
            <sz val="9"/>
            <color indexed="81"/>
            <rFont val="Tahoma"/>
            <charset val="1"/>
          </rPr>
          <t>Cerny:</t>
        </r>
        <r>
          <rPr>
            <sz val="9"/>
            <color indexed="81"/>
            <rFont val="Tahoma"/>
            <charset val="1"/>
          </rPr>
          <t xml:space="preserve">
Compares the technology-specific change in the relative representation of a given opex category against the initial mix of these technologies (that is hypothetically represented by the original production function - see "opex_det").</t>
        </r>
      </text>
    </comment>
    <comment ref="H1" authorId="0" shapeId="0">
      <text>
        <r>
          <rPr>
            <b/>
            <sz val="9"/>
            <color indexed="81"/>
            <rFont val="Tahoma"/>
            <charset val="1"/>
          </rPr>
          <t>Cerny:</t>
        </r>
        <r>
          <rPr>
            <sz val="9"/>
            <color indexed="81"/>
            <rFont val="Tahoma"/>
            <charset val="1"/>
          </rPr>
          <t xml:space="preserve">
Compares share of the sector's input to the corresponding opex category relative to the sector's shares to other opex categories.</t>
        </r>
      </text>
    </comment>
    <comment ref="M1" authorId="0" shapeId="0">
      <text>
        <r>
          <rPr>
            <b/>
            <sz val="9"/>
            <color indexed="81"/>
            <rFont val="Tahoma"/>
            <charset val="1"/>
          </rPr>
          <t>Cerny:</t>
        </r>
        <r>
          <rPr>
            <sz val="9"/>
            <color indexed="81"/>
            <rFont val="Tahoma"/>
            <charset val="1"/>
          </rPr>
          <t xml:space="preserve">
Rescaled (=normalized to the correct sum, 100%) industry shares used for the split of the industries by production technology in "opex_det". NOTE: some sectors listed more than once because they are affected by multiple opex categories; for the purpose of incorporating technical coefficients into the new production functions, only the first occurrence of the sector is always used.</t>
        </r>
      </text>
    </comment>
    <comment ref="E77" authorId="0" shapeId="0">
      <text>
        <r>
          <rPr>
            <b/>
            <sz val="9"/>
            <color indexed="81"/>
            <rFont val="Tahoma"/>
            <charset val="1"/>
          </rPr>
          <t>Cerny:</t>
        </r>
        <r>
          <rPr>
            <sz val="9"/>
            <color indexed="81"/>
            <rFont val="Tahoma"/>
            <charset val="1"/>
          </rPr>
          <t xml:space="preserve">
Empty category, only because of the resetting of sectors that do not play a role in this technology, in the new production function in "opex_det".</t>
        </r>
      </text>
    </comment>
    <comment ref="J116" authorId="0" shapeId="0">
      <text>
        <r>
          <rPr>
            <b/>
            <sz val="9"/>
            <color indexed="81"/>
            <rFont val="Tahoma"/>
            <charset val="1"/>
          </rPr>
          <t>Cerny:</t>
        </r>
        <r>
          <rPr>
            <sz val="9"/>
            <color indexed="81"/>
            <rFont val="Tahoma"/>
            <charset val="1"/>
          </rPr>
          <t xml:space="preserve">
Sum of unique sectors</t>
        </r>
      </text>
    </comment>
    <comment ref="K116" authorId="0" shapeId="0">
      <text>
        <r>
          <rPr>
            <b/>
            <sz val="9"/>
            <color indexed="81"/>
            <rFont val="Tahoma"/>
            <charset val="1"/>
          </rPr>
          <t>Cerny:</t>
        </r>
        <r>
          <rPr>
            <sz val="9"/>
            <color indexed="81"/>
            <rFont val="Tahoma"/>
            <charset val="1"/>
          </rPr>
          <t xml:space="preserve">
Sum of unique sectors</t>
        </r>
      </text>
    </comment>
    <comment ref="M116" authorId="0" shapeId="0">
      <text>
        <r>
          <rPr>
            <b/>
            <sz val="9"/>
            <color indexed="81"/>
            <rFont val="Tahoma"/>
            <charset val="1"/>
          </rPr>
          <t>Cerny:</t>
        </r>
        <r>
          <rPr>
            <sz val="9"/>
            <color indexed="81"/>
            <rFont val="Tahoma"/>
            <charset val="1"/>
          </rPr>
          <t xml:space="preserve">
Sum of unique sectors</t>
        </r>
      </text>
    </comment>
    <comment ref="J159" authorId="0" shapeId="0">
      <text>
        <r>
          <rPr>
            <b/>
            <sz val="9"/>
            <color indexed="81"/>
            <rFont val="Tahoma"/>
            <charset val="1"/>
          </rPr>
          <t>Cerny:</t>
        </r>
        <r>
          <rPr>
            <sz val="9"/>
            <color indexed="81"/>
            <rFont val="Tahoma"/>
            <charset val="1"/>
          </rPr>
          <t xml:space="preserve">
Sum of unique sectors</t>
        </r>
      </text>
    </comment>
    <comment ref="K159" authorId="0" shapeId="0">
      <text>
        <r>
          <rPr>
            <b/>
            <sz val="9"/>
            <color indexed="81"/>
            <rFont val="Tahoma"/>
            <charset val="1"/>
          </rPr>
          <t>Cerny:</t>
        </r>
        <r>
          <rPr>
            <sz val="9"/>
            <color indexed="81"/>
            <rFont val="Tahoma"/>
            <charset val="1"/>
          </rPr>
          <t xml:space="preserve">
Sum of unique sectors</t>
        </r>
      </text>
    </comment>
    <comment ref="M159" authorId="0" shapeId="0">
      <text>
        <r>
          <rPr>
            <b/>
            <sz val="9"/>
            <color indexed="81"/>
            <rFont val="Tahoma"/>
            <charset val="1"/>
          </rPr>
          <t>Cerny:</t>
        </r>
        <r>
          <rPr>
            <sz val="9"/>
            <color indexed="81"/>
            <rFont val="Tahoma"/>
            <charset val="1"/>
          </rPr>
          <t xml:space="preserve">
Sum of unique sectors</t>
        </r>
      </text>
    </comment>
    <comment ref="E179" authorId="0" shapeId="0">
      <text>
        <r>
          <rPr>
            <b/>
            <sz val="9"/>
            <color indexed="81"/>
            <rFont val="Tahoma"/>
            <charset val="1"/>
          </rPr>
          <t>Cerny:</t>
        </r>
        <r>
          <rPr>
            <sz val="9"/>
            <color indexed="81"/>
            <rFont val="Tahoma"/>
            <charset val="1"/>
          </rPr>
          <t xml:space="preserve">
Empty category, only because of the resetting of sectors that do not play a role in this technology, in the new production function in "opex_det".</t>
        </r>
      </text>
    </comment>
    <comment ref="G179" authorId="0" shapeId="0">
      <text>
        <r>
          <rPr>
            <b/>
            <sz val="9"/>
            <color indexed="81"/>
            <rFont val="Tahoma"/>
            <charset val="1"/>
          </rPr>
          <t>Cerny:</t>
        </r>
        <r>
          <rPr>
            <sz val="9"/>
            <color indexed="81"/>
            <rFont val="Tahoma"/>
            <charset val="1"/>
          </rPr>
          <t xml:space="preserve">
Not applicable</t>
        </r>
      </text>
    </comment>
    <comment ref="G180" authorId="0" shapeId="0">
      <text>
        <r>
          <rPr>
            <b/>
            <sz val="9"/>
            <color indexed="81"/>
            <rFont val="Tahoma"/>
            <charset val="1"/>
          </rPr>
          <t>Cerny:</t>
        </r>
        <r>
          <rPr>
            <sz val="9"/>
            <color indexed="81"/>
            <rFont val="Tahoma"/>
            <charset val="1"/>
          </rPr>
          <t xml:space="preserve">
Not applicable</t>
        </r>
      </text>
    </comment>
    <comment ref="G181" authorId="0" shapeId="0">
      <text>
        <r>
          <rPr>
            <b/>
            <sz val="9"/>
            <color indexed="81"/>
            <rFont val="Tahoma"/>
            <charset val="1"/>
          </rPr>
          <t>Cerny:</t>
        </r>
        <r>
          <rPr>
            <sz val="9"/>
            <color indexed="81"/>
            <rFont val="Tahoma"/>
            <charset val="1"/>
          </rPr>
          <t xml:space="preserve">
Not applicable</t>
        </r>
      </text>
    </comment>
    <comment ref="G182" authorId="0" shapeId="0">
      <text>
        <r>
          <rPr>
            <b/>
            <sz val="9"/>
            <color indexed="81"/>
            <rFont val="Tahoma"/>
            <charset val="1"/>
          </rPr>
          <t>Cerny:</t>
        </r>
        <r>
          <rPr>
            <sz val="9"/>
            <color indexed="81"/>
            <rFont val="Tahoma"/>
            <charset val="1"/>
          </rPr>
          <t xml:space="preserve">
Not applicable</t>
        </r>
      </text>
    </comment>
    <comment ref="E183" authorId="0" shapeId="0">
      <text>
        <r>
          <rPr>
            <b/>
            <sz val="9"/>
            <color indexed="81"/>
            <rFont val="Tahoma"/>
            <charset val="1"/>
          </rPr>
          <t>Cerny:</t>
        </r>
        <r>
          <rPr>
            <sz val="9"/>
            <color indexed="81"/>
            <rFont val="Tahoma"/>
            <charset val="1"/>
          </rPr>
          <t xml:space="preserve">
Empty category, only because of the resetting of sectors that do not play a role in this technology, in the new production function in "opex_det".</t>
        </r>
      </text>
    </comment>
    <comment ref="G183" authorId="0" shapeId="0">
      <text>
        <r>
          <rPr>
            <b/>
            <sz val="9"/>
            <color indexed="81"/>
            <rFont val="Tahoma"/>
            <charset val="1"/>
          </rPr>
          <t>Cerny:</t>
        </r>
        <r>
          <rPr>
            <sz val="9"/>
            <color indexed="81"/>
            <rFont val="Tahoma"/>
            <charset val="1"/>
          </rPr>
          <t xml:space="preserve">
Not applicable</t>
        </r>
      </text>
    </comment>
    <comment ref="K183" authorId="0" shapeId="0">
      <text>
        <r>
          <rPr>
            <b/>
            <sz val="9"/>
            <color indexed="81"/>
            <rFont val="Tahoma"/>
            <charset val="1"/>
          </rPr>
          <t>Cerny:</t>
        </r>
        <r>
          <rPr>
            <sz val="9"/>
            <color indexed="81"/>
            <rFont val="Tahoma"/>
            <charset val="1"/>
          </rPr>
          <t xml:space="preserve">
Since the sector is not represented in any other opex item for this technology (=is not modeled), it is assumed that the original technical coefficient is not related to the operation of this technology and thus remains constant (not reset to zero). The share must thus correspond to the original technical coefficient, which is not related to the opex item.</t>
        </r>
      </text>
    </comment>
    <comment ref="G184" authorId="0" shapeId="0">
      <text>
        <r>
          <rPr>
            <b/>
            <sz val="9"/>
            <color indexed="81"/>
            <rFont val="Tahoma"/>
            <charset val="1"/>
          </rPr>
          <t>Cerny:</t>
        </r>
        <r>
          <rPr>
            <sz val="9"/>
            <color indexed="81"/>
            <rFont val="Tahoma"/>
            <charset val="1"/>
          </rPr>
          <t xml:space="preserve">
Not applicable</t>
        </r>
      </text>
    </comment>
    <comment ref="K184" authorId="0" shapeId="0">
      <text>
        <r>
          <rPr>
            <b/>
            <sz val="9"/>
            <color indexed="81"/>
            <rFont val="Tahoma"/>
            <charset val="1"/>
          </rPr>
          <t>Cerny:</t>
        </r>
        <r>
          <rPr>
            <sz val="9"/>
            <color indexed="81"/>
            <rFont val="Tahoma"/>
            <charset val="1"/>
          </rPr>
          <t xml:space="preserve">
Since the sector is not represented in any other opex item for this technology (=is not modeled), it is assumed that the original technical coefficient is not related to the operation of this technology and thus remains constant (not reset to zero). The share must thus correspond to the original technical coefficient, which is not related to the opex item.</t>
        </r>
      </text>
    </comment>
    <comment ref="G185" authorId="0" shapeId="0">
      <text>
        <r>
          <rPr>
            <b/>
            <sz val="9"/>
            <color indexed="81"/>
            <rFont val="Tahoma"/>
            <charset val="1"/>
          </rPr>
          <t>Cerny:</t>
        </r>
        <r>
          <rPr>
            <sz val="9"/>
            <color indexed="81"/>
            <rFont val="Tahoma"/>
            <charset val="1"/>
          </rPr>
          <t xml:space="preserve">
Not applicable</t>
        </r>
      </text>
    </comment>
    <comment ref="K185" authorId="0" shapeId="0">
      <text>
        <r>
          <rPr>
            <b/>
            <sz val="9"/>
            <color indexed="81"/>
            <rFont val="Tahoma"/>
            <charset val="1"/>
          </rPr>
          <t>Cerny:</t>
        </r>
        <r>
          <rPr>
            <sz val="9"/>
            <color indexed="81"/>
            <rFont val="Tahoma"/>
            <charset val="1"/>
          </rPr>
          <t xml:space="preserve">
Since the sector is not represented in any other opex item for this technology (=is not modeled), it is assumed that the original technical coefficient is not related to the operation of this technology and thus remains constant (not reset to zero). The share must thus correspond to the original technical coefficient, which is not related to the opex item.</t>
        </r>
      </text>
    </comment>
    <comment ref="G186" authorId="0" shapeId="0">
      <text>
        <r>
          <rPr>
            <b/>
            <sz val="9"/>
            <color indexed="81"/>
            <rFont val="Tahoma"/>
            <charset val="1"/>
          </rPr>
          <t>Cerny:</t>
        </r>
        <r>
          <rPr>
            <sz val="9"/>
            <color indexed="81"/>
            <rFont val="Tahoma"/>
            <charset val="1"/>
          </rPr>
          <t xml:space="preserve">
Not applicable</t>
        </r>
      </text>
    </comment>
    <comment ref="G187" authorId="0" shapeId="0">
      <text>
        <r>
          <rPr>
            <b/>
            <sz val="9"/>
            <color indexed="81"/>
            <rFont val="Tahoma"/>
            <charset val="1"/>
          </rPr>
          <t>Cerny:</t>
        </r>
        <r>
          <rPr>
            <sz val="9"/>
            <color indexed="81"/>
            <rFont val="Tahoma"/>
            <charset val="1"/>
          </rPr>
          <t xml:space="preserve">
Not applicable</t>
        </r>
      </text>
    </comment>
    <comment ref="G188" authorId="0" shapeId="0">
      <text>
        <r>
          <rPr>
            <b/>
            <sz val="9"/>
            <color indexed="81"/>
            <rFont val="Tahoma"/>
            <charset val="1"/>
          </rPr>
          <t>Cerny:</t>
        </r>
        <r>
          <rPr>
            <sz val="9"/>
            <color indexed="81"/>
            <rFont val="Tahoma"/>
            <charset val="1"/>
          </rPr>
          <t xml:space="preserve">
Not applicable</t>
        </r>
      </text>
    </comment>
    <comment ref="J204" authorId="0" shapeId="0">
      <text>
        <r>
          <rPr>
            <b/>
            <sz val="9"/>
            <color indexed="81"/>
            <rFont val="Tahoma"/>
            <charset val="1"/>
          </rPr>
          <t>Cerny:</t>
        </r>
        <r>
          <rPr>
            <sz val="9"/>
            <color indexed="81"/>
            <rFont val="Tahoma"/>
            <charset val="1"/>
          </rPr>
          <t xml:space="preserve">
Sum of unique sectors</t>
        </r>
      </text>
    </comment>
    <comment ref="K204" authorId="0" shapeId="0">
      <text>
        <r>
          <rPr>
            <b/>
            <sz val="9"/>
            <color indexed="81"/>
            <rFont val="Tahoma"/>
            <charset val="1"/>
          </rPr>
          <t>Cerny:</t>
        </r>
        <r>
          <rPr>
            <sz val="9"/>
            <color indexed="81"/>
            <rFont val="Tahoma"/>
            <charset val="1"/>
          </rPr>
          <t xml:space="preserve">
Sum of unique sectors</t>
        </r>
      </text>
    </comment>
    <comment ref="M204" authorId="0" shapeId="0">
      <text>
        <r>
          <rPr>
            <b/>
            <sz val="9"/>
            <color indexed="81"/>
            <rFont val="Tahoma"/>
            <charset val="1"/>
          </rPr>
          <t>Cerny:</t>
        </r>
        <r>
          <rPr>
            <sz val="9"/>
            <color indexed="81"/>
            <rFont val="Tahoma"/>
            <charset val="1"/>
          </rPr>
          <t xml:space="preserve">
Sum of unique sectors</t>
        </r>
      </text>
    </comment>
    <comment ref="E224" authorId="0" shapeId="0">
      <text>
        <r>
          <rPr>
            <b/>
            <sz val="9"/>
            <color indexed="81"/>
            <rFont val="Tahoma"/>
            <charset val="1"/>
          </rPr>
          <t>Cerny:</t>
        </r>
        <r>
          <rPr>
            <sz val="9"/>
            <color indexed="81"/>
            <rFont val="Tahoma"/>
            <charset val="1"/>
          </rPr>
          <t xml:space="preserve">
Due to the absence of any CCS opex item in the original technology and therefore in the original production function, the cost share is inserted directly (the coefficient of change cannot be calculated).</t>
        </r>
      </text>
    </comment>
    <comment ref="E228" authorId="0" shapeId="0">
      <text>
        <r>
          <rPr>
            <b/>
            <sz val="9"/>
            <color indexed="81"/>
            <rFont val="Tahoma"/>
            <charset val="1"/>
          </rPr>
          <t>Cerny:</t>
        </r>
        <r>
          <rPr>
            <sz val="9"/>
            <color indexed="81"/>
            <rFont val="Tahoma"/>
            <charset val="1"/>
          </rPr>
          <t xml:space="preserve">
Empty category, only because of the resetting of sectors that do not play a role in this technology, in the new production function in "opex_det".</t>
        </r>
      </text>
    </comment>
    <comment ref="G228" authorId="0" shapeId="0">
      <text>
        <r>
          <rPr>
            <b/>
            <sz val="9"/>
            <color indexed="81"/>
            <rFont val="Tahoma"/>
            <charset val="1"/>
          </rPr>
          <t>Cerny:</t>
        </r>
        <r>
          <rPr>
            <sz val="9"/>
            <color indexed="81"/>
            <rFont val="Tahoma"/>
            <charset val="1"/>
          </rPr>
          <t xml:space="preserve">
Not applicable</t>
        </r>
      </text>
    </comment>
    <comment ref="K228" authorId="0" shapeId="0">
      <text>
        <r>
          <rPr>
            <b/>
            <sz val="9"/>
            <color indexed="81"/>
            <rFont val="Tahoma"/>
            <charset val="1"/>
          </rPr>
          <t>Cerny:</t>
        </r>
        <r>
          <rPr>
            <sz val="9"/>
            <color indexed="81"/>
            <rFont val="Tahoma"/>
            <charset val="1"/>
          </rPr>
          <t xml:space="preserve">
Since the sector is not represented in any other opex item for this technology (=is not modeled), it is assumed that the original technical coefficient is not related to the operation of this technology and thus remains constant (not reset to zero). The share must thus correspond to the original technical coefficient, which is not related to the opex item.</t>
        </r>
      </text>
    </comment>
    <comment ref="G229" authorId="0" shapeId="0">
      <text>
        <r>
          <rPr>
            <b/>
            <sz val="9"/>
            <color indexed="81"/>
            <rFont val="Tahoma"/>
            <charset val="1"/>
          </rPr>
          <t>Cerny:</t>
        </r>
        <r>
          <rPr>
            <sz val="9"/>
            <color indexed="81"/>
            <rFont val="Tahoma"/>
            <charset val="1"/>
          </rPr>
          <t xml:space="preserve">
Not applicable</t>
        </r>
      </text>
    </comment>
    <comment ref="K229" authorId="0" shapeId="0">
      <text>
        <r>
          <rPr>
            <b/>
            <sz val="9"/>
            <color indexed="81"/>
            <rFont val="Tahoma"/>
            <charset val="1"/>
          </rPr>
          <t>Cerny:</t>
        </r>
        <r>
          <rPr>
            <sz val="9"/>
            <color indexed="81"/>
            <rFont val="Tahoma"/>
            <charset val="1"/>
          </rPr>
          <t xml:space="preserve">
Since the sector is not represented in any other opex item for this technology (=is not modeled), it is assumed that the original technical coefficient is not related to the operation of this technology and thus remains constant (not reset to zero). The share must thus correspond to the original technical coefficient, which is not related to the opex item.</t>
        </r>
      </text>
    </comment>
    <comment ref="G230" authorId="0" shapeId="0">
      <text>
        <r>
          <rPr>
            <b/>
            <sz val="9"/>
            <color indexed="81"/>
            <rFont val="Tahoma"/>
            <charset val="1"/>
          </rPr>
          <t>Cerny:</t>
        </r>
        <r>
          <rPr>
            <sz val="9"/>
            <color indexed="81"/>
            <rFont val="Tahoma"/>
            <charset val="1"/>
          </rPr>
          <t xml:space="preserve">
Not applicable</t>
        </r>
      </text>
    </comment>
    <comment ref="K230" authorId="0" shapeId="0">
      <text>
        <r>
          <rPr>
            <b/>
            <sz val="9"/>
            <color indexed="81"/>
            <rFont val="Tahoma"/>
            <charset val="1"/>
          </rPr>
          <t>Cerny:</t>
        </r>
        <r>
          <rPr>
            <sz val="9"/>
            <color indexed="81"/>
            <rFont val="Tahoma"/>
            <charset val="1"/>
          </rPr>
          <t xml:space="preserve">
Since the sector is not represented in any other opex item for this technology (=is not modeled), it is assumed that the original technical coefficient is not related to the operation of this technology and thus remains constant (not reset to zero). The share must thus correspond to the original technical coefficient, which is not related to the opex item.</t>
        </r>
      </text>
    </comment>
    <comment ref="G231" authorId="0" shapeId="0">
      <text>
        <r>
          <rPr>
            <b/>
            <sz val="9"/>
            <color indexed="81"/>
            <rFont val="Tahoma"/>
            <charset val="1"/>
          </rPr>
          <t>Cerny:</t>
        </r>
        <r>
          <rPr>
            <sz val="9"/>
            <color indexed="81"/>
            <rFont val="Tahoma"/>
            <charset val="1"/>
          </rPr>
          <t xml:space="preserve">
Not applicable</t>
        </r>
      </text>
    </comment>
    <comment ref="G232" authorId="0" shapeId="0">
      <text>
        <r>
          <rPr>
            <b/>
            <sz val="9"/>
            <color indexed="81"/>
            <rFont val="Tahoma"/>
            <charset val="1"/>
          </rPr>
          <t>Cerny:</t>
        </r>
        <r>
          <rPr>
            <sz val="9"/>
            <color indexed="81"/>
            <rFont val="Tahoma"/>
            <charset val="1"/>
          </rPr>
          <t xml:space="preserve">
Not applicable</t>
        </r>
      </text>
    </comment>
    <comment ref="G233" authorId="0" shapeId="0">
      <text>
        <r>
          <rPr>
            <b/>
            <sz val="9"/>
            <color indexed="81"/>
            <rFont val="Tahoma"/>
            <charset val="1"/>
          </rPr>
          <t>Cerny:</t>
        </r>
        <r>
          <rPr>
            <sz val="9"/>
            <color indexed="81"/>
            <rFont val="Tahoma"/>
            <charset val="1"/>
          </rPr>
          <t xml:space="preserve">
Not applicable</t>
        </r>
      </text>
    </comment>
    <comment ref="J249" authorId="0" shapeId="0">
      <text>
        <r>
          <rPr>
            <b/>
            <sz val="9"/>
            <color indexed="81"/>
            <rFont val="Tahoma"/>
            <charset val="1"/>
          </rPr>
          <t>Cerny:</t>
        </r>
        <r>
          <rPr>
            <sz val="9"/>
            <color indexed="81"/>
            <rFont val="Tahoma"/>
            <charset val="1"/>
          </rPr>
          <t xml:space="preserve">
Sum of unique sectors</t>
        </r>
      </text>
    </comment>
    <comment ref="K249" authorId="0" shapeId="0">
      <text>
        <r>
          <rPr>
            <b/>
            <sz val="9"/>
            <color indexed="81"/>
            <rFont val="Tahoma"/>
            <charset val="1"/>
          </rPr>
          <t>Cerny:</t>
        </r>
        <r>
          <rPr>
            <sz val="9"/>
            <color indexed="81"/>
            <rFont val="Tahoma"/>
            <charset val="1"/>
          </rPr>
          <t xml:space="preserve">
Sum of unique sectors</t>
        </r>
      </text>
    </comment>
    <comment ref="M249" authorId="0" shapeId="0">
      <text>
        <r>
          <rPr>
            <b/>
            <sz val="9"/>
            <color indexed="81"/>
            <rFont val="Tahoma"/>
            <charset val="1"/>
          </rPr>
          <t>Cerny:</t>
        </r>
        <r>
          <rPr>
            <sz val="9"/>
            <color indexed="81"/>
            <rFont val="Tahoma"/>
            <charset val="1"/>
          </rPr>
          <t xml:space="preserve">
Sum of unique sectors</t>
        </r>
      </text>
    </comment>
    <comment ref="E269" authorId="0" shapeId="0">
      <text>
        <r>
          <rPr>
            <b/>
            <sz val="9"/>
            <color indexed="81"/>
            <rFont val="Tahoma"/>
            <family val="2"/>
            <charset val="238"/>
          </rPr>
          <t>Cerny:</t>
        </r>
        <r>
          <rPr>
            <sz val="9"/>
            <color indexed="81"/>
            <rFont val="Tahoma"/>
            <family val="2"/>
            <charset val="238"/>
          </rPr>
          <t xml:space="preserve">
Empty category, only because of the resetting of sectors that do not play a role in this technology, in the new production function in "opex_det".</t>
        </r>
      </text>
    </comment>
    <comment ref="G269" authorId="0" shapeId="0">
      <text>
        <r>
          <rPr>
            <b/>
            <sz val="9"/>
            <color indexed="81"/>
            <rFont val="Tahoma"/>
            <charset val="1"/>
          </rPr>
          <t>Cerny:</t>
        </r>
        <r>
          <rPr>
            <sz val="9"/>
            <color indexed="81"/>
            <rFont val="Tahoma"/>
            <charset val="1"/>
          </rPr>
          <t xml:space="preserve">
Not applicable</t>
        </r>
      </text>
    </comment>
    <comment ref="G270" authorId="0" shapeId="0">
      <text>
        <r>
          <rPr>
            <b/>
            <sz val="9"/>
            <color indexed="81"/>
            <rFont val="Tahoma"/>
            <charset val="1"/>
          </rPr>
          <t>Cerny:</t>
        </r>
        <r>
          <rPr>
            <sz val="9"/>
            <color indexed="81"/>
            <rFont val="Tahoma"/>
            <charset val="1"/>
          </rPr>
          <t xml:space="preserve">
Not applicable</t>
        </r>
      </text>
    </comment>
    <comment ref="G271" authorId="0" shapeId="0">
      <text>
        <r>
          <rPr>
            <b/>
            <sz val="9"/>
            <color indexed="81"/>
            <rFont val="Tahoma"/>
            <charset val="1"/>
          </rPr>
          <t>Cerny:</t>
        </r>
        <r>
          <rPr>
            <sz val="9"/>
            <color indexed="81"/>
            <rFont val="Tahoma"/>
            <charset val="1"/>
          </rPr>
          <t xml:space="preserve">
Not applicable</t>
        </r>
      </text>
    </comment>
    <comment ref="G272" authorId="0" shapeId="0">
      <text>
        <r>
          <rPr>
            <b/>
            <sz val="9"/>
            <color indexed="81"/>
            <rFont val="Tahoma"/>
            <charset val="1"/>
          </rPr>
          <t>Cerny:</t>
        </r>
        <r>
          <rPr>
            <sz val="9"/>
            <color indexed="81"/>
            <rFont val="Tahoma"/>
            <charset val="1"/>
          </rPr>
          <t xml:space="preserve">
Not applicable</t>
        </r>
      </text>
    </comment>
    <comment ref="E273" authorId="0" shapeId="0">
      <text>
        <r>
          <rPr>
            <b/>
            <sz val="9"/>
            <color indexed="81"/>
            <rFont val="Tahoma"/>
            <charset val="1"/>
          </rPr>
          <t>Cerny:</t>
        </r>
        <r>
          <rPr>
            <sz val="9"/>
            <color indexed="81"/>
            <rFont val="Tahoma"/>
            <charset val="1"/>
          </rPr>
          <t xml:space="preserve">
Due to the absence of any Biomass opex item in the original technology and therefore in the original production function, the cost share is inserted directly (the coefficient of change cannot be calculated).</t>
        </r>
      </text>
    </comment>
    <comment ref="K273" authorId="0" shapeId="0">
      <text>
        <r>
          <rPr>
            <b/>
            <sz val="9"/>
            <color indexed="81"/>
            <rFont val="Tahoma"/>
            <charset val="1"/>
          </rPr>
          <t>Cerny:</t>
        </r>
        <r>
          <rPr>
            <sz val="9"/>
            <color indexed="81"/>
            <rFont val="Tahoma"/>
            <charset val="1"/>
          </rPr>
          <t xml:space="preserve">
Original technical coefficient assumed to be unrelated to the share of Biomass opex item (see other technologies) and to the operation of this technology remains constant and is added to the overall share (technical coefficient) of this sector.</t>
        </r>
      </text>
    </comment>
    <comment ref="K274" authorId="0" shapeId="0">
      <text>
        <r>
          <rPr>
            <b/>
            <sz val="9"/>
            <color indexed="81"/>
            <rFont val="Tahoma"/>
            <charset val="1"/>
          </rPr>
          <t>Cerny:</t>
        </r>
        <r>
          <rPr>
            <sz val="9"/>
            <color indexed="81"/>
            <rFont val="Tahoma"/>
            <charset val="1"/>
          </rPr>
          <t xml:space="preserve">
Original technical coefficient assumed to be unrelated to the share of Biomass opex item (see other technologies) and to the operation of this technology remains constant and is added to the overall share (technical coefficient) of this sector.</t>
        </r>
      </text>
    </comment>
    <comment ref="K275" authorId="0" shapeId="0">
      <text>
        <r>
          <rPr>
            <b/>
            <sz val="9"/>
            <color indexed="81"/>
            <rFont val="Tahoma"/>
            <charset val="1"/>
          </rPr>
          <t>Cerny:</t>
        </r>
        <r>
          <rPr>
            <sz val="9"/>
            <color indexed="81"/>
            <rFont val="Tahoma"/>
            <charset val="1"/>
          </rPr>
          <t xml:space="preserve">
Original technical coefficient assumed to be unrelated to the share of Biomass opex item (see other technologies) and to the operation of this technology remains constant and is added to the overall share (technical coefficient) of this sector.</t>
        </r>
      </text>
    </comment>
    <comment ref="E279" authorId="0" shapeId="0">
      <text>
        <r>
          <rPr>
            <b/>
            <sz val="9"/>
            <color indexed="81"/>
            <rFont val="Tahoma"/>
            <family val="2"/>
            <charset val="238"/>
          </rPr>
          <t>Cerny:</t>
        </r>
        <r>
          <rPr>
            <sz val="9"/>
            <color indexed="81"/>
            <rFont val="Tahoma"/>
            <family val="2"/>
            <charset val="238"/>
          </rPr>
          <t xml:space="preserve">
Empty category, only because of the resetting of sectors that do not play a role in this technology, in the new production function in "opex_det".</t>
        </r>
      </text>
    </comment>
    <comment ref="G279" authorId="0" shapeId="0">
      <text>
        <r>
          <rPr>
            <b/>
            <sz val="9"/>
            <color indexed="81"/>
            <rFont val="Tahoma"/>
            <charset val="1"/>
          </rPr>
          <t>Cerny:</t>
        </r>
        <r>
          <rPr>
            <sz val="9"/>
            <color indexed="81"/>
            <rFont val="Tahoma"/>
            <charset val="1"/>
          </rPr>
          <t xml:space="preserve">
Not applicable</t>
        </r>
      </text>
    </comment>
    <comment ref="G280" authorId="0" shapeId="0">
      <text>
        <r>
          <rPr>
            <b/>
            <sz val="9"/>
            <color indexed="81"/>
            <rFont val="Tahoma"/>
            <charset val="1"/>
          </rPr>
          <t>Cerny:</t>
        </r>
        <r>
          <rPr>
            <sz val="9"/>
            <color indexed="81"/>
            <rFont val="Tahoma"/>
            <charset val="1"/>
          </rPr>
          <t xml:space="preserve">
Not applicable</t>
        </r>
      </text>
    </comment>
    <comment ref="G281" authorId="0" shapeId="0">
      <text>
        <r>
          <rPr>
            <b/>
            <sz val="9"/>
            <color indexed="81"/>
            <rFont val="Tahoma"/>
            <charset val="1"/>
          </rPr>
          <t>Cerny:</t>
        </r>
        <r>
          <rPr>
            <sz val="9"/>
            <color indexed="81"/>
            <rFont val="Tahoma"/>
            <charset val="1"/>
          </rPr>
          <t xml:space="preserve">
Not applicable</t>
        </r>
      </text>
    </comment>
    <comment ref="G282" authorId="0" shapeId="0">
      <text>
        <r>
          <rPr>
            <b/>
            <sz val="9"/>
            <color indexed="81"/>
            <rFont val="Tahoma"/>
            <charset val="1"/>
          </rPr>
          <t>Cerny:</t>
        </r>
        <r>
          <rPr>
            <sz val="9"/>
            <color indexed="81"/>
            <rFont val="Tahoma"/>
            <charset val="1"/>
          </rPr>
          <t xml:space="preserve">
Not applicable</t>
        </r>
      </text>
    </comment>
    <comment ref="G283" authorId="0" shapeId="0">
      <text>
        <r>
          <rPr>
            <b/>
            <sz val="9"/>
            <color indexed="81"/>
            <rFont val="Tahoma"/>
            <charset val="1"/>
          </rPr>
          <t>Cerny:</t>
        </r>
        <r>
          <rPr>
            <sz val="9"/>
            <color indexed="81"/>
            <rFont val="Tahoma"/>
            <charset val="1"/>
          </rPr>
          <t xml:space="preserve">
Not applicable</t>
        </r>
      </text>
    </comment>
    <comment ref="G284" authorId="0" shapeId="0">
      <text>
        <r>
          <rPr>
            <b/>
            <sz val="9"/>
            <color indexed="81"/>
            <rFont val="Tahoma"/>
            <charset val="1"/>
          </rPr>
          <t>Cerny:</t>
        </r>
        <r>
          <rPr>
            <sz val="9"/>
            <color indexed="81"/>
            <rFont val="Tahoma"/>
            <charset val="1"/>
          </rPr>
          <t xml:space="preserve">
Not applicable</t>
        </r>
      </text>
    </comment>
    <comment ref="J294" authorId="0" shapeId="0">
      <text>
        <r>
          <rPr>
            <b/>
            <sz val="9"/>
            <color indexed="81"/>
            <rFont val="Tahoma"/>
            <charset val="1"/>
          </rPr>
          <t>Cerny:</t>
        </r>
        <r>
          <rPr>
            <sz val="9"/>
            <color indexed="81"/>
            <rFont val="Tahoma"/>
            <charset val="1"/>
          </rPr>
          <t xml:space="preserve">
Sum of unique sectors</t>
        </r>
      </text>
    </comment>
    <comment ref="K294" authorId="0" shapeId="0">
      <text>
        <r>
          <rPr>
            <b/>
            <sz val="9"/>
            <color indexed="81"/>
            <rFont val="Tahoma"/>
            <charset val="1"/>
          </rPr>
          <t>Cerny:</t>
        </r>
        <r>
          <rPr>
            <sz val="9"/>
            <color indexed="81"/>
            <rFont val="Tahoma"/>
            <charset val="1"/>
          </rPr>
          <t xml:space="preserve">
Sum of unique sectors</t>
        </r>
      </text>
    </comment>
    <comment ref="M294" authorId="0" shapeId="0">
      <text>
        <r>
          <rPr>
            <b/>
            <sz val="9"/>
            <color indexed="81"/>
            <rFont val="Tahoma"/>
            <charset val="1"/>
          </rPr>
          <t>Cerny:</t>
        </r>
        <r>
          <rPr>
            <sz val="9"/>
            <color indexed="81"/>
            <rFont val="Tahoma"/>
            <charset val="1"/>
          </rPr>
          <t xml:space="preserve">
Sum of unique sectors</t>
        </r>
      </text>
    </comment>
    <comment ref="F311" authorId="0" shapeId="0">
      <text>
        <r>
          <rPr>
            <b/>
            <sz val="9"/>
            <color indexed="81"/>
            <rFont val="Tahoma"/>
            <charset val="1"/>
          </rPr>
          <t>Cerny:</t>
        </r>
        <r>
          <rPr>
            <sz val="9"/>
            <color indexed="81"/>
            <rFont val="Tahoma"/>
            <charset val="1"/>
          </rPr>
          <t xml:space="preserve">
Note - coal included as the original opex is much stronger than gas and coal is also used as a fuel there</t>
        </r>
      </text>
    </comment>
    <comment ref="E314" authorId="0" shapeId="0">
      <text>
        <r>
          <rPr>
            <b/>
            <sz val="9"/>
            <color indexed="81"/>
            <rFont val="Tahoma"/>
            <family val="2"/>
            <charset val="238"/>
          </rPr>
          <t>Cerny:</t>
        </r>
        <r>
          <rPr>
            <sz val="9"/>
            <color indexed="81"/>
            <rFont val="Tahoma"/>
            <family val="2"/>
            <charset val="238"/>
          </rPr>
          <t xml:space="preserve">
Empty category, only because of the resetting of sectors that do not play a role in this technology, in the new production function in "opex_det".</t>
        </r>
      </text>
    </comment>
    <comment ref="G314" authorId="0" shapeId="0">
      <text>
        <r>
          <rPr>
            <b/>
            <sz val="9"/>
            <color indexed="81"/>
            <rFont val="Tahoma"/>
            <charset val="1"/>
          </rPr>
          <t>Cerny:</t>
        </r>
        <r>
          <rPr>
            <sz val="9"/>
            <color indexed="81"/>
            <rFont val="Tahoma"/>
            <charset val="1"/>
          </rPr>
          <t xml:space="preserve">
Not applicable</t>
        </r>
      </text>
    </comment>
    <comment ref="E315"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16"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17"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18"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19"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20"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21"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22"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23"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24"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25"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26"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27"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28"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J330" authorId="0" shapeId="0">
      <text>
        <r>
          <rPr>
            <b/>
            <sz val="9"/>
            <color indexed="81"/>
            <rFont val="Tahoma"/>
            <charset val="1"/>
          </rPr>
          <t>Cerny:</t>
        </r>
        <r>
          <rPr>
            <sz val="9"/>
            <color indexed="81"/>
            <rFont val="Tahoma"/>
            <charset val="1"/>
          </rPr>
          <t xml:space="preserve">
Sum of unique sectors</t>
        </r>
      </text>
    </comment>
    <comment ref="K330" authorId="0" shapeId="0">
      <text>
        <r>
          <rPr>
            <b/>
            <sz val="9"/>
            <color indexed="81"/>
            <rFont val="Tahoma"/>
            <charset val="1"/>
          </rPr>
          <t>Cerny:</t>
        </r>
        <r>
          <rPr>
            <sz val="9"/>
            <color indexed="81"/>
            <rFont val="Tahoma"/>
            <charset val="1"/>
          </rPr>
          <t xml:space="preserve">
Sum of unique sectors</t>
        </r>
      </text>
    </comment>
    <comment ref="M330" authorId="0" shapeId="0">
      <text>
        <r>
          <rPr>
            <b/>
            <sz val="9"/>
            <color indexed="81"/>
            <rFont val="Tahoma"/>
            <charset val="1"/>
          </rPr>
          <t>Cerny:</t>
        </r>
        <r>
          <rPr>
            <sz val="9"/>
            <color indexed="81"/>
            <rFont val="Tahoma"/>
            <charset val="1"/>
          </rPr>
          <t xml:space="preserve">
Sum of unique sectors</t>
        </r>
      </text>
    </comment>
    <comment ref="E347" authorId="0" shapeId="0">
      <text>
        <r>
          <rPr>
            <b/>
            <sz val="9"/>
            <color indexed="81"/>
            <rFont val="Tahoma"/>
            <family val="2"/>
            <charset val="238"/>
          </rPr>
          <t>Cerny:</t>
        </r>
        <r>
          <rPr>
            <sz val="9"/>
            <color indexed="81"/>
            <rFont val="Tahoma"/>
            <family val="2"/>
            <charset val="238"/>
          </rPr>
          <t xml:space="preserve">
Empty category, only because of the resetting of sectors that do not play a role in this technology, in the new production function in "opex_det".</t>
        </r>
      </text>
    </comment>
    <comment ref="F347" authorId="0" shapeId="0">
      <text>
        <r>
          <rPr>
            <b/>
            <sz val="9"/>
            <color indexed="81"/>
            <rFont val="Tahoma"/>
            <charset val="1"/>
          </rPr>
          <t>Cerny:</t>
        </r>
        <r>
          <rPr>
            <sz val="9"/>
            <color indexed="81"/>
            <rFont val="Tahoma"/>
            <charset val="1"/>
          </rPr>
          <t xml:space="preserve">
Note - coal included as the original opex is much stronger than gas and coal is also used as a fuel there</t>
        </r>
      </text>
    </comment>
    <comment ref="G347" authorId="0" shapeId="0">
      <text>
        <r>
          <rPr>
            <b/>
            <sz val="9"/>
            <color indexed="81"/>
            <rFont val="Tahoma"/>
            <charset val="1"/>
          </rPr>
          <t>Cerny:</t>
        </r>
        <r>
          <rPr>
            <sz val="9"/>
            <color indexed="81"/>
            <rFont val="Tahoma"/>
            <charset val="1"/>
          </rPr>
          <t xml:space="preserve">
Not applicable</t>
        </r>
      </text>
    </comment>
    <comment ref="G348" authorId="0" shapeId="0">
      <text>
        <r>
          <rPr>
            <b/>
            <sz val="9"/>
            <color indexed="81"/>
            <rFont val="Tahoma"/>
            <charset val="1"/>
          </rPr>
          <t>Cerny:</t>
        </r>
        <r>
          <rPr>
            <sz val="9"/>
            <color indexed="81"/>
            <rFont val="Tahoma"/>
            <charset val="1"/>
          </rPr>
          <t xml:space="preserve">
Not applicable</t>
        </r>
      </text>
    </comment>
    <comment ref="G349" authorId="0" shapeId="0">
      <text>
        <r>
          <rPr>
            <b/>
            <sz val="9"/>
            <color indexed="81"/>
            <rFont val="Tahoma"/>
            <charset val="1"/>
          </rPr>
          <t>Cerny:</t>
        </r>
        <r>
          <rPr>
            <sz val="9"/>
            <color indexed="81"/>
            <rFont val="Tahoma"/>
            <charset val="1"/>
          </rPr>
          <t xml:space="preserve">
Not applicable</t>
        </r>
      </text>
    </comment>
    <comment ref="E350" authorId="0" shapeId="0">
      <text>
        <r>
          <rPr>
            <b/>
            <sz val="9"/>
            <color indexed="81"/>
            <rFont val="Tahoma"/>
            <charset val="1"/>
          </rPr>
          <t>Cerny:</t>
        </r>
        <r>
          <rPr>
            <sz val="9"/>
            <color indexed="81"/>
            <rFont val="Tahoma"/>
            <charset val="1"/>
          </rPr>
          <t xml:space="preserve">
Due to the absence of any Hydrogen opex item in the original technology and therefore in the original production function, the cost share is inserted directly (the coefficient of change cannot be calculated).</t>
        </r>
      </text>
    </comment>
    <comment ref="E351"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52"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53"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54"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55"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56"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57"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58"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59"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60"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61"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62"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63"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E364"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J366" authorId="0" shapeId="0">
      <text>
        <r>
          <rPr>
            <b/>
            <sz val="9"/>
            <color indexed="81"/>
            <rFont val="Tahoma"/>
            <charset val="1"/>
          </rPr>
          <t>Cerny:</t>
        </r>
        <r>
          <rPr>
            <sz val="9"/>
            <color indexed="81"/>
            <rFont val="Tahoma"/>
            <charset val="1"/>
          </rPr>
          <t xml:space="preserve">
Sum of unique sectors</t>
        </r>
      </text>
    </comment>
    <comment ref="K366" authorId="0" shapeId="0">
      <text>
        <r>
          <rPr>
            <b/>
            <sz val="9"/>
            <color indexed="81"/>
            <rFont val="Tahoma"/>
            <charset val="1"/>
          </rPr>
          <t>Cerny:</t>
        </r>
        <r>
          <rPr>
            <sz val="9"/>
            <color indexed="81"/>
            <rFont val="Tahoma"/>
            <charset val="1"/>
          </rPr>
          <t xml:space="preserve">
Sum of unique sectors</t>
        </r>
      </text>
    </comment>
    <comment ref="M366" authorId="0" shapeId="0">
      <text>
        <r>
          <rPr>
            <b/>
            <sz val="9"/>
            <color indexed="81"/>
            <rFont val="Tahoma"/>
            <charset val="1"/>
          </rPr>
          <t>Cerny:</t>
        </r>
        <r>
          <rPr>
            <sz val="9"/>
            <color indexed="81"/>
            <rFont val="Tahoma"/>
            <charset val="1"/>
          </rPr>
          <t xml:space="preserve">
Sum of unique sectors</t>
        </r>
      </text>
    </comment>
    <comment ref="D36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6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6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7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7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72"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7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7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7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7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7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7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7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8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8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82"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38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83" authorId="0" shapeId="0">
      <text>
        <r>
          <rPr>
            <b/>
            <sz val="9"/>
            <color indexed="81"/>
            <rFont val="Tahoma"/>
            <family val="2"/>
            <charset val="238"/>
          </rPr>
          <t>Cerny:</t>
        </r>
        <r>
          <rPr>
            <sz val="9"/>
            <color indexed="81"/>
            <rFont val="Tahoma"/>
            <family val="2"/>
            <charset val="238"/>
          </rPr>
          <t xml:space="preserve">
Empty category, only because of the resetting of sectors that do not play a role in this technology, in the new production function in "opex_det".</t>
        </r>
      </text>
    </comment>
    <comment ref="F383" authorId="0" shapeId="0">
      <text>
        <r>
          <rPr>
            <b/>
            <sz val="9"/>
            <color indexed="81"/>
            <rFont val="Tahoma"/>
            <charset val="1"/>
          </rPr>
          <t>Cerny:</t>
        </r>
        <r>
          <rPr>
            <sz val="9"/>
            <color indexed="81"/>
            <rFont val="Tahoma"/>
            <charset val="1"/>
          </rPr>
          <t xml:space="preserve">
Note - coal included as the original opex is much stronger than gas and coal is also used as a fuel there</t>
        </r>
      </text>
    </comment>
    <comment ref="G383" authorId="0" shapeId="0">
      <text>
        <r>
          <rPr>
            <b/>
            <sz val="9"/>
            <color indexed="81"/>
            <rFont val="Tahoma"/>
            <charset val="1"/>
          </rPr>
          <t>Cerny:</t>
        </r>
        <r>
          <rPr>
            <sz val="9"/>
            <color indexed="81"/>
            <rFont val="Tahoma"/>
            <charset val="1"/>
          </rPr>
          <t xml:space="preserve">
Not applicable</t>
        </r>
      </text>
    </comment>
    <comment ref="D38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G384" authorId="0" shapeId="0">
      <text>
        <r>
          <rPr>
            <b/>
            <sz val="9"/>
            <color indexed="81"/>
            <rFont val="Tahoma"/>
            <charset val="1"/>
          </rPr>
          <t>Cerny:</t>
        </r>
        <r>
          <rPr>
            <sz val="9"/>
            <color indexed="81"/>
            <rFont val="Tahoma"/>
            <charset val="1"/>
          </rPr>
          <t xml:space="preserve">
Not applicable</t>
        </r>
      </text>
    </comment>
    <comment ref="D38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G385" authorId="0" shapeId="0">
      <text>
        <r>
          <rPr>
            <b/>
            <sz val="9"/>
            <color indexed="81"/>
            <rFont val="Tahoma"/>
            <charset val="1"/>
          </rPr>
          <t>Cerny:</t>
        </r>
        <r>
          <rPr>
            <sz val="9"/>
            <color indexed="81"/>
            <rFont val="Tahoma"/>
            <charset val="1"/>
          </rPr>
          <t xml:space="preserve">
Not applicable</t>
        </r>
      </text>
    </comment>
    <comment ref="D38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86" authorId="0" shapeId="0">
      <text>
        <r>
          <rPr>
            <b/>
            <sz val="9"/>
            <color indexed="81"/>
            <rFont val="Tahoma"/>
            <charset val="1"/>
          </rPr>
          <t>Cerny:</t>
        </r>
        <r>
          <rPr>
            <sz val="9"/>
            <color indexed="81"/>
            <rFont val="Tahoma"/>
            <charset val="1"/>
          </rPr>
          <t xml:space="preserve">
Due to the absence of any Hydrogen opex item in the original technology and therefore in the original production function, the cost share is inserted directly (the coefficient of change cannot be calculated).</t>
        </r>
      </text>
    </comment>
    <comment ref="D38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87"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38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88"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38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89"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39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90"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39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91"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392"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92"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39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93"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39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94"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39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95"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39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96"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39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97"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39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98"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39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99"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40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400"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40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401" authorId="0" shapeId="0">
      <text>
        <r>
          <rPr>
            <b/>
            <sz val="9"/>
            <color indexed="81"/>
            <rFont val="Tahoma"/>
            <charset val="1"/>
          </rPr>
          <t>Cerny:</t>
        </r>
        <r>
          <rPr>
            <sz val="9"/>
            <color indexed="81"/>
            <rFont val="Tahoma"/>
            <charset val="1"/>
          </rPr>
          <t xml:space="preserve">
It is not clear what all belongs in the Other opex category - if opex items only focus on the operation of the technology, then labor, finance, and business activities would be besides.</t>
        </r>
      </text>
    </comment>
    <comment ref="D402"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J402" authorId="0" shapeId="0">
      <text>
        <r>
          <rPr>
            <b/>
            <sz val="9"/>
            <color indexed="81"/>
            <rFont val="Tahoma"/>
            <charset val="1"/>
          </rPr>
          <t>Cerny:</t>
        </r>
        <r>
          <rPr>
            <sz val="9"/>
            <color indexed="81"/>
            <rFont val="Tahoma"/>
            <charset val="1"/>
          </rPr>
          <t xml:space="preserve">
Sum of unique sectors</t>
        </r>
      </text>
    </comment>
    <comment ref="K402" authorId="0" shapeId="0">
      <text>
        <r>
          <rPr>
            <b/>
            <sz val="9"/>
            <color indexed="81"/>
            <rFont val="Tahoma"/>
            <charset val="1"/>
          </rPr>
          <t>Cerny:</t>
        </r>
        <r>
          <rPr>
            <sz val="9"/>
            <color indexed="81"/>
            <rFont val="Tahoma"/>
            <charset val="1"/>
          </rPr>
          <t xml:space="preserve">
Sum of unique sectors</t>
        </r>
      </text>
    </comment>
    <comment ref="M402" authorId="0" shapeId="0">
      <text>
        <r>
          <rPr>
            <b/>
            <sz val="9"/>
            <color indexed="81"/>
            <rFont val="Tahoma"/>
            <charset val="1"/>
          </rPr>
          <t>Cerny:</t>
        </r>
        <r>
          <rPr>
            <sz val="9"/>
            <color indexed="81"/>
            <rFont val="Tahoma"/>
            <charset val="1"/>
          </rPr>
          <t xml:space="preserve">
Sum of unique sectors</t>
        </r>
      </text>
    </comment>
    <comment ref="E403" authorId="0" shapeId="0">
      <text>
        <r>
          <rPr>
            <b/>
            <sz val="9"/>
            <color indexed="81"/>
            <rFont val="Tahoma"/>
            <family val="2"/>
            <charset val="238"/>
          </rPr>
          <t>Cerny:</t>
        </r>
        <r>
          <rPr>
            <sz val="9"/>
            <color indexed="81"/>
            <rFont val="Tahoma"/>
            <family val="2"/>
            <charset val="238"/>
          </rPr>
          <t xml:space="preserve">
Empty category, only because of the resetting of sectors that do not play a role in this technology, in the new production function in "opex_det".</t>
        </r>
      </text>
    </comment>
    <comment ref="G403" authorId="0" shapeId="0">
      <text>
        <r>
          <rPr>
            <b/>
            <sz val="9"/>
            <color indexed="81"/>
            <rFont val="Tahoma"/>
            <charset val="1"/>
          </rPr>
          <t>Cerny:</t>
        </r>
        <r>
          <rPr>
            <sz val="9"/>
            <color indexed="81"/>
            <rFont val="Tahoma"/>
            <charset val="1"/>
          </rPr>
          <t xml:space="preserve">
Not applicable</t>
        </r>
      </text>
    </comment>
    <comment ref="G404" authorId="0" shapeId="0">
      <text>
        <r>
          <rPr>
            <b/>
            <sz val="9"/>
            <color indexed="81"/>
            <rFont val="Tahoma"/>
            <charset val="1"/>
          </rPr>
          <t>Cerny:</t>
        </r>
        <r>
          <rPr>
            <sz val="9"/>
            <color indexed="81"/>
            <rFont val="Tahoma"/>
            <charset val="1"/>
          </rPr>
          <t xml:space="preserve">
Not applicable</t>
        </r>
      </text>
    </comment>
    <comment ref="E421" authorId="0" shapeId="0">
      <text>
        <r>
          <rPr>
            <b/>
            <sz val="9"/>
            <color indexed="81"/>
            <rFont val="Tahoma"/>
            <family val="2"/>
            <charset val="238"/>
          </rPr>
          <t>Cerny:</t>
        </r>
        <r>
          <rPr>
            <sz val="9"/>
            <color indexed="81"/>
            <rFont val="Tahoma"/>
            <family val="2"/>
            <charset val="238"/>
          </rPr>
          <t xml:space="preserve">
All sectors whose production is typically associated with cement fuel (regardless of the 0.5% threshold) are included.</t>
        </r>
      </text>
    </comment>
    <comment ref="J456" authorId="0" shapeId="0">
      <text>
        <r>
          <rPr>
            <b/>
            <sz val="9"/>
            <color indexed="81"/>
            <rFont val="Tahoma"/>
            <charset val="1"/>
          </rPr>
          <t>Cerny:</t>
        </r>
        <r>
          <rPr>
            <sz val="9"/>
            <color indexed="81"/>
            <rFont val="Tahoma"/>
            <charset val="1"/>
          </rPr>
          <t xml:space="preserve">
Sum of unique sectors</t>
        </r>
      </text>
    </comment>
    <comment ref="K456" authorId="0" shapeId="0">
      <text>
        <r>
          <rPr>
            <b/>
            <sz val="9"/>
            <color indexed="81"/>
            <rFont val="Tahoma"/>
            <charset val="1"/>
          </rPr>
          <t>Cerny:</t>
        </r>
        <r>
          <rPr>
            <sz val="9"/>
            <color indexed="81"/>
            <rFont val="Tahoma"/>
            <charset val="1"/>
          </rPr>
          <t xml:space="preserve">
Sum of unique sectors</t>
        </r>
      </text>
    </comment>
    <comment ref="M456" authorId="0" shapeId="0">
      <text>
        <r>
          <rPr>
            <b/>
            <sz val="9"/>
            <color indexed="81"/>
            <rFont val="Tahoma"/>
            <charset val="1"/>
          </rPr>
          <t>Cerny:</t>
        </r>
        <r>
          <rPr>
            <sz val="9"/>
            <color indexed="81"/>
            <rFont val="Tahoma"/>
            <charset val="1"/>
          </rPr>
          <t xml:space="preserve">
Sum of unique sectors</t>
        </r>
      </text>
    </comment>
    <comment ref="D45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457" authorId="0" shapeId="0">
      <text>
        <r>
          <rPr>
            <b/>
            <sz val="9"/>
            <color indexed="81"/>
            <rFont val="Tahoma"/>
            <family val="2"/>
            <charset val="238"/>
          </rPr>
          <t>Cerny:</t>
        </r>
        <r>
          <rPr>
            <sz val="9"/>
            <color indexed="81"/>
            <rFont val="Tahoma"/>
            <family val="2"/>
            <charset val="238"/>
          </rPr>
          <t xml:space="preserve">
Due to the absence of any CCS opex item in the original technology and therefore in the original production function, the cost share is inserted directly (the coefficient of change cannot be calculated).</t>
        </r>
      </text>
    </comment>
    <comment ref="D45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5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6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6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62"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6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6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6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6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6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6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6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7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7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72"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7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7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7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475" authorId="0" shapeId="0">
      <text>
        <r>
          <rPr>
            <b/>
            <sz val="9"/>
            <color indexed="81"/>
            <rFont val="Tahoma"/>
            <family val="2"/>
            <charset val="238"/>
          </rPr>
          <t>Cerny:</t>
        </r>
        <r>
          <rPr>
            <sz val="9"/>
            <color indexed="81"/>
            <rFont val="Tahoma"/>
            <family val="2"/>
            <charset val="238"/>
          </rPr>
          <t xml:space="preserve">
All sectors whose production is typically associated with cement fuel (regardless of the 0.5% threshold) are included.</t>
        </r>
      </text>
    </comment>
    <comment ref="D47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7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7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7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8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8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82"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8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8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8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8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8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8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8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9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9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92"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9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9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9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9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9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9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49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50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50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502"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50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50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50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50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50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50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50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51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J510" authorId="0" shapeId="0">
      <text>
        <r>
          <rPr>
            <b/>
            <sz val="9"/>
            <color indexed="81"/>
            <rFont val="Tahoma"/>
            <charset val="1"/>
          </rPr>
          <t>Cerny:</t>
        </r>
        <r>
          <rPr>
            <sz val="9"/>
            <color indexed="81"/>
            <rFont val="Tahoma"/>
            <charset val="1"/>
          </rPr>
          <t xml:space="preserve">
Sum of unique sectors</t>
        </r>
      </text>
    </comment>
    <comment ref="K510" authorId="0" shapeId="0">
      <text>
        <r>
          <rPr>
            <b/>
            <sz val="9"/>
            <color indexed="81"/>
            <rFont val="Tahoma"/>
            <charset val="1"/>
          </rPr>
          <t>Cerny:</t>
        </r>
        <r>
          <rPr>
            <sz val="9"/>
            <color indexed="81"/>
            <rFont val="Tahoma"/>
            <charset val="1"/>
          </rPr>
          <t xml:space="preserve">
Sum of unique sectors</t>
        </r>
      </text>
    </comment>
    <comment ref="M510" authorId="0" shapeId="0">
      <text>
        <r>
          <rPr>
            <b/>
            <sz val="9"/>
            <color indexed="81"/>
            <rFont val="Tahoma"/>
            <charset val="1"/>
          </rPr>
          <t>Cerny:</t>
        </r>
        <r>
          <rPr>
            <sz val="9"/>
            <color indexed="81"/>
            <rFont val="Tahoma"/>
            <charset val="1"/>
          </rPr>
          <t xml:space="preserve">
Sum of unique sectors</t>
        </r>
      </text>
    </comment>
    <comment ref="E511" authorId="0" shapeId="0">
      <text>
        <r>
          <rPr>
            <b/>
            <sz val="9"/>
            <color indexed="81"/>
            <rFont val="Tahoma"/>
            <family val="2"/>
            <charset val="238"/>
          </rPr>
          <t>Cerny:</t>
        </r>
        <r>
          <rPr>
            <sz val="9"/>
            <color indexed="81"/>
            <rFont val="Tahoma"/>
            <family val="2"/>
            <charset val="238"/>
          </rPr>
          <t xml:space="preserve">
Due to the absence of any CCS opex item in the original technology and therefore in the original production function, the cost share is inserted directly (the coefficient of change cannot be calculated).</t>
        </r>
      </text>
    </comment>
    <comment ref="E529" authorId="0" shapeId="0">
      <text>
        <r>
          <rPr>
            <b/>
            <sz val="9"/>
            <color indexed="81"/>
            <rFont val="Tahoma"/>
            <family val="2"/>
            <charset val="238"/>
          </rPr>
          <t>Cerny:</t>
        </r>
        <r>
          <rPr>
            <sz val="9"/>
            <color indexed="81"/>
            <rFont val="Tahoma"/>
            <family val="2"/>
            <charset val="238"/>
          </rPr>
          <t xml:space="preserve">
1) Empty category, only because of the resetting of sectors that do not play a role in this technology, in the new production function in "opex_det". + 2) All sectors whose production is typically associated with cement fuel (regardless of the 0.5% threshold) are included.</t>
        </r>
      </text>
    </comment>
    <comment ref="G529" authorId="0" shapeId="0">
      <text>
        <r>
          <rPr>
            <b/>
            <sz val="9"/>
            <color indexed="81"/>
            <rFont val="Tahoma"/>
            <charset val="1"/>
          </rPr>
          <t>Cerny:</t>
        </r>
        <r>
          <rPr>
            <sz val="9"/>
            <color indexed="81"/>
            <rFont val="Tahoma"/>
            <charset val="1"/>
          </rPr>
          <t xml:space="preserve">
Not applicable</t>
        </r>
      </text>
    </comment>
    <comment ref="G530" authorId="0" shapeId="0">
      <text>
        <r>
          <rPr>
            <b/>
            <sz val="9"/>
            <color indexed="81"/>
            <rFont val="Tahoma"/>
            <charset val="1"/>
          </rPr>
          <t>Cerny:</t>
        </r>
        <r>
          <rPr>
            <sz val="9"/>
            <color indexed="81"/>
            <rFont val="Tahoma"/>
            <charset val="1"/>
          </rPr>
          <t xml:space="preserve">
Not applicable</t>
        </r>
      </text>
    </comment>
    <comment ref="G531" authorId="0" shapeId="0">
      <text>
        <r>
          <rPr>
            <b/>
            <sz val="9"/>
            <color indexed="81"/>
            <rFont val="Tahoma"/>
            <charset val="1"/>
          </rPr>
          <t>Cerny:</t>
        </r>
        <r>
          <rPr>
            <sz val="9"/>
            <color indexed="81"/>
            <rFont val="Tahoma"/>
            <charset val="1"/>
          </rPr>
          <t xml:space="preserve">
Not applicable</t>
        </r>
      </text>
    </comment>
    <comment ref="G532" authorId="0" shapeId="0">
      <text>
        <r>
          <rPr>
            <b/>
            <sz val="9"/>
            <color indexed="81"/>
            <rFont val="Tahoma"/>
            <charset val="1"/>
          </rPr>
          <t>Cerny:</t>
        </r>
        <r>
          <rPr>
            <sz val="9"/>
            <color indexed="81"/>
            <rFont val="Tahoma"/>
            <charset val="1"/>
          </rPr>
          <t xml:space="preserve">
Not applicable</t>
        </r>
      </text>
    </comment>
    <comment ref="G533" authorId="0" shapeId="0">
      <text>
        <r>
          <rPr>
            <b/>
            <sz val="9"/>
            <color indexed="81"/>
            <rFont val="Tahoma"/>
            <charset val="1"/>
          </rPr>
          <t>Cerny:</t>
        </r>
        <r>
          <rPr>
            <sz val="9"/>
            <color indexed="81"/>
            <rFont val="Tahoma"/>
            <charset val="1"/>
          </rPr>
          <t xml:space="preserve">
Not applicable</t>
        </r>
      </text>
    </comment>
    <comment ref="G534" authorId="0" shapeId="0">
      <text>
        <r>
          <rPr>
            <b/>
            <sz val="9"/>
            <color indexed="81"/>
            <rFont val="Tahoma"/>
            <charset val="1"/>
          </rPr>
          <t>Cerny:</t>
        </r>
        <r>
          <rPr>
            <sz val="9"/>
            <color indexed="81"/>
            <rFont val="Tahoma"/>
            <charset val="1"/>
          </rPr>
          <t xml:space="preserve">
Not applicable</t>
        </r>
      </text>
    </comment>
    <comment ref="G535" authorId="0" shapeId="0">
      <text>
        <r>
          <rPr>
            <b/>
            <sz val="9"/>
            <color indexed="81"/>
            <rFont val="Tahoma"/>
            <charset val="1"/>
          </rPr>
          <t>Cerny:</t>
        </r>
        <r>
          <rPr>
            <sz val="9"/>
            <color indexed="81"/>
            <rFont val="Tahoma"/>
            <charset val="1"/>
          </rPr>
          <t xml:space="preserve">
Not applicable</t>
        </r>
      </text>
    </comment>
    <comment ref="G536" authorId="0" shapeId="0">
      <text>
        <r>
          <rPr>
            <b/>
            <sz val="9"/>
            <color indexed="81"/>
            <rFont val="Tahoma"/>
            <charset val="1"/>
          </rPr>
          <t>Cerny:</t>
        </r>
        <r>
          <rPr>
            <sz val="9"/>
            <color indexed="81"/>
            <rFont val="Tahoma"/>
            <charset val="1"/>
          </rPr>
          <t xml:space="preserve">
Not applicable</t>
        </r>
      </text>
    </comment>
    <comment ref="G537" authorId="0" shapeId="0">
      <text>
        <r>
          <rPr>
            <b/>
            <sz val="9"/>
            <color indexed="81"/>
            <rFont val="Tahoma"/>
            <charset val="1"/>
          </rPr>
          <t>Cerny:</t>
        </r>
        <r>
          <rPr>
            <sz val="9"/>
            <color indexed="81"/>
            <rFont val="Tahoma"/>
            <charset val="1"/>
          </rPr>
          <t xml:space="preserve">
Not applicable</t>
        </r>
      </text>
    </comment>
    <comment ref="G538" authorId="0" shapeId="0">
      <text>
        <r>
          <rPr>
            <b/>
            <sz val="9"/>
            <color indexed="81"/>
            <rFont val="Tahoma"/>
            <charset val="1"/>
          </rPr>
          <t>Cerny:</t>
        </r>
        <r>
          <rPr>
            <sz val="9"/>
            <color indexed="81"/>
            <rFont val="Tahoma"/>
            <charset val="1"/>
          </rPr>
          <t xml:space="preserve">
Not applicable</t>
        </r>
      </text>
    </comment>
    <comment ref="G539" authorId="0" shapeId="0">
      <text>
        <r>
          <rPr>
            <b/>
            <sz val="9"/>
            <color indexed="81"/>
            <rFont val="Tahoma"/>
            <charset val="1"/>
          </rPr>
          <t>Cerny:</t>
        </r>
        <r>
          <rPr>
            <sz val="9"/>
            <color indexed="81"/>
            <rFont val="Tahoma"/>
            <charset val="1"/>
          </rPr>
          <t xml:space="preserve">
Not applicable</t>
        </r>
      </text>
    </comment>
    <comment ref="G540" authorId="0" shapeId="0">
      <text>
        <r>
          <rPr>
            <b/>
            <sz val="9"/>
            <color indexed="81"/>
            <rFont val="Tahoma"/>
            <charset val="1"/>
          </rPr>
          <t>Cerny:</t>
        </r>
        <r>
          <rPr>
            <sz val="9"/>
            <color indexed="81"/>
            <rFont val="Tahoma"/>
            <charset val="1"/>
          </rPr>
          <t xml:space="preserve">
Not applicable</t>
        </r>
      </text>
    </comment>
    <comment ref="G541" authorId="0" shapeId="0">
      <text>
        <r>
          <rPr>
            <b/>
            <sz val="9"/>
            <color indexed="81"/>
            <rFont val="Tahoma"/>
            <charset val="1"/>
          </rPr>
          <t>Cerny:</t>
        </r>
        <r>
          <rPr>
            <sz val="9"/>
            <color indexed="81"/>
            <rFont val="Tahoma"/>
            <charset val="1"/>
          </rPr>
          <t xml:space="preserve">
Not applicable</t>
        </r>
      </text>
    </comment>
    <comment ref="G542" authorId="0" shapeId="0">
      <text>
        <r>
          <rPr>
            <b/>
            <sz val="9"/>
            <color indexed="81"/>
            <rFont val="Tahoma"/>
            <charset val="1"/>
          </rPr>
          <t>Cerny:</t>
        </r>
        <r>
          <rPr>
            <sz val="9"/>
            <color indexed="81"/>
            <rFont val="Tahoma"/>
            <charset val="1"/>
          </rPr>
          <t xml:space="preserve">
Not applicable</t>
        </r>
      </text>
    </comment>
    <comment ref="G543" authorId="0" shapeId="0">
      <text>
        <r>
          <rPr>
            <b/>
            <sz val="9"/>
            <color indexed="81"/>
            <rFont val="Tahoma"/>
            <charset val="1"/>
          </rPr>
          <t>Cerny:</t>
        </r>
        <r>
          <rPr>
            <sz val="9"/>
            <color indexed="81"/>
            <rFont val="Tahoma"/>
            <charset val="1"/>
          </rPr>
          <t xml:space="preserve">
Not applicable</t>
        </r>
      </text>
    </comment>
    <comment ref="J564" authorId="0" shapeId="0">
      <text>
        <r>
          <rPr>
            <b/>
            <sz val="9"/>
            <color indexed="81"/>
            <rFont val="Tahoma"/>
            <charset val="1"/>
          </rPr>
          <t>Cerny:</t>
        </r>
        <r>
          <rPr>
            <sz val="9"/>
            <color indexed="81"/>
            <rFont val="Tahoma"/>
            <charset val="1"/>
          </rPr>
          <t xml:space="preserve">
Sum of unique sectors</t>
        </r>
      </text>
    </comment>
    <comment ref="K564" authorId="0" shapeId="0">
      <text>
        <r>
          <rPr>
            <b/>
            <sz val="9"/>
            <color indexed="81"/>
            <rFont val="Tahoma"/>
            <charset val="1"/>
          </rPr>
          <t>Cerny:</t>
        </r>
        <r>
          <rPr>
            <sz val="9"/>
            <color indexed="81"/>
            <rFont val="Tahoma"/>
            <charset val="1"/>
          </rPr>
          <t xml:space="preserve">
Sum of unique sectors</t>
        </r>
      </text>
    </comment>
    <comment ref="M564" authorId="0" shapeId="0">
      <text>
        <r>
          <rPr>
            <b/>
            <sz val="9"/>
            <color indexed="81"/>
            <rFont val="Tahoma"/>
            <charset val="1"/>
          </rPr>
          <t>Cerny:</t>
        </r>
        <r>
          <rPr>
            <sz val="9"/>
            <color indexed="81"/>
            <rFont val="Tahoma"/>
            <charset val="1"/>
          </rPr>
          <t xml:space="preserve">
Sum of unique sectors</t>
        </r>
      </text>
    </comment>
    <comment ref="E570" authorId="0" shapeId="0">
      <text>
        <r>
          <rPr>
            <b/>
            <sz val="9"/>
            <color indexed="81"/>
            <rFont val="Tahoma"/>
            <family val="2"/>
            <charset val="238"/>
          </rPr>
          <t>Cerny:</t>
        </r>
        <r>
          <rPr>
            <sz val="9"/>
            <color indexed="81"/>
            <rFont val="Tahoma"/>
            <family val="2"/>
            <charset val="238"/>
          </rPr>
          <t xml:space="preserve">
Empty category, only because of the resetting of sectors that do not play a role in this technology, in the new production function in "opex_det".</t>
        </r>
      </text>
    </comment>
    <comment ref="G570" authorId="0" shapeId="0">
      <text>
        <r>
          <rPr>
            <b/>
            <sz val="9"/>
            <color indexed="81"/>
            <rFont val="Tahoma"/>
            <charset val="1"/>
          </rPr>
          <t>Cerny:</t>
        </r>
        <r>
          <rPr>
            <sz val="9"/>
            <color indexed="81"/>
            <rFont val="Tahoma"/>
            <charset val="1"/>
          </rPr>
          <t xml:space="preserve">
Not applicable</t>
        </r>
      </text>
    </comment>
    <comment ref="G571" authorId="0" shapeId="0">
      <text>
        <r>
          <rPr>
            <b/>
            <sz val="9"/>
            <color indexed="81"/>
            <rFont val="Tahoma"/>
            <charset val="1"/>
          </rPr>
          <t>Cerny:</t>
        </r>
        <r>
          <rPr>
            <sz val="9"/>
            <color indexed="81"/>
            <rFont val="Tahoma"/>
            <charset val="1"/>
          </rPr>
          <t xml:space="preserve">
Not applicable</t>
        </r>
      </text>
    </comment>
    <comment ref="J610" authorId="0" shapeId="0">
      <text>
        <r>
          <rPr>
            <b/>
            <sz val="9"/>
            <color indexed="81"/>
            <rFont val="Tahoma"/>
            <charset val="1"/>
          </rPr>
          <t>Cerny:</t>
        </r>
        <r>
          <rPr>
            <sz val="9"/>
            <color indexed="81"/>
            <rFont val="Tahoma"/>
            <charset val="1"/>
          </rPr>
          <t xml:space="preserve">
Sum of unique sectors</t>
        </r>
      </text>
    </comment>
    <comment ref="K610" authorId="0" shapeId="0">
      <text>
        <r>
          <rPr>
            <b/>
            <sz val="9"/>
            <color indexed="81"/>
            <rFont val="Tahoma"/>
            <charset val="1"/>
          </rPr>
          <t>Cerny:</t>
        </r>
        <r>
          <rPr>
            <sz val="9"/>
            <color indexed="81"/>
            <rFont val="Tahoma"/>
            <charset val="1"/>
          </rPr>
          <t xml:space="preserve">
Sum of unique sectors</t>
        </r>
      </text>
    </comment>
    <comment ref="M610" authorId="0" shapeId="0">
      <text>
        <r>
          <rPr>
            <b/>
            <sz val="9"/>
            <color indexed="81"/>
            <rFont val="Tahoma"/>
            <charset val="1"/>
          </rPr>
          <t>Cerny:</t>
        </r>
        <r>
          <rPr>
            <sz val="9"/>
            <color indexed="81"/>
            <rFont val="Tahoma"/>
            <charset val="1"/>
          </rPr>
          <t xml:space="preserve">
Sum of unique sectors</t>
        </r>
      </text>
    </comment>
    <comment ref="D61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12"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1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1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1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1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616" authorId="0" shapeId="0">
      <text>
        <r>
          <rPr>
            <b/>
            <sz val="9"/>
            <color indexed="81"/>
            <rFont val="Tahoma"/>
            <family val="2"/>
            <charset val="238"/>
          </rPr>
          <t>Cerny:</t>
        </r>
        <r>
          <rPr>
            <sz val="9"/>
            <color indexed="81"/>
            <rFont val="Tahoma"/>
            <family val="2"/>
            <charset val="238"/>
          </rPr>
          <t xml:space="preserve">
Empty category, only because of the resetting of sectors that do not play a role in this technology, in the new production function in "opex_det".</t>
        </r>
      </text>
    </comment>
    <comment ref="G616" authorId="0" shapeId="0">
      <text>
        <r>
          <rPr>
            <b/>
            <sz val="9"/>
            <color indexed="81"/>
            <rFont val="Tahoma"/>
            <charset val="1"/>
          </rPr>
          <t>Cerny:</t>
        </r>
        <r>
          <rPr>
            <sz val="9"/>
            <color indexed="81"/>
            <rFont val="Tahoma"/>
            <charset val="1"/>
          </rPr>
          <t xml:space="preserve">
Not applicable</t>
        </r>
      </text>
    </comment>
    <comment ref="D61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G617" authorId="0" shapeId="0">
      <text>
        <r>
          <rPr>
            <b/>
            <sz val="9"/>
            <color indexed="81"/>
            <rFont val="Tahoma"/>
            <charset val="1"/>
          </rPr>
          <t>Cerny:</t>
        </r>
        <r>
          <rPr>
            <sz val="9"/>
            <color indexed="81"/>
            <rFont val="Tahoma"/>
            <charset val="1"/>
          </rPr>
          <t xml:space="preserve">
Not applicable</t>
        </r>
      </text>
    </comment>
    <comment ref="D61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1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2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2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22"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2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2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2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2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2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2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2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3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3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32"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3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3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3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3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3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638" authorId="0" shapeId="0">
      <text>
        <r>
          <rPr>
            <b/>
            <sz val="9"/>
            <color indexed="81"/>
            <rFont val="Tahoma"/>
            <family val="2"/>
            <charset val="238"/>
          </rPr>
          <t>Cerny:</t>
        </r>
        <r>
          <rPr>
            <sz val="9"/>
            <color indexed="81"/>
            <rFont val="Tahoma"/>
            <family val="2"/>
            <charset val="238"/>
          </rPr>
          <t xml:space="preserve">
Empty category, only because of the resetting of sectors that do not play a role in this technology, in the new production function in "opex_det".</t>
        </r>
      </text>
    </comment>
    <comment ref="G638" authorId="0" shapeId="0">
      <text>
        <r>
          <rPr>
            <b/>
            <sz val="9"/>
            <color indexed="81"/>
            <rFont val="Tahoma"/>
            <charset val="1"/>
          </rPr>
          <t>Cerny:</t>
        </r>
        <r>
          <rPr>
            <sz val="9"/>
            <color indexed="81"/>
            <rFont val="Tahoma"/>
            <charset val="1"/>
          </rPr>
          <t xml:space="preserve">
Not applicable</t>
        </r>
      </text>
    </comment>
    <comment ref="G639" authorId="0" shapeId="0">
      <text>
        <r>
          <rPr>
            <b/>
            <sz val="9"/>
            <color indexed="81"/>
            <rFont val="Tahoma"/>
            <charset val="1"/>
          </rPr>
          <t>Cerny:</t>
        </r>
        <r>
          <rPr>
            <sz val="9"/>
            <color indexed="81"/>
            <rFont val="Tahoma"/>
            <charset val="1"/>
          </rPr>
          <t xml:space="preserve">
Not applicable</t>
        </r>
      </text>
    </comment>
    <comment ref="G640" authorId="0" shapeId="0">
      <text>
        <r>
          <rPr>
            <b/>
            <sz val="9"/>
            <color indexed="81"/>
            <rFont val="Tahoma"/>
            <charset val="1"/>
          </rPr>
          <t>Cerny:</t>
        </r>
        <r>
          <rPr>
            <sz val="9"/>
            <color indexed="81"/>
            <rFont val="Tahoma"/>
            <charset val="1"/>
          </rPr>
          <t xml:space="preserve">
Not applicable</t>
        </r>
      </text>
    </comment>
    <comment ref="E641" authorId="0" shapeId="0">
      <text>
        <r>
          <rPr>
            <b/>
            <sz val="9"/>
            <color indexed="81"/>
            <rFont val="Tahoma"/>
            <family val="2"/>
            <charset val="238"/>
          </rPr>
          <t>Cerny:</t>
        </r>
        <r>
          <rPr>
            <sz val="9"/>
            <color indexed="81"/>
            <rFont val="Tahoma"/>
            <family val="2"/>
            <charset val="238"/>
          </rPr>
          <t xml:space="preserve">
Empty category, only because of the resetting of sectors that do not play a role in this technology, in the new production function in "opex_det".</t>
        </r>
      </text>
    </comment>
    <comment ref="G641" authorId="0" shapeId="0">
      <text>
        <r>
          <rPr>
            <b/>
            <sz val="9"/>
            <color indexed="81"/>
            <rFont val="Tahoma"/>
            <charset val="1"/>
          </rPr>
          <t>Cerny:</t>
        </r>
        <r>
          <rPr>
            <sz val="9"/>
            <color indexed="81"/>
            <rFont val="Tahoma"/>
            <charset val="1"/>
          </rPr>
          <t xml:space="preserve">
Not applicable</t>
        </r>
      </text>
    </comment>
    <comment ref="G642" authorId="0" shapeId="0">
      <text>
        <r>
          <rPr>
            <b/>
            <sz val="9"/>
            <color indexed="81"/>
            <rFont val="Tahoma"/>
            <charset val="1"/>
          </rPr>
          <t>Cerny:</t>
        </r>
        <r>
          <rPr>
            <sz val="9"/>
            <color indexed="81"/>
            <rFont val="Tahoma"/>
            <charset val="1"/>
          </rPr>
          <t xml:space="preserve">
Not applicable</t>
        </r>
      </text>
    </comment>
    <comment ref="D64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4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4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4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4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4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4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5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51"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52"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5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5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5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D65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J656" authorId="0" shapeId="0">
      <text>
        <r>
          <rPr>
            <b/>
            <sz val="9"/>
            <color indexed="81"/>
            <rFont val="Tahoma"/>
            <charset val="1"/>
          </rPr>
          <t>Cerny:</t>
        </r>
        <r>
          <rPr>
            <sz val="9"/>
            <color indexed="81"/>
            <rFont val="Tahoma"/>
            <charset val="1"/>
          </rPr>
          <t xml:space="preserve">
Sum of unique sectors</t>
        </r>
      </text>
    </comment>
    <comment ref="K656" authorId="0" shapeId="0">
      <text>
        <r>
          <rPr>
            <b/>
            <sz val="9"/>
            <color indexed="81"/>
            <rFont val="Tahoma"/>
            <charset val="1"/>
          </rPr>
          <t>Cerny:</t>
        </r>
        <r>
          <rPr>
            <sz val="9"/>
            <color indexed="81"/>
            <rFont val="Tahoma"/>
            <charset val="1"/>
          </rPr>
          <t xml:space="preserve">
Sum of unique sectors</t>
        </r>
      </text>
    </comment>
    <comment ref="M656" authorId="0" shapeId="0">
      <text>
        <r>
          <rPr>
            <b/>
            <sz val="9"/>
            <color indexed="81"/>
            <rFont val="Tahoma"/>
            <charset val="1"/>
          </rPr>
          <t>Cerny:</t>
        </r>
        <r>
          <rPr>
            <sz val="9"/>
            <color indexed="81"/>
            <rFont val="Tahoma"/>
            <charset val="1"/>
          </rPr>
          <t xml:space="preserve">
Sum of unique sectors</t>
        </r>
      </text>
    </comment>
    <comment ref="E662" authorId="0" shapeId="0">
      <text>
        <r>
          <rPr>
            <b/>
            <sz val="9"/>
            <color indexed="81"/>
            <rFont val="Tahoma"/>
            <family val="2"/>
            <charset val="238"/>
          </rPr>
          <t>Cerny:</t>
        </r>
        <r>
          <rPr>
            <sz val="9"/>
            <color indexed="81"/>
            <rFont val="Tahoma"/>
            <family val="2"/>
            <charset val="238"/>
          </rPr>
          <t xml:space="preserve">
Due to the absence of any CCS opex item in the original technology and therefore in the original production function, the cost share is inserted directly (the coefficient of change cannot be calculated).</t>
        </r>
      </text>
    </comment>
    <comment ref="J702" authorId="0" shapeId="0">
      <text>
        <r>
          <rPr>
            <b/>
            <sz val="9"/>
            <color indexed="81"/>
            <rFont val="Tahoma"/>
            <charset val="1"/>
          </rPr>
          <t>Cerny:</t>
        </r>
        <r>
          <rPr>
            <sz val="9"/>
            <color indexed="81"/>
            <rFont val="Tahoma"/>
            <charset val="1"/>
          </rPr>
          <t xml:space="preserve">
Sum of unique sectors</t>
        </r>
      </text>
    </comment>
    <comment ref="K702" authorId="0" shapeId="0">
      <text>
        <r>
          <rPr>
            <b/>
            <sz val="9"/>
            <color indexed="81"/>
            <rFont val="Tahoma"/>
            <charset val="1"/>
          </rPr>
          <t>Cerny:</t>
        </r>
        <r>
          <rPr>
            <sz val="9"/>
            <color indexed="81"/>
            <rFont val="Tahoma"/>
            <charset val="1"/>
          </rPr>
          <t xml:space="preserve">
Sum of unique sectors</t>
        </r>
      </text>
    </comment>
    <comment ref="M702" authorId="0" shapeId="0">
      <text>
        <r>
          <rPr>
            <b/>
            <sz val="9"/>
            <color indexed="81"/>
            <rFont val="Tahoma"/>
            <charset val="1"/>
          </rPr>
          <t>Cerny:</t>
        </r>
        <r>
          <rPr>
            <sz val="9"/>
            <color indexed="81"/>
            <rFont val="Tahoma"/>
            <charset val="1"/>
          </rPr>
          <t xml:space="preserve">
Sum of unique sectors</t>
        </r>
      </text>
    </comment>
  </commentList>
</comments>
</file>

<file path=xl/comments8.xml><?xml version="1.0" encoding="utf-8"?>
<comments xmlns="http://schemas.openxmlformats.org/spreadsheetml/2006/main">
  <authors>
    <author>Cerny</author>
  </authors>
  <commentList>
    <comment ref="J1" authorId="0" shapeId="0">
      <text>
        <r>
          <rPr>
            <b/>
            <sz val="9"/>
            <color indexed="81"/>
            <rFont val="Tahoma"/>
            <family val="2"/>
            <charset val="238"/>
          </rPr>
          <t>Cerny:</t>
        </r>
        <r>
          <rPr>
            <sz val="9"/>
            <color indexed="81"/>
            <rFont val="Tahoma"/>
            <family val="2"/>
            <charset val="238"/>
          </rPr>
          <t xml:space="preserve">
Green = used</t>
        </r>
      </text>
    </comment>
    <comment ref="K32" authorId="0" shapeId="0">
      <text>
        <r>
          <rPr>
            <b/>
            <sz val="9"/>
            <color indexed="81"/>
            <rFont val="Tahoma"/>
            <family val="2"/>
            <charset val="238"/>
          </rPr>
          <t>Cerny:</t>
        </r>
        <r>
          <rPr>
            <sz val="9"/>
            <color indexed="81"/>
            <rFont val="Tahoma"/>
            <family val="2"/>
            <charset val="238"/>
          </rPr>
          <t xml:space="preserve">
Gen III LWR, majority of "old" plants is Gen II</t>
        </r>
      </text>
    </comment>
    <comment ref="L32" authorId="0" shapeId="0">
      <text>
        <r>
          <rPr>
            <b/>
            <sz val="9"/>
            <color indexed="81"/>
            <rFont val="Tahoma"/>
            <family val="2"/>
            <charset val="238"/>
          </rPr>
          <t>Cerny:</t>
        </r>
        <r>
          <rPr>
            <sz val="9"/>
            <color indexed="81"/>
            <rFont val="Tahoma"/>
            <family val="2"/>
            <charset val="238"/>
          </rPr>
          <t xml:space="preserve">
Gen III LWR, majority of "old" plants is Gen II</t>
        </r>
      </text>
    </comment>
    <comment ref="M32" authorId="0" shapeId="0">
      <text>
        <r>
          <rPr>
            <b/>
            <sz val="9"/>
            <color indexed="81"/>
            <rFont val="Tahoma"/>
            <family val="2"/>
            <charset val="238"/>
          </rPr>
          <t>Cerny:</t>
        </r>
        <r>
          <rPr>
            <sz val="9"/>
            <color indexed="81"/>
            <rFont val="Tahoma"/>
            <family val="2"/>
            <charset val="238"/>
          </rPr>
          <t xml:space="preserve">
Gen III LWR, majority of "old" plants is Gen II</t>
        </r>
      </text>
    </comment>
    <comment ref="C165" authorId="0" shapeId="0">
      <text>
        <r>
          <rPr>
            <b/>
            <sz val="9"/>
            <color indexed="81"/>
            <rFont val="Tahoma"/>
            <family val="2"/>
            <charset val="238"/>
          </rPr>
          <t>Cerny:</t>
        </r>
        <r>
          <rPr>
            <sz val="9"/>
            <color indexed="81"/>
            <rFont val="Tahoma"/>
            <family val="2"/>
            <charset val="238"/>
          </rPr>
          <t xml:space="preserve">
The same structure as for utility PV. ETRI does not provide separate data for residential.</t>
        </r>
      </text>
    </comment>
    <comment ref="E287" authorId="0" shapeId="0">
      <text>
        <r>
          <rPr>
            <b/>
            <sz val="9"/>
            <color indexed="81"/>
            <rFont val="Tahoma"/>
            <family val="2"/>
            <charset val="238"/>
          </rPr>
          <t>Cerny:</t>
        </r>
        <r>
          <rPr>
            <sz val="9"/>
            <color indexed="81"/>
            <rFont val="Tahoma"/>
            <family val="2"/>
            <charset val="238"/>
          </rPr>
          <t xml:space="preserve">
Average (150-200)</t>
        </r>
      </text>
    </comment>
    <comment ref="C29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295" authorId="0" shapeId="0">
      <text>
        <r>
          <rPr>
            <b/>
            <sz val="9"/>
            <color indexed="81"/>
            <rFont val="Tahoma"/>
            <family val="2"/>
            <charset val="238"/>
          </rPr>
          <t>Cerny:</t>
        </r>
        <r>
          <rPr>
            <sz val="9"/>
            <color indexed="81"/>
            <rFont val="Tahoma"/>
            <family val="2"/>
            <charset val="238"/>
          </rPr>
          <t xml:space="preserve">
Average (150-200)</t>
        </r>
      </text>
    </comment>
    <comment ref="C29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29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29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299"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300"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E301" authorId="0" shapeId="0">
      <text>
        <r>
          <rPr>
            <b/>
            <sz val="9"/>
            <color indexed="81"/>
            <rFont val="Tahoma"/>
            <family val="2"/>
            <charset val="238"/>
          </rPr>
          <t>Cerny:</t>
        </r>
        <r>
          <rPr>
            <sz val="9"/>
            <color indexed="81"/>
            <rFont val="Tahoma"/>
            <family val="2"/>
            <charset val="238"/>
          </rPr>
          <t xml:space="preserve">
Average (150-200)</t>
        </r>
      </text>
    </comment>
    <comment ref="E310" authorId="0" shapeId="0">
      <text>
        <r>
          <rPr>
            <b/>
            <sz val="9"/>
            <color indexed="81"/>
            <rFont val="Tahoma"/>
            <family val="2"/>
            <charset val="238"/>
          </rPr>
          <t>Cerny:</t>
        </r>
        <r>
          <rPr>
            <sz val="9"/>
            <color indexed="81"/>
            <rFont val="Tahoma"/>
            <family val="2"/>
            <charset val="238"/>
          </rPr>
          <t xml:space="preserve">
Average (150-200)</t>
        </r>
      </text>
    </comment>
    <comment ref="C34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34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34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34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34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348"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383"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384"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385"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386"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 ref="C387" authorId="0" shapeId="0">
      <text>
        <r>
          <rPr>
            <b/>
            <sz val="9"/>
            <color indexed="81"/>
            <rFont val="Tahoma"/>
            <family val="2"/>
            <charset val="238"/>
          </rPr>
          <t>Cerny:</t>
        </r>
        <r>
          <rPr>
            <sz val="9"/>
            <color indexed="81"/>
            <rFont val="Tahoma"/>
            <family val="2"/>
            <charset val="238"/>
          </rPr>
          <t xml:space="preserve">
At 60 EUR/MWh of electricity, given the recent increase in electricity prices that is even higher</t>
        </r>
      </text>
    </comment>
  </commentList>
</comments>
</file>

<file path=xl/comments9.xml><?xml version="1.0" encoding="utf-8"?>
<comments xmlns="http://schemas.openxmlformats.org/spreadsheetml/2006/main">
  <authors>
    <author>Cerny</author>
  </authors>
  <commentList>
    <comment ref="C105" authorId="0" shapeId="0">
      <text>
        <r>
          <rPr>
            <b/>
            <sz val="9"/>
            <color indexed="81"/>
            <rFont val="Tahoma"/>
            <family val="2"/>
            <charset val="238"/>
          </rPr>
          <t>Cerny:</t>
        </r>
        <r>
          <rPr>
            <sz val="9"/>
            <color indexed="81"/>
            <rFont val="Tahoma"/>
            <family val="2"/>
            <charset val="238"/>
          </rPr>
          <t xml:space="preserve">
The same structure as for utility PV. ETRI does not provide separate data for residential.</t>
        </r>
      </text>
    </comment>
    <comment ref="C106" authorId="0" shapeId="0">
      <text>
        <r>
          <rPr>
            <b/>
            <sz val="9"/>
            <color indexed="81"/>
            <rFont val="Tahoma"/>
            <family val="2"/>
            <charset val="238"/>
          </rPr>
          <t>Cerny:</t>
        </r>
        <r>
          <rPr>
            <sz val="9"/>
            <color indexed="81"/>
            <rFont val="Tahoma"/>
            <family val="2"/>
            <charset val="238"/>
          </rPr>
          <t xml:space="preserve">
The same structure as for utility PV. ETRI does not provide separate data for residential.</t>
        </r>
      </text>
    </comment>
    <comment ref="C107" authorId="0" shapeId="0">
      <text>
        <r>
          <rPr>
            <b/>
            <sz val="9"/>
            <color indexed="81"/>
            <rFont val="Tahoma"/>
            <family val="2"/>
            <charset val="238"/>
          </rPr>
          <t>Cerny:</t>
        </r>
        <r>
          <rPr>
            <sz val="9"/>
            <color indexed="81"/>
            <rFont val="Tahoma"/>
            <family val="2"/>
            <charset val="238"/>
          </rPr>
          <t xml:space="preserve">
The same structure as for utility PV. ETRI does not provide separate data for residential.</t>
        </r>
      </text>
    </comment>
    <comment ref="C108" authorId="0" shapeId="0">
      <text>
        <r>
          <rPr>
            <b/>
            <sz val="9"/>
            <color indexed="81"/>
            <rFont val="Tahoma"/>
            <family val="2"/>
            <charset val="238"/>
          </rPr>
          <t>Cerny:</t>
        </r>
        <r>
          <rPr>
            <sz val="9"/>
            <color indexed="81"/>
            <rFont val="Tahoma"/>
            <family val="2"/>
            <charset val="238"/>
          </rPr>
          <t xml:space="preserve">
The same structure as for utility PV. ETRI does not provide separate data for residential.</t>
        </r>
      </text>
    </comment>
    <comment ref="C109" authorId="0" shapeId="0">
      <text>
        <r>
          <rPr>
            <b/>
            <sz val="9"/>
            <color indexed="81"/>
            <rFont val="Tahoma"/>
            <family val="2"/>
            <charset val="238"/>
          </rPr>
          <t>Cerny:</t>
        </r>
        <r>
          <rPr>
            <sz val="9"/>
            <color indexed="81"/>
            <rFont val="Tahoma"/>
            <family val="2"/>
            <charset val="238"/>
          </rPr>
          <t xml:space="preserve">
The same structure as for utility PV. ETRI does not provide separate data for residential.</t>
        </r>
      </text>
    </comment>
    <comment ref="C110" authorId="0" shapeId="0">
      <text>
        <r>
          <rPr>
            <b/>
            <sz val="9"/>
            <color indexed="81"/>
            <rFont val="Tahoma"/>
            <family val="2"/>
            <charset val="238"/>
          </rPr>
          <t>Cerny:</t>
        </r>
        <r>
          <rPr>
            <sz val="9"/>
            <color indexed="81"/>
            <rFont val="Tahoma"/>
            <family val="2"/>
            <charset val="238"/>
          </rPr>
          <t xml:space="preserve">
The same structure as for utility PV. ETRI does not provide separate data for residential.</t>
        </r>
      </text>
    </comment>
    <comment ref="C111" authorId="0" shapeId="0">
      <text>
        <r>
          <rPr>
            <b/>
            <sz val="9"/>
            <color indexed="81"/>
            <rFont val="Tahoma"/>
            <family val="2"/>
            <charset val="238"/>
          </rPr>
          <t>Cerny:</t>
        </r>
        <r>
          <rPr>
            <sz val="9"/>
            <color indexed="81"/>
            <rFont val="Tahoma"/>
            <family val="2"/>
            <charset val="238"/>
          </rPr>
          <t xml:space="preserve">
The same structure as for utility PV. ETRI does not provide separate data for residential.</t>
        </r>
      </text>
    </comment>
    <comment ref="C112" authorId="0" shapeId="0">
      <text>
        <r>
          <rPr>
            <b/>
            <sz val="9"/>
            <color indexed="81"/>
            <rFont val="Tahoma"/>
            <family val="2"/>
            <charset val="238"/>
          </rPr>
          <t>Cerny:</t>
        </r>
        <r>
          <rPr>
            <sz val="9"/>
            <color indexed="81"/>
            <rFont val="Tahoma"/>
            <family val="2"/>
            <charset val="238"/>
          </rPr>
          <t xml:space="preserve">
The same structure as for utility PV. ETRI does not provide separate data for residential.</t>
        </r>
      </text>
    </comment>
    <comment ref="C113" authorId="0" shapeId="0">
      <text>
        <r>
          <rPr>
            <b/>
            <sz val="9"/>
            <color indexed="81"/>
            <rFont val="Tahoma"/>
            <family val="2"/>
            <charset val="238"/>
          </rPr>
          <t>Cerny:</t>
        </r>
        <r>
          <rPr>
            <sz val="9"/>
            <color indexed="81"/>
            <rFont val="Tahoma"/>
            <family val="2"/>
            <charset val="238"/>
          </rPr>
          <t xml:space="preserve">
The same structure as for utility PV. ETRI does not provide separate data for residential.</t>
        </r>
      </text>
    </comment>
    <comment ref="C114" authorId="0" shapeId="0">
      <text>
        <r>
          <rPr>
            <b/>
            <sz val="9"/>
            <color indexed="81"/>
            <rFont val="Tahoma"/>
            <family val="2"/>
            <charset val="238"/>
          </rPr>
          <t>Cerny:</t>
        </r>
        <r>
          <rPr>
            <sz val="9"/>
            <color indexed="81"/>
            <rFont val="Tahoma"/>
            <family val="2"/>
            <charset val="238"/>
          </rPr>
          <t xml:space="preserve">
The same structure as for utility PV. ETRI does not provide separate data for residential.</t>
        </r>
      </text>
    </comment>
    <comment ref="C115" authorId="0" shapeId="0">
      <text>
        <r>
          <rPr>
            <b/>
            <sz val="9"/>
            <color indexed="81"/>
            <rFont val="Tahoma"/>
            <family val="2"/>
            <charset val="238"/>
          </rPr>
          <t>Cerny:</t>
        </r>
        <r>
          <rPr>
            <sz val="9"/>
            <color indexed="81"/>
            <rFont val="Tahoma"/>
            <family val="2"/>
            <charset val="238"/>
          </rPr>
          <t xml:space="preserve">
The same structure as for utility PV. ETRI does not provide separate data for residential.</t>
        </r>
      </text>
    </comment>
  </commentList>
</comments>
</file>

<file path=xl/comments10.xml><?xml version="1.0" encoding="utf-8"?>
<comments xmlns="http://schemas.openxmlformats.org/spreadsheetml/2006/main">
  <authors>
    <author>Cerny</author>
  </authors>
  <commentList>
    <comment ref="D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4" authorId="0" shapeId="0">
      <text>
        <r>
          <rPr>
            <b/>
            <sz val="9"/>
            <color indexed="81"/>
            <rFont val="Tahoma"/>
            <charset val="1"/>
          </rPr>
          <t>Cerny:</t>
        </r>
        <r>
          <rPr>
            <sz val="9"/>
            <color indexed="81"/>
            <rFont val="Tahoma"/>
            <charset val="1"/>
          </rPr>
          <t xml:space="preserve">
"Material efficiency and circularity" added to the secondary steel production (although not modeled separately by technology of production)</t>
        </r>
      </text>
    </comment>
    <comment ref="C5" authorId="0" shapeId="0">
      <text>
        <r>
          <rPr>
            <b/>
            <sz val="9"/>
            <color indexed="81"/>
            <rFont val="Tahoma"/>
            <charset val="1"/>
          </rPr>
          <t>Cerny:</t>
        </r>
        <r>
          <rPr>
            <sz val="9"/>
            <color indexed="81"/>
            <rFont val="Tahoma"/>
            <charset val="1"/>
          </rPr>
          <t xml:space="preserve">
"Material efficiency and circularity" added to the secondary steel production (although not modeled separately by technology of production)</t>
        </r>
      </text>
    </comment>
    <comment ref="C6" authorId="0" shapeId="0">
      <text>
        <r>
          <rPr>
            <b/>
            <sz val="9"/>
            <color indexed="81"/>
            <rFont val="Tahoma"/>
            <charset val="1"/>
          </rPr>
          <t>Cerny:</t>
        </r>
        <r>
          <rPr>
            <sz val="9"/>
            <color indexed="81"/>
            <rFont val="Tahoma"/>
            <charset val="1"/>
          </rPr>
          <t xml:space="preserve">
"Material efficiency and circularity" added to the secondary steel production (although not modeled separately by technology of production)</t>
        </r>
      </text>
    </comment>
    <comment ref="C7" authorId="0" shapeId="0">
      <text>
        <r>
          <rPr>
            <b/>
            <sz val="9"/>
            <color indexed="81"/>
            <rFont val="Tahoma"/>
            <family val="2"/>
            <charset val="238"/>
          </rPr>
          <t>Cerny:</t>
        </r>
        <r>
          <rPr>
            <sz val="9"/>
            <color indexed="81"/>
            <rFont val="Tahoma"/>
            <family val="2"/>
            <charset val="238"/>
          </rPr>
          <t xml:space="preserve">
Changes in the volume of production estimated from Figure 2.2 on p.72 and Figure 2.9 on p.90. Since the exact numerical information for the split between primary and secondary/recycled production is missing, we estimated the shares of the primary to secondary/recycled production based on the percentage shares given in the Figure 2.9 and on the overall volumes of production.</t>
        </r>
      </text>
    </comment>
    <comment ref="C8" authorId="0" shapeId="0">
      <text>
        <r>
          <rPr>
            <b/>
            <sz val="9"/>
            <color indexed="81"/>
            <rFont val="Tahoma"/>
            <charset val="1"/>
          </rPr>
          <t>Cerny:</t>
        </r>
        <r>
          <rPr>
            <sz val="9"/>
            <color indexed="81"/>
            <rFont val="Tahoma"/>
            <charset val="1"/>
          </rPr>
          <t xml:space="preserve">
"Material efficiency and circularity" added to the secondary steel production (although not modeled separately by technology of production)</t>
        </r>
      </text>
    </comment>
    <comment ref="A9" authorId="0" shapeId="0">
      <text>
        <r>
          <rPr>
            <b/>
            <sz val="9"/>
            <color indexed="81"/>
            <rFont val="Tahoma"/>
            <charset val="1"/>
          </rPr>
          <t>Cerny:</t>
        </r>
        <r>
          <rPr>
            <sz val="9"/>
            <color indexed="81"/>
            <rFont val="Tahoma"/>
            <charset val="1"/>
          </rPr>
          <t xml:space="preserve">
For scenario modeling purposes only</t>
        </r>
      </text>
    </comment>
    <comment ref="C9" authorId="0" shapeId="0">
      <text>
        <r>
          <rPr>
            <b/>
            <sz val="9"/>
            <color indexed="81"/>
            <rFont val="Tahoma"/>
            <family val="2"/>
            <charset val="238"/>
          </rPr>
          <t>Cerny:</t>
        </r>
        <r>
          <rPr>
            <sz val="9"/>
            <color indexed="81"/>
            <rFont val="Tahoma"/>
            <family val="2"/>
            <charset val="238"/>
          </rPr>
          <t xml:space="preserve">
Changes in the volume of production estimated from Figure 2.2 on p.72 and Figure 2.9 on p.90. Since the exact numerical information for the split between primary and secondary/recycled production is missing, we estimated the shares of the primary to secondary/recycled production based on the percentage shares given in the Figure 2.9 and on the overall volumes of production.</t>
        </r>
      </text>
    </comment>
    <comment ref="D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14" authorId="0" shapeId="0">
      <text>
        <r>
          <rPr>
            <b/>
            <sz val="9"/>
            <color indexed="81"/>
            <rFont val="Tahoma"/>
            <family val="2"/>
            <charset val="238"/>
          </rPr>
          <t>Cerny:</t>
        </r>
        <r>
          <rPr>
            <sz val="9"/>
            <color indexed="81"/>
            <rFont val="Tahoma"/>
            <family val="2"/>
            <charset val="238"/>
          </rPr>
          <t xml:space="preserve">
Changes in the volume of production estimated from Figure 4.3 on p.162 and Figure 4.10 on p.182. Since the exact numerical information for the split between primary and secondary/recycled production is missing, we assume the share of secondary production from the CCS pathway from Figure 4.10, which says that (for 2050) "minimum change to value chain" are assumed. We therefore take the share of "Materials efficiency and circular business models" from the CCS pathway for 2050 as the starting one for 2015 as well.</t>
        </r>
      </text>
    </comment>
    <comment ref="C16" authorId="0" shapeId="0">
      <text>
        <r>
          <rPr>
            <b/>
            <sz val="9"/>
            <color indexed="81"/>
            <rFont val="Tahoma"/>
            <family val="2"/>
            <charset val="238"/>
          </rPr>
          <t>Cerny:</t>
        </r>
        <r>
          <rPr>
            <sz val="9"/>
            <color indexed="81"/>
            <rFont val="Tahoma"/>
            <family val="2"/>
            <charset val="238"/>
          </rPr>
          <t xml:space="preserve">
Changes in the volume of production estimated from Figure 4.3 on p.162 and Figure 4.10 on p.182. Since the exact numerical information for the split between primary and secondary/recycled production is missing, we assume the share of secondary production from the CCS pathway from Figure 4.10, which says that (for 2050) "minimum change to value chain" are assumed. We therefore take the share of "Materials efficiency and circular business models" from the CCS pathway for 2050 as the starting one for 2015 as well.</t>
        </r>
      </text>
    </comment>
    <comment ref="D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21" authorId="0" shapeId="0">
      <text>
        <r>
          <rPr>
            <b/>
            <sz val="9"/>
            <color indexed="81"/>
            <rFont val="Tahoma"/>
            <charset val="1"/>
          </rPr>
          <t>Cerny:</t>
        </r>
        <r>
          <rPr>
            <sz val="9"/>
            <color indexed="81"/>
            <rFont val="Tahoma"/>
            <charset val="1"/>
          </rPr>
          <t xml:space="preserve">
Note - on p.102, Figure 3.1 shows overall 64+4 Mt of production in 2015. However, Figure 3.14 on p.133 suggests that the overall production is only cca 64 Mt altogether (primary + secondary/recycled). The explanatory note to Figure 3.1 does not explain this. Therefore we stick to Figure 3.14, which provides more guidance in terms of the overall production volumes and their proportional changes over the analysed period. We assume the share of secondary production from the Figure 3.14 as the starting point (+/- 4 Mt).</t>
        </r>
      </text>
    </comment>
    <comment ref="C23" authorId="0" shapeId="0">
      <text>
        <r>
          <rPr>
            <b/>
            <sz val="9"/>
            <color indexed="81"/>
            <rFont val="Tahoma"/>
            <charset val="1"/>
          </rPr>
          <t>Cerny:</t>
        </r>
        <r>
          <rPr>
            <sz val="9"/>
            <color indexed="81"/>
            <rFont val="Tahoma"/>
            <charset val="1"/>
          </rPr>
          <t xml:space="preserve">
Note - on p.102, Figure 3.1 shows overall 64+4 Mt of production in 2015. However, Figure 3.14 on p.133 suggests that the overall production is only cca 64 Mt altogether (primary + secondary/recycled). The explanatory note to Figure 3.1 does not explain this. Therefore we stick to Figure 3.14, which provides more guidance in terms of the overall production volumes and their proportional changes over the analysed period. We assume the share of secondary production from the Figure 3.14 as the starting point (+/- 4 Mt).</t>
        </r>
      </text>
    </comment>
    <comment ref="D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28" authorId="0" shapeId="0">
      <text>
        <r>
          <rPr>
            <b/>
            <sz val="9"/>
            <color indexed="81"/>
            <rFont val="Tahoma"/>
            <charset val="1"/>
          </rPr>
          <t>Cerny:</t>
        </r>
        <r>
          <rPr>
            <sz val="9"/>
            <color indexed="81"/>
            <rFont val="Tahoma"/>
            <charset val="1"/>
          </rPr>
          <t xml:space="preserve">
Accounting for further reduction in the production volumes given the share of "Materials efficiency and circular business models". "Materials recirculation" category spread equally to the production technologies considered in the scenario. We include the material efficiency and reductions since they are inherently part of the scenario.</t>
        </r>
      </text>
    </comment>
    <comment ref="D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A33" authorId="0" shapeId="0">
      <text>
        <r>
          <rPr>
            <b/>
            <sz val="9"/>
            <color indexed="81"/>
            <rFont val="Tahoma"/>
            <family val="2"/>
            <charset val="238"/>
          </rPr>
          <t>Cerny:</t>
        </r>
        <r>
          <rPr>
            <sz val="9"/>
            <color indexed="81"/>
            <rFont val="Tahoma"/>
            <family val="2"/>
            <charset val="238"/>
          </rPr>
          <t xml:space="preserve">
Coal also contains broader "solids" according to the EU Reference Scenario 2016</t>
        </r>
      </text>
    </comment>
    <comment ref="D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34"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4"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4"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5"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5"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5"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6"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6"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6"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7"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7"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7"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8"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8"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8"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9"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9"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9"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0"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0"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0"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1"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1"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1"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2"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2"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2"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3"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3"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3"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4"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4"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4"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5"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5"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5"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6"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6"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6"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7"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7"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7"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A49" authorId="0" shapeId="0">
      <text>
        <r>
          <rPr>
            <b/>
            <sz val="9"/>
            <color indexed="81"/>
            <rFont val="Tahoma"/>
            <family val="2"/>
            <charset val="238"/>
          </rPr>
          <t>Cerny:</t>
        </r>
        <r>
          <rPr>
            <sz val="9"/>
            <color indexed="81"/>
            <rFont val="Tahoma"/>
            <family val="2"/>
            <charset val="238"/>
          </rPr>
          <t xml:space="preserve">
Coal also contains broader "solids" according to the EU Reference Scenario 2016</t>
        </r>
      </text>
    </comment>
    <comment ref="D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50"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0"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0"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1"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1"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1"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2"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2"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2"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3"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3"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3"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4"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4"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4"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5"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5"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5"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6"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6"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6"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7"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7"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7"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8"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8"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8"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9"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9"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9"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60"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0"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0"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61"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1"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1"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62"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2"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2"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63"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3"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3"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D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B66" authorId="0" shapeId="0">
      <text>
        <r>
          <rPr>
            <b/>
            <sz val="9"/>
            <color indexed="81"/>
            <rFont val="Tahoma"/>
            <family val="2"/>
            <charset val="238"/>
          </rPr>
          <t>Cerny:</t>
        </r>
        <r>
          <rPr>
            <sz val="9"/>
            <color indexed="81"/>
            <rFont val="Tahoma"/>
            <family val="2"/>
            <charset val="238"/>
          </rPr>
          <t xml:space="preserve">
Will be split to sectors later</t>
        </r>
      </text>
    </comment>
    <comment ref="C66"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6"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6"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A67" authorId="0" shapeId="0">
      <text>
        <r>
          <rPr>
            <b/>
            <sz val="9"/>
            <color indexed="81"/>
            <rFont val="Tahoma"/>
            <charset val="1"/>
          </rPr>
          <t>Cerny:</t>
        </r>
        <r>
          <rPr>
            <sz val="9"/>
            <color indexed="81"/>
            <rFont val="Tahoma"/>
            <charset val="1"/>
          </rPr>
          <t xml:space="preserve">
Petroleum</t>
        </r>
      </text>
    </comment>
    <comment ref="B67" authorId="0" shapeId="0">
      <text>
        <r>
          <rPr>
            <b/>
            <sz val="9"/>
            <color indexed="81"/>
            <rFont val="Tahoma"/>
            <family val="2"/>
            <charset val="238"/>
          </rPr>
          <t>Cerny:</t>
        </r>
        <r>
          <rPr>
            <sz val="9"/>
            <color indexed="81"/>
            <rFont val="Tahoma"/>
            <family val="2"/>
            <charset val="238"/>
          </rPr>
          <t xml:space="preserve">
Will be split to sectors later</t>
        </r>
      </text>
    </comment>
    <comment ref="C67"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7"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7"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B68" authorId="0" shapeId="0">
      <text>
        <r>
          <rPr>
            <b/>
            <sz val="9"/>
            <color indexed="81"/>
            <rFont val="Tahoma"/>
            <family val="2"/>
            <charset val="238"/>
          </rPr>
          <t>Cerny:</t>
        </r>
        <r>
          <rPr>
            <sz val="9"/>
            <color indexed="81"/>
            <rFont val="Tahoma"/>
            <family val="2"/>
            <charset val="238"/>
          </rPr>
          <t xml:space="preserve">
Will be split to sectors later</t>
        </r>
      </text>
    </comment>
    <comment ref="C68"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8"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8"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B69" authorId="0" shapeId="0">
      <text>
        <r>
          <rPr>
            <b/>
            <sz val="9"/>
            <color indexed="81"/>
            <rFont val="Tahoma"/>
            <family val="2"/>
            <charset val="238"/>
          </rPr>
          <t>Cerny:</t>
        </r>
        <r>
          <rPr>
            <sz val="9"/>
            <color indexed="81"/>
            <rFont val="Tahoma"/>
            <family val="2"/>
            <charset val="238"/>
          </rPr>
          <t xml:space="preserve">
Will be split to sectors later</t>
        </r>
      </text>
    </comment>
    <comment ref="C69"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9"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9"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B70" authorId="0" shapeId="0">
      <text>
        <r>
          <rPr>
            <b/>
            <sz val="9"/>
            <color indexed="81"/>
            <rFont val="Tahoma"/>
            <family val="2"/>
            <charset val="238"/>
          </rPr>
          <t>Cerny:</t>
        </r>
        <r>
          <rPr>
            <sz val="9"/>
            <color indexed="81"/>
            <rFont val="Tahoma"/>
            <family val="2"/>
            <charset val="238"/>
          </rPr>
          <t xml:space="preserve">
Will be split to sectors later</t>
        </r>
      </text>
    </comment>
    <comment ref="C70"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70"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70"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B71" authorId="0" shapeId="0">
      <text>
        <r>
          <rPr>
            <b/>
            <sz val="9"/>
            <color indexed="81"/>
            <rFont val="Tahoma"/>
            <family val="2"/>
            <charset val="238"/>
          </rPr>
          <t>Cerny:</t>
        </r>
        <r>
          <rPr>
            <sz val="9"/>
            <color indexed="81"/>
            <rFont val="Tahoma"/>
            <family val="2"/>
            <charset val="238"/>
          </rPr>
          <t xml:space="preserve">
Will be split to sectors later</t>
        </r>
      </text>
    </comment>
    <comment ref="C71"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71"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71"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72"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72"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72"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List>
</comments>
</file>

<file path=xl/comments11.xml><?xml version="1.0" encoding="utf-8"?>
<comments xmlns="http://schemas.openxmlformats.org/spreadsheetml/2006/main">
  <authors>
    <author>Cerny</author>
  </authors>
  <commentList>
    <comment ref="D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4" authorId="0" shapeId="0">
      <text>
        <r>
          <rPr>
            <b/>
            <sz val="9"/>
            <color indexed="81"/>
            <rFont val="Tahoma"/>
            <charset val="1"/>
          </rPr>
          <t>Cerny:</t>
        </r>
        <r>
          <rPr>
            <sz val="9"/>
            <color indexed="81"/>
            <rFont val="Tahoma"/>
            <charset val="1"/>
          </rPr>
          <t xml:space="preserve">
"Material efficiency and circularity" added to the secondary steel production (although not modeled separately by technology of production)</t>
        </r>
      </text>
    </comment>
    <comment ref="C5" authorId="0" shapeId="0">
      <text>
        <r>
          <rPr>
            <b/>
            <sz val="9"/>
            <color indexed="81"/>
            <rFont val="Tahoma"/>
            <charset val="1"/>
          </rPr>
          <t>Cerny:</t>
        </r>
        <r>
          <rPr>
            <sz val="9"/>
            <color indexed="81"/>
            <rFont val="Tahoma"/>
            <charset val="1"/>
          </rPr>
          <t xml:space="preserve">
"Material efficiency and circularity" added to the secondary steel production (although not modeled separately by technology of production)</t>
        </r>
      </text>
    </comment>
    <comment ref="C6" authorId="0" shapeId="0">
      <text>
        <r>
          <rPr>
            <b/>
            <sz val="9"/>
            <color indexed="81"/>
            <rFont val="Tahoma"/>
            <charset val="1"/>
          </rPr>
          <t>Cerny:</t>
        </r>
        <r>
          <rPr>
            <sz val="9"/>
            <color indexed="81"/>
            <rFont val="Tahoma"/>
            <charset val="1"/>
          </rPr>
          <t xml:space="preserve">
"Material efficiency and circularity" added to the secondary steel production (although not modeled separately by technology of production)</t>
        </r>
      </text>
    </comment>
    <comment ref="C7" authorId="0" shapeId="0">
      <text>
        <r>
          <rPr>
            <b/>
            <sz val="9"/>
            <color indexed="81"/>
            <rFont val="Tahoma"/>
            <family val="2"/>
            <charset val="238"/>
          </rPr>
          <t>Cerny:</t>
        </r>
        <r>
          <rPr>
            <sz val="9"/>
            <color indexed="81"/>
            <rFont val="Tahoma"/>
            <family val="2"/>
            <charset val="238"/>
          </rPr>
          <t xml:space="preserve">
Changes in the volume of production estimated from Figure 2.2 on p.72 and Figure 2.9 on p.90. Since the exact numerical information for the split between primary and secondary/recycled production is missing, we estimated the shares of the primary to secondary/recycled production based on the percentage shares given in the Figure 2.9 and on the overall volumes of production.</t>
        </r>
      </text>
    </comment>
    <comment ref="C8" authorId="0" shapeId="0">
      <text>
        <r>
          <rPr>
            <b/>
            <sz val="9"/>
            <color indexed="81"/>
            <rFont val="Tahoma"/>
            <charset val="1"/>
          </rPr>
          <t>Cerny:</t>
        </r>
        <r>
          <rPr>
            <sz val="9"/>
            <color indexed="81"/>
            <rFont val="Tahoma"/>
            <charset val="1"/>
          </rPr>
          <t xml:space="preserve">
"Material efficiency and circularity" added to the secondary steel production (although not modeled separately by technology of production)</t>
        </r>
      </text>
    </comment>
    <comment ref="A9" authorId="0" shapeId="0">
      <text>
        <r>
          <rPr>
            <b/>
            <sz val="9"/>
            <color indexed="81"/>
            <rFont val="Tahoma"/>
            <charset val="1"/>
          </rPr>
          <t>Cerny:</t>
        </r>
        <r>
          <rPr>
            <sz val="9"/>
            <color indexed="81"/>
            <rFont val="Tahoma"/>
            <charset val="1"/>
          </rPr>
          <t xml:space="preserve">
For scenario modeling purposes only</t>
        </r>
      </text>
    </comment>
    <comment ref="C9" authorId="0" shapeId="0">
      <text>
        <r>
          <rPr>
            <b/>
            <sz val="9"/>
            <color indexed="81"/>
            <rFont val="Tahoma"/>
            <family val="2"/>
            <charset val="238"/>
          </rPr>
          <t>Cerny:</t>
        </r>
        <r>
          <rPr>
            <sz val="9"/>
            <color indexed="81"/>
            <rFont val="Tahoma"/>
            <family val="2"/>
            <charset val="238"/>
          </rPr>
          <t xml:space="preserve">
Changes in the volume of production estimated from Figure 2.2 on p.72 and Figure 2.9 on p.90. Since the exact numerical information for the split between primary and secondary/recycled production is missing, we estimated the shares of the primary to secondary/recycled production based on the percentage shares given in the Figure 2.9 and on the overall volumes of production.</t>
        </r>
      </text>
    </comment>
    <comment ref="D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14" authorId="0" shapeId="0">
      <text>
        <r>
          <rPr>
            <b/>
            <sz val="9"/>
            <color indexed="81"/>
            <rFont val="Tahoma"/>
            <family val="2"/>
            <charset val="238"/>
          </rPr>
          <t>Cerny:</t>
        </r>
        <r>
          <rPr>
            <sz val="9"/>
            <color indexed="81"/>
            <rFont val="Tahoma"/>
            <family val="2"/>
            <charset val="238"/>
          </rPr>
          <t xml:space="preserve">
Changes in the volume of production estimated from Figure 4.3 on p.162 and Figure 4.10 on p.182. Since the exact numerical information for the split between primary and secondary/recycled production is missing, we assume the share of secondary production from the CCS pathway from Figure 4.10, which says that (for 2050) "minimum change to value chain" are assumed. We therefore take the share of "Materials efficiency and circular business models" from the CCS pathway for 2050 as the starting one for 2015 as well.</t>
        </r>
      </text>
    </comment>
    <comment ref="C16" authorId="0" shapeId="0">
      <text>
        <r>
          <rPr>
            <b/>
            <sz val="9"/>
            <color indexed="81"/>
            <rFont val="Tahoma"/>
            <family val="2"/>
            <charset val="238"/>
          </rPr>
          <t>Cerny:</t>
        </r>
        <r>
          <rPr>
            <sz val="9"/>
            <color indexed="81"/>
            <rFont val="Tahoma"/>
            <family val="2"/>
            <charset val="238"/>
          </rPr>
          <t xml:space="preserve">
Changes in the volume of production estimated from Figure 4.3 on p.162 and Figure 4.10 on p.182. Since the exact numerical information for the split between primary and secondary/recycled production is missing, we assume the share of secondary production from the CCS pathway from Figure 4.10, which says that (for 2050) "minimum change to value chain" are assumed. We therefore take the share of "Materials efficiency and circular business models" from the CCS pathway for 2050 as the starting one for 2015 as well.</t>
        </r>
      </text>
    </comment>
    <comment ref="D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21" authorId="0" shapeId="0">
      <text>
        <r>
          <rPr>
            <b/>
            <sz val="9"/>
            <color indexed="81"/>
            <rFont val="Tahoma"/>
            <charset val="1"/>
          </rPr>
          <t>Cerny:</t>
        </r>
        <r>
          <rPr>
            <sz val="9"/>
            <color indexed="81"/>
            <rFont val="Tahoma"/>
            <charset val="1"/>
          </rPr>
          <t xml:space="preserve">
Note - on p.102, Figure 3.1 shows overall 64+4 Mt of production in 2015. However, Figure 3.14 on p.133 suggests that the overall production is only cca 64 Mt altogether (primary + secondary/recycled). The explanatory note to Figure 3.1 does not explain this. Therefore we stick to Figure 3.14, which provides more guidance in terms of the overall production volumes and their proportional changes over the analysed period. We assume the share of secondary production from the Figure 3.14 as the starting point (+/- 4 Mt).</t>
        </r>
      </text>
    </comment>
    <comment ref="C23" authorId="0" shapeId="0">
      <text>
        <r>
          <rPr>
            <b/>
            <sz val="9"/>
            <color indexed="81"/>
            <rFont val="Tahoma"/>
            <charset val="1"/>
          </rPr>
          <t>Cerny:</t>
        </r>
        <r>
          <rPr>
            <sz val="9"/>
            <color indexed="81"/>
            <rFont val="Tahoma"/>
            <charset val="1"/>
          </rPr>
          <t xml:space="preserve">
Note - on p.102, Figure 3.1 shows overall 64+4 Mt of production in 2015. However, Figure 3.14 on p.133 suggests that the overall production is only cca 64 Mt altogether (primary + secondary/recycled). The explanatory note to Figure 3.1 does not explain this. Therefore we stick to Figure 3.14, which provides more guidance in terms of the overall production volumes and their proportional changes over the analysed period. We assume the share of secondary production from the Figure 3.14 as the starting point (+/- 4 Mt).</t>
        </r>
      </text>
    </comment>
    <comment ref="D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28" authorId="0" shapeId="0">
      <text>
        <r>
          <rPr>
            <b/>
            <sz val="9"/>
            <color indexed="81"/>
            <rFont val="Tahoma"/>
            <charset val="1"/>
          </rPr>
          <t>Cerny:</t>
        </r>
        <r>
          <rPr>
            <sz val="9"/>
            <color indexed="81"/>
            <rFont val="Tahoma"/>
            <charset val="1"/>
          </rPr>
          <t xml:space="preserve">
Accounting for further reduction in the production volumes given the share of "Materials efficiency and circular business models". "Materials recirculation" category spread equally to the production technologies considered in the scenario. We include the material efficiency and reductions since they are inherently part of the scenario.</t>
        </r>
      </text>
    </comment>
    <comment ref="D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30" authorId="0" shapeId="0">
      <text>
        <r>
          <rPr>
            <b/>
            <sz val="9"/>
            <color indexed="81"/>
            <rFont val="Tahoma"/>
            <charset val="1"/>
          </rPr>
          <t>Cerny:</t>
        </r>
        <r>
          <rPr>
            <sz val="9"/>
            <color indexed="81"/>
            <rFont val="Tahoma"/>
            <charset val="1"/>
          </rPr>
          <t xml:space="preserve">
TECH and TECH PHEV differentiate only in the shares of PHEV vs. BEV, which is beyond the scope of this model.</t>
        </r>
      </text>
    </comment>
    <comment ref="C31" authorId="0" shapeId="0">
      <text>
        <r>
          <rPr>
            <b/>
            <sz val="9"/>
            <color indexed="81"/>
            <rFont val="Tahoma"/>
            <charset val="1"/>
          </rPr>
          <t>Cerny:</t>
        </r>
        <r>
          <rPr>
            <sz val="9"/>
            <color indexed="81"/>
            <rFont val="Tahoma"/>
            <charset val="1"/>
          </rPr>
          <t xml:space="preserve">
TECH and TECH PHEV differentiate only in the shares of PHEV vs. BEV, which is beyond the scope of this model.</t>
        </r>
      </text>
    </comment>
    <comment ref="C32" authorId="0" shapeId="0">
      <text>
        <r>
          <rPr>
            <b/>
            <sz val="9"/>
            <color indexed="81"/>
            <rFont val="Tahoma"/>
            <charset val="1"/>
          </rPr>
          <t>Cerny:</t>
        </r>
        <r>
          <rPr>
            <sz val="9"/>
            <color indexed="81"/>
            <rFont val="Tahoma"/>
            <charset val="1"/>
          </rPr>
          <t xml:space="preserve">
TECH and TECH PHEV differentiate only in the shares of PHEV vs. BEV, which is beyond the scope of this model.</t>
        </r>
      </text>
    </comment>
    <comment ref="A33" authorId="0" shapeId="0">
      <text>
        <r>
          <rPr>
            <b/>
            <sz val="9"/>
            <color indexed="81"/>
            <rFont val="Tahoma"/>
            <family val="2"/>
            <charset val="238"/>
          </rPr>
          <t>Cerny:</t>
        </r>
        <r>
          <rPr>
            <sz val="9"/>
            <color indexed="81"/>
            <rFont val="Tahoma"/>
            <family val="2"/>
            <charset val="238"/>
          </rPr>
          <t xml:space="preserve">
Coal also contains broader "solids" according to the EU Reference Scenario 2016</t>
        </r>
      </text>
    </comment>
    <comment ref="D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34"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4"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4"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5"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5"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5"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6"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6"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6"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7"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7"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7"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8"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8"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8"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9"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9"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9"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0"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0"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0"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1"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1"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1"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2"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2"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2"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3"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3"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3"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4"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4"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4"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5"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5"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5"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6"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6"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6"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7"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7"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7"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A49" authorId="0" shapeId="0">
      <text>
        <r>
          <rPr>
            <b/>
            <sz val="9"/>
            <color indexed="81"/>
            <rFont val="Tahoma"/>
            <family val="2"/>
            <charset val="238"/>
          </rPr>
          <t>Cerny:</t>
        </r>
        <r>
          <rPr>
            <sz val="9"/>
            <color indexed="81"/>
            <rFont val="Tahoma"/>
            <family val="2"/>
            <charset val="238"/>
          </rPr>
          <t xml:space="preserve">
Coal also contains broader "solids" according to the EU Reference Scenario 2016</t>
        </r>
      </text>
    </comment>
    <comment ref="D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50"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0"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0"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1"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1"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1"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2"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2"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2"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3"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3"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3"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4"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4"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4"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5"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5"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5"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6"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6"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6"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7"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7"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7"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8"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8"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8"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9"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9"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9"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60"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0"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0"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61"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1"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1"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62"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2"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2"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63"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3"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3"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D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B66" authorId="0" shapeId="0">
      <text>
        <r>
          <rPr>
            <b/>
            <sz val="9"/>
            <color indexed="81"/>
            <rFont val="Tahoma"/>
            <family val="2"/>
            <charset val="238"/>
          </rPr>
          <t>Cerny:</t>
        </r>
        <r>
          <rPr>
            <sz val="9"/>
            <color indexed="81"/>
            <rFont val="Tahoma"/>
            <family val="2"/>
            <charset val="238"/>
          </rPr>
          <t xml:space="preserve">
Will be split to sectors later</t>
        </r>
      </text>
    </comment>
    <comment ref="C66"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6"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6"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A67" authorId="0" shapeId="0">
      <text>
        <r>
          <rPr>
            <b/>
            <sz val="9"/>
            <color indexed="81"/>
            <rFont val="Tahoma"/>
            <charset val="1"/>
          </rPr>
          <t>Cerny:</t>
        </r>
        <r>
          <rPr>
            <sz val="9"/>
            <color indexed="81"/>
            <rFont val="Tahoma"/>
            <charset val="1"/>
          </rPr>
          <t xml:space="preserve">
Petroleum</t>
        </r>
      </text>
    </comment>
    <comment ref="B67" authorId="0" shapeId="0">
      <text>
        <r>
          <rPr>
            <b/>
            <sz val="9"/>
            <color indexed="81"/>
            <rFont val="Tahoma"/>
            <family val="2"/>
            <charset val="238"/>
          </rPr>
          <t>Cerny:</t>
        </r>
        <r>
          <rPr>
            <sz val="9"/>
            <color indexed="81"/>
            <rFont val="Tahoma"/>
            <family val="2"/>
            <charset val="238"/>
          </rPr>
          <t xml:space="preserve">
Will be split to sectors later</t>
        </r>
      </text>
    </comment>
    <comment ref="C67"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7"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7"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B68" authorId="0" shapeId="0">
      <text>
        <r>
          <rPr>
            <b/>
            <sz val="9"/>
            <color indexed="81"/>
            <rFont val="Tahoma"/>
            <family val="2"/>
            <charset val="238"/>
          </rPr>
          <t>Cerny:</t>
        </r>
        <r>
          <rPr>
            <sz val="9"/>
            <color indexed="81"/>
            <rFont val="Tahoma"/>
            <family val="2"/>
            <charset val="238"/>
          </rPr>
          <t xml:space="preserve">
Will be split to sectors later</t>
        </r>
      </text>
    </comment>
    <comment ref="C68"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8"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8"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B69" authorId="0" shapeId="0">
      <text>
        <r>
          <rPr>
            <b/>
            <sz val="9"/>
            <color indexed="81"/>
            <rFont val="Tahoma"/>
            <family val="2"/>
            <charset val="238"/>
          </rPr>
          <t>Cerny:</t>
        </r>
        <r>
          <rPr>
            <sz val="9"/>
            <color indexed="81"/>
            <rFont val="Tahoma"/>
            <family val="2"/>
            <charset val="238"/>
          </rPr>
          <t xml:space="preserve">
Will be split to sectors later</t>
        </r>
      </text>
    </comment>
    <comment ref="C69"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9"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9"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B70" authorId="0" shapeId="0">
      <text>
        <r>
          <rPr>
            <b/>
            <sz val="9"/>
            <color indexed="81"/>
            <rFont val="Tahoma"/>
            <family val="2"/>
            <charset val="238"/>
          </rPr>
          <t>Cerny:</t>
        </r>
        <r>
          <rPr>
            <sz val="9"/>
            <color indexed="81"/>
            <rFont val="Tahoma"/>
            <family val="2"/>
            <charset val="238"/>
          </rPr>
          <t xml:space="preserve">
Will be split to sectors later</t>
        </r>
      </text>
    </comment>
    <comment ref="C70"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70"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70"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B71" authorId="0" shapeId="0">
      <text>
        <r>
          <rPr>
            <b/>
            <sz val="9"/>
            <color indexed="81"/>
            <rFont val="Tahoma"/>
            <family val="2"/>
            <charset val="238"/>
          </rPr>
          <t>Cerny:</t>
        </r>
        <r>
          <rPr>
            <sz val="9"/>
            <color indexed="81"/>
            <rFont val="Tahoma"/>
            <family val="2"/>
            <charset val="238"/>
          </rPr>
          <t xml:space="preserve">
Will be split to sectors later</t>
        </r>
      </text>
    </comment>
    <comment ref="C71"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71"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71"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72"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72"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72"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List>
</comments>
</file>

<file path=xl/comments12.xml><?xml version="1.0" encoding="utf-8"?>
<comments xmlns="http://schemas.openxmlformats.org/spreadsheetml/2006/main">
  <authors>
    <author>Cerny</author>
  </authors>
  <commentList>
    <comment ref="D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4" authorId="0" shapeId="0">
      <text>
        <r>
          <rPr>
            <b/>
            <sz val="9"/>
            <color indexed="81"/>
            <rFont val="Tahoma"/>
            <charset val="1"/>
          </rPr>
          <t>Cerny:</t>
        </r>
        <r>
          <rPr>
            <sz val="9"/>
            <color indexed="81"/>
            <rFont val="Tahoma"/>
            <charset val="1"/>
          </rPr>
          <t xml:space="preserve">
"Material efficiency and circularity" added to the secondary steel production (although not modeled separately by technology of production)</t>
        </r>
      </text>
    </comment>
    <comment ref="C5" authorId="0" shapeId="0">
      <text>
        <r>
          <rPr>
            <b/>
            <sz val="9"/>
            <color indexed="81"/>
            <rFont val="Tahoma"/>
            <charset val="1"/>
          </rPr>
          <t>Cerny:</t>
        </r>
        <r>
          <rPr>
            <sz val="9"/>
            <color indexed="81"/>
            <rFont val="Tahoma"/>
            <charset val="1"/>
          </rPr>
          <t xml:space="preserve">
"Material efficiency and circularity" added to the secondary steel production (although not modeled separately by technology of production)</t>
        </r>
      </text>
    </comment>
    <comment ref="C6" authorId="0" shapeId="0">
      <text>
        <r>
          <rPr>
            <b/>
            <sz val="9"/>
            <color indexed="81"/>
            <rFont val="Tahoma"/>
            <charset val="1"/>
          </rPr>
          <t>Cerny:</t>
        </r>
        <r>
          <rPr>
            <sz val="9"/>
            <color indexed="81"/>
            <rFont val="Tahoma"/>
            <charset val="1"/>
          </rPr>
          <t xml:space="preserve">
"Material efficiency and circularity" added to the secondary steel production (although not modeled separately by technology of production)</t>
        </r>
      </text>
    </comment>
    <comment ref="C7" authorId="0" shapeId="0">
      <text>
        <r>
          <rPr>
            <b/>
            <sz val="9"/>
            <color indexed="81"/>
            <rFont val="Tahoma"/>
            <family val="2"/>
            <charset val="238"/>
          </rPr>
          <t>Cerny:</t>
        </r>
        <r>
          <rPr>
            <sz val="9"/>
            <color indexed="81"/>
            <rFont val="Tahoma"/>
            <family val="2"/>
            <charset val="238"/>
          </rPr>
          <t xml:space="preserve">
Changes in the volume of production estimated from Figure 2.2 on p.72 and Figure 2.9 on p.90. Since the exact numerical information for the split between primary and secondary/recycled production is missing, we estimated the shares of the primary to secondary/recycled production based on the percentage shares given in the Figure 2.9 and on the overall volumes of production. We add the reduction potential listed on p.79 (Figure 2.5) due to "Materials efficiency and circular business models" that is altogether 12+17+19+6=54 Mt.</t>
        </r>
      </text>
    </comment>
    <comment ref="C8" authorId="0" shapeId="0">
      <text>
        <r>
          <rPr>
            <b/>
            <sz val="9"/>
            <color indexed="81"/>
            <rFont val="Tahoma"/>
            <charset val="1"/>
          </rPr>
          <t>Cerny:</t>
        </r>
        <r>
          <rPr>
            <sz val="9"/>
            <color indexed="81"/>
            <rFont val="Tahoma"/>
            <charset val="1"/>
          </rPr>
          <t xml:space="preserve">
"Material efficiency and circularity" added to the secondary steel production (although not modeled separately by technology of production)</t>
        </r>
      </text>
    </comment>
    <comment ref="A9" authorId="0" shapeId="0">
      <text>
        <r>
          <rPr>
            <b/>
            <sz val="9"/>
            <color indexed="81"/>
            <rFont val="Tahoma"/>
            <charset val="1"/>
          </rPr>
          <t>Cerny:</t>
        </r>
        <r>
          <rPr>
            <sz val="9"/>
            <color indexed="81"/>
            <rFont val="Tahoma"/>
            <charset val="1"/>
          </rPr>
          <t xml:space="preserve">
For scenario modeling purposes only</t>
        </r>
      </text>
    </comment>
    <comment ref="C9" authorId="0" shapeId="0">
      <text>
        <r>
          <rPr>
            <b/>
            <sz val="9"/>
            <color indexed="81"/>
            <rFont val="Tahoma"/>
            <family val="2"/>
            <charset val="238"/>
          </rPr>
          <t>Cerny:</t>
        </r>
        <r>
          <rPr>
            <sz val="9"/>
            <color indexed="81"/>
            <rFont val="Tahoma"/>
            <family val="2"/>
            <charset val="238"/>
          </rPr>
          <t xml:space="preserve">
Changes in the volume of production estimated from Figure 2.2 on p.72 and Figure 2.9 on p.90. Since the exact numerical information for the split between primary and secondary/recycled production is missing, we estimated the shares of the primary to secondary/recycled production based on the percentage shares given in the Figure 2.9 and on the overall volumes of production. We add the reduction potential listed on p.79 (Figure 2.5) due to "Materials efficiency and circular business models" that is altogether 12+17+19+6=54 Mt.</t>
        </r>
      </text>
    </comment>
    <comment ref="D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14" authorId="0" shapeId="0">
      <text>
        <r>
          <rPr>
            <b/>
            <sz val="9"/>
            <color indexed="81"/>
            <rFont val="Tahoma"/>
            <family val="2"/>
            <charset val="238"/>
          </rPr>
          <t>Cerny:</t>
        </r>
        <r>
          <rPr>
            <sz val="9"/>
            <color indexed="81"/>
            <rFont val="Tahoma"/>
            <family val="2"/>
            <charset val="238"/>
          </rPr>
          <t xml:space="preserve">
Changes in the volume of production estimated from Figure 4.3 on p.162 and Figure 4.10 on p.182. Since the exact numerical information for the split between primary and secondary/recycled production is missing, we assume the share of secondary production from the CCS pathway from Figure 4.10, which says that (for 2050) "minimum change to value chain" are assumed. We therefore take the share of "Materials efficiency and circular business models" from the CCS pathway for 2050 as the starting one for 2015 as well. We add the reduction potential listed in the Strech scenario on p.166 (Figure 4.5) due to "Materials efficiency" that is 184-63=121 Mt.</t>
        </r>
      </text>
    </comment>
    <comment ref="C16" authorId="0" shapeId="0">
      <text>
        <r>
          <rPr>
            <b/>
            <sz val="9"/>
            <color indexed="81"/>
            <rFont val="Tahoma"/>
            <family val="2"/>
            <charset val="238"/>
          </rPr>
          <t>Cerny:</t>
        </r>
        <r>
          <rPr>
            <sz val="9"/>
            <color indexed="81"/>
            <rFont val="Tahoma"/>
            <family val="2"/>
            <charset val="238"/>
          </rPr>
          <t xml:space="preserve">
Changes in the volume of production estimated from Figure 4.3 on p.162 and Figure 4.10 on p.182. Since the exact numerical information for the split between primary and secondary/recycled production is missing, we assume the share of secondary production from the CCS pathway from Figure 4.10, which says that (for 2050) "minimum change to value chain" are assumed. We therefore take the share of "Materials efficiency and circular business models" from the CCS pathway for 2050 as the starting one for 2015 as well. We add the reduction potential listed in the Strech scenario on p.166 (Figure 4.5) due to "Materials efficiency" that is 184-63=121 Mt.</t>
        </r>
      </text>
    </comment>
    <comment ref="D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21" authorId="0" shapeId="0">
      <text>
        <r>
          <rPr>
            <b/>
            <sz val="9"/>
            <color indexed="81"/>
            <rFont val="Tahoma"/>
            <charset val="1"/>
          </rPr>
          <t>Cerny:</t>
        </r>
        <r>
          <rPr>
            <sz val="9"/>
            <color indexed="81"/>
            <rFont val="Tahoma"/>
            <charset val="1"/>
          </rPr>
          <t xml:space="preserve">
Note - on p.102, Figure 3.1 shows overall 64+4 Mt of production in 2015. However, Figure 3.14 on p.133 suggests that the overall production is only cca 64 Mt altogether (primary + secondary/recycled). The explanatory note to Figure 3.1 does not explain this. Therefore we stick to Figure 3.14, which provides more guidance in terms of the overall production volumes and their proportional changes over the analysed period. We assume the share of secondary production from the Figure 3.14 as the starting point (+/- 4 Mt). We add the reduction potential listed on p.119 (Figure 3.9) due to "Materials efficiency and circular business models" that is 13 Mt.</t>
        </r>
      </text>
    </comment>
    <comment ref="C23" authorId="0" shapeId="0">
      <text>
        <r>
          <rPr>
            <b/>
            <sz val="9"/>
            <color indexed="81"/>
            <rFont val="Tahoma"/>
            <charset val="1"/>
          </rPr>
          <t>Cerny:</t>
        </r>
        <r>
          <rPr>
            <sz val="9"/>
            <color indexed="81"/>
            <rFont val="Tahoma"/>
            <charset val="1"/>
          </rPr>
          <t xml:space="preserve">
Note - on p.102, Figure 3.1 shows overall 64+4 Mt of production in 2015. However, Figure 3.14 on p.133 suggests that the overall production is only cca 64 Mt altogether (primary + secondary/recycled). The explanatory note to Figure 3.1 does not explain this. Therefore we stick to Figure 3.14, which provides more guidance in terms of the overall production volumes and their proportional changes over the analysed period. We assume the share of secondary production from the Figure 3.14 as the starting point (+/- 4 Mt). We add the reduction potential listed on p.119 (Figure 3.9) due to "Materials efficiency and circular business models" that is 13 Mt.</t>
        </r>
      </text>
    </comment>
    <comment ref="D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28" authorId="0" shapeId="0">
      <text>
        <r>
          <rPr>
            <b/>
            <sz val="9"/>
            <color indexed="81"/>
            <rFont val="Tahoma"/>
            <charset val="1"/>
          </rPr>
          <t>Cerny:</t>
        </r>
        <r>
          <rPr>
            <sz val="9"/>
            <color indexed="81"/>
            <rFont val="Tahoma"/>
            <charset val="1"/>
          </rPr>
          <t xml:space="preserve">
Accounting for further reduction in the production volumes given the share of "Materials efficiency and circular business models". "Materials recirculation" category spread equally to the production technologies considered in the scenario.</t>
        </r>
      </text>
    </comment>
    <comment ref="D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30" authorId="0" shapeId="0">
      <text>
        <r>
          <rPr>
            <b/>
            <sz val="9"/>
            <color indexed="81"/>
            <rFont val="Tahoma"/>
            <charset val="1"/>
          </rPr>
          <t>Cerny:</t>
        </r>
        <r>
          <rPr>
            <sz val="9"/>
            <color indexed="81"/>
            <rFont val="Tahoma"/>
            <charset val="1"/>
          </rPr>
          <t xml:space="preserve">
TECH and TECH PHEV differentiate only in the shares of PHEV vs. BEV, which is beyond the scope of this model.</t>
        </r>
      </text>
    </comment>
    <comment ref="C31" authorId="0" shapeId="0">
      <text>
        <r>
          <rPr>
            <b/>
            <sz val="9"/>
            <color indexed="81"/>
            <rFont val="Tahoma"/>
            <charset val="1"/>
          </rPr>
          <t>Cerny:</t>
        </r>
        <r>
          <rPr>
            <sz val="9"/>
            <color indexed="81"/>
            <rFont val="Tahoma"/>
            <charset val="1"/>
          </rPr>
          <t xml:space="preserve">
TECH and TECH PHEV differentiate only in the shares of PHEV vs. BEV, which is beyond the scope of this model.</t>
        </r>
      </text>
    </comment>
    <comment ref="C32" authorId="0" shapeId="0">
      <text>
        <r>
          <rPr>
            <b/>
            <sz val="9"/>
            <color indexed="81"/>
            <rFont val="Tahoma"/>
            <charset val="1"/>
          </rPr>
          <t>Cerny:</t>
        </r>
        <r>
          <rPr>
            <sz val="9"/>
            <color indexed="81"/>
            <rFont val="Tahoma"/>
            <charset val="1"/>
          </rPr>
          <t xml:space="preserve">
TECH and TECH PHEV differentiate only in the shares of PHEV vs. BEV, which is beyond the scope of this model.</t>
        </r>
      </text>
    </comment>
    <comment ref="A33" authorId="0" shapeId="0">
      <text>
        <r>
          <rPr>
            <b/>
            <sz val="9"/>
            <color indexed="81"/>
            <rFont val="Tahoma"/>
            <family val="2"/>
            <charset val="238"/>
          </rPr>
          <t>Cerny:</t>
        </r>
        <r>
          <rPr>
            <sz val="9"/>
            <color indexed="81"/>
            <rFont val="Tahoma"/>
            <family val="2"/>
            <charset val="238"/>
          </rPr>
          <t xml:space="preserve">
Coal also contains broader "solids" according to the EU Reference Scenario 2016</t>
        </r>
      </text>
    </comment>
    <comment ref="D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34"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4"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4"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5"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5"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5"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6"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6"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6"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7"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7"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7"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8"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8"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8"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39"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39"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39"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0"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0"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0"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1"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1"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1"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2"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2"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2"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3"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3"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3"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4"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4"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4"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5"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5"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5"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6"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6"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6"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47"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47"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47"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A49" authorId="0" shapeId="0">
      <text>
        <r>
          <rPr>
            <b/>
            <sz val="9"/>
            <color indexed="81"/>
            <rFont val="Tahoma"/>
            <family val="2"/>
            <charset val="238"/>
          </rPr>
          <t>Cerny:</t>
        </r>
        <r>
          <rPr>
            <sz val="9"/>
            <color indexed="81"/>
            <rFont val="Tahoma"/>
            <family val="2"/>
            <charset val="238"/>
          </rPr>
          <t xml:space="preserve">
Coal also contains broader "solids" according to the EU Reference Scenario 2016</t>
        </r>
      </text>
    </comment>
    <comment ref="D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50"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0"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0"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1"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1"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1"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2"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2"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2"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3"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3"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3"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4"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4"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4"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5"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5"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5"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6"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6"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6"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7"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7"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7"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8"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8"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8"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59"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59"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59"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60"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0"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0"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61"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1"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1"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62"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2"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2"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63"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3"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3"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D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B66" authorId="0" shapeId="0">
      <text>
        <r>
          <rPr>
            <b/>
            <sz val="9"/>
            <color indexed="81"/>
            <rFont val="Tahoma"/>
            <family val="2"/>
            <charset val="238"/>
          </rPr>
          <t>Cerny:</t>
        </r>
        <r>
          <rPr>
            <sz val="9"/>
            <color indexed="81"/>
            <rFont val="Tahoma"/>
            <family val="2"/>
            <charset val="238"/>
          </rPr>
          <t xml:space="preserve">
Will be split to sectors later</t>
        </r>
      </text>
    </comment>
    <comment ref="C66"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6"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6"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A67" authorId="0" shapeId="0">
      <text>
        <r>
          <rPr>
            <b/>
            <sz val="9"/>
            <color indexed="81"/>
            <rFont val="Tahoma"/>
            <charset val="1"/>
          </rPr>
          <t>Cerny:</t>
        </r>
        <r>
          <rPr>
            <sz val="9"/>
            <color indexed="81"/>
            <rFont val="Tahoma"/>
            <charset val="1"/>
          </rPr>
          <t xml:space="preserve">
Petroleum</t>
        </r>
      </text>
    </comment>
    <comment ref="B67" authorId="0" shapeId="0">
      <text>
        <r>
          <rPr>
            <b/>
            <sz val="9"/>
            <color indexed="81"/>
            <rFont val="Tahoma"/>
            <family val="2"/>
            <charset val="238"/>
          </rPr>
          <t>Cerny:</t>
        </r>
        <r>
          <rPr>
            <sz val="9"/>
            <color indexed="81"/>
            <rFont val="Tahoma"/>
            <family val="2"/>
            <charset val="238"/>
          </rPr>
          <t xml:space="preserve">
Will be split to sectors later</t>
        </r>
      </text>
    </comment>
    <comment ref="C67"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7"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7"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B68" authorId="0" shapeId="0">
      <text>
        <r>
          <rPr>
            <b/>
            <sz val="9"/>
            <color indexed="81"/>
            <rFont val="Tahoma"/>
            <family val="2"/>
            <charset val="238"/>
          </rPr>
          <t>Cerny:</t>
        </r>
        <r>
          <rPr>
            <sz val="9"/>
            <color indexed="81"/>
            <rFont val="Tahoma"/>
            <family val="2"/>
            <charset val="238"/>
          </rPr>
          <t xml:space="preserve">
Will be split to sectors later</t>
        </r>
      </text>
    </comment>
    <comment ref="C68"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8"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8"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B69" authorId="0" shapeId="0">
      <text>
        <r>
          <rPr>
            <b/>
            <sz val="9"/>
            <color indexed="81"/>
            <rFont val="Tahoma"/>
            <family val="2"/>
            <charset val="238"/>
          </rPr>
          <t>Cerny:</t>
        </r>
        <r>
          <rPr>
            <sz val="9"/>
            <color indexed="81"/>
            <rFont val="Tahoma"/>
            <family val="2"/>
            <charset val="238"/>
          </rPr>
          <t xml:space="preserve">
Will be split to sectors later</t>
        </r>
      </text>
    </comment>
    <comment ref="C69"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69"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69"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B70" authorId="0" shapeId="0">
      <text>
        <r>
          <rPr>
            <b/>
            <sz val="9"/>
            <color indexed="81"/>
            <rFont val="Tahoma"/>
            <family val="2"/>
            <charset val="238"/>
          </rPr>
          <t>Cerny:</t>
        </r>
        <r>
          <rPr>
            <sz val="9"/>
            <color indexed="81"/>
            <rFont val="Tahoma"/>
            <family val="2"/>
            <charset val="238"/>
          </rPr>
          <t xml:space="preserve">
Will be split to sectors later</t>
        </r>
      </text>
    </comment>
    <comment ref="C70"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70"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70"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B71" authorId="0" shapeId="0">
      <text>
        <r>
          <rPr>
            <b/>
            <sz val="9"/>
            <color indexed="81"/>
            <rFont val="Tahoma"/>
            <family val="2"/>
            <charset val="238"/>
          </rPr>
          <t>Cerny:</t>
        </r>
        <r>
          <rPr>
            <sz val="9"/>
            <color indexed="81"/>
            <rFont val="Tahoma"/>
            <family val="2"/>
            <charset val="238"/>
          </rPr>
          <t xml:space="preserve">
Will be split to sectors later</t>
        </r>
      </text>
    </comment>
    <comment ref="C71"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71"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71"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 ref="C72" authorId="0" shapeId="0">
      <text>
        <r>
          <rPr>
            <b/>
            <sz val="9"/>
            <color indexed="81"/>
            <rFont val="Tahoma"/>
            <family val="2"/>
            <charset val="238"/>
          </rPr>
          <t>Cerny:</t>
        </r>
        <r>
          <rPr>
            <sz val="9"/>
            <color indexed="81"/>
            <rFont val="Tahoma"/>
            <family val="2"/>
            <charset val="238"/>
          </rPr>
          <t xml:space="preserve">
Due to missing projections from 2030 onwards, the trends for this period are based on the starting values in 2030 from the MIX/CP scenario, supplemented with trends in the changes of production from the EU 2020 Reference Scenario.</t>
        </r>
      </text>
    </comment>
    <comment ref="L72" authorId="0" shapeId="0">
      <text>
        <r>
          <rPr>
            <b/>
            <sz val="9"/>
            <color indexed="81"/>
            <rFont val="Tahoma"/>
            <family val="2"/>
            <charset val="238"/>
          </rPr>
          <t>Cerny:</t>
        </r>
        <r>
          <rPr>
            <sz val="9"/>
            <color indexed="81"/>
            <rFont val="Tahoma"/>
            <family val="2"/>
            <charset val="238"/>
          </rPr>
          <t xml:space="preserve">
Available at: https://energy.ec.europa.eu/data-and-analysis/energy-modelling/policy-scenarios-delivering-european-green-deal_en</t>
        </r>
      </text>
    </comment>
    <comment ref="M72" authorId="0" shapeId="0">
      <text>
        <r>
          <rPr>
            <b/>
            <sz val="9"/>
            <color indexed="81"/>
            <rFont val="Tahoma"/>
            <family val="2"/>
            <charset val="238"/>
          </rPr>
          <t>Cerny:</t>
        </r>
        <r>
          <rPr>
            <sz val="9"/>
            <color indexed="81"/>
            <rFont val="Tahoma"/>
            <family val="2"/>
            <charset val="238"/>
          </rPr>
          <t xml:space="preserve">
EU Reference Scenario 2020 available at: https://energy.ec.europa.eu/data-and-analysis/energy-modelling/eu-reference-scenario-2020_en</t>
        </r>
      </text>
    </comment>
  </commentList>
</comments>
</file>

<file path=xl/comments13.xml><?xml version="1.0" encoding="utf-8"?>
<comments xmlns="http://schemas.openxmlformats.org/spreadsheetml/2006/main">
  <authors>
    <author>Cerny</author>
  </authors>
  <commentList>
    <comment ref="D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4"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C5"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C6"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C7" authorId="0" shapeId="0">
      <text>
        <r>
          <rPr>
            <b/>
            <sz val="9"/>
            <color indexed="81"/>
            <rFont val="Tahoma"/>
            <family val="2"/>
            <charset val="238"/>
          </rPr>
          <t>Cerny:</t>
        </r>
        <r>
          <rPr>
            <sz val="9"/>
            <color indexed="81"/>
            <rFont val="Tahoma"/>
            <family val="2"/>
            <charset val="238"/>
          </rPr>
          <t xml:space="preserve">
Changes in the volume of production estimated from Figure 2.2 on p.72 and Figure 2.9 on p.90. Since the exact numerical information for the split between primary and secondary/recycled production is missing, we assume fixed shares of the primary to secondary/recycled production,and therefore we use the same pace of change in the volumes of production for each category (primary and secondary/recycled) derived from the overall change in the volume of production.</t>
        </r>
      </text>
    </comment>
    <comment ref="C8"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A9" authorId="0" shapeId="0">
      <text>
        <r>
          <rPr>
            <b/>
            <sz val="9"/>
            <color indexed="81"/>
            <rFont val="Tahoma"/>
            <charset val="1"/>
          </rPr>
          <t>Cerny:</t>
        </r>
        <r>
          <rPr>
            <sz val="9"/>
            <color indexed="81"/>
            <rFont val="Tahoma"/>
            <charset val="1"/>
          </rPr>
          <t xml:space="preserve">
For scenario modeling purposes only</t>
        </r>
      </text>
    </comment>
    <comment ref="C9" authorId="0" shapeId="0">
      <text>
        <r>
          <rPr>
            <b/>
            <sz val="9"/>
            <color indexed="81"/>
            <rFont val="Tahoma"/>
            <family val="2"/>
            <charset val="238"/>
          </rPr>
          <t>Cerny:</t>
        </r>
        <r>
          <rPr>
            <sz val="9"/>
            <color indexed="81"/>
            <rFont val="Tahoma"/>
            <family val="2"/>
            <charset val="238"/>
          </rPr>
          <t xml:space="preserve">
Changes in the volume of production estimated from Figure 2.2 on p.72 and Figure 2.9 on p.90. Since the exact numerical information for the split between primary and secondary/recycled production is missing, we assume fixed shares of the primary to secondary/recycled production,and therefore we use the same pace of change in the volumes of production for each category (primary and secondary/recycled) derived from the overall change in the volume of production.</t>
        </r>
      </text>
    </comment>
    <comment ref="D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10"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11"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C12"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C13"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C14" authorId="0" shapeId="0">
      <text>
        <r>
          <rPr>
            <b/>
            <sz val="9"/>
            <color indexed="81"/>
            <rFont val="Tahoma"/>
            <family val="2"/>
            <charset val="238"/>
          </rPr>
          <t>Cerny:</t>
        </r>
        <r>
          <rPr>
            <sz val="9"/>
            <color indexed="81"/>
            <rFont val="Tahoma"/>
            <family val="2"/>
            <charset val="238"/>
          </rPr>
          <t xml:space="preserve">
Changes in the volume of production estimated from Figure 4.3 on p.162 and Figure 4.10 on p.182. Since the exact numerical information for the split between primary and secondary/recycled production is missing, we assume fixed shares of the primary to secondary/recycled production, and therefore we use the same pace of change in the volumes of production for each category (primary and secondary/recycled) derived from the overall change in the volume of production.</t>
        </r>
      </text>
    </comment>
    <comment ref="C15"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C16" authorId="0" shapeId="0">
      <text>
        <r>
          <rPr>
            <b/>
            <sz val="9"/>
            <color indexed="81"/>
            <rFont val="Tahoma"/>
            <family val="2"/>
            <charset val="238"/>
          </rPr>
          <t>Cerny:</t>
        </r>
        <r>
          <rPr>
            <sz val="9"/>
            <color indexed="81"/>
            <rFont val="Tahoma"/>
            <family val="2"/>
            <charset val="238"/>
          </rPr>
          <t xml:space="preserve">
Changes in the volume of production estimated from Figure 4.3 on p.162 and Figure 4.10 on p.182. Since the exact numerical information for the split between primary and secondary/recycled production is missing, we assume fixed shares of the primary to secondary/recycled production, and therefore we use the same pace of change in the volumes of production for each category (primary and secondary/recycled) derived from the overall change in the volume of production.</t>
        </r>
      </text>
    </comment>
    <comment ref="D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17"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18"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C19"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C20"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C21" authorId="0" shapeId="0">
      <text>
        <r>
          <rPr>
            <b/>
            <sz val="9"/>
            <color indexed="81"/>
            <rFont val="Tahoma"/>
            <charset val="1"/>
          </rPr>
          <t>Cerny:</t>
        </r>
        <r>
          <rPr>
            <sz val="9"/>
            <color indexed="81"/>
            <rFont val="Tahoma"/>
            <charset val="1"/>
          </rPr>
          <t xml:space="preserve">
Note - on p.102, Figure 3.1 shows overall 64+4 Mt of production in 2015. However, Figure 3.14 on p.133 suggests that the overall production is only cca 64 Mt altogether (primary + secondary/recycled). The explanatory note to Figure 3.1 does not explain this. Therefore we stick to Figure 3.14, which provides more guidance in terms of the overall production volumes and their proportional changes over the analysed period.</t>
        </r>
      </text>
    </comment>
    <comment ref="C22"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C23" authorId="0" shapeId="0">
      <text>
        <r>
          <rPr>
            <b/>
            <sz val="9"/>
            <color indexed="81"/>
            <rFont val="Tahoma"/>
            <charset val="1"/>
          </rPr>
          <t>Cerny:</t>
        </r>
        <r>
          <rPr>
            <sz val="9"/>
            <color indexed="81"/>
            <rFont val="Tahoma"/>
            <charset val="1"/>
          </rPr>
          <t xml:space="preserve">
Note - on p.102, Figure 3.1 shows overall 64+4 Mt of production in 2015. However, Figure 3.14 on p.133 suggests that the overall production is only cca 64 Mt altogether (primary + secondary/recycled). The explanatory note to Figure 3.1 does not explain this. Therefore we stick to Figure 3.14, which provides more guidance in terms of the overall production volumes and their proportional changes over the analysed period.</t>
        </r>
      </text>
    </comment>
    <comment ref="D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24"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C25"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C26"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C27" authorId="0" shapeId="0">
      <text>
        <r>
          <rPr>
            <b/>
            <sz val="9"/>
            <color indexed="81"/>
            <rFont val="Tahoma"/>
            <charset val="1"/>
          </rPr>
          <t>Cerny:</t>
        </r>
        <r>
          <rPr>
            <sz val="9"/>
            <color indexed="81"/>
            <rFont val="Tahoma"/>
            <charset val="1"/>
          </rPr>
          <t xml:space="preserve">
BAU is not an official Material Economics scenario, it's a made-up reference scenario for comparison</t>
        </r>
      </text>
    </comment>
    <comment ref="D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2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M30" authorId="0" shapeId="0">
      <text>
        <r>
          <rPr>
            <b/>
            <sz val="9"/>
            <color indexed="81"/>
            <rFont val="Tahoma"/>
            <charset val="1"/>
          </rPr>
          <t>Cerny:</t>
        </r>
        <r>
          <rPr>
            <sz val="9"/>
            <color indexed="81"/>
            <rFont val="Tahoma"/>
            <charset val="1"/>
          </rPr>
          <t xml:space="preserve">
CPI scenario (REF too unrealistic)</t>
        </r>
      </text>
    </comment>
    <comment ref="M31" authorId="0" shapeId="0">
      <text>
        <r>
          <rPr>
            <b/>
            <sz val="9"/>
            <color indexed="81"/>
            <rFont val="Tahoma"/>
            <charset val="1"/>
          </rPr>
          <t>Cerny:</t>
        </r>
        <r>
          <rPr>
            <sz val="9"/>
            <color indexed="81"/>
            <rFont val="Tahoma"/>
            <charset val="1"/>
          </rPr>
          <t xml:space="preserve">
CPI scenario (REF too unrealistic)</t>
        </r>
      </text>
    </comment>
    <comment ref="C32" authorId="0" shapeId="0">
      <text>
        <r>
          <rPr>
            <b/>
            <sz val="9"/>
            <color indexed="81"/>
            <rFont val="Tahoma"/>
            <family val="2"/>
            <charset val="238"/>
          </rPr>
          <t>Cerny:</t>
        </r>
        <r>
          <rPr>
            <sz val="9"/>
            <color indexed="81"/>
            <rFont val="Tahoma"/>
            <family val="2"/>
            <charset val="238"/>
          </rPr>
          <t xml:space="preserve">
Estimated values from Figure 2.2 on p.15 (actual numbers not listed anywhere).</t>
        </r>
      </text>
    </comment>
    <comment ref="A33" authorId="0" shapeId="0">
      <text>
        <r>
          <rPr>
            <b/>
            <sz val="9"/>
            <color indexed="81"/>
            <rFont val="Tahoma"/>
            <family val="2"/>
            <charset val="238"/>
          </rPr>
          <t>Cerny:</t>
        </r>
        <r>
          <rPr>
            <sz val="9"/>
            <color indexed="81"/>
            <rFont val="Tahoma"/>
            <family val="2"/>
            <charset val="238"/>
          </rPr>
          <t xml:space="preserve">
Coal also contains broader "solids" according to the EU Reference Scenario 2016</t>
        </r>
      </text>
    </comment>
    <comment ref="D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33"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L34"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34"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35"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35"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36"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36"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37"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37"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38"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38"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39"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39"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40"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40"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41"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41"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42"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42"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43"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43"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44"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44"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45"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45"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46"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46"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47"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47"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A49" authorId="0" shapeId="0">
      <text>
        <r>
          <rPr>
            <b/>
            <sz val="9"/>
            <color indexed="81"/>
            <rFont val="Tahoma"/>
            <family val="2"/>
            <charset val="238"/>
          </rPr>
          <t>Cerny:</t>
        </r>
        <r>
          <rPr>
            <sz val="9"/>
            <color indexed="81"/>
            <rFont val="Tahoma"/>
            <family val="2"/>
            <charset val="238"/>
          </rPr>
          <t xml:space="preserve">
Coal also contains broader "solids" according to the EU Reference Scenario 2016</t>
        </r>
      </text>
    </comment>
    <comment ref="D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49"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L50"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50"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51"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51"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52"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52"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53"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53"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54"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54"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55"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55"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56"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56"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57"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57"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58"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58"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59"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59"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60"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60"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61"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61"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62"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62"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63"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63"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D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E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F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G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H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I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J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K65" authorId="0" shapeId="0">
      <text>
        <r>
          <rPr>
            <b/>
            <sz val="9"/>
            <color indexed="81"/>
            <rFont val="Tahoma"/>
            <family val="2"/>
            <charset val="238"/>
          </rPr>
          <t>Cerny:</t>
        </r>
        <r>
          <rPr>
            <sz val="9"/>
            <color indexed="81"/>
            <rFont val="Tahoma"/>
            <family val="2"/>
            <charset val="238"/>
          </rPr>
          <t xml:space="preserve">
If "pure" is given in physical volumes, it tells directly the volumes of production by each technology.
If "pure" is in percentages, it first tells the shares of each technology on the overall production of the given sector (in this case always the original, not disaggregated EXIOBASE sector), and is then directly multiplied by the overall change in production of this sector, so that the overall change in production by this technology (compared to the base year, i.e. 2015) is obtained. This means that the shares (=what adds up to 100% or the overall production for the later years, respectively) have to be derived separately for the technologies that belong to each sector.</t>
        </r>
      </text>
    </comment>
    <comment ref="B66" authorId="0" shapeId="0">
      <text>
        <r>
          <rPr>
            <b/>
            <sz val="9"/>
            <color indexed="81"/>
            <rFont val="Tahoma"/>
            <family val="2"/>
            <charset val="238"/>
          </rPr>
          <t>Cerny:</t>
        </r>
        <r>
          <rPr>
            <sz val="9"/>
            <color indexed="81"/>
            <rFont val="Tahoma"/>
            <family val="2"/>
            <charset val="238"/>
          </rPr>
          <t xml:space="preserve">
Will be split to sectors later</t>
        </r>
      </text>
    </comment>
    <comment ref="L66"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66"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A67" authorId="0" shapeId="0">
      <text>
        <r>
          <rPr>
            <b/>
            <sz val="9"/>
            <color indexed="81"/>
            <rFont val="Tahoma"/>
            <charset val="1"/>
          </rPr>
          <t>Cerny:</t>
        </r>
        <r>
          <rPr>
            <sz val="9"/>
            <color indexed="81"/>
            <rFont val="Tahoma"/>
            <charset val="1"/>
          </rPr>
          <t xml:space="preserve">
Petroleum</t>
        </r>
      </text>
    </comment>
    <comment ref="B67" authorId="0" shapeId="0">
      <text>
        <r>
          <rPr>
            <b/>
            <sz val="9"/>
            <color indexed="81"/>
            <rFont val="Tahoma"/>
            <family val="2"/>
            <charset val="238"/>
          </rPr>
          <t>Cerny:</t>
        </r>
        <r>
          <rPr>
            <sz val="9"/>
            <color indexed="81"/>
            <rFont val="Tahoma"/>
            <family val="2"/>
            <charset val="238"/>
          </rPr>
          <t xml:space="preserve">
Will be split to sectors later</t>
        </r>
      </text>
    </comment>
    <comment ref="L67"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67"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B68" authorId="0" shapeId="0">
      <text>
        <r>
          <rPr>
            <b/>
            <sz val="9"/>
            <color indexed="81"/>
            <rFont val="Tahoma"/>
            <family val="2"/>
            <charset val="238"/>
          </rPr>
          <t>Cerny:</t>
        </r>
        <r>
          <rPr>
            <sz val="9"/>
            <color indexed="81"/>
            <rFont val="Tahoma"/>
            <family val="2"/>
            <charset val="238"/>
          </rPr>
          <t xml:space="preserve">
Will be split to sectors later</t>
        </r>
      </text>
    </comment>
    <comment ref="L68"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68"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B69" authorId="0" shapeId="0">
      <text>
        <r>
          <rPr>
            <b/>
            <sz val="9"/>
            <color indexed="81"/>
            <rFont val="Tahoma"/>
            <family val="2"/>
            <charset val="238"/>
          </rPr>
          <t>Cerny:</t>
        </r>
        <r>
          <rPr>
            <sz val="9"/>
            <color indexed="81"/>
            <rFont val="Tahoma"/>
            <family val="2"/>
            <charset val="238"/>
          </rPr>
          <t xml:space="preserve">
Will be split to sectors later</t>
        </r>
      </text>
    </comment>
    <comment ref="L69"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69"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B70" authorId="0" shapeId="0">
      <text>
        <r>
          <rPr>
            <b/>
            <sz val="9"/>
            <color indexed="81"/>
            <rFont val="Tahoma"/>
            <family val="2"/>
            <charset val="238"/>
          </rPr>
          <t>Cerny:</t>
        </r>
        <r>
          <rPr>
            <sz val="9"/>
            <color indexed="81"/>
            <rFont val="Tahoma"/>
            <family val="2"/>
            <charset val="238"/>
          </rPr>
          <t xml:space="preserve">
Will be split to sectors later</t>
        </r>
      </text>
    </comment>
    <comment ref="L70"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70"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B71" authorId="0" shapeId="0">
      <text>
        <r>
          <rPr>
            <b/>
            <sz val="9"/>
            <color indexed="81"/>
            <rFont val="Tahoma"/>
            <family val="2"/>
            <charset val="238"/>
          </rPr>
          <t>Cerny:</t>
        </r>
        <r>
          <rPr>
            <sz val="9"/>
            <color indexed="81"/>
            <rFont val="Tahoma"/>
            <family val="2"/>
            <charset val="238"/>
          </rPr>
          <t xml:space="preserve">
Will be split to sectors later</t>
        </r>
      </text>
    </comment>
    <comment ref="L71"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71"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L72"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 ref="M72" authorId="0" shapeId="0">
      <text>
        <r>
          <rPr>
            <b/>
            <sz val="9"/>
            <color indexed="81"/>
            <rFont val="Tahoma"/>
            <family val="2"/>
            <charset val="238"/>
          </rPr>
          <t>Cerny:</t>
        </r>
        <r>
          <rPr>
            <sz val="9"/>
            <color indexed="81"/>
            <rFont val="Tahoma"/>
            <family val="2"/>
            <charset val="238"/>
          </rPr>
          <t xml:space="preserve">
Available at: https://energy.ec.europa.eu/data-and-analysis/energy-modelling/eu-reference-scenario-2020_en</t>
        </r>
      </text>
    </comment>
  </commentList>
</comments>
</file>

<file path=xl/comments14.xml><?xml version="1.0" encoding="utf-8"?>
<comments xmlns="http://schemas.openxmlformats.org/spreadsheetml/2006/main">
  <authors>
    <author>Cerny</author>
  </authors>
  <commentList>
    <comment ref="A25" authorId="0" shapeId="0">
      <text>
        <r>
          <rPr>
            <b/>
            <sz val="9"/>
            <color indexed="81"/>
            <rFont val="Tahoma"/>
            <family val="2"/>
            <charset val="238"/>
          </rPr>
          <t>Cerny:</t>
        </r>
        <r>
          <rPr>
            <sz val="9"/>
            <color indexed="81"/>
            <rFont val="Tahoma"/>
            <family val="2"/>
            <charset val="238"/>
          </rPr>
          <t xml:space="preserve">
Coal also contains broader "solids" according to the EU Reference Scenario 2016</t>
        </r>
      </text>
    </comment>
  </commentList>
</comments>
</file>

<file path=xl/comments15.xml><?xml version="1.0" encoding="utf-8"?>
<comments xmlns="http://schemas.openxmlformats.org/spreadsheetml/2006/main">
  <authors>
    <author>Cerny</author>
  </authors>
  <commentList>
    <comment ref="D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10"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10"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17"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17"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24"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24"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2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2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3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3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33" authorId="0" shapeId="0">
      <text>
        <r>
          <rPr>
            <b/>
            <sz val="9"/>
            <color indexed="81"/>
            <rFont val="Tahoma"/>
            <charset val="1"/>
          </rPr>
          <t>Cerny:</t>
        </r>
        <r>
          <rPr>
            <sz val="9"/>
            <color indexed="81"/>
            <rFont val="Tahoma"/>
            <charset val="1"/>
          </rPr>
          <t xml:space="preserve">
costdif not modeled.</t>
        </r>
      </text>
    </comment>
    <comment ref="M33" authorId="0" shapeId="0">
      <text>
        <r>
          <rPr>
            <b/>
            <sz val="9"/>
            <color indexed="81"/>
            <rFont val="Tahoma"/>
            <charset val="1"/>
          </rPr>
          <t>Cerny:</t>
        </r>
        <r>
          <rPr>
            <sz val="9"/>
            <color indexed="81"/>
            <rFont val="Tahoma"/>
            <charset val="1"/>
          </rPr>
          <t xml:space="preserve">
costdif not modeled.</t>
        </r>
      </text>
    </comment>
    <comment ref="N33" authorId="0" shapeId="0">
      <text>
        <r>
          <rPr>
            <b/>
            <sz val="9"/>
            <color indexed="81"/>
            <rFont val="Tahoma"/>
            <charset val="1"/>
          </rPr>
          <t>Cerny:</t>
        </r>
        <r>
          <rPr>
            <sz val="9"/>
            <color indexed="81"/>
            <rFont val="Tahoma"/>
            <charset val="1"/>
          </rPr>
          <t xml:space="preserve">
costdif not modeled.</t>
        </r>
      </text>
    </comment>
    <comment ref="O33" authorId="0" shapeId="0">
      <text>
        <r>
          <rPr>
            <b/>
            <sz val="9"/>
            <color indexed="81"/>
            <rFont val="Tahoma"/>
            <charset val="1"/>
          </rPr>
          <t>Cerny:</t>
        </r>
        <r>
          <rPr>
            <sz val="9"/>
            <color indexed="81"/>
            <rFont val="Tahoma"/>
            <charset val="1"/>
          </rPr>
          <t xml:space="preserve">
costdif not modeled.</t>
        </r>
      </text>
    </comment>
    <comment ref="P33" authorId="0" shapeId="0">
      <text>
        <r>
          <rPr>
            <b/>
            <sz val="9"/>
            <color indexed="81"/>
            <rFont val="Tahoma"/>
            <charset val="1"/>
          </rPr>
          <t>Cerny:</t>
        </r>
        <r>
          <rPr>
            <sz val="9"/>
            <color indexed="81"/>
            <rFont val="Tahoma"/>
            <charset val="1"/>
          </rPr>
          <t xml:space="preserve">
costdif not modeled.</t>
        </r>
      </text>
    </comment>
    <comment ref="Q33" authorId="0" shapeId="0">
      <text>
        <r>
          <rPr>
            <b/>
            <sz val="9"/>
            <color indexed="81"/>
            <rFont val="Tahoma"/>
            <charset val="1"/>
          </rPr>
          <t>Cerny:</t>
        </r>
        <r>
          <rPr>
            <sz val="9"/>
            <color indexed="81"/>
            <rFont val="Tahoma"/>
            <charset val="1"/>
          </rPr>
          <t xml:space="preserve">
costdif not modeled.</t>
        </r>
      </text>
    </comment>
    <comment ref="R33" authorId="0" shapeId="0">
      <text>
        <r>
          <rPr>
            <b/>
            <sz val="9"/>
            <color indexed="81"/>
            <rFont val="Tahoma"/>
            <charset val="1"/>
          </rPr>
          <t>Cerny:</t>
        </r>
        <r>
          <rPr>
            <sz val="9"/>
            <color indexed="81"/>
            <rFont val="Tahoma"/>
            <charset val="1"/>
          </rPr>
          <t xml:space="preserve">
costdif not modeled.</t>
        </r>
      </text>
    </comment>
    <comment ref="S33" authorId="0" shapeId="0">
      <text>
        <r>
          <rPr>
            <b/>
            <sz val="9"/>
            <color indexed="81"/>
            <rFont val="Tahoma"/>
            <charset val="1"/>
          </rPr>
          <t>Cerny:</t>
        </r>
        <r>
          <rPr>
            <sz val="9"/>
            <color indexed="81"/>
            <rFont val="Tahoma"/>
            <charset val="1"/>
          </rPr>
          <t xml:space="preserve">
costdif not modeled.</t>
        </r>
      </text>
    </comment>
    <comment ref="T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4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4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49" authorId="0" shapeId="0">
      <text>
        <r>
          <rPr>
            <b/>
            <sz val="9"/>
            <color indexed="81"/>
            <rFont val="Tahoma"/>
            <charset val="1"/>
          </rPr>
          <t>Cerny:</t>
        </r>
        <r>
          <rPr>
            <sz val="9"/>
            <color indexed="81"/>
            <rFont val="Tahoma"/>
            <charset val="1"/>
          </rPr>
          <t xml:space="preserve">
costdif not modeled.</t>
        </r>
      </text>
    </comment>
    <comment ref="M49" authorId="0" shapeId="0">
      <text>
        <r>
          <rPr>
            <b/>
            <sz val="9"/>
            <color indexed="81"/>
            <rFont val="Tahoma"/>
            <charset val="1"/>
          </rPr>
          <t>Cerny:</t>
        </r>
        <r>
          <rPr>
            <sz val="9"/>
            <color indexed="81"/>
            <rFont val="Tahoma"/>
            <charset val="1"/>
          </rPr>
          <t xml:space="preserve">
costdif not modeled.</t>
        </r>
      </text>
    </comment>
    <comment ref="N49" authorId="0" shapeId="0">
      <text>
        <r>
          <rPr>
            <b/>
            <sz val="9"/>
            <color indexed="81"/>
            <rFont val="Tahoma"/>
            <charset val="1"/>
          </rPr>
          <t>Cerny:</t>
        </r>
        <r>
          <rPr>
            <sz val="9"/>
            <color indexed="81"/>
            <rFont val="Tahoma"/>
            <charset val="1"/>
          </rPr>
          <t xml:space="preserve">
costdif not modeled.</t>
        </r>
      </text>
    </comment>
    <comment ref="O49" authorId="0" shapeId="0">
      <text>
        <r>
          <rPr>
            <b/>
            <sz val="9"/>
            <color indexed="81"/>
            <rFont val="Tahoma"/>
            <charset val="1"/>
          </rPr>
          <t>Cerny:</t>
        </r>
        <r>
          <rPr>
            <sz val="9"/>
            <color indexed="81"/>
            <rFont val="Tahoma"/>
            <charset val="1"/>
          </rPr>
          <t xml:space="preserve">
costdif not modeled.</t>
        </r>
      </text>
    </comment>
    <comment ref="P49" authorId="0" shapeId="0">
      <text>
        <r>
          <rPr>
            <b/>
            <sz val="9"/>
            <color indexed="81"/>
            <rFont val="Tahoma"/>
            <charset val="1"/>
          </rPr>
          <t>Cerny:</t>
        </r>
        <r>
          <rPr>
            <sz val="9"/>
            <color indexed="81"/>
            <rFont val="Tahoma"/>
            <charset val="1"/>
          </rPr>
          <t xml:space="preserve">
costdif not modeled.</t>
        </r>
      </text>
    </comment>
    <comment ref="Q49" authorId="0" shapeId="0">
      <text>
        <r>
          <rPr>
            <b/>
            <sz val="9"/>
            <color indexed="81"/>
            <rFont val="Tahoma"/>
            <charset val="1"/>
          </rPr>
          <t>Cerny:</t>
        </r>
        <r>
          <rPr>
            <sz val="9"/>
            <color indexed="81"/>
            <rFont val="Tahoma"/>
            <charset val="1"/>
          </rPr>
          <t xml:space="preserve">
costdif not modeled.</t>
        </r>
      </text>
    </comment>
    <comment ref="R49" authorId="0" shapeId="0">
      <text>
        <r>
          <rPr>
            <b/>
            <sz val="9"/>
            <color indexed="81"/>
            <rFont val="Tahoma"/>
            <charset val="1"/>
          </rPr>
          <t>Cerny:</t>
        </r>
        <r>
          <rPr>
            <sz val="9"/>
            <color indexed="81"/>
            <rFont val="Tahoma"/>
            <charset val="1"/>
          </rPr>
          <t xml:space="preserve">
costdif not modeled.</t>
        </r>
      </text>
    </comment>
    <comment ref="S49" authorId="0" shapeId="0">
      <text>
        <r>
          <rPr>
            <b/>
            <sz val="9"/>
            <color indexed="81"/>
            <rFont val="Tahoma"/>
            <charset val="1"/>
          </rPr>
          <t>Cerny:</t>
        </r>
        <r>
          <rPr>
            <sz val="9"/>
            <color indexed="81"/>
            <rFont val="Tahoma"/>
            <charset val="1"/>
          </rPr>
          <t xml:space="preserve">
costdif not modeled.</t>
        </r>
      </text>
    </comment>
    <comment ref="T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65"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65"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65" authorId="0" shapeId="0">
      <text>
        <r>
          <rPr>
            <b/>
            <sz val="9"/>
            <color indexed="81"/>
            <rFont val="Tahoma"/>
            <charset val="1"/>
          </rPr>
          <t>Cerny:</t>
        </r>
        <r>
          <rPr>
            <sz val="9"/>
            <color indexed="81"/>
            <rFont val="Tahoma"/>
            <charset val="1"/>
          </rPr>
          <t xml:space="preserve">
costdif not modeled.</t>
        </r>
      </text>
    </comment>
    <comment ref="M65" authorId="0" shapeId="0">
      <text>
        <r>
          <rPr>
            <b/>
            <sz val="9"/>
            <color indexed="81"/>
            <rFont val="Tahoma"/>
            <charset val="1"/>
          </rPr>
          <t>Cerny:</t>
        </r>
        <r>
          <rPr>
            <sz val="9"/>
            <color indexed="81"/>
            <rFont val="Tahoma"/>
            <charset val="1"/>
          </rPr>
          <t xml:space="preserve">
costdif not modeled.</t>
        </r>
      </text>
    </comment>
    <comment ref="N65" authorId="0" shapeId="0">
      <text>
        <r>
          <rPr>
            <b/>
            <sz val="9"/>
            <color indexed="81"/>
            <rFont val="Tahoma"/>
            <charset val="1"/>
          </rPr>
          <t>Cerny:</t>
        </r>
        <r>
          <rPr>
            <sz val="9"/>
            <color indexed="81"/>
            <rFont val="Tahoma"/>
            <charset val="1"/>
          </rPr>
          <t xml:space="preserve">
costdif not modeled.</t>
        </r>
      </text>
    </comment>
    <comment ref="O65" authorId="0" shapeId="0">
      <text>
        <r>
          <rPr>
            <b/>
            <sz val="9"/>
            <color indexed="81"/>
            <rFont val="Tahoma"/>
            <charset val="1"/>
          </rPr>
          <t>Cerny:</t>
        </r>
        <r>
          <rPr>
            <sz val="9"/>
            <color indexed="81"/>
            <rFont val="Tahoma"/>
            <charset val="1"/>
          </rPr>
          <t xml:space="preserve">
costdif not modeled.</t>
        </r>
      </text>
    </comment>
    <comment ref="P65" authorId="0" shapeId="0">
      <text>
        <r>
          <rPr>
            <b/>
            <sz val="9"/>
            <color indexed="81"/>
            <rFont val="Tahoma"/>
            <charset val="1"/>
          </rPr>
          <t>Cerny:</t>
        </r>
        <r>
          <rPr>
            <sz val="9"/>
            <color indexed="81"/>
            <rFont val="Tahoma"/>
            <charset val="1"/>
          </rPr>
          <t xml:space="preserve">
costdif not modeled.</t>
        </r>
      </text>
    </comment>
    <comment ref="Q65" authorId="0" shapeId="0">
      <text>
        <r>
          <rPr>
            <b/>
            <sz val="9"/>
            <color indexed="81"/>
            <rFont val="Tahoma"/>
            <charset val="1"/>
          </rPr>
          <t>Cerny:</t>
        </r>
        <r>
          <rPr>
            <sz val="9"/>
            <color indexed="81"/>
            <rFont val="Tahoma"/>
            <charset val="1"/>
          </rPr>
          <t xml:space="preserve">
costdif not modeled.</t>
        </r>
      </text>
    </comment>
    <comment ref="R65" authorId="0" shapeId="0">
      <text>
        <r>
          <rPr>
            <b/>
            <sz val="9"/>
            <color indexed="81"/>
            <rFont val="Tahoma"/>
            <charset val="1"/>
          </rPr>
          <t>Cerny:</t>
        </r>
        <r>
          <rPr>
            <sz val="9"/>
            <color indexed="81"/>
            <rFont val="Tahoma"/>
            <charset val="1"/>
          </rPr>
          <t xml:space="preserve">
costdif not modeled.</t>
        </r>
      </text>
    </comment>
    <comment ref="S65" authorId="0" shapeId="0">
      <text>
        <r>
          <rPr>
            <b/>
            <sz val="9"/>
            <color indexed="81"/>
            <rFont val="Tahoma"/>
            <charset val="1"/>
          </rPr>
          <t>Cerny:</t>
        </r>
        <r>
          <rPr>
            <sz val="9"/>
            <color indexed="81"/>
            <rFont val="Tahoma"/>
            <charset val="1"/>
          </rPr>
          <t xml:space="preserve">
costdif not modeled.</t>
        </r>
      </text>
    </comment>
    <comment ref="T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B66" authorId="0" shapeId="0">
      <text>
        <r>
          <rPr>
            <b/>
            <sz val="9"/>
            <color indexed="81"/>
            <rFont val="Tahoma"/>
            <family val="2"/>
            <charset val="238"/>
          </rPr>
          <t>Cerny:</t>
        </r>
        <r>
          <rPr>
            <sz val="9"/>
            <color indexed="81"/>
            <rFont val="Tahoma"/>
            <family val="2"/>
            <charset val="238"/>
          </rPr>
          <t xml:space="preserve">
Will be split to sectors later</t>
        </r>
      </text>
    </comment>
    <comment ref="B67" authorId="0" shapeId="0">
      <text>
        <r>
          <rPr>
            <b/>
            <sz val="9"/>
            <color indexed="81"/>
            <rFont val="Tahoma"/>
            <family val="2"/>
            <charset val="238"/>
          </rPr>
          <t>Cerny:</t>
        </r>
        <r>
          <rPr>
            <sz val="9"/>
            <color indexed="81"/>
            <rFont val="Tahoma"/>
            <family val="2"/>
            <charset val="238"/>
          </rPr>
          <t xml:space="preserve">
Will be split to sectors later</t>
        </r>
      </text>
    </comment>
    <comment ref="B68" authorId="0" shapeId="0">
      <text>
        <r>
          <rPr>
            <b/>
            <sz val="9"/>
            <color indexed="81"/>
            <rFont val="Tahoma"/>
            <family val="2"/>
            <charset val="238"/>
          </rPr>
          <t>Cerny:</t>
        </r>
        <r>
          <rPr>
            <sz val="9"/>
            <color indexed="81"/>
            <rFont val="Tahoma"/>
            <family val="2"/>
            <charset val="238"/>
          </rPr>
          <t xml:space="preserve">
Will be split to sectors later</t>
        </r>
      </text>
    </comment>
    <comment ref="B69" authorId="0" shapeId="0">
      <text>
        <r>
          <rPr>
            <b/>
            <sz val="9"/>
            <color indexed="81"/>
            <rFont val="Tahoma"/>
            <family val="2"/>
            <charset val="238"/>
          </rPr>
          <t>Cerny:</t>
        </r>
        <r>
          <rPr>
            <sz val="9"/>
            <color indexed="81"/>
            <rFont val="Tahoma"/>
            <family val="2"/>
            <charset val="238"/>
          </rPr>
          <t xml:space="preserve">
Will be split to sectors later</t>
        </r>
      </text>
    </comment>
    <comment ref="B70" authorId="0" shapeId="0">
      <text>
        <r>
          <rPr>
            <b/>
            <sz val="9"/>
            <color indexed="81"/>
            <rFont val="Tahoma"/>
            <family val="2"/>
            <charset val="238"/>
          </rPr>
          <t>Cerny:</t>
        </r>
        <r>
          <rPr>
            <sz val="9"/>
            <color indexed="81"/>
            <rFont val="Tahoma"/>
            <family val="2"/>
            <charset val="238"/>
          </rPr>
          <t xml:space="preserve">
Will be split to sectors later</t>
        </r>
      </text>
    </comment>
    <comment ref="B71" authorId="0" shapeId="0">
      <text>
        <r>
          <rPr>
            <b/>
            <sz val="9"/>
            <color indexed="81"/>
            <rFont val="Tahoma"/>
            <family val="2"/>
            <charset val="238"/>
          </rPr>
          <t>Cerny:</t>
        </r>
        <r>
          <rPr>
            <sz val="9"/>
            <color indexed="81"/>
            <rFont val="Tahoma"/>
            <family val="2"/>
            <charset val="238"/>
          </rPr>
          <t xml:space="preserve">
Will be split to sectors later</t>
        </r>
      </text>
    </comment>
  </commentList>
</comments>
</file>

<file path=xl/comments16.xml><?xml version="1.0" encoding="utf-8"?>
<comments xmlns="http://schemas.openxmlformats.org/spreadsheetml/2006/main">
  <authors>
    <author>Cerny</author>
  </authors>
  <commentList>
    <comment ref="D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10"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10"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17"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17"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24"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24"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2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2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3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3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33" authorId="0" shapeId="0">
      <text>
        <r>
          <rPr>
            <b/>
            <sz val="9"/>
            <color indexed="81"/>
            <rFont val="Tahoma"/>
            <charset val="1"/>
          </rPr>
          <t>Cerny:</t>
        </r>
        <r>
          <rPr>
            <sz val="9"/>
            <color indexed="81"/>
            <rFont val="Tahoma"/>
            <charset val="1"/>
          </rPr>
          <t xml:space="preserve">
costdif not modeled.</t>
        </r>
      </text>
    </comment>
    <comment ref="M33" authorId="0" shapeId="0">
      <text>
        <r>
          <rPr>
            <b/>
            <sz val="9"/>
            <color indexed="81"/>
            <rFont val="Tahoma"/>
            <charset val="1"/>
          </rPr>
          <t>Cerny:</t>
        </r>
        <r>
          <rPr>
            <sz val="9"/>
            <color indexed="81"/>
            <rFont val="Tahoma"/>
            <charset val="1"/>
          </rPr>
          <t xml:space="preserve">
costdif not modeled.</t>
        </r>
      </text>
    </comment>
    <comment ref="N33" authorId="0" shapeId="0">
      <text>
        <r>
          <rPr>
            <b/>
            <sz val="9"/>
            <color indexed="81"/>
            <rFont val="Tahoma"/>
            <charset val="1"/>
          </rPr>
          <t>Cerny:</t>
        </r>
        <r>
          <rPr>
            <sz val="9"/>
            <color indexed="81"/>
            <rFont val="Tahoma"/>
            <charset val="1"/>
          </rPr>
          <t xml:space="preserve">
costdif not modeled.</t>
        </r>
      </text>
    </comment>
    <comment ref="O33" authorId="0" shapeId="0">
      <text>
        <r>
          <rPr>
            <b/>
            <sz val="9"/>
            <color indexed="81"/>
            <rFont val="Tahoma"/>
            <charset val="1"/>
          </rPr>
          <t>Cerny:</t>
        </r>
        <r>
          <rPr>
            <sz val="9"/>
            <color indexed="81"/>
            <rFont val="Tahoma"/>
            <charset val="1"/>
          </rPr>
          <t xml:space="preserve">
costdif not modeled.</t>
        </r>
      </text>
    </comment>
    <comment ref="P33" authorId="0" shapeId="0">
      <text>
        <r>
          <rPr>
            <b/>
            <sz val="9"/>
            <color indexed="81"/>
            <rFont val="Tahoma"/>
            <charset val="1"/>
          </rPr>
          <t>Cerny:</t>
        </r>
        <r>
          <rPr>
            <sz val="9"/>
            <color indexed="81"/>
            <rFont val="Tahoma"/>
            <charset val="1"/>
          </rPr>
          <t xml:space="preserve">
costdif not modeled.</t>
        </r>
      </text>
    </comment>
    <comment ref="Q33" authorId="0" shapeId="0">
      <text>
        <r>
          <rPr>
            <b/>
            <sz val="9"/>
            <color indexed="81"/>
            <rFont val="Tahoma"/>
            <charset val="1"/>
          </rPr>
          <t>Cerny:</t>
        </r>
        <r>
          <rPr>
            <sz val="9"/>
            <color indexed="81"/>
            <rFont val="Tahoma"/>
            <charset val="1"/>
          </rPr>
          <t xml:space="preserve">
costdif not modeled.</t>
        </r>
      </text>
    </comment>
    <comment ref="R33" authorId="0" shapeId="0">
      <text>
        <r>
          <rPr>
            <b/>
            <sz val="9"/>
            <color indexed="81"/>
            <rFont val="Tahoma"/>
            <charset val="1"/>
          </rPr>
          <t>Cerny:</t>
        </r>
        <r>
          <rPr>
            <sz val="9"/>
            <color indexed="81"/>
            <rFont val="Tahoma"/>
            <charset val="1"/>
          </rPr>
          <t xml:space="preserve">
costdif not modeled.</t>
        </r>
      </text>
    </comment>
    <comment ref="S33" authorId="0" shapeId="0">
      <text>
        <r>
          <rPr>
            <b/>
            <sz val="9"/>
            <color indexed="81"/>
            <rFont val="Tahoma"/>
            <charset val="1"/>
          </rPr>
          <t>Cerny:</t>
        </r>
        <r>
          <rPr>
            <sz val="9"/>
            <color indexed="81"/>
            <rFont val="Tahoma"/>
            <charset val="1"/>
          </rPr>
          <t xml:space="preserve">
costdif not modeled.</t>
        </r>
      </text>
    </comment>
    <comment ref="T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4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4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49" authorId="0" shapeId="0">
      <text>
        <r>
          <rPr>
            <b/>
            <sz val="9"/>
            <color indexed="81"/>
            <rFont val="Tahoma"/>
            <charset val="1"/>
          </rPr>
          <t>Cerny:</t>
        </r>
        <r>
          <rPr>
            <sz val="9"/>
            <color indexed="81"/>
            <rFont val="Tahoma"/>
            <charset val="1"/>
          </rPr>
          <t xml:space="preserve">
costdif not modeled.</t>
        </r>
      </text>
    </comment>
    <comment ref="M49" authorId="0" shapeId="0">
      <text>
        <r>
          <rPr>
            <b/>
            <sz val="9"/>
            <color indexed="81"/>
            <rFont val="Tahoma"/>
            <charset val="1"/>
          </rPr>
          <t>Cerny:</t>
        </r>
        <r>
          <rPr>
            <sz val="9"/>
            <color indexed="81"/>
            <rFont val="Tahoma"/>
            <charset val="1"/>
          </rPr>
          <t xml:space="preserve">
costdif not modeled.</t>
        </r>
      </text>
    </comment>
    <comment ref="N49" authorId="0" shapeId="0">
      <text>
        <r>
          <rPr>
            <b/>
            <sz val="9"/>
            <color indexed="81"/>
            <rFont val="Tahoma"/>
            <charset val="1"/>
          </rPr>
          <t>Cerny:</t>
        </r>
        <r>
          <rPr>
            <sz val="9"/>
            <color indexed="81"/>
            <rFont val="Tahoma"/>
            <charset val="1"/>
          </rPr>
          <t xml:space="preserve">
costdif not modeled.</t>
        </r>
      </text>
    </comment>
    <comment ref="O49" authorId="0" shapeId="0">
      <text>
        <r>
          <rPr>
            <b/>
            <sz val="9"/>
            <color indexed="81"/>
            <rFont val="Tahoma"/>
            <charset val="1"/>
          </rPr>
          <t>Cerny:</t>
        </r>
        <r>
          <rPr>
            <sz val="9"/>
            <color indexed="81"/>
            <rFont val="Tahoma"/>
            <charset val="1"/>
          </rPr>
          <t xml:space="preserve">
costdif not modeled.</t>
        </r>
      </text>
    </comment>
    <comment ref="P49" authorId="0" shapeId="0">
      <text>
        <r>
          <rPr>
            <b/>
            <sz val="9"/>
            <color indexed="81"/>
            <rFont val="Tahoma"/>
            <charset val="1"/>
          </rPr>
          <t>Cerny:</t>
        </r>
        <r>
          <rPr>
            <sz val="9"/>
            <color indexed="81"/>
            <rFont val="Tahoma"/>
            <charset val="1"/>
          </rPr>
          <t xml:space="preserve">
costdif not modeled.</t>
        </r>
      </text>
    </comment>
    <comment ref="Q49" authorId="0" shapeId="0">
      <text>
        <r>
          <rPr>
            <b/>
            <sz val="9"/>
            <color indexed="81"/>
            <rFont val="Tahoma"/>
            <charset val="1"/>
          </rPr>
          <t>Cerny:</t>
        </r>
        <r>
          <rPr>
            <sz val="9"/>
            <color indexed="81"/>
            <rFont val="Tahoma"/>
            <charset val="1"/>
          </rPr>
          <t xml:space="preserve">
costdif not modeled.</t>
        </r>
      </text>
    </comment>
    <comment ref="R49" authorId="0" shapeId="0">
      <text>
        <r>
          <rPr>
            <b/>
            <sz val="9"/>
            <color indexed="81"/>
            <rFont val="Tahoma"/>
            <charset val="1"/>
          </rPr>
          <t>Cerny:</t>
        </r>
        <r>
          <rPr>
            <sz val="9"/>
            <color indexed="81"/>
            <rFont val="Tahoma"/>
            <charset val="1"/>
          </rPr>
          <t xml:space="preserve">
costdif not modeled.</t>
        </r>
      </text>
    </comment>
    <comment ref="S49" authorId="0" shapeId="0">
      <text>
        <r>
          <rPr>
            <b/>
            <sz val="9"/>
            <color indexed="81"/>
            <rFont val="Tahoma"/>
            <charset val="1"/>
          </rPr>
          <t>Cerny:</t>
        </r>
        <r>
          <rPr>
            <sz val="9"/>
            <color indexed="81"/>
            <rFont val="Tahoma"/>
            <charset val="1"/>
          </rPr>
          <t xml:space="preserve">
costdif not modeled.</t>
        </r>
      </text>
    </comment>
    <comment ref="T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65"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65"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65" authorId="0" shapeId="0">
      <text>
        <r>
          <rPr>
            <b/>
            <sz val="9"/>
            <color indexed="81"/>
            <rFont val="Tahoma"/>
            <charset val="1"/>
          </rPr>
          <t>Cerny:</t>
        </r>
        <r>
          <rPr>
            <sz val="9"/>
            <color indexed="81"/>
            <rFont val="Tahoma"/>
            <charset val="1"/>
          </rPr>
          <t xml:space="preserve">
costdif not modeled.</t>
        </r>
      </text>
    </comment>
    <comment ref="M65" authorId="0" shapeId="0">
      <text>
        <r>
          <rPr>
            <b/>
            <sz val="9"/>
            <color indexed="81"/>
            <rFont val="Tahoma"/>
            <charset val="1"/>
          </rPr>
          <t>Cerny:</t>
        </r>
        <r>
          <rPr>
            <sz val="9"/>
            <color indexed="81"/>
            <rFont val="Tahoma"/>
            <charset val="1"/>
          </rPr>
          <t xml:space="preserve">
costdif not modeled.</t>
        </r>
      </text>
    </comment>
    <comment ref="N65" authorId="0" shapeId="0">
      <text>
        <r>
          <rPr>
            <b/>
            <sz val="9"/>
            <color indexed="81"/>
            <rFont val="Tahoma"/>
            <charset val="1"/>
          </rPr>
          <t>Cerny:</t>
        </r>
        <r>
          <rPr>
            <sz val="9"/>
            <color indexed="81"/>
            <rFont val="Tahoma"/>
            <charset val="1"/>
          </rPr>
          <t xml:space="preserve">
costdif not modeled.</t>
        </r>
      </text>
    </comment>
    <comment ref="O65" authorId="0" shapeId="0">
      <text>
        <r>
          <rPr>
            <b/>
            <sz val="9"/>
            <color indexed="81"/>
            <rFont val="Tahoma"/>
            <charset val="1"/>
          </rPr>
          <t>Cerny:</t>
        </r>
        <r>
          <rPr>
            <sz val="9"/>
            <color indexed="81"/>
            <rFont val="Tahoma"/>
            <charset val="1"/>
          </rPr>
          <t xml:space="preserve">
costdif not modeled.</t>
        </r>
      </text>
    </comment>
    <comment ref="P65" authorId="0" shapeId="0">
      <text>
        <r>
          <rPr>
            <b/>
            <sz val="9"/>
            <color indexed="81"/>
            <rFont val="Tahoma"/>
            <charset val="1"/>
          </rPr>
          <t>Cerny:</t>
        </r>
        <r>
          <rPr>
            <sz val="9"/>
            <color indexed="81"/>
            <rFont val="Tahoma"/>
            <charset val="1"/>
          </rPr>
          <t xml:space="preserve">
costdif not modeled.</t>
        </r>
      </text>
    </comment>
    <comment ref="Q65" authorId="0" shapeId="0">
      <text>
        <r>
          <rPr>
            <b/>
            <sz val="9"/>
            <color indexed="81"/>
            <rFont val="Tahoma"/>
            <charset val="1"/>
          </rPr>
          <t>Cerny:</t>
        </r>
        <r>
          <rPr>
            <sz val="9"/>
            <color indexed="81"/>
            <rFont val="Tahoma"/>
            <charset val="1"/>
          </rPr>
          <t xml:space="preserve">
costdif not modeled.</t>
        </r>
      </text>
    </comment>
    <comment ref="R65" authorId="0" shapeId="0">
      <text>
        <r>
          <rPr>
            <b/>
            <sz val="9"/>
            <color indexed="81"/>
            <rFont val="Tahoma"/>
            <charset val="1"/>
          </rPr>
          <t>Cerny:</t>
        </r>
        <r>
          <rPr>
            <sz val="9"/>
            <color indexed="81"/>
            <rFont val="Tahoma"/>
            <charset val="1"/>
          </rPr>
          <t xml:space="preserve">
costdif not modeled.</t>
        </r>
      </text>
    </comment>
    <comment ref="S65" authorId="0" shapeId="0">
      <text>
        <r>
          <rPr>
            <b/>
            <sz val="9"/>
            <color indexed="81"/>
            <rFont val="Tahoma"/>
            <charset val="1"/>
          </rPr>
          <t>Cerny:</t>
        </r>
        <r>
          <rPr>
            <sz val="9"/>
            <color indexed="81"/>
            <rFont val="Tahoma"/>
            <charset val="1"/>
          </rPr>
          <t xml:space="preserve">
costdif not modeled.</t>
        </r>
      </text>
    </comment>
    <comment ref="T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B66" authorId="0" shapeId="0">
      <text>
        <r>
          <rPr>
            <b/>
            <sz val="9"/>
            <color indexed="81"/>
            <rFont val="Tahoma"/>
            <family val="2"/>
            <charset val="238"/>
          </rPr>
          <t>Cerny:</t>
        </r>
        <r>
          <rPr>
            <sz val="9"/>
            <color indexed="81"/>
            <rFont val="Tahoma"/>
            <family val="2"/>
            <charset val="238"/>
          </rPr>
          <t xml:space="preserve">
Will be split to sectors later</t>
        </r>
      </text>
    </comment>
    <comment ref="B67" authorId="0" shapeId="0">
      <text>
        <r>
          <rPr>
            <b/>
            <sz val="9"/>
            <color indexed="81"/>
            <rFont val="Tahoma"/>
            <family val="2"/>
            <charset val="238"/>
          </rPr>
          <t>Cerny:</t>
        </r>
        <r>
          <rPr>
            <sz val="9"/>
            <color indexed="81"/>
            <rFont val="Tahoma"/>
            <family val="2"/>
            <charset val="238"/>
          </rPr>
          <t xml:space="preserve">
Will be split to sectors later</t>
        </r>
      </text>
    </comment>
    <comment ref="B68" authorId="0" shapeId="0">
      <text>
        <r>
          <rPr>
            <b/>
            <sz val="9"/>
            <color indexed="81"/>
            <rFont val="Tahoma"/>
            <family val="2"/>
            <charset val="238"/>
          </rPr>
          <t>Cerny:</t>
        </r>
        <r>
          <rPr>
            <sz val="9"/>
            <color indexed="81"/>
            <rFont val="Tahoma"/>
            <family val="2"/>
            <charset val="238"/>
          </rPr>
          <t xml:space="preserve">
Will be split to sectors later</t>
        </r>
      </text>
    </comment>
    <comment ref="B69" authorId="0" shapeId="0">
      <text>
        <r>
          <rPr>
            <b/>
            <sz val="9"/>
            <color indexed="81"/>
            <rFont val="Tahoma"/>
            <family val="2"/>
            <charset val="238"/>
          </rPr>
          <t>Cerny:</t>
        </r>
        <r>
          <rPr>
            <sz val="9"/>
            <color indexed="81"/>
            <rFont val="Tahoma"/>
            <family val="2"/>
            <charset val="238"/>
          </rPr>
          <t xml:space="preserve">
Will be split to sectors later</t>
        </r>
      </text>
    </comment>
    <comment ref="B70" authorId="0" shapeId="0">
      <text>
        <r>
          <rPr>
            <b/>
            <sz val="9"/>
            <color indexed="81"/>
            <rFont val="Tahoma"/>
            <family val="2"/>
            <charset val="238"/>
          </rPr>
          <t>Cerny:</t>
        </r>
        <r>
          <rPr>
            <sz val="9"/>
            <color indexed="81"/>
            <rFont val="Tahoma"/>
            <family val="2"/>
            <charset val="238"/>
          </rPr>
          <t xml:space="preserve">
Will be split to sectors later</t>
        </r>
      </text>
    </comment>
    <comment ref="B71" authorId="0" shapeId="0">
      <text>
        <r>
          <rPr>
            <b/>
            <sz val="9"/>
            <color indexed="81"/>
            <rFont val="Tahoma"/>
            <family val="2"/>
            <charset val="238"/>
          </rPr>
          <t>Cerny:</t>
        </r>
        <r>
          <rPr>
            <sz val="9"/>
            <color indexed="81"/>
            <rFont val="Tahoma"/>
            <family val="2"/>
            <charset val="238"/>
          </rPr>
          <t xml:space="preserve">
Will be split to sectors later</t>
        </r>
      </text>
    </comment>
  </commentList>
</comments>
</file>

<file path=xl/comments17.xml><?xml version="1.0" encoding="utf-8"?>
<comments xmlns="http://schemas.openxmlformats.org/spreadsheetml/2006/main">
  <authors>
    <author>Cerny</author>
  </authors>
  <commentList>
    <comment ref="D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10"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10"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17"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17"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24"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24"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2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2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3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3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33" authorId="0" shapeId="0">
      <text>
        <r>
          <rPr>
            <b/>
            <sz val="9"/>
            <color indexed="81"/>
            <rFont val="Tahoma"/>
            <charset val="1"/>
          </rPr>
          <t>Cerny:</t>
        </r>
        <r>
          <rPr>
            <sz val="9"/>
            <color indexed="81"/>
            <rFont val="Tahoma"/>
            <charset val="1"/>
          </rPr>
          <t xml:space="preserve">
costdif not modeled.</t>
        </r>
      </text>
    </comment>
    <comment ref="M33" authorId="0" shapeId="0">
      <text>
        <r>
          <rPr>
            <b/>
            <sz val="9"/>
            <color indexed="81"/>
            <rFont val="Tahoma"/>
            <charset val="1"/>
          </rPr>
          <t>Cerny:</t>
        </r>
        <r>
          <rPr>
            <sz val="9"/>
            <color indexed="81"/>
            <rFont val="Tahoma"/>
            <charset val="1"/>
          </rPr>
          <t xml:space="preserve">
costdif not modeled.</t>
        </r>
      </text>
    </comment>
    <comment ref="N33" authorId="0" shapeId="0">
      <text>
        <r>
          <rPr>
            <b/>
            <sz val="9"/>
            <color indexed="81"/>
            <rFont val="Tahoma"/>
            <charset val="1"/>
          </rPr>
          <t>Cerny:</t>
        </r>
        <r>
          <rPr>
            <sz val="9"/>
            <color indexed="81"/>
            <rFont val="Tahoma"/>
            <charset val="1"/>
          </rPr>
          <t xml:space="preserve">
costdif not modeled.</t>
        </r>
      </text>
    </comment>
    <comment ref="O33" authorId="0" shapeId="0">
      <text>
        <r>
          <rPr>
            <b/>
            <sz val="9"/>
            <color indexed="81"/>
            <rFont val="Tahoma"/>
            <charset val="1"/>
          </rPr>
          <t>Cerny:</t>
        </r>
        <r>
          <rPr>
            <sz val="9"/>
            <color indexed="81"/>
            <rFont val="Tahoma"/>
            <charset val="1"/>
          </rPr>
          <t xml:space="preserve">
costdif not modeled.</t>
        </r>
      </text>
    </comment>
    <comment ref="P33" authorId="0" shapeId="0">
      <text>
        <r>
          <rPr>
            <b/>
            <sz val="9"/>
            <color indexed="81"/>
            <rFont val="Tahoma"/>
            <charset val="1"/>
          </rPr>
          <t>Cerny:</t>
        </r>
        <r>
          <rPr>
            <sz val="9"/>
            <color indexed="81"/>
            <rFont val="Tahoma"/>
            <charset val="1"/>
          </rPr>
          <t xml:space="preserve">
costdif not modeled.</t>
        </r>
      </text>
    </comment>
    <comment ref="Q33" authorId="0" shapeId="0">
      <text>
        <r>
          <rPr>
            <b/>
            <sz val="9"/>
            <color indexed="81"/>
            <rFont val="Tahoma"/>
            <charset val="1"/>
          </rPr>
          <t>Cerny:</t>
        </r>
        <r>
          <rPr>
            <sz val="9"/>
            <color indexed="81"/>
            <rFont val="Tahoma"/>
            <charset val="1"/>
          </rPr>
          <t xml:space="preserve">
costdif not modeled.</t>
        </r>
      </text>
    </comment>
    <comment ref="R33" authorId="0" shapeId="0">
      <text>
        <r>
          <rPr>
            <b/>
            <sz val="9"/>
            <color indexed="81"/>
            <rFont val="Tahoma"/>
            <charset val="1"/>
          </rPr>
          <t>Cerny:</t>
        </r>
        <r>
          <rPr>
            <sz val="9"/>
            <color indexed="81"/>
            <rFont val="Tahoma"/>
            <charset val="1"/>
          </rPr>
          <t xml:space="preserve">
costdif not modeled.</t>
        </r>
      </text>
    </comment>
    <comment ref="S33" authorId="0" shapeId="0">
      <text>
        <r>
          <rPr>
            <b/>
            <sz val="9"/>
            <color indexed="81"/>
            <rFont val="Tahoma"/>
            <charset val="1"/>
          </rPr>
          <t>Cerny:</t>
        </r>
        <r>
          <rPr>
            <sz val="9"/>
            <color indexed="81"/>
            <rFont val="Tahoma"/>
            <charset val="1"/>
          </rPr>
          <t xml:space="preserve">
costdif not modeled.</t>
        </r>
      </text>
    </comment>
    <comment ref="T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4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4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49" authorId="0" shapeId="0">
      <text>
        <r>
          <rPr>
            <b/>
            <sz val="9"/>
            <color indexed="81"/>
            <rFont val="Tahoma"/>
            <charset val="1"/>
          </rPr>
          <t>Cerny:</t>
        </r>
        <r>
          <rPr>
            <sz val="9"/>
            <color indexed="81"/>
            <rFont val="Tahoma"/>
            <charset val="1"/>
          </rPr>
          <t xml:space="preserve">
costdif not modeled.</t>
        </r>
      </text>
    </comment>
    <comment ref="M49" authorId="0" shapeId="0">
      <text>
        <r>
          <rPr>
            <b/>
            <sz val="9"/>
            <color indexed="81"/>
            <rFont val="Tahoma"/>
            <charset val="1"/>
          </rPr>
          <t>Cerny:</t>
        </r>
        <r>
          <rPr>
            <sz val="9"/>
            <color indexed="81"/>
            <rFont val="Tahoma"/>
            <charset val="1"/>
          </rPr>
          <t xml:space="preserve">
costdif not modeled.</t>
        </r>
      </text>
    </comment>
    <comment ref="N49" authorId="0" shapeId="0">
      <text>
        <r>
          <rPr>
            <b/>
            <sz val="9"/>
            <color indexed="81"/>
            <rFont val="Tahoma"/>
            <charset val="1"/>
          </rPr>
          <t>Cerny:</t>
        </r>
        <r>
          <rPr>
            <sz val="9"/>
            <color indexed="81"/>
            <rFont val="Tahoma"/>
            <charset val="1"/>
          </rPr>
          <t xml:space="preserve">
costdif not modeled.</t>
        </r>
      </text>
    </comment>
    <comment ref="O49" authorId="0" shapeId="0">
      <text>
        <r>
          <rPr>
            <b/>
            <sz val="9"/>
            <color indexed="81"/>
            <rFont val="Tahoma"/>
            <charset val="1"/>
          </rPr>
          <t>Cerny:</t>
        </r>
        <r>
          <rPr>
            <sz val="9"/>
            <color indexed="81"/>
            <rFont val="Tahoma"/>
            <charset val="1"/>
          </rPr>
          <t xml:space="preserve">
costdif not modeled.</t>
        </r>
      </text>
    </comment>
    <comment ref="P49" authorId="0" shapeId="0">
      <text>
        <r>
          <rPr>
            <b/>
            <sz val="9"/>
            <color indexed="81"/>
            <rFont val="Tahoma"/>
            <charset val="1"/>
          </rPr>
          <t>Cerny:</t>
        </r>
        <r>
          <rPr>
            <sz val="9"/>
            <color indexed="81"/>
            <rFont val="Tahoma"/>
            <charset val="1"/>
          </rPr>
          <t xml:space="preserve">
costdif not modeled.</t>
        </r>
      </text>
    </comment>
    <comment ref="Q49" authorId="0" shapeId="0">
      <text>
        <r>
          <rPr>
            <b/>
            <sz val="9"/>
            <color indexed="81"/>
            <rFont val="Tahoma"/>
            <charset val="1"/>
          </rPr>
          <t>Cerny:</t>
        </r>
        <r>
          <rPr>
            <sz val="9"/>
            <color indexed="81"/>
            <rFont val="Tahoma"/>
            <charset val="1"/>
          </rPr>
          <t xml:space="preserve">
costdif not modeled.</t>
        </r>
      </text>
    </comment>
    <comment ref="R49" authorId="0" shapeId="0">
      <text>
        <r>
          <rPr>
            <b/>
            <sz val="9"/>
            <color indexed="81"/>
            <rFont val="Tahoma"/>
            <charset val="1"/>
          </rPr>
          <t>Cerny:</t>
        </r>
        <r>
          <rPr>
            <sz val="9"/>
            <color indexed="81"/>
            <rFont val="Tahoma"/>
            <charset val="1"/>
          </rPr>
          <t xml:space="preserve">
costdif not modeled.</t>
        </r>
      </text>
    </comment>
    <comment ref="S49" authorId="0" shapeId="0">
      <text>
        <r>
          <rPr>
            <b/>
            <sz val="9"/>
            <color indexed="81"/>
            <rFont val="Tahoma"/>
            <charset val="1"/>
          </rPr>
          <t>Cerny:</t>
        </r>
        <r>
          <rPr>
            <sz val="9"/>
            <color indexed="81"/>
            <rFont val="Tahoma"/>
            <charset val="1"/>
          </rPr>
          <t xml:space="preserve">
costdif not modeled.</t>
        </r>
      </text>
    </comment>
    <comment ref="T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65"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65"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65" authorId="0" shapeId="0">
      <text>
        <r>
          <rPr>
            <b/>
            <sz val="9"/>
            <color indexed="81"/>
            <rFont val="Tahoma"/>
            <charset val="1"/>
          </rPr>
          <t>Cerny:</t>
        </r>
        <r>
          <rPr>
            <sz val="9"/>
            <color indexed="81"/>
            <rFont val="Tahoma"/>
            <charset val="1"/>
          </rPr>
          <t xml:space="preserve">
costdif not modeled.</t>
        </r>
      </text>
    </comment>
    <comment ref="M65" authorId="0" shapeId="0">
      <text>
        <r>
          <rPr>
            <b/>
            <sz val="9"/>
            <color indexed="81"/>
            <rFont val="Tahoma"/>
            <charset val="1"/>
          </rPr>
          <t>Cerny:</t>
        </r>
        <r>
          <rPr>
            <sz val="9"/>
            <color indexed="81"/>
            <rFont val="Tahoma"/>
            <charset val="1"/>
          </rPr>
          <t xml:space="preserve">
costdif not modeled.</t>
        </r>
      </text>
    </comment>
    <comment ref="N65" authorId="0" shapeId="0">
      <text>
        <r>
          <rPr>
            <b/>
            <sz val="9"/>
            <color indexed="81"/>
            <rFont val="Tahoma"/>
            <charset val="1"/>
          </rPr>
          <t>Cerny:</t>
        </r>
        <r>
          <rPr>
            <sz val="9"/>
            <color indexed="81"/>
            <rFont val="Tahoma"/>
            <charset val="1"/>
          </rPr>
          <t xml:space="preserve">
costdif not modeled.</t>
        </r>
      </text>
    </comment>
    <comment ref="O65" authorId="0" shapeId="0">
      <text>
        <r>
          <rPr>
            <b/>
            <sz val="9"/>
            <color indexed="81"/>
            <rFont val="Tahoma"/>
            <charset val="1"/>
          </rPr>
          <t>Cerny:</t>
        </r>
        <r>
          <rPr>
            <sz val="9"/>
            <color indexed="81"/>
            <rFont val="Tahoma"/>
            <charset val="1"/>
          </rPr>
          <t xml:space="preserve">
costdif not modeled.</t>
        </r>
      </text>
    </comment>
    <comment ref="P65" authorId="0" shapeId="0">
      <text>
        <r>
          <rPr>
            <b/>
            <sz val="9"/>
            <color indexed="81"/>
            <rFont val="Tahoma"/>
            <charset val="1"/>
          </rPr>
          <t>Cerny:</t>
        </r>
        <r>
          <rPr>
            <sz val="9"/>
            <color indexed="81"/>
            <rFont val="Tahoma"/>
            <charset val="1"/>
          </rPr>
          <t xml:space="preserve">
costdif not modeled.</t>
        </r>
      </text>
    </comment>
    <comment ref="Q65" authorId="0" shapeId="0">
      <text>
        <r>
          <rPr>
            <b/>
            <sz val="9"/>
            <color indexed="81"/>
            <rFont val="Tahoma"/>
            <charset val="1"/>
          </rPr>
          <t>Cerny:</t>
        </r>
        <r>
          <rPr>
            <sz val="9"/>
            <color indexed="81"/>
            <rFont val="Tahoma"/>
            <charset val="1"/>
          </rPr>
          <t xml:space="preserve">
costdif not modeled.</t>
        </r>
      </text>
    </comment>
    <comment ref="R65" authorId="0" shapeId="0">
      <text>
        <r>
          <rPr>
            <b/>
            <sz val="9"/>
            <color indexed="81"/>
            <rFont val="Tahoma"/>
            <charset val="1"/>
          </rPr>
          <t>Cerny:</t>
        </r>
        <r>
          <rPr>
            <sz val="9"/>
            <color indexed="81"/>
            <rFont val="Tahoma"/>
            <charset val="1"/>
          </rPr>
          <t xml:space="preserve">
costdif not modeled.</t>
        </r>
      </text>
    </comment>
    <comment ref="S65" authorId="0" shapeId="0">
      <text>
        <r>
          <rPr>
            <b/>
            <sz val="9"/>
            <color indexed="81"/>
            <rFont val="Tahoma"/>
            <charset val="1"/>
          </rPr>
          <t>Cerny:</t>
        </r>
        <r>
          <rPr>
            <sz val="9"/>
            <color indexed="81"/>
            <rFont val="Tahoma"/>
            <charset val="1"/>
          </rPr>
          <t xml:space="preserve">
costdif not modeled.</t>
        </r>
      </text>
    </comment>
    <comment ref="T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B66" authorId="0" shapeId="0">
      <text>
        <r>
          <rPr>
            <b/>
            <sz val="9"/>
            <color indexed="81"/>
            <rFont val="Tahoma"/>
            <family val="2"/>
            <charset val="238"/>
          </rPr>
          <t>Cerny:</t>
        </r>
        <r>
          <rPr>
            <sz val="9"/>
            <color indexed="81"/>
            <rFont val="Tahoma"/>
            <family val="2"/>
            <charset val="238"/>
          </rPr>
          <t xml:space="preserve">
Will be split to sectors later</t>
        </r>
      </text>
    </comment>
    <comment ref="B67" authorId="0" shapeId="0">
      <text>
        <r>
          <rPr>
            <b/>
            <sz val="9"/>
            <color indexed="81"/>
            <rFont val="Tahoma"/>
            <family val="2"/>
            <charset val="238"/>
          </rPr>
          <t>Cerny:</t>
        </r>
        <r>
          <rPr>
            <sz val="9"/>
            <color indexed="81"/>
            <rFont val="Tahoma"/>
            <family val="2"/>
            <charset val="238"/>
          </rPr>
          <t xml:space="preserve">
Will be split to sectors later</t>
        </r>
      </text>
    </comment>
    <comment ref="B68" authorId="0" shapeId="0">
      <text>
        <r>
          <rPr>
            <b/>
            <sz val="9"/>
            <color indexed="81"/>
            <rFont val="Tahoma"/>
            <family val="2"/>
            <charset val="238"/>
          </rPr>
          <t>Cerny:</t>
        </r>
        <r>
          <rPr>
            <sz val="9"/>
            <color indexed="81"/>
            <rFont val="Tahoma"/>
            <family val="2"/>
            <charset val="238"/>
          </rPr>
          <t xml:space="preserve">
Will be split to sectors later</t>
        </r>
      </text>
    </comment>
    <comment ref="B69" authorId="0" shapeId="0">
      <text>
        <r>
          <rPr>
            <b/>
            <sz val="9"/>
            <color indexed="81"/>
            <rFont val="Tahoma"/>
            <family val="2"/>
            <charset val="238"/>
          </rPr>
          <t>Cerny:</t>
        </r>
        <r>
          <rPr>
            <sz val="9"/>
            <color indexed="81"/>
            <rFont val="Tahoma"/>
            <family val="2"/>
            <charset val="238"/>
          </rPr>
          <t xml:space="preserve">
Will be split to sectors later</t>
        </r>
      </text>
    </comment>
    <comment ref="B70" authorId="0" shapeId="0">
      <text>
        <r>
          <rPr>
            <b/>
            <sz val="9"/>
            <color indexed="81"/>
            <rFont val="Tahoma"/>
            <family val="2"/>
            <charset val="238"/>
          </rPr>
          <t>Cerny:</t>
        </r>
        <r>
          <rPr>
            <sz val="9"/>
            <color indexed="81"/>
            <rFont val="Tahoma"/>
            <family val="2"/>
            <charset val="238"/>
          </rPr>
          <t xml:space="preserve">
Will be split to sectors later</t>
        </r>
      </text>
    </comment>
    <comment ref="B71" authorId="0" shapeId="0">
      <text>
        <r>
          <rPr>
            <b/>
            <sz val="9"/>
            <color indexed="81"/>
            <rFont val="Tahoma"/>
            <family val="2"/>
            <charset val="238"/>
          </rPr>
          <t>Cerny:</t>
        </r>
        <r>
          <rPr>
            <sz val="9"/>
            <color indexed="81"/>
            <rFont val="Tahoma"/>
            <family val="2"/>
            <charset val="238"/>
          </rPr>
          <t xml:space="preserve">
Will be split to sectors later</t>
        </r>
      </text>
    </comment>
  </commentList>
</comments>
</file>

<file path=xl/comments18.xml><?xml version="1.0" encoding="utf-8"?>
<comments xmlns="http://schemas.openxmlformats.org/spreadsheetml/2006/main">
  <authors>
    <author>Cerny</author>
  </authors>
  <commentList>
    <comment ref="D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3"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10"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10"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10"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10"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10"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17"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17"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17"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17"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17"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24"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24"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24"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24"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24"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2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2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2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M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N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O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P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Q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R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S29" authorId="0" shapeId="0">
      <text>
        <r>
          <rPr>
            <b/>
            <sz val="9"/>
            <color indexed="81"/>
            <rFont val="Tahoma"/>
            <charset val="1"/>
          </rPr>
          <t>Cerny:</t>
        </r>
        <r>
          <rPr>
            <sz val="9"/>
            <color indexed="81"/>
            <rFont val="Tahoma"/>
            <charset val="1"/>
          </rPr>
          <t xml:space="preserve">
costdif introduces the differences in the overall costs of production for each technology, if they are available.</t>
        </r>
      </text>
    </comment>
    <comment ref="T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2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3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33"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33"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33" authorId="0" shapeId="0">
      <text>
        <r>
          <rPr>
            <b/>
            <sz val="9"/>
            <color indexed="81"/>
            <rFont val="Tahoma"/>
            <charset val="1"/>
          </rPr>
          <t>Cerny:</t>
        </r>
        <r>
          <rPr>
            <sz val="9"/>
            <color indexed="81"/>
            <rFont val="Tahoma"/>
            <charset val="1"/>
          </rPr>
          <t xml:space="preserve">
costdif not modeled.</t>
        </r>
      </text>
    </comment>
    <comment ref="M33" authorId="0" shapeId="0">
      <text>
        <r>
          <rPr>
            <b/>
            <sz val="9"/>
            <color indexed="81"/>
            <rFont val="Tahoma"/>
            <charset val="1"/>
          </rPr>
          <t>Cerny:</t>
        </r>
        <r>
          <rPr>
            <sz val="9"/>
            <color indexed="81"/>
            <rFont val="Tahoma"/>
            <charset val="1"/>
          </rPr>
          <t xml:space="preserve">
costdif not modeled.</t>
        </r>
      </text>
    </comment>
    <comment ref="N33" authorId="0" shapeId="0">
      <text>
        <r>
          <rPr>
            <b/>
            <sz val="9"/>
            <color indexed="81"/>
            <rFont val="Tahoma"/>
            <charset val="1"/>
          </rPr>
          <t>Cerny:</t>
        </r>
        <r>
          <rPr>
            <sz val="9"/>
            <color indexed="81"/>
            <rFont val="Tahoma"/>
            <charset val="1"/>
          </rPr>
          <t xml:space="preserve">
costdif not modeled.</t>
        </r>
      </text>
    </comment>
    <comment ref="O33" authorId="0" shapeId="0">
      <text>
        <r>
          <rPr>
            <b/>
            <sz val="9"/>
            <color indexed="81"/>
            <rFont val="Tahoma"/>
            <charset val="1"/>
          </rPr>
          <t>Cerny:</t>
        </r>
        <r>
          <rPr>
            <sz val="9"/>
            <color indexed="81"/>
            <rFont val="Tahoma"/>
            <charset val="1"/>
          </rPr>
          <t xml:space="preserve">
costdif not modeled.</t>
        </r>
      </text>
    </comment>
    <comment ref="P33" authorId="0" shapeId="0">
      <text>
        <r>
          <rPr>
            <b/>
            <sz val="9"/>
            <color indexed="81"/>
            <rFont val="Tahoma"/>
            <charset val="1"/>
          </rPr>
          <t>Cerny:</t>
        </r>
        <r>
          <rPr>
            <sz val="9"/>
            <color indexed="81"/>
            <rFont val="Tahoma"/>
            <charset val="1"/>
          </rPr>
          <t xml:space="preserve">
costdif not modeled.</t>
        </r>
      </text>
    </comment>
    <comment ref="Q33" authorId="0" shapeId="0">
      <text>
        <r>
          <rPr>
            <b/>
            <sz val="9"/>
            <color indexed="81"/>
            <rFont val="Tahoma"/>
            <charset val="1"/>
          </rPr>
          <t>Cerny:</t>
        </r>
        <r>
          <rPr>
            <sz val="9"/>
            <color indexed="81"/>
            <rFont val="Tahoma"/>
            <charset val="1"/>
          </rPr>
          <t xml:space="preserve">
costdif not modeled.</t>
        </r>
      </text>
    </comment>
    <comment ref="R33" authorId="0" shapeId="0">
      <text>
        <r>
          <rPr>
            <b/>
            <sz val="9"/>
            <color indexed="81"/>
            <rFont val="Tahoma"/>
            <charset val="1"/>
          </rPr>
          <t>Cerny:</t>
        </r>
        <r>
          <rPr>
            <sz val="9"/>
            <color indexed="81"/>
            <rFont val="Tahoma"/>
            <charset val="1"/>
          </rPr>
          <t xml:space="preserve">
costdif not modeled.</t>
        </r>
      </text>
    </comment>
    <comment ref="S33" authorId="0" shapeId="0">
      <text>
        <r>
          <rPr>
            <b/>
            <sz val="9"/>
            <color indexed="81"/>
            <rFont val="Tahoma"/>
            <charset val="1"/>
          </rPr>
          <t>Cerny:</t>
        </r>
        <r>
          <rPr>
            <sz val="9"/>
            <color indexed="81"/>
            <rFont val="Tahoma"/>
            <charset val="1"/>
          </rPr>
          <t xml:space="preserve">
costdif not modeled.</t>
        </r>
      </text>
    </comment>
    <comment ref="T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33"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4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49"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49"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49" authorId="0" shapeId="0">
      <text>
        <r>
          <rPr>
            <b/>
            <sz val="9"/>
            <color indexed="81"/>
            <rFont val="Tahoma"/>
            <charset val="1"/>
          </rPr>
          <t>Cerny:</t>
        </r>
        <r>
          <rPr>
            <sz val="9"/>
            <color indexed="81"/>
            <rFont val="Tahoma"/>
            <charset val="1"/>
          </rPr>
          <t xml:space="preserve">
costdif not modeled.</t>
        </r>
      </text>
    </comment>
    <comment ref="M49" authorId="0" shapeId="0">
      <text>
        <r>
          <rPr>
            <b/>
            <sz val="9"/>
            <color indexed="81"/>
            <rFont val="Tahoma"/>
            <charset val="1"/>
          </rPr>
          <t>Cerny:</t>
        </r>
        <r>
          <rPr>
            <sz val="9"/>
            <color indexed="81"/>
            <rFont val="Tahoma"/>
            <charset val="1"/>
          </rPr>
          <t xml:space="preserve">
costdif not modeled.</t>
        </r>
      </text>
    </comment>
    <comment ref="N49" authorId="0" shapeId="0">
      <text>
        <r>
          <rPr>
            <b/>
            <sz val="9"/>
            <color indexed="81"/>
            <rFont val="Tahoma"/>
            <charset val="1"/>
          </rPr>
          <t>Cerny:</t>
        </r>
        <r>
          <rPr>
            <sz val="9"/>
            <color indexed="81"/>
            <rFont val="Tahoma"/>
            <charset val="1"/>
          </rPr>
          <t xml:space="preserve">
costdif not modeled.</t>
        </r>
      </text>
    </comment>
    <comment ref="O49" authorId="0" shapeId="0">
      <text>
        <r>
          <rPr>
            <b/>
            <sz val="9"/>
            <color indexed="81"/>
            <rFont val="Tahoma"/>
            <charset val="1"/>
          </rPr>
          <t>Cerny:</t>
        </r>
        <r>
          <rPr>
            <sz val="9"/>
            <color indexed="81"/>
            <rFont val="Tahoma"/>
            <charset val="1"/>
          </rPr>
          <t xml:space="preserve">
costdif not modeled.</t>
        </r>
      </text>
    </comment>
    <comment ref="P49" authorId="0" shapeId="0">
      <text>
        <r>
          <rPr>
            <b/>
            <sz val="9"/>
            <color indexed="81"/>
            <rFont val="Tahoma"/>
            <charset val="1"/>
          </rPr>
          <t>Cerny:</t>
        </r>
        <r>
          <rPr>
            <sz val="9"/>
            <color indexed="81"/>
            <rFont val="Tahoma"/>
            <charset val="1"/>
          </rPr>
          <t xml:space="preserve">
costdif not modeled.</t>
        </r>
      </text>
    </comment>
    <comment ref="Q49" authorId="0" shapeId="0">
      <text>
        <r>
          <rPr>
            <b/>
            <sz val="9"/>
            <color indexed="81"/>
            <rFont val="Tahoma"/>
            <charset val="1"/>
          </rPr>
          <t>Cerny:</t>
        </r>
        <r>
          <rPr>
            <sz val="9"/>
            <color indexed="81"/>
            <rFont val="Tahoma"/>
            <charset val="1"/>
          </rPr>
          <t xml:space="preserve">
costdif not modeled.</t>
        </r>
      </text>
    </comment>
    <comment ref="R49" authorId="0" shapeId="0">
      <text>
        <r>
          <rPr>
            <b/>
            <sz val="9"/>
            <color indexed="81"/>
            <rFont val="Tahoma"/>
            <charset val="1"/>
          </rPr>
          <t>Cerny:</t>
        </r>
        <r>
          <rPr>
            <sz val="9"/>
            <color indexed="81"/>
            <rFont val="Tahoma"/>
            <charset val="1"/>
          </rPr>
          <t xml:space="preserve">
costdif not modeled.</t>
        </r>
      </text>
    </comment>
    <comment ref="S49" authorId="0" shapeId="0">
      <text>
        <r>
          <rPr>
            <b/>
            <sz val="9"/>
            <color indexed="81"/>
            <rFont val="Tahoma"/>
            <charset val="1"/>
          </rPr>
          <t>Cerny:</t>
        </r>
        <r>
          <rPr>
            <sz val="9"/>
            <color indexed="81"/>
            <rFont val="Tahoma"/>
            <charset val="1"/>
          </rPr>
          <t xml:space="preserve">
costdif not modeled.</t>
        </r>
      </text>
    </comment>
    <comment ref="T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49"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D65"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E65" authorId="0" shapeId="0">
      <text>
        <r>
          <rPr>
            <b/>
            <sz val="9"/>
            <color indexed="81"/>
            <rFont val="Tahoma"/>
            <family val="2"/>
            <charset val="238"/>
          </rPr>
          <t>Cerny:</t>
        </r>
        <r>
          <rPr>
            <sz val="9"/>
            <color indexed="81"/>
            <rFont val="Tahoma"/>
            <family val="2"/>
            <charset val="238"/>
          </rPr>
          <t xml:space="preserve">
orig already accounts for the differences in shares of each technology together with the increase/decrease of production from the technology</t>
        </r>
      </text>
    </comment>
    <comment ref="F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G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H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I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J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K65" authorId="0" shapeId="0">
      <text>
        <r>
          <rPr>
            <b/>
            <sz val="9"/>
            <color indexed="81"/>
            <rFont val="Tahoma"/>
            <family val="2"/>
            <charset val="238"/>
          </rPr>
          <t>Cerny:</t>
        </r>
        <r>
          <rPr>
            <sz val="9"/>
            <color indexed="81"/>
            <rFont val="Tahoma"/>
            <family val="2"/>
            <charset val="238"/>
          </rPr>
          <t xml:space="preserve">
pure already accounts for the differences in shares of each technology together with the increase/decrrease of production from the technology</t>
        </r>
      </text>
    </comment>
    <comment ref="L65" authorId="0" shapeId="0">
      <text>
        <r>
          <rPr>
            <b/>
            <sz val="9"/>
            <color indexed="81"/>
            <rFont val="Tahoma"/>
            <charset val="1"/>
          </rPr>
          <t>Cerny:</t>
        </r>
        <r>
          <rPr>
            <sz val="9"/>
            <color indexed="81"/>
            <rFont val="Tahoma"/>
            <charset val="1"/>
          </rPr>
          <t xml:space="preserve">
costdif not modeled.</t>
        </r>
      </text>
    </comment>
    <comment ref="M65" authorId="0" shapeId="0">
      <text>
        <r>
          <rPr>
            <b/>
            <sz val="9"/>
            <color indexed="81"/>
            <rFont val="Tahoma"/>
            <charset val="1"/>
          </rPr>
          <t>Cerny:</t>
        </r>
        <r>
          <rPr>
            <sz val="9"/>
            <color indexed="81"/>
            <rFont val="Tahoma"/>
            <charset val="1"/>
          </rPr>
          <t xml:space="preserve">
costdif not modeled.</t>
        </r>
      </text>
    </comment>
    <comment ref="N65" authorId="0" shapeId="0">
      <text>
        <r>
          <rPr>
            <b/>
            <sz val="9"/>
            <color indexed="81"/>
            <rFont val="Tahoma"/>
            <charset val="1"/>
          </rPr>
          <t>Cerny:</t>
        </r>
        <r>
          <rPr>
            <sz val="9"/>
            <color indexed="81"/>
            <rFont val="Tahoma"/>
            <charset val="1"/>
          </rPr>
          <t xml:space="preserve">
costdif not modeled.</t>
        </r>
      </text>
    </comment>
    <comment ref="O65" authorId="0" shapeId="0">
      <text>
        <r>
          <rPr>
            <b/>
            <sz val="9"/>
            <color indexed="81"/>
            <rFont val="Tahoma"/>
            <charset val="1"/>
          </rPr>
          <t>Cerny:</t>
        </r>
        <r>
          <rPr>
            <sz val="9"/>
            <color indexed="81"/>
            <rFont val="Tahoma"/>
            <charset val="1"/>
          </rPr>
          <t xml:space="preserve">
costdif not modeled.</t>
        </r>
      </text>
    </comment>
    <comment ref="P65" authorId="0" shapeId="0">
      <text>
        <r>
          <rPr>
            <b/>
            <sz val="9"/>
            <color indexed="81"/>
            <rFont val="Tahoma"/>
            <charset val="1"/>
          </rPr>
          <t>Cerny:</t>
        </r>
        <r>
          <rPr>
            <sz val="9"/>
            <color indexed="81"/>
            <rFont val="Tahoma"/>
            <charset val="1"/>
          </rPr>
          <t xml:space="preserve">
costdif not modeled.</t>
        </r>
      </text>
    </comment>
    <comment ref="Q65" authorId="0" shapeId="0">
      <text>
        <r>
          <rPr>
            <b/>
            <sz val="9"/>
            <color indexed="81"/>
            <rFont val="Tahoma"/>
            <charset val="1"/>
          </rPr>
          <t>Cerny:</t>
        </r>
        <r>
          <rPr>
            <sz val="9"/>
            <color indexed="81"/>
            <rFont val="Tahoma"/>
            <charset val="1"/>
          </rPr>
          <t xml:space="preserve">
costdif not modeled.</t>
        </r>
      </text>
    </comment>
    <comment ref="R65" authorId="0" shapeId="0">
      <text>
        <r>
          <rPr>
            <b/>
            <sz val="9"/>
            <color indexed="81"/>
            <rFont val="Tahoma"/>
            <charset val="1"/>
          </rPr>
          <t>Cerny:</t>
        </r>
        <r>
          <rPr>
            <sz val="9"/>
            <color indexed="81"/>
            <rFont val="Tahoma"/>
            <charset val="1"/>
          </rPr>
          <t xml:space="preserve">
costdif not modeled.</t>
        </r>
      </text>
    </comment>
    <comment ref="S65" authorId="0" shapeId="0">
      <text>
        <r>
          <rPr>
            <b/>
            <sz val="9"/>
            <color indexed="81"/>
            <rFont val="Tahoma"/>
            <charset val="1"/>
          </rPr>
          <t>Cerny:</t>
        </r>
        <r>
          <rPr>
            <sz val="9"/>
            <color indexed="81"/>
            <rFont val="Tahoma"/>
            <charset val="1"/>
          </rPr>
          <t xml:space="preserve">
costdif not modeled.</t>
        </r>
      </text>
    </comment>
    <comment ref="T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U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V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W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X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Y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Z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AA65" authorId="0" shapeId="0">
      <text>
        <r>
          <rPr>
            <b/>
            <sz val="9"/>
            <color indexed="81"/>
            <rFont val="Tahoma"/>
            <charset val="1"/>
          </rPr>
          <t>Cerny:</t>
        </r>
        <r>
          <rPr>
            <sz val="9"/>
            <color indexed="81"/>
            <rFont val="Tahoma"/>
            <charset val="1"/>
          </rPr>
          <t xml:space="preserve">
adj already accounts for the differences in the overall costs of production for each technology, if they are available, as well as adjusts the original sum to cover both the increases in the overall production and the increases in costs of production calculated in the costdif columns (which also means that the sum is usually not equal to 100%).</t>
        </r>
      </text>
    </comment>
    <comment ref="B66" authorId="0" shapeId="0">
      <text>
        <r>
          <rPr>
            <b/>
            <sz val="9"/>
            <color indexed="81"/>
            <rFont val="Tahoma"/>
            <family val="2"/>
            <charset val="238"/>
          </rPr>
          <t>Cerny:</t>
        </r>
        <r>
          <rPr>
            <sz val="9"/>
            <color indexed="81"/>
            <rFont val="Tahoma"/>
            <family val="2"/>
            <charset val="238"/>
          </rPr>
          <t xml:space="preserve">
Will be split to sectors later</t>
        </r>
      </text>
    </comment>
    <comment ref="B67" authorId="0" shapeId="0">
      <text>
        <r>
          <rPr>
            <b/>
            <sz val="9"/>
            <color indexed="81"/>
            <rFont val="Tahoma"/>
            <family val="2"/>
            <charset val="238"/>
          </rPr>
          <t>Cerny:</t>
        </r>
        <r>
          <rPr>
            <sz val="9"/>
            <color indexed="81"/>
            <rFont val="Tahoma"/>
            <family val="2"/>
            <charset val="238"/>
          </rPr>
          <t xml:space="preserve">
Will be split to sectors later</t>
        </r>
      </text>
    </comment>
    <comment ref="B68" authorId="0" shapeId="0">
      <text>
        <r>
          <rPr>
            <b/>
            <sz val="9"/>
            <color indexed="81"/>
            <rFont val="Tahoma"/>
            <family val="2"/>
            <charset val="238"/>
          </rPr>
          <t>Cerny:</t>
        </r>
        <r>
          <rPr>
            <sz val="9"/>
            <color indexed="81"/>
            <rFont val="Tahoma"/>
            <family val="2"/>
            <charset val="238"/>
          </rPr>
          <t xml:space="preserve">
Will be split to sectors later</t>
        </r>
      </text>
    </comment>
    <comment ref="B69" authorId="0" shapeId="0">
      <text>
        <r>
          <rPr>
            <b/>
            <sz val="9"/>
            <color indexed="81"/>
            <rFont val="Tahoma"/>
            <family val="2"/>
            <charset val="238"/>
          </rPr>
          <t>Cerny:</t>
        </r>
        <r>
          <rPr>
            <sz val="9"/>
            <color indexed="81"/>
            <rFont val="Tahoma"/>
            <family val="2"/>
            <charset val="238"/>
          </rPr>
          <t xml:space="preserve">
Will be split to sectors later</t>
        </r>
      </text>
    </comment>
    <comment ref="B70" authorId="0" shapeId="0">
      <text>
        <r>
          <rPr>
            <b/>
            <sz val="9"/>
            <color indexed="81"/>
            <rFont val="Tahoma"/>
            <family val="2"/>
            <charset val="238"/>
          </rPr>
          <t>Cerny:</t>
        </r>
        <r>
          <rPr>
            <sz val="9"/>
            <color indexed="81"/>
            <rFont val="Tahoma"/>
            <family val="2"/>
            <charset val="238"/>
          </rPr>
          <t xml:space="preserve">
Will be split to sectors later</t>
        </r>
      </text>
    </comment>
    <comment ref="B71" authorId="0" shapeId="0">
      <text>
        <r>
          <rPr>
            <b/>
            <sz val="9"/>
            <color indexed="81"/>
            <rFont val="Tahoma"/>
            <family val="2"/>
            <charset val="238"/>
          </rPr>
          <t>Cerny:</t>
        </r>
        <r>
          <rPr>
            <sz val="9"/>
            <color indexed="81"/>
            <rFont val="Tahoma"/>
            <family val="2"/>
            <charset val="238"/>
          </rPr>
          <t xml:space="preserve">
Will be split to sectors later</t>
        </r>
      </text>
    </comment>
  </commentList>
</comments>
</file>

<file path=xl/comments19.xml><?xml version="1.0" encoding="utf-8"?>
<comments xmlns="http://schemas.openxmlformats.org/spreadsheetml/2006/main">
  <authors>
    <author>Cerny</author>
  </authors>
  <commentList>
    <comment ref="P1" authorId="0" shapeId="0">
      <text>
        <r>
          <rPr>
            <b/>
            <sz val="9"/>
            <color indexed="81"/>
            <rFont val="Tahoma"/>
            <family val="2"/>
            <charset val="238"/>
          </rPr>
          <t>Cerny:</t>
        </r>
        <r>
          <rPr>
            <sz val="9"/>
            <color indexed="81"/>
            <rFont val="Tahoma"/>
            <family val="2"/>
            <charset val="238"/>
          </rPr>
          <t xml:space="preserve">
Source of the average USD to EUR exchange rate: https://www.statista.com/statistics/247851/exchange-rate-between-the-euro-and-us-dollar-since-1999/</t>
        </r>
      </text>
    </comment>
    <comment ref="Q1" authorId="0" shapeId="0">
      <text>
        <r>
          <rPr>
            <b/>
            <sz val="9"/>
            <color indexed="81"/>
            <rFont val="Tahoma"/>
            <family val="2"/>
            <charset val="238"/>
          </rPr>
          <t>Cerny:</t>
        </r>
        <r>
          <rPr>
            <sz val="9"/>
            <color indexed="81"/>
            <rFont val="Tahoma"/>
            <family val="2"/>
            <charset val="238"/>
          </rPr>
          <t xml:space="preserve">
million EUR</t>
        </r>
      </text>
    </comment>
    <comment ref="Y1" authorId="0" shapeId="0">
      <text>
        <r>
          <rPr>
            <b/>
            <sz val="9"/>
            <color indexed="81"/>
            <rFont val="Tahoma"/>
            <family val="2"/>
            <charset val="238"/>
          </rPr>
          <t>Cerny:</t>
        </r>
        <r>
          <rPr>
            <sz val="9"/>
            <color indexed="81"/>
            <rFont val="Tahoma"/>
            <family val="2"/>
            <charset val="238"/>
          </rPr>
          <t xml:space="preserve">
million EUR</t>
        </r>
      </text>
    </comment>
    <comment ref="H2" authorId="0" shapeId="0">
      <text>
        <r>
          <rPr>
            <b/>
            <sz val="9"/>
            <color indexed="81"/>
            <rFont val="Tahoma"/>
            <family val="2"/>
            <charset val="238"/>
          </rPr>
          <t>Cerny:</t>
        </r>
        <r>
          <rPr>
            <sz val="9"/>
            <color indexed="81"/>
            <rFont val="Tahoma"/>
            <family val="2"/>
            <charset val="238"/>
          </rPr>
          <t xml:space="preserve">
original value for 2013, value for 2015 constructed based on interpolation</t>
        </r>
      </text>
    </comment>
    <comment ref="H3" authorId="0" shapeId="0">
      <text>
        <r>
          <rPr>
            <b/>
            <sz val="9"/>
            <color indexed="81"/>
            <rFont val="Tahoma"/>
            <family val="2"/>
            <charset val="238"/>
          </rPr>
          <t>Cerny:</t>
        </r>
        <r>
          <rPr>
            <sz val="9"/>
            <color indexed="81"/>
            <rFont val="Tahoma"/>
            <family val="2"/>
            <charset val="238"/>
          </rPr>
          <t xml:space="preserve">
original value for 2013, value for 2015 constructed based on interpolation</t>
        </r>
      </text>
    </comment>
    <comment ref="H4" authorId="0" shapeId="0">
      <text>
        <r>
          <rPr>
            <b/>
            <sz val="9"/>
            <color indexed="81"/>
            <rFont val="Tahoma"/>
            <family val="2"/>
            <charset val="238"/>
          </rPr>
          <t>Cerny:</t>
        </r>
        <r>
          <rPr>
            <sz val="9"/>
            <color indexed="81"/>
            <rFont val="Tahoma"/>
            <family val="2"/>
            <charset val="238"/>
          </rPr>
          <t xml:space="preserve">
original value for 2013, value for 2015 constructed based on interpolation</t>
        </r>
      </text>
    </comment>
    <comment ref="H6" authorId="0" shapeId="0">
      <text>
        <r>
          <rPr>
            <b/>
            <sz val="9"/>
            <color indexed="81"/>
            <rFont val="Tahoma"/>
            <family val="2"/>
            <charset val="238"/>
          </rPr>
          <t>Cerny:</t>
        </r>
        <r>
          <rPr>
            <sz val="9"/>
            <color indexed="81"/>
            <rFont val="Tahoma"/>
            <family val="2"/>
            <charset val="238"/>
          </rPr>
          <t xml:space="preserve">
Germany</t>
        </r>
      </text>
    </comment>
    <comment ref="H8" authorId="0" shapeId="0">
      <text>
        <r>
          <rPr>
            <b/>
            <sz val="9"/>
            <color indexed="81"/>
            <rFont val="Tahoma"/>
            <family val="2"/>
            <charset val="238"/>
          </rPr>
          <t>Cerny:</t>
        </r>
        <r>
          <rPr>
            <sz val="9"/>
            <color indexed="81"/>
            <rFont val="Tahoma"/>
            <family val="2"/>
            <charset val="238"/>
          </rPr>
          <t xml:space="preserve">
original value for 2013, value for 2015 constructed based on interpolation</t>
        </r>
      </text>
    </comment>
    <comment ref="H9" authorId="0" shapeId="0">
      <text>
        <r>
          <rPr>
            <b/>
            <sz val="9"/>
            <color indexed="81"/>
            <rFont val="Tahoma"/>
            <family val="2"/>
            <charset val="238"/>
          </rPr>
          <t>Cerny:</t>
        </r>
        <r>
          <rPr>
            <sz val="9"/>
            <color indexed="81"/>
            <rFont val="Tahoma"/>
            <family val="2"/>
            <charset val="238"/>
          </rPr>
          <t xml:space="preserve">
original value for 2013, value for 2015 constructed based on interpolation</t>
        </r>
      </text>
    </comment>
    <comment ref="H10" authorId="0" shapeId="0">
      <text>
        <r>
          <rPr>
            <b/>
            <sz val="9"/>
            <color indexed="81"/>
            <rFont val="Tahoma"/>
            <family val="2"/>
            <charset val="238"/>
          </rPr>
          <t>Cerny:</t>
        </r>
        <r>
          <rPr>
            <sz val="9"/>
            <color indexed="81"/>
            <rFont val="Tahoma"/>
            <family val="2"/>
            <charset val="238"/>
          </rPr>
          <t xml:space="preserve">
Germany</t>
        </r>
      </text>
    </comment>
    <comment ref="H11" authorId="0" shapeId="0">
      <text>
        <r>
          <rPr>
            <b/>
            <sz val="9"/>
            <color indexed="81"/>
            <rFont val="Tahoma"/>
            <family val="2"/>
            <charset val="238"/>
          </rPr>
          <t>Cerny:</t>
        </r>
        <r>
          <rPr>
            <sz val="9"/>
            <color indexed="81"/>
            <rFont val="Tahoma"/>
            <family val="2"/>
            <charset val="238"/>
          </rPr>
          <t xml:space="preserve">
Germany</t>
        </r>
      </text>
    </comment>
    <comment ref="H12" authorId="0" shapeId="0">
      <text>
        <r>
          <rPr>
            <b/>
            <sz val="9"/>
            <color indexed="81"/>
            <rFont val="Tahoma"/>
            <family val="2"/>
            <charset val="238"/>
          </rPr>
          <t>Cerny:</t>
        </r>
        <r>
          <rPr>
            <sz val="9"/>
            <color indexed="81"/>
            <rFont val="Tahoma"/>
            <family val="2"/>
            <charset val="238"/>
          </rPr>
          <t xml:space="preserve">
original value for 2013, value for 2015 constructed based on interpolation</t>
        </r>
      </text>
    </comment>
    <comment ref="H13" authorId="0" shapeId="0">
      <text>
        <r>
          <rPr>
            <b/>
            <sz val="9"/>
            <color indexed="81"/>
            <rFont val="Tahoma"/>
            <family val="2"/>
            <charset val="238"/>
          </rPr>
          <t>Cerny:</t>
        </r>
        <r>
          <rPr>
            <sz val="9"/>
            <color indexed="81"/>
            <rFont val="Tahoma"/>
            <family val="2"/>
            <charset val="238"/>
          </rPr>
          <t xml:space="preserve">
original value for 2013, value for 2015 constructed based on interpolation</t>
        </r>
      </text>
    </comment>
    <comment ref="H14" authorId="0" shapeId="0">
      <text>
        <r>
          <rPr>
            <b/>
            <sz val="9"/>
            <color indexed="81"/>
            <rFont val="Tahoma"/>
            <family val="2"/>
            <charset val="238"/>
          </rPr>
          <t>Cerny:</t>
        </r>
        <r>
          <rPr>
            <sz val="9"/>
            <color indexed="81"/>
            <rFont val="Tahoma"/>
            <family val="2"/>
            <charset val="238"/>
          </rPr>
          <t xml:space="preserve">
original value for 2013, value for 2015 constructed based on interpolation</t>
        </r>
      </text>
    </comment>
  </commentList>
</comments>
</file>

<file path=xl/comments20.xml><?xml version="1.0" encoding="utf-8"?>
<comments xmlns="http://schemas.openxmlformats.org/spreadsheetml/2006/main">
  <authors>
    <author>Cerny</author>
  </authors>
  <commentList>
    <comment ref="D10" authorId="0" shapeId="0">
      <text>
        <r>
          <rPr>
            <b/>
            <sz val="9"/>
            <color indexed="81"/>
            <rFont val="Tahoma"/>
            <family val="2"/>
            <charset val="238"/>
          </rPr>
          <t>Cerny:</t>
        </r>
        <r>
          <rPr>
            <sz val="9"/>
            <color indexed="81"/>
            <rFont val="Tahoma"/>
            <family val="2"/>
            <charset val="238"/>
          </rPr>
          <t xml:space="preserve">
2011-2016 reconstructed from Data12 based detailed data for solar PV utility X residential from 2017</t>
        </r>
      </text>
    </comment>
    <comment ref="D11" authorId="0" shapeId="0">
      <text>
        <r>
          <rPr>
            <b/>
            <sz val="9"/>
            <color indexed="81"/>
            <rFont val="Tahoma"/>
            <family val="2"/>
            <charset val="238"/>
          </rPr>
          <t>Cerny:</t>
        </r>
        <r>
          <rPr>
            <sz val="9"/>
            <color indexed="81"/>
            <rFont val="Tahoma"/>
            <family val="2"/>
            <charset val="238"/>
          </rPr>
          <t xml:space="preserve">
2011-2016 reconstructed from Data12 based detailed data for solar PV utility X residential from 2017</t>
        </r>
      </text>
    </comment>
  </commentList>
</comments>
</file>

<file path=xl/comments21.xml><?xml version="1.0" encoding="utf-8"?>
<comments xmlns="http://schemas.openxmlformats.org/spreadsheetml/2006/main">
  <authors>
    <author>Cerny</author>
  </authors>
  <commentList>
    <comment ref="D1" authorId="0" shapeId="0">
      <text>
        <r>
          <rPr>
            <b/>
            <sz val="9"/>
            <color indexed="81"/>
            <rFont val="Tahoma"/>
            <family val="2"/>
            <charset val="238"/>
          </rPr>
          <t>Cerny:</t>
        </r>
        <r>
          <rPr>
            <sz val="9"/>
            <color indexed="81"/>
            <rFont val="Tahoma"/>
            <family val="2"/>
            <charset val="238"/>
          </rPr>
          <t xml:space="preserve">
https://ec.europa.eu/eurostat/statistics-explained/index.php/Glossary:Fossil_fuel</t>
        </r>
      </text>
    </comment>
    <comment ref="B2" authorId="0" shapeId="0">
      <text>
        <r>
          <rPr>
            <b/>
            <sz val="9"/>
            <color indexed="81"/>
            <rFont val="Tahoma"/>
            <family val="2"/>
            <charset val="238"/>
          </rPr>
          <t>Cerny:</t>
        </r>
        <r>
          <rPr>
            <sz val="9"/>
            <color indexed="81"/>
            <rFont val="Tahoma"/>
            <family val="2"/>
            <charset val="238"/>
          </rPr>
          <t xml:space="preserve">
Contains also Oil shale and oil sands (all solids, so that it corresponds to the EU Reference Scenario 2016)</t>
        </r>
      </text>
    </comment>
    <comment ref="D10" authorId="0" shapeId="0">
      <text>
        <r>
          <rPr>
            <b/>
            <sz val="9"/>
            <color indexed="81"/>
            <rFont val="Tahoma"/>
            <family val="2"/>
            <charset val="238"/>
          </rPr>
          <t>Cerny:</t>
        </r>
        <r>
          <rPr>
            <sz val="9"/>
            <color indexed="81"/>
            <rFont val="Tahoma"/>
            <family val="2"/>
            <charset val="238"/>
          </rPr>
          <t xml:space="preserve">
2011-2016 reconstructed from Data12 based detailed data for solar PV utility X residential from 2017</t>
        </r>
      </text>
    </comment>
    <comment ref="D11" authorId="0" shapeId="0">
      <text>
        <r>
          <rPr>
            <b/>
            <sz val="9"/>
            <color indexed="81"/>
            <rFont val="Tahoma"/>
            <family val="2"/>
            <charset val="238"/>
          </rPr>
          <t>Cerny:</t>
        </r>
        <r>
          <rPr>
            <sz val="9"/>
            <color indexed="81"/>
            <rFont val="Tahoma"/>
            <family val="2"/>
            <charset val="238"/>
          </rPr>
          <t xml:space="preserve">
2011-2016 reconstructed from Data12 based detailed data for solar PV utility X residential from 2017</t>
        </r>
      </text>
    </comment>
  </commentList>
</comments>
</file>

<file path=xl/comments22.xml><?xml version="1.0" encoding="utf-8"?>
<comments xmlns="http://schemas.openxmlformats.org/spreadsheetml/2006/main">
  <authors>
    <author>Cerny</author>
  </authors>
  <commentList>
    <comment ref="B1" authorId="0" shapeId="0">
      <text>
        <r>
          <rPr>
            <b/>
            <sz val="9"/>
            <color indexed="81"/>
            <rFont val="Tahoma"/>
            <family val="2"/>
            <charset val="238"/>
          </rPr>
          <t>Cerny:</t>
        </r>
        <r>
          <rPr>
            <sz val="9"/>
            <color indexed="81"/>
            <rFont val="Tahoma"/>
            <family val="2"/>
            <charset val="238"/>
          </rPr>
          <t xml:space="preserve">
Coal also contains broader "solids" according to the EU Reference Scenario 2016</t>
        </r>
      </text>
    </comment>
    <comment ref="AK1" authorId="0" shapeId="0">
      <text>
        <r>
          <rPr>
            <b/>
            <sz val="9"/>
            <color indexed="81"/>
            <rFont val="Tahoma"/>
            <family val="2"/>
            <charset val="238"/>
          </rPr>
          <t>Cerny:</t>
        </r>
        <r>
          <rPr>
            <sz val="9"/>
            <color indexed="81"/>
            <rFont val="Tahoma"/>
            <family val="2"/>
            <charset val="238"/>
          </rPr>
          <t xml:space="preserve">
In MW for each year including replacements of old capital according to the assumed lifespan of the power plants for each source (each year 1 over the total lifespan added)</t>
        </r>
      </text>
    </comment>
    <comment ref="T2" authorId="0" shapeId="0">
      <text>
        <r>
          <rPr>
            <b/>
            <sz val="9"/>
            <color indexed="81"/>
            <rFont val="Tahoma"/>
            <charset val="1"/>
          </rPr>
          <t>Cerny:</t>
        </r>
        <r>
          <rPr>
            <sz val="9"/>
            <color indexed="81"/>
            <rFont val="Tahoma"/>
            <charset val="1"/>
          </rPr>
          <t xml:space="preserve">
Share of primary vs. secondary production of plastics adjusted for the numbers from Material Economics (2019), p.102, Figure 3.1 (primary = 64/68, secondary = 4/68; we assume that the shares in CZ are not different from the global aggregated values).</t>
        </r>
      </text>
    </comment>
    <comment ref="U24" authorId="0" shapeId="0">
      <text>
        <r>
          <rPr>
            <b/>
            <sz val="9"/>
            <color indexed="81"/>
            <rFont val="Tahoma"/>
            <family val="2"/>
            <charset val="238"/>
          </rPr>
          <t>Cerny:</t>
        </r>
        <r>
          <rPr>
            <sz val="9"/>
            <color indexed="81"/>
            <rFont val="Tahoma"/>
            <family val="2"/>
            <charset val="238"/>
          </rPr>
          <t xml:space="preserve">
DE</t>
        </r>
      </text>
    </comment>
    <comment ref="U29" authorId="0" shapeId="0">
      <text>
        <r>
          <rPr>
            <b/>
            <sz val="9"/>
            <color indexed="81"/>
            <rFont val="Tahoma"/>
            <family val="2"/>
            <charset val="238"/>
          </rPr>
          <t>Cerny:</t>
        </r>
        <r>
          <rPr>
            <sz val="9"/>
            <color indexed="81"/>
            <rFont val="Tahoma"/>
            <family val="2"/>
            <charset val="238"/>
          </rPr>
          <t xml:space="preserve">
ES</t>
        </r>
      </text>
    </comment>
    <comment ref="U30" authorId="0" shapeId="0">
      <text>
        <r>
          <rPr>
            <b/>
            <sz val="9"/>
            <color indexed="81"/>
            <rFont val="Tahoma"/>
            <family val="2"/>
            <charset val="238"/>
          </rPr>
          <t>Cerny:</t>
        </r>
        <r>
          <rPr>
            <sz val="9"/>
            <color indexed="81"/>
            <rFont val="Tahoma"/>
            <family val="2"/>
            <charset val="238"/>
          </rPr>
          <t xml:space="preserve">
FR</t>
        </r>
      </text>
    </comment>
    <comment ref="U31" authorId="0" shapeId="0">
      <text>
        <r>
          <rPr>
            <b/>
            <sz val="9"/>
            <color indexed="81"/>
            <rFont val="Tahoma"/>
            <family val="2"/>
            <charset val="238"/>
          </rPr>
          <t>Cerny:</t>
        </r>
        <r>
          <rPr>
            <sz val="9"/>
            <color indexed="81"/>
            <rFont val="Tahoma"/>
            <family val="2"/>
            <charset val="238"/>
          </rPr>
          <t xml:space="preserve">
AT</t>
        </r>
      </text>
    </comment>
  </commentList>
</comments>
</file>

<file path=xl/comments23.xml><?xml version="1.0" encoding="utf-8"?>
<comments xmlns="http://schemas.openxmlformats.org/spreadsheetml/2006/main">
  <authors>
    <author>Cerny</author>
  </authors>
  <commentList>
    <comment ref="B1" authorId="0" shapeId="0">
      <text>
        <r>
          <rPr>
            <b/>
            <sz val="9"/>
            <color indexed="81"/>
            <rFont val="Tahoma"/>
            <family val="2"/>
            <charset val="238"/>
          </rPr>
          <t>Cerny:</t>
        </r>
        <r>
          <rPr>
            <sz val="9"/>
            <color indexed="81"/>
            <rFont val="Tahoma"/>
            <family val="2"/>
            <charset val="238"/>
          </rPr>
          <t xml:space="preserve">
Coal also contains broader "solids" according to the EU Reference Scenario 2016</t>
        </r>
      </text>
    </comment>
    <comment ref="AK1" authorId="0" shapeId="0">
      <text>
        <r>
          <rPr>
            <b/>
            <sz val="9"/>
            <color indexed="81"/>
            <rFont val="Tahoma"/>
            <family val="2"/>
            <charset val="238"/>
          </rPr>
          <t>Cerny:</t>
        </r>
        <r>
          <rPr>
            <sz val="9"/>
            <color indexed="81"/>
            <rFont val="Tahoma"/>
            <family val="2"/>
            <charset val="238"/>
          </rPr>
          <t xml:space="preserve">
In MW for each year including replacements of old capital according to the assumed lifespan of the power plants for each source (each year 1 over the total lifespan added)</t>
        </r>
      </text>
    </comment>
    <comment ref="T2" authorId="0" shapeId="0">
      <text>
        <r>
          <rPr>
            <b/>
            <sz val="9"/>
            <color indexed="81"/>
            <rFont val="Tahoma"/>
            <charset val="1"/>
          </rPr>
          <t>Cerny:</t>
        </r>
        <r>
          <rPr>
            <sz val="9"/>
            <color indexed="81"/>
            <rFont val="Tahoma"/>
            <charset val="1"/>
          </rPr>
          <t xml:space="preserve">
Share of primary vs. secondary production of plastics adjusted for the numbers from Material Economics (2019), p.102, Figure 3.1 (primary = 64/68, secondary = 4/68; we assume that the shares in CZ are not different from the global aggregated values).</t>
        </r>
      </text>
    </comment>
    <comment ref="U24" authorId="0" shapeId="0">
      <text>
        <r>
          <rPr>
            <b/>
            <sz val="9"/>
            <color indexed="81"/>
            <rFont val="Tahoma"/>
            <family val="2"/>
            <charset val="238"/>
          </rPr>
          <t>Cerny:</t>
        </r>
        <r>
          <rPr>
            <sz val="9"/>
            <color indexed="81"/>
            <rFont val="Tahoma"/>
            <family val="2"/>
            <charset val="238"/>
          </rPr>
          <t xml:space="preserve">
DE</t>
        </r>
      </text>
    </comment>
    <comment ref="U29" authorId="0" shapeId="0">
      <text>
        <r>
          <rPr>
            <b/>
            <sz val="9"/>
            <color indexed="81"/>
            <rFont val="Tahoma"/>
            <family val="2"/>
            <charset val="238"/>
          </rPr>
          <t>Cerny:</t>
        </r>
        <r>
          <rPr>
            <sz val="9"/>
            <color indexed="81"/>
            <rFont val="Tahoma"/>
            <family val="2"/>
            <charset val="238"/>
          </rPr>
          <t xml:space="preserve">
ES</t>
        </r>
      </text>
    </comment>
    <comment ref="U30" authorId="0" shapeId="0">
      <text>
        <r>
          <rPr>
            <b/>
            <sz val="9"/>
            <color indexed="81"/>
            <rFont val="Tahoma"/>
            <family val="2"/>
            <charset val="238"/>
          </rPr>
          <t>Cerny:</t>
        </r>
        <r>
          <rPr>
            <sz val="9"/>
            <color indexed="81"/>
            <rFont val="Tahoma"/>
            <family val="2"/>
            <charset val="238"/>
          </rPr>
          <t xml:space="preserve">
FR</t>
        </r>
      </text>
    </comment>
    <comment ref="U31" authorId="0" shapeId="0">
      <text>
        <r>
          <rPr>
            <b/>
            <sz val="9"/>
            <color indexed="81"/>
            <rFont val="Tahoma"/>
            <family val="2"/>
            <charset val="238"/>
          </rPr>
          <t>Cerny:</t>
        </r>
        <r>
          <rPr>
            <sz val="9"/>
            <color indexed="81"/>
            <rFont val="Tahoma"/>
            <family val="2"/>
            <charset val="238"/>
          </rPr>
          <t xml:space="preserve">
AT</t>
        </r>
      </text>
    </comment>
  </commentList>
</comments>
</file>

<file path=xl/comments24.xml><?xml version="1.0" encoding="utf-8"?>
<comments xmlns="http://schemas.openxmlformats.org/spreadsheetml/2006/main">
  <authors>
    <author>Cerny</author>
  </authors>
  <commentList>
    <comment ref="B1" authorId="0" shapeId="0">
      <text>
        <r>
          <rPr>
            <b/>
            <sz val="9"/>
            <color indexed="81"/>
            <rFont val="Tahoma"/>
            <family val="2"/>
            <charset val="238"/>
          </rPr>
          <t>Cerny:</t>
        </r>
        <r>
          <rPr>
            <sz val="9"/>
            <color indexed="81"/>
            <rFont val="Tahoma"/>
            <family val="2"/>
            <charset val="238"/>
          </rPr>
          <t xml:space="preserve">
Coal also contains broader "solids" according to the EU Reference Scenario 2016</t>
        </r>
      </text>
    </comment>
    <comment ref="AK1" authorId="0" shapeId="0">
      <text>
        <r>
          <rPr>
            <b/>
            <sz val="9"/>
            <color indexed="81"/>
            <rFont val="Tahoma"/>
            <family val="2"/>
            <charset val="238"/>
          </rPr>
          <t>Cerny:</t>
        </r>
        <r>
          <rPr>
            <sz val="9"/>
            <color indexed="81"/>
            <rFont val="Tahoma"/>
            <family val="2"/>
            <charset val="238"/>
          </rPr>
          <t xml:space="preserve">
In MW for each year including replacements of old capital according to the assumed lifespan of the power plants for each source (each year 1 over the total lifespan added)</t>
        </r>
      </text>
    </comment>
    <comment ref="T2" authorId="0" shapeId="0">
      <text>
        <r>
          <rPr>
            <b/>
            <sz val="9"/>
            <color indexed="81"/>
            <rFont val="Tahoma"/>
            <charset val="1"/>
          </rPr>
          <t>Cerny:</t>
        </r>
        <r>
          <rPr>
            <sz val="9"/>
            <color indexed="81"/>
            <rFont val="Tahoma"/>
            <charset val="1"/>
          </rPr>
          <t xml:space="preserve">
Share of primary vs. secondary production of plastics adjusted for the numbers from Material Economics (2019), p.102, Figure 3.1 (primary = 64/68, secondary = 4/68; we assume that the shares in CZ are not different from the global aggregated values).</t>
        </r>
      </text>
    </comment>
    <comment ref="U24" authorId="0" shapeId="0">
      <text>
        <r>
          <rPr>
            <b/>
            <sz val="9"/>
            <color indexed="81"/>
            <rFont val="Tahoma"/>
            <family val="2"/>
            <charset val="238"/>
          </rPr>
          <t>Cerny:</t>
        </r>
        <r>
          <rPr>
            <sz val="9"/>
            <color indexed="81"/>
            <rFont val="Tahoma"/>
            <family val="2"/>
            <charset val="238"/>
          </rPr>
          <t xml:space="preserve">
DE</t>
        </r>
      </text>
    </comment>
    <comment ref="U29" authorId="0" shapeId="0">
      <text>
        <r>
          <rPr>
            <b/>
            <sz val="9"/>
            <color indexed="81"/>
            <rFont val="Tahoma"/>
            <family val="2"/>
            <charset val="238"/>
          </rPr>
          <t>Cerny:</t>
        </r>
        <r>
          <rPr>
            <sz val="9"/>
            <color indexed="81"/>
            <rFont val="Tahoma"/>
            <family val="2"/>
            <charset val="238"/>
          </rPr>
          <t xml:space="preserve">
ES</t>
        </r>
      </text>
    </comment>
    <comment ref="U30" authorId="0" shapeId="0">
      <text>
        <r>
          <rPr>
            <b/>
            <sz val="9"/>
            <color indexed="81"/>
            <rFont val="Tahoma"/>
            <family val="2"/>
            <charset val="238"/>
          </rPr>
          <t>Cerny:</t>
        </r>
        <r>
          <rPr>
            <sz val="9"/>
            <color indexed="81"/>
            <rFont val="Tahoma"/>
            <family val="2"/>
            <charset val="238"/>
          </rPr>
          <t xml:space="preserve">
FR</t>
        </r>
      </text>
    </comment>
    <comment ref="U31" authorId="0" shapeId="0">
      <text>
        <r>
          <rPr>
            <b/>
            <sz val="9"/>
            <color indexed="81"/>
            <rFont val="Tahoma"/>
            <family val="2"/>
            <charset val="238"/>
          </rPr>
          <t>Cerny:</t>
        </r>
        <r>
          <rPr>
            <sz val="9"/>
            <color indexed="81"/>
            <rFont val="Tahoma"/>
            <family val="2"/>
            <charset val="238"/>
          </rPr>
          <t xml:space="preserve">
AT</t>
        </r>
      </text>
    </comment>
  </commentList>
</comments>
</file>

<file path=xl/comments25.xml><?xml version="1.0" encoding="utf-8"?>
<comments xmlns="http://schemas.openxmlformats.org/spreadsheetml/2006/main">
  <authors>
    <author>Cerny</author>
  </authors>
  <commentList>
    <comment ref="B1" authorId="0" shapeId="0">
      <text>
        <r>
          <rPr>
            <b/>
            <sz val="9"/>
            <color indexed="81"/>
            <rFont val="Tahoma"/>
            <family val="2"/>
            <charset val="238"/>
          </rPr>
          <t>Cerny:</t>
        </r>
        <r>
          <rPr>
            <sz val="9"/>
            <color indexed="81"/>
            <rFont val="Tahoma"/>
            <family val="2"/>
            <charset val="238"/>
          </rPr>
          <t xml:space="preserve">
Coal also contains broader "solids" according to the EU Reference Scenario 2016</t>
        </r>
      </text>
    </comment>
    <comment ref="AK1" authorId="0" shapeId="0">
      <text>
        <r>
          <rPr>
            <b/>
            <sz val="9"/>
            <color indexed="81"/>
            <rFont val="Tahoma"/>
            <family val="2"/>
            <charset val="238"/>
          </rPr>
          <t>Cerny:</t>
        </r>
        <r>
          <rPr>
            <sz val="9"/>
            <color indexed="81"/>
            <rFont val="Tahoma"/>
            <family val="2"/>
            <charset val="238"/>
          </rPr>
          <t xml:space="preserve">
In MW for each year including replacements of old capital according to the assumed lifespan of the power plants for each source (each year 1 over the total lifespan added)</t>
        </r>
      </text>
    </comment>
    <comment ref="T2" authorId="0" shapeId="0">
      <text>
        <r>
          <rPr>
            <b/>
            <sz val="9"/>
            <color indexed="81"/>
            <rFont val="Tahoma"/>
            <charset val="1"/>
          </rPr>
          <t>Cerny:</t>
        </r>
        <r>
          <rPr>
            <sz val="9"/>
            <color indexed="81"/>
            <rFont val="Tahoma"/>
            <charset val="1"/>
          </rPr>
          <t xml:space="preserve">
Share of primary vs. secondary production of plastics adjusted for the numbers from Material Economics (2019), p.102, Figure 3.1 (primary = 64/68, secondary = 4/68; we assume that the shares in CZ are not different from the global aggregated values).</t>
        </r>
      </text>
    </comment>
    <comment ref="U24" authorId="0" shapeId="0">
      <text>
        <r>
          <rPr>
            <b/>
            <sz val="9"/>
            <color indexed="81"/>
            <rFont val="Tahoma"/>
            <family val="2"/>
            <charset val="238"/>
          </rPr>
          <t>Cerny:</t>
        </r>
        <r>
          <rPr>
            <sz val="9"/>
            <color indexed="81"/>
            <rFont val="Tahoma"/>
            <family val="2"/>
            <charset val="238"/>
          </rPr>
          <t xml:space="preserve">
DE</t>
        </r>
      </text>
    </comment>
    <comment ref="U29" authorId="0" shapeId="0">
      <text>
        <r>
          <rPr>
            <b/>
            <sz val="9"/>
            <color indexed="81"/>
            <rFont val="Tahoma"/>
            <family val="2"/>
            <charset val="238"/>
          </rPr>
          <t>Cerny:</t>
        </r>
        <r>
          <rPr>
            <sz val="9"/>
            <color indexed="81"/>
            <rFont val="Tahoma"/>
            <family val="2"/>
            <charset val="238"/>
          </rPr>
          <t xml:space="preserve">
ES</t>
        </r>
      </text>
    </comment>
    <comment ref="U30" authorId="0" shapeId="0">
      <text>
        <r>
          <rPr>
            <b/>
            <sz val="9"/>
            <color indexed="81"/>
            <rFont val="Tahoma"/>
            <family val="2"/>
            <charset val="238"/>
          </rPr>
          <t>Cerny:</t>
        </r>
        <r>
          <rPr>
            <sz val="9"/>
            <color indexed="81"/>
            <rFont val="Tahoma"/>
            <family val="2"/>
            <charset val="238"/>
          </rPr>
          <t xml:space="preserve">
FR</t>
        </r>
      </text>
    </comment>
    <comment ref="U31" authorId="0" shapeId="0">
      <text>
        <r>
          <rPr>
            <b/>
            <sz val="9"/>
            <color indexed="81"/>
            <rFont val="Tahoma"/>
            <family val="2"/>
            <charset val="238"/>
          </rPr>
          <t>Cerny:</t>
        </r>
        <r>
          <rPr>
            <sz val="9"/>
            <color indexed="81"/>
            <rFont val="Tahoma"/>
            <family val="2"/>
            <charset val="238"/>
          </rPr>
          <t xml:space="preserve">
AT</t>
        </r>
      </text>
    </comment>
  </commentList>
</comments>
</file>

<file path=xl/comments26.xml><?xml version="1.0" encoding="utf-8"?>
<comments xmlns="http://schemas.openxmlformats.org/spreadsheetml/2006/main">
  <authors>
    <author>Cerny</author>
  </authors>
  <commentList>
    <comment ref="C6" authorId="0" shapeId="0">
      <text>
        <r>
          <rPr>
            <b/>
            <sz val="9"/>
            <color indexed="81"/>
            <rFont val="Tahoma"/>
            <family val="2"/>
            <charset val="238"/>
          </rPr>
          <t>Cerny:</t>
        </r>
        <r>
          <rPr>
            <sz val="9"/>
            <color indexed="81"/>
            <rFont val="Tahoma"/>
            <family val="2"/>
            <charset val="238"/>
          </rPr>
          <t xml:space="preserve">
Part of Chemicals nec for biofuels</t>
        </r>
      </text>
    </comment>
  </commentList>
</comments>
</file>

<file path=xl/comments27.xml><?xml version="1.0" encoding="utf-8"?>
<comments xmlns="http://schemas.openxmlformats.org/spreadsheetml/2006/main">
  <authors>
    <author>Cerny</author>
  </authors>
  <commentList>
    <comment ref="C6" authorId="0" shapeId="0">
      <text>
        <r>
          <rPr>
            <b/>
            <sz val="9"/>
            <color indexed="81"/>
            <rFont val="Tahoma"/>
            <family val="2"/>
            <charset val="238"/>
          </rPr>
          <t>Cerny:</t>
        </r>
        <r>
          <rPr>
            <sz val="9"/>
            <color indexed="81"/>
            <rFont val="Tahoma"/>
            <family val="2"/>
            <charset val="238"/>
          </rPr>
          <t xml:space="preserve">
Part of Chemicals nec for biofuels</t>
        </r>
      </text>
    </comment>
  </commentList>
</comments>
</file>

<file path=xl/comments28.xml><?xml version="1.0" encoding="utf-8"?>
<comments xmlns="http://schemas.openxmlformats.org/spreadsheetml/2006/main">
  <authors>
    <author>Cerny</author>
  </authors>
  <commentList>
    <comment ref="C6" authorId="0" shapeId="0">
      <text>
        <r>
          <rPr>
            <b/>
            <sz val="9"/>
            <color indexed="81"/>
            <rFont val="Tahoma"/>
            <family val="2"/>
            <charset val="238"/>
          </rPr>
          <t>Cerny:</t>
        </r>
        <r>
          <rPr>
            <sz val="9"/>
            <color indexed="81"/>
            <rFont val="Tahoma"/>
            <family val="2"/>
            <charset val="238"/>
          </rPr>
          <t xml:space="preserve">
Part of Chemicals nec for biofuels</t>
        </r>
      </text>
    </comment>
  </commentList>
</comments>
</file>

<file path=xl/comments29.xml><?xml version="1.0" encoding="utf-8"?>
<comments xmlns="http://schemas.openxmlformats.org/spreadsheetml/2006/main">
  <authors>
    <author>Cerny</author>
  </authors>
  <commentList>
    <comment ref="C6" authorId="0" shapeId="0">
      <text>
        <r>
          <rPr>
            <b/>
            <sz val="9"/>
            <color indexed="81"/>
            <rFont val="Tahoma"/>
            <family val="2"/>
            <charset val="238"/>
          </rPr>
          <t>Cerny:</t>
        </r>
        <r>
          <rPr>
            <sz val="9"/>
            <color indexed="81"/>
            <rFont val="Tahoma"/>
            <family val="2"/>
            <charset val="238"/>
          </rPr>
          <t xml:space="preserve">
Part of Chemicals nec for biofuels</t>
        </r>
      </text>
    </comment>
  </commentList>
</comments>
</file>

<file path=xl/sharedStrings.xml><?xml version="1.0" encoding="utf-8"?>
<sst xmlns="http://schemas.openxmlformats.org/spreadsheetml/2006/main" count="20792" uniqueCount="1207">
  <si>
    <t>Industry.Name</t>
  </si>
  <si>
    <t>Industry.Code</t>
  </si>
  <si>
    <t>Production of electricity by coal</t>
  </si>
  <si>
    <t>i40.11.a</t>
  </si>
  <si>
    <t>Production of electricity by gas</t>
  </si>
  <si>
    <t>i40.11.b</t>
  </si>
  <si>
    <t>Production of electricity by nuclear</t>
  </si>
  <si>
    <t>i40.11.c</t>
  </si>
  <si>
    <t>Production of electricity by hydro</t>
  </si>
  <si>
    <t>i40.11.d</t>
  </si>
  <si>
    <t>Production of electricity by petroleum and other oil derivatives</t>
  </si>
  <si>
    <t>i40.11.f</t>
  </si>
  <si>
    <t>Production of electricity by biomass and waste</t>
  </si>
  <si>
    <t>i40.11.g</t>
  </si>
  <si>
    <t>Production of electricity by solar thermal</t>
  </si>
  <si>
    <t>i40.11.i</t>
  </si>
  <si>
    <t>Production of electricity by tide, wave, ocean</t>
  </si>
  <si>
    <t>i40.11.j</t>
  </si>
  <si>
    <t>Production of electricity by Geothermal</t>
  </si>
  <si>
    <t>i40.11.k</t>
  </si>
  <si>
    <t>Production of electricity nec</t>
  </si>
  <si>
    <t>i40.11.l</t>
  </si>
  <si>
    <t>i01.a</t>
  </si>
  <si>
    <t>Cultivation of paddy rice</t>
  </si>
  <si>
    <t>i01.b</t>
  </si>
  <si>
    <t>Cultivation of wheat</t>
  </si>
  <si>
    <t>i01.c</t>
  </si>
  <si>
    <t>Cultivation of cereal grains nec</t>
  </si>
  <si>
    <t>i01.d</t>
  </si>
  <si>
    <t>Cultivation of vegetables, fruit, nuts</t>
  </si>
  <si>
    <t>i01.e</t>
  </si>
  <si>
    <t>Cultivation of oil seeds</t>
  </si>
  <si>
    <t>i01.f</t>
  </si>
  <si>
    <t>Cultivation of sugar cane, sugar beet</t>
  </si>
  <si>
    <t>i01.g</t>
  </si>
  <si>
    <t>Cultivation of plant-based fibers</t>
  </si>
  <si>
    <t>i01.h</t>
  </si>
  <si>
    <t>Cultivation of crops nec</t>
  </si>
  <si>
    <t>i01.i</t>
  </si>
  <si>
    <t>Cattle farming</t>
  </si>
  <si>
    <t>i01.j</t>
  </si>
  <si>
    <t>Pigs farming</t>
  </si>
  <si>
    <t>i01.k</t>
  </si>
  <si>
    <t>Poultry farming</t>
  </si>
  <si>
    <t>i01.l</t>
  </si>
  <si>
    <t>Meat animals nec</t>
  </si>
  <si>
    <t>i01.m</t>
  </si>
  <si>
    <t>Animal products nec</t>
  </si>
  <si>
    <t>i01.n</t>
  </si>
  <si>
    <t>Raw milk</t>
  </si>
  <si>
    <t>i01.o</t>
  </si>
  <si>
    <t>Wool, silk-worm cocoons</t>
  </si>
  <si>
    <t>i01.w.1</t>
  </si>
  <si>
    <t>Manure treatment (conventional), storage and land application</t>
  </si>
  <si>
    <t>i01.w.2</t>
  </si>
  <si>
    <t>Manure treatment (biogas), storage and land application</t>
  </si>
  <si>
    <t>i02</t>
  </si>
  <si>
    <t>Forestry, logging and related service activities (02)</t>
  </si>
  <si>
    <t>i05</t>
  </si>
  <si>
    <t>Fishing, operating of fish hatcheries and fish farms; service activities incidental to fishing (05)</t>
  </si>
  <si>
    <t>i10</t>
  </si>
  <si>
    <t>Mining of coal and lignite; extraction of peat (10)</t>
  </si>
  <si>
    <t>i11.a</t>
  </si>
  <si>
    <t>Extraction of crude petroleum and services related to crude oil extraction, excluding surveying</t>
  </si>
  <si>
    <t>i11.b</t>
  </si>
  <si>
    <t>Extraction of natural gas and services related to natural gas extraction, excluding surveying</t>
  </si>
  <si>
    <t>i11.c</t>
  </si>
  <si>
    <t>Extraction, liquefaction, and regasification of other petroleum and gaseous materials</t>
  </si>
  <si>
    <t>i12</t>
  </si>
  <si>
    <t>Mining of uranium and thorium ores (12)</t>
  </si>
  <si>
    <t>i13.1</t>
  </si>
  <si>
    <t>Mining of iron ores</t>
  </si>
  <si>
    <t>i13.20.11</t>
  </si>
  <si>
    <t>Mining of copper ores and concentrates</t>
  </si>
  <si>
    <t>i13.20.12</t>
  </si>
  <si>
    <t>Mining of nickel ores and concentrates</t>
  </si>
  <si>
    <t>i13.20.13</t>
  </si>
  <si>
    <t>Mining of aluminium ores and concentrates</t>
  </si>
  <si>
    <t>i13.20.14</t>
  </si>
  <si>
    <t>Mining of precious metal ores and concentrates</t>
  </si>
  <si>
    <t>i13.20.15</t>
  </si>
  <si>
    <t>Mining of lead, zinc and tin ores and concentrates</t>
  </si>
  <si>
    <t>i13.20.16</t>
  </si>
  <si>
    <t>Mining of other non-ferrous metal ores and concentrates</t>
  </si>
  <si>
    <t>i14.1</t>
  </si>
  <si>
    <t>Quarrying of stone</t>
  </si>
  <si>
    <t>i14.2</t>
  </si>
  <si>
    <t>Quarrying of sand and clay</t>
  </si>
  <si>
    <t>i14.3</t>
  </si>
  <si>
    <t>Mining of chemical and fertilizer minerals, production of salt, other mining and quarrying n.e.c.</t>
  </si>
  <si>
    <t>i15.a</t>
  </si>
  <si>
    <t>Processing of meat cattle</t>
  </si>
  <si>
    <t>i15.b</t>
  </si>
  <si>
    <t>Processing of meat pigs</t>
  </si>
  <si>
    <t>i15.c</t>
  </si>
  <si>
    <t>Processing of meat poultry</t>
  </si>
  <si>
    <t>i15.d</t>
  </si>
  <si>
    <t>Production of meat products nec</t>
  </si>
  <si>
    <t>i15.e</t>
  </si>
  <si>
    <t>Processing vegetable oils and fats</t>
  </si>
  <si>
    <t>i15.f</t>
  </si>
  <si>
    <t>Processing of dairy products</t>
  </si>
  <si>
    <t>i15.g</t>
  </si>
  <si>
    <t>Processed rice</t>
  </si>
  <si>
    <t>i15.h</t>
  </si>
  <si>
    <t>Sugar refining</t>
  </si>
  <si>
    <t>i15.i</t>
  </si>
  <si>
    <t>Processing of Food products nec</t>
  </si>
  <si>
    <t>i15.j</t>
  </si>
  <si>
    <t>Manufacture of beverages</t>
  </si>
  <si>
    <t>i15.k</t>
  </si>
  <si>
    <t>Manufacture of fish products</t>
  </si>
  <si>
    <t>i16</t>
  </si>
  <si>
    <t>Manufacture of tobacco products (16)</t>
  </si>
  <si>
    <t>i17</t>
  </si>
  <si>
    <t>Manufacture of textiles (17)</t>
  </si>
  <si>
    <t>i18</t>
  </si>
  <si>
    <t>Manufacture of wearing apparel; dressing and dyeing of fur (18)</t>
  </si>
  <si>
    <t>i19</t>
  </si>
  <si>
    <t>Tanning and dressing of leather; manufacture of luggage, handbags, saddlery, harness and footwear (19)</t>
  </si>
  <si>
    <t>i20</t>
  </si>
  <si>
    <t>Manufacture of wood and of products of wood and cork, except furniture; manufacture of articles of straw and plaiting materials (20)</t>
  </si>
  <si>
    <t>i20.w</t>
  </si>
  <si>
    <t>Re-processing of secondary wood material into new wood material</t>
  </si>
  <si>
    <t>i21.1</t>
  </si>
  <si>
    <t>Pulp</t>
  </si>
  <si>
    <t>i21.w.1</t>
  </si>
  <si>
    <t>Re-processing of secondary paper into new pulp</t>
  </si>
  <si>
    <t>i21.2</t>
  </si>
  <si>
    <t>Paper</t>
  </si>
  <si>
    <t>i22</t>
  </si>
  <si>
    <t>Publishing, printing and reproduction of recorded media (22)</t>
  </si>
  <si>
    <t>i23.1</t>
  </si>
  <si>
    <t>Manufacture of coke oven products</t>
  </si>
  <si>
    <t>i23.2</t>
  </si>
  <si>
    <t>Petroleum Refinery</t>
  </si>
  <si>
    <t>i23.3</t>
  </si>
  <si>
    <t>Processing of nuclear fuel</t>
  </si>
  <si>
    <t>i24.a</t>
  </si>
  <si>
    <t>Plastics, basic</t>
  </si>
  <si>
    <t>i24.a.w</t>
  </si>
  <si>
    <t>Re-processing of secondary plastic into new plastic</t>
  </si>
  <si>
    <t>i24.b</t>
  </si>
  <si>
    <t>N-fertiliser</t>
  </si>
  <si>
    <t>i24.c</t>
  </si>
  <si>
    <t>P- and other fertiliser</t>
  </si>
  <si>
    <t>i24.d</t>
  </si>
  <si>
    <t>Chemicals nec</t>
  </si>
  <si>
    <t>i25</t>
  </si>
  <si>
    <t>Manufacture of rubber and plastic products (25)</t>
  </si>
  <si>
    <t>i26.a</t>
  </si>
  <si>
    <t>Manufacture of glass and glass products</t>
  </si>
  <si>
    <t>i26.a.w</t>
  </si>
  <si>
    <t>Re-processing of secondary glass into new glass</t>
  </si>
  <si>
    <t>i26.b</t>
  </si>
  <si>
    <t>Manufacture of ceramic goods</t>
  </si>
  <si>
    <t>i26.c</t>
  </si>
  <si>
    <t>Manufacture of bricks, tiles and construction products, in baked clay</t>
  </si>
  <si>
    <t>i26.d</t>
  </si>
  <si>
    <t>Manufacture of cement, lime and plaster</t>
  </si>
  <si>
    <t>i26.d.w</t>
  </si>
  <si>
    <t>Re-processing of ash into clinker</t>
  </si>
  <si>
    <t>i26.e</t>
  </si>
  <si>
    <t>Manufacture of other non-metallic mineral products n.e.c.</t>
  </si>
  <si>
    <t>i27.a</t>
  </si>
  <si>
    <t>Manufacture of basic iron and steel and of ferro-alloys and first products thereof</t>
  </si>
  <si>
    <t>i27.a.w</t>
  </si>
  <si>
    <t>Re-processing of secondary steel into new steel</t>
  </si>
  <si>
    <t>i27.41</t>
  </si>
  <si>
    <t>Precious metals production</t>
  </si>
  <si>
    <t>i27.41.w</t>
  </si>
  <si>
    <t>Re-processing of secondary preciuos metals into new preciuos metals</t>
  </si>
  <si>
    <t>i27.42</t>
  </si>
  <si>
    <t>Aluminium production</t>
  </si>
  <si>
    <t>i27.42.w</t>
  </si>
  <si>
    <t>Re-processing of secondary aluminium into new aluminium</t>
  </si>
  <si>
    <t>i27.43</t>
  </si>
  <si>
    <t>Lead, zinc and tin production</t>
  </si>
  <si>
    <t>i27.43.w</t>
  </si>
  <si>
    <t>Re-processing of secondary lead into new lead, zinc and tin</t>
  </si>
  <si>
    <t>i27.44</t>
  </si>
  <si>
    <t>Copper production</t>
  </si>
  <si>
    <t>i27.44.w</t>
  </si>
  <si>
    <t>Re-processing of secondary copper into new copper</t>
  </si>
  <si>
    <t>i27.45</t>
  </si>
  <si>
    <t>Other non-ferrous metal production</t>
  </si>
  <si>
    <t>i27.45.w</t>
  </si>
  <si>
    <t>Re-processing of secondary other non-ferrous metals into new other non-ferrous metals</t>
  </si>
  <si>
    <t>i27.5</t>
  </si>
  <si>
    <t>Casting of metals</t>
  </si>
  <si>
    <t>i28</t>
  </si>
  <si>
    <t>Manufacture of fabricated metal products, except machinery and equipment (28)</t>
  </si>
  <si>
    <t>i29</t>
  </si>
  <si>
    <t>Manufacture of machinery and equipment n.e.c. (29)</t>
  </si>
  <si>
    <t>i30</t>
  </si>
  <si>
    <t>Manufacture of office machinery and computers (30)</t>
  </si>
  <si>
    <t>i31</t>
  </si>
  <si>
    <t>Manufacture of electrical machinery and apparatus n.e.c. (31)</t>
  </si>
  <si>
    <t>i32</t>
  </si>
  <si>
    <t>Manufacture of radio, television and communication equipment and apparatus (32)</t>
  </si>
  <si>
    <t>i33</t>
  </si>
  <si>
    <t>Manufacture of medical, precision and optical instruments, watches and clocks (33)</t>
  </si>
  <si>
    <t>i34</t>
  </si>
  <si>
    <t>Manufacture of motor vehicles, trailers and semi-trailers (34)</t>
  </si>
  <si>
    <t>i35</t>
  </si>
  <si>
    <t>Manufacture of other transport equipment (35)</t>
  </si>
  <si>
    <t>i36</t>
  </si>
  <si>
    <t>Manufacture of furniture; manufacturing n.e.c. (36)</t>
  </si>
  <si>
    <t>i37</t>
  </si>
  <si>
    <t>Recycling of waste and scrap</t>
  </si>
  <si>
    <t>i37.w.1</t>
  </si>
  <si>
    <t>Recycling of bottles by direct reuse</t>
  </si>
  <si>
    <t>i40.12</t>
  </si>
  <si>
    <t>Transmission of electricity</t>
  </si>
  <si>
    <t>i40.13</t>
  </si>
  <si>
    <t>Distribution and trade of electricity</t>
  </si>
  <si>
    <t>i40.2</t>
  </si>
  <si>
    <t>Manufacture of gas; distribution of gaseous fuels through mains</t>
  </si>
  <si>
    <t>i40.3</t>
  </si>
  <si>
    <t>Steam and hot water supply</t>
  </si>
  <si>
    <t>i41</t>
  </si>
  <si>
    <t>Collection, purification and distribution of water (41)</t>
  </si>
  <si>
    <t>i45</t>
  </si>
  <si>
    <t>Construction (45)</t>
  </si>
  <si>
    <t>i45.w</t>
  </si>
  <si>
    <t>Re-processing of secondary construction material into aggregates</t>
  </si>
  <si>
    <t>i50.a</t>
  </si>
  <si>
    <t>Sale, maintenance, repair of motor vehicles, motor vehicles parts, motorcycles, motor cycles parts and accessoiries</t>
  </si>
  <si>
    <t>i50.b</t>
  </si>
  <si>
    <t>Retail sale of automotive fuel</t>
  </si>
  <si>
    <t>i51</t>
  </si>
  <si>
    <t>Wholesale trade and commission trade, except of motor vehicles and motorcycles (51)</t>
  </si>
  <si>
    <t>i52</t>
  </si>
  <si>
    <t>Retail trade, except of motor vehicles and motorcycles; repair of personal and household goods (52)</t>
  </si>
  <si>
    <t>i55</t>
  </si>
  <si>
    <t>Hotels and restaurants (55)</t>
  </si>
  <si>
    <t>i60.1</t>
  </si>
  <si>
    <t>Transport via railways</t>
  </si>
  <si>
    <t>i60.2</t>
  </si>
  <si>
    <t>Other land transport</t>
  </si>
  <si>
    <t>i60.3</t>
  </si>
  <si>
    <t>Transport via pipelines</t>
  </si>
  <si>
    <t>i61.1</t>
  </si>
  <si>
    <t>Sea and coastal water transport</t>
  </si>
  <si>
    <t>i61.2</t>
  </si>
  <si>
    <t>Inland water transport</t>
  </si>
  <si>
    <t>i62</t>
  </si>
  <si>
    <t>Air transport (62)</t>
  </si>
  <si>
    <t>i63</t>
  </si>
  <si>
    <t>Supporting and auxiliary transport activities; activities of travel agencies (63)</t>
  </si>
  <si>
    <t>i64</t>
  </si>
  <si>
    <t>Post and telecommunications (64)</t>
  </si>
  <si>
    <t>i65</t>
  </si>
  <si>
    <t>Financial intermediation, except insurance and pension funding (65)</t>
  </si>
  <si>
    <t>i66</t>
  </si>
  <si>
    <t>Insurance and pension funding, except compulsory social security (66)</t>
  </si>
  <si>
    <t>i67</t>
  </si>
  <si>
    <t>Activities auxiliary to financial intermediation (67)</t>
  </si>
  <si>
    <t>i70</t>
  </si>
  <si>
    <t>Real estate activities (70)</t>
  </si>
  <si>
    <t>i71</t>
  </si>
  <si>
    <t>Renting of machinery and equipment without operator and of personal and household goods (71)</t>
  </si>
  <si>
    <t>i72</t>
  </si>
  <si>
    <t>Computer and related activities (72)</t>
  </si>
  <si>
    <t>i73</t>
  </si>
  <si>
    <t>Research and development (73)</t>
  </si>
  <si>
    <t>i74</t>
  </si>
  <si>
    <t>Other business activities (74)</t>
  </si>
  <si>
    <t>i75</t>
  </si>
  <si>
    <t>Public administration and defence; compulsory social security (75)</t>
  </si>
  <si>
    <t>i80</t>
  </si>
  <si>
    <t>Education (80)</t>
  </si>
  <si>
    <t>i85</t>
  </si>
  <si>
    <t>Health and social work (85)</t>
  </si>
  <si>
    <t>i90.1.a</t>
  </si>
  <si>
    <t>Incineration of waste: Food</t>
  </si>
  <si>
    <t>i90.1.b</t>
  </si>
  <si>
    <t>Incineration of waste: Paper</t>
  </si>
  <si>
    <t>i90.1.c</t>
  </si>
  <si>
    <t>Incineration of waste: Plastic</t>
  </si>
  <si>
    <t>i90.1.d</t>
  </si>
  <si>
    <t>Incineration of waste: Metals and Inert materials</t>
  </si>
  <si>
    <t>i90.1.e</t>
  </si>
  <si>
    <t>Incineration of waste: Textiles</t>
  </si>
  <si>
    <t>i90.1.f</t>
  </si>
  <si>
    <t>Incineration of waste: Wood</t>
  </si>
  <si>
    <t>i90.1.g</t>
  </si>
  <si>
    <t>Incineration of waste: Oil/Hazardous waste</t>
  </si>
  <si>
    <t>i90.2.a</t>
  </si>
  <si>
    <t>Biogasification of food waste, incl. land application</t>
  </si>
  <si>
    <t>i90.2.b</t>
  </si>
  <si>
    <t>Biogasification of paper, incl. land application</t>
  </si>
  <si>
    <t>i90.2.c</t>
  </si>
  <si>
    <t>Biogasification of sewage slugde, incl. land application</t>
  </si>
  <si>
    <t>i90.3.a</t>
  </si>
  <si>
    <t>Composting of food waste, incl. land application</t>
  </si>
  <si>
    <t>i90.3.b</t>
  </si>
  <si>
    <t>Composting of paper and wood, incl. land application</t>
  </si>
  <si>
    <t>i90.4.a</t>
  </si>
  <si>
    <t>Waste water treatment, food</t>
  </si>
  <si>
    <t>i90.4.b</t>
  </si>
  <si>
    <t>Waste water treatment, other</t>
  </si>
  <si>
    <t>i90.5.a</t>
  </si>
  <si>
    <t>Landfill of waste: Food</t>
  </si>
  <si>
    <t>i90.5.b</t>
  </si>
  <si>
    <t>Landfill of waste: Paper</t>
  </si>
  <si>
    <t>i90.5.c</t>
  </si>
  <si>
    <t>Landfill of waste: Plastic</t>
  </si>
  <si>
    <t>i90.5.d</t>
  </si>
  <si>
    <t>Landfill of waste: Inert/metal/hazardous</t>
  </si>
  <si>
    <t>i90.5.e</t>
  </si>
  <si>
    <t>Landfill of waste: Textiles</t>
  </si>
  <si>
    <t>i90.5.f</t>
  </si>
  <si>
    <t>Landfill of waste: Wood</t>
  </si>
  <si>
    <t>i91</t>
  </si>
  <si>
    <t>Activities of membership organisation n.e.c. (91)</t>
  </si>
  <si>
    <t>i92</t>
  </si>
  <si>
    <t>Recreational, cultural and sporting activities (92)</t>
  </si>
  <si>
    <t>i93</t>
  </si>
  <si>
    <t>Other service activities (93)</t>
  </si>
  <si>
    <t>i95</t>
  </si>
  <si>
    <t>Private households with employed persons (95)</t>
  </si>
  <si>
    <t>i99</t>
  </si>
  <si>
    <t>Extra-territorial organizations and bodies</t>
  </si>
  <si>
    <t>Industry.Group</t>
  </si>
  <si>
    <t>Agri</t>
  </si>
  <si>
    <t>Mining</t>
  </si>
  <si>
    <t>M_bio_products</t>
  </si>
  <si>
    <t>M_fossil_products</t>
  </si>
  <si>
    <t>M_metal&amp;mineral_industries</t>
  </si>
  <si>
    <t>Energy</t>
  </si>
  <si>
    <t>Construction</t>
  </si>
  <si>
    <t>Sales&amp;Retail</t>
  </si>
  <si>
    <t>Transport</t>
  </si>
  <si>
    <t>Financial</t>
  </si>
  <si>
    <t>Other</t>
  </si>
  <si>
    <t>i40.11.e.1</t>
  </si>
  <si>
    <t>i40.11.e.2</t>
  </si>
  <si>
    <t>i40.11.h.1</t>
  </si>
  <si>
    <t>i40.11.h.2</t>
  </si>
  <si>
    <t>Production of electricity by solar photovoltaic utility</t>
  </si>
  <si>
    <t>Production of electricity by solar photovoltaic residential</t>
  </si>
  <si>
    <t>Production of electricity by wind onshore</t>
  </si>
  <si>
    <t>Production of electricity by wind offshore</t>
  </si>
  <si>
    <t>Inverter</t>
  </si>
  <si>
    <t>Owner's costs</t>
  </si>
  <si>
    <t>Total</t>
  </si>
  <si>
    <t>Note</t>
  </si>
  <si>
    <t>https://setis.ec.europa.eu/system/files/ETRI_2014.pdf</t>
  </si>
  <si>
    <t>Civil and structural costs</t>
  </si>
  <si>
    <t>Mechanical equipment supply and installation costs</t>
  </si>
  <si>
    <t>Electrical and I&amp;C supply and installation</t>
  </si>
  <si>
    <t>Project indirect costs</t>
  </si>
  <si>
    <t>p.14 + p.10 explanation of the breakdown</t>
  </si>
  <si>
    <t>p.19 + p.10 explanation of the breakdown</t>
  </si>
  <si>
    <t>Bioenergy</t>
  </si>
  <si>
    <t>p.70 + p.10 explanation of the breakdown</t>
  </si>
  <si>
    <t>Grate furnace steam turbine (biomass)</t>
  </si>
  <si>
    <t>Type (technology or scale)</t>
  </si>
  <si>
    <t>Residential</t>
  </si>
  <si>
    <t>Solar PV</t>
  </si>
  <si>
    <t>Onshore</t>
  </si>
  <si>
    <t>Wind</t>
  </si>
  <si>
    <t>Shortcut</t>
  </si>
  <si>
    <t>ETRI</t>
  </si>
  <si>
    <t>IRENA</t>
  </si>
  <si>
    <t>Category</t>
  </si>
  <si>
    <t>https://www.irena.org/publications/2018/Jan/Renewable-power-generation-costs-in-2017</t>
  </si>
  <si>
    <t>Industry</t>
  </si>
  <si>
    <t>Reference</t>
  </si>
  <si>
    <t>Taxes less subsidies on products purchased: Total</t>
  </si>
  <si>
    <t>Other net taxes on production</t>
  </si>
  <si>
    <t>Compensation of employees; wages, salaries, &amp; employers' social contributions: Low-skilled</t>
  </si>
  <si>
    <t>Compensation of employees; wages, salaries, &amp; employers' social contributions: Medium-skilled</t>
  </si>
  <si>
    <t>Compensation of employees; wages, salaries, &amp; employers' social contributions: High-skilled</t>
  </si>
  <si>
    <t>Operating surplus: Consumption of fixed capital</t>
  </si>
  <si>
    <t>Operating surplus: Rents on land</t>
  </si>
  <si>
    <t>Operating surplus: Royalties on resources</t>
  </si>
  <si>
    <t>Operating surplus: Remaining net operating surplus</t>
  </si>
  <si>
    <t>Value.added</t>
  </si>
  <si>
    <t>Share.2030</t>
  </si>
  <si>
    <t>Maintenance: Service and spare parts</t>
  </si>
  <si>
    <t>Regular maintenance, repair (civil work) and other miscellaneous costs</t>
  </si>
  <si>
    <t>Administration costs</t>
  </si>
  <si>
    <t>Land rent</t>
  </si>
  <si>
    <t>Insurance costs</t>
  </si>
  <si>
    <t>Power from the grid costs</t>
  </si>
  <si>
    <t>PV system maintenance costs</t>
  </si>
  <si>
    <t>Spares</t>
  </si>
  <si>
    <t>Land lease</t>
  </si>
  <si>
    <t>Insurance</t>
  </si>
  <si>
    <t>Site security and administration costs</t>
  </si>
  <si>
    <t>Utilities (including purchased electricity)</t>
  </si>
  <si>
    <t>EPRI, IRENA</t>
  </si>
  <si>
    <t>Cleaning/Veg</t>
  </si>
  <si>
    <t>PV Array</t>
  </si>
  <si>
    <t>Electrical</t>
  </si>
  <si>
    <t>Documents</t>
  </si>
  <si>
    <t>PV Module</t>
  </si>
  <si>
    <t>DC Wiring</t>
  </si>
  <si>
    <t>Mechanical</t>
  </si>
  <si>
    <t>Asset Management</t>
  </si>
  <si>
    <t>AC Wiring</t>
  </si>
  <si>
    <t>Labour</t>
  </si>
  <si>
    <t>Capex</t>
  </si>
  <si>
    <t>Operation and maintenance costs in EUR/kw/year (calculated as average EUR/USD exchange rate for 2016 - 0,9 - from IRENA numbers) of onshore wind farms in Europe (numbers for Germany for 2014), divided by specific inputs from the table (IRENA 2017 report)</t>
  </si>
  <si>
    <t>Operation and maintenance costs in USD/kw/year (calculated as adjusted average from Electric Power Research Institute: https://prod.sandia.gov/techlib-noauth/access-control.cgi/2016/160649r.pdf). Racking/Tracker maintenance costs are left out because of insufficient data. These costs are added up with costs from IRENA (https://www.irena.org/-/media/Files/IRENA/Agency/Publication/2018/Jan/IRENA_2017_Power_Costs_2018.pdf, p. 69) such as land rent etc. - other than just solar PV maintenance costs (basically operation costs come from IRENA whereas the maintenance costs come from EPRI).</t>
  </si>
  <si>
    <t>Electric Power Research Institute – maintenance costs (Enbar, Weng, &amp; Klise, 2015) - maintenance costs; International Renewable Energy Agency (Renewable Power Generation Costs in 2017, 2018) - operation costs</t>
  </si>
  <si>
    <t>International Renewable Energy Agency (Renewable Power Generation Costs in 2017, 2018)</t>
  </si>
  <si>
    <t>Egieya et al. (2018)</t>
  </si>
  <si>
    <t>Feedstock</t>
  </si>
  <si>
    <t>Depreciation</t>
  </si>
  <si>
    <t>Purchased materials</t>
  </si>
  <si>
    <t>Storage</t>
  </si>
  <si>
    <t>Maintenance</t>
  </si>
  <si>
    <t>Miscellaneous</t>
  </si>
  <si>
    <t>Scaled up without taxes (not included in other sources' breakdown and country-specific).</t>
  </si>
  <si>
    <t>Original</t>
  </si>
  <si>
    <t>Lifespan.2015</t>
  </si>
  <si>
    <t>Lifespan.2020</t>
  </si>
  <si>
    <t>Lifespan.2025</t>
  </si>
  <si>
    <t>Lifespan.2030</t>
  </si>
  <si>
    <t>Lifespan.2035</t>
  </si>
  <si>
    <t>Lifespan.2040</t>
  </si>
  <si>
    <t>Lifespan.2045</t>
  </si>
  <si>
    <t>Lifespan.2050</t>
  </si>
  <si>
    <t>Justification</t>
  </si>
  <si>
    <t>Coal</t>
  </si>
  <si>
    <t>Pulverised supercritical coal/lignite plants</t>
  </si>
  <si>
    <t>p.41</t>
  </si>
  <si>
    <t>Integrated Gasification Combined Cycle</t>
  </si>
  <si>
    <t>p.44</t>
  </si>
  <si>
    <t>Gas</t>
  </si>
  <si>
    <t>Open-cycle gas turbine</t>
  </si>
  <si>
    <t>p.38</t>
  </si>
  <si>
    <t>Combined cycle gas turbine advanced</t>
  </si>
  <si>
    <t>p.40</t>
  </si>
  <si>
    <t>Nuclear</t>
  </si>
  <si>
    <t>Generation III Light Water Reactor</t>
  </si>
  <si>
    <t>p.58</t>
  </si>
  <si>
    <t>Hydro</t>
  </si>
  <si>
    <t>Compromise between all - missing data to separate</t>
  </si>
  <si>
    <t>p.24-26</t>
  </si>
  <si>
    <t>p.14-15</t>
  </si>
  <si>
    <t>Offshore</t>
  </si>
  <si>
    <t>p.16</t>
  </si>
  <si>
    <t>Petroleum and oil</t>
  </si>
  <si>
    <t>p.70</t>
  </si>
  <si>
    <t>Fluidised bed boiler (biomass)</t>
  </si>
  <si>
    <t>p.71</t>
  </si>
  <si>
    <t>Biomass integrated gasification combined cycle</t>
  </si>
  <si>
    <t>p.72</t>
  </si>
  <si>
    <t>Anaerobic digestion (biogas)</t>
  </si>
  <si>
    <t>p.73</t>
  </si>
  <si>
    <t>Utility/commercial &gt;2 MW without tracking</t>
  </si>
  <si>
    <t>p.19-20</t>
  </si>
  <si>
    <t>p.21</t>
  </si>
  <si>
    <t>Solar thermal (CSP)</t>
  </si>
  <si>
    <t>Parabolic trough</t>
  </si>
  <si>
    <t>p.22</t>
  </si>
  <si>
    <t>Tide, wave, ocean</t>
  </si>
  <si>
    <t>Wave</t>
  </si>
  <si>
    <t>p.33</t>
  </si>
  <si>
    <t>Wave energy assumed to have greater potential than tidal (see https://publications.jrc.ec.europa.eu/repository/bitstream/JRC118296/jrc118296_1.pdf)</t>
  </si>
  <si>
    <t>Tidal</t>
  </si>
  <si>
    <t>p.35</t>
  </si>
  <si>
    <t>Geothermal</t>
  </si>
  <si>
    <t>Flash power plants</t>
  </si>
  <si>
    <t>p.29</t>
  </si>
  <si>
    <t>Share</t>
  </si>
  <si>
    <t>p.41 + p.10 explanation of the breakdown</t>
  </si>
  <si>
    <t>p.44 + p.10 explanation of the breakdown</t>
  </si>
  <si>
    <t>p.38 + p.10 explanation of the breakdown</t>
  </si>
  <si>
    <t>p.40 + p.10 explanation of the breakdown</t>
  </si>
  <si>
    <t>p.58 + p.10 explanation of the breakdown</t>
  </si>
  <si>
    <t>p.24 + p.10 explanation of the breakdown</t>
  </si>
  <si>
    <t>Dam/reservoir civil engineering</t>
  </si>
  <si>
    <t>https://irena.org/costs/Charts/Hydropower</t>
  </si>
  <si>
    <t>Penstocks/tunnel/tailraces</t>
  </si>
  <si>
    <t>Powerhouse and shafts</t>
  </si>
  <si>
    <t>Powerhouse equipment</t>
  </si>
  <si>
    <t>Engineering, procurement &amp; construction management</t>
  </si>
  <si>
    <t>Owner's cost</t>
  </si>
  <si>
    <t>Cost of Land</t>
  </si>
  <si>
    <t>Fig. 5.8, weighted average for Rest of World</t>
  </si>
  <si>
    <t>Grid Connection</t>
  </si>
  <si>
    <t>Planning and other</t>
  </si>
  <si>
    <t>Civil Works</t>
  </si>
  <si>
    <t>Wind Turbine</t>
  </si>
  <si>
    <t>p.16 + p.10 explanation of the breakdown</t>
  </si>
  <si>
    <t>Development</t>
  </si>
  <si>
    <t>IRENA?</t>
  </si>
  <si>
    <t>https://www.cleantech.com/core-cleantech-driving-wind-costs-down/</t>
  </si>
  <si>
    <t>p.34</t>
  </si>
  <si>
    <t>Turbine rotor and nacelle</t>
  </si>
  <si>
    <t>Turbine tower</t>
  </si>
  <si>
    <t>Support structure/foundation</t>
  </si>
  <si>
    <t>Electrical array</t>
  </si>
  <si>
    <t>Construction and installation</t>
  </si>
  <si>
    <t>Transmission systém</t>
  </si>
  <si>
    <t>p.71 + p.10 explanation of the breakdown</t>
  </si>
  <si>
    <t>p.72 + p.10 explanation of the breakdown</t>
  </si>
  <si>
    <t>p.73 + p.10 explanation of the breakdown</t>
  </si>
  <si>
    <t>Biomass</t>
  </si>
  <si>
    <t>Prime mover</t>
  </si>
  <si>
    <t>https://www.irena.org/publications/2012/Jun/Renewable-Energy-Cost-Analysis---Biomass-for-Power-Generation</t>
  </si>
  <si>
    <t>p.34, calculated as a roughly estimated average for different technologies (gasifier internal combustion, stoker - wood, BFB/CFB, and stoker - waste wood). For transmission lines and infrastructure/roads, data are site specific.</t>
  </si>
  <si>
    <t>Converter system</t>
  </si>
  <si>
    <t>Electrical/balance of plant</t>
  </si>
  <si>
    <t>Fuel handling/preparation</t>
  </si>
  <si>
    <t>Civils</t>
  </si>
  <si>
    <t>Consultancy/design</t>
  </si>
  <si>
    <t>Transmission lines</t>
  </si>
  <si>
    <t>Infrastructure/Roads</t>
  </si>
  <si>
    <t>Biogas</t>
  </si>
  <si>
    <t>p.34, calculated as a roughly estimated average for different technologies (advanced anaerobic digestion, food waste anaerobic digestion, manure-slury anaerobic digestion, and energy crops anaerobic digestion). For transmission lines and infrastructure/roads, data are site specific.</t>
  </si>
  <si>
    <t>Module</t>
  </si>
  <si>
    <t>Fig. 3.7</t>
  </si>
  <si>
    <t>Cabling / wiring</t>
  </si>
  <si>
    <t>Grid connection</t>
  </si>
  <si>
    <t>Monitoring and control</t>
  </si>
  <si>
    <t>Racking and mounting</t>
  </si>
  <si>
    <t>Safety and security</t>
  </si>
  <si>
    <t xml:space="preserve">Electrical installation </t>
  </si>
  <si>
    <t>Inspection</t>
  </si>
  <si>
    <t>Mechanical installation</t>
  </si>
  <si>
    <t>Customer acquisition</t>
  </si>
  <si>
    <t>Financing costs</t>
  </si>
  <si>
    <t>Incentive application</t>
  </si>
  <si>
    <t>Margin</t>
  </si>
  <si>
    <t>Permitting</t>
  </si>
  <si>
    <t>System design</t>
  </si>
  <si>
    <t>NREL</t>
  </si>
  <si>
    <t>https://www.nrel.gov/docs/fy12osti/53347.pdf</t>
  </si>
  <si>
    <t>p. 19, fixed axis</t>
  </si>
  <si>
    <t>Installation Materials</t>
  </si>
  <si>
    <t>Electrical Labor</t>
  </si>
  <si>
    <t>Hardware Labor</t>
  </si>
  <si>
    <t>Permitting and Commissioning</t>
  </si>
  <si>
    <t>Land acquisition</t>
  </si>
  <si>
    <t>Site preparation</t>
  </si>
  <si>
    <t>Installer overhead</t>
  </si>
  <si>
    <t>Installer profit</t>
  </si>
  <si>
    <t>Supply chain costs</t>
  </si>
  <si>
    <t>Sales Tax</t>
  </si>
  <si>
    <t>p. 9</t>
  </si>
  <si>
    <t>p.22 + p.10 explanation of the breakdown</t>
  </si>
  <si>
    <t>Owners costs</t>
  </si>
  <si>
    <t>https://irena.org/costs/Charts/CSP</t>
  </si>
  <si>
    <t>Contingencies</t>
  </si>
  <si>
    <t>Engineering and site preparation</t>
  </si>
  <si>
    <t>Balance of plant</t>
  </si>
  <si>
    <t>Power block</t>
  </si>
  <si>
    <t>Thermal energy storage</t>
  </si>
  <si>
    <t>Heat transfer fluid and system</t>
  </si>
  <si>
    <t>Solar field</t>
  </si>
  <si>
    <t>Receiver system</t>
  </si>
  <si>
    <t>Tower</t>
  </si>
  <si>
    <t>Heliostat field</t>
  </si>
  <si>
    <t>p.33 + p.10 explanation of the breakdown</t>
  </si>
  <si>
    <t>Mooring</t>
  </si>
  <si>
    <t>https://www.researchgate.net/publication/305126646_Cost_Analysis_of_Wave_Energy_in_the_Pacific/link/5783231108ae01f736e8f561/download</t>
  </si>
  <si>
    <t>Installation</t>
  </si>
  <si>
    <t>Project management</t>
  </si>
  <si>
    <t>Structure</t>
  </si>
  <si>
    <t>Mechanical and electrical</t>
  </si>
  <si>
    <t>p.35 + p.10 explanation of the breakdown</t>
  </si>
  <si>
    <t>Device - Rotor and power train</t>
  </si>
  <si>
    <t>https://core.ac.uk/download/pdf/80690304.pdf</t>
  </si>
  <si>
    <t>Device - Generator and other equipment</t>
  </si>
  <si>
    <t>https://www.sciencedirect.com/science/article/abs/pii/S036054421630370X?via%3Dihub</t>
  </si>
  <si>
    <t>Cable</t>
  </si>
  <si>
    <t>https://www.researchgate.net/publication/282579414_Evaluation_and_comparison_of_the_levelized_cost_of_tidal_wave_and_offshore_wind_energy/link/566ab2dc08ae1a797e3890a7/download</t>
  </si>
  <si>
    <t>Foundations</t>
  </si>
  <si>
    <t>https://www.sciencedirect.com/science/article/pii/S2214166915000181</t>
  </si>
  <si>
    <t>p.29 + p.10 explanation of the breakdown</t>
  </si>
  <si>
    <t>Infrastructure</t>
  </si>
  <si>
    <t>https://irena.org/costs/Charts/Geothermal</t>
  </si>
  <si>
    <t>Exploration wells</t>
  </si>
  <si>
    <t>Production wells</t>
  </si>
  <si>
    <t>Injection wells</t>
  </si>
  <si>
    <t>Test wells</t>
  </si>
  <si>
    <t>Steamfield development</t>
  </si>
  <si>
    <t>Power plant</t>
  </si>
  <si>
    <t>Project management and engineering supervision</t>
  </si>
  <si>
    <t>Contingency</t>
  </si>
  <si>
    <t>Country.Code</t>
  </si>
  <si>
    <t>Reference.1</t>
  </si>
  <si>
    <t>Note.1</t>
  </si>
  <si>
    <t>Reference.2</t>
  </si>
  <si>
    <t>Note.2</t>
  </si>
  <si>
    <t>Price2015.kW</t>
  </si>
  <si>
    <t>Price2020.kW</t>
  </si>
  <si>
    <t>Price2025.kW</t>
  </si>
  <si>
    <t>Price2030.kW</t>
  </si>
  <si>
    <t>Price2035.kW</t>
  </si>
  <si>
    <t>Price2040.kW</t>
  </si>
  <si>
    <t>Price2045.kW</t>
  </si>
  <si>
    <t>Price2050.kW</t>
  </si>
  <si>
    <t>USD.EUR</t>
  </si>
  <si>
    <t>EUR2015.MW</t>
  </si>
  <si>
    <t>EUR2020.MW</t>
  </si>
  <si>
    <t>EUR2025.MW</t>
  </si>
  <si>
    <t>EUR2030.MW</t>
  </si>
  <si>
    <t>EUR2035.MW</t>
  </si>
  <si>
    <t>EUR2040.MW</t>
  </si>
  <si>
    <t>EUR2045.MW</t>
  </si>
  <si>
    <t>EUR2050.MW</t>
  </si>
  <si>
    <t>GFCF2015</t>
  </si>
  <si>
    <t>GFCF2020</t>
  </si>
  <si>
    <t>GFCF2025</t>
  </si>
  <si>
    <t>GFCF2030</t>
  </si>
  <si>
    <t>GFCF2035</t>
  </si>
  <si>
    <t>GFCF2040</t>
  </si>
  <si>
    <t>GFCF2045</t>
  </si>
  <si>
    <t>GFCF2050</t>
  </si>
  <si>
    <t>CZ</t>
  </si>
  <si>
    <t>p.42, Tab. 23+24, 2013 CAPEX ref value, share from ENTSO-E Transparency Platform Installed Capacity 2015</t>
  </si>
  <si>
    <t>p.40, 2013 CAPEX ref value</t>
  </si>
  <si>
    <t>p.58, 2013 CAPEX ref value</t>
  </si>
  <si>
    <t>https://www.irena.org/publications/2020/Jun/Renewable-Power-Costs-in-2019</t>
  </si>
  <si>
    <t>Fig. 5.5, 2015-2019 weighted average for Europe</t>
  </si>
  <si>
    <t>p.24-26, 2020-2050 CAPEX ref value, EU average, utility/commercial &gt;2 MW without tracking</t>
  </si>
  <si>
    <t>Fig. 2.5, 2011-2019 weighted average for Germany</t>
  </si>
  <si>
    <t>p.14, 2020-2050 CAPEX ref value, EU average, utility/commercial &gt;2 MW without tracking</t>
  </si>
  <si>
    <t>Tab. 4.1, (2010+2019)/2 weighted average for Europe</t>
  </si>
  <si>
    <t>p.16, 2020-2050 CAPEX ref value, EU average, utility/commercial &gt;2 MW without tracking</t>
  </si>
  <si>
    <t>p.44, 2013 CAPEX ref value</t>
  </si>
  <si>
    <t>p.70, 2013 CAPEX ref value</t>
  </si>
  <si>
    <t>Fig. 3.4, 2011-2019 weighted average for Germany</t>
  </si>
  <si>
    <t>p.20, 2020-2050 CAPEX ref value, EU average, utility/commercial &gt;2 MW without tracking</t>
  </si>
  <si>
    <t>Tab. 3.1, 2011-2019 weighted average for Germany</t>
  </si>
  <si>
    <t>p.21, 2020-2050 CAPEX ref value, EU average, residential &lt;100 kW</t>
  </si>
  <si>
    <t>p.22, 2013 CAPEX ref value</t>
  </si>
  <si>
    <t>p.34, 2013 CAPEX ref value</t>
  </si>
  <si>
    <t>p.29, 2013 CAPEX ref value</t>
  </si>
  <si>
    <t>Solids</t>
  </si>
  <si>
    <t>Gross electricity generation by source (GWh)</t>
  </si>
  <si>
    <t>Reference.3</t>
  </si>
  <si>
    <t>Unit</t>
  </si>
  <si>
    <t>cap2011</t>
  </si>
  <si>
    <t>cap2012</t>
  </si>
  <si>
    <t>cap2013</t>
  </si>
  <si>
    <t>cap2014</t>
  </si>
  <si>
    <t>cap2015</t>
  </si>
  <si>
    <t>cap2016</t>
  </si>
  <si>
    <t>cap2017</t>
  </si>
  <si>
    <t>cap2018</t>
  </si>
  <si>
    <t>cap2019</t>
  </si>
  <si>
    <t>inst2012</t>
  </si>
  <si>
    <t>inst2013</t>
  </si>
  <si>
    <t>inst2014</t>
  </si>
  <si>
    <t>inst2015</t>
  </si>
  <si>
    <t>inst2016</t>
  </si>
  <si>
    <t>inst2017</t>
  </si>
  <si>
    <t>inst2018</t>
  </si>
  <si>
    <t>inst2019</t>
  </si>
  <si>
    <t>ENTSO-E SOAF 2011 projection from open-power-system-data (2011-2015) https://www.entsoe.eu/outlooks/midterm/previous-maf-versions/, https://data.open-power-system-data.org/national_generation_capacity/2020-10-01</t>
  </si>
  <si>
    <t>ENTSO-E Power Statistics from open-power-system-data (2014-2018) https://www.entsoe.eu/data/power-stats/net-gen-capacity/, https://data.open-power-system-data.org/national_generation_capacity/2020-10-01</t>
  </si>
  <si>
    <t>ENTSO-E Transparency Platform (2015-2019) https://transparency.entsoe.eu/generation/r2/installedGenerationCapacityAggregation/show</t>
  </si>
  <si>
    <t>Installed capacity in MW</t>
  </si>
  <si>
    <t>EUROSTAT nrg_inf_epc</t>
  </si>
  <si>
    <t>MW</t>
  </si>
  <si>
    <t>EUROSTAT nrg_inf_epcrw</t>
  </si>
  <si>
    <t>Net maximum electrical capacity (MW)</t>
  </si>
  <si>
    <t>gen2011</t>
  </si>
  <si>
    <t>gen2012</t>
  </si>
  <si>
    <t>gen2013</t>
  </si>
  <si>
    <t>gen2014</t>
  </si>
  <si>
    <t>gen2015</t>
  </si>
  <si>
    <t>gen2016</t>
  </si>
  <si>
    <t>gen2017</t>
  </si>
  <si>
    <t>gen2018</t>
  </si>
  <si>
    <t>gen2019</t>
  </si>
  <si>
    <t>EUROSTAT nrg_ind_peh</t>
  </si>
  <si>
    <t>Gross electricity production (GWh)</t>
  </si>
  <si>
    <t>EUROSTAT nrg_ind_pehnf</t>
  </si>
  <si>
    <t>DE</t>
  </si>
  <si>
    <t>ES</t>
  </si>
  <si>
    <t>FR</t>
  </si>
  <si>
    <t>AT</t>
  </si>
  <si>
    <t>gen2020</t>
  </si>
  <si>
    <t>gen2025</t>
  </si>
  <si>
    <t>gen2030</t>
  </si>
  <si>
    <t>gen2035</t>
  </si>
  <si>
    <t>gen2040</t>
  </si>
  <si>
    <t>gen2045</t>
  </si>
  <si>
    <t>gen2050</t>
  </si>
  <si>
    <t>X2015</t>
  </si>
  <si>
    <t>X2020</t>
  </si>
  <si>
    <t>X2025</t>
  </si>
  <si>
    <t>X2030</t>
  </si>
  <si>
    <t>X2035</t>
  </si>
  <si>
    <t>X2040</t>
  </si>
  <si>
    <t>X2045</t>
  </si>
  <si>
    <t>X2050</t>
  </si>
  <si>
    <t>cap2020</t>
  </si>
  <si>
    <t>cap2025</t>
  </si>
  <si>
    <t>cap2030</t>
  </si>
  <si>
    <t>cap2035</t>
  </si>
  <si>
    <t>cap2040</t>
  </si>
  <si>
    <t>cap2045</t>
  </si>
  <si>
    <t>cap2050</t>
  </si>
  <si>
    <t>inst2020</t>
  </si>
  <si>
    <t>inst2025</t>
  </si>
  <si>
    <t>inst2030</t>
  </si>
  <si>
    <t>inst2035</t>
  </si>
  <si>
    <t>inst2040</t>
  </si>
  <si>
    <t>inst2045</t>
  </si>
  <si>
    <t>inst2050</t>
  </si>
  <si>
    <t>EURef.Name</t>
  </si>
  <si>
    <t>Renewable energy forms</t>
  </si>
  <si>
    <t>Manure treatment (biogas), storage and land application</t>
  </si>
  <si>
    <t>Mining of coal and lignite; extraction of peat (10)</t>
  </si>
  <si>
    <t>Manufacture of coke oven products</t>
  </si>
  <si>
    <t>Oil</t>
  </si>
  <si>
    <t>Petroleum Refinery</t>
  </si>
  <si>
    <t>Gas+Renewable energy forms</t>
  </si>
  <si>
    <t>Manufacture of gas; distribution of gaseous fuels through mains</t>
  </si>
  <si>
    <t>Heat+Renewable energy forms</t>
  </si>
  <si>
    <t>Steam and hot water supply</t>
  </si>
  <si>
    <t>Incineration of waste: Food</t>
  </si>
  <si>
    <t>Incineration of waste: Paper</t>
  </si>
  <si>
    <t>Incineration of waste: Plastic</t>
  </si>
  <si>
    <t>Incineration of waste: Metals and Inert materials</t>
  </si>
  <si>
    <t>Incineration of waste: Textiles</t>
  </si>
  <si>
    <t>Incineration of waste: Wood</t>
  </si>
  <si>
    <t>Incineration of waste: Oil/Hazardous waste</t>
  </si>
  <si>
    <t>Technology.Name</t>
  </si>
  <si>
    <t>Technology.Code</t>
  </si>
  <si>
    <t>i27.a.1</t>
  </si>
  <si>
    <t>i27.a.2</t>
  </si>
  <si>
    <t>Manufacture of motor vehicles, trailers and semi-trailers</t>
  </si>
  <si>
    <t>i34.1</t>
  </si>
  <si>
    <t>i34.2</t>
  </si>
  <si>
    <t>i26.d.1</t>
  </si>
  <si>
    <t>i26.d.2</t>
  </si>
  <si>
    <t>i24.a.1</t>
  </si>
  <si>
    <t>i24.a.2</t>
  </si>
  <si>
    <t>i24.b.1</t>
  </si>
  <si>
    <t>i24.b.2</t>
  </si>
  <si>
    <t>Internal Combustion Engine</t>
  </si>
  <si>
    <t>Oxyfuel CCS</t>
  </si>
  <si>
    <t>Electrification of kiln + direct separation</t>
  </si>
  <si>
    <t>i26.d.3</t>
  </si>
  <si>
    <t>Electrification of kiln</t>
  </si>
  <si>
    <t>i27.a.3</t>
  </si>
  <si>
    <t>Steam crackers with decarbonized electricity</t>
  </si>
  <si>
    <t>i24.a.3</t>
  </si>
  <si>
    <t>Integrated mill (BF-BOF)</t>
  </si>
  <si>
    <t>https://materialeconomics.com/publications/industrial-transformation-2050</t>
  </si>
  <si>
    <t>Hydrogen direct reduced iron electric arc furnace DRI-EAF (HYBRIT)</t>
  </si>
  <si>
    <t>Direct reduced iron electric arc furnace (DRI-EAF)</t>
  </si>
  <si>
    <t>Blast furnace - Basic oxygen furnace (BF-BOF)</t>
  </si>
  <si>
    <t>HIsarna BF-BOF with smelting reduction</t>
  </si>
  <si>
    <t>Electrolysis direct reduced iron electric arc furnace DRI-EAF (SIDERWIN)</t>
  </si>
  <si>
    <t>Induction furnace</t>
  </si>
  <si>
    <t>Electric arc furnace (EAF)</t>
  </si>
  <si>
    <t>Primary steelmaking</t>
  </si>
  <si>
    <t>Link</t>
  </si>
  <si>
    <t>Rissman et al. (2020)</t>
  </si>
  <si>
    <t>https://www.sciencedirect.com/science/article/pii/S0306261920303603</t>
  </si>
  <si>
    <t>Technology</t>
  </si>
  <si>
    <t>Hydrogen Direct Reduction (H-DR)</t>
  </si>
  <si>
    <t>Electrowinning (EW)</t>
  </si>
  <si>
    <t>Secondary steelmaking</t>
  </si>
  <si>
    <t>https://www.sciencedirect.com/science/article/pii/S095965261501063X</t>
  </si>
  <si>
    <t>Weigel et al. (2016)</t>
  </si>
  <si>
    <t>https://www.sciencedirect.com/science/article/pii/S095965261400540X</t>
  </si>
  <si>
    <t>Integrated route (BF-BOF)</t>
  </si>
  <si>
    <t>Integrated route with CCS (BF-CCS)</t>
  </si>
  <si>
    <t>Fischedick et al. (2014)</t>
  </si>
  <si>
    <t>Material Economics (2019)</t>
  </si>
  <si>
    <t>Smelting reduction with CCS</t>
  </si>
  <si>
    <t>Blast furnace with basic oxygen furnace equipped with CCS (BF-CCS)</t>
  </si>
  <si>
    <t>https://www.sciencedirect.com/science/article/pii/S2542435121000957</t>
  </si>
  <si>
    <t>Fan and Friedmann (2021)</t>
  </si>
  <si>
    <t>https://onlinelibrary.wiley.com/doi/full/10.1111/jiec.12997</t>
  </si>
  <si>
    <t>Gielen et al. (2020)</t>
  </si>
  <si>
    <t>https://www.sciencedirect.com/science/article/pii/S2214629622000706</t>
  </si>
  <si>
    <t>Kim et al. (2022)</t>
  </si>
  <si>
    <t>Blast furnace-basic oxygen furnace (BF-BOF)</t>
  </si>
  <si>
    <t>HIsarna smelting ironmaking process</t>
  </si>
  <si>
    <t>Molten oxide electrolysis (MOE)</t>
  </si>
  <si>
    <t>Direct reduction of iron (DRI) for EAF</t>
  </si>
  <si>
    <t>Hydrogen reduction using renewable power (DRI-EAF)</t>
  </si>
  <si>
    <t>Electrolysis using renewable power</t>
  </si>
  <si>
    <t>CCS (retrofitted to BFs or in combination with smelting reduction and gas-based DRI making)</t>
  </si>
  <si>
    <t>Biomass products substituting coal and coke</t>
  </si>
  <si>
    <t>BF-BOF</t>
  </si>
  <si>
    <t>DRI-EAF</t>
  </si>
  <si>
    <t>EAF</t>
  </si>
  <si>
    <t>Smelting reduction iron (SRI)-BOF</t>
  </si>
  <si>
    <t>Hydrogen-based DRI, possibly with CCS and CCU technologies</t>
  </si>
  <si>
    <t>Rissman et al. (2020), pp.175, 182, 185</t>
  </si>
  <si>
    <t>Ordinary Portland Cement (OPC) production with current fuels</t>
  </si>
  <si>
    <t>https://www.sciencedirect.com/science/article/abs/pii/S0959652618307686?via%3Dihub</t>
  </si>
  <si>
    <t>https://www.sciencedirect.com/science/article/pii/S2542435121001975?casa_token=u6DcSAhrPYAAAAAA:mCvqQ6W4A3SYjP-8w418QH8_RtUzHlfk-2hRYNnSigFzwWPCwjkvl0j2xz7fsOQ01N-eo39-Fg</t>
  </si>
  <si>
    <t>https://onlinelibrary.wiley.com/doi/full/10.1111/jiec.13105</t>
  </si>
  <si>
    <t>Alternative binders</t>
  </si>
  <si>
    <t>Kiln electrification</t>
  </si>
  <si>
    <t>Reduce overspecification of products (e.g. increased digitization in construction)</t>
  </si>
  <si>
    <t>Reduced use of clinker in ratio with cementious materials</t>
  </si>
  <si>
    <t>Alternative design and material substitution (e.g. cement in combination with wood, hemp, carbon fibre, or other materials for shear strength)</t>
  </si>
  <si>
    <t>Use of CCUS for process emissions (e.g. carbonate looping given the ready presence of limestone or alternative zero-carbon heat sources)</t>
  </si>
  <si>
    <t>Use of alternative chemistries for cement (e.g. magnesium oxide, alkali-activated aluminum silicon cements (geopolymers), and calcera)</t>
  </si>
  <si>
    <t>Bataille et al. (2018), pp.966-967</t>
  </si>
  <si>
    <t>Cementitious substitution (non-Portland cementitious materials (NPCM), e.g. ash processed into clinker)</t>
  </si>
  <si>
    <t>Pamenter and Myers (2021), p.372</t>
  </si>
  <si>
    <t>Waste heat recovery (WHR)</t>
  </si>
  <si>
    <t>Fenell et al. (2021), pp.1306-1308</t>
  </si>
  <si>
    <t>Digitalization</t>
  </si>
  <si>
    <t>Carbon capture and storage</t>
  </si>
  <si>
    <t>Alternative fuels</t>
  </si>
  <si>
    <t>Lower-clinker and lower-carbon cements</t>
  </si>
  <si>
    <t>Mechanical recycling (reuse and plastics recirculation)</t>
  </si>
  <si>
    <t>Material Economics (2019), pp.111, 135</t>
  </si>
  <si>
    <t>Steam cracking (unabated route)</t>
  </si>
  <si>
    <t>Steam cracking + CCS + End of Life CCS</t>
  </si>
  <si>
    <t>Electric steam cracking + End of Life CCS</t>
  </si>
  <si>
    <t>Biomass feedstock</t>
  </si>
  <si>
    <t>Current clinker production</t>
  </si>
  <si>
    <t>Material Economics (2019), p.175</t>
  </si>
  <si>
    <t>Recycled fines</t>
  </si>
  <si>
    <t>Separation and capture of CO2</t>
  </si>
  <si>
    <t>Oxyfuel CCS with fossil fuels and biomass</t>
  </si>
  <si>
    <t>Electrification of kiln and direct separation of process CO2</t>
  </si>
  <si>
    <t>Steam methane reforming (SMR) for ammonia production</t>
  </si>
  <si>
    <t>Steam methane reforming (SMR) with CCS</t>
  </si>
  <si>
    <t>Water electrolysis</t>
  </si>
  <si>
    <t>Material Economics (2019), pp.148, 153</t>
  </si>
  <si>
    <t>Production of electricity by solar photovoltaic utility (&gt;1MW)</t>
  </si>
  <si>
    <t>Production of electricity by solar photovoltaic residential (&lt;1MW)</t>
  </si>
  <si>
    <t>Total installed capacity (2015 = 100%)</t>
  </si>
  <si>
    <t>Final consumption by energy type (ktoe)</t>
  </si>
  <si>
    <t>Heat</t>
  </si>
  <si>
    <t>Electricity</t>
  </si>
  <si>
    <t>Total final consumption (2015 = 100%)</t>
  </si>
  <si>
    <t>Battery Electric</t>
  </si>
  <si>
    <t>Hydrogen Fuel Cell</t>
  </si>
  <si>
    <t>https://agupubs.onlinelibrary.wiley.com/doi/full/10.1029/2021EF002399</t>
  </si>
  <si>
    <t>Other (incl. Internal Combustion Engine)</t>
  </si>
  <si>
    <t>Fossil</t>
  </si>
  <si>
    <t>Other renewable</t>
  </si>
  <si>
    <t>Electric Resistance</t>
  </si>
  <si>
    <t>Heat Pump</t>
  </si>
  <si>
    <t>Holmes et al. (2021)</t>
  </si>
  <si>
    <t>International Council on Clean Transportation (2021)</t>
  </si>
  <si>
    <t>https://theicct.org/publication/decarbonizing-road-transport-by-2050-zero-emission-pathways-for-passenger-vehicles/</t>
  </si>
  <si>
    <t>Plug-in hybrid EV</t>
  </si>
  <si>
    <t>Battery EV</t>
  </si>
  <si>
    <t>Fuel-cell EV</t>
  </si>
  <si>
    <t>Gasoline/Diesel/Natural gas + biofuels ICE</t>
  </si>
  <si>
    <t>Pietzker et al. (2014)</t>
  </si>
  <si>
    <t>https://www.sciencedirect.com/science/article/abs/pii/S0360544213007482?via%3Dihub</t>
  </si>
  <si>
    <t>Internal combustion engine (ICE)</t>
  </si>
  <si>
    <t>Plug-in hybrid</t>
  </si>
  <si>
    <t>Battery electric vehicle</t>
  </si>
  <si>
    <t>Fuel cell vehicle</t>
  </si>
  <si>
    <t>de Blas et al. (2020)</t>
  </si>
  <si>
    <t>https://www.sciencedirect.com/science/article/pii/S2211467X20300961</t>
  </si>
  <si>
    <t>ICE with biofuels</t>
  </si>
  <si>
    <t>ICE with natural gas</t>
  </si>
  <si>
    <t>Electric vehicles</t>
  </si>
  <si>
    <t>Fuel cell vehicles</t>
  </si>
  <si>
    <t>ICE with oil</t>
  </si>
  <si>
    <t>https://www.nature.com/articles/s41558-019-0459-z</t>
  </si>
  <si>
    <t>Recycling of EoL plastics</t>
  </si>
  <si>
    <t>Zheng and Suh (2019), p.374</t>
  </si>
  <si>
    <t>Fossil fuel-based plastics</t>
  </si>
  <si>
    <t>Bio-based plastics</t>
  </si>
  <si>
    <t>Decarbonized plastics supply chain based on renewable energy</t>
  </si>
  <si>
    <t>https://www.sciencedirect.com/science/article/pii/S0306261921005079</t>
  </si>
  <si>
    <t>Biomass feedstocks and recycled chemicals</t>
  </si>
  <si>
    <t>Current production with current fuels (unabated route)</t>
  </si>
  <si>
    <t>Capture and reuse of CO2 for chemicals production</t>
  </si>
  <si>
    <t>Chemical separations</t>
  </si>
  <si>
    <t>https://dechema.de/Low_carbon_chemical_industry.html</t>
  </si>
  <si>
    <t>Bazanella and Ausfelder (2017)</t>
  </si>
  <si>
    <t>Layritz et al. (2021)</t>
  </si>
  <si>
    <t>Rissman et al. (2020), pp.11-12</t>
  </si>
  <si>
    <t>Conventional Steam Cracking</t>
  </si>
  <si>
    <t>Electrolysis (Electrified Steam Cracking)</t>
  </si>
  <si>
    <t>Direct air capture (DAC)</t>
  </si>
  <si>
    <t>Oxidative Coupling of Methane (OCM)</t>
  </si>
  <si>
    <t>Direct use of low-carbon electricity</t>
  </si>
  <si>
    <t>Hydrogen/CO2-based production routes</t>
  </si>
  <si>
    <t>Alternative synthesis pathways using CO2</t>
  </si>
  <si>
    <t>Low-carbon chemical production based on biomass as feedstock</t>
  </si>
  <si>
    <t>Recycling and polymer waste as feedstock for the chemical industry</t>
  </si>
  <si>
    <t>Valorization of gaseous emissions and side streams of other sectors (Industrial symbiosis)</t>
  </si>
  <si>
    <t>Bataille et al. (2018), pp.964-965</t>
  </si>
  <si>
    <t>Biomass derived biogas (biomethane) instead of fossil methane</t>
  </si>
  <si>
    <t>Synthetic methane constructed from renewable (electricity) hydrogen and carbon derived from biomass, CCUS or direct air capture</t>
  </si>
  <si>
    <t>Wesseling et al. (2017), p.1307</t>
  </si>
  <si>
    <t>https://www.sciencedirect.com/science/article/pii/S1364032117307906</t>
  </si>
  <si>
    <t>https://www.sciencedirect.com/science/article/pii/S1364032113007351?via%3Dihub</t>
  </si>
  <si>
    <t>Advanced steam crackers &amp; CCS</t>
  </si>
  <si>
    <t>Electro-plastics (with RES-Methane; with Fischer Tropsch)</t>
  </si>
  <si>
    <t>Bio-based polymers</t>
  </si>
  <si>
    <t>Recirculating Blast Furnace &amp; CCS</t>
  </si>
  <si>
    <t>Smelt reduction &amp; CCS</t>
  </si>
  <si>
    <t>Direct reduction with H2</t>
  </si>
  <si>
    <t>Electrowinning</t>
  </si>
  <si>
    <t>Ordinary Portland Cement (OPC)</t>
  </si>
  <si>
    <t>Geopolymer cement</t>
  </si>
  <si>
    <t>Napp et al. (2014), p.625</t>
  </si>
  <si>
    <t>Scrap-EAF</t>
  </si>
  <si>
    <t>Smelt-BOF</t>
  </si>
  <si>
    <t>Napp et al. (2014), p.627</t>
  </si>
  <si>
    <t>Efficient grinding and milling</t>
  </si>
  <si>
    <t>Reduced clinker to cement ratio</t>
  </si>
  <si>
    <t>Phasing out inefficient kilns</t>
  </si>
  <si>
    <t>Current OPC production</t>
  </si>
  <si>
    <t>Metallurgy</t>
  </si>
  <si>
    <t>Type</t>
  </si>
  <si>
    <t>Heating</t>
  </si>
  <si>
    <t>Cement</t>
  </si>
  <si>
    <t>Plastics</t>
  </si>
  <si>
    <t>Chemicals</t>
  </si>
  <si>
    <t>Plastics (re-processing)</t>
  </si>
  <si>
    <t>Production of electricity</t>
  </si>
  <si>
    <t>Parabolic trough (CSP)</t>
  </si>
  <si>
    <t>Solar tower (CSP)</t>
  </si>
  <si>
    <t>Utility/commercial (&gt;1MW)</t>
  </si>
  <si>
    <t>Residential (&lt;1MW)</t>
  </si>
  <si>
    <t>i24.b.3</t>
  </si>
  <si>
    <t>Manufacture of cars</t>
  </si>
  <si>
    <t>https://www.ft.com/content/a7e58ce7-4fab-424a-b1fa-f833ce948cb7</t>
  </si>
  <si>
    <t>https://www.researchgate.net/publication/349034233_An_Overview_of_Parameter_and_Cost_for_Battery_Electric_Vehicles</t>
  </si>
  <si>
    <t>1st ref original but without figures</t>
  </si>
  <si>
    <t>Cost.2030</t>
  </si>
  <si>
    <t>FT</t>
  </si>
  <si>
    <t>https://www.sciencedirect.com/science/article/pii/S0360319919307505</t>
  </si>
  <si>
    <t>Mayyas and Mann (2019)</t>
  </si>
  <si>
    <t>ICE</t>
  </si>
  <si>
    <t>HEV</t>
  </si>
  <si>
    <t>PHEV</t>
  </si>
  <si>
    <t>BEV</t>
  </si>
  <si>
    <t>FCEV</t>
  </si>
  <si>
    <t>Electric Vehicle</t>
  </si>
  <si>
    <t>Share.Now</t>
  </si>
  <si>
    <t>Cost.Now</t>
  </si>
  <si>
    <t>Manufacturing of vehicles</t>
  </si>
  <si>
    <t>Manufacture of vehicles</t>
  </si>
  <si>
    <t>https://data.bloomberglp.com/bnef/sites/14/2017/06/BNEF_2017_04_12_EV-Price-Parity-Report.pdf</t>
  </si>
  <si>
    <t>Production overhead</t>
  </si>
  <si>
    <t>Corporate overhead</t>
  </si>
  <si>
    <t>Selling</t>
  </si>
  <si>
    <t>Dealer cost</t>
  </si>
  <si>
    <t>Net income</t>
  </si>
  <si>
    <t>p.12; assuming the same share between manufacturing and other costs now and in 2030</t>
  </si>
  <si>
    <t>Manufacturing - Engine/Battery</t>
  </si>
  <si>
    <t>Manufacturing - E-Drive</t>
  </si>
  <si>
    <t>Manufacturing - Powetrtrain</t>
  </si>
  <si>
    <t>Manufacturing - Interior</t>
  </si>
  <si>
    <t>Manufacturing - Exterior</t>
  </si>
  <si>
    <t>Manufacturing - Chassis</t>
  </si>
  <si>
    <t>Manufacturing - Assembly</t>
  </si>
  <si>
    <t>Manufacturing - Others</t>
  </si>
  <si>
    <t>p.92</t>
  </si>
  <si>
    <t>Downstream</t>
  </si>
  <si>
    <t>Steel scrap</t>
  </si>
  <si>
    <t>Material Economics</t>
  </si>
  <si>
    <t>Bloomberg</t>
  </si>
  <si>
    <t>Iron ore/Pellets</t>
  </si>
  <si>
    <t>Coke/Coal</t>
  </si>
  <si>
    <t>CCS</t>
  </si>
  <si>
    <t>https://www.sciencedirect.com/science/article/pii/S1364032113007351</t>
  </si>
  <si>
    <t>https://www.researchgate.net/publication/330875028_Techno-economic_analysis_of_calcium_looping_processes_for_low_CO_2_emission_cement_plants</t>
  </si>
  <si>
    <t>Electrification of kiln + direct separation (CCS)</t>
  </si>
  <si>
    <t>p.256</t>
  </si>
  <si>
    <t>De Lena et al. (2019)</t>
  </si>
  <si>
    <t>p.186</t>
  </si>
  <si>
    <t>p.187</t>
  </si>
  <si>
    <t>Fuel</t>
  </si>
  <si>
    <t>Raw meal</t>
  </si>
  <si>
    <t>Cooling water</t>
  </si>
  <si>
    <t>Other variable costs</t>
  </si>
  <si>
    <t>Insurances and local tax</t>
  </si>
  <si>
    <t>Maintenance cost</t>
  </si>
  <si>
    <t>Capex - Cement kiln</t>
  </si>
  <si>
    <t>Capex - CO2 capture plant</t>
  </si>
  <si>
    <t>Cement production without CCS</t>
  </si>
  <si>
    <t>Cement production with integrated CaL CCS</t>
  </si>
  <si>
    <t>Labor</t>
  </si>
  <si>
    <t>Ammonia</t>
  </si>
  <si>
    <t>p.135</t>
  </si>
  <si>
    <t>Chemical recycling</t>
  </si>
  <si>
    <t>p.153</t>
  </si>
  <si>
    <t>Natural gas</t>
  </si>
  <si>
    <t>Other opex</t>
  </si>
  <si>
    <t>Hydrogen</t>
  </si>
  <si>
    <t>Fossil fuels and feedstock</t>
  </si>
  <si>
    <t>CCS transport and storage</t>
  </si>
  <si>
    <t>Industry.EXIO</t>
  </si>
  <si>
    <t>Material Economics (2019), p.185</t>
  </si>
  <si>
    <t>3-4</t>
  </si>
  <si>
    <t>4-7</t>
  </si>
  <si>
    <t>4-6</t>
  </si>
  <si>
    <t>9</t>
  </si>
  <si>
    <t>6</t>
  </si>
  <si>
    <t>González Plaza et al. (2020), p. 22</t>
  </si>
  <si>
    <t>Commonly widespread (currently dominating technology)</t>
  </si>
  <si>
    <t>Commonly widespread</t>
  </si>
  <si>
    <t>Cost.Ratio.Now</t>
  </si>
  <si>
    <t>Cost.Ratio.2030</t>
  </si>
  <si>
    <t>Reference.Cost.Ratio</t>
  </si>
  <si>
    <t>Collodi et al. (2017); commercially available according to the study</t>
  </si>
  <si>
    <t>Cost.Ratio.2050</t>
  </si>
  <si>
    <t>TRL.1</t>
  </si>
  <si>
    <t>Reference.TLR.1</t>
  </si>
  <si>
    <t>TRL.2</t>
  </si>
  <si>
    <t>Reference.TLR.2</t>
  </si>
  <si>
    <t>6-8</t>
  </si>
  <si>
    <t>Kempken et al. (2021), p.10</t>
  </si>
  <si>
    <t>Kempken et al. (2021), p.11</t>
  </si>
  <si>
    <t>Reference.Share.Now</t>
  </si>
  <si>
    <t>Cambridge Econometrics and Element Energy (2018), p.18</t>
  </si>
  <si>
    <t>Cambridge Econometrics and Element Energy (2018), pp.16-17</t>
  </si>
  <si>
    <t>Rechberger et al. (2020), p.1</t>
  </si>
  <si>
    <t>Kempken et al. (2021), pp.3-5</t>
  </si>
  <si>
    <t>Mechanical + Chemical Recycling</t>
  </si>
  <si>
    <t>van Ruijven et al. (2016), assumption (p.21)</t>
  </si>
  <si>
    <t>Material Economics (2019), p.182 (recycling - part "Materials efficiency and circularity" - excluded based on an argument by van Ruijven et al. (2016), p.16: "Recycling is not considered for cement since (cementitious) demolition waste is of lower value and is mostly used as gravel for roads and other infrastructure.")</t>
  </si>
  <si>
    <t>Material Economics (2019), p.133 (recycling and circularity excluded)</t>
  </si>
  <si>
    <t>(Electric) steam cracking (+ (End of Life) CCS)</t>
  </si>
  <si>
    <t>Electrification of kiln (+ direct separation (CCS))</t>
  </si>
  <si>
    <t>Material Economics (2019), p.151 (recycling and circularity excluded)</t>
  </si>
  <si>
    <t>Details</t>
  </si>
  <si>
    <t>https://www.sciencedirect.com/science/article/pii/S0098135418306562</t>
  </si>
  <si>
    <t>Fig.5</t>
  </si>
  <si>
    <t>Biogas supply network (see https://www.sciencedirect.com/science/article/pii/S0098135418306562)</t>
  </si>
  <si>
    <t>Changes of the depreciation's share based on the changes in the capex:opex ratio, i.e. proportional increase/decrease of capex.</t>
  </si>
  <si>
    <t>References</t>
  </si>
  <si>
    <t>Chemicals n.e.c.</t>
  </si>
  <si>
    <t>Manufacturing - Powertrain</t>
  </si>
  <si>
    <t>Manufacture of basic iron and steel and of ferro-alloys and first products thereof - Integrated mill (BF-BOF)</t>
  </si>
  <si>
    <t>Manufacture of basic iron and steel and of ferro-alloys and first products thereof - Hydrogen Direct Reduction (H-DR)</t>
  </si>
  <si>
    <t>Manufacture of basic iron and steel and of ferro-alloys and first products thereof - Smelting reduction with CCS</t>
  </si>
  <si>
    <t>Re-processing of secondary steel into new steel - Electric arc furnace (EAF)</t>
  </si>
  <si>
    <t>Manufacture of cement, lime and plaster - Ordinary Portland Cement (OPC)</t>
  </si>
  <si>
    <t>Manufacture of cement, lime and plaster - Electrification of kiln (+ direct separation (CCS))</t>
  </si>
  <si>
    <t>Manufacture of cement, lime and plaster - Oxyfuel CCS</t>
  </si>
  <si>
    <t>Plastics, basic - Steam cracking (unabated route)</t>
  </si>
  <si>
    <t>Plastics, basic - (Electric) steam cracking (+ (End of Life) CCS)</t>
  </si>
  <si>
    <t>Plastics, basic - Biomass feedstock</t>
  </si>
  <si>
    <t>Re-processing of secondary plastic into new plastic - Mechanical + Chemical Recycling</t>
  </si>
  <si>
    <t>Production total (2015 = 100%)</t>
  </si>
  <si>
    <t>N-fertiliser - Steam methane reforming (SMR) for ammonia production</t>
  </si>
  <si>
    <t>N-fertiliser - Steam methane reforming (SMR) with CCS</t>
  </si>
  <si>
    <t>N-fertiliser - Water electrolysis</t>
  </si>
  <si>
    <t>Manufacture of motor vehicles, trailers and semi-trailers - Internal Combustion Engine</t>
  </si>
  <si>
    <t>Manufacture of motor vehicles, trailers and semi-trailers - Electric Vehicle</t>
  </si>
  <si>
    <t>Chemicals - Plastics</t>
  </si>
  <si>
    <t>Chemicals - N-fertiliser</t>
  </si>
  <si>
    <t>Energy - Fuels</t>
  </si>
  <si>
    <t>PRODUCTION</t>
  </si>
  <si>
    <t>CAPACITY</t>
  </si>
  <si>
    <t>Coef.Final</t>
  </si>
  <si>
    <t>Industry.Orig</t>
  </si>
  <si>
    <t>Coef.Change</t>
  </si>
  <si>
    <t>Industry.New</t>
  </si>
  <si>
    <t>Industry.Det</t>
  </si>
  <si>
    <t>Opex.Check</t>
  </si>
  <si>
    <t>Opex.Orig</t>
  </si>
  <si>
    <t>Coef.Share</t>
  </si>
  <si>
    <t>Opex.Category</t>
  </si>
  <si>
    <t>Employment: Low-skilled male</t>
  </si>
  <si>
    <t>Employment: Low-skilled female</t>
  </si>
  <si>
    <t>Employment: Medium-skilled male</t>
  </si>
  <si>
    <t>Employment: Medium-skilled female</t>
  </si>
  <si>
    <t>Employment: High-skilled male</t>
  </si>
  <si>
    <t>Employment: High-skilled female</t>
  </si>
  <si>
    <t>Employment.persons</t>
  </si>
  <si>
    <t>Factor.Det</t>
  </si>
  <si>
    <t>Factor.2030</t>
  </si>
  <si>
    <t>Labor &amp; Capital total share</t>
  </si>
  <si>
    <t>Factor.2050</t>
  </si>
  <si>
    <t>Industry.Norm</t>
  </si>
  <si>
    <t>Det.2030</t>
  </si>
  <si>
    <t>Det.2030.Norm</t>
  </si>
  <si>
    <t>Det.2050.Norm</t>
  </si>
  <si>
    <t>Det.2050</t>
  </si>
  <si>
    <t>Employment intensity Low-skilled</t>
  </si>
  <si>
    <t>Employment intensity Medium-skilled</t>
  </si>
  <si>
    <t>Employment intensity High-skilled</t>
  </si>
  <si>
    <t>Capital share change</t>
  </si>
  <si>
    <t>Labor share change</t>
  </si>
  <si>
    <t>Labor / Capital share check</t>
  </si>
  <si>
    <t>Det.Orig</t>
  </si>
  <si>
    <t>Det.New</t>
  </si>
  <si>
    <t>Det.New.Norm</t>
  </si>
  <si>
    <t>Share.Moderate.2030</t>
  </si>
  <si>
    <t>Share.Moderate.2050</t>
  </si>
  <si>
    <t>Share.Fast.2030</t>
  </si>
  <si>
    <t>Share.Fast.2050</t>
  </si>
  <si>
    <t>Reference.Share.Fast</t>
  </si>
  <si>
    <t>Reference.Share.Moderate</t>
  </si>
  <si>
    <t>N-fertiliser total</t>
  </si>
  <si>
    <t>Manufacture of motor vehicles, trailers and semi-trailers total</t>
  </si>
  <si>
    <t>Re-processing of secondary steel into new steel total</t>
  </si>
  <si>
    <t>Re-processing of ash into clinker total</t>
  </si>
  <si>
    <t>Plastics, basic total</t>
  </si>
  <si>
    <t>Re-processing of secondary plastic into new plastic total</t>
  </si>
  <si>
    <t>Manufacture of basic iron and steel and of ferro-alloys and first products thereof total</t>
  </si>
  <si>
    <t>Manufacture of cement, lime and plaster total</t>
  </si>
  <si>
    <t>Net electricity generation capacity (MW)</t>
  </si>
  <si>
    <t>Cost.Ratio.2020</t>
  </si>
  <si>
    <t>Cost.Ratio.2025</t>
  </si>
  <si>
    <t>Cost.Ratio.2035</t>
  </si>
  <si>
    <t>Cost.Ratio.2040</t>
  </si>
  <si>
    <t>Cost.Ratio.2045</t>
  </si>
  <si>
    <t>shares2015</t>
  </si>
  <si>
    <t>shares2020</t>
  </si>
  <si>
    <t>shares2025</t>
  </si>
  <si>
    <t>shares2030</t>
  </si>
  <si>
    <t>shares2035</t>
  </si>
  <si>
    <t>shares2040</t>
  </si>
  <si>
    <t>shares2045</t>
  </si>
  <si>
    <t>shares2050</t>
  </si>
  <si>
    <t>costdif2015</t>
  </si>
  <si>
    <t>costdif2020</t>
  </si>
  <si>
    <t>costdif2025</t>
  </si>
  <si>
    <t>costdif2030</t>
  </si>
  <si>
    <t>costdif2035</t>
  </si>
  <si>
    <t>costdif2040</t>
  </si>
  <si>
    <t>costdif2045</t>
  </si>
  <si>
    <t>costdif2050</t>
  </si>
  <si>
    <t>pure2015</t>
  </si>
  <si>
    <t>pure2020</t>
  </si>
  <si>
    <t>pure2025</t>
  </si>
  <si>
    <t>pure2030</t>
  </si>
  <si>
    <t>pure2035</t>
  </si>
  <si>
    <t>pure2040</t>
  </si>
  <si>
    <t>pure2045</t>
  </si>
  <si>
    <t>pure2050</t>
  </si>
  <si>
    <t>adj2015</t>
  </si>
  <si>
    <t>adj2020</t>
  </si>
  <si>
    <t>adj2025</t>
  </si>
  <si>
    <t>adj2030</t>
  </si>
  <si>
    <t>adj2035</t>
  </si>
  <si>
    <t>adj2040</t>
  </si>
  <si>
    <t>adj2045</t>
  </si>
  <si>
    <t>adj2050</t>
  </si>
  <si>
    <t>Reference.Shares.Scenario</t>
  </si>
  <si>
    <t>Reference.Shares.Now</t>
  </si>
  <si>
    <t>Scenario</t>
  </si>
  <si>
    <t>Year</t>
  </si>
  <si>
    <t>NA</t>
  </si>
  <si>
    <t>DEMAND FOR FUELS</t>
  </si>
  <si>
    <t>COSTS</t>
  </si>
  <si>
    <t>Cost.Ratio</t>
  </si>
  <si>
    <t>Costdif</t>
  </si>
  <si>
    <t>Adj</t>
  </si>
  <si>
    <t>Production total</t>
  </si>
  <si>
    <t>Total installed capacity</t>
  </si>
  <si>
    <t>Total final consumption</t>
  </si>
  <si>
    <t>Baseline</t>
  </si>
  <si>
    <t>Material Economics (2019), p.90</t>
  </si>
  <si>
    <t>BAU (fixed proportions from the initial state)</t>
  </si>
  <si>
    <t>Material Economics (2019), p.72, p.90</t>
  </si>
  <si>
    <t>Compared to the scenario in Material Economics, we assume a linear inetrpolation between 2015 and 2050 (the source material does not provide exact figures for the years in between). But the difference is (visually) negligible.</t>
  </si>
  <si>
    <t>Orig</t>
  </si>
  <si>
    <t>orig2015</t>
  </si>
  <si>
    <t>orig2020</t>
  </si>
  <si>
    <t>orig2025</t>
  </si>
  <si>
    <t>orig2030</t>
  </si>
  <si>
    <t>orig2035</t>
  </si>
  <si>
    <t>orig2040</t>
  </si>
  <si>
    <t>orig2045</t>
  </si>
  <si>
    <t>orig2050</t>
  </si>
  <si>
    <t>Direct inputs</t>
  </si>
  <si>
    <t>CPI</t>
  </si>
  <si>
    <t>Cambridge Econometrics and Element Energy (2018), pp.14-15</t>
  </si>
  <si>
    <t>Adjustments (interpolations)</t>
  </si>
  <si>
    <t>Compared to the scenario in Cambridge Econometrics, we assume a linear inetrpolation between 2015 and 2050 for the overall production (the source material does not provide exact figures for the years in between). But the difference is (visually) negligible. HEV, PHEV and BEV combined into one category (EV).</t>
  </si>
  <si>
    <t>Notes</t>
  </si>
  <si>
    <t>We assume a linear inetrpolation between 2015 and 2050 (the source material does not provide exact figures for the years in between).</t>
  </si>
  <si>
    <t>Material Economics (2019), p.182</t>
  </si>
  <si>
    <t>Material Economics (2019), p.133</t>
  </si>
  <si>
    <t>Material Economics (2019), p.102, p.133</t>
  </si>
  <si>
    <t>Material Economics (2019), p.148, p.151</t>
  </si>
  <si>
    <t>EU Reference 2020</t>
  </si>
  <si>
    <t>Circular economy pathway</t>
  </si>
  <si>
    <t>Compared to the scenario in Material Economics, we assume a linear inetrpolation between 2015 and 2050 (the source material does not provide exact figures for the years in between).</t>
  </si>
  <si>
    <t>Shares are derived on the basis of emissions reduction - may not correspond exactly in terms of Mt of production! (information on production by each technology missing in the source)</t>
  </si>
  <si>
    <t>Material Economics (2019), p.102, p.119,  p.133</t>
  </si>
  <si>
    <t>Baseline+Reductions</t>
  </si>
  <si>
    <t>Baseline+Stretch</t>
  </si>
  <si>
    <t>Material Economics (2019), p.72, p.79, p.90</t>
  </si>
  <si>
    <t>Carbon capture pathway</t>
  </si>
  <si>
    <t>Material Economics (2019), p.102,  p.133</t>
  </si>
  <si>
    <t>TECH/TECH PHEV</t>
  </si>
  <si>
    <t>TECH OEM</t>
  </si>
  <si>
    <t>Cambridge Econometrics and Element Energy (2018), pp.17-18</t>
  </si>
  <si>
    <t>New processes pathway</t>
  </si>
  <si>
    <t>Material Economics (2019), p.162, p.182</t>
  </si>
  <si>
    <t>Material Economics (2019), p.162, p.166, p.182</t>
  </si>
  <si>
    <t>MIX-CP (2020-30)/EU 2020 Reference (trends 2030-50)</t>
  </si>
  <si>
    <t>Fit for 55' MIX-CP scenario (2021)</t>
  </si>
  <si>
    <t>Fit for 55' MIX-CP scenario (2021) + EU Reference Scenario 2020 (2020)</t>
  </si>
  <si>
    <t>EU Reference Scenario 2020 (2020)</t>
  </si>
  <si>
    <t>Bio products</t>
  </si>
  <si>
    <t>Other industry</t>
  </si>
  <si>
    <t>Fossil products</t>
  </si>
  <si>
    <t>Metal and mineral industries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</si>
</sst>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0.0%"/>
    <numFmt numFmtId="165" formatCode="0.000%"/>
    <numFmt numFmtId="166" formatCode="#,##0.0"/>
    <numFmt numFmtId="167" formatCode="#,##0.0_ ;[Red]\-#,##0.0\ "/>
    <numFmt numFmtId="168" formatCode="0.0"/>
    <numFmt numFmtId="169" formatCode="0.00000"/>
  </numFmts>
  <fonts count="21" x14ac:knownFonts="1">
    <font>
      <sz val="11"/>
      <name val="Arial"/>
      <charset val="238"/>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name val="Arial"/>
      <family val="2"/>
      <charset val="238"/>
    </font>
    <font>
      <b/>
      <sz val="11"/>
      <color theme="1"/>
      <name val="Calibri"/>
      <family val="2"/>
      <charset val="238"/>
      <scheme val="minor"/>
    </font>
    <font>
      <sz val="11"/>
      <name val="Calibri"/>
      <family val="2"/>
      <charset val="238"/>
      <scheme val="minor"/>
    </font>
    <font>
      <b/>
      <sz val="11"/>
      <name val="Calibri"/>
      <family val="2"/>
      <charset val="238"/>
      <scheme val="minor"/>
    </font>
    <font>
      <b/>
      <sz val="9"/>
      <color indexed="81"/>
      <name val="Tahoma"/>
      <family val="2"/>
      <charset val="238"/>
    </font>
    <font>
      <sz val="9"/>
      <color indexed="81"/>
      <name val="Tahoma"/>
      <family val="2"/>
      <charset val="238"/>
    </font>
    <font>
      <sz val="10"/>
      <name val="Arial"/>
      <family val="2"/>
      <charset val="1"/>
    </font>
    <font>
      <b/>
      <sz val="11"/>
      <color theme="1"/>
      <name val="Calibri"/>
      <family val="2"/>
      <charset val="238"/>
    </font>
    <font>
      <sz val="11"/>
      <name val="Calibri"/>
      <family val="2"/>
      <charset val="238"/>
    </font>
    <font>
      <u/>
      <sz val="11"/>
      <color theme="10"/>
      <name val="Calibri"/>
      <family val="2"/>
      <charset val="238"/>
      <scheme val="minor"/>
    </font>
    <font>
      <b/>
      <sz val="11"/>
      <name val="Calibri"/>
      <family val="2"/>
      <charset val="238"/>
    </font>
    <font>
      <sz val="11"/>
      <name val="Calibri"/>
      <family val="2"/>
      <charset val="1"/>
    </font>
    <font>
      <b/>
      <u/>
      <sz val="11"/>
      <color theme="10"/>
      <name val="Calibri"/>
      <family val="2"/>
      <charset val="238"/>
      <scheme val="minor"/>
    </font>
    <font>
      <sz val="9"/>
      <color indexed="81"/>
      <name val="Tahoma"/>
      <charset val="1"/>
    </font>
    <font>
      <b/>
      <sz val="9"/>
      <color indexed="81"/>
      <name val="Tahoma"/>
      <charset val="1"/>
    </font>
  </fonts>
  <fills count="38">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5" tint="0.39997558519241921"/>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3" tint="0.39997558519241921"/>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6"/>
        <bgColor indexed="64"/>
      </patternFill>
    </fill>
    <fill>
      <patternFill patternType="solid">
        <fgColor theme="2"/>
        <bgColor indexed="64"/>
      </patternFill>
    </fill>
    <fill>
      <patternFill patternType="solid">
        <fgColor theme="5"/>
        <bgColor indexed="64"/>
      </patternFill>
    </fill>
    <fill>
      <patternFill patternType="solid">
        <fgColor theme="1" tint="0.49998474074526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7"/>
        <bgColor indexed="64"/>
      </patternFill>
    </fill>
    <fill>
      <patternFill patternType="solid">
        <fgColor theme="4"/>
        <bgColor indexed="64"/>
      </patternFill>
    </fill>
  </fills>
  <borders count="12">
    <border>
      <left/>
      <right/>
      <top/>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s>
  <cellStyleXfs count="5">
    <xf numFmtId="0" fontId="0" fillId="0" borderId="0"/>
    <xf numFmtId="9" fontId="6" fillId="0" borderId="0" applyFont="0" applyFill="0" applyBorder="0" applyAlignment="0" applyProtection="0"/>
    <xf numFmtId="0" fontId="12" fillId="0" borderId="0"/>
    <xf numFmtId="0" fontId="15" fillId="0" borderId="0" applyNumberFormat="0" applyFill="0" applyBorder="0" applyAlignment="0" applyProtection="0"/>
    <xf numFmtId="0" fontId="5" fillId="0" borderId="0"/>
  </cellStyleXfs>
  <cellXfs count="480">
    <xf numFmtId="0" fontId="0" fillId="0" borderId="0" xfId="0"/>
    <xf numFmtId="0" fontId="8" fillId="0" borderId="0" xfId="0" applyFont="1"/>
    <xf numFmtId="0" fontId="8" fillId="0" borderId="0" xfId="0" applyFont="1" applyFill="1"/>
    <xf numFmtId="0" fontId="13" fillId="0" borderId="0" xfId="0" applyFont="1"/>
    <xf numFmtId="0" fontId="14" fillId="0" borderId="0" xfId="0" applyFont="1"/>
    <xf numFmtId="0" fontId="14" fillId="0" borderId="0" xfId="2" applyFont="1"/>
    <xf numFmtId="0" fontId="14" fillId="0" borderId="0" xfId="2" applyFont="1" applyFill="1"/>
    <xf numFmtId="9" fontId="14" fillId="0" borderId="0" xfId="2" applyNumberFormat="1" applyFont="1"/>
    <xf numFmtId="9" fontId="14" fillId="0" borderId="0" xfId="0" applyNumberFormat="1" applyFont="1"/>
    <xf numFmtId="0" fontId="14" fillId="0" borderId="0" xfId="2" applyFont="1" applyAlignment="1">
      <alignment vertical="center" wrapText="1"/>
    </xf>
    <xf numFmtId="0" fontId="7" fillId="0" borderId="0" xfId="0" applyFont="1"/>
    <xf numFmtId="0" fontId="8" fillId="0" borderId="0" xfId="0" applyFont="1" applyAlignment="1">
      <alignment vertical="center"/>
    </xf>
    <xf numFmtId="0" fontId="8" fillId="0" borderId="0" xfId="0" applyFont="1" applyFill="1" applyBorder="1" applyAlignment="1">
      <alignment vertical="center"/>
    </xf>
    <xf numFmtId="9" fontId="8" fillId="0" borderId="0" xfId="0" applyNumberFormat="1" applyFont="1" applyFill="1" applyBorder="1" applyAlignment="1">
      <alignment vertical="center"/>
    </xf>
    <xf numFmtId="0" fontId="8" fillId="0" borderId="0" xfId="0" applyNumberFormat="1" applyFont="1" applyFill="1" applyBorder="1" applyAlignment="1">
      <alignment vertical="center"/>
    </xf>
    <xf numFmtId="0" fontId="8" fillId="0" borderId="0" xfId="0" applyFont="1" applyFill="1" applyBorder="1"/>
    <xf numFmtId="0" fontId="15" fillId="0" borderId="0" xfId="3" applyFill="1" applyBorder="1" applyAlignment="1">
      <alignment vertical="center"/>
    </xf>
    <xf numFmtId="0" fontId="9" fillId="0" borderId="0" xfId="0" applyFont="1" applyAlignment="1">
      <alignment vertical="center"/>
    </xf>
    <xf numFmtId="0" fontId="9" fillId="0" borderId="0" xfId="0" applyFont="1"/>
    <xf numFmtId="0" fontId="9" fillId="0" borderId="0" xfId="0" applyFont="1" applyFill="1" applyBorder="1"/>
    <xf numFmtId="0" fontId="8" fillId="0" borderId="0" xfId="0" applyFont="1" applyFill="1" applyAlignment="1">
      <alignment vertical="center"/>
    </xf>
    <xf numFmtId="0" fontId="9" fillId="0" borderId="0" xfId="0" applyNumberFormat="1" applyFont="1" applyFill="1" applyBorder="1"/>
    <xf numFmtId="0" fontId="8" fillId="0" borderId="0" xfId="0" applyNumberFormat="1" applyFont="1" applyFill="1" applyBorder="1"/>
    <xf numFmtId="0" fontId="8" fillId="0" borderId="0" xfId="1" applyNumberFormat="1" applyFont="1" applyFill="1"/>
    <xf numFmtId="0" fontId="9" fillId="0" borderId="0" xfId="0" applyFont="1" applyFill="1"/>
    <xf numFmtId="9" fontId="14" fillId="0" borderId="0" xfId="1" applyFont="1"/>
    <xf numFmtId="0" fontId="9" fillId="0" borderId="0" xfId="1" applyNumberFormat="1" applyFont="1" applyFill="1"/>
    <xf numFmtId="10" fontId="8" fillId="0" borderId="0" xfId="1" applyNumberFormat="1" applyFont="1" applyFill="1" applyBorder="1" applyAlignment="1">
      <alignment vertical="center"/>
    </xf>
    <xf numFmtId="0" fontId="16" fillId="0" borderId="0" xfId="1" applyNumberFormat="1" applyFont="1" applyFill="1"/>
    <xf numFmtId="0" fontId="9" fillId="0" borderId="0" xfId="0" applyFont="1" applyFill="1" applyAlignment="1">
      <alignment vertical="center"/>
    </xf>
    <xf numFmtId="0" fontId="8" fillId="0" borderId="0" xfId="1" applyNumberFormat="1" applyFont="1" applyFill="1" applyAlignment="1">
      <alignment vertical="center"/>
    </xf>
    <xf numFmtId="0" fontId="9" fillId="0" borderId="0" xfId="0" applyFont="1" applyFill="1" applyBorder="1" applyAlignment="1">
      <alignment vertical="center"/>
    </xf>
    <xf numFmtId="0" fontId="9" fillId="0" borderId="0" xfId="0" applyNumberFormat="1" applyFont="1" applyFill="1" applyBorder="1" applyAlignment="1">
      <alignment vertical="center"/>
    </xf>
    <xf numFmtId="164" fontId="8" fillId="0" borderId="0" xfId="0" applyNumberFormat="1" applyFont="1" applyFill="1" applyBorder="1" applyAlignment="1">
      <alignment vertical="center"/>
    </xf>
    <xf numFmtId="164" fontId="9" fillId="0" borderId="0" xfId="0" applyNumberFormat="1" applyFont="1" applyFill="1" applyBorder="1" applyAlignment="1">
      <alignment vertical="center"/>
    </xf>
    <xf numFmtId="164" fontId="8" fillId="0" borderId="0" xfId="1" applyNumberFormat="1" applyFont="1"/>
    <xf numFmtId="164" fontId="8" fillId="0" borderId="0" xfId="1" applyNumberFormat="1" applyFont="1" applyFill="1"/>
    <xf numFmtId="164" fontId="8" fillId="2" borderId="0" xfId="0" applyNumberFormat="1" applyFont="1" applyFill="1" applyBorder="1" applyAlignment="1">
      <alignment vertical="center"/>
    </xf>
    <xf numFmtId="0" fontId="17" fillId="0" borderId="0" xfId="2" applyFont="1"/>
    <xf numFmtId="9" fontId="14" fillId="0" borderId="0" xfId="2" applyNumberFormat="1" applyFont="1" applyFill="1"/>
    <xf numFmtId="9" fontId="8" fillId="0" borderId="0" xfId="1" applyFont="1" applyFill="1" applyBorder="1" applyAlignment="1">
      <alignment vertical="center"/>
    </xf>
    <xf numFmtId="9" fontId="8" fillId="0" borderId="0" xfId="1" applyFont="1" applyFill="1"/>
    <xf numFmtId="164" fontId="8" fillId="3" borderId="0" xfId="1" applyNumberFormat="1" applyFont="1" applyFill="1"/>
    <xf numFmtId="0" fontId="17" fillId="3" borderId="0" xfId="2" applyFont="1" applyFill="1"/>
    <xf numFmtId="0" fontId="7" fillId="0" borderId="0" xfId="0" applyFont="1" applyFill="1"/>
    <xf numFmtId="0" fontId="8" fillId="2" borderId="0" xfId="0" applyNumberFormat="1" applyFont="1" applyFill="1" applyBorder="1" applyAlignment="1">
      <alignment vertical="center"/>
    </xf>
    <xf numFmtId="164" fontId="9" fillId="0" borderId="0" xfId="1" applyNumberFormat="1" applyFont="1" applyFill="1" applyBorder="1" applyAlignment="1">
      <alignment vertical="center"/>
    </xf>
    <xf numFmtId="164" fontId="9" fillId="0" borderId="0" xfId="1" applyNumberFormat="1" applyFont="1" applyFill="1" applyBorder="1"/>
    <xf numFmtId="0" fontId="9" fillId="0" borderId="0" xfId="0" applyNumberFormat="1" applyFont="1" applyFill="1" applyAlignment="1">
      <alignment vertical="center"/>
    </xf>
    <xf numFmtId="0" fontId="5" fillId="0" borderId="0" xfId="0" applyFont="1" applyFill="1" applyBorder="1" applyAlignment="1">
      <alignment vertical="center"/>
    </xf>
    <xf numFmtId="0" fontId="15" fillId="2" borderId="0" xfId="3" applyFill="1" applyBorder="1" applyAlignment="1">
      <alignment vertical="center"/>
    </xf>
    <xf numFmtId="0" fontId="8" fillId="2" borderId="0" xfId="0" applyFont="1" applyFill="1" applyAlignment="1">
      <alignment vertical="center"/>
    </xf>
    <xf numFmtId="0" fontId="8" fillId="4" borderId="0" xfId="0" applyNumberFormat="1" applyFont="1" applyFill="1" applyBorder="1" applyAlignment="1">
      <alignment vertical="center"/>
    </xf>
    <xf numFmtId="0" fontId="8" fillId="3" borderId="0" xfId="0" applyFont="1" applyFill="1"/>
    <xf numFmtId="0" fontId="8" fillId="2" borderId="0" xfId="0" applyFont="1" applyFill="1"/>
    <xf numFmtId="0" fontId="8" fillId="2" borderId="0" xfId="1" applyNumberFormat="1" applyFont="1" applyFill="1"/>
    <xf numFmtId="0" fontId="5" fillId="0" borderId="0" xfId="0" applyFont="1" applyFill="1" applyAlignment="1">
      <alignment vertical="center"/>
    </xf>
    <xf numFmtId="0" fontId="8" fillId="0" borderId="0" xfId="0" applyNumberFormat="1" applyFont="1" applyFill="1" applyAlignment="1">
      <alignment vertical="center"/>
    </xf>
    <xf numFmtId="0" fontId="13" fillId="0" borderId="0" xfId="0" applyFont="1" applyFill="1"/>
    <xf numFmtId="0" fontId="5" fillId="2" borderId="0" xfId="0" applyFont="1" applyFill="1" applyBorder="1" applyAlignment="1">
      <alignment vertical="center"/>
    </xf>
    <xf numFmtId="0" fontId="8" fillId="2" borderId="0" xfId="0" applyFont="1" applyFill="1" applyBorder="1" applyAlignment="1">
      <alignment vertical="center"/>
    </xf>
    <xf numFmtId="9" fontId="8" fillId="2" borderId="0" xfId="0" applyNumberFormat="1"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164" fontId="9" fillId="2" borderId="0" xfId="0" applyNumberFormat="1" applyFont="1" applyFill="1" applyBorder="1" applyAlignment="1">
      <alignment vertical="center"/>
    </xf>
    <xf numFmtId="9" fontId="9" fillId="2" borderId="0" xfId="0" applyNumberFormat="1" applyFont="1" applyFill="1" applyBorder="1" applyAlignment="1">
      <alignment vertical="center"/>
    </xf>
    <xf numFmtId="0" fontId="9" fillId="2" borderId="0" xfId="0" applyFont="1" applyFill="1" applyAlignment="1">
      <alignment vertical="center"/>
    </xf>
    <xf numFmtId="0" fontId="9" fillId="2" borderId="0" xfId="0" applyNumberFormat="1" applyFont="1" applyFill="1" applyBorder="1" applyAlignment="1">
      <alignment vertical="center"/>
    </xf>
    <xf numFmtId="0" fontId="7" fillId="0" borderId="0" xfId="0" applyFont="1" applyFill="1" applyBorder="1" applyAlignment="1">
      <alignment vertical="center"/>
    </xf>
    <xf numFmtId="9" fontId="9" fillId="0" borderId="0" xfId="0" applyNumberFormat="1" applyFont="1" applyFill="1" applyBorder="1" applyAlignment="1">
      <alignment vertical="center"/>
    </xf>
    <xf numFmtId="0" fontId="9" fillId="2" borderId="0" xfId="0" applyFont="1" applyFill="1"/>
    <xf numFmtId="0" fontId="15" fillId="0" borderId="0" xfId="3" applyFill="1" applyAlignment="1">
      <alignment vertical="center"/>
    </xf>
    <xf numFmtId="0" fontId="9" fillId="2" borderId="0" xfId="0" applyNumberFormat="1" applyFont="1" applyFill="1" applyBorder="1"/>
    <xf numFmtId="164" fontId="8" fillId="2" borderId="0" xfId="1" applyNumberFormat="1" applyFont="1" applyFill="1"/>
    <xf numFmtId="0" fontId="8" fillId="2" borderId="0" xfId="0" applyNumberFormat="1" applyFont="1" applyFill="1" applyBorder="1"/>
    <xf numFmtId="0" fontId="8" fillId="2" borderId="0" xfId="1" applyNumberFormat="1" applyFont="1" applyFill="1" applyAlignment="1">
      <alignment vertical="center"/>
    </xf>
    <xf numFmtId="9" fontId="8" fillId="0" borderId="0" xfId="1" applyFont="1"/>
    <xf numFmtId="0" fontId="8" fillId="0" borderId="0" xfId="1" applyNumberFormat="1" applyFont="1" applyAlignment="1">
      <alignment vertical="center"/>
    </xf>
    <xf numFmtId="0" fontId="18" fillId="0" borderId="0" xfId="3" applyFont="1" applyFill="1" applyBorder="1" applyAlignment="1">
      <alignment vertical="center"/>
    </xf>
    <xf numFmtId="0" fontId="5" fillId="2" borderId="0" xfId="0" applyFont="1" applyFill="1" applyAlignment="1">
      <alignment vertical="center"/>
    </xf>
    <xf numFmtId="0" fontId="7" fillId="2" borderId="0" xfId="0" applyFont="1" applyFill="1" applyAlignment="1">
      <alignment vertical="center"/>
    </xf>
    <xf numFmtId="0" fontId="5" fillId="0" borderId="0" xfId="0" applyFont="1" applyAlignment="1">
      <alignment vertical="center"/>
    </xf>
    <xf numFmtId="0" fontId="15" fillId="0" borderId="0" xfId="3" applyFont="1" applyFill="1" applyBorder="1" applyAlignment="1">
      <alignment vertical="center"/>
    </xf>
    <xf numFmtId="0" fontId="7" fillId="0" borderId="0" xfId="0" applyFont="1" applyAlignment="1">
      <alignment vertical="center"/>
    </xf>
    <xf numFmtId="0" fontId="15" fillId="0" borderId="0" xfId="3" applyFont="1" applyFill="1" applyBorder="1"/>
    <xf numFmtId="0" fontId="15" fillId="0" borderId="0" xfId="3" applyFill="1" applyBorder="1"/>
    <xf numFmtId="10" fontId="14" fillId="0" borderId="0" xfId="1" applyNumberFormat="1" applyFont="1"/>
    <xf numFmtId="165" fontId="14" fillId="0" borderId="0" xfId="1" applyNumberFormat="1" applyFont="1"/>
    <xf numFmtId="0" fontId="9" fillId="0" borderId="0" xfId="0" applyNumberFormat="1" applyFont="1" applyFill="1" applyBorder="1" applyAlignment="1"/>
    <xf numFmtId="0" fontId="16" fillId="0" borderId="0" xfId="2" applyFont="1"/>
    <xf numFmtId="0" fontId="16" fillId="0" borderId="0" xfId="0" applyFont="1"/>
    <xf numFmtId="0" fontId="15" fillId="0" borderId="0" xfId="3" applyFill="1"/>
    <xf numFmtId="2" fontId="14" fillId="0" borderId="0" xfId="2" applyNumberFormat="1" applyFont="1" applyFill="1" applyAlignment="1">
      <alignment horizontal="right"/>
    </xf>
    <xf numFmtId="2" fontId="14" fillId="0" borderId="0" xfId="2" applyNumberFormat="1" applyFont="1" applyAlignment="1">
      <alignment horizontal="right"/>
    </xf>
    <xf numFmtId="2" fontId="14" fillId="3" borderId="0" xfId="2" applyNumberFormat="1" applyFont="1" applyFill="1" applyAlignment="1">
      <alignment horizontal="right"/>
    </xf>
    <xf numFmtId="0" fontId="6" fillId="0" borderId="0" xfId="0" applyFont="1"/>
    <xf numFmtId="166" fontId="9" fillId="0" borderId="0" xfId="0" applyNumberFormat="1" applyFont="1" applyFill="1" applyBorder="1" applyAlignment="1"/>
    <xf numFmtId="0" fontId="8" fillId="5" borderId="0" xfId="0" applyFont="1" applyFill="1"/>
    <xf numFmtId="0" fontId="8" fillId="6" borderId="0" xfId="0" applyFont="1" applyFill="1"/>
    <xf numFmtId="0" fontId="8" fillId="7" borderId="0" xfId="0" applyFont="1" applyFill="1"/>
    <xf numFmtId="166" fontId="8" fillId="5" borderId="0" xfId="0" applyNumberFormat="1" applyFont="1" applyFill="1"/>
    <xf numFmtId="166" fontId="8" fillId="6" borderId="0" xfId="0" applyNumberFormat="1" applyFont="1" applyFill="1"/>
    <xf numFmtId="166" fontId="8" fillId="7" borderId="0" xfId="0" applyNumberFormat="1" applyFont="1" applyFill="1"/>
    <xf numFmtId="166" fontId="8" fillId="0" borderId="0" xfId="1" applyNumberFormat="1" applyFont="1" applyFill="1" applyBorder="1"/>
    <xf numFmtId="166" fontId="8" fillId="0" borderId="0" xfId="0" applyNumberFormat="1" applyFont="1" applyFill="1"/>
    <xf numFmtId="166" fontId="8" fillId="3" borderId="0" xfId="0" applyNumberFormat="1" applyFont="1" applyFill="1"/>
    <xf numFmtId="166" fontId="0" fillId="0" borderId="0" xfId="0" applyNumberFormat="1"/>
    <xf numFmtId="166" fontId="0" fillId="0" borderId="0" xfId="0" applyNumberFormat="1" applyAlignment="1">
      <alignment horizontal="left"/>
    </xf>
    <xf numFmtId="167" fontId="8" fillId="0" borderId="0" xfId="0" applyNumberFormat="1" applyFont="1" applyFill="1"/>
    <xf numFmtId="167" fontId="8" fillId="0" borderId="0" xfId="0" applyNumberFormat="1" applyFont="1"/>
    <xf numFmtId="167" fontId="8" fillId="3" borderId="0" xfId="0" applyNumberFormat="1" applyFont="1" applyFill="1"/>
    <xf numFmtId="0" fontId="0" fillId="0" borderId="0" xfId="0" applyFill="1"/>
    <xf numFmtId="0" fontId="7" fillId="0" borderId="0" xfId="0" applyFont="1" applyFill="1" applyAlignment="1"/>
    <xf numFmtId="0" fontId="8" fillId="0" borderId="0" xfId="0" applyNumberFormat="1" applyFont="1" applyFill="1" applyBorder="1" applyAlignment="1"/>
    <xf numFmtId="2" fontId="5" fillId="8" borderId="0" xfId="0" applyNumberFormat="1" applyFont="1" applyFill="1"/>
    <xf numFmtId="0" fontId="8" fillId="0" borderId="0" xfId="0" applyFont="1" applyFill="1" applyAlignment="1">
      <alignment wrapText="1"/>
    </xf>
    <xf numFmtId="164" fontId="8" fillId="0" borderId="0" xfId="1" applyNumberFormat="1" applyFont="1" applyFill="1" applyBorder="1"/>
    <xf numFmtId="0" fontId="7" fillId="0" borderId="0" xfId="0" applyFont="1" applyFill="1" applyBorder="1"/>
    <xf numFmtId="0" fontId="0" fillId="0" borderId="0" xfId="0" applyFill="1" applyBorder="1"/>
    <xf numFmtId="2" fontId="8" fillId="0" borderId="0" xfId="1" applyNumberFormat="1" applyFont="1" applyFill="1" applyBorder="1"/>
    <xf numFmtId="0" fontId="4" fillId="0" borderId="0" xfId="0" applyFont="1" applyFill="1" applyBorder="1" applyAlignment="1">
      <alignment vertical="center"/>
    </xf>
    <xf numFmtId="0" fontId="9" fillId="4" borderId="0" xfId="0" applyFont="1" applyFill="1"/>
    <xf numFmtId="0" fontId="8" fillId="4" borderId="0" xfId="0" applyFont="1" applyFill="1"/>
    <xf numFmtId="0" fontId="8" fillId="4" borderId="0" xfId="0" applyFont="1" applyFill="1" applyBorder="1" applyAlignment="1">
      <alignment vertical="center"/>
    </xf>
    <xf numFmtId="164" fontId="8" fillId="4" borderId="0" xfId="0" applyNumberFormat="1" applyFont="1" applyFill="1" applyBorder="1" applyAlignment="1">
      <alignment vertical="center"/>
    </xf>
    <xf numFmtId="0" fontId="8" fillId="4" borderId="0" xfId="0" applyFont="1" applyFill="1" applyAlignment="1">
      <alignment vertical="center"/>
    </xf>
    <xf numFmtId="0" fontId="9" fillId="4" borderId="0" xfId="0" applyFont="1" applyFill="1" applyBorder="1" applyAlignment="1">
      <alignment vertical="center"/>
    </xf>
    <xf numFmtId="164" fontId="9" fillId="4" borderId="0" xfId="0" applyNumberFormat="1" applyFont="1" applyFill="1" applyBorder="1" applyAlignment="1">
      <alignment vertical="center"/>
    </xf>
    <xf numFmtId="0" fontId="8" fillId="4" borderId="0" xfId="0" applyFont="1" applyFill="1" applyBorder="1"/>
    <xf numFmtId="0" fontId="8" fillId="4" borderId="0" xfId="0" applyNumberFormat="1" applyFont="1" applyFill="1" applyBorder="1"/>
    <xf numFmtId="0" fontId="15" fillId="4" borderId="0" xfId="3" applyFill="1" applyAlignment="1">
      <alignment vertical="center"/>
    </xf>
    <xf numFmtId="0" fontId="3" fillId="2" borderId="0" xfId="0" applyFont="1" applyFill="1" applyBorder="1" applyAlignment="1">
      <alignment vertical="center"/>
    </xf>
    <xf numFmtId="0" fontId="3" fillId="0" borderId="0" xfId="0" applyFont="1" applyFill="1" applyBorder="1" applyAlignment="1">
      <alignment vertical="center"/>
    </xf>
    <xf numFmtId="0" fontId="8" fillId="2" borderId="0" xfId="0" applyFont="1" applyFill="1" applyBorder="1"/>
    <xf numFmtId="0" fontId="9" fillId="2" borderId="0" xfId="0" applyFont="1" applyFill="1" applyBorder="1"/>
    <xf numFmtId="0" fontId="15" fillId="2" borderId="0" xfId="3" applyFill="1" applyAlignment="1">
      <alignment vertical="center"/>
    </xf>
    <xf numFmtId="164" fontId="8" fillId="2" borderId="0" xfId="1" applyNumberFormat="1" applyFont="1" applyFill="1" applyBorder="1"/>
    <xf numFmtId="0" fontId="15" fillId="2" borderId="0" xfId="3" applyNumberFormat="1" applyFill="1" applyBorder="1"/>
    <xf numFmtId="164" fontId="8" fillId="2" borderId="0" xfId="0" applyNumberFormat="1" applyFont="1" applyFill="1" applyBorder="1"/>
    <xf numFmtId="0" fontId="15" fillId="0" borderId="0" xfId="3" applyNumberFormat="1" applyFill="1" applyBorder="1"/>
    <xf numFmtId="168" fontId="8" fillId="0" borderId="0" xfId="0" applyNumberFormat="1" applyFont="1" applyFill="1" applyBorder="1"/>
    <xf numFmtId="168" fontId="9" fillId="0" borderId="0" xfId="0" applyNumberFormat="1" applyFont="1" applyFill="1" applyBorder="1" applyAlignment="1">
      <alignment vertical="center"/>
    </xf>
    <xf numFmtId="168" fontId="8" fillId="2" borderId="0" xfId="0" applyNumberFormat="1" applyFont="1" applyFill="1" applyBorder="1"/>
    <xf numFmtId="168" fontId="9" fillId="2" borderId="0" xfId="0" applyNumberFormat="1" applyFont="1" applyFill="1" applyBorder="1" applyAlignment="1">
      <alignment vertical="center"/>
    </xf>
    <xf numFmtId="168" fontId="8" fillId="2" borderId="0" xfId="0" applyNumberFormat="1" applyFont="1" applyFill="1" applyBorder="1" applyAlignment="1">
      <alignment vertical="center"/>
    </xf>
    <xf numFmtId="168" fontId="8" fillId="0" borderId="0" xfId="0" applyNumberFormat="1" applyFont="1" applyFill="1" applyBorder="1" applyAlignment="1">
      <alignment vertical="center"/>
    </xf>
    <xf numFmtId="168" fontId="8" fillId="4" borderId="0" xfId="0" applyNumberFormat="1" applyFont="1" applyFill="1" applyBorder="1" applyAlignment="1">
      <alignment vertical="center"/>
    </xf>
    <xf numFmtId="168" fontId="9" fillId="4" borderId="0" xfId="0" applyNumberFormat="1" applyFont="1" applyFill="1" applyBorder="1" applyAlignment="1">
      <alignment vertical="center"/>
    </xf>
    <xf numFmtId="168" fontId="8" fillId="4" borderId="0" xfId="0" applyNumberFormat="1" applyFont="1" applyFill="1" applyBorder="1"/>
    <xf numFmtId="164" fontId="8" fillId="4" borderId="0" xfId="0" applyNumberFormat="1" applyFont="1" applyFill="1" applyBorder="1"/>
    <xf numFmtId="164" fontId="8" fillId="4" borderId="0" xfId="1" applyNumberFormat="1" applyFont="1" applyFill="1" applyBorder="1"/>
    <xf numFmtId="0" fontId="15" fillId="4" borderId="0" xfId="3" applyNumberFormat="1" applyFill="1" applyBorder="1"/>
    <xf numFmtId="0" fontId="7" fillId="0" borderId="0" xfId="0" applyFont="1" applyFill="1" applyAlignment="1">
      <alignment vertical="center"/>
    </xf>
    <xf numFmtId="0" fontId="16" fillId="0" borderId="0" xfId="2" applyFont="1" applyFill="1"/>
    <xf numFmtId="9" fontId="16" fillId="0" borderId="0" xfId="2" applyNumberFormat="1" applyFont="1" applyFill="1"/>
    <xf numFmtId="0" fontId="8" fillId="2" borderId="0" xfId="0" applyFont="1" applyFill="1" applyAlignment="1">
      <alignment wrapText="1"/>
    </xf>
    <xf numFmtId="49" fontId="8" fillId="0" borderId="0" xfId="0" applyNumberFormat="1" applyFont="1" applyFill="1" applyAlignment="1">
      <alignment horizontal="right"/>
    </xf>
    <xf numFmtId="49" fontId="8" fillId="0" borderId="0" xfId="0" applyNumberFormat="1" applyFont="1" applyFill="1" applyAlignment="1">
      <alignment horizontal="left"/>
    </xf>
    <xf numFmtId="0" fontId="8" fillId="0" borderId="0" xfId="0" applyNumberFormat="1" applyFont="1" applyFill="1" applyBorder="1" applyAlignment="1">
      <alignment horizontal="left" vertical="center"/>
    </xf>
    <xf numFmtId="9" fontId="8" fillId="0" borderId="0" xfId="1" applyFont="1" applyFill="1" applyAlignment="1">
      <alignment vertical="center"/>
    </xf>
    <xf numFmtId="9" fontId="8" fillId="4" borderId="0" xfId="1" applyFont="1" applyFill="1" applyAlignment="1">
      <alignment vertical="center"/>
    </xf>
    <xf numFmtId="9" fontId="8" fillId="3" borderId="0" xfId="1" applyFont="1" applyFill="1" applyBorder="1" applyAlignment="1">
      <alignment vertical="center"/>
    </xf>
    <xf numFmtId="9" fontId="8" fillId="3" borderId="0" xfId="1" applyFont="1" applyFill="1" applyAlignment="1"/>
    <xf numFmtId="49" fontId="8" fillId="2" borderId="0" xfId="0" applyNumberFormat="1" applyFont="1" applyFill="1" applyAlignment="1">
      <alignment horizontal="right"/>
    </xf>
    <xf numFmtId="0" fontId="8" fillId="2" borderId="0" xfId="0" applyNumberFormat="1" applyFont="1" applyFill="1" applyBorder="1" applyAlignment="1">
      <alignment horizontal="left" vertical="center"/>
    </xf>
    <xf numFmtId="49" fontId="8" fillId="2" borderId="0" xfId="0" applyNumberFormat="1" applyFont="1" applyFill="1" applyAlignment="1">
      <alignment horizontal="left"/>
    </xf>
    <xf numFmtId="9" fontId="8" fillId="3" borderId="0" xfId="1" applyFont="1" applyFill="1" applyAlignment="1">
      <alignment vertical="center"/>
    </xf>
    <xf numFmtId="9" fontId="8" fillId="3" borderId="0" xfId="1" applyFont="1" applyFill="1"/>
    <xf numFmtId="9" fontId="8" fillId="0" borderId="0" xfId="1" applyFont="1" applyFill="1" applyAlignment="1"/>
    <xf numFmtId="0" fontId="8" fillId="2" borderId="0" xfId="3" applyFont="1" applyFill="1" applyBorder="1" applyAlignment="1">
      <alignment vertical="center"/>
    </xf>
    <xf numFmtId="164" fontId="8" fillId="2" borderId="0" xfId="1" applyNumberFormat="1" applyFont="1" applyFill="1" applyBorder="1" applyAlignment="1">
      <alignment vertical="center"/>
    </xf>
    <xf numFmtId="164" fontId="8" fillId="2" borderId="0" xfId="1" applyNumberFormat="1" applyFont="1" applyFill="1" applyAlignment="1">
      <alignment vertical="center"/>
    </xf>
    <xf numFmtId="164" fontId="9" fillId="2" borderId="0" xfId="1" applyNumberFormat="1" applyFont="1" applyFill="1" applyBorder="1" applyAlignment="1">
      <alignment vertical="center"/>
    </xf>
    <xf numFmtId="0" fontId="15" fillId="2" borderId="0" xfId="3" applyFont="1" applyFill="1" applyBorder="1" applyAlignment="1">
      <alignment vertical="center"/>
    </xf>
    <xf numFmtId="2" fontId="8" fillId="3" borderId="0" xfId="1" applyNumberFormat="1" applyFont="1" applyFill="1" applyBorder="1"/>
    <xf numFmtId="0" fontId="7" fillId="10" borderId="0" xfId="0" applyFont="1" applyFill="1"/>
    <xf numFmtId="0" fontId="7" fillId="10" borderId="0" xfId="0" applyFont="1" applyFill="1" applyAlignment="1"/>
    <xf numFmtId="2" fontId="8" fillId="10" borderId="0" xfId="1" applyNumberFormat="1" applyFont="1" applyFill="1"/>
    <xf numFmtId="2" fontId="14" fillId="0" borderId="0" xfId="2" applyNumberFormat="1" applyFont="1" applyFill="1"/>
    <xf numFmtId="2" fontId="8" fillId="0" borderId="0" xfId="0" applyNumberFormat="1" applyFont="1" applyFill="1"/>
    <xf numFmtId="2" fontId="17" fillId="0" borderId="0" xfId="2" applyNumberFormat="1" applyFont="1"/>
    <xf numFmtId="2" fontId="14" fillId="0" borderId="0" xfId="2" applyNumberFormat="1" applyFont="1"/>
    <xf numFmtId="2" fontId="16" fillId="0" borderId="0" xfId="2" applyNumberFormat="1" applyFont="1" applyFill="1"/>
    <xf numFmtId="2" fontId="8" fillId="0" borderId="0" xfId="0" applyNumberFormat="1" applyFont="1" applyFill="1" applyBorder="1"/>
    <xf numFmtId="2" fontId="9" fillId="0" borderId="0" xfId="0" applyNumberFormat="1" applyFont="1" applyFill="1" applyBorder="1"/>
    <xf numFmtId="0" fontId="13" fillId="0" borderId="0" xfId="0" applyNumberFormat="1" applyFont="1" applyFill="1"/>
    <xf numFmtId="168" fontId="8" fillId="3" borderId="0" xfId="0" applyNumberFormat="1" applyFont="1" applyFill="1" applyBorder="1"/>
    <xf numFmtId="10" fontId="8" fillId="0" borderId="0" xfId="1" applyNumberFormat="1" applyFont="1"/>
    <xf numFmtId="10" fontId="8" fillId="0" borderId="0" xfId="1" applyNumberFormat="1" applyFont="1" applyFill="1"/>
    <xf numFmtId="10" fontId="8" fillId="11" borderId="0" xfId="1" applyNumberFormat="1" applyFont="1" applyFill="1"/>
    <xf numFmtId="10" fontId="9" fillId="0" borderId="0" xfId="1" applyNumberFormat="1" applyFont="1" applyFill="1"/>
    <xf numFmtId="0" fontId="8" fillId="12" borderId="0" xfId="0" applyFont="1" applyFill="1" applyBorder="1"/>
    <xf numFmtId="2" fontId="8" fillId="12" borderId="0" xfId="0" applyNumberFormat="1" applyFont="1" applyFill="1" applyBorder="1"/>
    <xf numFmtId="0" fontId="14" fillId="5" borderId="0" xfId="2" applyFont="1" applyFill="1"/>
    <xf numFmtId="0" fontId="14" fillId="13" borderId="0" xfId="2" applyFont="1" applyFill="1"/>
    <xf numFmtId="2" fontId="8" fillId="5" borderId="0" xfId="0" applyNumberFormat="1" applyFont="1" applyFill="1" applyBorder="1"/>
    <xf numFmtId="2" fontId="14" fillId="13" borderId="0" xfId="2" applyNumberFormat="1" applyFont="1" applyFill="1"/>
    <xf numFmtId="2" fontId="14" fillId="5" borderId="0" xfId="2" applyNumberFormat="1" applyFont="1" applyFill="1"/>
    <xf numFmtId="2" fontId="8" fillId="13" borderId="0" xfId="0" applyNumberFormat="1" applyFont="1" applyFill="1" applyBorder="1"/>
    <xf numFmtId="0" fontId="14" fillId="14" borderId="0" xfId="2" applyFont="1" applyFill="1"/>
    <xf numFmtId="2" fontId="14" fillId="14" borderId="0" xfId="2" applyNumberFormat="1" applyFont="1" applyFill="1"/>
    <xf numFmtId="2" fontId="14" fillId="15" borderId="0" xfId="2" applyNumberFormat="1" applyFont="1" applyFill="1"/>
    <xf numFmtId="2" fontId="8" fillId="11" borderId="0" xfId="0" applyNumberFormat="1" applyFont="1" applyFill="1" applyBorder="1"/>
    <xf numFmtId="2" fontId="8" fillId="16" borderId="0" xfId="0" applyNumberFormat="1" applyFont="1" applyFill="1" applyBorder="1"/>
    <xf numFmtId="10" fontId="8" fillId="14" borderId="0" xfId="1" applyNumberFormat="1" applyFont="1" applyFill="1"/>
    <xf numFmtId="10" fontId="8" fillId="5" borderId="0" xfId="1" applyNumberFormat="1" applyFont="1" applyFill="1"/>
    <xf numFmtId="10" fontId="8" fillId="13" borderId="0" xfId="1" applyNumberFormat="1" applyFont="1" applyFill="1"/>
    <xf numFmtId="10" fontId="8" fillId="12" borderId="0" xfId="1" applyNumberFormat="1" applyFont="1" applyFill="1"/>
    <xf numFmtId="10" fontId="8" fillId="13" borderId="0" xfId="1" applyNumberFormat="1" applyFont="1" applyFill="1" applyBorder="1"/>
    <xf numFmtId="0" fontId="14" fillId="17" borderId="0" xfId="2" applyFont="1" applyFill="1"/>
    <xf numFmtId="2" fontId="14" fillId="17" borderId="0" xfId="2" applyNumberFormat="1" applyFont="1" applyFill="1"/>
    <xf numFmtId="10" fontId="8" fillId="17" borderId="0" xfId="1" applyNumberFormat="1" applyFont="1" applyFill="1"/>
    <xf numFmtId="0" fontId="13" fillId="0" borderId="0" xfId="1" applyNumberFormat="1" applyFont="1" applyFill="1"/>
    <xf numFmtId="10" fontId="14" fillId="0" borderId="0" xfId="1" applyNumberFormat="1" applyFont="1" applyFill="1"/>
    <xf numFmtId="10" fontId="17" fillId="0" borderId="0" xfId="1" applyNumberFormat="1" applyFont="1"/>
    <xf numFmtId="10" fontId="16" fillId="0" borderId="0" xfId="1" applyNumberFormat="1" applyFont="1" applyFill="1"/>
    <xf numFmtId="10" fontId="8" fillId="14" borderId="0" xfId="1" applyNumberFormat="1" applyFont="1" applyFill="1" applyBorder="1"/>
    <xf numFmtId="10" fontId="8" fillId="12" borderId="0" xfId="1" applyNumberFormat="1" applyFont="1" applyFill="1" applyBorder="1"/>
    <xf numFmtId="10" fontId="8" fillId="17" borderId="0" xfId="1" applyNumberFormat="1" applyFont="1" applyFill="1" applyBorder="1"/>
    <xf numFmtId="10" fontId="8" fillId="5" borderId="0" xfId="1" applyNumberFormat="1" applyFont="1" applyFill="1" applyBorder="1"/>
    <xf numFmtId="10" fontId="8" fillId="0" borderId="0" xfId="1" applyNumberFormat="1" applyFont="1" applyFill="1" applyBorder="1"/>
    <xf numFmtId="10" fontId="9" fillId="0" borderId="0" xfId="1" applyNumberFormat="1" applyFont="1" applyFill="1" applyBorder="1"/>
    <xf numFmtId="0" fontId="14" fillId="18" borderId="0" xfId="2" applyFont="1" applyFill="1"/>
    <xf numFmtId="2" fontId="14" fillId="18" borderId="0" xfId="2" applyNumberFormat="1" applyFont="1" applyFill="1"/>
    <xf numFmtId="10" fontId="8" fillId="18" borderId="0" xfId="1" applyNumberFormat="1" applyFont="1" applyFill="1" applyBorder="1"/>
    <xf numFmtId="0" fontId="14" fillId="15" borderId="0" xfId="2" applyFont="1" applyFill="1"/>
    <xf numFmtId="10" fontId="8" fillId="15" borderId="0" xfId="1" applyNumberFormat="1" applyFont="1" applyFill="1" applyBorder="1"/>
    <xf numFmtId="10" fontId="8" fillId="16" borderId="0" xfId="1" applyNumberFormat="1" applyFont="1" applyFill="1" applyBorder="1"/>
    <xf numFmtId="0" fontId="14" fillId="19" borderId="0" xfId="2" applyFont="1" applyFill="1"/>
    <xf numFmtId="2" fontId="14" fillId="19" borderId="0" xfId="2" applyNumberFormat="1" applyFont="1" applyFill="1"/>
    <xf numFmtId="2" fontId="8" fillId="19" borderId="0" xfId="0" applyNumberFormat="1" applyFont="1" applyFill="1" applyBorder="1"/>
    <xf numFmtId="10" fontId="8" fillId="19" borderId="0" xfId="1" applyNumberFormat="1" applyFont="1" applyFill="1" applyBorder="1"/>
    <xf numFmtId="0" fontId="14" fillId="20" borderId="0" xfId="2" applyFont="1" applyFill="1"/>
    <xf numFmtId="2" fontId="14" fillId="20" borderId="0" xfId="2" applyNumberFormat="1" applyFont="1" applyFill="1"/>
    <xf numFmtId="10" fontId="8" fillId="20" borderId="0" xfId="1" applyNumberFormat="1" applyFont="1" applyFill="1" applyBorder="1"/>
    <xf numFmtId="0" fontId="14" fillId="9" borderId="0" xfId="2" applyFont="1" applyFill="1"/>
    <xf numFmtId="2" fontId="14" fillId="9" borderId="0" xfId="2" applyNumberFormat="1" applyFont="1" applyFill="1"/>
    <xf numFmtId="2" fontId="8" fillId="9" borderId="0" xfId="0" applyNumberFormat="1" applyFont="1" applyFill="1" applyBorder="1"/>
    <xf numFmtId="10" fontId="8" fillId="9" borderId="0" xfId="1" applyNumberFormat="1" applyFont="1" applyFill="1" applyBorder="1"/>
    <xf numFmtId="10" fontId="8" fillId="11" borderId="0" xfId="1" applyNumberFormat="1" applyFont="1" applyFill="1" applyBorder="1"/>
    <xf numFmtId="0" fontId="8" fillId="11" borderId="0" xfId="0" applyFont="1" applyFill="1" applyBorder="1"/>
    <xf numFmtId="0" fontId="17" fillId="16" borderId="0" xfId="2" applyFont="1" applyFill="1"/>
    <xf numFmtId="2" fontId="17" fillId="16" borderId="0" xfId="2" applyNumberFormat="1" applyFont="1" applyFill="1"/>
    <xf numFmtId="10" fontId="8" fillId="18" borderId="0" xfId="1" applyNumberFormat="1" applyFont="1" applyFill="1"/>
    <xf numFmtId="10" fontId="8" fillId="20" borderId="0" xfId="1" applyNumberFormat="1" applyFont="1" applyFill="1"/>
    <xf numFmtId="10" fontId="8" fillId="16" borderId="0" xfId="1" applyNumberFormat="1" applyFont="1" applyFill="1"/>
    <xf numFmtId="10" fontId="8" fillId="9" borderId="0" xfId="1" applyNumberFormat="1" applyFont="1" applyFill="1"/>
    <xf numFmtId="10" fontId="8" fillId="19" borderId="0" xfId="1" applyNumberFormat="1" applyFont="1" applyFill="1"/>
    <xf numFmtId="10" fontId="8" fillId="15" borderId="0" xfId="1" applyNumberFormat="1" applyFont="1" applyFill="1"/>
    <xf numFmtId="0" fontId="13" fillId="11" borderId="0" xfId="0" applyFont="1" applyFill="1"/>
    <xf numFmtId="0" fontId="13" fillId="2" borderId="0" xfId="1" applyNumberFormat="1" applyFont="1" applyFill="1"/>
    <xf numFmtId="2" fontId="8" fillId="21" borderId="0" xfId="0" applyNumberFormat="1" applyFont="1" applyFill="1" applyBorder="1"/>
    <xf numFmtId="0" fontId="8" fillId="5" borderId="0" xfId="0" applyFont="1" applyFill="1" applyBorder="1"/>
    <xf numFmtId="0" fontId="8" fillId="21" borderId="0" xfId="0" applyFont="1" applyFill="1" applyBorder="1"/>
    <xf numFmtId="10" fontId="8" fillId="21" borderId="0" xfId="1" applyNumberFormat="1" applyFont="1" applyFill="1" applyBorder="1"/>
    <xf numFmtId="0" fontId="14" fillId="22" borderId="0" xfId="2" applyFont="1" applyFill="1"/>
    <xf numFmtId="2" fontId="8" fillId="22" borderId="0" xfId="0" applyNumberFormat="1" applyFont="1" applyFill="1" applyBorder="1"/>
    <xf numFmtId="10" fontId="8" fillId="22" borderId="0" xfId="1" applyNumberFormat="1" applyFont="1" applyFill="1" applyBorder="1"/>
    <xf numFmtId="0" fontId="8" fillId="9" borderId="0" xfId="0" applyFont="1" applyFill="1" applyBorder="1"/>
    <xf numFmtId="0" fontId="8" fillId="7" borderId="0" xfId="0" applyFont="1" applyFill="1" applyBorder="1"/>
    <xf numFmtId="2" fontId="8" fillId="7" borderId="0" xfId="0" applyNumberFormat="1" applyFont="1" applyFill="1" applyBorder="1"/>
    <xf numFmtId="10" fontId="8" fillId="7" borderId="0" xfId="1" applyNumberFormat="1" applyFont="1" applyFill="1" applyBorder="1"/>
    <xf numFmtId="2" fontId="8" fillId="23" borderId="0" xfId="0" applyNumberFormat="1" applyFont="1" applyFill="1" applyBorder="1"/>
    <xf numFmtId="10" fontId="8" fillId="23" borderId="0" xfId="1" applyNumberFormat="1" applyFont="1" applyFill="1" applyBorder="1"/>
    <xf numFmtId="0" fontId="8" fillId="19" borderId="0" xfId="0" applyFont="1" applyFill="1" applyBorder="1"/>
    <xf numFmtId="2" fontId="8" fillId="24" borderId="0" xfId="0" applyNumberFormat="1" applyFont="1" applyFill="1" applyBorder="1"/>
    <xf numFmtId="10" fontId="8" fillId="24" borderId="0" xfId="1" applyNumberFormat="1" applyFont="1" applyFill="1" applyBorder="1"/>
    <xf numFmtId="0" fontId="14" fillId="24" borderId="0" xfId="2" applyFont="1" applyFill="1"/>
    <xf numFmtId="0" fontId="8" fillId="25" borderId="0" xfId="0" applyFont="1" applyFill="1" applyBorder="1"/>
    <xf numFmtId="2" fontId="8" fillId="25" borderId="0" xfId="0" applyNumberFormat="1" applyFont="1" applyFill="1" applyBorder="1"/>
    <xf numFmtId="10" fontId="8" fillId="25" borderId="0" xfId="1" applyNumberFormat="1" applyFont="1" applyFill="1" applyBorder="1"/>
    <xf numFmtId="0" fontId="14" fillId="23" borderId="0" xfId="2" applyFont="1" applyFill="1"/>
    <xf numFmtId="10" fontId="8" fillId="24" borderId="0" xfId="1" applyNumberFormat="1" applyFont="1" applyFill="1"/>
    <xf numFmtId="10" fontId="8" fillId="7" borderId="0" xfId="1" applyNumberFormat="1" applyFont="1" applyFill="1"/>
    <xf numFmtId="10" fontId="8" fillId="25" borderId="0" xfId="1" applyNumberFormat="1" applyFont="1" applyFill="1"/>
    <xf numFmtId="10" fontId="8" fillId="23" borderId="0" xfId="1" applyNumberFormat="1" applyFont="1" applyFill="1"/>
    <xf numFmtId="10" fontId="8" fillId="22" borderId="0" xfId="1" applyNumberFormat="1" applyFont="1" applyFill="1"/>
    <xf numFmtId="10" fontId="9" fillId="0" borderId="0" xfId="1" applyNumberFormat="1" applyFont="1"/>
    <xf numFmtId="0" fontId="8" fillId="26" borderId="0" xfId="0" applyFont="1" applyFill="1" applyBorder="1"/>
    <xf numFmtId="0" fontId="8" fillId="18" borderId="0" xfId="0" applyFont="1" applyFill="1" applyBorder="1"/>
    <xf numFmtId="0" fontId="8" fillId="20" borderId="0" xfId="0" applyFont="1" applyFill="1" applyBorder="1"/>
    <xf numFmtId="0" fontId="8" fillId="15" borderId="0" xfId="0" applyFont="1" applyFill="1" applyBorder="1"/>
    <xf numFmtId="2" fontId="8" fillId="20" borderId="0" xfId="0" applyNumberFormat="1" applyFont="1" applyFill="1" applyBorder="1"/>
    <xf numFmtId="2" fontId="8" fillId="26" borderId="0" xfId="0" applyNumberFormat="1" applyFont="1" applyFill="1" applyBorder="1"/>
    <xf numFmtId="10" fontId="8" fillId="26" borderId="0" xfId="1" applyNumberFormat="1" applyFont="1" applyFill="1" applyBorder="1"/>
    <xf numFmtId="2" fontId="8" fillId="18" borderId="0" xfId="0" applyNumberFormat="1" applyFont="1" applyFill="1" applyBorder="1"/>
    <xf numFmtId="10" fontId="8" fillId="3" borderId="0" xfId="1" applyNumberFormat="1" applyFont="1" applyFill="1" applyBorder="1"/>
    <xf numFmtId="10" fontId="8" fillId="27" borderId="0" xfId="1" applyNumberFormat="1" applyFont="1" applyFill="1" applyBorder="1"/>
    <xf numFmtId="0" fontId="8" fillId="3" borderId="0" xfId="0" applyFont="1" applyFill="1" applyBorder="1"/>
    <xf numFmtId="2" fontId="8" fillId="15" borderId="0" xfId="0" applyNumberFormat="1" applyFont="1" applyFill="1" applyBorder="1"/>
    <xf numFmtId="0" fontId="8" fillId="13" borderId="0" xfId="0" applyFont="1" applyFill="1" applyBorder="1"/>
    <xf numFmtId="0" fontId="8" fillId="28" borderId="0" xfId="0" applyFont="1" applyFill="1" applyBorder="1"/>
    <xf numFmtId="2" fontId="8" fillId="28" borderId="0" xfId="0" applyNumberFormat="1" applyFont="1" applyFill="1" applyBorder="1"/>
    <xf numFmtId="10" fontId="8" fillId="28" borderId="0" xfId="1" applyNumberFormat="1" applyFont="1" applyFill="1" applyBorder="1"/>
    <xf numFmtId="0" fontId="8" fillId="29" borderId="0" xfId="0" applyFont="1" applyFill="1" applyBorder="1"/>
    <xf numFmtId="2" fontId="8" fillId="29" borderId="0" xfId="0" applyNumberFormat="1" applyFont="1" applyFill="1" applyBorder="1"/>
    <xf numFmtId="10" fontId="8" fillId="29" borderId="0" xfId="1" applyNumberFormat="1" applyFont="1" applyFill="1" applyBorder="1"/>
    <xf numFmtId="0" fontId="8" fillId="10" borderId="0" xfId="0" applyFont="1" applyFill="1" applyBorder="1"/>
    <xf numFmtId="2" fontId="8" fillId="10" borderId="0" xfId="0" applyNumberFormat="1" applyFont="1" applyFill="1" applyBorder="1"/>
    <xf numFmtId="10" fontId="8" fillId="10" borderId="0" xfId="1" applyNumberFormat="1" applyFont="1" applyFill="1" applyBorder="1"/>
    <xf numFmtId="0" fontId="8" fillId="6" borderId="0" xfId="0" applyFont="1" applyFill="1" applyBorder="1"/>
    <xf numFmtId="2" fontId="8" fillId="6" borderId="0" xfId="0" applyNumberFormat="1" applyFont="1" applyFill="1" applyBorder="1"/>
    <xf numFmtId="10" fontId="8" fillId="6" borderId="0" xfId="1" applyNumberFormat="1" applyFont="1" applyFill="1" applyBorder="1"/>
    <xf numFmtId="0" fontId="8" fillId="30" borderId="0" xfId="0" applyFont="1" applyFill="1" applyBorder="1"/>
    <xf numFmtId="0" fontId="8" fillId="30" borderId="0" xfId="0" applyFont="1" applyFill="1" applyBorder="1" applyAlignment="1">
      <alignment vertical="center"/>
    </xf>
    <xf numFmtId="10" fontId="8" fillId="31" borderId="0" xfId="1" applyNumberFormat="1" applyFont="1" applyFill="1" applyBorder="1"/>
    <xf numFmtId="2" fontId="8" fillId="31" borderId="0" xfId="0" applyNumberFormat="1" applyFont="1" applyFill="1" applyBorder="1"/>
    <xf numFmtId="2" fontId="8" fillId="30" borderId="0" xfId="0" applyNumberFormat="1" applyFont="1" applyFill="1" applyBorder="1"/>
    <xf numFmtId="2" fontId="8" fillId="24" borderId="0" xfId="1" applyNumberFormat="1" applyFont="1" applyFill="1" applyBorder="1"/>
    <xf numFmtId="2" fontId="8" fillId="28" borderId="0" xfId="1" applyNumberFormat="1" applyFont="1" applyFill="1" applyBorder="1"/>
    <xf numFmtId="10" fontId="8" fillId="26" borderId="0" xfId="1" applyNumberFormat="1" applyFont="1" applyFill="1"/>
    <xf numFmtId="0" fontId="14" fillId="31" borderId="0" xfId="2" applyFont="1" applyFill="1"/>
    <xf numFmtId="2" fontId="14" fillId="28" borderId="0" xfId="2" applyNumberFormat="1" applyFont="1" applyFill="1"/>
    <xf numFmtId="2" fontId="14" fillId="26" borderId="0" xfId="2" applyNumberFormat="1" applyFont="1" applyFill="1"/>
    <xf numFmtId="2" fontId="14" fillId="6" borderId="0" xfId="2" applyNumberFormat="1" applyFont="1" applyFill="1"/>
    <xf numFmtId="0" fontId="8" fillId="32" borderId="0" xfId="0" applyFont="1" applyFill="1" applyBorder="1"/>
    <xf numFmtId="2" fontId="14" fillId="32" borderId="0" xfId="2" applyNumberFormat="1" applyFont="1" applyFill="1"/>
    <xf numFmtId="10" fontId="8" fillId="32" borderId="0" xfId="1" applyNumberFormat="1" applyFont="1" applyFill="1" applyBorder="1"/>
    <xf numFmtId="0" fontId="14" fillId="28" borderId="0" xfId="2" applyFont="1" applyFill="1"/>
    <xf numFmtId="0" fontId="14" fillId="26" borderId="0" xfId="2" applyFont="1" applyFill="1"/>
    <xf numFmtId="0" fontId="14" fillId="7" borderId="0" xfId="2" applyFont="1" applyFill="1"/>
    <xf numFmtId="2" fontId="14" fillId="7" borderId="0" xfId="2" applyNumberFormat="1" applyFont="1" applyFill="1"/>
    <xf numFmtId="0" fontId="14" fillId="6" borderId="0" xfId="2" applyFont="1" applyFill="1"/>
    <xf numFmtId="0" fontId="14" fillId="12" borderId="0" xfId="2" applyFont="1" applyFill="1"/>
    <xf numFmtId="2" fontId="14" fillId="12" borderId="0" xfId="2" applyNumberFormat="1" applyFont="1" applyFill="1"/>
    <xf numFmtId="10" fontId="8" fillId="28" borderId="0" xfId="1" applyNumberFormat="1" applyFont="1" applyFill="1"/>
    <xf numFmtId="10" fontId="8" fillId="6" borderId="0" xfId="1" applyNumberFormat="1" applyFont="1" applyFill="1"/>
    <xf numFmtId="10" fontId="8" fillId="32" borderId="0" xfId="1" applyNumberFormat="1" applyFont="1" applyFill="1"/>
    <xf numFmtId="0" fontId="8" fillId="31" borderId="0" xfId="0" applyFont="1" applyFill="1" applyBorder="1"/>
    <xf numFmtId="2" fontId="8" fillId="14" borderId="0" xfId="0" applyNumberFormat="1" applyFont="1" applyFill="1" applyBorder="1"/>
    <xf numFmtId="2" fontId="14" fillId="23" borderId="0" xfId="2" applyNumberFormat="1" applyFont="1" applyFill="1"/>
    <xf numFmtId="2" fontId="8" fillId="17" borderId="0" xfId="0" applyNumberFormat="1" applyFont="1" applyFill="1" applyBorder="1"/>
    <xf numFmtId="0" fontId="14" fillId="33" borderId="0" xfId="2" applyFont="1" applyFill="1"/>
    <xf numFmtId="2" fontId="8" fillId="33" borderId="0" xfId="0" applyNumberFormat="1" applyFont="1" applyFill="1" applyBorder="1"/>
    <xf numFmtId="10" fontId="8" fillId="33" borderId="0" xfId="1" applyNumberFormat="1" applyFont="1" applyFill="1" applyBorder="1"/>
    <xf numFmtId="0" fontId="8" fillId="34" borderId="0" xfId="0" applyFont="1" applyFill="1" applyBorder="1"/>
    <xf numFmtId="0" fontId="8" fillId="35" borderId="0" xfId="0" applyFont="1" applyFill="1" applyBorder="1"/>
    <xf numFmtId="2" fontId="8" fillId="35" borderId="0" xfId="0" applyNumberFormat="1" applyFont="1" applyFill="1" applyBorder="1"/>
    <xf numFmtId="2" fontId="8" fillId="34" borderId="0" xfId="0" applyNumberFormat="1" applyFont="1" applyFill="1" applyBorder="1"/>
    <xf numFmtId="10" fontId="8" fillId="35" borderId="0" xfId="1" applyNumberFormat="1" applyFont="1" applyFill="1" applyBorder="1"/>
    <xf numFmtId="10" fontId="8" fillId="34" borderId="0" xfId="1" applyNumberFormat="1" applyFont="1" applyFill="1" applyBorder="1"/>
    <xf numFmtId="10" fontId="14" fillId="18" borderId="0" xfId="1" applyNumberFormat="1" applyFont="1" applyFill="1"/>
    <xf numFmtId="10" fontId="14" fillId="14" borderId="0" xfId="1" applyNumberFormat="1" applyFont="1" applyFill="1"/>
    <xf numFmtId="10" fontId="14" fillId="17" borderId="0" xfId="1" applyNumberFormat="1" applyFont="1" applyFill="1"/>
    <xf numFmtId="0" fontId="8" fillId="36" borderId="0" xfId="0" applyFont="1" applyFill="1" applyBorder="1"/>
    <xf numFmtId="2" fontId="8" fillId="36" borderId="0" xfId="0" applyNumberFormat="1" applyFont="1" applyFill="1" applyBorder="1"/>
    <xf numFmtId="10" fontId="8" fillId="36" borderId="0" xfId="1" applyNumberFormat="1" applyFont="1" applyFill="1" applyBorder="1"/>
    <xf numFmtId="0" fontId="14" fillId="36" borderId="0" xfId="2" applyFont="1" applyFill="1"/>
    <xf numFmtId="10" fontId="8" fillId="33" borderId="0" xfId="1" applyNumberFormat="1" applyFont="1" applyFill="1"/>
    <xf numFmtId="10" fontId="8" fillId="36" borderId="0" xfId="1" applyNumberFormat="1" applyFont="1" applyFill="1"/>
    <xf numFmtId="0" fontId="14" fillId="37" borderId="0" xfId="2" applyFont="1" applyFill="1"/>
    <xf numFmtId="2" fontId="14" fillId="37" borderId="0" xfId="2" applyNumberFormat="1" applyFont="1" applyFill="1"/>
    <xf numFmtId="10" fontId="8" fillId="37" borderId="0" xfId="1" applyNumberFormat="1" applyFont="1" applyFill="1" applyBorder="1"/>
    <xf numFmtId="2" fontId="17" fillId="11" borderId="0" xfId="2" applyNumberFormat="1" applyFont="1" applyFill="1"/>
    <xf numFmtId="10" fontId="8" fillId="37" borderId="0" xfId="1" applyNumberFormat="1" applyFont="1" applyFill="1"/>
    <xf numFmtId="0" fontId="17" fillId="0" borderId="0" xfId="2" applyFont="1" applyFill="1"/>
    <xf numFmtId="169" fontId="8" fillId="0" borderId="0" xfId="1" applyNumberFormat="1" applyFont="1"/>
    <xf numFmtId="2" fontId="8" fillId="0" borderId="0" xfId="1" applyNumberFormat="1" applyFont="1" applyFill="1" applyBorder="1" applyAlignment="1">
      <alignment vertical="center"/>
    </xf>
    <xf numFmtId="169" fontId="8" fillId="0" borderId="0" xfId="1" applyNumberFormat="1" applyFont="1" applyFill="1"/>
    <xf numFmtId="169" fontId="8" fillId="0" borderId="0" xfId="1" applyNumberFormat="1" applyFont="1" applyFill="1" applyBorder="1" applyAlignment="1">
      <alignment vertical="center"/>
    </xf>
    <xf numFmtId="2" fontId="8" fillId="0" borderId="0" xfId="0" applyNumberFormat="1" applyFont="1" applyFill="1" applyBorder="1" applyAlignment="1">
      <alignment vertical="center"/>
    </xf>
    <xf numFmtId="0" fontId="2" fillId="0" borderId="0" xfId="0" applyFont="1" applyFill="1" applyBorder="1" applyAlignment="1">
      <alignment vertical="center"/>
    </xf>
    <xf numFmtId="10" fontId="8" fillId="0" borderId="0" xfId="0" applyNumberFormat="1" applyFont="1" applyFill="1" applyBorder="1"/>
    <xf numFmtId="10" fontId="9" fillId="0" borderId="0" xfId="0" applyNumberFormat="1" applyFont="1" applyFill="1" applyBorder="1"/>
    <xf numFmtId="2" fontId="8" fillId="4" borderId="0" xfId="1" applyNumberFormat="1" applyFont="1" applyFill="1" applyBorder="1" applyAlignment="1">
      <alignment vertical="center"/>
    </xf>
    <xf numFmtId="169" fontId="8" fillId="0" borderId="0" xfId="0" applyNumberFormat="1" applyFont="1" applyFill="1" applyBorder="1"/>
    <xf numFmtId="2" fontId="8" fillId="10" borderId="0" xfId="1" applyNumberFormat="1" applyFont="1" applyFill="1" applyBorder="1" applyAlignment="1">
      <alignment vertical="center"/>
    </xf>
    <xf numFmtId="0" fontId="14" fillId="8" borderId="0" xfId="0" applyFont="1" applyFill="1"/>
    <xf numFmtId="10" fontId="8" fillId="2" borderId="0" xfId="0" applyNumberFormat="1" applyFont="1" applyFill="1" applyBorder="1"/>
    <xf numFmtId="169" fontId="8" fillId="2" borderId="0" xfId="1" applyNumberFormat="1" applyFont="1" applyFill="1" applyBorder="1" applyAlignment="1">
      <alignment vertical="center"/>
    </xf>
    <xf numFmtId="169" fontId="8" fillId="8" borderId="0" xfId="1" applyNumberFormat="1" applyFont="1" applyFill="1"/>
    <xf numFmtId="169" fontId="8" fillId="8" borderId="0" xfId="1" applyNumberFormat="1" applyFont="1" applyFill="1" applyBorder="1" applyAlignment="1">
      <alignment vertical="center"/>
    </xf>
    <xf numFmtId="10" fontId="8" fillId="0" borderId="0" xfId="0" applyNumberFormat="1" applyFont="1" applyFill="1"/>
    <xf numFmtId="0" fontId="9" fillId="10" borderId="0" xfId="0" applyFont="1" applyFill="1" applyBorder="1"/>
    <xf numFmtId="164" fontId="9" fillId="10" borderId="0" xfId="1" applyNumberFormat="1" applyFont="1" applyFill="1" applyBorder="1"/>
    <xf numFmtId="0" fontId="7" fillId="10" borderId="0" xfId="4" applyFont="1" applyFill="1"/>
    <xf numFmtId="0" fontId="7" fillId="10" borderId="0" xfId="0" applyFont="1" applyFill="1" applyBorder="1"/>
    <xf numFmtId="164" fontId="8" fillId="10" borderId="0" xfId="1" applyNumberFormat="1" applyFont="1" applyFill="1" applyBorder="1"/>
    <xf numFmtId="164" fontId="9" fillId="10" borderId="0" xfId="1" applyNumberFormat="1" applyFont="1" applyFill="1" applyBorder="1" applyAlignment="1">
      <alignment vertical="center"/>
    </xf>
    <xf numFmtId="9" fontId="9" fillId="4" borderId="0" xfId="1" applyFont="1" applyFill="1" applyBorder="1" applyAlignment="1">
      <alignment vertical="center"/>
    </xf>
    <xf numFmtId="0" fontId="9" fillId="0" borderId="0" xfId="0" applyNumberFormat="1" applyFont="1" applyFill="1" applyBorder="1" applyAlignment="1">
      <alignment horizontal="left" vertical="center"/>
    </xf>
    <xf numFmtId="49" fontId="9" fillId="0" borderId="0" xfId="0" applyNumberFormat="1" applyFont="1" applyFill="1" applyAlignment="1">
      <alignment horizontal="right"/>
    </xf>
    <xf numFmtId="2" fontId="9" fillId="0" borderId="0" xfId="0" applyNumberFormat="1" applyFont="1" applyFill="1"/>
    <xf numFmtId="49" fontId="9" fillId="0" borderId="0" xfId="0" applyNumberFormat="1" applyFont="1" applyFill="1" applyAlignment="1">
      <alignment horizontal="left"/>
    </xf>
    <xf numFmtId="9" fontId="9" fillId="0" borderId="0" xfId="1" applyFont="1" applyFill="1" applyBorder="1" applyAlignment="1">
      <alignment vertical="center"/>
    </xf>
    <xf numFmtId="9" fontId="9" fillId="0" borderId="0" xfId="1" applyFont="1" applyFill="1" applyAlignment="1"/>
    <xf numFmtId="9" fontId="9" fillId="4" borderId="0" xfId="1" applyFont="1" applyFill="1" applyAlignment="1">
      <alignment vertical="center"/>
    </xf>
    <xf numFmtId="0" fontId="9" fillId="10" borderId="0" xfId="0" applyNumberFormat="1" applyFont="1" applyFill="1" applyBorder="1" applyAlignment="1"/>
    <xf numFmtId="0" fontId="8" fillId="0" borderId="1" xfId="0" applyFont="1" applyFill="1" applyBorder="1"/>
    <xf numFmtId="0" fontId="8" fillId="0" borderId="2" xfId="0" applyNumberFormat="1" applyFont="1" applyFill="1" applyBorder="1" applyAlignment="1"/>
    <xf numFmtId="0" fontId="8" fillId="0" borderId="2" xfId="0" applyFont="1" applyFill="1" applyBorder="1"/>
    <xf numFmtId="0" fontId="8" fillId="0" borderId="4" xfId="0" applyFont="1" applyFill="1" applyBorder="1"/>
    <xf numFmtId="0" fontId="8" fillId="0" borderId="6" xfId="0" applyFont="1" applyFill="1" applyBorder="1"/>
    <xf numFmtId="0" fontId="8" fillId="0" borderId="7" xfId="0" applyNumberFormat="1" applyFont="1" applyFill="1" applyBorder="1" applyAlignment="1"/>
    <xf numFmtId="0" fontId="8" fillId="0" borderId="7" xfId="0" applyFont="1" applyFill="1" applyBorder="1"/>
    <xf numFmtId="2" fontId="8" fillId="0" borderId="2" xfId="1" applyNumberFormat="1" applyFont="1" applyFill="1" applyBorder="1"/>
    <xf numFmtId="2" fontId="8" fillId="0" borderId="3" xfId="1" applyNumberFormat="1" applyFont="1" applyFill="1" applyBorder="1"/>
    <xf numFmtId="2" fontId="8" fillId="0" borderId="5" xfId="1" applyNumberFormat="1" applyFont="1" applyFill="1" applyBorder="1"/>
    <xf numFmtId="2" fontId="8" fillId="3" borderId="5" xfId="1" applyNumberFormat="1" applyFont="1" applyFill="1" applyBorder="1"/>
    <xf numFmtId="0" fontId="8" fillId="0" borderId="0" xfId="0" applyFont="1" applyBorder="1"/>
    <xf numFmtId="2" fontId="8" fillId="0" borderId="7" xfId="1" applyNumberFormat="1" applyFont="1" applyFill="1" applyBorder="1"/>
    <xf numFmtId="2" fontId="8" fillId="3" borderId="7" xfId="1" applyNumberFormat="1" applyFont="1" applyFill="1" applyBorder="1"/>
    <xf numFmtId="2" fontId="8" fillId="3" borderId="8" xfId="1" applyNumberFormat="1" applyFont="1" applyFill="1" applyBorder="1"/>
    <xf numFmtId="10" fontId="1" fillId="0" borderId="2" xfId="0" applyNumberFormat="1" applyFont="1" applyFill="1" applyBorder="1"/>
    <xf numFmtId="10" fontId="1" fillId="0" borderId="0" xfId="0" applyNumberFormat="1" applyFont="1" applyFill="1" applyBorder="1"/>
    <xf numFmtId="10" fontId="1" fillId="0" borderId="7" xfId="0" applyNumberFormat="1" applyFont="1" applyFill="1" applyBorder="1"/>
    <xf numFmtId="2" fontId="1" fillId="0" borderId="7" xfId="0" applyNumberFormat="1" applyFont="1" applyFill="1" applyBorder="1"/>
    <xf numFmtId="2" fontId="1" fillId="0" borderId="2" xfId="0" applyNumberFormat="1" applyFont="1" applyFill="1" applyBorder="1"/>
    <xf numFmtId="2" fontId="1" fillId="0" borderId="3" xfId="0" applyNumberFormat="1" applyFont="1" applyFill="1" applyBorder="1"/>
    <xf numFmtId="2" fontId="1" fillId="0" borderId="0" xfId="0" applyNumberFormat="1" applyFont="1" applyFill="1" applyBorder="1"/>
    <xf numFmtId="2" fontId="1" fillId="0" borderId="5" xfId="0" applyNumberFormat="1" applyFont="1" applyFill="1" applyBorder="1"/>
    <xf numFmtId="2" fontId="1" fillId="0" borderId="8" xfId="0" applyNumberFormat="1" applyFont="1" applyFill="1" applyBorder="1"/>
    <xf numFmtId="10" fontId="1" fillId="0" borderId="9" xfId="0" applyNumberFormat="1" applyFont="1" applyFill="1" applyBorder="1"/>
    <xf numFmtId="10" fontId="1" fillId="0" borderId="10" xfId="0" applyNumberFormat="1" applyFont="1" applyFill="1" applyBorder="1"/>
    <xf numFmtId="2" fontId="1" fillId="0" borderId="10" xfId="0" applyNumberFormat="1" applyFont="1" applyFill="1" applyBorder="1"/>
    <xf numFmtId="2" fontId="1" fillId="0" borderId="11" xfId="0" applyNumberFormat="1" applyFont="1" applyFill="1" applyBorder="1"/>
    <xf numFmtId="10" fontId="1" fillId="0" borderId="1" xfId="0" applyNumberFormat="1" applyFont="1" applyFill="1" applyBorder="1"/>
    <xf numFmtId="10" fontId="1" fillId="0" borderId="4" xfId="0" applyNumberFormat="1" applyFont="1" applyFill="1" applyBorder="1"/>
    <xf numFmtId="10" fontId="1" fillId="0" borderId="6" xfId="0" applyNumberFormat="1" applyFont="1" applyFill="1" applyBorder="1"/>
    <xf numFmtId="10" fontId="8" fillId="0" borderId="1" xfId="1" applyNumberFormat="1" applyFont="1" applyFill="1" applyBorder="1"/>
    <xf numFmtId="10" fontId="8" fillId="0" borderId="4" xfId="1" applyNumberFormat="1" applyFont="1" applyFill="1" applyBorder="1"/>
    <xf numFmtId="10" fontId="8" fillId="0" borderId="6" xfId="1" applyNumberFormat="1" applyFont="1" applyFill="1" applyBorder="1"/>
    <xf numFmtId="0" fontId="7" fillId="10" borderId="0" xfId="0" applyFont="1" applyFill="1" applyBorder="1" applyAlignment="1"/>
    <xf numFmtId="2" fontId="8" fillId="3" borderId="0" xfId="0" applyNumberFormat="1" applyFont="1" applyFill="1"/>
    <xf numFmtId="9" fontId="8" fillId="10" borderId="0" xfId="1" applyFont="1" applyFill="1" applyBorder="1" applyAlignment="1">
      <alignment vertical="center"/>
    </xf>
    <xf numFmtId="9" fontId="8" fillId="10" borderId="0" xfId="1" applyFont="1" applyFill="1" applyAlignment="1">
      <alignment vertical="center"/>
    </xf>
    <xf numFmtId="9" fontId="8" fillId="10" borderId="0" xfId="1" applyFont="1" applyFill="1" applyAlignment="1"/>
    <xf numFmtId="164" fontId="8" fillId="3" borderId="0" xfId="1" applyNumberFormat="1" applyFont="1" applyFill="1" applyBorder="1"/>
    <xf numFmtId="0" fontId="7" fillId="2" borderId="0" xfId="0" applyFont="1" applyFill="1" applyAlignment="1"/>
    <xf numFmtId="0" fontId="9" fillId="10" borderId="0" xfId="0" applyFont="1" applyFill="1"/>
    <xf numFmtId="2" fontId="8" fillId="10" borderId="0" xfId="1" applyNumberFormat="1" applyFont="1" applyFill="1" applyBorder="1"/>
    <xf numFmtId="0" fontId="8" fillId="10" borderId="0" xfId="0" applyFont="1" applyFill="1"/>
    <xf numFmtId="0" fontId="13" fillId="10" borderId="0" xfId="0" applyFont="1" applyFill="1"/>
    <xf numFmtId="0" fontId="5" fillId="10" borderId="0" xfId="0" applyFont="1" applyFill="1" applyAlignment="1">
      <alignment vertical="center"/>
    </xf>
    <xf numFmtId="0" fontId="5" fillId="10" borderId="0" xfId="0" applyFont="1" applyFill="1" applyBorder="1" applyAlignment="1">
      <alignment vertical="center"/>
    </xf>
    <xf numFmtId="164" fontId="9" fillId="8" borderId="0" xfId="1" applyNumberFormat="1" applyFont="1" applyFill="1" applyBorder="1" applyAlignment="1">
      <alignment vertical="center"/>
    </xf>
    <xf numFmtId="164" fontId="8" fillId="8" borderId="0" xfId="1" applyNumberFormat="1" applyFont="1" applyFill="1" applyBorder="1" applyAlignment="1">
      <alignment vertical="center"/>
    </xf>
    <xf numFmtId="164" fontId="8" fillId="3" borderId="0" xfId="1" applyNumberFormat="1" applyFont="1" applyFill="1" applyBorder="1" applyAlignment="1">
      <alignment vertical="center"/>
    </xf>
    <xf numFmtId="164" fontId="9" fillId="3" borderId="0" xfId="1" applyNumberFormat="1" applyFont="1" applyFill="1" applyBorder="1"/>
    <xf numFmtId="0" fontId="8" fillId="8" borderId="0" xfId="0" applyFont="1" applyFill="1" applyBorder="1"/>
    <xf numFmtId="164" fontId="9" fillId="3" borderId="0" xfId="1" applyNumberFormat="1" applyFont="1" applyFill="1" applyBorder="1" applyAlignment="1">
      <alignment vertical="center"/>
    </xf>
    <xf numFmtId="2" fontId="9" fillId="10" borderId="0" xfId="1" applyNumberFormat="1" applyFont="1" applyFill="1" applyBorder="1"/>
    <xf numFmtId="2" fontId="8" fillId="8" borderId="0" xfId="1" applyNumberFormat="1" applyFont="1" applyFill="1" applyBorder="1"/>
    <xf numFmtId="2" fontId="9" fillId="8" borderId="0" xfId="1" applyNumberFormat="1" applyFont="1" applyFill="1" applyBorder="1"/>
    <xf numFmtId="2" fontId="9" fillId="3" borderId="0" xfId="1" applyNumberFormat="1" applyFont="1" applyFill="1" applyBorder="1"/>
    <xf numFmtId="0" fontId="8" fillId="0" borderId="0" xfId="3" quotePrefix="1" applyFont="1" applyFill="1" applyBorder="1"/>
    <xf numFmtId="0" fontId="8" fillId="10" borderId="0" xfId="3" quotePrefix="1" applyFont="1" applyFill="1" applyBorder="1"/>
    <xf numFmtId="0" fontId="8" fillId="0" borderId="0" xfId="0" quotePrefix="1" applyFont="1" applyFill="1" applyBorder="1"/>
    <xf numFmtId="0" fontId="8" fillId="10" borderId="0" xfId="0" quotePrefix="1" applyFont="1" applyFill="1" applyBorder="1"/>
    <xf numFmtId="2" fontId="5" fillId="10" borderId="0" xfId="0" applyNumberFormat="1" applyFont="1" applyFill="1"/>
    <xf numFmtId="0" fontId="8" fillId="10" borderId="0" xfId="0" applyNumberFormat="1" applyFont="1" applyFill="1" applyBorder="1" applyAlignment="1"/>
    <xf numFmtId="164" fontId="5" fillId="10" borderId="0" xfId="1" applyNumberFormat="1" applyFont="1" applyFill="1" applyBorder="1"/>
    <xf numFmtId="2" fontId="5" fillId="10" borderId="0" xfId="0" applyNumberFormat="1" applyFont="1" applyFill="1" applyBorder="1"/>
    <xf numFmtId="0" fontId="0" fillId="10" borderId="0" xfId="0" applyFill="1" applyBorder="1"/>
    <xf numFmtId="2" fontId="8" fillId="3" borderId="2" xfId="1" applyNumberFormat="1" applyFont="1" applyFill="1" applyBorder="1"/>
    <xf numFmtId="2" fontId="8" fillId="3" borderId="3" xfId="1" applyNumberFormat="1" applyFont="1" applyFill="1" applyBorder="1"/>
    <xf numFmtId="2" fontId="1" fillId="3" borderId="10" xfId="0" applyNumberFormat="1" applyFont="1" applyFill="1" applyBorder="1"/>
    <xf numFmtId="2" fontId="1" fillId="3" borderId="11" xfId="0" applyNumberFormat="1" applyFont="1" applyFill="1" applyBorder="1"/>
    <xf numFmtId="2" fontId="8" fillId="3" borderId="0" xfId="1" applyNumberFormat="1" applyFont="1" applyFill="1" applyBorder="1" applyAlignment="1">
      <alignment vertical="center"/>
    </xf>
    <xf numFmtId="169" fontId="8" fillId="0" borderId="0" xfId="0" applyNumberFormat="1" applyFont="1"/>
    <xf numFmtId="0" fontId="8" fillId="0" borderId="0" xfId="3" applyFont="1" applyFill="1" applyBorder="1" applyAlignment="1">
      <alignment vertical="center"/>
    </xf>
    <xf numFmtId="0" fontId="14" fillId="3" borderId="0" xfId="2" applyFont="1" applyFill="1"/>
    <xf numFmtId="169" fontId="8" fillId="3" borderId="0" xfId="1" applyNumberFormat="1" applyFont="1" applyFill="1"/>
    <xf numFmtId="10" fontId="8" fillId="3" borderId="0" xfId="1" applyNumberFormat="1" applyFont="1" applyFill="1"/>
    <xf numFmtId="10" fontId="8" fillId="3" borderId="0" xfId="1" applyNumberFormat="1" applyFont="1" applyFill="1" applyBorder="1" applyAlignment="1">
      <alignment vertical="center"/>
    </xf>
    <xf numFmtId="169" fontId="8" fillId="3" borderId="0" xfId="1" applyNumberFormat="1" applyFont="1" applyFill="1" applyBorder="1" applyAlignment="1">
      <alignment vertical="center"/>
    </xf>
    <xf numFmtId="0" fontId="8" fillId="30" borderId="0" xfId="0" applyFont="1" applyFill="1"/>
    <xf numFmtId="168" fontId="8" fillId="30" borderId="0" xfId="0" applyNumberFormat="1" applyFont="1" applyFill="1" applyBorder="1"/>
    <xf numFmtId="164" fontId="8" fillId="30" borderId="0" xfId="0" applyNumberFormat="1" applyFont="1" applyFill="1" applyBorder="1"/>
    <xf numFmtId="0" fontId="15" fillId="30" borderId="0" xfId="3" applyFill="1" applyAlignment="1">
      <alignment vertical="center"/>
    </xf>
    <xf numFmtId="0" fontId="8" fillId="30" borderId="0" xfId="0" applyNumberFormat="1" applyFont="1" applyFill="1" applyBorder="1"/>
    <xf numFmtId="164" fontId="8" fillId="30" borderId="0" xfId="1" applyNumberFormat="1" applyFont="1" applyFill="1" applyBorder="1"/>
    <xf numFmtId="0" fontId="15" fillId="30" borderId="0" xfId="3" applyNumberFormat="1" applyFill="1" applyBorder="1"/>
    <xf numFmtId="0" fontId="8" fillId="30" borderId="0" xfId="0" applyFont="1" applyFill="1" applyAlignment="1">
      <alignment vertical="center"/>
    </xf>
    <xf numFmtId="168" fontId="8" fillId="30" borderId="0" xfId="0" applyNumberFormat="1" applyFont="1" applyFill="1" applyBorder="1" applyAlignment="1">
      <alignment vertical="center"/>
    </xf>
    <xf numFmtId="164" fontId="8" fillId="30" borderId="0" xfId="0" applyNumberFormat="1" applyFont="1" applyFill="1" applyBorder="1" applyAlignment="1">
      <alignment vertical="center"/>
    </xf>
    <xf numFmtId="0" fontId="8" fillId="0" borderId="0" xfId="0" applyFont="1" applyFill="1" applyBorder="1" applyAlignment="1">
      <alignment vertical="top" wrapText="1"/>
    </xf>
    <xf numFmtId="0" fontId="0" fillId="0" borderId="0" xfId="0" applyAlignment="1">
      <alignment vertical="top" wrapText="1"/>
    </xf>
    <xf numFmtId="0" fontId="8" fillId="0" borderId="0" xfId="0" applyFont="1" applyFill="1" applyBorder="1" applyAlignment="1">
      <alignment wrapText="1"/>
    </xf>
    <xf numFmtId="0" fontId="0" fillId="0" borderId="0" xfId="0" applyAlignment="1">
      <alignment wrapText="1"/>
    </xf>
  </cellXfs>
  <cellStyles count="5">
    <cellStyle name="Hypertextový odkaz" xfId="3" builtinId="8"/>
    <cellStyle name="Normální" xfId="0" builtinId="0"/>
    <cellStyle name="Normální 2" xfId="4"/>
    <cellStyle name="Procenta" xfId="1" builtinId="5"/>
    <cellStyle name="Standard 2" xfId="2"/>
  </cellStyles>
  <dxfs count="4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externalLink" Target="externalLinks/externalLink10.xml"/><Relationship Id="rId50" Type="http://schemas.openxmlformats.org/officeDocument/2006/relationships/externalLink" Target="externalLinks/externalLink13.xml"/><Relationship Id="rId55" Type="http://schemas.openxmlformats.org/officeDocument/2006/relationships/externalLink" Target="externalLinks/externalLink1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externalLink" Target="externalLinks/externalLink9.xml"/><Relationship Id="rId59"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4.xml"/><Relationship Id="rId54"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53" Type="http://schemas.openxmlformats.org/officeDocument/2006/relationships/externalLink" Target="externalLinks/externalLink16.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2.xml"/><Relationship Id="rId57"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externalLink" Target="externalLinks/externalLink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externalLink" Target="externalLinks/externalLink11.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14.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labor/decarb_data/E_CZ_decarb_skill_level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erny/Documents/Work/Models/IMPACTECH/data/intermediate_data/CZ_decarbplus_opex.csv"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erny/Documents/Work/Models/IMPACTECH/data/intermediate_data/CZ_decarb_opex.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erny/Documents/Work/Models/IMPACTECH/Data/GFCF/Installed%20capacity/IRENA_renewable_power_generation_costs_in_20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cenarios_projections/decarb_technologies/ff55_mix-cp_energy-transport-ghg_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cenarios_projections/decarb_technologies/EU_Reference_Scenario_20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Cerny/Documents/Work/Models/IMPACTECH/Data/GFCF/ENTSO-E%20Installed%20Capacity%202015-2019.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Cerny/Documents/Work/Models/IMPACTECH/Data/GFCF/Installed%20capacity/IRENA_renewable_power_generation_costs_in_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rny/Documents/Work/Models/IMPACTECH/Data/GFCF/ENTSO-E%20Open%20Power%20System%20Data%20-%20National%20Generation%20Capacity%20Stacked%202011-201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Cerny/Documents/Work/Models/IMPACTECH/Data/GFCF/Eurostat_nrg_inf_epc.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Cerny/Documents/Work/Models/IMPACTECH/Data/GFCF/Eurostat_nrg_inf_epcrw.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Cerny/Documents/Work/Models/IMPACTECH/Data/GFCF/Eurostat_nrg_bal_peh.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Cerny/Documents/Work/Models/IMPACTECH/Data/GFCF/Eurostat_nrg_ind_pehnf.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Cerny/Documents/Work/Models/IMPACTECH/Data/Scenarios/Scenarios.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Cerny/Documents/Work/Models/IMPACTECH/data/intermediate_data/xdecarb_CZ.csv"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Cerny/Documents/Work/Projects/2018-2021%20TA&#268;R%20Th&#233;ta%20IMPACTECH/WP6%20Model%20a%20web/Model/Data/x2015el_repl.csv"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Cerny/Documents/Work/Models/IMPACTECH/data/intermediate_data/x2015fuel_CZ.csv"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Cerny/Documents/Work/Models/IMPACTECH/data/intermediate_data/EU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_CZ_decarb_skill_levels"/>
    </sheetNames>
    <sheetDataSet>
      <sheetData sheetId="0">
        <row r="19">
          <cell r="B19">
            <v>9.7228419835442975E-2</v>
          </cell>
          <cell r="C19">
            <v>8.1894997652730173E-2</v>
          </cell>
          <cell r="D19">
            <v>9.1800824508186496E-2</v>
          </cell>
          <cell r="E19">
            <v>8.5156849634922899E-2</v>
          </cell>
          <cell r="F19">
            <v>8.5255766478338352E-2</v>
          </cell>
          <cell r="G19">
            <v>7.1444896744121439E-2</v>
          </cell>
          <cell r="H19">
            <v>7.0378476630005918E-2</v>
          </cell>
          <cell r="I19">
            <v>8.9167348881513661E-2</v>
          </cell>
          <cell r="J19">
            <v>0.09</v>
          </cell>
        </row>
        <row r="20">
          <cell r="B20">
            <v>0.66397122040264245</v>
          </cell>
          <cell r="C20">
            <v>0.64979428738858624</v>
          </cell>
          <cell r="D20">
            <v>0.64214729931908776</v>
          </cell>
          <cell r="E20">
            <v>0.66203663021583026</v>
          </cell>
          <cell r="F20">
            <v>0.66294638773796033</v>
          </cell>
          <cell r="G20">
            <v>0.66705185240477416</v>
          </cell>
          <cell r="H20">
            <v>0.6593529015745806</v>
          </cell>
          <cell r="I20">
            <v>0.67314107087999508</v>
          </cell>
          <cell r="J20">
            <v>0.65</v>
          </cell>
        </row>
        <row r="21">
          <cell r="B21">
            <v>0.23880035976191449</v>
          </cell>
          <cell r="C21">
            <v>0.26831071495868364</v>
          </cell>
          <cell r="D21">
            <v>0.26605187617272585</v>
          </cell>
          <cell r="E21">
            <v>0.25280652014924676</v>
          </cell>
          <cell r="F21">
            <v>0.25179784578370118</v>
          </cell>
          <cell r="G21">
            <v>0.26150325085110454</v>
          </cell>
          <cell r="H21">
            <v>0.27026862179541344</v>
          </cell>
          <cell r="I21">
            <v>0.23769158023849124</v>
          </cell>
          <cell r="J21">
            <v>0.26</v>
          </cell>
        </row>
        <row r="23">
          <cell r="B23">
            <v>7.0000000000000007E-2</v>
          </cell>
          <cell r="C23">
            <v>7.0000000000000007E-2</v>
          </cell>
          <cell r="D23">
            <v>7.0000000000000007E-2</v>
          </cell>
          <cell r="E23">
            <v>7.0000000000000007E-2</v>
          </cell>
          <cell r="F23">
            <v>7.0000000000000007E-2</v>
          </cell>
          <cell r="G23">
            <v>0.05</v>
          </cell>
          <cell r="H23">
            <v>0.05</v>
          </cell>
          <cell r="I23">
            <v>7.0000000000000007E-2</v>
          </cell>
          <cell r="J23">
            <v>7.0000000000000007E-2</v>
          </cell>
        </row>
        <row r="24">
          <cell r="B24">
            <v>0.63</v>
          </cell>
          <cell r="C24">
            <v>0.63</v>
          </cell>
          <cell r="D24">
            <v>0.63</v>
          </cell>
          <cell r="E24">
            <v>0.63</v>
          </cell>
          <cell r="F24">
            <v>0.63</v>
          </cell>
          <cell r="G24">
            <v>0.65</v>
          </cell>
          <cell r="H24">
            <v>0.65</v>
          </cell>
          <cell r="I24">
            <v>0.63</v>
          </cell>
          <cell r="J24">
            <v>0.63</v>
          </cell>
        </row>
        <row r="25">
          <cell r="B25">
            <v>0.3</v>
          </cell>
          <cell r="C25">
            <v>0.3</v>
          </cell>
          <cell r="D25">
            <v>0.3</v>
          </cell>
          <cell r="E25">
            <v>0.3</v>
          </cell>
          <cell r="F25">
            <v>0.3</v>
          </cell>
          <cell r="G25">
            <v>0.3</v>
          </cell>
          <cell r="H25">
            <v>0.3</v>
          </cell>
          <cell r="I25">
            <v>0.3</v>
          </cell>
          <cell r="J25">
            <v>0.3</v>
          </cell>
        </row>
        <row r="27">
          <cell r="B27">
            <v>0.05</v>
          </cell>
          <cell r="C27">
            <v>0.05</v>
          </cell>
          <cell r="D27">
            <v>0.05</v>
          </cell>
          <cell r="E27">
            <v>0.05</v>
          </cell>
          <cell r="F27">
            <v>0.05</v>
          </cell>
          <cell r="G27">
            <v>0.05</v>
          </cell>
          <cell r="H27">
            <v>0.05</v>
          </cell>
          <cell r="I27">
            <v>7.0000000000000007E-2</v>
          </cell>
          <cell r="J27">
            <v>0.06</v>
          </cell>
        </row>
        <row r="28">
          <cell r="B28">
            <v>0.56999999999999995</v>
          </cell>
          <cell r="C28">
            <v>0.56999999999999995</v>
          </cell>
          <cell r="D28">
            <v>0.56999999999999995</v>
          </cell>
          <cell r="E28">
            <v>0.56999999999999995</v>
          </cell>
          <cell r="F28">
            <v>0.56999999999999995</v>
          </cell>
          <cell r="G28">
            <v>0.56999999999999995</v>
          </cell>
          <cell r="H28">
            <v>0.56999999999999995</v>
          </cell>
          <cell r="I28">
            <v>0.57999999999999996</v>
          </cell>
          <cell r="J28">
            <v>0.56000000000000005</v>
          </cell>
        </row>
        <row r="29">
          <cell r="B29">
            <v>0.38</v>
          </cell>
          <cell r="C29">
            <v>0.38</v>
          </cell>
          <cell r="D29">
            <v>0.38</v>
          </cell>
          <cell r="E29">
            <v>0.38</v>
          </cell>
          <cell r="F29">
            <v>0.38</v>
          </cell>
          <cell r="G29">
            <v>0.38</v>
          </cell>
          <cell r="I29">
            <v>0.35</v>
          </cell>
          <cell r="J29">
            <v>0.38</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Z_decarbplus_opex"/>
    </sheetNames>
    <sheetDataSet>
      <sheetData sheetId="0">
        <row r="2">
          <cell r="B2">
            <v>4.7099999999999998E-6</v>
          </cell>
          <cell r="C2">
            <v>5.4500000000000003E-6</v>
          </cell>
          <cell r="D2">
            <v>2.41E-5</v>
          </cell>
          <cell r="E2">
            <v>1.19E-6</v>
          </cell>
          <cell r="F2">
            <v>1.35E-6</v>
          </cell>
          <cell r="G2">
            <v>3.3900000000000002E-6</v>
          </cell>
          <cell r="H2">
            <v>1.7001830000000001E-3</v>
          </cell>
          <cell r="I2">
            <v>1.27E-5</v>
          </cell>
          <cell r="J2">
            <v>4.1969700000000002E-4</v>
          </cell>
          <cell r="K2">
            <v>4.0421899999999999E-4</v>
          </cell>
          <cell r="L2">
            <v>1.052297E-3</v>
          </cell>
          <cell r="M2">
            <v>1.0026785E-2</v>
          </cell>
          <cell r="N2">
            <v>1.4309069999999999E-3</v>
          </cell>
          <cell r="O2">
            <v>2.7500000000000001E-5</v>
          </cell>
          <cell r="P2">
            <v>1.24E-5</v>
          </cell>
          <cell r="Q2">
            <v>2.3599999999999999E-6</v>
          </cell>
          <cell r="R2">
            <v>3.0900000000000001E-6</v>
          </cell>
          <cell r="S2">
            <v>2.5299999999999999E-6</v>
          </cell>
          <cell r="T2">
            <v>4.1699999999999999E-6</v>
          </cell>
          <cell r="U2">
            <v>2.7700000000000002E-6</v>
          </cell>
          <cell r="V2">
            <v>1.13E-5</v>
          </cell>
          <cell r="W2">
            <v>9.7300000000000004E-7</v>
          </cell>
          <cell r="X2">
            <v>1.0100000000000001E-6</v>
          </cell>
          <cell r="Y2">
            <v>7.1799999999999999E-6</v>
          </cell>
          <cell r="Z2">
            <v>5.0300000000000003E-5</v>
          </cell>
          <cell r="AA2">
            <v>6.3399999999999996E-5</v>
          </cell>
          <cell r="AB2">
            <v>1.95E-6</v>
          </cell>
          <cell r="AC2">
            <v>8.4399999999999999E-7</v>
          </cell>
          <cell r="AD2">
            <v>2.83E-6</v>
          </cell>
          <cell r="AE2">
            <v>5.4899999999999995E-7</v>
          </cell>
          <cell r="AF2">
            <v>3.4300000000000002E-6</v>
          </cell>
          <cell r="AG2">
            <v>5.3600000000000004E-6</v>
          </cell>
          <cell r="AH2">
            <v>1.2699999999999999E-6</v>
          </cell>
          <cell r="AI2">
            <v>0</v>
          </cell>
          <cell r="AJ2">
            <v>9.8599999999999996E-7</v>
          </cell>
          <cell r="AK2">
            <v>5.8899999999999999E-7</v>
          </cell>
          <cell r="AL2">
            <v>1.3400000000000001E-6</v>
          </cell>
          <cell r="AM2">
            <v>1.3200000000000001E-6</v>
          </cell>
          <cell r="AN2">
            <v>9.0100000000000003E-7</v>
          </cell>
          <cell r="AO2">
            <v>0</v>
          </cell>
          <cell r="AP2">
            <v>5.9000000000000003E-6</v>
          </cell>
          <cell r="AQ2">
            <v>0</v>
          </cell>
          <cell r="AR2">
            <v>5.5400000000000001E-7</v>
          </cell>
          <cell r="AS2">
            <v>4.15E-7</v>
          </cell>
          <cell r="AT2">
            <v>7.7899999999999997E-7</v>
          </cell>
          <cell r="AU2">
            <v>2.5800000000000001E-7</v>
          </cell>
          <cell r="AV2">
            <v>1.29E-5</v>
          </cell>
          <cell r="AW2">
            <v>6.5000000000000002E-7</v>
          </cell>
          <cell r="AX2">
            <v>3.3899999999999997E-5</v>
          </cell>
          <cell r="AY2">
            <v>6.92E-7</v>
          </cell>
          <cell r="AZ2">
            <v>1.48E-6</v>
          </cell>
          <cell r="BA2">
            <v>2.8524300000000002E-4</v>
          </cell>
          <cell r="BB2">
            <v>0</v>
          </cell>
          <cell r="BC2">
            <v>4.5399999999999997E-6</v>
          </cell>
          <cell r="BD2">
            <v>1.5099999999999999E-6</v>
          </cell>
          <cell r="BE2">
            <v>1.02E-6</v>
          </cell>
          <cell r="BF2">
            <v>7.9100000000000003E-7</v>
          </cell>
          <cell r="BG2">
            <v>2.3900000000000002E-5</v>
          </cell>
          <cell r="BH2">
            <v>1.1988400000000001E-4</v>
          </cell>
          <cell r="BI2">
            <v>1.48E-6</v>
          </cell>
          <cell r="BJ2">
            <v>1.9800000000000001E-6</v>
          </cell>
        </row>
        <row r="3">
          <cell r="B3">
            <v>4.5700000000000003E-6</v>
          </cell>
          <cell r="C3">
            <v>6.7900000000000002E-6</v>
          </cell>
          <cell r="D3">
            <v>2.3300000000000001E-5</v>
          </cell>
          <cell r="E3">
            <v>6.6400000000000002E-7</v>
          </cell>
          <cell r="F3">
            <v>6.75E-7</v>
          </cell>
          <cell r="G3">
            <v>3.6200000000000001E-6</v>
          </cell>
          <cell r="H3">
            <v>1.8099999999999999E-5</v>
          </cell>
          <cell r="I3">
            <v>2.0700000000000001E-6</v>
          </cell>
          <cell r="J3">
            <v>3.0303534999999999E-2</v>
          </cell>
          <cell r="K3">
            <v>3.5543452000000003E-2</v>
          </cell>
          <cell r="L3">
            <v>3.2944673000000001E-2</v>
          </cell>
          <cell r="M3">
            <v>1.2748373E-2</v>
          </cell>
          <cell r="N3">
            <v>2.451342E-3</v>
          </cell>
          <cell r="O3">
            <v>9.9500000000000006E-5</v>
          </cell>
          <cell r="P3">
            <v>1.8499999999999999E-5</v>
          </cell>
          <cell r="Q3">
            <v>2.8799999999999999E-5</v>
          </cell>
          <cell r="R3">
            <v>2.6299999999999999E-5</v>
          </cell>
          <cell r="S3">
            <v>4.7099999999999998E-6</v>
          </cell>
          <cell r="T3">
            <v>4.9400000000000001E-6</v>
          </cell>
          <cell r="U3">
            <v>2.9500000000000001E-6</v>
          </cell>
          <cell r="V3">
            <v>5.2800000000000003E-6</v>
          </cell>
          <cell r="W3">
            <v>8.6400000000000001E-7</v>
          </cell>
          <cell r="X3">
            <v>4.2872899999999998E-4</v>
          </cell>
          <cell r="Y3">
            <v>3.7000000000000002E-6</v>
          </cell>
          <cell r="Z3">
            <v>5.3668919999999998E-3</v>
          </cell>
          <cell r="AA3">
            <v>4.5390669999999999E-3</v>
          </cell>
          <cell r="AB3">
            <v>1.6099999999999998E-5</v>
          </cell>
          <cell r="AC3">
            <v>1.1800000000000001E-5</v>
          </cell>
          <cell r="AD3">
            <v>4.6399999999999996E-6</v>
          </cell>
          <cell r="AE3">
            <v>3.1700000000000001E-6</v>
          </cell>
          <cell r="AF3">
            <v>5.4999999999999999E-6</v>
          </cell>
          <cell r="AG3">
            <v>1.1199999999999999E-5</v>
          </cell>
          <cell r="AH3">
            <v>3.0800000000000002E-6</v>
          </cell>
          <cell r="AI3">
            <v>0</v>
          </cell>
          <cell r="AJ3">
            <v>5.5799999999999999E-6</v>
          </cell>
          <cell r="AK3">
            <v>4.7199999999999997E-6</v>
          </cell>
          <cell r="AL3">
            <v>1.5E-6</v>
          </cell>
          <cell r="AM3">
            <v>5.3499999999999996E-7</v>
          </cell>
          <cell r="AN3">
            <v>1.5600000000000001E-6</v>
          </cell>
          <cell r="AO3">
            <v>0</v>
          </cell>
          <cell r="AP3">
            <v>2.7199999999999998E-6</v>
          </cell>
          <cell r="AQ3">
            <v>0</v>
          </cell>
          <cell r="AR3">
            <v>1.22E-6</v>
          </cell>
          <cell r="AS3">
            <v>1.2100000000000001E-6</v>
          </cell>
          <cell r="AT3">
            <v>2.3800000000000001E-6</v>
          </cell>
          <cell r="AU3">
            <v>3.7400000000000002E-6</v>
          </cell>
          <cell r="AV3">
            <v>4.3699999999999997E-6</v>
          </cell>
          <cell r="AW3">
            <v>1.66E-6</v>
          </cell>
          <cell r="AX3">
            <v>1.4399999999999999E-5</v>
          </cell>
          <cell r="AY3">
            <v>2.4499999999999998E-6</v>
          </cell>
          <cell r="AZ3">
            <v>1.24249E-4</v>
          </cell>
          <cell r="BA3">
            <v>7.7799999999999994E-5</v>
          </cell>
          <cell r="BB3">
            <v>0</v>
          </cell>
          <cell r="BC3">
            <v>1.0000000000000001E-5</v>
          </cell>
          <cell r="BD3">
            <v>3.14E-6</v>
          </cell>
          <cell r="BE3">
            <v>3.2399999999999999E-6</v>
          </cell>
          <cell r="BF3">
            <v>2.04E-6</v>
          </cell>
          <cell r="BG3">
            <v>3.8999999999999999E-5</v>
          </cell>
          <cell r="BH3">
            <v>3.3800000000000002E-5</v>
          </cell>
          <cell r="BI3">
            <v>2.3099999999999999E-6</v>
          </cell>
          <cell r="BJ3">
            <v>3.0299999999999998E-6</v>
          </cell>
        </row>
        <row r="4">
          <cell r="B4">
            <v>5.6400000000000002E-6</v>
          </cell>
          <cell r="C4">
            <v>5.4299999999999997E-6</v>
          </cell>
          <cell r="D4">
            <v>1.4800000000000001E-5</v>
          </cell>
          <cell r="E4">
            <v>1.0899999999999999E-6</v>
          </cell>
          <cell r="F4">
            <v>1.22E-6</v>
          </cell>
          <cell r="G4">
            <v>4.7199999999999997E-6</v>
          </cell>
          <cell r="H4">
            <v>1.5800000000000001E-5</v>
          </cell>
          <cell r="I4">
            <v>2.7800000000000001E-6</v>
          </cell>
          <cell r="J4">
            <v>4.4177942999999997E-2</v>
          </cell>
          <cell r="K4">
            <v>5.2844980999999999E-2</v>
          </cell>
          <cell r="L4">
            <v>5.5589567999999999E-2</v>
          </cell>
          <cell r="M4">
            <v>9.8015359999999996E-3</v>
          </cell>
          <cell r="N4">
            <v>1.7074950000000001E-3</v>
          </cell>
          <cell r="O4">
            <v>1.21818E-4</v>
          </cell>
          <cell r="P4">
            <v>3.3599999999999997E-5</v>
          </cell>
          <cell r="Q4">
            <v>2.4300000000000001E-5</v>
          </cell>
          <cell r="R4">
            <v>2.34E-5</v>
          </cell>
          <cell r="S4">
            <v>1.0699999999999999E-5</v>
          </cell>
          <cell r="T4">
            <v>1.3200000000000001E-5</v>
          </cell>
          <cell r="U4">
            <v>3.2200000000000001E-6</v>
          </cell>
          <cell r="V4">
            <v>3.3500000000000001E-6</v>
          </cell>
          <cell r="W4">
            <v>1.7099999999999999E-6</v>
          </cell>
          <cell r="X4">
            <v>1.8328299999999999E-4</v>
          </cell>
          <cell r="Y4">
            <v>1.03E-5</v>
          </cell>
          <cell r="Z4">
            <v>3.8017530000000002E-3</v>
          </cell>
          <cell r="AA4">
            <v>3.569301E-3</v>
          </cell>
          <cell r="AB4">
            <v>5.9800000000000003E-6</v>
          </cell>
          <cell r="AC4">
            <v>4.0799999999999999E-6</v>
          </cell>
          <cell r="AD4">
            <v>4.16E-6</v>
          </cell>
          <cell r="AE4">
            <v>2.17E-6</v>
          </cell>
          <cell r="AF4">
            <v>5.1599999999999997E-6</v>
          </cell>
          <cell r="AG4">
            <v>7.8900000000000007E-6</v>
          </cell>
          <cell r="AH4">
            <v>2.8700000000000001E-6</v>
          </cell>
          <cell r="AI4">
            <v>0</v>
          </cell>
          <cell r="AJ4">
            <v>3.23E-6</v>
          </cell>
          <cell r="AK4">
            <v>2.6199999999999999E-6</v>
          </cell>
          <cell r="AL4">
            <v>1.8700000000000001E-6</v>
          </cell>
          <cell r="AM4">
            <v>1.5999999999999999E-6</v>
          </cell>
          <cell r="AN4">
            <v>1.79E-6</v>
          </cell>
          <cell r="AO4">
            <v>0</v>
          </cell>
          <cell r="AP4">
            <v>5.7899999999999996E-6</v>
          </cell>
          <cell r="AQ4">
            <v>0</v>
          </cell>
          <cell r="AR4">
            <v>1.4899999999999999E-6</v>
          </cell>
          <cell r="AS4">
            <v>8.6099999999999999E-7</v>
          </cell>
          <cell r="AT4">
            <v>2.6299999999999998E-6</v>
          </cell>
          <cell r="AU4">
            <v>3.2600000000000001E-6</v>
          </cell>
          <cell r="AV4">
            <v>3.9500000000000003E-6</v>
          </cell>
          <cell r="AW4">
            <v>1.6899999999999999E-6</v>
          </cell>
          <cell r="AX4">
            <v>8.0600000000000008E-6</v>
          </cell>
          <cell r="AY4">
            <v>2.0600000000000002E-6</v>
          </cell>
          <cell r="AZ4">
            <v>5.6400000000000002E-5</v>
          </cell>
          <cell r="BA4">
            <v>4.6499999999999999E-5</v>
          </cell>
          <cell r="BB4">
            <v>0</v>
          </cell>
          <cell r="BC4">
            <v>9.8500000000000006E-6</v>
          </cell>
          <cell r="BD4">
            <v>4.7500000000000003E-6</v>
          </cell>
          <cell r="BE4">
            <v>4.7999999999999998E-6</v>
          </cell>
          <cell r="BF4">
            <v>2.9799999999999998E-6</v>
          </cell>
          <cell r="BG4">
            <v>2.9200000000000002E-5</v>
          </cell>
          <cell r="BH4">
            <v>2.1399999999999998E-5</v>
          </cell>
          <cell r="BI4">
            <v>4.0199999999999996E-6</v>
          </cell>
          <cell r="BJ4">
            <v>2.8100000000000002E-6</v>
          </cell>
        </row>
        <row r="5">
          <cell r="B5">
            <v>2.3799999999999999E-5</v>
          </cell>
          <cell r="C5">
            <v>3.9799999999999998E-5</v>
          </cell>
          <cell r="D5">
            <v>1.05468E-4</v>
          </cell>
          <cell r="E5">
            <v>3.8999999999999999E-6</v>
          </cell>
          <cell r="F5">
            <v>3.19E-6</v>
          </cell>
          <cell r="G5">
            <v>2.37E-5</v>
          </cell>
          <cell r="H5">
            <v>3.1600000000000002E-5</v>
          </cell>
          <cell r="I5">
            <v>7.1600000000000001E-6</v>
          </cell>
          <cell r="J5">
            <v>4.8133914E-2</v>
          </cell>
          <cell r="K5">
            <v>4.5783371000000003E-2</v>
          </cell>
          <cell r="L5">
            <v>3.9651406E-2</v>
          </cell>
          <cell r="M5">
            <v>2.917003E-3</v>
          </cell>
          <cell r="N5">
            <v>4.58932E-4</v>
          </cell>
          <cell r="O5">
            <v>2.2037900000000001E-4</v>
          </cell>
          <cell r="P5">
            <v>5.52E-5</v>
          </cell>
          <cell r="Q5">
            <v>1.9400000000000001E-5</v>
          </cell>
          <cell r="R5">
            <v>2.55E-5</v>
          </cell>
          <cell r="S5">
            <v>5.0099999999999998E-5</v>
          </cell>
          <cell r="T5">
            <v>8.5000000000000006E-5</v>
          </cell>
          <cell r="U5">
            <v>1.73E-5</v>
          </cell>
          <cell r="V5">
            <v>1.33E-5</v>
          </cell>
          <cell r="W5">
            <v>6.7499999999999997E-6</v>
          </cell>
          <cell r="X5">
            <v>4.3512999999999999E-4</v>
          </cell>
          <cell r="Y5">
            <v>3.0700000000000001E-5</v>
          </cell>
          <cell r="Z5">
            <v>1.492461E-3</v>
          </cell>
          <cell r="AA5">
            <v>1.382805E-3</v>
          </cell>
          <cell r="AB5">
            <v>5.2099999999999999E-5</v>
          </cell>
          <cell r="AC5">
            <v>4.1699999999999997E-5</v>
          </cell>
          <cell r="AD5">
            <v>1.52E-5</v>
          </cell>
          <cell r="AE5">
            <v>2.58E-5</v>
          </cell>
          <cell r="AF5">
            <v>3.26E-5</v>
          </cell>
          <cell r="AG5">
            <v>2.9799999999999999E-5</v>
          </cell>
          <cell r="AH5">
            <v>3.3899999999999997E-5</v>
          </cell>
          <cell r="AI5">
            <v>0</v>
          </cell>
          <cell r="AJ5">
            <v>3.4600000000000001E-5</v>
          </cell>
          <cell r="AK5">
            <v>2.4000000000000001E-5</v>
          </cell>
          <cell r="AL5">
            <v>2.6699999999999998E-5</v>
          </cell>
          <cell r="AM5">
            <v>1.1600000000000001E-5</v>
          </cell>
          <cell r="AN5">
            <v>2.41E-5</v>
          </cell>
          <cell r="AO5">
            <v>0</v>
          </cell>
          <cell r="AP5">
            <v>2.1399999999999998E-5</v>
          </cell>
          <cell r="AQ5">
            <v>0</v>
          </cell>
          <cell r="AR5">
            <v>1.01E-5</v>
          </cell>
          <cell r="AS5">
            <v>1.3200000000000001E-5</v>
          </cell>
          <cell r="AT5">
            <v>1.31E-5</v>
          </cell>
          <cell r="AU5">
            <v>1.2300000000000001E-5</v>
          </cell>
          <cell r="AV5">
            <v>1.34E-5</v>
          </cell>
          <cell r="AW5">
            <v>3.0899999999999999E-5</v>
          </cell>
          <cell r="AX5">
            <v>3.6300000000000001E-5</v>
          </cell>
          <cell r="AY5">
            <v>1.2999999999999999E-5</v>
          </cell>
          <cell r="AZ5">
            <v>1.83454E-4</v>
          </cell>
          <cell r="BA5">
            <v>1.6259E-4</v>
          </cell>
          <cell r="BB5">
            <v>0</v>
          </cell>
          <cell r="BC5">
            <v>6.9499999999999995E-5</v>
          </cell>
          <cell r="BD5">
            <v>2.5700000000000001E-5</v>
          </cell>
          <cell r="BE5">
            <v>2.3499999999999999E-5</v>
          </cell>
          <cell r="BF5">
            <v>1.63E-5</v>
          </cell>
          <cell r="BG5">
            <v>6.7700000000000006E-5</v>
          </cell>
          <cell r="BH5">
            <v>6.1600000000000007E-5</v>
          </cell>
          <cell r="BI5">
            <v>1.17E-5</v>
          </cell>
          <cell r="BJ5">
            <v>5.02E-5</v>
          </cell>
        </row>
        <row r="6">
          <cell r="B6">
            <v>5.3900000000000001E-6</v>
          </cell>
          <cell r="C6">
            <v>6.6000000000000003E-6</v>
          </cell>
          <cell r="D6">
            <v>2.2799999999999999E-5</v>
          </cell>
          <cell r="E6">
            <v>7.2900000000000003E-7</v>
          </cell>
          <cell r="F6">
            <v>8.7167596999999999E-2</v>
          </cell>
          <cell r="G6">
            <v>5.5999999999999997E-6</v>
          </cell>
          <cell r="H6">
            <v>5.8999999999999998E-5</v>
          </cell>
          <cell r="I6">
            <v>1.37E-6</v>
          </cell>
          <cell r="J6">
            <v>4.2637011000000002E-2</v>
          </cell>
          <cell r="K6">
            <v>1.3523300000000001E-4</v>
          </cell>
          <cell r="L6">
            <v>4.7779838999999998E-2</v>
          </cell>
          <cell r="M6">
            <v>5.2529499999999995E-4</v>
          </cell>
          <cell r="N6">
            <v>8.2000000000000001E-5</v>
          </cell>
          <cell r="O6">
            <v>1.1746700000000001E-4</v>
          </cell>
          <cell r="P6">
            <v>1.52E-5</v>
          </cell>
          <cell r="Q6">
            <v>1.1800000000000001E-5</v>
          </cell>
          <cell r="R6">
            <v>7.3799999999999996E-6</v>
          </cell>
          <cell r="S6">
            <v>1.6500000000000001E-5</v>
          </cell>
          <cell r="T6">
            <v>1.42E-5</v>
          </cell>
          <cell r="U6">
            <v>5.5799999999999999E-6</v>
          </cell>
          <cell r="V6">
            <v>7.9400000000000002E-6</v>
          </cell>
          <cell r="W6">
            <v>1.4699999999999999E-6</v>
          </cell>
          <cell r="X6">
            <v>6.0136100000000002E-4</v>
          </cell>
          <cell r="Y6">
            <v>6.9299999999999997E-6</v>
          </cell>
          <cell r="Z6">
            <v>5.6725090000000001E-3</v>
          </cell>
          <cell r="AA6">
            <v>3.9565829999999996E-3</v>
          </cell>
          <cell r="AB6">
            <v>9.1400000000000006E-6</v>
          </cell>
          <cell r="AC6">
            <v>1.1000000000000001E-6</v>
          </cell>
          <cell r="AD6">
            <v>1.55E-6</v>
          </cell>
          <cell r="AE6">
            <v>1.7E-6</v>
          </cell>
          <cell r="AF6">
            <v>2.08E-6</v>
          </cell>
          <cell r="AG6">
            <v>1.9800000000000001E-6</v>
          </cell>
          <cell r="AH6">
            <v>3.5599999999999998E-6</v>
          </cell>
          <cell r="AI6">
            <v>0</v>
          </cell>
          <cell r="AJ6">
            <v>3.9500000000000003E-6</v>
          </cell>
          <cell r="AK6">
            <v>3.1300000000000001E-6</v>
          </cell>
          <cell r="AL6">
            <v>2.1299999999999999E-6</v>
          </cell>
          <cell r="AM6">
            <v>1.1400000000000001E-6</v>
          </cell>
          <cell r="AN6">
            <v>2.1399999999999998E-6</v>
          </cell>
          <cell r="AO6">
            <v>0</v>
          </cell>
          <cell r="AP6">
            <v>4.1899999999999997E-6</v>
          </cell>
          <cell r="AQ6">
            <v>0</v>
          </cell>
          <cell r="AR6">
            <v>2.0999999999999998E-6</v>
          </cell>
          <cell r="AS6">
            <v>8.78E-7</v>
          </cell>
          <cell r="AT6">
            <v>2.6800000000000002E-6</v>
          </cell>
          <cell r="AU6">
            <v>3.6899999999999998E-6</v>
          </cell>
          <cell r="AV6">
            <v>2.0800000000000001E-5</v>
          </cell>
          <cell r="AW6">
            <v>7.7000000000000008E-6</v>
          </cell>
          <cell r="AX6">
            <v>5.3300000000000001E-5</v>
          </cell>
          <cell r="AY6">
            <v>2.7300000000000001E-6</v>
          </cell>
          <cell r="AZ6">
            <v>1.9512800000000001E-4</v>
          </cell>
          <cell r="BA6">
            <v>4.3272699999999999E-4</v>
          </cell>
          <cell r="BB6">
            <v>0</v>
          </cell>
          <cell r="BC6">
            <v>5.7699999999999998E-6</v>
          </cell>
          <cell r="BD6">
            <v>3.36E-6</v>
          </cell>
          <cell r="BE6">
            <v>3.2799999999999999E-6</v>
          </cell>
          <cell r="BF6">
            <v>2.5500000000000001E-6</v>
          </cell>
          <cell r="BG6">
            <v>6.4500000000000001E-6</v>
          </cell>
          <cell r="BH6">
            <v>1.8190799999999999E-4</v>
          </cell>
          <cell r="BI6">
            <v>3.2899999999999998E-6</v>
          </cell>
          <cell r="BJ6">
            <v>3.3799999999999998E-6</v>
          </cell>
        </row>
        <row r="7">
          <cell r="B7">
            <v>2.6100000000000001E-5</v>
          </cell>
          <cell r="C7">
            <v>9.6900000000000004E-6</v>
          </cell>
          <cell r="D7">
            <v>2.05E-5</v>
          </cell>
          <cell r="E7">
            <v>8.8000000000000004E-7</v>
          </cell>
          <cell r="F7">
            <v>1.06E-6</v>
          </cell>
          <cell r="G7">
            <v>9.7599999999999997E-6</v>
          </cell>
          <cell r="H7">
            <v>4.9499999999999997E-5</v>
          </cell>
          <cell r="I7">
            <v>0.459987743</v>
          </cell>
          <cell r="J7">
            <v>5.4299999999999998E-5</v>
          </cell>
          <cell r="K7">
            <v>3.6999999999999998E-5</v>
          </cell>
          <cell r="L7">
            <v>1.059606E-3</v>
          </cell>
          <cell r="M7">
            <v>6.02E-5</v>
          </cell>
          <cell r="N7">
            <v>1.3699999999999999E-5</v>
          </cell>
          <cell r="O7">
            <v>3.3899999999999997E-5</v>
          </cell>
          <cell r="P7">
            <v>3.5200000000000002E-6</v>
          </cell>
          <cell r="Q7">
            <v>5.7899999999999996E-6</v>
          </cell>
          <cell r="R7">
            <v>5.6099999999999997E-6</v>
          </cell>
          <cell r="S7">
            <v>1.19E-5</v>
          </cell>
          <cell r="T7">
            <v>1.326303E-3</v>
          </cell>
          <cell r="U7">
            <v>1.42473E-4</v>
          </cell>
          <cell r="V7">
            <v>5.2100000000000001E-6</v>
          </cell>
          <cell r="W7">
            <v>9.3600000000000002E-7</v>
          </cell>
          <cell r="X7">
            <v>1.4023599999999999E-4</v>
          </cell>
          <cell r="Y7">
            <v>4.6199999999999998E-6</v>
          </cell>
          <cell r="Z7">
            <v>1.1459E-4</v>
          </cell>
          <cell r="AA7">
            <v>8.3399999999999994E-5</v>
          </cell>
          <cell r="AB7">
            <v>1.03E-5</v>
          </cell>
          <cell r="AC7">
            <v>5.6899999999999997E-6</v>
          </cell>
          <cell r="AD7">
            <v>3.0400000000000001E-6</v>
          </cell>
          <cell r="AE7">
            <v>2.96E-6</v>
          </cell>
          <cell r="AF7">
            <v>3.2600000000000001E-6</v>
          </cell>
          <cell r="AG7">
            <v>3.6500000000000002E-6</v>
          </cell>
          <cell r="AH7">
            <v>2.7999999999999999E-6</v>
          </cell>
          <cell r="AI7">
            <v>0</v>
          </cell>
          <cell r="AJ7">
            <v>3.98E-6</v>
          </cell>
          <cell r="AK7">
            <v>3.1700000000000001E-6</v>
          </cell>
          <cell r="AL7">
            <v>1.3599999999999999E-6</v>
          </cell>
          <cell r="AM7">
            <v>6.61E-7</v>
          </cell>
          <cell r="AN7">
            <v>1.61E-6</v>
          </cell>
          <cell r="AO7">
            <v>0</v>
          </cell>
          <cell r="AP7">
            <v>3.5599999999999998E-6</v>
          </cell>
          <cell r="AQ7">
            <v>0</v>
          </cell>
          <cell r="AR7">
            <v>1.7099999999999999E-6</v>
          </cell>
          <cell r="AS7">
            <v>2.65E-6</v>
          </cell>
          <cell r="AT7">
            <v>4.1200000000000004E-6</v>
          </cell>
          <cell r="AU7">
            <v>1.4699999999999999E-6</v>
          </cell>
          <cell r="AV7">
            <v>3.7799999999999997E-5</v>
          </cell>
          <cell r="AW7">
            <v>4.8600000000000002E-5</v>
          </cell>
          <cell r="AX7">
            <v>9.8800000000000003E-5</v>
          </cell>
          <cell r="AY7">
            <v>2.4600000000000002E-6</v>
          </cell>
          <cell r="AZ7">
            <v>5.8699999999999997E-5</v>
          </cell>
          <cell r="BA7">
            <v>8.1945900000000003E-4</v>
          </cell>
          <cell r="BB7">
            <v>0</v>
          </cell>
          <cell r="BC7">
            <v>3.9700000000000001E-6</v>
          </cell>
          <cell r="BD7">
            <v>2.3199999999999998E-6</v>
          </cell>
          <cell r="BE7">
            <v>2.1299999999999999E-6</v>
          </cell>
          <cell r="BF7">
            <v>1.73E-6</v>
          </cell>
          <cell r="BG7">
            <v>4.8999999999999997E-6</v>
          </cell>
          <cell r="BH7">
            <v>3.49332E-4</v>
          </cell>
          <cell r="BI7">
            <v>1.63E-5</v>
          </cell>
          <cell r="BJ7">
            <v>4.34E-6</v>
          </cell>
        </row>
        <row r="8">
          <cell r="B8">
            <v>8.6700000000000002E-7</v>
          </cell>
          <cell r="C8">
            <v>1.53E-6</v>
          </cell>
          <cell r="D8">
            <v>7.0099999999999998E-6</v>
          </cell>
          <cell r="E8">
            <v>4.3799999999999998E-7</v>
          </cell>
          <cell r="F8">
            <v>6.9299999999999997E-6</v>
          </cell>
          <cell r="G8">
            <v>9.1200000000000001E-7</v>
          </cell>
          <cell r="H8">
            <v>8.2400000000000007E-6</v>
          </cell>
          <cell r="I8">
            <v>2.62E-8</v>
          </cell>
          <cell r="J8">
            <v>1.5061E-4</v>
          </cell>
          <cell r="K8">
            <v>5.2499999999999997E-6</v>
          </cell>
          <cell r="L8">
            <v>2.5597E-4</v>
          </cell>
          <cell r="M8">
            <v>8.7100000000000003E-5</v>
          </cell>
          <cell r="N8">
            <v>7.2260900000000003E-4</v>
          </cell>
          <cell r="O8">
            <v>2.6900000000000001E-6</v>
          </cell>
          <cell r="P8">
            <v>2.1E-7</v>
          </cell>
          <cell r="Q8">
            <v>4.2800000000000002E-7</v>
          </cell>
          <cell r="R8">
            <v>3.1699999999999999E-7</v>
          </cell>
          <cell r="S8">
            <v>2.1299999999999999E-7</v>
          </cell>
          <cell r="T8">
            <v>2.5699999999999999E-7</v>
          </cell>
          <cell r="U8">
            <v>2.3900000000000001E-7</v>
          </cell>
          <cell r="V8">
            <v>9.3299999999999995E-8</v>
          </cell>
          <cell r="W8">
            <v>2.1500000000000001E-8</v>
          </cell>
          <cell r="X8">
            <v>7.0500000000000003E-8</v>
          </cell>
          <cell r="Y8">
            <v>1.4000000000000001E-7</v>
          </cell>
          <cell r="Z8">
            <v>1.1800000000000001E-5</v>
          </cell>
          <cell r="AA8">
            <v>1.15E-5</v>
          </cell>
          <cell r="AB8">
            <v>9.1100000000000004E-7</v>
          </cell>
          <cell r="AC8">
            <v>3.3599999999999999E-7</v>
          </cell>
          <cell r="AD8">
            <v>5.4899999999999995E-7</v>
          </cell>
          <cell r="AE8">
            <v>1.2700000000000001E-7</v>
          </cell>
          <cell r="AF8">
            <v>5.3300000000000002E-7</v>
          </cell>
          <cell r="AG8">
            <v>1.33E-6</v>
          </cell>
          <cell r="AH8">
            <v>1.3899999999999999E-7</v>
          </cell>
          <cell r="AI8">
            <v>0</v>
          </cell>
          <cell r="AJ8">
            <v>2.11E-7</v>
          </cell>
          <cell r="AK8">
            <v>1.8199999999999999E-7</v>
          </cell>
          <cell r="AL8">
            <v>1.89E-8</v>
          </cell>
          <cell r="AM8">
            <v>1.59E-8</v>
          </cell>
          <cell r="AN8">
            <v>5.2299999999999998E-8</v>
          </cell>
          <cell r="AO8">
            <v>0</v>
          </cell>
          <cell r="AP8">
            <v>1.61E-7</v>
          </cell>
          <cell r="AQ8">
            <v>0</v>
          </cell>
          <cell r="AR8">
            <v>9.1300000000000004E-8</v>
          </cell>
          <cell r="AS8">
            <v>4.14E-8</v>
          </cell>
          <cell r="AT8">
            <v>1.1600000000000001E-7</v>
          </cell>
          <cell r="AU8">
            <v>1.24E-7</v>
          </cell>
          <cell r="AV8">
            <v>9.2699999999999998E-7</v>
          </cell>
          <cell r="AW8">
            <v>9.7800000000000002E-8</v>
          </cell>
          <cell r="AX8">
            <v>2.6400000000000001E-6</v>
          </cell>
          <cell r="AY8">
            <v>9.2399999999999994E-8</v>
          </cell>
          <cell r="AZ8">
            <v>3.0499999999999999E-7</v>
          </cell>
          <cell r="BA8">
            <v>2.0299999999999999E-5</v>
          </cell>
          <cell r="BB8">
            <v>0</v>
          </cell>
          <cell r="BC8">
            <v>7.8600000000000002E-8</v>
          </cell>
          <cell r="BD8">
            <v>5.39E-8</v>
          </cell>
          <cell r="BE8">
            <v>6.1700000000000003E-8</v>
          </cell>
          <cell r="BF8">
            <v>5.4200000000000002E-8</v>
          </cell>
          <cell r="BG8">
            <v>4.2800000000000002E-7</v>
          </cell>
          <cell r="BH8">
            <v>8.5199999999999997E-6</v>
          </cell>
          <cell r="BI8">
            <v>2.9900000000000002E-7</v>
          </cell>
          <cell r="BJ8">
            <v>4.6700000000000001E-8</v>
          </cell>
        </row>
        <row r="9">
          <cell r="B9">
            <v>1.7099999999999999E-5</v>
          </cell>
          <cell r="C9">
            <v>2.19E-5</v>
          </cell>
          <cell r="D9">
            <v>5.02E-5</v>
          </cell>
          <cell r="E9">
            <v>5.48E-6</v>
          </cell>
          <cell r="F9">
            <v>1.5500000000000001E-5</v>
          </cell>
          <cell r="G9">
            <v>2.2399999999999999E-5</v>
          </cell>
          <cell r="H9">
            <v>5.41E-5</v>
          </cell>
          <cell r="I9">
            <v>1.6799999999999998E-5</v>
          </cell>
          <cell r="J9">
            <v>3.4660429999999998E-3</v>
          </cell>
          <cell r="K9">
            <v>3.5306619999999999E-3</v>
          </cell>
          <cell r="L9">
            <v>5.7242170000000002E-3</v>
          </cell>
          <cell r="M9">
            <v>7.9365669999999999E-2</v>
          </cell>
          <cell r="N9">
            <v>1.2195546E-2</v>
          </cell>
          <cell r="O9">
            <v>1.9171100000000001E-4</v>
          </cell>
          <cell r="P9">
            <v>1.2836299999999999E-4</v>
          </cell>
          <cell r="Q9">
            <v>8.53E-5</v>
          </cell>
          <cell r="R9">
            <v>3.3699999999999999E-5</v>
          </cell>
          <cell r="S9">
            <v>4.6900000000000002E-5</v>
          </cell>
          <cell r="T9">
            <v>2.7800000000000001E-5</v>
          </cell>
          <cell r="U9">
            <v>2.3200000000000001E-5</v>
          </cell>
          <cell r="V9">
            <v>1.9599999999999999E-5</v>
          </cell>
          <cell r="W9">
            <v>1.6399999999999999E-5</v>
          </cell>
          <cell r="X9">
            <v>1.6399999999999999E-5</v>
          </cell>
          <cell r="Y9">
            <v>5.91E-5</v>
          </cell>
          <cell r="Z9">
            <v>1.5848500000000001E-4</v>
          </cell>
          <cell r="AA9">
            <v>3.86785E-4</v>
          </cell>
          <cell r="AB9">
            <v>1.8700000000000001E-5</v>
          </cell>
          <cell r="AC9">
            <v>2.0800000000000001E-5</v>
          </cell>
          <cell r="AD9">
            <v>3.3300000000000003E-5</v>
          </cell>
          <cell r="AE9">
            <v>1.4800000000000001E-5</v>
          </cell>
          <cell r="AF9">
            <v>3.7599999999999999E-5</v>
          </cell>
          <cell r="AG9">
            <v>5.8600000000000001E-5</v>
          </cell>
          <cell r="AH9">
            <v>2.6999999999999999E-5</v>
          </cell>
          <cell r="AI9">
            <v>0</v>
          </cell>
          <cell r="AJ9">
            <v>2.1399999999999998E-5</v>
          </cell>
          <cell r="AK9">
            <v>1.6799999999999998E-5</v>
          </cell>
          <cell r="AL9">
            <v>1.2799999999999999E-5</v>
          </cell>
          <cell r="AM9">
            <v>9.9499999999999996E-6</v>
          </cell>
          <cell r="AN9">
            <v>1.8700000000000001E-5</v>
          </cell>
          <cell r="AO9">
            <v>0</v>
          </cell>
          <cell r="AP9">
            <v>5.3999999999999998E-5</v>
          </cell>
          <cell r="AQ9">
            <v>0</v>
          </cell>
          <cell r="AR9">
            <v>1.5800000000000001E-5</v>
          </cell>
          <cell r="AS9">
            <v>1.5099999999999999E-5</v>
          </cell>
          <cell r="AT9">
            <v>1.5500000000000001E-5</v>
          </cell>
          <cell r="AU9">
            <v>1.66E-5</v>
          </cell>
          <cell r="AV9">
            <v>1.22E-5</v>
          </cell>
          <cell r="AW9">
            <v>1.5400000000000002E-5</v>
          </cell>
          <cell r="AX9">
            <v>2.2399999999999999E-5</v>
          </cell>
          <cell r="AY9">
            <v>9.9000000000000001E-6</v>
          </cell>
          <cell r="AZ9">
            <v>9.8700000000000004E-6</v>
          </cell>
          <cell r="BA9">
            <v>3.7499999999999997E-5</v>
          </cell>
          <cell r="BB9">
            <v>0</v>
          </cell>
          <cell r="BC9">
            <v>4.88E-5</v>
          </cell>
          <cell r="BD9">
            <v>1.6900000000000001E-5</v>
          </cell>
          <cell r="BE9">
            <v>1.3699999999999999E-5</v>
          </cell>
          <cell r="BF9">
            <v>7.1500000000000002E-6</v>
          </cell>
          <cell r="BG9">
            <v>2.0667E-4</v>
          </cell>
          <cell r="BH9">
            <v>2.0299999999999999E-5</v>
          </cell>
          <cell r="BI9">
            <v>4.18E-5</v>
          </cell>
          <cell r="BJ9">
            <v>1.22E-5</v>
          </cell>
        </row>
        <row r="10">
          <cell r="B10">
            <v>0.30680001499999998</v>
          </cell>
          <cell r="C10">
            <v>1.8700000000000001E-5</v>
          </cell>
          <cell r="D10">
            <v>4.57E-5</v>
          </cell>
          <cell r="E10">
            <v>5.804877E-3</v>
          </cell>
          <cell r="F10">
            <v>1.1999999999999999E-6</v>
          </cell>
          <cell r="G10">
            <v>1.7759949000000001E-2</v>
          </cell>
          <cell r="H10">
            <v>2.5000000000000001E-5</v>
          </cell>
          <cell r="I10">
            <v>1.22E-6</v>
          </cell>
          <cell r="J10">
            <v>1.3591231E-2</v>
          </cell>
          <cell r="K10">
            <v>5.4345499999999998E-4</v>
          </cell>
          <cell r="L10">
            <v>1.8597507999999999E-2</v>
          </cell>
          <cell r="M10">
            <v>1.381712E-3</v>
          </cell>
          <cell r="N10">
            <v>2.0892799999999999E-4</v>
          </cell>
          <cell r="O10">
            <v>8.1899999999999999E-5</v>
          </cell>
          <cell r="P10">
            <v>6.3488709999999999E-3</v>
          </cell>
          <cell r="Q10">
            <v>1.15E-5</v>
          </cell>
          <cell r="R10">
            <v>9.38E-6</v>
          </cell>
          <cell r="S10">
            <v>1.08E-5</v>
          </cell>
          <cell r="T10">
            <v>1.2E-5</v>
          </cell>
          <cell r="U10">
            <v>5.0699999999999997E-6</v>
          </cell>
          <cell r="V10">
            <v>1.3900000000000001E-5</v>
          </cell>
          <cell r="W10">
            <v>2.2400000000000002E-6</v>
          </cell>
          <cell r="X10">
            <v>3.6814600000000002E-4</v>
          </cell>
          <cell r="Y10">
            <v>6.4699999999999999E-6</v>
          </cell>
          <cell r="Z10">
            <v>3.8999999999999999E-5</v>
          </cell>
          <cell r="AA10">
            <v>4.2500000000000003E-5</v>
          </cell>
          <cell r="AB10">
            <v>7.5700000000000004E-6</v>
          </cell>
          <cell r="AC10">
            <v>2.76E-5</v>
          </cell>
          <cell r="AD10">
            <v>6.6000000000000003E-6</v>
          </cell>
          <cell r="AE10">
            <v>1.01E-5</v>
          </cell>
          <cell r="AF10">
            <v>1.26E-5</v>
          </cell>
          <cell r="AG10">
            <v>1.15E-5</v>
          </cell>
          <cell r="AH10">
            <v>3.9500000000000003E-6</v>
          </cell>
          <cell r="AI10">
            <v>0</v>
          </cell>
          <cell r="AJ10">
            <v>4.8099999999999997E-6</v>
          </cell>
          <cell r="AK10">
            <v>4.3000000000000003E-6</v>
          </cell>
          <cell r="AL10">
            <v>2.1500000000000002E-6</v>
          </cell>
          <cell r="AM10">
            <v>1.0499999999999999E-6</v>
          </cell>
          <cell r="AN10">
            <v>2.3199999999999998E-6</v>
          </cell>
          <cell r="AO10">
            <v>0</v>
          </cell>
          <cell r="AP10">
            <v>4.0600000000000001E-6</v>
          </cell>
          <cell r="AQ10">
            <v>0</v>
          </cell>
          <cell r="AR10">
            <v>3.2600000000000001E-6</v>
          </cell>
          <cell r="AS10">
            <v>4.3599999999999998E-6</v>
          </cell>
          <cell r="AT10">
            <v>4.5199999999999999E-6</v>
          </cell>
          <cell r="AU10">
            <v>3.0599999999999999E-6</v>
          </cell>
          <cell r="AV10">
            <v>1.1800000000000001E-5</v>
          </cell>
          <cell r="AW10">
            <v>3.0199999999999999E-6</v>
          </cell>
          <cell r="AX10">
            <v>2.62E-5</v>
          </cell>
          <cell r="AY10">
            <v>4.6199999999999998E-6</v>
          </cell>
          <cell r="AZ10">
            <v>1.2291599999999999E-4</v>
          </cell>
          <cell r="BA10">
            <v>1.9084399999999999E-4</v>
          </cell>
          <cell r="BB10">
            <v>0</v>
          </cell>
          <cell r="BC10">
            <v>5.8599999999999998E-6</v>
          </cell>
          <cell r="BD10">
            <v>3.5999999999999998E-6</v>
          </cell>
          <cell r="BE10">
            <v>3.5700000000000001E-6</v>
          </cell>
          <cell r="BF10">
            <v>2.3E-6</v>
          </cell>
          <cell r="BG10">
            <v>7.9000000000000006E-6</v>
          </cell>
          <cell r="BH10">
            <v>8.2899999999999996E-5</v>
          </cell>
          <cell r="BI10">
            <v>4.4299999999999999E-6</v>
          </cell>
          <cell r="BJ10">
            <v>3.3400000000000002E-6</v>
          </cell>
        </row>
        <row r="11">
          <cell r="B11">
            <v>1.8199999999999999E-5</v>
          </cell>
          <cell r="C11">
            <v>0.49671729399999998</v>
          </cell>
          <cell r="D11">
            <v>3.54E-5</v>
          </cell>
          <cell r="E11">
            <v>9.2122600000000003E-4</v>
          </cell>
          <cell r="F11">
            <v>2.83E-6</v>
          </cell>
          <cell r="G11">
            <v>1.31E-5</v>
          </cell>
          <cell r="H11">
            <v>1.0700399999999999E-4</v>
          </cell>
          <cell r="I11">
            <v>5.2599999999999996E-6</v>
          </cell>
          <cell r="J11">
            <v>1.2561263E-2</v>
          </cell>
          <cell r="K11">
            <v>1.03669E-4</v>
          </cell>
          <cell r="L11">
            <v>1.7294224E-2</v>
          </cell>
          <cell r="M11">
            <v>2.0646140000000002E-3</v>
          </cell>
          <cell r="N11">
            <v>3.0454599999999999E-4</v>
          </cell>
          <cell r="O11">
            <v>8.9699999999999998E-5</v>
          </cell>
          <cell r="P11">
            <v>8.0866200000000003E-4</v>
          </cell>
          <cell r="Q11">
            <v>1.84E-5</v>
          </cell>
          <cell r="R11">
            <v>1.88E-5</v>
          </cell>
          <cell r="S11">
            <v>3.3300000000000003E-5</v>
          </cell>
          <cell r="T11">
            <v>7.8899999999999993E-5</v>
          </cell>
          <cell r="U11">
            <v>3.8500000000000001E-5</v>
          </cell>
          <cell r="V11">
            <v>4.5300000000000003E-5</v>
          </cell>
          <cell r="W11">
            <v>9.5999999999999996E-6</v>
          </cell>
          <cell r="X11">
            <v>1.2495760000000001E-3</v>
          </cell>
          <cell r="Y11">
            <v>1.4800000000000001E-5</v>
          </cell>
          <cell r="Z11">
            <v>1.15443E-4</v>
          </cell>
          <cell r="AA11">
            <v>2.8099999999999999E-5</v>
          </cell>
          <cell r="AB11">
            <v>5.3700000000000003E-6</v>
          </cell>
          <cell r="AC11">
            <v>1.9476500000000001E-4</v>
          </cell>
          <cell r="AD11">
            <v>3.4600000000000001E-5</v>
          </cell>
          <cell r="AE11">
            <v>7.5900000000000002E-5</v>
          </cell>
          <cell r="AF11">
            <v>8.6000000000000003E-5</v>
          </cell>
          <cell r="AG11">
            <v>7.4400000000000006E-5</v>
          </cell>
          <cell r="AH11">
            <v>2.5299999999999998E-5</v>
          </cell>
          <cell r="AI11">
            <v>0</v>
          </cell>
          <cell r="AJ11">
            <v>2.55E-5</v>
          </cell>
          <cell r="AK11">
            <v>1.91E-5</v>
          </cell>
          <cell r="AL11">
            <v>2.0299999999999999E-5</v>
          </cell>
          <cell r="AM11">
            <v>7.2300000000000002E-6</v>
          </cell>
          <cell r="AN11">
            <v>1.9300000000000002E-5</v>
          </cell>
          <cell r="AO11">
            <v>0</v>
          </cell>
          <cell r="AP11">
            <v>8.7800000000000006E-6</v>
          </cell>
          <cell r="AQ11">
            <v>0</v>
          </cell>
          <cell r="AR11">
            <v>1.15E-5</v>
          </cell>
          <cell r="AS11">
            <v>1.6500000000000001E-5</v>
          </cell>
          <cell r="AT11">
            <v>1.3699999999999999E-5</v>
          </cell>
          <cell r="AU11">
            <v>7.6699999999999994E-6</v>
          </cell>
          <cell r="AV11">
            <v>1.1199999999999999E-5</v>
          </cell>
          <cell r="AW11">
            <v>1.45E-5</v>
          </cell>
          <cell r="AX11">
            <v>1.04E-5</v>
          </cell>
          <cell r="AY11">
            <v>1.5699999999999999E-5</v>
          </cell>
          <cell r="AZ11">
            <v>1.50815E-4</v>
          </cell>
          <cell r="BA11">
            <v>9.4499999999999993E-6</v>
          </cell>
          <cell r="BB11">
            <v>0</v>
          </cell>
          <cell r="BC11">
            <v>5.0699999999999999E-5</v>
          </cell>
          <cell r="BD11">
            <v>1.45E-5</v>
          </cell>
          <cell r="BE11">
            <v>9.6800000000000005E-6</v>
          </cell>
          <cell r="BF11">
            <v>9.0599999999999997E-6</v>
          </cell>
          <cell r="BG11">
            <v>2.51E-5</v>
          </cell>
          <cell r="BH11">
            <v>2.2099999999999998E-5</v>
          </cell>
          <cell r="BI11">
            <v>1.19E-5</v>
          </cell>
          <cell r="BJ11">
            <v>4.0500000000000002E-5</v>
          </cell>
        </row>
        <row r="12">
          <cell r="B12">
            <v>1.38E-5</v>
          </cell>
          <cell r="C12">
            <v>3.2700000000000002E-5</v>
          </cell>
          <cell r="D12">
            <v>0.16682038900000001</v>
          </cell>
          <cell r="E12">
            <v>3.9579539999999996E-3</v>
          </cell>
          <cell r="F12">
            <v>1.4699999999999999E-6</v>
          </cell>
          <cell r="G12">
            <v>1.6699999999999999E-5</v>
          </cell>
          <cell r="H12">
            <v>2.3200000000000001E-5</v>
          </cell>
          <cell r="I12">
            <v>1.15E-6</v>
          </cell>
          <cell r="J12">
            <v>2.5642205000000001E-2</v>
          </cell>
          <cell r="K12">
            <v>3.1608682999999999E-2</v>
          </cell>
          <cell r="L12">
            <v>3.2791763000000002E-2</v>
          </cell>
          <cell r="M12">
            <v>5.38416E-4</v>
          </cell>
          <cell r="N12">
            <v>1.05945E-4</v>
          </cell>
          <cell r="O12">
            <v>1.14275E-4</v>
          </cell>
          <cell r="P12">
            <v>5.1980400000000001E-4</v>
          </cell>
          <cell r="Q12">
            <v>2.7699999999999999E-5</v>
          </cell>
          <cell r="R12">
            <v>2.6400000000000001E-5</v>
          </cell>
          <cell r="S12">
            <v>1.7200000000000001E-5</v>
          </cell>
          <cell r="T12">
            <v>1.3200000000000001E-5</v>
          </cell>
          <cell r="U12">
            <v>8.2600000000000005E-6</v>
          </cell>
          <cell r="V12">
            <v>7.8299999999999996E-6</v>
          </cell>
          <cell r="W12">
            <v>2.7300000000000001E-6</v>
          </cell>
          <cell r="X12">
            <v>4.72404E-4</v>
          </cell>
          <cell r="Y12">
            <v>1.0000000000000001E-5</v>
          </cell>
          <cell r="Z12">
            <v>2.9200000000000002E-5</v>
          </cell>
          <cell r="AA12">
            <v>1.1750400000000001E-4</v>
          </cell>
          <cell r="AB12">
            <v>3.0599999999999998E-5</v>
          </cell>
          <cell r="AC12">
            <v>3.2199999999999997E-5</v>
          </cell>
          <cell r="AD12">
            <v>7.6399999999999997E-6</v>
          </cell>
          <cell r="AE12">
            <v>1.2500000000000001E-5</v>
          </cell>
          <cell r="AF12">
            <v>1.49E-5</v>
          </cell>
          <cell r="AG12">
            <v>1.33E-5</v>
          </cell>
          <cell r="AH12">
            <v>1.2E-5</v>
          </cell>
          <cell r="AI12">
            <v>0</v>
          </cell>
          <cell r="AJ12">
            <v>1.4600000000000001E-5</v>
          </cell>
          <cell r="AK12">
            <v>1.29E-5</v>
          </cell>
          <cell r="AL12">
            <v>4.1200000000000004E-6</v>
          </cell>
          <cell r="AM12">
            <v>1.6199999999999999E-6</v>
          </cell>
          <cell r="AN12">
            <v>5.8200000000000002E-6</v>
          </cell>
          <cell r="AO12">
            <v>0</v>
          </cell>
          <cell r="AP12">
            <v>1.01E-5</v>
          </cell>
          <cell r="AQ12">
            <v>0</v>
          </cell>
          <cell r="AR12">
            <v>8.4300000000000006E-6</v>
          </cell>
          <cell r="AS12">
            <v>5.75E-6</v>
          </cell>
          <cell r="AT12">
            <v>6.8399999999999997E-6</v>
          </cell>
          <cell r="AU12">
            <v>4.5600000000000004E-6</v>
          </cell>
          <cell r="AV12">
            <v>3.3500000000000001E-6</v>
          </cell>
          <cell r="AW12">
            <v>1.8700000000000001E-6</v>
          </cell>
          <cell r="AX12">
            <v>1.1399999999999999E-5</v>
          </cell>
          <cell r="AY12">
            <v>7.8199999999999997E-6</v>
          </cell>
          <cell r="AZ12">
            <v>1.7311E-4</v>
          </cell>
          <cell r="BA12">
            <v>3.8399999999999997E-6</v>
          </cell>
          <cell r="BB12">
            <v>0</v>
          </cell>
          <cell r="BC12">
            <v>7.8699999999999992E-6</v>
          </cell>
          <cell r="BD12">
            <v>3.8999999999999999E-6</v>
          </cell>
          <cell r="BE12">
            <v>3.7100000000000001E-6</v>
          </cell>
          <cell r="BF12">
            <v>3.6200000000000001E-6</v>
          </cell>
          <cell r="BG12">
            <v>1.3200000000000001E-5</v>
          </cell>
          <cell r="BH12">
            <v>4.16E-6</v>
          </cell>
          <cell r="BI12">
            <v>4.7899999999999999E-6</v>
          </cell>
          <cell r="BJ12">
            <v>5.8900000000000004E-6</v>
          </cell>
        </row>
        <row r="13">
          <cell r="B13">
            <v>1.2251440000000001E-3</v>
          </cell>
          <cell r="C13">
            <v>2.7980253E-2</v>
          </cell>
          <cell r="D13">
            <v>2.3871470000000001E-3</v>
          </cell>
          <cell r="E13">
            <v>1.1947401E-2</v>
          </cell>
          <cell r="F13">
            <v>1.8300000000000001E-5</v>
          </cell>
          <cell r="G13">
            <v>9.8180360000000005E-3</v>
          </cell>
          <cell r="H13">
            <v>3.03166E-4</v>
          </cell>
          <cell r="I13">
            <v>3.6300000000000001E-5</v>
          </cell>
          <cell r="J13">
            <v>4.9153620000000004E-3</v>
          </cell>
          <cell r="K13">
            <v>8.4320399999999996E-4</v>
          </cell>
          <cell r="L13">
            <v>5.9541300000000002E-3</v>
          </cell>
          <cell r="M13">
            <v>6.1522699999999998E-4</v>
          </cell>
          <cell r="N13">
            <v>3.00921E-4</v>
          </cell>
          <cell r="O13">
            <v>2.24415E-4</v>
          </cell>
          <cell r="P13">
            <v>2.76741E-4</v>
          </cell>
          <cell r="Q13">
            <v>1.0256599999999999E-4</v>
          </cell>
          <cell r="R13">
            <v>1.13539E-4</v>
          </cell>
          <cell r="S13">
            <v>2.7725500000000001E-4</v>
          </cell>
          <cell r="T13">
            <v>5.1504399999999998E-4</v>
          </cell>
          <cell r="U13">
            <v>1.2682500000000001E-4</v>
          </cell>
          <cell r="V13">
            <v>1.44516E-4</v>
          </cell>
          <cell r="W13">
            <v>4.49E-5</v>
          </cell>
          <cell r="X13">
            <v>7.4085199999999996E-4</v>
          </cell>
          <cell r="Y13">
            <v>1.6386600000000001E-4</v>
          </cell>
          <cell r="Z13">
            <v>4.0793900000000001E-4</v>
          </cell>
          <cell r="AA13">
            <v>2.0705499999999999E-4</v>
          </cell>
          <cell r="AB13">
            <v>7.4099999999999999E-5</v>
          </cell>
          <cell r="AC13">
            <v>4.1174499999999998E-4</v>
          </cell>
          <cell r="AD13">
            <v>1.02434E-4</v>
          </cell>
          <cell r="AE13">
            <v>2.9339900000000001E-4</v>
          </cell>
          <cell r="AF13">
            <v>1.9161199999999999E-4</v>
          </cell>
          <cell r="AG13">
            <v>2.1703200000000001E-4</v>
          </cell>
          <cell r="AH13">
            <v>2.82532E-4</v>
          </cell>
          <cell r="AI13">
            <v>0</v>
          </cell>
          <cell r="AJ13">
            <v>2.5874699999999998E-4</v>
          </cell>
          <cell r="AK13">
            <v>1.98736E-4</v>
          </cell>
          <cell r="AL13">
            <v>1.85947E-4</v>
          </cell>
          <cell r="AM13">
            <v>4.5300000000000003E-5</v>
          </cell>
          <cell r="AN13">
            <v>3.4925400000000001E-4</v>
          </cell>
          <cell r="AO13">
            <v>0</v>
          </cell>
          <cell r="AP13">
            <v>1.2864699999999999E-4</v>
          </cell>
          <cell r="AQ13">
            <v>0</v>
          </cell>
          <cell r="AR13">
            <v>1.3606299999999999E-4</v>
          </cell>
          <cell r="AS13">
            <v>9.2399999999999996E-5</v>
          </cell>
          <cell r="AT13">
            <v>1.16876E-4</v>
          </cell>
          <cell r="AU13">
            <v>1.27529E-4</v>
          </cell>
          <cell r="AV13">
            <v>1.08952E-4</v>
          </cell>
          <cell r="AW13">
            <v>1.3937500000000001E-4</v>
          </cell>
          <cell r="AX13">
            <v>1.08554E-4</v>
          </cell>
          <cell r="AY13">
            <v>9.8200000000000002E-5</v>
          </cell>
          <cell r="AZ13">
            <v>1.1018099999999999E-4</v>
          </cell>
          <cell r="BA13">
            <v>1.6132399999999999E-4</v>
          </cell>
          <cell r="BB13">
            <v>0</v>
          </cell>
          <cell r="BC13">
            <v>4.6096199999999998E-4</v>
          </cell>
          <cell r="BD13">
            <v>1.36976E-4</v>
          </cell>
          <cell r="BE13">
            <v>9.1299999999999997E-5</v>
          </cell>
          <cell r="BF13">
            <v>8.6799999999999996E-5</v>
          </cell>
          <cell r="BG13">
            <v>2.1528500000000001E-4</v>
          </cell>
          <cell r="BH13">
            <v>1.6216399999999999E-4</v>
          </cell>
          <cell r="BI13">
            <v>9.6700000000000006E-5</v>
          </cell>
          <cell r="BJ13">
            <v>2.9287600000000002E-4</v>
          </cell>
        </row>
        <row r="14">
          <cell r="B14">
            <v>3.1496999999999997E-4</v>
          </cell>
          <cell r="C14">
            <v>6.5200850000000001E-3</v>
          </cell>
          <cell r="D14">
            <v>4.9657E-4</v>
          </cell>
          <cell r="E14">
            <v>1.37396E-3</v>
          </cell>
          <cell r="F14">
            <v>8.4800000000000001E-6</v>
          </cell>
          <cell r="G14">
            <v>2.2704359999999998E-3</v>
          </cell>
          <cell r="H14">
            <v>5.5500000000000001E-5</v>
          </cell>
          <cell r="I14">
            <v>1.9000000000000001E-5</v>
          </cell>
          <cell r="J14">
            <v>7.6957600000000001E-4</v>
          </cell>
          <cell r="K14">
            <v>2.2602899999999999E-4</v>
          </cell>
          <cell r="L14">
            <v>9.4909200000000001E-4</v>
          </cell>
          <cell r="M14">
            <v>4.1100000000000003E-5</v>
          </cell>
          <cell r="N14">
            <v>1.9599999999999999E-5</v>
          </cell>
          <cell r="O14">
            <v>3.29E-5</v>
          </cell>
          <cell r="P14">
            <v>6.5500000000000006E-5</v>
          </cell>
          <cell r="Q14">
            <v>1.6200000000000001E-5</v>
          </cell>
          <cell r="R14">
            <v>3.65E-5</v>
          </cell>
          <cell r="S14">
            <v>1.8600000000000001E-5</v>
          </cell>
          <cell r="T14">
            <v>2.26E-5</v>
          </cell>
          <cell r="U14">
            <v>1.33E-5</v>
          </cell>
          <cell r="V14">
            <v>2.0100000000000001E-5</v>
          </cell>
          <cell r="W14">
            <v>1.8E-5</v>
          </cell>
          <cell r="X14">
            <v>8.1000000000000004E-6</v>
          </cell>
          <cell r="Y14">
            <v>5.7000000000000003E-5</v>
          </cell>
          <cell r="Z14">
            <v>1.6099999999999998E-5</v>
          </cell>
          <cell r="AA14">
            <v>3.0199999999999999E-5</v>
          </cell>
          <cell r="AB14">
            <v>2.16E-5</v>
          </cell>
          <cell r="AC14">
            <v>1.17E-5</v>
          </cell>
          <cell r="AD14">
            <v>2.4000000000000001E-5</v>
          </cell>
          <cell r="AE14">
            <v>1.43E-5</v>
          </cell>
          <cell r="AF14">
            <v>3.0499999999999999E-5</v>
          </cell>
          <cell r="AG14">
            <v>1.7099999999999999E-5</v>
          </cell>
          <cell r="AH14">
            <v>2.9899999999999998E-5</v>
          </cell>
          <cell r="AI14">
            <v>0</v>
          </cell>
          <cell r="AJ14">
            <v>2.3600000000000001E-5</v>
          </cell>
          <cell r="AK14">
            <v>1.98E-5</v>
          </cell>
          <cell r="AL14">
            <v>1.1600000000000001E-5</v>
          </cell>
          <cell r="AM14">
            <v>1.11E-5</v>
          </cell>
          <cell r="AN14">
            <v>1.8099999999999999E-5</v>
          </cell>
          <cell r="AO14">
            <v>0</v>
          </cell>
          <cell r="AP14">
            <v>5.9599999999999999E-5</v>
          </cell>
          <cell r="AQ14">
            <v>0</v>
          </cell>
          <cell r="AR14">
            <v>1.8600000000000001E-5</v>
          </cell>
          <cell r="AS14">
            <v>1.47E-5</v>
          </cell>
          <cell r="AT14">
            <v>1.5699999999999999E-5</v>
          </cell>
          <cell r="AU14">
            <v>1.1600000000000001E-5</v>
          </cell>
          <cell r="AV14">
            <v>9.1900000000000001E-6</v>
          </cell>
          <cell r="AW14">
            <v>1.24E-5</v>
          </cell>
          <cell r="AX14">
            <v>2.37E-5</v>
          </cell>
          <cell r="AY14">
            <v>1.03E-5</v>
          </cell>
          <cell r="AZ14">
            <v>1.0499999999999999E-5</v>
          </cell>
          <cell r="BA14">
            <v>2.5000000000000001E-5</v>
          </cell>
          <cell r="BB14">
            <v>0</v>
          </cell>
          <cell r="BC14">
            <v>1.26E-5</v>
          </cell>
          <cell r="BD14">
            <v>6.1299999999999998E-6</v>
          </cell>
          <cell r="BE14">
            <v>4.8400000000000002E-6</v>
          </cell>
          <cell r="BF14">
            <v>3.3500000000000001E-6</v>
          </cell>
          <cell r="BG14">
            <v>1.2799999999999999E-5</v>
          </cell>
          <cell r="BH14">
            <v>1.26E-5</v>
          </cell>
          <cell r="BI14">
            <v>2.0099999999999998E-6</v>
          </cell>
          <cell r="BJ14">
            <v>6.1800000000000001E-6</v>
          </cell>
        </row>
        <row r="15">
          <cell r="B15">
            <v>1.9603060000000002E-3</v>
          </cell>
          <cell r="C15">
            <v>1.36E-5</v>
          </cell>
          <cell r="D15">
            <v>2.9099999999999999E-5</v>
          </cell>
          <cell r="E15">
            <v>7.6639120000000002E-3</v>
          </cell>
          <cell r="F15">
            <v>9.850000000000001E-7</v>
          </cell>
          <cell r="G15">
            <v>0.33535817200000001</v>
          </cell>
          <cell r="H15">
            <v>1.8899999999999999E-5</v>
          </cell>
          <cell r="I15">
            <v>1.3799999999999999E-6</v>
          </cell>
          <cell r="J15">
            <v>3.045376E-2</v>
          </cell>
          <cell r="K15">
            <v>8.9630049999999996E-3</v>
          </cell>
          <cell r="L15">
            <v>3.3670537E-2</v>
          </cell>
          <cell r="M15">
            <v>5.3335199999999996E-4</v>
          </cell>
          <cell r="N15">
            <v>8.92E-5</v>
          </cell>
          <cell r="O15">
            <v>2.0440899999999999E-4</v>
          </cell>
          <cell r="P15">
            <v>8.6899999999999998E-5</v>
          </cell>
          <cell r="Q15">
            <v>1.15E-5</v>
          </cell>
          <cell r="R15">
            <v>6.5599999999999999E-6</v>
          </cell>
          <cell r="S15">
            <v>9.6800000000000005E-6</v>
          </cell>
          <cell r="T15">
            <v>1.3200000000000001E-5</v>
          </cell>
          <cell r="U15">
            <v>4.6E-6</v>
          </cell>
          <cell r="V15">
            <v>9.3100000000000006E-6</v>
          </cell>
          <cell r="W15">
            <v>1.9700000000000002E-6</v>
          </cell>
          <cell r="X15">
            <v>1.014966E-3</v>
          </cell>
          <cell r="Y15">
            <v>6.3500000000000002E-6</v>
          </cell>
          <cell r="Z15">
            <v>5.0899999999999997E-5</v>
          </cell>
          <cell r="AA15">
            <v>3.2299999999999999E-5</v>
          </cell>
          <cell r="AB15">
            <v>6.1299999999999998E-6</v>
          </cell>
          <cell r="AC15">
            <v>2.2799999999999999E-5</v>
          </cell>
          <cell r="AD15">
            <v>4.8199999999999996E-6</v>
          </cell>
          <cell r="AE15">
            <v>7.9899999999999997E-6</v>
          </cell>
          <cell r="AF15">
            <v>9.0699999999999996E-6</v>
          </cell>
          <cell r="AG15">
            <v>8.8000000000000004E-6</v>
          </cell>
          <cell r="AH15">
            <v>5.4399999999999996E-6</v>
          </cell>
          <cell r="AI15">
            <v>0</v>
          </cell>
          <cell r="AJ15">
            <v>5.5799999999999999E-6</v>
          </cell>
          <cell r="AK15">
            <v>4.3000000000000003E-6</v>
          </cell>
          <cell r="AL15">
            <v>4.4100000000000001E-6</v>
          </cell>
          <cell r="AM15">
            <v>1.1200000000000001E-6</v>
          </cell>
          <cell r="AN15">
            <v>3.7500000000000001E-6</v>
          </cell>
          <cell r="AO15">
            <v>0</v>
          </cell>
          <cell r="AP15">
            <v>3.9299999999999996E-6</v>
          </cell>
          <cell r="AQ15">
            <v>0</v>
          </cell>
          <cell r="AR15">
            <v>3.36E-6</v>
          </cell>
          <cell r="AS15">
            <v>4.9699999999999998E-6</v>
          </cell>
          <cell r="AT15">
            <v>4.42E-6</v>
          </cell>
          <cell r="AU15">
            <v>3.49E-6</v>
          </cell>
          <cell r="AV15">
            <v>7.8800000000000008E-6</v>
          </cell>
          <cell r="AW15">
            <v>2.51E-5</v>
          </cell>
          <cell r="AX15">
            <v>1.6200000000000001E-5</v>
          </cell>
          <cell r="AY15">
            <v>3.8399999999999997E-6</v>
          </cell>
          <cell r="AZ15">
            <v>3.1381399999999999E-4</v>
          </cell>
          <cell r="BA15">
            <v>1.09412E-4</v>
          </cell>
          <cell r="BB15">
            <v>0</v>
          </cell>
          <cell r="BC15">
            <v>9.1400000000000006E-6</v>
          </cell>
          <cell r="BD15">
            <v>3.6200000000000001E-6</v>
          </cell>
          <cell r="BE15">
            <v>2.9399999999999998E-6</v>
          </cell>
          <cell r="BF15">
            <v>2.4499999999999998E-6</v>
          </cell>
          <cell r="BG15">
            <v>6.72E-6</v>
          </cell>
          <cell r="BH15">
            <v>4.8900000000000003E-5</v>
          </cell>
          <cell r="BI15">
            <v>3.1499999999999999E-6</v>
          </cell>
          <cell r="BJ15">
            <v>8.2099999999999993E-6</v>
          </cell>
        </row>
        <row r="16">
          <cell r="B16">
            <v>5.8699999999999995E-7</v>
          </cell>
          <cell r="C16">
            <v>6.3799999999999997E-7</v>
          </cell>
          <cell r="D16">
            <v>9.1999999999999998E-7</v>
          </cell>
          <cell r="E16">
            <v>1.04E-7</v>
          </cell>
          <cell r="F16">
            <v>6.73E-8</v>
          </cell>
          <cell r="G16">
            <v>5.8100000000000003E-6</v>
          </cell>
          <cell r="H16">
            <v>1.15E-6</v>
          </cell>
          <cell r="I16">
            <v>7.4200000000000003E-8</v>
          </cell>
          <cell r="J16">
            <v>6.3099999999999997E-6</v>
          </cell>
          <cell r="K16">
            <v>1.17E-5</v>
          </cell>
          <cell r="L16">
            <v>1.9020714000000001E-2</v>
          </cell>
          <cell r="M16">
            <v>1.4500000000000001E-6</v>
          </cell>
          <cell r="N16">
            <v>2.0699999999999998E-5</v>
          </cell>
          <cell r="O16">
            <v>6.0800000000000002E-8</v>
          </cell>
          <cell r="P16">
            <v>7.8600000000000002E-8</v>
          </cell>
          <cell r="Q16">
            <v>1.0699999999999999E-6</v>
          </cell>
          <cell r="R16">
            <v>1.6899999999999999E-7</v>
          </cell>
          <cell r="S16">
            <v>8.4900000000000005E-7</v>
          </cell>
          <cell r="T16">
            <v>6.3499999999999996E-7</v>
          </cell>
          <cell r="U16">
            <v>2.4999999999999999E-7</v>
          </cell>
          <cell r="V16">
            <v>1.54E-7</v>
          </cell>
          <cell r="W16">
            <v>6.7099999999999999E-8</v>
          </cell>
          <cell r="X16">
            <v>1.9599999999999999E-6</v>
          </cell>
          <cell r="Y16">
            <v>2.96E-7</v>
          </cell>
          <cell r="Z16">
            <v>2.0014350000000002E-3</v>
          </cell>
          <cell r="AA16">
            <v>8.9146099999999997E-4</v>
          </cell>
          <cell r="AB16">
            <v>1.6500000000000001E-7</v>
          </cell>
          <cell r="AC16">
            <v>3.4100000000000001E-8</v>
          </cell>
          <cell r="AD16">
            <v>7.3900000000000007E-8</v>
          </cell>
          <cell r="AE16">
            <v>6.6899999999999997E-8</v>
          </cell>
          <cell r="AF16">
            <v>8.9000000000000003E-8</v>
          </cell>
          <cell r="AG16">
            <v>1.03E-7</v>
          </cell>
          <cell r="AH16">
            <v>7.24E-8</v>
          </cell>
          <cell r="AI16">
            <v>0</v>
          </cell>
          <cell r="AJ16">
            <v>8.5500000000000005E-8</v>
          </cell>
          <cell r="AK16">
            <v>7.2100000000000004E-8</v>
          </cell>
          <cell r="AL16">
            <v>4.1799999999999997E-8</v>
          </cell>
          <cell r="AM16">
            <v>3.7300000000000003E-8</v>
          </cell>
          <cell r="AN16">
            <v>4.6900000000000003E-8</v>
          </cell>
          <cell r="AO16">
            <v>0</v>
          </cell>
          <cell r="AP16">
            <v>1.8199999999999999E-7</v>
          </cell>
          <cell r="AQ16">
            <v>0</v>
          </cell>
          <cell r="AR16">
            <v>3.6300000000000001E-8</v>
          </cell>
          <cell r="AS16">
            <v>5.4499999999999998E-8</v>
          </cell>
          <cell r="AT16">
            <v>2.23E-7</v>
          </cell>
          <cell r="AU16">
            <v>2.9499999999999998E-7</v>
          </cell>
          <cell r="AV16">
            <v>6.68222E-4</v>
          </cell>
          <cell r="AW16">
            <v>6.5999999999999995E-8</v>
          </cell>
          <cell r="AX16">
            <v>1.7362689999999999E-3</v>
          </cell>
          <cell r="AY16">
            <v>5.02E-8</v>
          </cell>
          <cell r="AZ16">
            <v>1.5200000000000001E-7</v>
          </cell>
          <cell r="BA16">
            <v>1.5077165E-2</v>
          </cell>
          <cell r="BB16">
            <v>0</v>
          </cell>
          <cell r="BC16">
            <v>2.2100000000000001E-7</v>
          </cell>
          <cell r="BD16">
            <v>1.85E-7</v>
          </cell>
          <cell r="BE16">
            <v>1.9500000000000001E-7</v>
          </cell>
          <cell r="BF16">
            <v>1.2499999999999999E-7</v>
          </cell>
          <cell r="BG16">
            <v>2.03E-7</v>
          </cell>
          <cell r="BH16">
            <v>6.2873479999999999E-3</v>
          </cell>
          <cell r="BI16">
            <v>3.39E-7</v>
          </cell>
          <cell r="BJ16">
            <v>1.14E-7</v>
          </cell>
        </row>
        <row r="17">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row>
        <row r="18">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row>
        <row r="19">
          <cell r="B19">
            <v>4.6561399999999999E-4</v>
          </cell>
          <cell r="C19">
            <v>2.49025E-4</v>
          </cell>
          <cell r="D19">
            <v>1.67646E-4</v>
          </cell>
          <cell r="E19">
            <v>3.7200000000000003E-5</v>
          </cell>
          <cell r="F19">
            <v>4.5599999999999997E-5</v>
          </cell>
          <cell r="G19">
            <v>4.71309E-4</v>
          </cell>
          <cell r="H19">
            <v>3.7603400000000003E-4</v>
          </cell>
          <cell r="I19">
            <v>1.11092E-4</v>
          </cell>
          <cell r="J19">
            <v>6.7024770000000001E-3</v>
          </cell>
          <cell r="K19">
            <v>7.7543070000000002E-3</v>
          </cell>
          <cell r="L19">
            <v>8.710476E-3</v>
          </cell>
          <cell r="M19">
            <v>8.6841167999999996E-2</v>
          </cell>
          <cell r="N19">
            <v>1.9023878000000001E-2</v>
          </cell>
          <cell r="O19">
            <v>3.2443800000000003E-4</v>
          </cell>
          <cell r="P19">
            <v>2.31096E-4</v>
          </cell>
          <cell r="Q19">
            <v>0.24746127000000001</v>
          </cell>
          <cell r="R19">
            <v>5.1552849999999999E-3</v>
          </cell>
          <cell r="S19">
            <v>9.0172163999999999E-2</v>
          </cell>
          <cell r="T19">
            <v>4.2904199999999998E-4</v>
          </cell>
          <cell r="U19">
            <v>3.7532677E-2</v>
          </cell>
          <cell r="V19">
            <v>1.00865E-4</v>
          </cell>
          <cell r="W19">
            <v>8.3954199999999998E-4</v>
          </cell>
          <cell r="X19">
            <v>3.1935399999999999E-4</v>
          </cell>
          <cell r="Y19">
            <v>4.1841900000000001E-4</v>
          </cell>
          <cell r="Z19">
            <v>5.9234999999999995E-4</v>
          </cell>
          <cell r="AA19">
            <v>8.0176200000000003E-4</v>
          </cell>
          <cell r="AB19">
            <v>2.28648E-4</v>
          </cell>
          <cell r="AC19">
            <v>2.9703999999999999E-4</v>
          </cell>
          <cell r="AD19">
            <v>3.8532099999999999E-4</v>
          </cell>
          <cell r="AE19">
            <v>5.3403100000000002E-4</v>
          </cell>
          <cell r="AF19">
            <v>4.4494499999999998E-4</v>
          </cell>
          <cell r="AG19">
            <v>3.1315800000000001E-4</v>
          </cell>
          <cell r="AH19">
            <v>1.3127289999999999E-3</v>
          </cell>
          <cell r="AI19">
            <v>0</v>
          </cell>
          <cell r="AJ19">
            <v>7.4404199999999999E-4</v>
          </cell>
          <cell r="AK19">
            <v>7.2008800000000002E-4</v>
          </cell>
          <cell r="AL19">
            <v>1.69653E-4</v>
          </cell>
          <cell r="AM19">
            <v>1.33206E-4</v>
          </cell>
          <cell r="AN19">
            <v>4.8679600000000001E-4</v>
          </cell>
          <cell r="AO19">
            <v>0</v>
          </cell>
          <cell r="AP19">
            <v>1.041099E-3</v>
          </cell>
          <cell r="AQ19">
            <v>0</v>
          </cell>
          <cell r="AR19">
            <v>1.1355989999999999E-3</v>
          </cell>
          <cell r="AS19">
            <v>7.7299999999999995E-5</v>
          </cell>
          <cell r="AT19">
            <v>1.6690100000000001E-4</v>
          </cell>
          <cell r="AU19">
            <v>2.76E-5</v>
          </cell>
          <cell r="AV19">
            <v>1.1511E-4</v>
          </cell>
          <cell r="AW19">
            <v>6.5099999999999997E-5</v>
          </cell>
          <cell r="AX19">
            <v>1.6452900000000001E-4</v>
          </cell>
          <cell r="AY19">
            <v>1.06993E-4</v>
          </cell>
          <cell r="AZ19">
            <v>1.5136819999999999E-3</v>
          </cell>
          <cell r="BA19">
            <v>1.46773E-4</v>
          </cell>
          <cell r="BB19">
            <v>0</v>
          </cell>
          <cell r="BC19">
            <v>2.75698E-4</v>
          </cell>
          <cell r="BD19">
            <v>1.6327599999999999E-4</v>
          </cell>
          <cell r="BE19">
            <v>1.6791899999999999E-4</v>
          </cell>
          <cell r="BF19">
            <v>9.8099999999999999E-5</v>
          </cell>
          <cell r="BG19">
            <v>6.7571600000000003E-4</v>
          </cell>
          <cell r="BH19">
            <v>2.6160499999999999E-4</v>
          </cell>
          <cell r="BI19">
            <v>1.062513E-3</v>
          </cell>
          <cell r="BJ19">
            <v>2.09316E-4</v>
          </cell>
        </row>
        <row r="20">
          <cell r="B20">
            <v>5.7839299999999996E-4</v>
          </cell>
          <cell r="C20">
            <v>1.18088E-3</v>
          </cell>
          <cell r="D20">
            <v>4.5255099999999998E-4</v>
          </cell>
          <cell r="E20">
            <v>1.7189500000000001E-4</v>
          </cell>
          <cell r="F20">
            <v>1.7523699999999999E-4</v>
          </cell>
          <cell r="G20">
            <v>2.7258040000000001E-3</v>
          </cell>
          <cell r="H20">
            <v>1.21103E-4</v>
          </cell>
          <cell r="I20">
            <v>2.6762500000000001E-4</v>
          </cell>
          <cell r="J20">
            <v>4.7003899999999996E-3</v>
          </cell>
          <cell r="K20">
            <v>1.3217378E-2</v>
          </cell>
          <cell r="L20">
            <v>5.8931820000000003E-3</v>
          </cell>
          <cell r="M20">
            <v>4.8172550000000003E-3</v>
          </cell>
          <cell r="N20">
            <v>1.0243769999999999E-3</v>
          </cell>
          <cell r="O20">
            <v>1.3200000000000001E-5</v>
          </cell>
          <cell r="P20">
            <v>1.36E-5</v>
          </cell>
          <cell r="Q20">
            <v>5.58819E-4</v>
          </cell>
          <cell r="R20">
            <v>8.4600000000000003E-6</v>
          </cell>
          <cell r="S20">
            <v>2.0222400000000001E-4</v>
          </cell>
          <cell r="T20">
            <v>7.2599999999999999E-6</v>
          </cell>
          <cell r="U20">
            <v>8.8399999999999994E-5</v>
          </cell>
          <cell r="V20">
            <v>6.3199999999999996E-6</v>
          </cell>
          <cell r="W20">
            <v>2.6800000000000002E-6</v>
          </cell>
          <cell r="X20">
            <v>4.6099999999999999E-6</v>
          </cell>
          <cell r="Y20">
            <v>7.7200000000000006E-6</v>
          </cell>
          <cell r="Z20">
            <v>3.0899999999999999E-5</v>
          </cell>
          <cell r="AA20">
            <v>4.7899999999999999E-5</v>
          </cell>
          <cell r="AB20">
            <v>5.5899999999999998E-6</v>
          </cell>
          <cell r="AC20">
            <v>4.6500000000000004E-6</v>
          </cell>
          <cell r="AD20">
            <v>9.3600000000000002E-6</v>
          </cell>
          <cell r="AE20">
            <v>3.4300000000000002E-6</v>
          </cell>
          <cell r="AF20">
            <v>7.3200000000000002E-6</v>
          </cell>
          <cell r="AG20">
            <v>1.06E-5</v>
          </cell>
          <cell r="AH20">
            <v>3.6899999999999998E-6</v>
          </cell>
          <cell r="AI20">
            <v>0</v>
          </cell>
          <cell r="AJ20">
            <v>3.2600000000000001E-6</v>
          </cell>
          <cell r="AK20">
            <v>2.6400000000000001E-6</v>
          </cell>
          <cell r="AL20">
            <v>1.4500000000000001E-6</v>
          </cell>
          <cell r="AM20">
            <v>1.39E-6</v>
          </cell>
          <cell r="AN20">
            <v>2.2199999999999999E-6</v>
          </cell>
          <cell r="AO20">
            <v>0</v>
          </cell>
          <cell r="AP20">
            <v>6.9399999999999996E-6</v>
          </cell>
          <cell r="AQ20">
            <v>0</v>
          </cell>
          <cell r="AR20">
            <v>1.9599999999999999E-6</v>
          </cell>
          <cell r="AS20">
            <v>5.4299999999999997E-6</v>
          </cell>
          <cell r="AT20">
            <v>6.1800000000000001E-6</v>
          </cell>
          <cell r="AU20">
            <v>4.0300000000000004E-6</v>
          </cell>
          <cell r="AV20">
            <v>2.87E-5</v>
          </cell>
          <cell r="AW20">
            <v>2.65E-6</v>
          </cell>
          <cell r="AX20">
            <v>9.8400000000000007E-6</v>
          </cell>
          <cell r="AY20">
            <v>5.93E-6</v>
          </cell>
          <cell r="AZ20">
            <v>7.4399999999999999E-6</v>
          </cell>
          <cell r="BA20">
            <v>1.88E-5</v>
          </cell>
          <cell r="BB20">
            <v>0</v>
          </cell>
          <cell r="BC20">
            <v>8.5799999999999992E-6</v>
          </cell>
          <cell r="BD20">
            <v>6.3799999999999999E-6</v>
          </cell>
          <cell r="BE20">
            <v>6.63E-6</v>
          </cell>
          <cell r="BF20">
            <v>6.3500000000000002E-6</v>
          </cell>
          <cell r="BG20">
            <v>2.5999999999999998E-5</v>
          </cell>
          <cell r="BH20">
            <v>1.9000000000000001E-5</v>
          </cell>
          <cell r="BI20">
            <v>2.0599999999999999E-5</v>
          </cell>
          <cell r="BJ20">
            <v>4.3800000000000004E-6</v>
          </cell>
        </row>
        <row r="21">
          <cell r="B21">
            <v>1.11265E-4</v>
          </cell>
          <cell r="C21">
            <v>1.98865E-4</v>
          </cell>
          <cell r="D21">
            <v>1.8306600000000001E-4</v>
          </cell>
          <cell r="E21">
            <v>4.6E-5</v>
          </cell>
          <cell r="F21">
            <v>1.3786899999999999E-4</v>
          </cell>
          <cell r="G21">
            <v>5.0590900000000002E-4</v>
          </cell>
          <cell r="H21">
            <v>2.6846919999999998E-3</v>
          </cell>
          <cell r="I21">
            <v>1.0641099999999999E-4</v>
          </cell>
          <cell r="J21">
            <v>4.4276299999999999E-4</v>
          </cell>
          <cell r="K21">
            <v>9.7793899999999994E-4</v>
          </cell>
          <cell r="L21">
            <v>1.1900089999999999E-3</v>
          </cell>
          <cell r="M21">
            <v>1.1699849999999999E-3</v>
          </cell>
          <cell r="N21">
            <v>1.4826590000000001E-3</v>
          </cell>
          <cell r="O21">
            <v>1.1966380000000001E-3</v>
          </cell>
          <cell r="P21">
            <v>2.4142599999999999E-4</v>
          </cell>
          <cell r="Q21">
            <v>7.5180199999999998E-4</v>
          </cell>
          <cell r="R21">
            <v>1.0777670000000001E-3</v>
          </cell>
          <cell r="S21">
            <v>8.5248019999999997E-3</v>
          </cell>
          <cell r="T21">
            <v>1.521746E-3</v>
          </cell>
          <cell r="U21">
            <v>1.1230649999999999E-3</v>
          </cell>
          <cell r="V21">
            <v>3.43197E-4</v>
          </cell>
          <cell r="W21">
            <v>0.74952171099999998</v>
          </cell>
          <cell r="X21">
            <v>4.6142379999999997E-3</v>
          </cell>
          <cell r="Y21">
            <v>4.1452600000000002E-4</v>
          </cell>
          <cell r="Z21">
            <v>1.2895808E-2</v>
          </cell>
          <cell r="AA21">
            <v>1.4097790000000001E-2</v>
          </cell>
          <cell r="AB21">
            <v>4.3518499999999999E-4</v>
          </cell>
          <cell r="AC21">
            <v>2.81823E-4</v>
          </cell>
          <cell r="AD21">
            <v>6.0976599999999998E-4</v>
          </cell>
          <cell r="AE21">
            <v>2.72637E-4</v>
          </cell>
          <cell r="AF21">
            <v>2.5366659999999999E-3</v>
          </cell>
          <cell r="AG21">
            <v>5.2291660000000004E-3</v>
          </cell>
          <cell r="AH21">
            <v>5.8274995000000003E-2</v>
          </cell>
          <cell r="AI21">
            <v>0</v>
          </cell>
          <cell r="AJ21">
            <v>4.1237013000000003E-2</v>
          </cell>
          <cell r="AK21">
            <v>3.0875217999999999E-2</v>
          </cell>
          <cell r="AL21">
            <v>1.3601600000000001E-4</v>
          </cell>
          <cell r="AM21">
            <v>6.2299999999999996E-5</v>
          </cell>
          <cell r="AN21">
            <v>3.3230331000000002E-2</v>
          </cell>
          <cell r="AO21">
            <v>0</v>
          </cell>
          <cell r="AP21">
            <v>1.6968438999999998E-2</v>
          </cell>
          <cell r="AQ21">
            <v>0</v>
          </cell>
          <cell r="AR21">
            <v>1.6326762000000002E-2</v>
          </cell>
          <cell r="AS21">
            <v>3.6836399999999999E-4</v>
          </cell>
          <cell r="AT21">
            <v>6.7534300000000002E-4</v>
          </cell>
          <cell r="AU21">
            <v>7.2999999999999999E-5</v>
          </cell>
          <cell r="AV21">
            <v>4.9372299999999995E-4</v>
          </cell>
          <cell r="AW21">
            <v>1.2435300000000001E-4</v>
          </cell>
          <cell r="AX21">
            <v>1.1078240000000001E-3</v>
          </cell>
          <cell r="AY21">
            <v>3.0427900000000002E-4</v>
          </cell>
          <cell r="AZ21">
            <v>1.5199689999999999E-3</v>
          </cell>
          <cell r="BA21">
            <v>1.9796500000000001E-4</v>
          </cell>
          <cell r="BB21">
            <v>0</v>
          </cell>
          <cell r="BC21">
            <v>1.060929E-3</v>
          </cell>
          <cell r="BD21">
            <v>3.5234469999999999E-3</v>
          </cell>
          <cell r="BE21">
            <v>3.021063E-3</v>
          </cell>
          <cell r="BF21">
            <v>1.3415725E-2</v>
          </cell>
          <cell r="BG21">
            <v>6.8480889999999999E-3</v>
          </cell>
          <cell r="BH21">
            <v>6.2275099999999995E-4</v>
          </cell>
          <cell r="BI21">
            <v>3.4112299999999998E-4</v>
          </cell>
          <cell r="BJ21">
            <v>2.9012999999999999E-4</v>
          </cell>
        </row>
        <row r="22">
          <cell r="B22">
            <v>5.2200000000000002E-5</v>
          </cell>
          <cell r="C22">
            <v>7.0299999999999996E-6</v>
          </cell>
          <cell r="D22">
            <v>1.03E-5</v>
          </cell>
          <cell r="E22">
            <v>1.28E-6</v>
          </cell>
          <cell r="F22">
            <v>2.2800000000000002E-6</v>
          </cell>
          <cell r="G22">
            <v>8.1999999999999994E-6</v>
          </cell>
          <cell r="H22">
            <v>3.1000000000000001E-5</v>
          </cell>
          <cell r="I22">
            <v>2.92E-6</v>
          </cell>
          <cell r="J22">
            <v>1.33E-5</v>
          </cell>
          <cell r="K22">
            <v>1.6699999999999999E-5</v>
          </cell>
          <cell r="L22">
            <v>1.8E-5</v>
          </cell>
          <cell r="M22">
            <v>2.27E-5</v>
          </cell>
          <cell r="N22">
            <v>2.4199999999999999E-5</v>
          </cell>
          <cell r="O22">
            <v>9.0810499999999998E-4</v>
          </cell>
          <cell r="P22">
            <v>1.3499999999999999E-5</v>
          </cell>
          <cell r="Q22">
            <v>3.65E-5</v>
          </cell>
          <cell r="R22">
            <v>1.6799999999999998E-5</v>
          </cell>
          <cell r="S22">
            <v>1.3900000000000001E-5</v>
          </cell>
          <cell r="T22">
            <v>1.77E-5</v>
          </cell>
          <cell r="U22">
            <v>1.4399999999999999E-5</v>
          </cell>
          <cell r="V22">
            <v>9.8400000000000007E-6</v>
          </cell>
          <cell r="W22">
            <v>4.0899999999999998E-6</v>
          </cell>
          <cell r="X22">
            <v>0.226576469</v>
          </cell>
          <cell r="Y22">
            <v>1.4100000000000001E-5</v>
          </cell>
          <cell r="Z22">
            <v>3.7499999999999997E-5</v>
          </cell>
          <cell r="AA22">
            <v>5.2165499999999999E-4</v>
          </cell>
          <cell r="AB22">
            <v>1.3742E-4</v>
          </cell>
          <cell r="AC22">
            <v>3.68E-5</v>
          </cell>
          <cell r="AD22">
            <v>6.2600000000000004E-5</v>
          </cell>
          <cell r="AE22">
            <v>4.9200000000000003E-5</v>
          </cell>
          <cell r="AF22">
            <v>3.29E-5</v>
          </cell>
          <cell r="AG22">
            <v>5.5399999999999998E-5</v>
          </cell>
          <cell r="AH22">
            <v>2.3099999999999999E-5</v>
          </cell>
          <cell r="AI22">
            <v>0</v>
          </cell>
          <cell r="AJ22">
            <v>4.46E-5</v>
          </cell>
          <cell r="AK22">
            <v>4.0399999999999999E-5</v>
          </cell>
          <cell r="AL22">
            <v>1.2300000000000001E-5</v>
          </cell>
          <cell r="AM22">
            <v>1.1800000000000001E-5</v>
          </cell>
          <cell r="AN22">
            <v>1.1600000000000001E-5</v>
          </cell>
          <cell r="AO22">
            <v>0</v>
          </cell>
          <cell r="AP22">
            <v>1.4800000000000001E-5</v>
          </cell>
          <cell r="AQ22">
            <v>0</v>
          </cell>
          <cell r="AR22">
            <v>2.3799999999999999E-5</v>
          </cell>
          <cell r="AS22">
            <v>3.26E-5</v>
          </cell>
          <cell r="AT22">
            <v>4.07E-5</v>
          </cell>
          <cell r="AU22">
            <v>3.7299999999999999E-5</v>
          </cell>
          <cell r="AV22">
            <v>5.5300000000000002E-5</v>
          </cell>
          <cell r="AW22">
            <v>2.6599999999999999E-5</v>
          </cell>
          <cell r="AX22">
            <v>7.8499999999999997E-5</v>
          </cell>
          <cell r="AY22">
            <v>7.0300000000000001E-5</v>
          </cell>
          <cell r="AZ22">
            <v>1.702985E-3</v>
          </cell>
          <cell r="BA22">
            <v>8.3399999999999998E-6</v>
          </cell>
          <cell r="BB22">
            <v>0</v>
          </cell>
          <cell r="BC22">
            <v>2.0100000000000001E-5</v>
          </cell>
          <cell r="BD22">
            <v>1.84E-5</v>
          </cell>
          <cell r="BE22">
            <v>2.0299999999999999E-5</v>
          </cell>
          <cell r="BF22">
            <v>1.7499999999999998E-5</v>
          </cell>
          <cell r="BG22">
            <v>3.2140399E-2</v>
          </cell>
          <cell r="BH22">
            <v>6.2000000000000003E-5</v>
          </cell>
          <cell r="BI22">
            <v>4.5200000000000001E-5</v>
          </cell>
          <cell r="BJ22">
            <v>8.4700000000000002E-6</v>
          </cell>
        </row>
        <row r="23">
          <cell r="B23">
            <v>1.0719500000000001E-4</v>
          </cell>
          <cell r="C23">
            <v>1.8899999999999999E-5</v>
          </cell>
          <cell r="D23">
            <v>2.3900000000000002E-5</v>
          </cell>
          <cell r="E23">
            <v>4.0600000000000001E-6</v>
          </cell>
          <cell r="F23">
            <v>6.3799999999999999E-6</v>
          </cell>
          <cell r="G23">
            <v>3.01E-5</v>
          </cell>
          <cell r="H23">
            <v>7.9900000000000004E-5</v>
          </cell>
          <cell r="I23">
            <v>9.9000000000000001E-6</v>
          </cell>
          <cell r="J23">
            <v>3.5200000000000002E-5</v>
          </cell>
          <cell r="K23">
            <v>4.6E-5</v>
          </cell>
          <cell r="L23">
            <v>4.6100000000000002E-5</v>
          </cell>
          <cell r="M23">
            <v>4.6199999999999998E-5</v>
          </cell>
          <cell r="N23">
            <v>1.8848399999999999E-4</v>
          </cell>
          <cell r="O23">
            <v>1.5505298000000001E-2</v>
          </cell>
          <cell r="P23">
            <v>3.5299999999999997E-5</v>
          </cell>
          <cell r="Q23">
            <v>4.8155700000000002E-4</v>
          </cell>
          <cell r="R23">
            <v>1.2613899999999999E-4</v>
          </cell>
          <cell r="S23">
            <v>8.1799999999999996E-5</v>
          </cell>
          <cell r="T23">
            <v>8.8399999999999994E-5</v>
          </cell>
          <cell r="U23">
            <v>4.2700000000000001E-5</v>
          </cell>
          <cell r="V23">
            <v>2.19E-5</v>
          </cell>
          <cell r="W23">
            <v>1.6399999999999999E-5</v>
          </cell>
          <cell r="X23">
            <v>9.5199999999999997E-5</v>
          </cell>
          <cell r="Y23">
            <v>5.52E-5</v>
          </cell>
          <cell r="Z23">
            <v>5.9299999999999998E-5</v>
          </cell>
          <cell r="AA23">
            <v>1.1987160000000001E-3</v>
          </cell>
          <cell r="AB23">
            <v>3.0606999999999997E-4</v>
          </cell>
          <cell r="AC23">
            <v>6.4900000000000005E-5</v>
          </cell>
          <cell r="AD23">
            <v>7.6899999999999999E-5</v>
          </cell>
          <cell r="AE23">
            <v>7.4800000000000002E-5</v>
          </cell>
          <cell r="AF23">
            <v>5.2800000000000003E-5</v>
          </cell>
          <cell r="AG23">
            <v>7.5599999999999994E-5</v>
          </cell>
          <cell r="AH23">
            <v>5.13E-5</v>
          </cell>
          <cell r="AI23">
            <v>0</v>
          </cell>
          <cell r="AJ23">
            <v>1.0453E-4</v>
          </cell>
          <cell r="AK23">
            <v>9.1899999999999998E-5</v>
          </cell>
          <cell r="AL23">
            <v>2.7399999999999999E-5</v>
          </cell>
          <cell r="AM23">
            <v>2.5700000000000001E-5</v>
          </cell>
          <cell r="AN23">
            <v>2.4199999999999999E-5</v>
          </cell>
          <cell r="AO23">
            <v>0</v>
          </cell>
          <cell r="AP23">
            <v>1.10171E-4</v>
          </cell>
          <cell r="AQ23">
            <v>0</v>
          </cell>
          <cell r="AR23">
            <v>4.3099999999999997E-5</v>
          </cell>
          <cell r="AS23">
            <v>4.5800000000000002E-5</v>
          </cell>
          <cell r="AT23">
            <v>9.4699999999999998E-5</v>
          </cell>
          <cell r="AU23">
            <v>1.11879E-4</v>
          </cell>
          <cell r="AV23">
            <v>1.04621E-4</v>
          </cell>
          <cell r="AW23">
            <v>7.9900000000000004E-5</v>
          </cell>
          <cell r="AX23">
            <v>1.4765500000000001E-4</v>
          </cell>
          <cell r="AY23">
            <v>1.10988E-4</v>
          </cell>
          <cell r="AZ23">
            <v>2.6680717E-2</v>
          </cell>
          <cell r="BA23">
            <v>1.63E-5</v>
          </cell>
          <cell r="BB23">
            <v>0</v>
          </cell>
          <cell r="BC23">
            <v>6.3E-5</v>
          </cell>
          <cell r="BD23">
            <v>4.3099999999999997E-5</v>
          </cell>
          <cell r="BE23">
            <v>4.7599999999999998E-5</v>
          </cell>
          <cell r="BF23">
            <v>5.2800000000000003E-5</v>
          </cell>
          <cell r="BG23">
            <v>1.96348E-4</v>
          </cell>
          <cell r="BH23">
            <v>8.3399999999999994E-5</v>
          </cell>
          <cell r="BI23">
            <v>8.9300000000000002E-5</v>
          </cell>
          <cell r="BJ23">
            <v>1.8300000000000001E-5</v>
          </cell>
        </row>
        <row r="24">
          <cell r="B24">
            <v>2.9499999999999998E-7</v>
          </cell>
          <cell r="C24">
            <v>2.11E-7</v>
          </cell>
          <cell r="D24">
            <v>1.43E-7</v>
          </cell>
          <cell r="E24">
            <v>9.76E-8</v>
          </cell>
          <cell r="F24">
            <v>1.1300000000000001E-7</v>
          </cell>
          <cell r="G24">
            <v>4.82E-7</v>
          </cell>
          <cell r="H24">
            <v>1.02E-6</v>
          </cell>
          <cell r="I24">
            <v>2.8299999999999998E-7</v>
          </cell>
          <cell r="J24">
            <v>2.1799999999999999E-7</v>
          </cell>
          <cell r="K24">
            <v>4.4400000000000001E-7</v>
          </cell>
          <cell r="L24">
            <v>5.0299999999999999E-7</v>
          </cell>
          <cell r="M24">
            <v>1.72E-7</v>
          </cell>
          <cell r="N24">
            <v>2.6800000000000002E-7</v>
          </cell>
          <cell r="O24">
            <v>5.5500000000000001E-8</v>
          </cell>
          <cell r="P24">
            <v>2.0100000000000001E-7</v>
          </cell>
          <cell r="Q24">
            <v>4.5600000000000001E-7</v>
          </cell>
          <cell r="R24">
            <v>6.8400000000000004E-7</v>
          </cell>
          <cell r="S24">
            <v>1.6300000000000001E-6</v>
          </cell>
          <cell r="T24">
            <v>2.3499999999999999E-6</v>
          </cell>
          <cell r="U24">
            <v>3.2500000000000001E-7</v>
          </cell>
          <cell r="V24">
            <v>1.9600000000000001E-7</v>
          </cell>
          <cell r="W24">
            <v>3.0699999999999998E-7</v>
          </cell>
          <cell r="X24">
            <v>1.2899999999999999E-6</v>
          </cell>
          <cell r="Y24">
            <v>1.7400000000000001E-6</v>
          </cell>
          <cell r="Z24">
            <v>5.5799999999999999E-7</v>
          </cell>
          <cell r="AA24">
            <v>4.75E-7</v>
          </cell>
          <cell r="AB24">
            <v>1.2599999999999999E-7</v>
          </cell>
          <cell r="AC24">
            <v>2.7500000000000001E-7</v>
          </cell>
          <cell r="AD24">
            <v>5.3399999999999999E-7</v>
          </cell>
          <cell r="AE24">
            <v>4.0400000000000002E-7</v>
          </cell>
          <cell r="AF24">
            <v>4.7599999999999997E-7</v>
          </cell>
          <cell r="AG24">
            <v>4.01E-7</v>
          </cell>
          <cell r="AH24">
            <v>2.4600000000000001E-7</v>
          </cell>
          <cell r="AI24">
            <v>0</v>
          </cell>
          <cell r="AJ24">
            <v>2.2000000000000001E-7</v>
          </cell>
          <cell r="AK24">
            <v>1.91E-7</v>
          </cell>
          <cell r="AL24">
            <v>2.22E-7</v>
          </cell>
          <cell r="AM24">
            <v>2.22E-7</v>
          </cell>
          <cell r="AN24">
            <v>1.99E-7</v>
          </cell>
          <cell r="AO24">
            <v>0</v>
          </cell>
          <cell r="AP24">
            <v>6.7999999999999995E-7</v>
          </cell>
          <cell r="AQ24">
            <v>0</v>
          </cell>
          <cell r="AR24">
            <v>2.3099999999999999E-7</v>
          </cell>
          <cell r="AS24">
            <v>1.6999999999999999E-7</v>
          </cell>
          <cell r="AT24">
            <v>3.2899999999999999E-7</v>
          </cell>
          <cell r="AU24">
            <v>1.6999999999999999E-7</v>
          </cell>
          <cell r="AV24">
            <v>4.8699999999999995E-7</v>
          </cell>
          <cell r="AW24">
            <v>1.18E-7</v>
          </cell>
          <cell r="AX24">
            <v>3.4299999999999999E-7</v>
          </cell>
          <cell r="AY24">
            <v>3.96E-7</v>
          </cell>
          <cell r="AZ24">
            <v>1.73E-7</v>
          </cell>
          <cell r="BA24">
            <v>1.48E-7</v>
          </cell>
          <cell r="BB24">
            <v>0</v>
          </cell>
          <cell r="BC24">
            <v>9.7999999999999993E-7</v>
          </cell>
          <cell r="BD24">
            <v>7.2699999999999999E-7</v>
          </cell>
          <cell r="BE24">
            <v>7.8400000000000003E-7</v>
          </cell>
          <cell r="BF24">
            <v>4.1699999999999999E-7</v>
          </cell>
          <cell r="BG24">
            <v>8.7400000000000002E-7</v>
          </cell>
          <cell r="BH24">
            <v>4.6600000000000002E-7</v>
          </cell>
          <cell r="BI24">
            <v>4.51E-7</v>
          </cell>
          <cell r="BJ24">
            <v>2.34E-7</v>
          </cell>
        </row>
        <row r="25">
          <cell r="B25">
            <v>2.4517000000000001E-4</v>
          </cell>
          <cell r="C25">
            <v>7.47E-5</v>
          </cell>
          <cell r="D25">
            <v>4.1100000000000003E-5</v>
          </cell>
          <cell r="E25">
            <v>6.4200000000000004E-6</v>
          </cell>
          <cell r="F25">
            <v>1.33E-5</v>
          </cell>
          <cell r="G25">
            <v>1.68271E-4</v>
          </cell>
          <cell r="H25">
            <v>3.9854300000000001E-4</v>
          </cell>
          <cell r="I25">
            <v>1.8600000000000001E-5</v>
          </cell>
          <cell r="J25">
            <v>1.4455800000000001E-4</v>
          </cell>
          <cell r="K25">
            <v>4.2656399999999999E-4</v>
          </cell>
          <cell r="L25">
            <v>2.0926399999999999E-4</v>
          </cell>
          <cell r="M25">
            <v>2.9155799999999998E-4</v>
          </cell>
          <cell r="N25">
            <v>3.1367400000000001E-4</v>
          </cell>
          <cell r="O25">
            <v>1.9826800000000001E-4</v>
          </cell>
          <cell r="P25">
            <v>3.9100000000000002E-5</v>
          </cell>
          <cell r="Q25">
            <v>1.33938E-4</v>
          </cell>
          <cell r="R25">
            <v>1.66212E-4</v>
          </cell>
          <cell r="S25">
            <v>4.9059600000000004E-4</v>
          </cell>
          <cell r="T25">
            <v>3.75588E-4</v>
          </cell>
          <cell r="U25">
            <v>1.6208499999999999E-4</v>
          </cell>
          <cell r="V25">
            <v>9.5099999999999994E-5</v>
          </cell>
          <cell r="W25">
            <v>2.2097100000000001E-4</v>
          </cell>
          <cell r="X25">
            <v>4.6756400000000001E-4</v>
          </cell>
          <cell r="Y25">
            <v>2.0090099999999999E-4</v>
          </cell>
          <cell r="Z25">
            <v>4.8139500000000002E-4</v>
          </cell>
          <cell r="AA25">
            <v>4.6055400000000001E-4</v>
          </cell>
          <cell r="AB25">
            <v>9.7E-5</v>
          </cell>
          <cell r="AC25">
            <v>5.8799999999999999E-5</v>
          </cell>
          <cell r="AD25">
            <v>1.2656200000000001E-4</v>
          </cell>
          <cell r="AE25">
            <v>5.13E-5</v>
          </cell>
          <cell r="AF25">
            <v>9.1799999999999995E-5</v>
          </cell>
          <cell r="AG25">
            <v>2.1473099999999999E-4</v>
          </cell>
          <cell r="AH25">
            <v>1.3376999999999999E-4</v>
          </cell>
          <cell r="AI25">
            <v>0</v>
          </cell>
          <cell r="AJ25">
            <v>1.5182499999999999E-4</v>
          </cell>
          <cell r="AK25">
            <v>4.7800000000000003E-5</v>
          </cell>
          <cell r="AL25">
            <v>2.0800000000000001E-5</v>
          </cell>
          <cell r="AM25">
            <v>1.6500000000000001E-5</v>
          </cell>
          <cell r="AN25">
            <v>7.2999999999999999E-5</v>
          </cell>
          <cell r="AO25">
            <v>0</v>
          </cell>
          <cell r="AP25">
            <v>6.7999999999999999E-5</v>
          </cell>
          <cell r="AQ25">
            <v>0</v>
          </cell>
          <cell r="AR25">
            <v>1.0904900000000001E-4</v>
          </cell>
          <cell r="AS25">
            <v>2.4080600000000001E-4</v>
          </cell>
          <cell r="AT25">
            <v>4.4273799999999997E-4</v>
          </cell>
          <cell r="AU25">
            <v>5.9299999999999998E-5</v>
          </cell>
          <cell r="AV25">
            <v>2.1548199999999999E-4</v>
          </cell>
          <cell r="AW25">
            <v>4.5200000000000001E-5</v>
          </cell>
          <cell r="AX25">
            <v>2.5255999999999998E-4</v>
          </cell>
          <cell r="AY25">
            <v>1.7933700000000001E-4</v>
          </cell>
          <cell r="AZ25">
            <v>1.77837E-4</v>
          </cell>
          <cell r="BA25">
            <v>1.42476E-4</v>
          </cell>
          <cell r="BB25">
            <v>0</v>
          </cell>
          <cell r="BC25">
            <v>1.4871599999999999E-4</v>
          </cell>
          <cell r="BD25">
            <v>7.5217899999999996E-4</v>
          </cell>
          <cell r="BE25">
            <v>6.43398E-4</v>
          </cell>
          <cell r="BF25">
            <v>2.3647719999999998E-3</v>
          </cell>
          <cell r="BG25">
            <v>2.8367399999999998E-4</v>
          </cell>
          <cell r="BH25">
            <v>1.671063E-3</v>
          </cell>
          <cell r="BI25">
            <v>8.0830400000000003E-4</v>
          </cell>
          <cell r="BJ25">
            <v>1.01482E-4</v>
          </cell>
        </row>
        <row r="26">
          <cell r="B26">
            <v>4.7500000000000003E-6</v>
          </cell>
          <cell r="C26">
            <v>7.9999999999999996E-7</v>
          </cell>
          <cell r="D26">
            <v>1.8899999999999999E-6</v>
          </cell>
          <cell r="E26">
            <v>2.8700000000000002E-7</v>
          </cell>
          <cell r="F26">
            <v>1.2200000000000001E-7</v>
          </cell>
          <cell r="G26">
            <v>9.6599999999999994E-7</v>
          </cell>
          <cell r="H26">
            <v>3.9199999999999997E-6</v>
          </cell>
          <cell r="I26">
            <v>2.2000000000000001E-7</v>
          </cell>
          <cell r="J26">
            <v>3.3100000000000001E-6</v>
          </cell>
          <cell r="K26">
            <v>1.48E-6</v>
          </cell>
          <cell r="L26">
            <v>1.57E-6</v>
          </cell>
          <cell r="M26">
            <v>2.03E-6</v>
          </cell>
          <cell r="N26">
            <v>1.42E-6</v>
          </cell>
          <cell r="O26">
            <v>6.7999999999999995E-7</v>
          </cell>
          <cell r="P26">
            <v>6.2799999999999996E-7</v>
          </cell>
          <cell r="Q26">
            <v>8.6400000000000001E-7</v>
          </cell>
          <cell r="R26">
            <v>1.4300000000000001E-6</v>
          </cell>
          <cell r="S26">
            <v>6.1600000000000001E-7</v>
          </cell>
          <cell r="T26">
            <v>4.9900000000000001E-7</v>
          </cell>
          <cell r="U26">
            <v>6.8800000000000002E-7</v>
          </cell>
          <cell r="V26">
            <v>7.3799999999999996E-7</v>
          </cell>
          <cell r="W26">
            <v>3.3599999999999999E-7</v>
          </cell>
          <cell r="X26">
            <v>1.1599999999999999E-6</v>
          </cell>
          <cell r="Y26">
            <v>7.23E-7</v>
          </cell>
          <cell r="Z26">
            <v>9.7699999999999992E-7</v>
          </cell>
          <cell r="AA26">
            <v>1.7099999999999999E-5</v>
          </cell>
          <cell r="AB26">
            <v>4.0999999999999997E-6</v>
          </cell>
          <cell r="AC26">
            <v>9.91E-6</v>
          </cell>
          <cell r="AD26">
            <v>6.3899999999999998E-6</v>
          </cell>
          <cell r="AE26">
            <v>3.4800000000000001E-6</v>
          </cell>
          <cell r="AF26">
            <v>6.0100000000000001E-6</v>
          </cell>
          <cell r="AG26">
            <v>7.2300000000000002E-6</v>
          </cell>
          <cell r="AH26">
            <v>1.9700000000000002E-6</v>
          </cell>
          <cell r="AI26">
            <v>0</v>
          </cell>
          <cell r="AJ26">
            <v>1.39574E-4</v>
          </cell>
          <cell r="AK26">
            <v>6.2899999999999999E-6</v>
          </cell>
          <cell r="AL26">
            <v>3.3599999999999999E-7</v>
          </cell>
          <cell r="AM26">
            <v>3.0600000000000001E-7</v>
          </cell>
          <cell r="AN26">
            <v>5.6400000000000002E-5</v>
          </cell>
          <cell r="AO26">
            <v>0</v>
          </cell>
          <cell r="AP26">
            <v>3.8079759999999998E-3</v>
          </cell>
          <cell r="AQ26">
            <v>0</v>
          </cell>
          <cell r="AR26">
            <v>5.2899999999999998E-5</v>
          </cell>
          <cell r="AS26">
            <v>5.5500000000000002E-6</v>
          </cell>
          <cell r="AT26">
            <v>3.54E-6</v>
          </cell>
          <cell r="AU26">
            <v>9.3200000000000003E-7</v>
          </cell>
          <cell r="AV26">
            <v>4.6099999999999999E-6</v>
          </cell>
          <cell r="AW26">
            <v>5.0299999999999999E-7</v>
          </cell>
          <cell r="AX26">
            <v>1.7600000000000001E-5</v>
          </cell>
          <cell r="AY26">
            <v>1.53E-6</v>
          </cell>
          <cell r="AZ26">
            <v>2.83E-6</v>
          </cell>
          <cell r="BA26">
            <v>5.8199999999999998E-5</v>
          </cell>
          <cell r="BB26">
            <v>0</v>
          </cell>
          <cell r="BC26">
            <v>5.4199999999999996E-7</v>
          </cell>
          <cell r="BD26">
            <v>3.1699999999999999E-7</v>
          </cell>
          <cell r="BE26">
            <v>3.22E-7</v>
          </cell>
          <cell r="BF26">
            <v>2.8000000000000002E-7</v>
          </cell>
          <cell r="BG26">
            <v>1.9099999999999999E-6</v>
          </cell>
          <cell r="BH26">
            <v>2.1799999999999999E-6</v>
          </cell>
          <cell r="BI26">
            <v>3.1499999999999999E-6</v>
          </cell>
          <cell r="BJ26">
            <v>6.6700000000000003E-7</v>
          </cell>
        </row>
        <row r="27">
          <cell r="B27">
            <v>7.5292399999999998E-4</v>
          </cell>
          <cell r="C27">
            <v>3.7982199999999998E-4</v>
          </cell>
          <cell r="D27">
            <v>2.32205E-4</v>
          </cell>
          <cell r="E27">
            <v>5.0599999999999997E-5</v>
          </cell>
          <cell r="F27">
            <v>6.7700000000000006E-5</v>
          </cell>
          <cell r="G27">
            <v>3.19403E-4</v>
          </cell>
          <cell r="H27">
            <v>6.75094E-4</v>
          </cell>
          <cell r="I27">
            <v>1.4751E-4</v>
          </cell>
          <cell r="J27">
            <v>3.61527E-4</v>
          </cell>
          <cell r="K27">
            <v>4.5915799999999998E-4</v>
          </cell>
          <cell r="L27">
            <v>1.3683790000000001E-3</v>
          </cell>
          <cell r="M27">
            <v>1.197077E-3</v>
          </cell>
          <cell r="N27">
            <v>6.2939300000000001E-4</v>
          </cell>
          <cell r="O27">
            <v>2.9366100000000002E-4</v>
          </cell>
          <cell r="P27">
            <v>8.61998E-4</v>
          </cell>
          <cell r="Q27">
            <v>2.7930300000000001E-4</v>
          </cell>
          <cell r="R27">
            <v>3.8345799999999999E-4</v>
          </cell>
          <cell r="S27">
            <v>8.7423700000000004E-4</v>
          </cell>
          <cell r="T27">
            <v>1.522135E-3</v>
          </cell>
          <cell r="U27">
            <v>4.7186899999999998E-4</v>
          </cell>
          <cell r="V27">
            <v>2.6769899999999999E-4</v>
          </cell>
          <cell r="W27">
            <v>2.2000399999999999E-4</v>
          </cell>
          <cell r="X27">
            <v>1.6277970000000001E-3</v>
          </cell>
          <cell r="Y27">
            <v>7.7959600000000002E-4</v>
          </cell>
          <cell r="Z27">
            <v>7.6270600000000004E-4</v>
          </cell>
          <cell r="AA27">
            <v>2.0389459999999998E-3</v>
          </cell>
          <cell r="AB27">
            <v>8.6207799999999995E-4</v>
          </cell>
          <cell r="AC27">
            <v>2.3857629999999999E-3</v>
          </cell>
          <cell r="AD27">
            <v>6.3729599999999998E-4</v>
          </cell>
          <cell r="AE27">
            <v>1.780326E-3</v>
          </cell>
          <cell r="AF27">
            <v>1.2380410000000001E-3</v>
          </cell>
          <cell r="AG27">
            <v>1.162375E-3</v>
          </cell>
          <cell r="AH27">
            <v>1.8966862000000001E-2</v>
          </cell>
          <cell r="AI27">
            <v>0</v>
          </cell>
          <cell r="AJ27">
            <v>1.1336254E-2</v>
          </cell>
          <cell r="AK27">
            <v>1.2041744E-2</v>
          </cell>
          <cell r="AL27">
            <v>9.8695529000000004E-2</v>
          </cell>
          <cell r="AM27">
            <v>0.10335649399999999</v>
          </cell>
          <cell r="AN27">
            <v>1.1759923E-2</v>
          </cell>
          <cell r="AO27">
            <v>0</v>
          </cell>
          <cell r="AP27">
            <v>1.5130329E-2</v>
          </cell>
          <cell r="AQ27">
            <v>0</v>
          </cell>
          <cell r="AR27">
            <v>1.6733690999999998E-2</v>
          </cell>
          <cell r="AS27">
            <v>4.9636350000000001E-3</v>
          </cell>
          <cell r="AT27">
            <v>6.4068379999999998E-3</v>
          </cell>
          <cell r="AU27">
            <v>8.6194400000000001E-4</v>
          </cell>
          <cell r="AV27">
            <v>4.2554969999999996E-3</v>
          </cell>
          <cell r="AW27">
            <v>3.6370800000000002E-4</v>
          </cell>
          <cell r="AX27">
            <v>1.2163899999999999E-3</v>
          </cell>
          <cell r="AY27">
            <v>4.0513279999999999E-3</v>
          </cell>
          <cell r="AZ27">
            <v>3.144399E-3</v>
          </cell>
          <cell r="BA27">
            <v>1.9298154000000001E-2</v>
          </cell>
          <cell r="BB27">
            <v>0</v>
          </cell>
          <cell r="BC27">
            <v>1.1441069999999999E-3</v>
          </cell>
          <cell r="BD27">
            <v>4.1948799999999998E-4</v>
          </cell>
          <cell r="BE27">
            <v>3.4294099999999998E-4</v>
          </cell>
          <cell r="BF27">
            <v>3.00752E-4</v>
          </cell>
          <cell r="BG27">
            <v>8.1261099999999998E-4</v>
          </cell>
          <cell r="BH27">
            <v>5.6496900000000002E-4</v>
          </cell>
          <cell r="BI27">
            <v>8.5638999999999995E-4</v>
          </cell>
          <cell r="BJ27">
            <v>6.1017000000000005E-4</v>
          </cell>
        </row>
        <row r="28">
          <cell r="B28">
            <v>6.9499999999999995E-5</v>
          </cell>
          <cell r="C28">
            <v>1.7900000000000001E-5</v>
          </cell>
          <cell r="D28">
            <v>1.08E-5</v>
          </cell>
          <cell r="E28">
            <v>8.4799999999999997E-7</v>
          </cell>
          <cell r="F28">
            <v>1.57E-6</v>
          </cell>
          <cell r="G28">
            <v>2.3099999999999999E-5</v>
          </cell>
          <cell r="H28">
            <v>2.8099999999999999E-5</v>
          </cell>
          <cell r="I28">
            <v>2.5799999999999999E-6</v>
          </cell>
          <cell r="J28">
            <v>1.9400000000000001E-5</v>
          </cell>
          <cell r="K28">
            <v>3.5099999999999999E-5</v>
          </cell>
          <cell r="L28">
            <v>7.4800000000000002E-5</v>
          </cell>
          <cell r="M28">
            <v>3.2499999999999997E-5</v>
          </cell>
          <cell r="N28">
            <v>7.5599999999999994E-5</v>
          </cell>
          <cell r="O28">
            <v>3.4300000000000002E-6</v>
          </cell>
          <cell r="P28">
            <v>2.5500000000000001E-6</v>
          </cell>
          <cell r="Q28">
            <v>2.6100000000000001E-5</v>
          </cell>
          <cell r="R28">
            <v>3.9900000000000001E-5</v>
          </cell>
          <cell r="S28">
            <v>2.1399999999999998E-5</v>
          </cell>
          <cell r="T28">
            <v>3.82E-5</v>
          </cell>
          <cell r="U28">
            <v>1.6699999999999999E-5</v>
          </cell>
          <cell r="V28">
            <v>1.8199999999999999E-5</v>
          </cell>
          <cell r="W28">
            <v>2.4000000000000001E-5</v>
          </cell>
          <cell r="X28">
            <v>5.0399999999999999E-5</v>
          </cell>
          <cell r="Y28">
            <v>2.5899999999999999E-5</v>
          </cell>
          <cell r="Z28">
            <v>8.5699999999999996E-5</v>
          </cell>
          <cell r="AA28">
            <v>5.4799999999999997E-5</v>
          </cell>
          <cell r="AB28">
            <v>4.1399999999999997E-5</v>
          </cell>
          <cell r="AC28">
            <v>5.0983500000000004E-4</v>
          </cell>
          <cell r="AD28">
            <v>1.2845000000000001E-4</v>
          </cell>
          <cell r="AE28">
            <v>3.9866400000000002E-4</v>
          </cell>
          <cell r="AF28">
            <v>2.68554E-4</v>
          </cell>
          <cell r="AG28">
            <v>4.2489999999999997E-4</v>
          </cell>
          <cell r="AH28">
            <v>6.2399999999999999E-5</v>
          </cell>
          <cell r="AI28">
            <v>0</v>
          </cell>
          <cell r="AJ28">
            <v>1.6482399999999999E-4</v>
          </cell>
          <cell r="AK28">
            <v>1.6609700000000001E-4</v>
          </cell>
          <cell r="AL28">
            <v>4.6211599999999999E-4</v>
          </cell>
          <cell r="AM28">
            <v>4.7314699999999999E-4</v>
          </cell>
          <cell r="AN28">
            <v>3.4420300000000001E-4</v>
          </cell>
          <cell r="AO28">
            <v>0</v>
          </cell>
          <cell r="AP28">
            <v>3.3301076999999998E-2</v>
          </cell>
          <cell r="AQ28">
            <v>0</v>
          </cell>
          <cell r="AR28">
            <v>2.3485100000000001E-4</v>
          </cell>
          <cell r="AS28">
            <v>1.20158E-4</v>
          </cell>
          <cell r="AT28">
            <v>9.7499999999999998E-5</v>
          </cell>
          <cell r="AU28">
            <v>5.52E-5</v>
          </cell>
          <cell r="AV28">
            <v>7.7299999999999995E-5</v>
          </cell>
          <cell r="AW28">
            <v>1.91492E-4</v>
          </cell>
          <cell r="AX28">
            <v>6.1199999999999997E-5</v>
          </cell>
          <cell r="AY28">
            <v>7.8399999999999995E-5</v>
          </cell>
          <cell r="AZ28">
            <v>5.1999999999999997E-5</v>
          </cell>
          <cell r="BA28">
            <v>3.31505E-4</v>
          </cell>
          <cell r="BB28">
            <v>0</v>
          </cell>
          <cell r="BC28">
            <v>3.9400000000000002E-5</v>
          </cell>
          <cell r="BD28">
            <v>1.3699999999999999E-5</v>
          </cell>
          <cell r="BE28">
            <v>1.0200000000000001E-5</v>
          </cell>
          <cell r="BF28">
            <v>1.0200000000000001E-5</v>
          </cell>
          <cell r="BG28">
            <v>2.19E-5</v>
          </cell>
          <cell r="BH28">
            <v>3.9799999999999998E-5</v>
          </cell>
          <cell r="BI28">
            <v>5.1100000000000002E-5</v>
          </cell>
          <cell r="BJ28">
            <v>6.2700000000000006E-5</v>
          </cell>
        </row>
        <row r="29">
          <cell r="B29">
            <v>1.2300000000000001E-6</v>
          </cell>
          <cell r="C29">
            <v>2.4600000000000001E-7</v>
          </cell>
          <cell r="D29">
            <v>3.3599999999999999E-7</v>
          </cell>
          <cell r="E29">
            <v>3.47E-8</v>
          </cell>
          <cell r="F29">
            <v>5.6400000000000002E-8</v>
          </cell>
          <cell r="G29">
            <v>4.7300000000000001E-7</v>
          </cell>
          <cell r="H29">
            <v>7.3300000000000001E-7</v>
          </cell>
          <cell r="I29">
            <v>9.9E-8</v>
          </cell>
          <cell r="J29">
            <v>5.9400000000000005E-7</v>
          </cell>
          <cell r="K29">
            <v>8.8299999999999995E-7</v>
          </cell>
          <cell r="L29">
            <v>5.06E-7</v>
          </cell>
          <cell r="M29">
            <v>8.2500000000000004E-7</v>
          </cell>
          <cell r="N29">
            <v>1.0699999999999999E-6</v>
          </cell>
          <cell r="O29">
            <v>1.29E-7</v>
          </cell>
          <cell r="P29">
            <v>2.3699999999999999E-7</v>
          </cell>
          <cell r="Q29">
            <v>6.61E-7</v>
          </cell>
          <cell r="R29">
            <v>7.0399999999999995E-7</v>
          </cell>
          <cell r="S29">
            <v>3.7099999999999997E-7</v>
          </cell>
          <cell r="T29">
            <v>3.7099999999999997E-7</v>
          </cell>
          <cell r="U29">
            <v>6.7100000000000001E-7</v>
          </cell>
          <cell r="V29">
            <v>5.5899999999999996E-7</v>
          </cell>
          <cell r="W29">
            <v>4.6199999999999998E-7</v>
          </cell>
          <cell r="X29">
            <v>3.8600000000000003E-6</v>
          </cell>
          <cell r="Y29">
            <v>1.7400000000000001E-6</v>
          </cell>
          <cell r="Z29">
            <v>7.1299999999999999E-7</v>
          </cell>
          <cell r="AA29">
            <v>3.2700000000000002E-5</v>
          </cell>
          <cell r="AB29">
            <v>2.26E-6</v>
          </cell>
          <cell r="AC29">
            <v>4.4299999999999999E-5</v>
          </cell>
          <cell r="AD29">
            <v>7.5500000000000006E-5</v>
          </cell>
          <cell r="AE29">
            <v>7.96E-6</v>
          </cell>
          <cell r="AF29">
            <v>9.0599999999999997E-6</v>
          </cell>
          <cell r="AG29">
            <v>1.8099999999999999E-5</v>
          </cell>
          <cell r="AH29">
            <v>2.5100000000000001E-6</v>
          </cell>
          <cell r="AI29">
            <v>0</v>
          </cell>
          <cell r="AJ29">
            <v>3.8212350000000001E-3</v>
          </cell>
          <cell r="AK29">
            <v>1.4100000000000001E-6</v>
          </cell>
          <cell r="AL29">
            <v>2.5100000000000001E-7</v>
          </cell>
          <cell r="AM29">
            <v>1.73E-7</v>
          </cell>
          <cell r="AN29">
            <v>1.24E-6</v>
          </cell>
          <cell r="AO29">
            <v>0</v>
          </cell>
          <cell r="AP29">
            <v>9.7699999999999992E-7</v>
          </cell>
          <cell r="AQ29">
            <v>0</v>
          </cell>
          <cell r="AR29">
            <v>9.9900000000000002E-5</v>
          </cell>
          <cell r="AS29">
            <v>6.1099999999999999E-6</v>
          </cell>
          <cell r="AT29">
            <v>3.0800000000000002E-6</v>
          </cell>
          <cell r="AU29">
            <v>7.3300000000000001E-6</v>
          </cell>
          <cell r="AV29">
            <v>5.1599999999999997E-6</v>
          </cell>
          <cell r="AW29">
            <v>2.4899999999999999E-6</v>
          </cell>
          <cell r="AX29">
            <v>1.04E-5</v>
          </cell>
          <cell r="AY29">
            <v>3.1099999999999999E-6</v>
          </cell>
          <cell r="AZ29">
            <v>1.86E-6</v>
          </cell>
          <cell r="BA29">
            <v>1.05096E-4</v>
          </cell>
          <cell r="BB29">
            <v>0</v>
          </cell>
          <cell r="BC29">
            <v>6.8100000000000002E-7</v>
          </cell>
          <cell r="BD29">
            <v>3.9400000000000001E-7</v>
          </cell>
          <cell r="BE29">
            <v>4.5299999999999999E-7</v>
          </cell>
          <cell r="BF29">
            <v>1.9399999999999999E-7</v>
          </cell>
          <cell r="BG29">
            <v>1.9599999999999999E-6</v>
          </cell>
          <cell r="BH29">
            <v>1.33E-6</v>
          </cell>
          <cell r="BI29">
            <v>2.9399999999999998E-6</v>
          </cell>
          <cell r="BJ29">
            <v>9.5900000000000005E-7</v>
          </cell>
        </row>
        <row r="30">
          <cell r="B30">
            <v>3.2121199999999997E-4</v>
          </cell>
          <cell r="C30">
            <v>7.3399999999999995E-5</v>
          </cell>
          <cell r="D30">
            <v>1.0084100000000001E-4</v>
          </cell>
          <cell r="E30">
            <v>1.4800000000000001E-5</v>
          </cell>
          <cell r="F30">
            <v>2.09E-5</v>
          </cell>
          <cell r="G30">
            <v>1.1457E-4</v>
          </cell>
          <cell r="H30">
            <v>1.7083500000000001E-4</v>
          </cell>
          <cell r="I30">
            <v>3.5899999999999998E-5</v>
          </cell>
          <cell r="J30">
            <v>1.6541700000000001E-4</v>
          </cell>
          <cell r="K30">
            <v>1.7083800000000001E-4</v>
          </cell>
          <cell r="L30">
            <v>2.1023E-4</v>
          </cell>
          <cell r="M30">
            <v>2.5870800000000002E-4</v>
          </cell>
          <cell r="N30">
            <v>2.43217E-4</v>
          </cell>
          <cell r="O30">
            <v>4.57E-5</v>
          </cell>
          <cell r="P30">
            <v>1.2804900000000001E-4</v>
          </cell>
          <cell r="Q30">
            <v>2.4996699999999997E-4</v>
          </cell>
          <cell r="R30">
            <v>2.8664899999999999E-4</v>
          </cell>
          <cell r="S30">
            <v>2.6164100000000001E-4</v>
          </cell>
          <cell r="T30">
            <v>2.9317900000000002E-4</v>
          </cell>
          <cell r="U30">
            <v>3.5760099999999998E-4</v>
          </cell>
          <cell r="V30">
            <v>1.2593700000000001E-4</v>
          </cell>
          <cell r="W30">
            <v>1.87655E-4</v>
          </cell>
          <cell r="X30">
            <v>1.9804100000000001E-4</v>
          </cell>
          <cell r="Y30">
            <v>2.28703E-4</v>
          </cell>
          <cell r="Z30">
            <v>9.0400000000000002E-5</v>
          </cell>
          <cell r="AA30">
            <v>3.8960119999999999E-3</v>
          </cell>
          <cell r="AB30">
            <v>1.8416680000000001E-3</v>
          </cell>
          <cell r="AC30">
            <v>9.9677800000000003E-4</v>
          </cell>
          <cell r="AD30">
            <v>6.0687899999999995E-4</v>
          </cell>
          <cell r="AE30">
            <v>9.7659799999999996E-4</v>
          </cell>
          <cell r="AF30">
            <v>1.379412E-3</v>
          </cell>
          <cell r="AG30">
            <v>1.0342560000000001E-3</v>
          </cell>
          <cell r="AH30">
            <v>7.2524670000000003E-3</v>
          </cell>
          <cell r="AI30">
            <v>0</v>
          </cell>
          <cell r="AJ30">
            <v>4.4905819999999999E-3</v>
          </cell>
          <cell r="AK30">
            <v>5.0038119999999998E-3</v>
          </cell>
          <cell r="AL30">
            <v>4.1318519999999997E-2</v>
          </cell>
          <cell r="AM30">
            <v>4.3362451000000003E-2</v>
          </cell>
          <cell r="AN30">
            <v>3.7979379999999998E-3</v>
          </cell>
          <cell r="AO30">
            <v>0</v>
          </cell>
          <cell r="AP30">
            <v>5.03401E-4</v>
          </cell>
          <cell r="AQ30">
            <v>0</v>
          </cell>
          <cell r="AR30">
            <v>7.0853110000000004E-3</v>
          </cell>
          <cell r="AS30">
            <v>2.335003E-3</v>
          </cell>
          <cell r="AT30">
            <v>2.8617069999999998E-3</v>
          </cell>
          <cell r="AU30">
            <v>1.2280200000000001E-4</v>
          </cell>
          <cell r="AV30">
            <v>1.94915E-3</v>
          </cell>
          <cell r="AW30">
            <v>1.4790100000000001E-4</v>
          </cell>
          <cell r="AX30">
            <v>8.9150000000000004E-4</v>
          </cell>
          <cell r="AY30">
            <v>2.3507710000000002E-3</v>
          </cell>
          <cell r="AZ30">
            <v>1.8272430000000001E-3</v>
          </cell>
          <cell r="BA30">
            <v>8.2750250000000001E-3</v>
          </cell>
          <cell r="BB30">
            <v>0</v>
          </cell>
          <cell r="BC30">
            <v>1.3925999999999999E-4</v>
          </cell>
          <cell r="BD30">
            <v>9.9900000000000002E-5</v>
          </cell>
          <cell r="BE30">
            <v>1.0340699999999999E-4</v>
          </cell>
          <cell r="BF30">
            <v>9.6600000000000003E-5</v>
          </cell>
          <cell r="BG30">
            <v>3.8495800000000002E-4</v>
          </cell>
          <cell r="BH30">
            <v>1.4653299999999999E-4</v>
          </cell>
          <cell r="BI30">
            <v>3.06908E-4</v>
          </cell>
          <cell r="BJ30">
            <v>7.9400000000000006E-5</v>
          </cell>
        </row>
        <row r="31">
          <cell r="B31">
            <v>1.7499999999999998E-5</v>
          </cell>
          <cell r="C31">
            <v>1.1199999999999999E-5</v>
          </cell>
          <cell r="D31">
            <v>8.9800000000000004E-6</v>
          </cell>
          <cell r="E31">
            <v>2.26E-6</v>
          </cell>
          <cell r="F31">
            <v>2.9399999999999998E-6</v>
          </cell>
          <cell r="G31">
            <v>8.0099999999999995E-6</v>
          </cell>
          <cell r="H31">
            <v>1.6900000000000001E-5</v>
          </cell>
          <cell r="I31">
            <v>5.0799999999999996E-6</v>
          </cell>
          <cell r="J31">
            <v>1.43E-5</v>
          </cell>
          <cell r="K31">
            <v>1.43E-5</v>
          </cell>
          <cell r="L31">
            <v>6.2100000000000005E-5</v>
          </cell>
          <cell r="M31">
            <v>4.8099999999999997E-5</v>
          </cell>
          <cell r="N31">
            <v>2.02E-5</v>
          </cell>
          <cell r="O31">
            <v>3.4300000000000002E-6</v>
          </cell>
          <cell r="P31">
            <v>8.7199999999999995E-6</v>
          </cell>
          <cell r="Q31">
            <v>9.0100000000000001E-6</v>
          </cell>
          <cell r="R31">
            <v>1.08E-5</v>
          </cell>
          <cell r="S31">
            <v>1.5500000000000001E-5</v>
          </cell>
          <cell r="T31">
            <v>3.0499999999999999E-5</v>
          </cell>
          <cell r="U31">
            <v>6.3100000000000002E-5</v>
          </cell>
          <cell r="V31">
            <v>9.8400000000000007E-6</v>
          </cell>
          <cell r="W31">
            <v>7.96E-6</v>
          </cell>
          <cell r="X31">
            <v>4.0099999999999999E-5</v>
          </cell>
          <cell r="Y31">
            <v>1.9700000000000001E-5</v>
          </cell>
          <cell r="Z31">
            <v>2.4199999999999999E-5</v>
          </cell>
          <cell r="AA31">
            <v>8.3200000000000003E-5</v>
          </cell>
          <cell r="AB31">
            <v>4.1199999999999999E-5</v>
          </cell>
          <cell r="AC31">
            <v>1.5694E-4</v>
          </cell>
          <cell r="AD31">
            <v>3.3699999999999999E-5</v>
          </cell>
          <cell r="AE31">
            <v>9.7E-5</v>
          </cell>
          <cell r="AF31">
            <v>7.1199999999999996E-5</v>
          </cell>
          <cell r="AG31">
            <v>1.4008900000000001E-4</v>
          </cell>
          <cell r="AH31">
            <v>6.6713999999999999E-4</v>
          </cell>
          <cell r="AI31">
            <v>0</v>
          </cell>
          <cell r="AJ31">
            <v>3.5218199999999998E-4</v>
          </cell>
          <cell r="AK31">
            <v>3.7137200000000002E-4</v>
          </cell>
          <cell r="AL31">
            <v>3.493454E-3</v>
          </cell>
          <cell r="AM31">
            <v>3.6541439999999998E-3</v>
          </cell>
          <cell r="AN31">
            <v>6.6470600000000004E-4</v>
          </cell>
          <cell r="AO31">
            <v>0</v>
          </cell>
          <cell r="AP31">
            <v>1.493601E-3</v>
          </cell>
          <cell r="AQ31">
            <v>0</v>
          </cell>
          <cell r="AR31">
            <v>9.7911900000000008E-4</v>
          </cell>
          <cell r="AS31">
            <v>1.8385100000000001E-4</v>
          </cell>
          <cell r="AT31">
            <v>2.2150499999999999E-4</v>
          </cell>
          <cell r="AU31">
            <v>2.8E-5</v>
          </cell>
          <cell r="AV31">
            <v>1.5976200000000001E-4</v>
          </cell>
          <cell r="AW31">
            <v>1.38E-5</v>
          </cell>
          <cell r="AX31">
            <v>4.9799999999999998E-5</v>
          </cell>
          <cell r="AY31">
            <v>1.4376600000000001E-4</v>
          </cell>
          <cell r="AZ31">
            <v>1.05944E-4</v>
          </cell>
          <cell r="BA31">
            <v>8.10409E-4</v>
          </cell>
          <cell r="BB31">
            <v>0</v>
          </cell>
          <cell r="BC31">
            <v>3.1999999999999999E-5</v>
          </cell>
          <cell r="BD31">
            <v>8.7299999999999994E-6</v>
          </cell>
          <cell r="BE31">
            <v>5.6300000000000003E-6</v>
          </cell>
          <cell r="BF31">
            <v>6.72E-6</v>
          </cell>
          <cell r="BG31">
            <v>2.3900000000000002E-5</v>
          </cell>
          <cell r="BH31">
            <v>1.6200000000000001E-5</v>
          </cell>
          <cell r="BI31">
            <v>2.7699999999999999E-5</v>
          </cell>
          <cell r="BJ31">
            <v>3.2499999999999997E-5</v>
          </cell>
        </row>
        <row r="32">
          <cell r="B32">
            <v>1.01E-5</v>
          </cell>
          <cell r="C32">
            <v>2.3999999999999999E-6</v>
          </cell>
          <cell r="D32">
            <v>3.2399999999999999E-6</v>
          </cell>
          <cell r="E32">
            <v>2.8900000000000001E-7</v>
          </cell>
          <cell r="F32">
            <v>4.3500000000000002E-7</v>
          </cell>
          <cell r="G32">
            <v>3.4599999999999999E-6</v>
          </cell>
          <cell r="H32">
            <v>2.2500000000000001E-5</v>
          </cell>
          <cell r="I32">
            <v>8.23E-7</v>
          </cell>
          <cell r="J32">
            <v>7.2600000000000003E-5</v>
          </cell>
          <cell r="K32">
            <v>5.8300000000000001E-6</v>
          </cell>
          <cell r="L32">
            <v>1.59E-5</v>
          </cell>
          <cell r="M32">
            <v>7.1400000000000002E-6</v>
          </cell>
          <cell r="N32">
            <v>8.5099999999999998E-6</v>
          </cell>
          <cell r="O32">
            <v>1.5E-6</v>
          </cell>
          <cell r="P32">
            <v>2.8899999999999999E-6</v>
          </cell>
          <cell r="Q32">
            <v>4.3699999999999997E-6</v>
          </cell>
          <cell r="R32">
            <v>1.0200000000000001E-5</v>
          </cell>
          <cell r="S32">
            <v>4.1500000000000001E-6</v>
          </cell>
          <cell r="T32">
            <v>5.0499999999999999E-6</v>
          </cell>
          <cell r="U32">
            <v>3.1499999999999999E-6</v>
          </cell>
          <cell r="V32">
            <v>2.9699999999999999E-6</v>
          </cell>
          <cell r="W32">
            <v>3.05E-6</v>
          </cell>
          <cell r="X32">
            <v>9.0000000000000002E-6</v>
          </cell>
          <cell r="Y32">
            <v>9.73E-6</v>
          </cell>
          <cell r="Z32">
            <v>5.75E-6</v>
          </cell>
          <cell r="AA32">
            <v>4.7599999999999998E-5</v>
          </cell>
          <cell r="AB32">
            <v>1.29E-5</v>
          </cell>
          <cell r="AC32">
            <v>6.8899999999999994E-5</v>
          </cell>
          <cell r="AD32">
            <v>1.63E-5</v>
          </cell>
          <cell r="AE32">
            <v>5.5500000000000001E-5</v>
          </cell>
          <cell r="AF32">
            <v>4.2599999999999999E-5</v>
          </cell>
          <cell r="AG32">
            <v>3.57E-5</v>
          </cell>
          <cell r="AH32">
            <v>2.5999999999999998E-5</v>
          </cell>
          <cell r="AI32">
            <v>0</v>
          </cell>
          <cell r="AJ32">
            <v>4.07E-5</v>
          </cell>
          <cell r="AK32">
            <v>4.1E-5</v>
          </cell>
          <cell r="AL32">
            <v>3.7666899999999999E-4</v>
          </cell>
          <cell r="AM32">
            <v>3.94714E-4</v>
          </cell>
          <cell r="AN32">
            <v>1.48262E-4</v>
          </cell>
          <cell r="AO32">
            <v>0</v>
          </cell>
          <cell r="AP32">
            <v>0.125664307</v>
          </cell>
          <cell r="AQ32">
            <v>0</v>
          </cell>
          <cell r="AR32">
            <v>7.8500900000000003E-4</v>
          </cell>
          <cell r="AS32">
            <v>4.5300000000000003E-5</v>
          </cell>
          <cell r="AT32">
            <v>4.9100000000000001E-5</v>
          </cell>
          <cell r="AU32">
            <v>1.9400000000000001E-5</v>
          </cell>
          <cell r="AV32">
            <v>4.1E-5</v>
          </cell>
          <cell r="AW32">
            <v>1.4800000000000001E-5</v>
          </cell>
          <cell r="AX32">
            <v>1.9300000000000002E-5</v>
          </cell>
          <cell r="AY32">
            <v>3.9400000000000002E-5</v>
          </cell>
          <cell r="AZ32">
            <v>2.1299999999999999E-5</v>
          </cell>
          <cell r="BA32">
            <v>1.96701E-4</v>
          </cell>
          <cell r="BB32">
            <v>0</v>
          </cell>
          <cell r="BC32">
            <v>5.3199999999999999E-6</v>
          </cell>
          <cell r="BD32">
            <v>2.6400000000000001E-6</v>
          </cell>
          <cell r="BE32">
            <v>2.79E-6</v>
          </cell>
          <cell r="BF32">
            <v>1.48E-6</v>
          </cell>
          <cell r="BG32">
            <v>1.06E-5</v>
          </cell>
          <cell r="BH32">
            <v>6.9199999999999998E-6</v>
          </cell>
          <cell r="BI32">
            <v>1.1800000000000001E-5</v>
          </cell>
          <cell r="BJ32">
            <v>4.6700000000000002E-6</v>
          </cell>
        </row>
        <row r="33">
          <cell r="B33">
            <v>1.8983199999999999E-4</v>
          </cell>
          <cell r="C33">
            <v>2.0869899999999999E-4</v>
          </cell>
          <cell r="D33">
            <v>3.4271699999999998E-4</v>
          </cell>
          <cell r="E33">
            <v>4.6499999999999999E-5</v>
          </cell>
          <cell r="F33">
            <v>5.9299999999999998E-5</v>
          </cell>
          <cell r="G33">
            <v>4.4376600000000001E-4</v>
          </cell>
          <cell r="H33">
            <v>5.4316599999999998E-4</v>
          </cell>
          <cell r="I33">
            <v>1.11263E-4</v>
          </cell>
          <cell r="J33">
            <v>9.3853299999999997E-4</v>
          </cell>
          <cell r="K33">
            <v>9.04567E-4</v>
          </cell>
          <cell r="L33">
            <v>6.6097400000000005E-4</v>
          </cell>
          <cell r="M33">
            <v>2.55887E-4</v>
          </cell>
          <cell r="N33">
            <v>6.89465E-4</v>
          </cell>
          <cell r="O33">
            <v>1.59937E-4</v>
          </cell>
          <cell r="P33">
            <v>2.3257200000000001E-4</v>
          </cell>
          <cell r="Q33">
            <v>3.4523799999999999E-4</v>
          </cell>
          <cell r="R33">
            <v>4.6172999999999999E-4</v>
          </cell>
          <cell r="S33">
            <v>7.5492699999999996E-4</v>
          </cell>
          <cell r="T33">
            <v>1.03998E-3</v>
          </cell>
          <cell r="U33">
            <v>1.99719E-4</v>
          </cell>
          <cell r="V33">
            <v>1.2790999999999999E-4</v>
          </cell>
          <cell r="W33">
            <v>1.4080900000000001E-3</v>
          </cell>
          <cell r="X33">
            <v>1.5879170000000001E-3</v>
          </cell>
          <cell r="Y33">
            <v>6.6688999999999995E-4</v>
          </cell>
          <cell r="Z33">
            <v>3.4291809999999999E-3</v>
          </cell>
          <cell r="AA33">
            <v>7.6217600000000004E-4</v>
          </cell>
          <cell r="AB33">
            <v>1.4554100000000001E-4</v>
          </cell>
          <cell r="AC33">
            <v>2.3442162999999999E-2</v>
          </cell>
          <cell r="AD33">
            <v>1.3968380000000001E-3</v>
          </cell>
          <cell r="AE33">
            <v>4.5529539999999997E-3</v>
          </cell>
          <cell r="AF33">
            <v>4.9184770000000001E-3</v>
          </cell>
          <cell r="AG33">
            <v>4.3246827000000002E-2</v>
          </cell>
          <cell r="AH33">
            <v>1.9975739999999998E-3</v>
          </cell>
          <cell r="AI33">
            <v>0</v>
          </cell>
          <cell r="AJ33">
            <v>1.7073139999999999E-3</v>
          </cell>
          <cell r="AK33">
            <v>1.880261E-3</v>
          </cell>
          <cell r="AL33">
            <v>5.7292860000000001E-3</v>
          </cell>
          <cell r="AM33">
            <v>5.9573739999999997E-3</v>
          </cell>
          <cell r="AN33">
            <v>1.1299400000000001E-3</v>
          </cell>
          <cell r="AO33">
            <v>0</v>
          </cell>
          <cell r="AP33">
            <v>9.3134900000000004E-4</v>
          </cell>
          <cell r="AQ33">
            <v>0</v>
          </cell>
          <cell r="AR33">
            <v>3.7958255000000003E-2</v>
          </cell>
          <cell r="AS33">
            <v>5.7030700000000004E-4</v>
          </cell>
          <cell r="AT33">
            <v>1.196576E-3</v>
          </cell>
          <cell r="AU33">
            <v>5.3999999999999998E-5</v>
          </cell>
          <cell r="AV33">
            <v>7.2836600000000004E-4</v>
          </cell>
          <cell r="AW33">
            <v>2.9985899999999998E-4</v>
          </cell>
          <cell r="AX33">
            <v>2.9589200000000002E-4</v>
          </cell>
          <cell r="AY33">
            <v>4.1041899999999997E-4</v>
          </cell>
          <cell r="AZ33">
            <v>2.9767200000000002E-4</v>
          </cell>
          <cell r="BA33">
            <v>2.4259379999999999E-3</v>
          </cell>
          <cell r="BB33">
            <v>0</v>
          </cell>
          <cell r="BC33">
            <v>8.6592600000000004E-4</v>
          </cell>
          <cell r="BD33">
            <v>4.9694799999999999E-4</v>
          </cell>
          <cell r="BE33">
            <v>5.6555400000000001E-4</v>
          </cell>
          <cell r="BF33">
            <v>3.8516400000000001E-4</v>
          </cell>
          <cell r="BG33">
            <v>1.6843699999999999E-3</v>
          </cell>
          <cell r="BH33">
            <v>1.5552960000000001E-3</v>
          </cell>
          <cell r="BI33">
            <v>7.9328360000000004E-3</v>
          </cell>
          <cell r="BJ33">
            <v>9.6000000000000002E-5</v>
          </cell>
        </row>
        <row r="34">
          <cell r="B34">
            <v>3.9660800000000001E-4</v>
          </cell>
          <cell r="C34">
            <v>2.6425999999999999E-4</v>
          </cell>
          <cell r="D34">
            <v>2.3109899999999999E-4</v>
          </cell>
          <cell r="E34">
            <v>5.49E-5</v>
          </cell>
          <cell r="F34">
            <v>8.5099999999999995E-5</v>
          </cell>
          <cell r="G34">
            <v>5.1475499999999999E-4</v>
          </cell>
          <cell r="H34">
            <v>6.7720400000000004E-4</v>
          </cell>
          <cell r="I34">
            <v>1.53778E-4</v>
          </cell>
          <cell r="J34">
            <v>5.0157999999999995E-4</v>
          </cell>
          <cell r="K34">
            <v>7.6856099999999996E-4</v>
          </cell>
          <cell r="L34">
            <v>7.9398999999999995E-4</v>
          </cell>
          <cell r="M34">
            <v>4.18319E-4</v>
          </cell>
          <cell r="N34">
            <v>9.1674400000000004E-4</v>
          </cell>
          <cell r="O34">
            <v>3.1717799999999999E-4</v>
          </cell>
          <cell r="P34">
            <v>4.6719099999999999E-4</v>
          </cell>
          <cell r="Q34">
            <v>4.4961399999999998E-4</v>
          </cell>
          <cell r="R34">
            <v>5.8620999999999999E-4</v>
          </cell>
          <cell r="S34">
            <v>1.0581589999999999E-3</v>
          </cell>
          <cell r="T34">
            <v>1.476694E-3</v>
          </cell>
          <cell r="U34">
            <v>3.1626499999999998E-4</v>
          </cell>
          <cell r="V34">
            <v>1.8941300000000001E-4</v>
          </cell>
          <cell r="W34">
            <v>1.569396E-3</v>
          </cell>
          <cell r="X34">
            <v>1.4186610000000001E-3</v>
          </cell>
          <cell r="Y34">
            <v>8.2014100000000003E-4</v>
          </cell>
          <cell r="Z34">
            <v>1.03199E-3</v>
          </cell>
          <cell r="AA34">
            <v>1.1336156999999999E-2</v>
          </cell>
          <cell r="AB34">
            <v>3.5931500000000002E-4</v>
          </cell>
          <cell r="AC34">
            <v>3.2010626E-2</v>
          </cell>
          <cell r="AD34">
            <v>2.1507449999999999E-3</v>
          </cell>
          <cell r="AE34">
            <v>4.6189886999999999E-2</v>
          </cell>
          <cell r="AF34">
            <v>4.0445801000000003E-2</v>
          </cell>
          <cell r="AG34">
            <v>4.8941569999999997E-3</v>
          </cell>
          <cell r="AH34">
            <v>2.865088E-3</v>
          </cell>
          <cell r="AI34">
            <v>0</v>
          </cell>
          <cell r="AJ34">
            <v>2.8520189999999999E-3</v>
          </cell>
          <cell r="AK34">
            <v>3.0595000000000002E-3</v>
          </cell>
          <cell r="AL34">
            <v>4.9773559999999996E-3</v>
          </cell>
          <cell r="AM34">
            <v>5.1098410000000004E-3</v>
          </cell>
          <cell r="AN34">
            <v>1.9797700000000001E-3</v>
          </cell>
          <cell r="AO34">
            <v>0</v>
          </cell>
          <cell r="AP34">
            <v>3.3815479999999998E-3</v>
          </cell>
          <cell r="AQ34">
            <v>0</v>
          </cell>
          <cell r="AR34">
            <v>7.6865630000000004E-3</v>
          </cell>
          <cell r="AS34">
            <v>5.99198E-4</v>
          </cell>
          <cell r="AT34">
            <v>1.150875E-3</v>
          </cell>
          <cell r="AU34">
            <v>1.7491800000000001E-4</v>
          </cell>
          <cell r="AV34">
            <v>2.8999849999999999E-3</v>
          </cell>
          <cell r="AW34">
            <v>7.6851700000000003E-4</v>
          </cell>
          <cell r="AX34">
            <v>8.0975199999999995E-4</v>
          </cell>
          <cell r="AY34">
            <v>4.67501E-4</v>
          </cell>
          <cell r="AZ34">
            <v>4.2617499999999999E-4</v>
          </cell>
          <cell r="BA34">
            <v>2.5665129999999999E-3</v>
          </cell>
          <cell r="BB34">
            <v>0</v>
          </cell>
          <cell r="BC34">
            <v>1.37896E-3</v>
          </cell>
          <cell r="BD34">
            <v>7.4439099999999995E-4</v>
          </cell>
          <cell r="BE34">
            <v>8.8418899999999996E-4</v>
          </cell>
          <cell r="BF34">
            <v>5.0620400000000001E-4</v>
          </cell>
          <cell r="BG34">
            <v>3.3563429999999999E-3</v>
          </cell>
          <cell r="BH34">
            <v>2.0021940000000001E-3</v>
          </cell>
          <cell r="BI34">
            <v>7.8585589999999993E-3</v>
          </cell>
          <cell r="BJ34">
            <v>2.3758500000000001E-4</v>
          </cell>
        </row>
        <row r="35">
          <cell r="B35">
            <v>3.3399999999999999E-5</v>
          </cell>
          <cell r="C35">
            <v>5.5899999999999997E-5</v>
          </cell>
          <cell r="D35">
            <v>2.4064400000000001E-4</v>
          </cell>
          <cell r="E35">
            <v>8.2600000000000005E-6</v>
          </cell>
          <cell r="F35">
            <v>2.2699999999999999E-6</v>
          </cell>
          <cell r="G35">
            <v>6.7500000000000001E-5</v>
          </cell>
          <cell r="H35">
            <v>8.0199999999999998E-5</v>
          </cell>
          <cell r="I35">
            <v>4.4299999999999999E-6</v>
          </cell>
          <cell r="J35">
            <v>6.2817400000000001E-4</v>
          </cell>
          <cell r="K35">
            <v>3.7361799999999999E-4</v>
          </cell>
          <cell r="L35">
            <v>1.89326E-4</v>
          </cell>
          <cell r="M35">
            <v>1.1399999999999999E-5</v>
          </cell>
          <cell r="N35">
            <v>8.6399999999999999E-5</v>
          </cell>
          <cell r="O35">
            <v>6.8000000000000001E-6</v>
          </cell>
          <cell r="P35">
            <v>2.16E-5</v>
          </cell>
          <cell r="Q35">
            <v>2.97E-5</v>
          </cell>
          <cell r="R35">
            <v>3.43E-5</v>
          </cell>
          <cell r="S35">
            <v>2.6400000000000001E-5</v>
          </cell>
          <cell r="T35">
            <v>3.54E-5</v>
          </cell>
          <cell r="U35">
            <v>1.52E-5</v>
          </cell>
          <cell r="V35">
            <v>5.4500000000000003E-6</v>
          </cell>
          <cell r="W35">
            <v>8.1199999999999995E-5</v>
          </cell>
          <cell r="X35">
            <v>3.8800000000000001E-5</v>
          </cell>
          <cell r="Y35">
            <v>2.3799999999999999E-5</v>
          </cell>
          <cell r="Z35">
            <v>8.6029300000000004E-4</v>
          </cell>
          <cell r="AA35">
            <v>9.3089399999999999E-3</v>
          </cell>
          <cell r="AB35">
            <v>1.4215199999999999E-4</v>
          </cell>
          <cell r="AC35">
            <v>1.1628840000000001E-3</v>
          </cell>
          <cell r="AD35">
            <v>1.6711499999999999E-4</v>
          </cell>
          <cell r="AE35">
            <v>5.2874699999999998E-4</v>
          </cell>
          <cell r="AF35">
            <v>6.3113100000000005E-4</v>
          </cell>
          <cell r="AG35">
            <v>6.7784099999999999E-4</v>
          </cell>
          <cell r="AH35">
            <v>1.15269E-4</v>
          </cell>
          <cell r="AI35">
            <v>0</v>
          </cell>
          <cell r="AJ35">
            <v>1.3356199999999999E-4</v>
          </cell>
          <cell r="AK35">
            <v>1.4289399999999999E-4</v>
          </cell>
          <cell r="AL35">
            <v>1.17514E-4</v>
          </cell>
          <cell r="AM35">
            <v>1.2218900000000001E-4</v>
          </cell>
          <cell r="AN35">
            <v>5.9799999999999997E-5</v>
          </cell>
          <cell r="AO35">
            <v>0</v>
          </cell>
          <cell r="AP35">
            <v>6.0600000000000003E-5</v>
          </cell>
          <cell r="AQ35">
            <v>0</v>
          </cell>
          <cell r="AR35">
            <v>2.947079E-3</v>
          </cell>
          <cell r="AS35">
            <v>3.6100000000000003E-5</v>
          </cell>
          <cell r="AT35">
            <v>1.0550100000000001E-4</v>
          </cell>
          <cell r="AU35">
            <v>1.2300000000000001E-5</v>
          </cell>
          <cell r="AV35">
            <v>4.3600000000000003E-5</v>
          </cell>
          <cell r="AW35">
            <v>2.6299999999999999E-5</v>
          </cell>
          <cell r="AX35">
            <v>6.2500000000000001E-5</v>
          </cell>
          <cell r="AY35">
            <v>3.6199999999999999E-5</v>
          </cell>
          <cell r="AZ35">
            <v>1.469599E-3</v>
          </cell>
          <cell r="BA35">
            <v>1.26558E-4</v>
          </cell>
          <cell r="BB35">
            <v>0</v>
          </cell>
          <cell r="BC35">
            <v>3.0899999999999999E-5</v>
          </cell>
          <cell r="BD35">
            <v>1.95E-5</v>
          </cell>
          <cell r="BE35">
            <v>2.1399999999999998E-5</v>
          </cell>
          <cell r="BF35">
            <v>2.76E-5</v>
          </cell>
          <cell r="BG35">
            <v>4.0838099999999998E-4</v>
          </cell>
          <cell r="BH35">
            <v>2.9499999999999999E-5</v>
          </cell>
          <cell r="BI35">
            <v>6.86E-5</v>
          </cell>
          <cell r="BJ35">
            <v>5.1399999999999999E-6</v>
          </cell>
        </row>
        <row r="36">
          <cell r="B36">
            <v>8.9115199999999998E-4</v>
          </cell>
          <cell r="C36">
            <v>1.1169369999999999E-3</v>
          </cell>
          <cell r="D36">
            <v>6.838472E-3</v>
          </cell>
          <cell r="E36">
            <v>7.8700000000000002E-5</v>
          </cell>
          <cell r="F36">
            <v>2.4899999999999999E-5</v>
          </cell>
          <cell r="G36">
            <v>6.1936300000000005E-4</v>
          </cell>
          <cell r="H36">
            <v>6.4988100000000005E-4</v>
          </cell>
          <cell r="I36">
            <v>5.0500000000000001E-5</v>
          </cell>
          <cell r="J36">
            <v>1.0654587E-2</v>
          </cell>
          <cell r="K36">
            <v>9.7879799999999991E-4</v>
          </cell>
          <cell r="L36">
            <v>2.4894100000000001E-3</v>
          </cell>
          <cell r="M36">
            <v>1.263431E-3</v>
          </cell>
          <cell r="N36">
            <v>3.9776600000000003E-4</v>
          </cell>
          <cell r="O36">
            <v>4.0805799999999999E-4</v>
          </cell>
          <cell r="P36">
            <v>4.3490599999999999E-4</v>
          </cell>
          <cell r="Q36">
            <v>6.5699999999999998E-5</v>
          </cell>
          <cell r="R36">
            <v>1.11258E-4</v>
          </cell>
          <cell r="S36">
            <v>1.0980399999999999E-4</v>
          </cell>
          <cell r="T36">
            <v>1.6589600000000001E-4</v>
          </cell>
          <cell r="U36">
            <v>9.6399999999999999E-5</v>
          </cell>
          <cell r="V36">
            <v>9.5500000000000004E-5</v>
          </cell>
          <cell r="W36">
            <v>4.9599999999999999E-5</v>
          </cell>
          <cell r="X36">
            <v>2.1403500000000001E-4</v>
          </cell>
          <cell r="Y36">
            <v>1.6176600000000001E-4</v>
          </cell>
          <cell r="Z36">
            <v>2.5387400000000002E-4</v>
          </cell>
          <cell r="AA36">
            <v>3.1221200000000003E-4</v>
          </cell>
          <cell r="AB36">
            <v>1.17243E-4</v>
          </cell>
          <cell r="AC36">
            <v>6.8999999999999997E-5</v>
          </cell>
          <cell r="AD36">
            <v>9.3900000000000006E-5</v>
          </cell>
          <cell r="AE36">
            <v>7.0699999999999997E-5</v>
          </cell>
          <cell r="AF36">
            <v>1.14032E-4</v>
          </cell>
          <cell r="AG36">
            <v>9.4300000000000002E-5</v>
          </cell>
          <cell r="AH36">
            <v>1.0005699999999999E-4</v>
          </cell>
          <cell r="AI36">
            <v>0</v>
          </cell>
          <cell r="AJ36">
            <v>9.3399999999999993E-5</v>
          </cell>
          <cell r="AK36">
            <v>7.0300000000000001E-5</v>
          </cell>
          <cell r="AL36">
            <v>6.9900000000000005E-5</v>
          </cell>
          <cell r="AM36">
            <v>4.3999999999999999E-5</v>
          </cell>
          <cell r="AN36">
            <v>8.9300000000000002E-5</v>
          </cell>
          <cell r="AO36">
            <v>0</v>
          </cell>
          <cell r="AP36">
            <v>1.5091599999999999E-4</v>
          </cell>
          <cell r="AQ36">
            <v>0</v>
          </cell>
          <cell r="AR36">
            <v>5.3900000000000002E-5</v>
          </cell>
          <cell r="AS36">
            <v>6.1400000000000002E-5</v>
          </cell>
          <cell r="AT36">
            <v>7.8999999999999996E-5</v>
          </cell>
          <cell r="AU36">
            <v>8.0900000000000001E-5</v>
          </cell>
          <cell r="AV36">
            <v>7.25E-5</v>
          </cell>
          <cell r="AW36">
            <v>4.6900000000000002E-5</v>
          </cell>
          <cell r="AX36">
            <v>1.2877900000000001E-4</v>
          </cell>
          <cell r="AY36">
            <v>7.1899999999999999E-5</v>
          </cell>
          <cell r="AZ36">
            <v>8.0500000000000005E-5</v>
          </cell>
          <cell r="BA36">
            <v>2.8391499999999998E-4</v>
          </cell>
          <cell r="BB36">
            <v>0</v>
          </cell>
          <cell r="BC36">
            <v>1.3213100000000001E-4</v>
          </cell>
          <cell r="BD36">
            <v>5.5600000000000003E-5</v>
          </cell>
          <cell r="BE36">
            <v>4.85E-5</v>
          </cell>
          <cell r="BF36">
            <v>4.0200000000000001E-5</v>
          </cell>
          <cell r="BG36">
            <v>1.45692E-4</v>
          </cell>
          <cell r="BH36">
            <v>1.45112E-4</v>
          </cell>
          <cell r="BI36">
            <v>5.27E-5</v>
          </cell>
          <cell r="BJ36">
            <v>9.2700000000000004E-5</v>
          </cell>
        </row>
        <row r="37">
          <cell r="B37">
            <v>5.9942199999999995E-4</v>
          </cell>
          <cell r="C37">
            <v>1.0181032E-2</v>
          </cell>
          <cell r="D37">
            <v>4.2885470000000002E-3</v>
          </cell>
          <cell r="E37">
            <v>1.7132599999999999E-4</v>
          </cell>
          <cell r="F37">
            <v>1.7034400000000001E-4</v>
          </cell>
          <cell r="G37">
            <v>8.19216E-4</v>
          </cell>
          <cell r="H37">
            <v>1.529704E-3</v>
          </cell>
          <cell r="I37">
            <v>3.7936300000000002E-4</v>
          </cell>
          <cell r="J37">
            <v>1.7054219999999998E-2</v>
          </cell>
          <cell r="K37">
            <v>2.1486370000000001E-3</v>
          </cell>
          <cell r="L37">
            <v>1.1645343000000001E-2</v>
          </cell>
          <cell r="M37">
            <v>2.4725459999999999E-3</v>
          </cell>
          <cell r="N37">
            <v>8.8837599999999997E-4</v>
          </cell>
          <cell r="O37">
            <v>6.9471099999999998E-4</v>
          </cell>
          <cell r="P37">
            <v>1.1300780000000001E-3</v>
          </cell>
          <cell r="Q37">
            <v>3.5453200000000001E-4</v>
          </cell>
          <cell r="R37">
            <v>7.5299600000000003E-4</v>
          </cell>
          <cell r="S37">
            <v>4.6707200000000002E-4</v>
          </cell>
          <cell r="T37">
            <v>6.2480100000000002E-4</v>
          </cell>
          <cell r="U37">
            <v>2.8098799999999997E-4</v>
          </cell>
          <cell r="V37">
            <v>4.3299799999999998E-4</v>
          </cell>
          <cell r="W37">
            <v>3.5974100000000001E-4</v>
          </cell>
          <cell r="X37">
            <v>2.0781400000000001E-4</v>
          </cell>
          <cell r="Y37">
            <v>1.106686E-3</v>
          </cell>
          <cell r="Z37">
            <v>4.9685099999999998E-4</v>
          </cell>
          <cell r="AA37">
            <v>1.781707E-3</v>
          </cell>
          <cell r="AB37">
            <v>7.8961600000000004E-4</v>
          </cell>
          <cell r="AC37">
            <v>2.6904499999999998E-4</v>
          </cell>
          <cell r="AD37">
            <v>5.2042400000000002E-4</v>
          </cell>
          <cell r="AE37">
            <v>2.7947699999999998E-4</v>
          </cell>
          <cell r="AF37">
            <v>6.2777600000000003E-4</v>
          </cell>
          <cell r="AG37">
            <v>4.9551399999999996E-4</v>
          </cell>
          <cell r="AH37">
            <v>4.9818300000000002E-4</v>
          </cell>
          <cell r="AI37">
            <v>0</v>
          </cell>
          <cell r="AJ37">
            <v>5.0688299999999996E-4</v>
          </cell>
          <cell r="AK37">
            <v>4.2182599999999998E-4</v>
          </cell>
          <cell r="AL37">
            <v>2.7742799999999997E-4</v>
          </cell>
          <cell r="AM37">
            <v>2.23169E-4</v>
          </cell>
          <cell r="AN37">
            <v>5.8770399999999998E-4</v>
          </cell>
          <cell r="AO37">
            <v>0</v>
          </cell>
          <cell r="AP37">
            <v>1.1394630000000001E-3</v>
          </cell>
          <cell r="AQ37">
            <v>0</v>
          </cell>
          <cell r="AR37">
            <v>2.32773E-4</v>
          </cell>
          <cell r="AS37">
            <v>1.7013799999999999E-4</v>
          </cell>
          <cell r="AT37">
            <v>2.8394899999999997E-4</v>
          </cell>
          <cell r="AU37">
            <v>1.6661200000000001E-4</v>
          </cell>
          <cell r="AV37">
            <v>1.4836E-4</v>
          </cell>
          <cell r="AW37">
            <v>2.0826199999999999E-4</v>
          </cell>
          <cell r="AX37">
            <v>5.90962E-4</v>
          </cell>
          <cell r="AY37">
            <v>2.4579300000000001E-4</v>
          </cell>
          <cell r="AZ37">
            <v>3.0181000000000001E-4</v>
          </cell>
          <cell r="BA37">
            <v>4.9648800000000001E-4</v>
          </cell>
          <cell r="BB37">
            <v>0</v>
          </cell>
          <cell r="BC37">
            <v>3.7911299999999999E-4</v>
          </cell>
          <cell r="BD37">
            <v>1.6336700000000001E-4</v>
          </cell>
          <cell r="BE37">
            <v>1.17606E-4</v>
          </cell>
          <cell r="BF37">
            <v>1.01992E-4</v>
          </cell>
          <cell r="BG37">
            <v>4.3715900000000001E-4</v>
          </cell>
          <cell r="BH37">
            <v>3.0693400000000003E-4</v>
          </cell>
          <cell r="BI37">
            <v>5.9299999999999998E-5</v>
          </cell>
          <cell r="BJ37">
            <v>2.2154999999999999E-4</v>
          </cell>
        </row>
        <row r="38">
          <cell r="B38">
            <v>4.5500000000000001E-5</v>
          </cell>
          <cell r="C38">
            <v>7.2899999999999997E-5</v>
          </cell>
          <cell r="D38">
            <v>3.2922600000000001E-4</v>
          </cell>
          <cell r="E38">
            <v>7.3599999999999998E-6</v>
          </cell>
          <cell r="F38">
            <v>3.5899999999999999E-6</v>
          </cell>
          <cell r="G38">
            <v>3.4799999999999999E-5</v>
          </cell>
          <cell r="H38">
            <v>1.1029799999999999E-4</v>
          </cell>
          <cell r="I38">
            <v>5.5199999999999997E-6</v>
          </cell>
          <cell r="J38">
            <v>4.7808799999999999E-4</v>
          </cell>
          <cell r="K38">
            <v>6.05E-5</v>
          </cell>
          <cell r="L38">
            <v>9.0593800000000001E-4</v>
          </cell>
          <cell r="M38">
            <v>1.2040300000000001E-4</v>
          </cell>
          <cell r="N38">
            <v>7.6500000000000003E-5</v>
          </cell>
          <cell r="O38">
            <v>1.35876E-4</v>
          </cell>
          <cell r="P38">
            <v>1.2889600000000001E-4</v>
          </cell>
          <cell r="Q38">
            <v>3.96E-5</v>
          </cell>
          <cell r="R38">
            <v>3.9799999999999998E-5</v>
          </cell>
          <cell r="S38">
            <v>4.8699999999999998E-5</v>
          </cell>
          <cell r="T38">
            <v>7.0400000000000004E-5</v>
          </cell>
          <cell r="U38">
            <v>3.9799999999999998E-5</v>
          </cell>
          <cell r="V38">
            <v>2.72E-5</v>
          </cell>
          <cell r="W38">
            <v>8.5399999999999996E-6</v>
          </cell>
          <cell r="X38">
            <v>1.39214E-4</v>
          </cell>
          <cell r="Y38">
            <v>2.6699999999999998E-5</v>
          </cell>
          <cell r="Z38">
            <v>1.8769300000000001E-4</v>
          </cell>
          <cell r="AA38">
            <v>3.2254799999999998E-4</v>
          </cell>
          <cell r="AB38">
            <v>8.6799999999999996E-5</v>
          </cell>
          <cell r="AC38">
            <v>6.9200000000000002E-5</v>
          </cell>
          <cell r="AD38">
            <v>2.4499999999999999E-5</v>
          </cell>
          <cell r="AE38">
            <v>4.3000000000000002E-5</v>
          </cell>
          <cell r="AF38">
            <v>3.6600000000000002E-5</v>
          </cell>
          <cell r="AG38">
            <v>4.46E-5</v>
          </cell>
          <cell r="AH38">
            <v>4.9599999999999999E-5</v>
          </cell>
          <cell r="AI38">
            <v>0</v>
          </cell>
          <cell r="AJ38">
            <v>5.5699999999999999E-5</v>
          </cell>
          <cell r="AK38">
            <v>4.18E-5</v>
          </cell>
          <cell r="AL38">
            <v>3.4999999999999997E-5</v>
          </cell>
          <cell r="AM38">
            <v>9.6600000000000007E-6</v>
          </cell>
          <cell r="AN38">
            <v>1.3677700000000001E-4</v>
          </cell>
          <cell r="AO38">
            <v>0</v>
          </cell>
          <cell r="AP38">
            <v>2.4600000000000002E-5</v>
          </cell>
          <cell r="AQ38">
            <v>0</v>
          </cell>
          <cell r="AR38">
            <v>4.1199999999999999E-5</v>
          </cell>
          <cell r="AS38">
            <v>2.2900000000000001E-5</v>
          </cell>
          <cell r="AT38">
            <v>5.1600000000000001E-5</v>
          </cell>
          <cell r="AU38">
            <v>8.4400000000000005E-5</v>
          </cell>
          <cell r="AV38">
            <v>7.1400000000000001E-5</v>
          </cell>
          <cell r="AW38">
            <v>6.9300000000000004E-5</v>
          </cell>
          <cell r="AX38">
            <v>1.04694E-4</v>
          </cell>
          <cell r="AY38">
            <v>7.5699999999999997E-5</v>
          </cell>
          <cell r="AZ38">
            <v>7.6199999999999995E-5</v>
          </cell>
          <cell r="BA38">
            <v>5.0808400000000001E-4</v>
          </cell>
          <cell r="BB38">
            <v>0</v>
          </cell>
          <cell r="BC38">
            <v>7.6799999999999997E-5</v>
          </cell>
          <cell r="BD38">
            <v>2.0800000000000001E-5</v>
          </cell>
          <cell r="BE38">
            <v>1.49E-5</v>
          </cell>
          <cell r="BF38">
            <v>1.7600000000000001E-5</v>
          </cell>
          <cell r="BG38">
            <v>8.3700000000000002E-5</v>
          </cell>
          <cell r="BH38">
            <v>2.2826300000000001E-4</v>
          </cell>
          <cell r="BI38">
            <v>2.2500000000000001E-5</v>
          </cell>
          <cell r="BJ38">
            <v>5.8600000000000001E-5</v>
          </cell>
        </row>
        <row r="39">
          <cell r="B39">
            <v>3.6170000000000001E-4</v>
          </cell>
          <cell r="C39">
            <v>8.5697099999999999E-4</v>
          </cell>
          <cell r="D39">
            <v>5.6755299999999998E-3</v>
          </cell>
          <cell r="E39">
            <v>3.9115920000000002E-3</v>
          </cell>
          <cell r="F39">
            <v>1.1799999999999999E-6</v>
          </cell>
          <cell r="G39">
            <v>4.3712200000000002E-4</v>
          </cell>
          <cell r="H39">
            <v>1.8294606000000001E-2</v>
          </cell>
          <cell r="I39">
            <v>1.81E-6</v>
          </cell>
          <cell r="J39">
            <v>6.9846020000000003E-3</v>
          </cell>
          <cell r="K39">
            <v>6.2554799999999997E-4</v>
          </cell>
          <cell r="L39">
            <v>6.8300230000000002E-3</v>
          </cell>
          <cell r="M39">
            <v>7.0429100000000001E-4</v>
          </cell>
          <cell r="N39">
            <v>1.66286E-4</v>
          </cell>
          <cell r="O39">
            <v>1.9952199999999999E-4</v>
          </cell>
          <cell r="P39">
            <v>9.0912899999999995E-4</v>
          </cell>
          <cell r="Q39">
            <v>1.24E-5</v>
          </cell>
          <cell r="R39">
            <v>1.7E-5</v>
          </cell>
          <cell r="S39">
            <v>1.2E-5</v>
          </cell>
          <cell r="T39">
            <v>1.33E-5</v>
          </cell>
          <cell r="U39">
            <v>1.0499999999999999E-5</v>
          </cell>
          <cell r="V39">
            <v>1.7127099999999999E-4</v>
          </cell>
          <cell r="W39">
            <v>5.4500000000000003E-6</v>
          </cell>
          <cell r="X39">
            <v>6.5500000000000006E-5</v>
          </cell>
          <cell r="Y39">
            <v>8.3399999999999998E-6</v>
          </cell>
          <cell r="Z39">
            <v>1.0575E-4</v>
          </cell>
          <cell r="AA39">
            <v>7.2299999999999996E-5</v>
          </cell>
          <cell r="AB39">
            <v>1.8899999999999999E-5</v>
          </cell>
          <cell r="AC39">
            <v>2.7399999999999999E-5</v>
          </cell>
          <cell r="AD39">
            <v>1.7200000000000001E-5</v>
          </cell>
          <cell r="AE39">
            <v>2.8099999999999999E-5</v>
          </cell>
          <cell r="AF39">
            <v>1.8700000000000001E-5</v>
          </cell>
          <cell r="AG39">
            <v>1.7900000000000001E-5</v>
          </cell>
          <cell r="AH39">
            <v>1.26E-5</v>
          </cell>
          <cell r="AI39">
            <v>0</v>
          </cell>
          <cell r="AJ39">
            <v>1.26E-5</v>
          </cell>
          <cell r="AK39">
            <v>9.2399999999999996E-6</v>
          </cell>
          <cell r="AL39">
            <v>1.13E-5</v>
          </cell>
          <cell r="AM39">
            <v>7.2400000000000001E-6</v>
          </cell>
          <cell r="AN39">
            <v>2.34E-5</v>
          </cell>
          <cell r="AO39">
            <v>0</v>
          </cell>
          <cell r="AP39">
            <v>9.7799999999999995E-6</v>
          </cell>
          <cell r="AQ39">
            <v>0</v>
          </cell>
          <cell r="AR39">
            <v>3.1699999999999998E-5</v>
          </cell>
          <cell r="AS39">
            <v>1.4800000000000001E-5</v>
          </cell>
          <cell r="AT39">
            <v>1.2099999999999999E-5</v>
          </cell>
          <cell r="AU39">
            <v>7.2000000000000002E-5</v>
          </cell>
          <cell r="AV39">
            <v>1.8600000000000001E-5</v>
          </cell>
          <cell r="AW39">
            <v>3.1699999999999998E-5</v>
          </cell>
          <cell r="AX39">
            <v>2.9348599999999997E-4</v>
          </cell>
          <cell r="AY39">
            <v>2.5599999999999999E-5</v>
          </cell>
          <cell r="AZ39">
            <v>2.2099999999999998E-5</v>
          </cell>
          <cell r="BA39">
            <v>7.2299999999999996E-5</v>
          </cell>
          <cell r="BB39">
            <v>0</v>
          </cell>
          <cell r="BC39">
            <v>1.84E-5</v>
          </cell>
          <cell r="BD39">
            <v>9.2799999999999992E-6</v>
          </cell>
          <cell r="BE39">
            <v>1.22E-5</v>
          </cell>
          <cell r="BF39">
            <v>4.9599999999999999E-6</v>
          </cell>
          <cell r="BG39">
            <v>4.3699999999999998E-5</v>
          </cell>
          <cell r="BH39">
            <v>1.31E-5</v>
          </cell>
          <cell r="BI39">
            <v>8.9199999999999993E-6</v>
          </cell>
          <cell r="BJ39">
            <v>1.13E-5</v>
          </cell>
        </row>
        <row r="40">
          <cell r="B40">
            <v>2.5925299999999998E-4</v>
          </cell>
          <cell r="C40">
            <v>4.5013600000000001E-4</v>
          </cell>
          <cell r="D40">
            <v>2.5941430000000001E-3</v>
          </cell>
          <cell r="E40">
            <v>5.7899999999999998E-5</v>
          </cell>
          <cell r="F40">
            <v>4.2899999999999999E-5</v>
          </cell>
          <cell r="G40">
            <v>3.04715E-4</v>
          </cell>
          <cell r="H40">
            <v>2.886577E-3</v>
          </cell>
          <cell r="I40">
            <v>9.2100000000000003E-5</v>
          </cell>
          <cell r="J40">
            <v>1.2556774999999999E-2</v>
          </cell>
          <cell r="K40">
            <v>6.6267699999999997E-4</v>
          </cell>
          <cell r="L40">
            <v>1.758349E-3</v>
          </cell>
          <cell r="M40">
            <v>5.82933E-4</v>
          </cell>
          <cell r="N40">
            <v>2.1138E-4</v>
          </cell>
          <cell r="O40">
            <v>2.4814200000000002E-4</v>
          </cell>
          <cell r="P40">
            <v>3.5800799999999999E-4</v>
          </cell>
          <cell r="Q40">
            <v>8.9099999999999997E-5</v>
          </cell>
          <cell r="R40">
            <v>1.8557799999999999E-4</v>
          </cell>
          <cell r="S40">
            <v>1.17656E-4</v>
          </cell>
          <cell r="T40">
            <v>1.44089E-4</v>
          </cell>
          <cell r="U40">
            <v>7.0300000000000001E-5</v>
          </cell>
          <cell r="V40">
            <v>1.0712799999999999E-4</v>
          </cell>
          <cell r="W40">
            <v>8.8999999999999995E-5</v>
          </cell>
          <cell r="X40">
            <v>7.1500000000000003E-5</v>
          </cell>
          <cell r="Y40">
            <v>2.78545E-4</v>
          </cell>
          <cell r="Z40">
            <v>1.22929E-4</v>
          </cell>
          <cell r="AA40">
            <v>5.8723499999999997E-4</v>
          </cell>
          <cell r="AB40">
            <v>2.2031000000000001E-4</v>
          </cell>
          <cell r="AC40">
            <v>5.8999999999999998E-5</v>
          </cell>
          <cell r="AD40">
            <v>1.3101500000000001E-4</v>
          </cell>
          <cell r="AE40">
            <v>6.3299999999999994E-5</v>
          </cell>
          <cell r="AF40">
            <v>1.51411E-4</v>
          </cell>
          <cell r="AG40">
            <v>1.2548299999999999E-4</v>
          </cell>
          <cell r="AH40">
            <v>1.1320299999999999E-4</v>
          </cell>
          <cell r="AI40">
            <v>0</v>
          </cell>
          <cell r="AJ40">
            <v>1.22531E-4</v>
          </cell>
          <cell r="AK40">
            <v>1.06313E-4</v>
          </cell>
          <cell r="AL40">
            <v>5.0800000000000002E-5</v>
          </cell>
          <cell r="AM40">
            <v>5.1E-5</v>
          </cell>
          <cell r="AN40">
            <v>8.6299999999999997E-5</v>
          </cell>
          <cell r="AO40">
            <v>0</v>
          </cell>
          <cell r="AP40">
            <v>2.7756699999999999E-4</v>
          </cell>
          <cell r="AQ40">
            <v>0</v>
          </cell>
          <cell r="AR40">
            <v>5.3699999999999997E-5</v>
          </cell>
          <cell r="AS40">
            <v>4.9799999999999998E-5</v>
          </cell>
          <cell r="AT40">
            <v>7.4200000000000001E-5</v>
          </cell>
          <cell r="AU40">
            <v>7.4900000000000005E-5</v>
          </cell>
          <cell r="AV40">
            <v>3.6399999999999997E-5</v>
          </cell>
          <cell r="AW40">
            <v>4.9299999999999999E-5</v>
          </cell>
          <cell r="AX40">
            <v>1.59679E-4</v>
          </cell>
          <cell r="AY40">
            <v>5.0599999999999997E-5</v>
          </cell>
          <cell r="AZ40">
            <v>7.9300000000000003E-5</v>
          </cell>
          <cell r="BA40">
            <v>1.83291E-4</v>
          </cell>
          <cell r="BB40">
            <v>0</v>
          </cell>
          <cell r="BC40">
            <v>7.47E-5</v>
          </cell>
          <cell r="BD40">
            <v>5.02E-5</v>
          </cell>
          <cell r="BE40">
            <v>4.1900000000000002E-5</v>
          </cell>
          <cell r="BF40">
            <v>4.8999999999999998E-5</v>
          </cell>
          <cell r="BG40">
            <v>1.4798E-4</v>
          </cell>
          <cell r="BH40">
            <v>9.4500000000000007E-5</v>
          </cell>
          <cell r="BI40">
            <v>4.1399999999999997E-5</v>
          </cell>
          <cell r="BJ40">
            <v>3.68E-5</v>
          </cell>
        </row>
        <row r="41">
          <cell r="B41">
            <v>5.8129000000000004E-4</v>
          </cell>
          <cell r="C41">
            <v>7.2517899999999995E-4</v>
          </cell>
          <cell r="D41">
            <v>4.1791069999999996E-3</v>
          </cell>
          <cell r="E41">
            <v>3.12947E-4</v>
          </cell>
          <cell r="F41">
            <v>5.5899999999999997E-5</v>
          </cell>
          <cell r="G41">
            <v>0.14339216299999999</v>
          </cell>
          <cell r="H41">
            <v>2.3368219999999999E-2</v>
          </cell>
          <cell r="I41">
            <v>1.1943300000000001E-4</v>
          </cell>
          <cell r="J41">
            <v>2.2991685000000001E-2</v>
          </cell>
          <cell r="K41">
            <v>2.100345E-3</v>
          </cell>
          <cell r="L41">
            <v>1.0416409999999999E-2</v>
          </cell>
          <cell r="M41">
            <v>1.7608704999999999E-2</v>
          </cell>
          <cell r="N41">
            <v>3.8428239999999999E-3</v>
          </cell>
          <cell r="O41">
            <v>2.7951400000000002E-4</v>
          </cell>
          <cell r="P41">
            <v>3.2532999999999998E-4</v>
          </cell>
          <cell r="Q41">
            <v>1.5049900000000001E-4</v>
          </cell>
          <cell r="R41">
            <v>2.6147399999999998E-4</v>
          </cell>
          <cell r="S41">
            <v>2.2167199999999999E-4</v>
          </cell>
          <cell r="T41">
            <v>2.6475100000000003E-4</v>
          </cell>
          <cell r="U41">
            <v>1.2692700000000001E-4</v>
          </cell>
          <cell r="V41">
            <v>1.87014E-4</v>
          </cell>
          <cell r="W41">
            <v>1.2835200000000001E-4</v>
          </cell>
          <cell r="X41">
            <v>1.6718700000000001E-4</v>
          </cell>
          <cell r="Y41">
            <v>4.0565099999999998E-4</v>
          </cell>
          <cell r="Z41">
            <v>2.5804499999999999E-4</v>
          </cell>
          <cell r="AA41">
            <v>7.17243E-4</v>
          </cell>
          <cell r="AB41">
            <v>2.9427199999999999E-4</v>
          </cell>
          <cell r="AC41">
            <v>1.06469E-4</v>
          </cell>
          <cell r="AD41">
            <v>2.0567099999999999E-4</v>
          </cell>
          <cell r="AE41">
            <v>1.0932100000000001E-4</v>
          </cell>
          <cell r="AF41">
            <v>2.21709E-4</v>
          </cell>
          <cell r="AG41">
            <v>2.1007E-4</v>
          </cell>
          <cell r="AH41">
            <v>1.61989E-4</v>
          </cell>
          <cell r="AI41">
            <v>0</v>
          </cell>
          <cell r="AJ41">
            <v>1.58111E-4</v>
          </cell>
          <cell r="AK41">
            <v>1.33886E-4</v>
          </cell>
          <cell r="AL41">
            <v>6.7799999999999995E-5</v>
          </cell>
          <cell r="AM41">
            <v>6.5699999999999998E-5</v>
          </cell>
          <cell r="AN41">
            <v>1.80442E-4</v>
          </cell>
          <cell r="AO41">
            <v>0</v>
          </cell>
          <cell r="AP41">
            <v>3.55361E-4</v>
          </cell>
          <cell r="AQ41">
            <v>0</v>
          </cell>
          <cell r="AR41">
            <v>9.5199999999999997E-5</v>
          </cell>
          <cell r="AS41">
            <v>9.8900000000000005E-5</v>
          </cell>
          <cell r="AT41">
            <v>1.5757299999999999E-4</v>
          </cell>
          <cell r="AU41">
            <v>1.92769E-4</v>
          </cell>
          <cell r="AV41">
            <v>8.6899999999999998E-5</v>
          </cell>
          <cell r="AW41">
            <v>7.6199999999999995E-5</v>
          </cell>
          <cell r="AX41">
            <v>3.8033700000000001E-4</v>
          </cell>
          <cell r="AY41">
            <v>9.7499999999999998E-5</v>
          </cell>
          <cell r="AZ41">
            <v>2.0754899999999999E-4</v>
          </cell>
          <cell r="BA41">
            <v>2.0781200000000001E-4</v>
          </cell>
          <cell r="BB41">
            <v>0</v>
          </cell>
          <cell r="BC41">
            <v>1.4179199999999999E-4</v>
          </cell>
          <cell r="BD41">
            <v>1.21371E-4</v>
          </cell>
          <cell r="BE41">
            <v>1.06418E-4</v>
          </cell>
          <cell r="BF41">
            <v>1.7729900000000001E-4</v>
          </cell>
          <cell r="BG41">
            <v>2.3749400000000001E-4</v>
          </cell>
          <cell r="BH41">
            <v>2.57877E-4</v>
          </cell>
          <cell r="BI41">
            <v>1.98965E-4</v>
          </cell>
          <cell r="BJ41">
            <v>8.6899999999999998E-5</v>
          </cell>
        </row>
        <row r="42">
          <cell r="B42">
            <v>1.22E-5</v>
          </cell>
          <cell r="C42">
            <v>2.76E-5</v>
          </cell>
          <cell r="D42">
            <v>1.25043E-4</v>
          </cell>
          <cell r="E42">
            <v>1.95E-6</v>
          </cell>
          <cell r="F42">
            <v>7.0100000000000004E-7</v>
          </cell>
          <cell r="G42">
            <v>1.5299999999999999E-5</v>
          </cell>
          <cell r="H42">
            <v>1.4191779999999999E-2</v>
          </cell>
          <cell r="I42">
            <v>7.0299999999999998E-7</v>
          </cell>
          <cell r="J42">
            <v>3.310534E-3</v>
          </cell>
          <cell r="K42">
            <v>1.8499999999999999E-5</v>
          </cell>
          <cell r="L42">
            <v>9.7646600000000005E-4</v>
          </cell>
          <cell r="M42">
            <v>2.7500000000000001E-5</v>
          </cell>
          <cell r="N42">
            <v>2.6800000000000002E-6</v>
          </cell>
          <cell r="O42">
            <v>5.0699999999999997E-6</v>
          </cell>
          <cell r="P42">
            <v>7.2200000000000003E-6</v>
          </cell>
          <cell r="Q42">
            <v>8.09E-7</v>
          </cell>
          <cell r="R42">
            <v>9.9199999999999999E-7</v>
          </cell>
          <cell r="S42">
            <v>8.3799999999999996E-7</v>
          </cell>
          <cell r="T42">
            <v>8.2399999999999997E-7</v>
          </cell>
          <cell r="U42">
            <v>1.42E-6</v>
          </cell>
          <cell r="V42">
            <v>1.99E-6</v>
          </cell>
          <cell r="W42">
            <v>4.0999999999999999E-7</v>
          </cell>
          <cell r="X42">
            <v>1.2899999999999999E-6</v>
          </cell>
          <cell r="Y42">
            <v>9.2900000000000002E-7</v>
          </cell>
          <cell r="Z42">
            <v>4.5699999999999998E-7</v>
          </cell>
          <cell r="AA42">
            <v>1.9300000000000002E-5</v>
          </cell>
          <cell r="AB42">
            <v>5.5999999999999997E-6</v>
          </cell>
          <cell r="AC42">
            <v>1.37E-6</v>
          </cell>
          <cell r="AD42">
            <v>5.4499999999999997E-7</v>
          </cell>
          <cell r="AE42">
            <v>4.34E-7</v>
          </cell>
          <cell r="AF42">
            <v>6.5199999999999996E-7</v>
          </cell>
          <cell r="AG42">
            <v>6.8899999999999999E-7</v>
          </cell>
          <cell r="AH42">
            <v>9.9999999999999995E-7</v>
          </cell>
          <cell r="AI42">
            <v>0</v>
          </cell>
          <cell r="AJ42">
            <v>1.7099999999999999E-6</v>
          </cell>
          <cell r="AK42">
            <v>1.35E-6</v>
          </cell>
          <cell r="AL42">
            <v>2.17E-7</v>
          </cell>
          <cell r="AM42">
            <v>1.37E-7</v>
          </cell>
          <cell r="AN42">
            <v>7.9299999999999997E-7</v>
          </cell>
          <cell r="AO42">
            <v>0</v>
          </cell>
          <cell r="AP42">
            <v>3.1099999999999999E-6</v>
          </cell>
          <cell r="AQ42">
            <v>0</v>
          </cell>
          <cell r="AR42">
            <v>5.8400000000000004E-7</v>
          </cell>
          <cell r="AS42">
            <v>8.3699999999999999E-7</v>
          </cell>
          <cell r="AT42">
            <v>1.66E-6</v>
          </cell>
          <cell r="AU42">
            <v>2.1500000000000002E-6</v>
          </cell>
          <cell r="AV42">
            <v>2.04E-6</v>
          </cell>
          <cell r="AW42">
            <v>1.13E-6</v>
          </cell>
          <cell r="AX42">
            <v>4.3800000000000001E-5</v>
          </cell>
          <cell r="AY42">
            <v>1.44E-6</v>
          </cell>
          <cell r="AZ42">
            <v>4.16E-6</v>
          </cell>
          <cell r="BA42">
            <v>1.9999999999999999E-6</v>
          </cell>
          <cell r="BB42">
            <v>0</v>
          </cell>
          <cell r="BC42">
            <v>6.9100000000000003E-7</v>
          </cell>
          <cell r="BD42">
            <v>4.1600000000000002E-7</v>
          </cell>
          <cell r="BE42">
            <v>5.7800000000000001E-7</v>
          </cell>
          <cell r="BF42">
            <v>5.2900000000000004E-7</v>
          </cell>
          <cell r="BG42">
            <v>3.3799999999999998E-6</v>
          </cell>
          <cell r="BH42">
            <v>3.46E-7</v>
          </cell>
          <cell r="BI42">
            <v>6.75E-7</v>
          </cell>
          <cell r="BJ42">
            <v>2.0200000000000001E-7</v>
          </cell>
        </row>
        <row r="43">
          <cell r="B43">
            <v>1.23316E-4</v>
          </cell>
          <cell r="C43">
            <v>2.7858400000000001E-4</v>
          </cell>
          <cell r="D43">
            <v>1.5179010000000001E-3</v>
          </cell>
          <cell r="E43">
            <v>1.95E-5</v>
          </cell>
          <cell r="F43">
            <v>3.5700000000000001E-6</v>
          </cell>
          <cell r="G43">
            <v>3.4058500000000002E-4</v>
          </cell>
          <cell r="H43">
            <v>7.1799999999999997E-5</v>
          </cell>
          <cell r="I43">
            <v>1.6399999999999999E-5</v>
          </cell>
          <cell r="J43">
            <v>2.3160490000000001E-3</v>
          </cell>
          <cell r="K43">
            <v>1.069717E-3</v>
          </cell>
          <cell r="L43">
            <v>7.0145099999999996E-4</v>
          </cell>
          <cell r="M43">
            <v>2.05668E-4</v>
          </cell>
          <cell r="N43">
            <v>5.8100000000000003E-5</v>
          </cell>
          <cell r="O43">
            <v>2.2900000000000001E-5</v>
          </cell>
          <cell r="P43">
            <v>2.8E-5</v>
          </cell>
          <cell r="Q43">
            <v>1.0900000000000001E-5</v>
          </cell>
          <cell r="R43">
            <v>1.8300000000000001E-5</v>
          </cell>
          <cell r="S43">
            <v>1.2500000000000001E-5</v>
          </cell>
          <cell r="T43">
            <v>1.4800000000000001E-5</v>
          </cell>
          <cell r="U43">
            <v>8.7399999999999993E-6</v>
          </cell>
          <cell r="V43">
            <v>1.0200000000000001E-5</v>
          </cell>
          <cell r="W43">
            <v>8.14E-6</v>
          </cell>
          <cell r="X43">
            <v>9.3200000000000006E-6</v>
          </cell>
          <cell r="Y43">
            <v>2.2200000000000001E-5</v>
          </cell>
          <cell r="Z43">
            <v>1.98E-5</v>
          </cell>
          <cell r="AA43">
            <v>7.4400000000000006E-5</v>
          </cell>
          <cell r="AB43">
            <v>2.6400000000000001E-5</v>
          </cell>
          <cell r="AC43">
            <v>1.6200000000000001E-5</v>
          </cell>
          <cell r="AD43">
            <v>1.2E-5</v>
          </cell>
          <cell r="AE43">
            <v>1.03E-5</v>
          </cell>
          <cell r="AF43">
            <v>1.6799999999999998E-5</v>
          </cell>
          <cell r="AG43">
            <v>1.42E-5</v>
          </cell>
          <cell r="AH43">
            <v>1.3200000000000001E-5</v>
          </cell>
          <cell r="AI43">
            <v>0</v>
          </cell>
          <cell r="AJ43">
            <v>1.4399999999999999E-5</v>
          </cell>
          <cell r="AK43">
            <v>1.24E-5</v>
          </cell>
          <cell r="AL43">
            <v>6.1099999999999999E-6</v>
          </cell>
          <cell r="AM43">
            <v>4.2599999999999999E-6</v>
          </cell>
          <cell r="AN43">
            <v>4.0599999999999998E-5</v>
          </cell>
          <cell r="AO43">
            <v>0</v>
          </cell>
          <cell r="AP43">
            <v>2.9E-5</v>
          </cell>
          <cell r="AQ43">
            <v>0</v>
          </cell>
          <cell r="AR43">
            <v>9.1800000000000002E-6</v>
          </cell>
          <cell r="AS43">
            <v>8.0499999999999992E-6</v>
          </cell>
          <cell r="AT43">
            <v>1.0200000000000001E-5</v>
          </cell>
          <cell r="AU43">
            <v>2.16E-5</v>
          </cell>
          <cell r="AV43">
            <v>8.6400000000000003E-6</v>
          </cell>
          <cell r="AW43">
            <v>6.9800000000000001E-6</v>
          </cell>
          <cell r="AX43">
            <v>1.56E-5</v>
          </cell>
          <cell r="AY43">
            <v>9.1500000000000005E-6</v>
          </cell>
          <cell r="AZ43">
            <v>1.2799999999999999E-5</v>
          </cell>
          <cell r="BA43">
            <v>3.3699999999999999E-5</v>
          </cell>
          <cell r="BB43">
            <v>0</v>
          </cell>
          <cell r="BC43">
            <v>1.11E-5</v>
          </cell>
          <cell r="BD43">
            <v>5.6500000000000001E-6</v>
          </cell>
          <cell r="BE43">
            <v>5.8499999999999999E-6</v>
          </cell>
          <cell r="BF43">
            <v>5.4E-6</v>
          </cell>
          <cell r="BG43">
            <v>2.0800000000000001E-5</v>
          </cell>
          <cell r="BH43">
            <v>8.4700000000000002E-6</v>
          </cell>
          <cell r="BI43">
            <v>4.8400000000000002E-6</v>
          </cell>
          <cell r="BJ43">
            <v>6.5699999999999998E-6</v>
          </cell>
        </row>
        <row r="44">
          <cell r="B44">
            <v>8.0256990000000007E-3</v>
          </cell>
          <cell r="C44">
            <v>1.9785009999999999E-2</v>
          </cell>
          <cell r="D44">
            <v>0.109782162</v>
          </cell>
          <cell r="E44">
            <v>1.0122300000000001E-2</v>
          </cell>
          <cell r="F44">
            <v>4.0099999999999999E-5</v>
          </cell>
          <cell r="G44">
            <v>3.5431526999999997E-2</v>
          </cell>
          <cell r="H44">
            <v>4.2870255000000003E-2</v>
          </cell>
          <cell r="I44">
            <v>1.5729399999999999E-4</v>
          </cell>
          <cell r="J44">
            <v>0.161484077</v>
          </cell>
          <cell r="K44">
            <v>2.7793314E-2</v>
          </cell>
          <cell r="L44">
            <v>3.1211928999999999E-2</v>
          </cell>
          <cell r="M44">
            <v>1.3545269999999999E-3</v>
          </cell>
          <cell r="N44">
            <v>4.2962399999999998E-4</v>
          </cell>
          <cell r="O44">
            <v>2.2720600000000001E-4</v>
          </cell>
          <cell r="P44">
            <v>7.1587899999999999E-4</v>
          </cell>
          <cell r="Q44">
            <v>1.07475E-4</v>
          </cell>
          <cell r="R44">
            <v>1.8813900000000001E-4</v>
          </cell>
          <cell r="S44">
            <v>2.2156399999999999E-4</v>
          </cell>
          <cell r="T44">
            <v>2.39025E-4</v>
          </cell>
          <cell r="U44">
            <v>1.8782400000000001E-4</v>
          </cell>
          <cell r="V44">
            <v>4.4826300000000001E-4</v>
          </cell>
          <cell r="W44">
            <v>8.9699999999999998E-5</v>
          </cell>
          <cell r="X44">
            <v>1.3265299999999999E-4</v>
          </cell>
          <cell r="Y44">
            <v>2.7860599999999998E-4</v>
          </cell>
          <cell r="Z44">
            <v>1.8882099999999999E-4</v>
          </cell>
          <cell r="AA44">
            <v>2.1562339999999999E-3</v>
          </cell>
          <cell r="AB44">
            <v>3.7051299999999999E-4</v>
          </cell>
          <cell r="AC44">
            <v>1.2026E-4</v>
          </cell>
          <cell r="AD44">
            <v>1.6354499999999999E-4</v>
          </cell>
          <cell r="AE44">
            <v>1.6430000000000001E-4</v>
          </cell>
          <cell r="AF44">
            <v>2.5861100000000001E-4</v>
          </cell>
          <cell r="AG44">
            <v>2.2257399999999999E-4</v>
          </cell>
          <cell r="AH44">
            <v>1.7784300000000001E-4</v>
          </cell>
          <cell r="AI44">
            <v>0</v>
          </cell>
          <cell r="AJ44">
            <v>1.7501600000000001E-4</v>
          </cell>
          <cell r="AK44">
            <v>1.48364E-4</v>
          </cell>
          <cell r="AL44">
            <v>6.3600000000000001E-5</v>
          </cell>
          <cell r="AM44">
            <v>5.7500000000000002E-5</v>
          </cell>
          <cell r="AN44">
            <v>1.6541200000000001E-4</v>
          </cell>
          <cell r="AO44">
            <v>0</v>
          </cell>
          <cell r="AP44">
            <v>3.1476200000000001E-4</v>
          </cell>
          <cell r="AQ44">
            <v>0</v>
          </cell>
          <cell r="AR44">
            <v>1.07361E-4</v>
          </cell>
          <cell r="AS44">
            <v>3.3301199999999999E-4</v>
          </cell>
          <cell r="AT44">
            <v>1.2359E-4</v>
          </cell>
          <cell r="AU44">
            <v>1.7128900000000001E-4</v>
          </cell>
          <cell r="AV44">
            <v>7.5799999999999999E-5</v>
          </cell>
          <cell r="AW44">
            <v>5.41E-5</v>
          </cell>
          <cell r="AX44">
            <v>8.4106299999999997E-4</v>
          </cell>
          <cell r="AY44">
            <v>8.0099999999999995E-5</v>
          </cell>
          <cell r="AZ44">
            <v>1.7908999999999999E-4</v>
          </cell>
          <cell r="BA44">
            <v>2.4872639999999999E-3</v>
          </cell>
          <cell r="BB44">
            <v>0</v>
          </cell>
          <cell r="BC44">
            <v>2.5594799999999998E-4</v>
          </cell>
          <cell r="BD44">
            <v>2.3649899999999999E-4</v>
          </cell>
          <cell r="BE44">
            <v>3.3465300000000002E-4</v>
          </cell>
          <cell r="BF44">
            <v>1.6463200000000001E-4</v>
          </cell>
          <cell r="BG44">
            <v>1.08519E-3</v>
          </cell>
          <cell r="BH44">
            <v>2.2729799999999999E-4</v>
          </cell>
          <cell r="BI44">
            <v>1.6262000000000001E-4</v>
          </cell>
          <cell r="BJ44">
            <v>6.3999999999999997E-5</v>
          </cell>
        </row>
        <row r="45">
          <cell r="B45">
            <v>2.5243459999999998E-3</v>
          </cell>
          <cell r="C45">
            <v>5.7192889999999998E-3</v>
          </cell>
          <cell r="D45">
            <v>3.6702515999999998E-2</v>
          </cell>
          <cell r="E45">
            <v>3.3268300000000001E-4</v>
          </cell>
          <cell r="F45">
            <v>2.19E-5</v>
          </cell>
          <cell r="G45">
            <v>3.051762E-3</v>
          </cell>
          <cell r="H45">
            <v>8.0949899999999998E-4</v>
          </cell>
          <cell r="I45">
            <v>4.6300000000000001E-5</v>
          </cell>
          <cell r="J45">
            <v>5.8803144000000002E-2</v>
          </cell>
          <cell r="K45">
            <v>2.50079E-2</v>
          </cell>
          <cell r="L45">
            <v>1.1650456999999999E-2</v>
          </cell>
          <cell r="M45">
            <v>4.0178460000000003E-3</v>
          </cell>
          <cell r="N45">
            <v>9.5461500000000002E-4</v>
          </cell>
          <cell r="O45">
            <v>1.2906699999999999E-4</v>
          </cell>
          <cell r="P45">
            <v>5.8862200000000002E-4</v>
          </cell>
          <cell r="Q45">
            <v>5.9500000000000003E-5</v>
          </cell>
          <cell r="R45">
            <v>1.06184E-4</v>
          </cell>
          <cell r="S45">
            <v>1.6106200000000001E-4</v>
          </cell>
          <cell r="T45">
            <v>1.77307E-4</v>
          </cell>
          <cell r="U45">
            <v>1.4071999999999999E-4</v>
          </cell>
          <cell r="V45">
            <v>8.25E-5</v>
          </cell>
          <cell r="W45">
            <v>5.13E-5</v>
          </cell>
          <cell r="X45">
            <v>8.03E-5</v>
          </cell>
          <cell r="Y45">
            <v>1.6537400000000001E-4</v>
          </cell>
          <cell r="Z45">
            <v>1.4840900000000001E-4</v>
          </cell>
          <cell r="AA45">
            <v>1.7883129999999999E-3</v>
          </cell>
          <cell r="AB45">
            <v>2.4007299999999999E-4</v>
          </cell>
          <cell r="AC45">
            <v>5.5000000000000002E-5</v>
          </cell>
          <cell r="AD45">
            <v>9.7800000000000006E-5</v>
          </cell>
          <cell r="AE45">
            <v>7.1299999999999998E-5</v>
          </cell>
          <cell r="AF45">
            <v>1.5101599999999999E-4</v>
          </cell>
          <cell r="AG45">
            <v>1.5438100000000001E-4</v>
          </cell>
          <cell r="AH45">
            <v>1.20494E-4</v>
          </cell>
          <cell r="AI45">
            <v>0</v>
          </cell>
          <cell r="AJ45">
            <v>1.16502E-4</v>
          </cell>
          <cell r="AK45">
            <v>9.7800000000000006E-5</v>
          </cell>
          <cell r="AL45">
            <v>4.3900000000000003E-5</v>
          </cell>
          <cell r="AM45">
            <v>3.6999999999999998E-5</v>
          </cell>
          <cell r="AN45">
            <v>8.5000000000000006E-5</v>
          </cell>
          <cell r="AO45">
            <v>0</v>
          </cell>
          <cell r="AP45">
            <v>1.95687E-4</v>
          </cell>
          <cell r="AQ45">
            <v>0</v>
          </cell>
          <cell r="AR45">
            <v>5.9299999999999998E-5</v>
          </cell>
          <cell r="AS45">
            <v>2.8046499999999998E-4</v>
          </cell>
          <cell r="AT45">
            <v>7.1799999999999997E-5</v>
          </cell>
          <cell r="AU45">
            <v>7.8999999999999996E-5</v>
          </cell>
          <cell r="AV45">
            <v>3.9499999999999998E-5</v>
          </cell>
          <cell r="AW45">
            <v>2.9499999999999999E-5</v>
          </cell>
          <cell r="AX45">
            <v>2.5577500000000002E-4</v>
          </cell>
          <cell r="AY45">
            <v>4.0399999999999999E-5</v>
          </cell>
          <cell r="AZ45">
            <v>8.0099999999999995E-5</v>
          </cell>
          <cell r="BA45">
            <v>2.3083489999999999E-3</v>
          </cell>
          <cell r="BB45">
            <v>0</v>
          </cell>
          <cell r="BC45">
            <v>2.3188199999999999E-4</v>
          </cell>
          <cell r="BD45">
            <v>2.1094899999999999E-4</v>
          </cell>
          <cell r="BE45">
            <v>3.0454700000000001E-4</v>
          </cell>
          <cell r="BF45">
            <v>9.9199999999999999E-5</v>
          </cell>
          <cell r="BG45">
            <v>1.0565290000000001E-3</v>
          </cell>
          <cell r="BH45">
            <v>1.3454999999999999E-4</v>
          </cell>
          <cell r="BI45">
            <v>9.1899999999999998E-5</v>
          </cell>
          <cell r="BJ45">
            <v>4.1399999999999997E-5</v>
          </cell>
        </row>
        <row r="46">
          <cell r="B46">
            <v>5.0306400000000001E-4</v>
          </cell>
          <cell r="C46">
            <v>1.0096040000000001E-3</v>
          </cell>
          <cell r="D46">
            <v>6.5053079999999996E-3</v>
          </cell>
          <cell r="E46">
            <v>5.7099999999999999E-5</v>
          </cell>
          <cell r="F46">
            <v>8.7199999999999995E-6</v>
          </cell>
          <cell r="G46">
            <v>5.6251300000000005E-4</v>
          </cell>
          <cell r="H46">
            <v>1.6019100000000001E-4</v>
          </cell>
          <cell r="I46">
            <v>1.6900000000000001E-5</v>
          </cell>
          <cell r="J46">
            <v>7.2986960000000004E-3</v>
          </cell>
          <cell r="K46">
            <v>8.9349600000000003E-4</v>
          </cell>
          <cell r="L46">
            <v>3.69632E-4</v>
          </cell>
          <cell r="M46">
            <v>7.7299999999999995E-5</v>
          </cell>
          <cell r="N46">
            <v>3.8399999999999998E-5</v>
          </cell>
          <cell r="O46">
            <v>3.5899999999999998E-5</v>
          </cell>
          <cell r="P46">
            <v>3.6199999999999999E-5</v>
          </cell>
          <cell r="Q46">
            <v>2.2399999999999999E-5</v>
          </cell>
          <cell r="R46">
            <v>3.54E-5</v>
          </cell>
          <cell r="S46">
            <v>3.2799999999999998E-5</v>
          </cell>
          <cell r="T46">
            <v>3.7499999999999997E-5</v>
          </cell>
          <cell r="U46">
            <v>2.2500000000000001E-5</v>
          </cell>
          <cell r="V46">
            <v>2.9499999999999999E-5</v>
          </cell>
          <cell r="W46">
            <v>1.66E-5</v>
          </cell>
          <cell r="X46">
            <v>2.72E-5</v>
          </cell>
          <cell r="Y46">
            <v>4.9499999999999997E-5</v>
          </cell>
          <cell r="Z46">
            <v>3.04E-5</v>
          </cell>
          <cell r="AA46">
            <v>1.84339E-4</v>
          </cell>
          <cell r="AB46">
            <v>5.38E-5</v>
          </cell>
          <cell r="AC46">
            <v>2.3E-5</v>
          </cell>
          <cell r="AD46">
            <v>3.1699999999999998E-5</v>
          </cell>
          <cell r="AE46">
            <v>2.87E-5</v>
          </cell>
          <cell r="AF46">
            <v>3.9400000000000002E-5</v>
          </cell>
          <cell r="AG46">
            <v>3.7400000000000001E-5</v>
          </cell>
          <cell r="AH46">
            <v>2.51E-5</v>
          </cell>
          <cell r="AI46">
            <v>0</v>
          </cell>
          <cell r="AJ46">
            <v>2.7699999999999999E-5</v>
          </cell>
          <cell r="AK46">
            <v>2.4899999999999999E-5</v>
          </cell>
          <cell r="AL46">
            <v>8.1699999999999997E-6</v>
          </cell>
          <cell r="AM46">
            <v>7.7999999999999999E-6</v>
          </cell>
          <cell r="AN46">
            <v>3.5299999999999997E-5</v>
          </cell>
          <cell r="AO46">
            <v>0</v>
          </cell>
          <cell r="AP46">
            <v>5.8100000000000003E-5</v>
          </cell>
          <cell r="AQ46">
            <v>0</v>
          </cell>
          <cell r="AR46">
            <v>1.8300000000000001E-5</v>
          </cell>
          <cell r="AS46">
            <v>1.66E-5</v>
          </cell>
          <cell r="AT46">
            <v>2.8600000000000001E-5</v>
          </cell>
          <cell r="AU46">
            <v>5.3900000000000002E-5</v>
          </cell>
          <cell r="AV46">
            <v>1.84E-5</v>
          </cell>
          <cell r="AW46">
            <v>1.0200000000000001E-5</v>
          </cell>
          <cell r="AX46">
            <v>3.9100000000000002E-5</v>
          </cell>
          <cell r="AY46">
            <v>1.8499999999999999E-5</v>
          </cell>
          <cell r="AZ46">
            <v>2.9899999999999998E-5</v>
          </cell>
          <cell r="BA46">
            <v>2.2200000000000001E-5</v>
          </cell>
          <cell r="BB46">
            <v>0</v>
          </cell>
          <cell r="BC46">
            <v>2.02E-5</v>
          </cell>
          <cell r="BD46">
            <v>2.2500000000000001E-5</v>
          </cell>
          <cell r="BE46">
            <v>2.4899999999999999E-5</v>
          </cell>
          <cell r="BF46">
            <v>4.5599999999999997E-5</v>
          </cell>
          <cell r="BG46">
            <v>2.9499999999999999E-5</v>
          </cell>
          <cell r="BH46">
            <v>5.2299999999999997E-5</v>
          </cell>
          <cell r="BI46">
            <v>4.7200000000000002E-5</v>
          </cell>
          <cell r="BJ46">
            <v>1.6699999999999999E-5</v>
          </cell>
        </row>
        <row r="47">
          <cell r="B47">
            <v>6.6599999999999998E-6</v>
          </cell>
          <cell r="C47">
            <v>2.1799999999999999E-6</v>
          </cell>
          <cell r="D47">
            <v>6.19E-6</v>
          </cell>
          <cell r="E47">
            <v>2.04E-6</v>
          </cell>
          <cell r="F47">
            <v>3.49E-6</v>
          </cell>
          <cell r="G47">
            <v>1.9899999999999999E-5</v>
          </cell>
          <cell r="H47">
            <v>1.22E-5</v>
          </cell>
          <cell r="I47">
            <v>3.2899999999999998E-6</v>
          </cell>
          <cell r="J47">
            <v>1.27E-5</v>
          </cell>
          <cell r="K47">
            <v>3.2399999999999999E-6</v>
          </cell>
          <cell r="L47">
            <v>1.4E-5</v>
          </cell>
          <cell r="M47">
            <v>1.03E-5</v>
          </cell>
          <cell r="N47">
            <v>2.34E-6</v>
          </cell>
          <cell r="O47">
            <v>3.4300000000000002E-6</v>
          </cell>
          <cell r="P47">
            <v>5.5600000000000003E-5</v>
          </cell>
          <cell r="Q47">
            <v>2.12E-6</v>
          </cell>
          <cell r="R47">
            <v>2.7199999999999998E-6</v>
          </cell>
          <cell r="S47">
            <v>1.44E-6</v>
          </cell>
          <cell r="T47">
            <v>1.5999999999999999E-6</v>
          </cell>
          <cell r="U47">
            <v>9.9000000000000001E-6</v>
          </cell>
          <cell r="V47">
            <v>3.54E-6</v>
          </cell>
          <cell r="W47">
            <v>1.5200000000000001E-6</v>
          </cell>
          <cell r="X47">
            <v>2.9100000000000001E-6</v>
          </cell>
          <cell r="Y47">
            <v>2.4499999999999998E-6</v>
          </cell>
          <cell r="Z47">
            <v>2.8399999999999999E-6</v>
          </cell>
          <cell r="AA47">
            <v>5.66E-6</v>
          </cell>
          <cell r="AB47">
            <v>3.3000000000000002E-6</v>
          </cell>
          <cell r="AC47">
            <v>4.1999999999999996E-6</v>
          </cell>
          <cell r="AD47">
            <v>7.0299999999999996E-6</v>
          </cell>
          <cell r="AE47">
            <v>5.4600000000000002E-6</v>
          </cell>
          <cell r="AF47">
            <v>4.3900000000000003E-6</v>
          </cell>
          <cell r="AG47">
            <v>6.7000000000000002E-6</v>
          </cell>
          <cell r="AH47">
            <v>1.7099999999999999E-6</v>
          </cell>
          <cell r="AI47">
            <v>0</v>
          </cell>
          <cell r="AJ47">
            <v>1.86E-6</v>
          </cell>
          <cell r="AK47">
            <v>8.6700000000000002E-7</v>
          </cell>
          <cell r="AL47">
            <v>3.6399999999999998E-7</v>
          </cell>
          <cell r="AM47">
            <v>2.2999999999999999E-7</v>
          </cell>
          <cell r="AN47">
            <v>1.53E-6</v>
          </cell>
          <cell r="AO47">
            <v>0</v>
          </cell>
          <cell r="AP47">
            <v>1.3499999999999999E-5</v>
          </cell>
          <cell r="AQ47">
            <v>0</v>
          </cell>
          <cell r="AR47">
            <v>1.1599999999999999E-6</v>
          </cell>
          <cell r="AS47">
            <v>1.8199999999999999E-6</v>
          </cell>
          <cell r="AT47">
            <v>2.12E-6</v>
          </cell>
          <cell r="AU47">
            <v>2.65E-6</v>
          </cell>
          <cell r="AV47">
            <v>4.9899999999999997E-6</v>
          </cell>
          <cell r="AW47">
            <v>2.0700000000000001E-6</v>
          </cell>
          <cell r="AX47">
            <v>5.4E-6</v>
          </cell>
          <cell r="AY47">
            <v>6.8299999999999998E-6</v>
          </cell>
          <cell r="AZ47">
            <v>3.3400000000000002E-6</v>
          </cell>
          <cell r="BA47">
            <v>9.7999999999999993E-7</v>
          </cell>
          <cell r="BB47">
            <v>0</v>
          </cell>
          <cell r="BC47">
            <v>1.8199999999999999E-6</v>
          </cell>
          <cell r="BD47">
            <v>1.8700000000000001E-6</v>
          </cell>
          <cell r="BE47">
            <v>2.0200000000000001E-6</v>
          </cell>
          <cell r="BF47">
            <v>9.1299999999999998E-7</v>
          </cell>
          <cell r="BG47">
            <v>2.2199999999999999E-6</v>
          </cell>
          <cell r="BH47">
            <v>6.7100000000000001E-6</v>
          </cell>
          <cell r="BI47">
            <v>4.6800000000000001E-6</v>
          </cell>
          <cell r="BJ47">
            <v>7.6000000000000003E-7</v>
          </cell>
        </row>
        <row r="48">
          <cell r="B48">
            <v>5.7544599999999997E-4</v>
          </cell>
          <cell r="C48">
            <v>1.3332700000000001E-4</v>
          </cell>
          <cell r="D48">
            <v>1.18505E-4</v>
          </cell>
          <cell r="E48">
            <v>2.16E-5</v>
          </cell>
          <cell r="F48">
            <v>4.2700000000000001E-5</v>
          </cell>
          <cell r="G48">
            <v>1.8196900000000001E-4</v>
          </cell>
          <cell r="H48">
            <v>2.2003100000000001E-4</v>
          </cell>
          <cell r="I48">
            <v>6.6799999999999997E-5</v>
          </cell>
          <cell r="J48">
            <v>2.5670700000000001E-4</v>
          </cell>
          <cell r="K48">
            <v>7.2568199999999995E-4</v>
          </cell>
          <cell r="L48">
            <v>3.78246E-4</v>
          </cell>
          <cell r="M48">
            <v>2.0686500000000001E-4</v>
          </cell>
          <cell r="N48">
            <v>0.28902177800000001</v>
          </cell>
          <cell r="O48">
            <v>0.134086603</v>
          </cell>
          <cell r="P48">
            <v>2.4775579999999998E-2</v>
          </cell>
          <cell r="Q48">
            <v>2.8015400000000001E-4</v>
          </cell>
          <cell r="R48">
            <v>3.2693899999999999E-4</v>
          </cell>
          <cell r="S48">
            <v>1.6234800000000001E-4</v>
          </cell>
          <cell r="T48">
            <v>1.7958199999999999E-4</v>
          </cell>
          <cell r="U48">
            <v>4.7331100000000002E-4</v>
          </cell>
          <cell r="V48">
            <v>1.114652E-3</v>
          </cell>
          <cell r="W48">
            <v>8.0900000000000001E-5</v>
          </cell>
          <cell r="X48">
            <v>2.2828099999999999E-4</v>
          </cell>
          <cell r="Y48">
            <v>2.41668E-4</v>
          </cell>
          <cell r="Z48">
            <v>2.8052160000000001E-3</v>
          </cell>
          <cell r="AA48">
            <v>2.1331457000000002E-2</v>
          </cell>
          <cell r="AB48">
            <v>2.4486754999999999E-2</v>
          </cell>
          <cell r="AC48">
            <v>4.1191900000000001E-4</v>
          </cell>
          <cell r="AD48">
            <v>6.9438599999999996E-4</v>
          </cell>
          <cell r="AE48">
            <v>1.29512E-4</v>
          </cell>
          <cell r="AF48">
            <v>2.5562099999999998E-4</v>
          </cell>
          <cell r="AG48">
            <v>4.2423200000000003E-4</v>
          </cell>
          <cell r="AH48">
            <v>1.5169599999999999E-4</v>
          </cell>
          <cell r="AI48">
            <v>0</v>
          </cell>
          <cell r="AJ48">
            <v>2.10633E-4</v>
          </cell>
          <cell r="AK48">
            <v>2.0980400000000001E-4</v>
          </cell>
          <cell r="AL48">
            <v>4.0299999999999997E-5</v>
          </cell>
          <cell r="AM48">
            <v>3.65E-5</v>
          </cell>
          <cell r="AN48">
            <v>8.53E-5</v>
          </cell>
          <cell r="AO48">
            <v>0</v>
          </cell>
          <cell r="AP48">
            <v>2.1680500000000001E-4</v>
          </cell>
          <cell r="AQ48">
            <v>0</v>
          </cell>
          <cell r="AR48">
            <v>1.6483099999999999E-4</v>
          </cell>
          <cell r="AS48">
            <v>2.6999680000000001E-3</v>
          </cell>
          <cell r="AT48">
            <v>3.7122230000000002E-3</v>
          </cell>
          <cell r="AU48">
            <v>1.3244799999999999E-4</v>
          </cell>
          <cell r="AV48">
            <v>5.82513E-4</v>
          </cell>
          <cell r="AW48">
            <v>2.3818299999999999E-4</v>
          </cell>
          <cell r="AX48">
            <v>1.764837E-3</v>
          </cell>
          <cell r="AY48">
            <v>7.6535780000000003E-3</v>
          </cell>
          <cell r="AZ48">
            <v>3.2708350000000001E-3</v>
          </cell>
          <cell r="BA48">
            <v>1.6992099999999999E-4</v>
          </cell>
          <cell r="BB48">
            <v>0</v>
          </cell>
          <cell r="BC48">
            <v>7.0400000000000004E-5</v>
          </cell>
          <cell r="BD48">
            <v>5.7599999999999997E-5</v>
          </cell>
          <cell r="BE48">
            <v>5.0099999999999998E-5</v>
          </cell>
          <cell r="BF48">
            <v>7.8100000000000001E-5</v>
          </cell>
          <cell r="BG48">
            <v>1.6562900000000001E-4</v>
          </cell>
          <cell r="BH48">
            <v>9.4300000000000002E-5</v>
          </cell>
          <cell r="BI48">
            <v>2.6768700000000001E-4</v>
          </cell>
          <cell r="BJ48">
            <v>4.2299999999999998E-5</v>
          </cell>
        </row>
        <row r="49">
          <cell r="B49">
            <v>7.9699999999999999E-6</v>
          </cell>
          <cell r="C49">
            <v>2.3700000000000002E-6</v>
          </cell>
          <cell r="D49">
            <v>5.8799999999999996E-6</v>
          </cell>
          <cell r="E49">
            <v>2.9400000000000001E-7</v>
          </cell>
          <cell r="F49">
            <v>1.08E-6</v>
          </cell>
          <cell r="G49">
            <v>2.7099999999999999E-6</v>
          </cell>
          <cell r="H49">
            <v>2.0999999999999998E-6</v>
          </cell>
          <cell r="I49">
            <v>4.63E-7</v>
          </cell>
          <cell r="J49">
            <v>5.2499999999999997E-6</v>
          </cell>
          <cell r="K49">
            <v>8.67E-6</v>
          </cell>
          <cell r="L49">
            <v>5.7200000000000003E-6</v>
          </cell>
          <cell r="M49">
            <v>7.0600000000000002E-6</v>
          </cell>
          <cell r="N49">
            <v>1.800362E-3</v>
          </cell>
          <cell r="O49">
            <v>0.278465617</v>
          </cell>
          <cell r="P49">
            <v>6.6711230000000002E-3</v>
          </cell>
          <cell r="Q49">
            <v>5.0900000000000004E-6</v>
          </cell>
          <cell r="R49">
            <v>5.49E-6</v>
          </cell>
          <cell r="S49">
            <v>4.5700000000000003E-6</v>
          </cell>
          <cell r="T49">
            <v>5.1200000000000001E-6</v>
          </cell>
          <cell r="U49">
            <v>1.5500000000000001E-5</v>
          </cell>
          <cell r="V49">
            <v>1.0000000000000001E-5</v>
          </cell>
          <cell r="W49">
            <v>1.15E-6</v>
          </cell>
          <cell r="X49">
            <v>4.6E-6</v>
          </cell>
          <cell r="Y49">
            <v>4.6199999999999998E-6</v>
          </cell>
          <cell r="Z49">
            <v>1.8899999999999999E-5</v>
          </cell>
          <cell r="AA49">
            <v>1.33497E-4</v>
          </cell>
          <cell r="AB49">
            <v>1.6851400000000001E-4</v>
          </cell>
          <cell r="AC49">
            <v>7.7700000000000001E-6</v>
          </cell>
          <cell r="AD49">
            <v>8.8100000000000004E-6</v>
          </cell>
          <cell r="AE49">
            <v>4.4900000000000002E-6</v>
          </cell>
          <cell r="AF49">
            <v>6.2999999999999998E-6</v>
          </cell>
          <cell r="AG49">
            <v>7.3499999999999999E-6</v>
          </cell>
          <cell r="AH49">
            <v>6.4899999999999997E-6</v>
          </cell>
          <cell r="AI49">
            <v>0</v>
          </cell>
          <cell r="AJ49">
            <v>5.8799999999999996E-6</v>
          </cell>
          <cell r="AK49">
            <v>5.66E-6</v>
          </cell>
          <cell r="AL49">
            <v>2.7300000000000001E-6</v>
          </cell>
          <cell r="AM49">
            <v>2.52E-6</v>
          </cell>
          <cell r="AN49">
            <v>3.3799999999999998E-6</v>
          </cell>
          <cell r="AO49">
            <v>0</v>
          </cell>
          <cell r="AP49">
            <v>3.8600000000000003E-6</v>
          </cell>
          <cell r="AQ49">
            <v>0</v>
          </cell>
          <cell r="AR49">
            <v>9.91E-6</v>
          </cell>
          <cell r="AS49">
            <v>3.5099999999999999E-5</v>
          </cell>
          <cell r="AT49">
            <v>3.3200000000000001E-5</v>
          </cell>
          <cell r="AU49">
            <v>5.0100000000000003E-6</v>
          </cell>
          <cell r="AV49">
            <v>1.2099999999999999E-5</v>
          </cell>
          <cell r="AW49">
            <v>1.19E-5</v>
          </cell>
          <cell r="AX49">
            <v>1.8099999999999999E-5</v>
          </cell>
          <cell r="AY49">
            <v>5.7200000000000001E-5</v>
          </cell>
          <cell r="AZ49">
            <v>4.7700000000000001E-5</v>
          </cell>
          <cell r="BA49">
            <v>1.55E-6</v>
          </cell>
          <cell r="BB49">
            <v>0</v>
          </cell>
          <cell r="BC49">
            <v>1.3599999999999999E-6</v>
          </cell>
          <cell r="BD49">
            <v>9.2900000000000002E-7</v>
          </cell>
          <cell r="BE49">
            <v>9.9099999999999991E-7</v>
          </cell>
          <cell r="BF49">
            <v>4.6699999999999999E-7</v>
          </cell>
          <cell r="BG49">
            <v>2.5600000000000001E-6</v>
          </cell>
          <cell r="BH49">
            <v>1.8300000000000001E-6</v>
          </cell>
          <cell r="BI49">
            <v>3.0299999999999998E-6</v>
          </cell>
          <cell r="BJ49">
            <v>8.1699999999999997E-7</v>
          </cell>
        </row>
        <row r="50">
          <cell r="B50">
            <v>1.5800000000000001E-5</v>
          </cell>
          <cell r="C50">
            <v>3.72E-6</v>
          </cell>
          <cell r="D50">
            <v>6.7100000000000001E-6</v>
          </cell>
          <cell r="E50">
            <v>2.84E-7</v>
          </cell>
          <cell r="F50">
            <v>4.27E-7</v>
          </cell>
          <cell r="G50">
            <v>4.25E-6</v>
          </cell>
          <cell r="H50">
            <v>8.5599999999999994E-6</v>
          </cell>
          <cell r="I50">
            <v>5.9100000000000004E-7</v>
          </cell>
          <cell r="J50">
            <v>1.5699999999999999E-5</v>
          </cell>
          <cell r="K50">
            <v>1.26E-5</v>
          </cell>
          <cell r="L50">
            <v>1.06E-5</v>
          </cell>
          <cell r="M50">
            <v>5.8900000000000004E-6</v>
          </cell>
          <cell r="N50">
            <v>6.2199999999999994E-5</v>
          </cell>
          <cell r="O50">
            <v>1.355754E-3</v>
          </cell>
          <cell r="P50">
            <v>0.47185125100000003</v>
          </cell>
          <cell r="Q50">
            <v>7.4200000000000001E-6</v>
          </cell>
          <cell r="R50">
            <v>7.79E-6</v>
          </cell>
          <cell r="S50">
            <v>6.63E-6</v>
          </cell>
          <cell r="T50">
            <v>6.1800000000000001E-6</v>
          </cell>
          <cell r="U50">
            <v>2.0699999999999998E-5</v>
          </cell>
          <cell r="V50">
            <v>7.9300000000000003E-6</v>
          </cell>
          <cell r="W50">
            <v>4.3800000000000004E-6</v>
          </cell>
          <cell r="X50">
            <v>5.5500000000000002E-6</v>
          </cell>
          <cell r="Y50">
            <v>3.0199999999999999E-6</v>
          </cell>
          <cell r="Z50">
            <v>3.7400000000000002E-6</v>
          </cell>
          <cell r="AA50">
            <v>1.7900000000000001E-5</v>
          </cell>
          <cell r="AB50">
            <v>9.0799999999999998E-5</v>
          </cell>
          <cell r="AC50">
            <v>7.96E-6</v>
          </cell>
          <cell r="AD50">
            <v>1.03E-5</v>
          </cell>
          <cell r="AE50">
            <v>4.6700000000000002E-6</v>
          </cell>
          <cell r="AF50">
            <v>4.95E-6</v>
          </cell>
          <cell r="AG50">
            <v>7.0899999999999999E-6</v>
          </cell>
          <cell r="AH50">
            <v>9.3400000000000004E-6</v>
          </cell>
          <cell r="AI50">
            <v>0</v>
          </cell>
          <cell r="AJ50">
            <v>8.1300000000000001E-6</v>
          </cell>
          <cell r="AK50">
            <v>7.7800000000000001E-6</v>
          </cell>
          <cell r="AL50">
            <v>1.6199999999999999E-6</v>
          </cell>
          <cell r="AM50">
            <v>1.24E-6</v>
          </cell>
          <cell r="AN50">
            <v>5.4399999999999996E-6</v>
          </cell>
          <cell r="AO50">
            <v>0</v>
          </cell>
          <cell r="AP50">
            <v>1.01E-5</v>
          </cell>
          <cell r="AQ50">
            <v>0</v>
          </cell>
          <cell r="AR50">
            <v>7.79E-6</v>
          </cell>
          <cell r="AS50">
            <v>1.7900000000000001E-5</v>
          </cell>
          <cell r="AT50">
            <v>8.8599999999999999E-6</v>
          </cell>
          <cell r="AU50">
            <v>1.7E-5</v>
          </cell>
          <cell r="AV50">
            <v>2.7800000000000001E-5</v>
          </cell>
          <cell r="AW50">
            <v>9.9699999999999998E-5</v>
          </cell>
          <cell r="AX50">
            <v>2.9099999999999999E-5</v>
          </cell>
          <cell r="AY50">
            <v>4.18E-5</v>
          </cell>
          <cell r="AZ50">
            <v>1.21033E-4</v>
          </cell>
          <cell r="BA50">
            <v>5.7300000000000002E-6</v>
          </cell>
          <cell r="BB50">
            <v>0</v>
          </cell>
          <cell r="BC50">
            <v>1.28E-6</v>
          </cell>
          <cell r="BD50">
            <v>9.2500000000000004E-7</v>
          </cell>
          <cell r="BE50">
            <v>1.0499999999999999E-6</v>
          </cell>
          <cell r="BF50">
            <v>7.1099999999999995E-7</v>
          </cell>
          <cell r="BG50">
            <v>5.6200000000000004E-6</v>
          </cell>
          <cell r="BH50">
            <v>3.1E-6</v>
          </cell>
          <cell r="BI50">
            <v>2.9799999999999998E-6</v>
          </cell>
          <cell r="BJ50">
            <v>4.4799999999999999E-7</v>
          </cell>
        </row>
        <row r="51">
          <cell r="B51">
            <v>4.1513299999999998E-4</v>
          </cell>
          <cell r="C51">
            <v>1.9435000000000001E-4</v>
          </cell>
          <cell r="D51">
            <v>1.64253E-4</v>
          </cell>
          <cell r="E51">
            <v>5.13E-5</v>
          </cell>
          <cell r="F51">
            <v>5.3499999999999999E-5</v>
          </cell>
          <cell r="G51">
            <v>3.6817799999999998E-4</v>
          </cell>
          <cell r="H51">
            <v>5.35882E-4</v>
          </cell>
          <cell r="I51">
            <v>1.0163200000000001E-4</v>
          </cell>
          <cell r="J51">
            <v>5.5251300000000003E-4</v>
          </cell>
          <cell r="K51">
            <v>1.163421E-3</v>
          </cell>
          <cell r="L51">
            <v>8.5625100000000004E-4</v>
          </cell>
          <cell r="M51">
            <v>3.9254140000000003E-3</v>
          </cell>
          <cell r="N51">
            <v>1.0979290000000001E-3</v>
          </cell>
          <cell r="O51">
            <v>4.5521400000000001E-4</v>
          </cell>
          <cell r="P51">
            <v>6.2751199999999999E-4</v>
          </cell>
          <cell r="Q51">
            <v>0.19527950599999999</v>
          </cell>
          <cell r="R51">
            <v>0.201708093</v>
          </cell>
          <cell r="S51">
            <v>7.5990184000000002E-2</v>
          </cell>
          <cell r="T51">
            <v>1.2860549999999999E-3</v>
          </cell>
          <cell r="U51">
            <v>3.7197921000000002E-2</v>
          </cell>
          <cell r="V51">
            <v>1.0097839999999999E-3</v>
          </cell>
          <cell r="W51">
            <v>1.42211E-4</v>
          </cell>
          <cell r="X51">
            <v>3.4868399999999998E-4</v>
          </cell>
          <cell r="Y51">
            <v>5.4027700000000003E-4</v>
          </cell>
          <cell r="Z51">
            <v>6.8092700000000001E-4</v>
          </cell>
          <cell r="AA51">
            <v>2.7066709999999999E-3</v>
          </cell>
          <cell r="AB51">
            <v>8.3693589999999998E-3</v>
          </cell>
          <cell r="AC51">
            <v>6.0603590000000004E-3</v>
          </cell>
          <cell r="AD51">
            <v>1.1081094999999999E-2</v>
          </cell>
          <cell r="AE51">
            <v>1.3033045E-2</v>
          </cell>
          <cell r="AF51">
            <v>5.1698040000000001E-3</v>
          </cell>
          <cell r="AG51">
            <v>4.4175550000000001E-3</v>
          </cell>
          <cell r="AH51">
            <v>6.2069394999999999E-2</v>
          </cell>
          <cell r="AI51">
            <v>0</v>
          </cell>
          <cell r="AJ51">
            <v>3.3793704000000001E-2</v>
          </cell>
          <cell r="AK51">
            <v>3.3573730000000003E-2</v>
          </cell>
          <cell r="AL51">
            <v>7.2049200000000001E-3</v>
          </cell>
          <cell r="AM51">
            <v>5.3222779999999997E-3</v>
          </cell>
          <cell r="AN51">
            <v>2.1147239000000002E-2</v>
          </cell>
          <cell r="AO51">
            <v>0</v>
          </cell>
          <cell r="AP51">
            <v>4.5336178999999997E-2</v>
          </cell>
          <cell r="AQ51">
            <v>0</v>
          </cell>
          <cell r="AR51">
            <v>5.4107453999999999E-2</v>
          </cell>
          <cell r="AS51">
            <v>1.8503219999999999E-3</v>
          </cell>
          <cell r="AT51">
            <v>1.973631E-3</v>
          </cell>
          <cell r="AU51">
            <v>9.0099999999999995E-5</v>
          </cell>
          <cell r="AV51">
            <v>7.0293999999999999E-4</v>
          </cell>
          <cell r="AW51">
            <v>9.2744699999999997E-4</v>
          </cell>
          <cell r="AX51">
            <v>3.2789709999999999E-3</v>
          </cell>
          <cell r="AY51">
            <v>3.9353729999999998E-3</v>
          </cell>
          <cell r="AZ51">
            <v>5.7714612999999998E-2</v>
          </cell>
          <cell r="BA51">
            <v>2.9907689999999999E-3</v>
          </cell>
          <cell r="BB51">
            <v>0</v>
          </cell>
          <cell r="BC51">
            <v>4.1317200000000001E-4</v>
          </cell>
          <cell r="BD51">
            <v>3.17399E-4</v>
          </cell>
          <cell r="BE51">
            <v>3.4259600000000002E-4</v>
          </cell>
          <cell r="BF51">
            <v>2.3593299999999999E-4</v>
          </cell>
          <cell r="BG51">
            <v>1.1761950000000001E-3</v>
          </cell>
          <cell r="BH51">
            <v>1.5661620000000001E-3</v>
          </cell>
          <cell r="BI51">
            <v>9.4683099999999997E-4</v>
          </cell>
          <cell r="BJ51">
            <v>8.8999999999999995E-5</v>
          </cell>
        </row>
        <row r="52">
          <cell r="B52">
            <v>4.5800000000000002E-5</v>
          </cell>
          <cell r="C52">
            <v>1.6699999999999999E-5</v>
          </cell>
          <cell r="D52">
            <v>1.31E-5</v>
          </cell>
          <cell r="E52">
            <v>2.83E-6</v>
          </cell>
          <cell r="F52">
            <v>3.54E-6</v>
          </cell>
          <cell r="G52">
            <v>3.4E-5</v>
          </cell>
          <cell r="H52">
            <v>3.5299999999999997E-5</v>
          </cell>
          <cell r="I52">
            <v>5.9100000000000002E-6</v>
          </cell>
          <cell r="J52">
            <v>3.7799999999999997E-5</v>
          </cell>
          <cell r="K52">
            <v>8.2100000000000003E-5</v>
          </cell>
          <cell r="L52">
            <v>5.4299999999999998E-5</v>
          </cell>
          <cell r="M52">
            <v>2.50578E-4</v>
          </cell>
          <cell r="N52">
            <v>9.3900000000000006E-5</v>
          </cell>
          <cell r="O52">
            <v>5.5600000000000003E-5</v>
          </cell>
          <cell r="P52">
            <v>1.6269900000000001E-4</v>
          </cell>
          <cell r="Q52">
            <v>1.5677152E-2</v>
          </cell>
          <cell r="R52">
            <v>1.6236433000000002E-2</v>
          </cell>
          <cell r="S52">
            <v>6.1790389999999999E-3</v>
          </cell>
          <cell r="T52">
            <v>9.6299999999999996E-5</v>
          </cell>
          <cell r="U52">
            <v>3.0519050000000002E-3</v>
          </cell>
          <cell r="V52">
            <v>1.0691099999999999E-4</v>
          </cell>
          <cell r="W52">
            <v>1.11E-5</v>
          </cell>
          <cell r="X52">
            <v>1.8E-5</v>
          </cell>
          <cell r="Y52">
            <v>3.3200000000000001E-5</v>
          </cell>
          <cell r="Z52">
            <v>3.5099999999999999E-5</v>
          </cell>
          <cell r="AA52">
            <v>2.25443E-4</v>
          </cell>
          <cell r="AB52">
            <v>7.6320399999999997E-4</v>
          </cell>
          <cell r="AC52">
            <v>5.0725300000000004E-4</v>
          </cell>
          <cell r="AD52">
            <v>9.2324499999999995E-4</v>
          </cell>
          <cell r="AE52">
            <v>1.1326109999999999E-3</v>
          </cell>
          <cell r="AF52">
            <v>4.5953600000000003E-4</v>
          </cell>
          <cell r="AG52">
            <v>3.8776000000000001E-4</v>
          </cell>
          <cell r="AH52">
            <v>4.9041459999999999E-3</v>
          </cell>
          <cell r="AI52">
            <v>0</v>
          </cell>
          <cell r="AJ52">
            <v>2.7033679999999998E-3</v>
          </cell>
          <cell r="AK52">
            <v>2.6901099999999999E-3</v>
          </cell>
          <cell r="AL52">
            <v>6.0913600000000003E-4</v>
          </cell>
          <cell r="AM52">
            <v>4.57854E-4</v>
          </cell>
          <cell r="AN52">
            <v>1.6829760000000001E-3</v>
          </cell>
          <cell r="AO52">
            <v>0</v>
          </cell>
          <cell r="AP52">
            <v>3.5788310000000002E-3</v>
          </cell>
          <cell r="AQ52">
            <v>0</v>
          </cell>
          <cell r="AR52">
            <v>4.3223070000000001E-3</v>
          </cell>
          <cell r="AS52">
            <v>1.6868800000000001E-4</v>
          </cell>
          <cell r="AT52">
            <v>1.5980500000000001E-4</v>
          </cell>
          <cell r="AU52">
            <v>1.9000000000000001E-5</v>
          </cell>
          <cell r="AV52">
            <v>8.8599999999999999E-5</v>
          </cell>
          <cell r="AW52">
            <v>8.4499999999999994E-5</v>
          </cell>
          <cell r="AX52">
            <v>2.8655899999999998E-4</v>
          </cell>
          <cell r="AY52">
            <v>3.5939899999999999E-4</v>
          </cell>
          <cell r="AZ52">
            <v>4.6720249999999998E-3</v>
          </cell>
          <cell r="BA52">
            <v>2.38445E-4</v>
          </cell>
          <cell r="BB52">
            <v>0</v>
          </cell>
          <cell r="BC52">
            <v>3.0599999999999998E-5</v>
          </cell>
          <cell r="BD52">
            <v>2.0299999999999999E-5</v>
          </cell>
          <cell r="BE52">
            <v>2.41E-5</v>
          </cell>
          <cell r="BF52">
            <v>1.2E-5</v>
          </cell>
          <cell r="BG52">
            <v>1.11419E-4</v>
          </cell>
          <cell r="BH52">
            <v>5.9599999999999999E-5</v>
          </cell>
          <cell r="BI52">
            <v>6.1500000000000004E-5</v>
          </cell>
          <cell r="BJ52">
            <v>5.9399999999999999E-6</v>
          </cell>
        </row>
        <row r="53">
          <cell r="B53">
            <v>1.2642400000000001E-4</v>
          </cell>
          <cell r="C53">
            <v>6.5400000000000004E-5</v>
          </cell>
          <cell r="D53">
            <v>6.5400000000000004E-5</v>
          </cell>
          <cell r="E53">
            <v>1.31E-5</v>
          </cell>
          <cell r="F53">
            <v>2.1800000000000001E-5</v>
          </cell>
          <cell r="G53">
            <v>1.4557099999999999E-4</v>
          </cell>
          <cell r="H53">
            <v>2.34773E-4</v>
          </cell>
          <cell r="I53">
            <v>4.2899999999999999E-5</v>
          </cell>
          <cell r="J53">
            <v>1.5632800000000001E-4</v>
          </cell>
          <cell r="K53">
            <v>3.0483300000000001E-4</v>
          </cell>
          <cell r="L53">
            <v>2.03511E-4</v>
          </cell>
          <cell r="M53">
            <v>3.5016520000000001E-3</v>
          </cell>
          <cell r="N53">
            <v>6.8702499999999996E-4</v>
          </cell>
          <cell r="O53">
            <v>2.54916E-4</v>
          </cell>
          <cell r="P53">
            <v>1.7496100000000001E-4</v>
          </cell>
          <cell r="Q53">
            <v>4.5135500000000002E-4</v>
          </cell>
          <cell r="R53">
            <v>4.73509E-4</v>
          </cell>
          <cell r="S53">
            <v>2.3372900000000001E-4</v>
          </cell>
          <cell r="T53">
            <v>1.7550700000000001E-4</v>
          </cell>
          <cell r="U53">
            <v>0.13838592599999999</v>
          </cell>
          <cell r="V53">
            <v>2.5757459999999999E-3</v>
          </cell>
          <cell r="W53">
            <v>1.1126E-4</v>
          </cell>
          <cell r="X53">
            <v>1.92556E-4</v>
          </cell>
          <cell r="Y53">
            <v>1.17046E-4</v>
          </cell>
          <cell r="Z53">
            <v>1.3720799999999999E-4</v>
          </cell>
          <cell r="AA53">
            <v>5.4650300000000005E-4</v>
          </cell>
          <cell r="AB53">
            <v>6.5704200000000004E-4</v>
          </cell>
          <cell r="AC53">
            <v>1.43277E-4</v>
          </cell>
          <cell r="AD53">
            <v>1.3552099999999999E-4</v>
          </cell>
          <cell r="AE53">
            <v>8.0000000000000007E-5</v>
          </cell>
          <cell r="AF53">
            <v>1.46456E-4</v>
          </cell>
          <cell r="AG53">
            <v>1.6545700000000001E-4</v>
          </cell>
          <cell r="AH53">
            <v>4.29271E-4</v>
          </cell>
          <cell r="AI53">
            <v>0</v>
          </cell>
          <cell r="AJ53">
            <v>3.48912E-4</v>
          </cell>
          <cell r="AK53">
            <v>2.6781500000000002E-4</v>
          </cell>
          <cell r="AL53">
            <v>1.0788799999999999E-4</v>
          </cell>
          <cell r="AM53">
            <v>8.3100000000000001E-5</v>
          </cell>
          <cell r="AN53">
            <v>1.9548600000000001E-4</v>
          </cell>
          <cell r="AO53">
            <v>0</v>
          </cell>
          <cell r="AP53">
            <v>3.03982E-4</v>
          </cell>
          <cell r="AQ53">
            <v>0</v>
          </cell>
          <cell r="AR53">
            <v>1.78402E-4</v>
          </cell>
          <cell r="AS53">
            <v>1.4549800000000001E-4</v>
          </cell>
          <cell r="AT53">
            <v>1.3583000000000001E-4</v>
          </cell>
          <cell r="AU53">
            <v>5.3699999999999997E-5</v>
          </cell>
          <cell r="AV53">
            <v>1.4286799999999999E-4</v>
          </cell>
          <cell r="AW53">
            <v>5.7000000000000003E-5</v>
          </cell>
          <cell r="AX53">
            <v>2.46312E-4</v>
          </cell>
          <cell r="AY53">
            <v>2.44326E-4</v>
          </cell>
          <cell r="AZ53">
            <v>1.345193E-3</v>
          </cell>
          <cell r="BA53">
            <v>1.00895E-4</v>
          </cell>
          <cell r="BB53">
            <v>0</v>
          </cell>
          <cell r="BC53">
            <v>4.57E-5</v>
          </cell>
          <cell r="BD53">
            <v>2.6120800000000002E-4</v>
          </cell>
          <cell r="BE53">
            <v>2.24348E-4</v>
          </cell>
          <cell r="BF53">
            <v>9.1394499999999999E-4</v>
          </cell>
          <cell r="BG53">
            <v>1.1670100000000001E-4</v>
          </cell>
          <cell r="BH53">
            <v>6.4499999999999996E-5</v>
          </cell>
          <cell r="BI53">
            <v>3.8899999999999997E-5</v>
          </cell>
          <cell r="BJ53">
            <v>3.2199999999999997E-5</v>
          </cell>
        </row>
        <row r="54">
          <cell r="B54">
            <v>7.7700000000000005E-5</v>
          </cell>
          <cell r="C54">
            <v>3.26E-5</v>
          </cell>
          <cell r="D54">
            <v>3.0599999999999998E-5</v>
          </cell>
          <cell r="E54">
            <v>6.64E-6</v>
          </cell>
          <cell r="F54">
            <v>1.1199999999999999E-5</v>
          </cell>
          <cell r="G54">
            <v>6.8999999999999997E-5</v>
          </cell>
          <cell r="H54">
            <v>1.07854E-4</v>
          </cell>
          <cell r="I54">
            <v>2.1500000000000001E-5</v>
          </cell>
          <cell r="J54">
            <v>7.0699999999999997E-5</v>
          </cell>
          <cell r="K54">
            <v>1.3779600000000001E-4</v>
          </cell>
          <cell r="L54">
            <v>9.8400000000000007E-5</v>
          </cell>
          <cell r="M54">
            <v>1.711572E-3</v>
          </cell>
          <cell r="N54">
            <v>5.03883E-4</v>
          </cell>
          <cell r="O54">
            <v>2.00826E-4</v>
          </cell>
          <cell r="P54">
            <v>1.33743E-4</v>
          </cell>
          <cell r="Q54">
            <v>2.3311499999999999E-4</v>
          </cell>
          <cell r="R54">
            <v>2.4591400000000002E-4</v>
          </cell>
          <cell r="S54">
            <v>1.0929099999999999E-4</v>
          </cell>
          <cell r="T54">
            <v>8.2799999999999993E-5</v>
          </cell>
          <cell r="U54">
            <v>6.8576827000000007E-2</v>
          </cell>
          <cell r="V54">
            <v>1.248557E-3</v>
          </cell>
          <cell r="W54">
            <v>4.7599999999999998E-5</v>
          </cell>
          <cell r="X54">
            <v>8.1699999999999994E-5</v>
          </cell>
          <cell r="Y54">
            <v>5.41E-5</v>
          </cell>
          <cell r="Z54">
            <v>7.0400000000000004E-5</v>
          </cell>
          <cell r="AA54">
            <v>2.67414E-4</v>
          </cell>
          <cell r="AB54">
            <v>4.0479999999999997E-4</v>
          </cell>
          <cell r="AC54">
            <v>1.0217000000000001E-4</v>
          </cell>
          <cell r="AD54">
            <v>8.2899999999999996E-5</v>
          </cell>
          <cell r="AE54">
            <v>5.8699999999999997E-5</v>
          </cell>
          <cell r="AF54">
            <v>8.1500000000000002E-5</v>
          </cell>
          <cell r="AG54">
            <v>9.2E-5</v>
          </cell>
          <cell r="AH54">
            <v>2.0489299999999999E-4</v>
          </cell>
          <cell r="AI54">
            <v>0</v>
          </cell>
          <cell r="AJ54">
            <v>1.71354E-4</v>
          </cell>
          <cell r="AK54">
            <v>1.3441000000000001E-4</v>
          </cell>
          <cell r="AL54">
            <v>5.6900000000000001E-5</v>
          </cell>
          <cell r="AM54">
            <v>4.3000000000000002E-5</v>
          </cell>
          <cell r="AN54">
            <v>1.6339499999999999E-4</v>
          </cell>
          <cell r="AO54">
            <v>0</v>
          </cell>
          <cell r="AP54">
            <v>1.3953199999999999E-4</v>
          </cell>
          <cell r="AQ54">
            <v>0</v>
          </cell>
          <cell r="AR54">
            <v>9.2800000000000006E-5</v>
          </cell>
          <cell r="AS54">
            <v>8.9499999999999994E-5</v>
          </cell>
          <cell r="AT54">
            <v>7.1799999999999997E-5</v>
          </cell>
          <cell r="AU54">
            <v>4.0200000000000001E-5</v>
          </cell>
          <cell r="AV54">
            <v>9.4500000000000007E-5</v>
          </cell>
          <cell r="AW54">
            <v>3.6100000000000003E-5</v>
          </cell>
          <cell r="AX54">
            <v>1.36637E-4</v>
          </cell>
          <cell r="AY54">
            <v>1.7133599999999999E-4</v>
          </cell>
          <cell r="AZ54">
            <v>6.93287E-4</v>
          </cell>
          <cell r="BA54">
            <v>5.1900000000000001E-5</v>
          </cell>
          <cell r="BB54">
            <v>0</v>
          </cell>
          <cell r="BC54">
            <v>2.6699999999999998E-5</v>
          </cell>
          <cell r="BD54">
            <v>1.12448E-4</v>
          </cell>
          <cell r="BE54">
            <v>9.7200000000000004E-5</v>
          </cell>
          <cell r="BF54">
            <v>3.7571399999999997E-4</v>
          </cell>
          <cell r="BG54">
            <v>5.52E-5</v>
          </cell>
          <cell r="BH54">
            <v>3.8000000000000002E-5</v>
          </cell>
          <cell r="BI54">
            <v>2.2900000000000001E-5</v>
          </cell>
          <cell r="BJ54">
            <v>1.5699999999999999E-5</v>
          </cell>
        </row>
        <row r="55">
          <cell r="B55">
            <v>2.1673740000000001E-3</v>
          </cell>
          <cell r="C55">
            <v>5.112704E-3</v>
          </cell>
          <cell r="D55">
            <v>2.953734E-3</v>
          </cell>
          <cell r="E55">
            <v>2.3380100000000001E-4</v>
          </cell>
          <cell r="F55">
            <v>6.7402900000000003E-4</v>
          </cell>
          <cell r="G55">
            <v>1.6475719999999999E-2</v>
          </cell>
          <cell r="H55">
            <v>7.4070560000000004E-3</v>
          </cell>
          <cell r="I55">
            <v>8.4546100000000004E-4</v>
          </cell>
          <cell r="J55">
            <v>5.2558489999999999E-3</v>
          </cell>
          <cell r="K55">
            <v>1.1081186999999999E-2</v>
          </cell>
          <cell r="L55">
            <v>6.8451429999999997E-3</v>
          </cell>
          <cell r="M55">
            <v>9.6288867E-2</v>
          </cell>
          <cell r="N55">
            <v>4.9477790000000002E-3</v>
          </cell>
          <cell r="O55">
            <v>6.0140300000000003E-4</v>
          </cell>
          <cell r="P55">
            <v>5.2171329999999997E-3</v>
          </cell>
          <cell r="Q55">
            <v>2.0409535999999999E-2</v>
          </cell>
          <cell r="R55">
            <v>2.154267E-2</v>
          </cell>
          <cell r="S55">
            <v>3.253026E-3</v>
          </cell>
          <cell r="T55">
            <v>2.9244980000000002E-3</v>
          </cell>
          <cell r="U55">
            <v>0.236861338</v>
          </cell>
          <cell r="V55">
            <v>6.7228164000000007E-2</v>
          </cell>
          <cell r="W55">
            <v>1.3188800000000001E-4</v>
          </cell>
          <cell r="X55">
            <v>2.4368E-4</v>
          </cell>
          <cell r="Y55">
            <v>1.0969899999999999E-4</v>
          </cell>
          <cell r="Z55">
            <v>6.1088829999999998E-3</v>
          </cell>
          <cell r="AA55">
            <v>1.4372539E-2</v>
          </cell>
          <cell r="AB55">
            <v>7.4194259999999998E-3</v>
          </cell>
          <cell r="AC55">
            <v>1.5265319999999999E-3</v>
          </cell>
          <cell r="AD55">
            <v>2.906456E-3</v>
          </cell>
          <cell r="AE55">
            <v>1.8244330000000001E-3</v>
          </cell>
          <cell r="AF55">
            <v>2.3919100000000001E-3</v>
          </cell>
          <cell r="AG55">
            <v>1.271255E-3</v>
          </cell>
          <cell r="AH55">
            <v>8.0948700000000001E-4</v>
          </cell>
          <cell r="AI55">
            <v>0</v>
          </cell>
          <cell r="AJ55">
            <v>7.0358300000000003E-4</v>
          </cell>
          <cell r="AK55">
            <v>5.4072699999999996E-4</v>
          </cell>
          <cell r="AL55">
            <v>1.0217600000000001E-4</v>
          </cell>
          <cell r="AM55">
            <v>6.19E-5</v>
          </cell>
          <cell r="AN55">
            <v>8.3670700000000001E-4</v>
          </cell>
          <cell r="AO55">
            <v>0</v>
          </cell>
          <cell r="AP55">
            <v>4.3233600000000002E-4</v>
          </cell>
          <cell r="AQ55">
            <v>0</v>
          </cell>
          <cell r="AR55">
            <v>3.8265599999999999E-4</v>
          </cell>
          <cell r="AS55">
            <v>1.7950520000000001E-3</v>
          </cell>
          <cell r="AT55">
            <v>3.1900689999999998E-3</v>
          </cell>
          <cell r="AU55">
            <v>1.0205049999999999E-3</v>
          </cell>
          <cell r="AV55">
            <v>2.5945650000000001E-3</v>
          </cell>
          <cell r="AW55">
            <v>1.3415090000000001E-3</v>
          </cell>
          <cell r="AX55">
            <v>5.8934019999999998E-3</v>
          </cell>
          <cell r="AY55">
            <v>1.0568159999999999E-3</v>
          </cell>
          <cell r="AZ55">
            <v>2.3795191E-2</v>
          </cell>
          <cell r="BA55">
            <v>2.0309700000000001E-4</v>
          </cell>
          <cell r="BB55">
            <v>0</v>
          </cell>
          <cell r="BC55">
            <v>1.69049E-4</v>
          </cell>
          <cell r="BD55">
            <v>4.29047E-4</v>
          </cell>
          <cell r="BE55">
            <v>4.1372000000000002E-4</v>
          </cell>
          <cell r="BF55">
            <v>1.1779900000000001E-3</v>
          </cell>
          <cell r="BG55">
            <v>9.9363199999999994E-4</v>
          </cell>
          <cell r="BH55">
            <v>3.34727E-4</v>
          </cell>
          <cell r="BI55">
            <v>1.5097099999999999E-4</v>
          </cell>
          <cell r="BJ55">
            <v>7.1400000000000001E-5</v>
          </cell>
        </row>
        <row r="56">
          <cell r="B56">
            <v>2.971638E-3</v>
          </cell>
          <cell r="C56">
            <v>7.5874500000000001E-4</v>
          </cell>
          <cell r="D56">
            <v>4.9648900000000002E-4</v>
          </cell>
          <cell r="E56">
            <v>1.09955E-4</v>
          </cell>
          <cell r="F56">
            <v>2.0082499999999999E-4</v>
          </cell>
          <cell r="G56">
            <v>1.286466E-3</v>
          </cell>
          <cell r="H56">
            <v>2.0837920000000001E-3</v>
          </cell>
          <cell r="I56">
            <v>2.9955699999999999E-4</v>
          </cell>
          <cell r="J56">
            <v>1.617299E-3</v>
          </cell>
          <cell r="K56">
            <v>4.9544050000000003E-3</v>
          </cell>
          <cell r="L56">
            <v>2.522051E-3</v>
          </cell>
          <cell r="M56">
            <v>2.1774972E-2</v>
          </cell>
          <cell r="N56">
            <v>3.5185059999999998E-3</v>
          </cell>
          <cell r="O56">
            <v>5.1208600000000003E-4</v>
          </cell>
          <cell r="P56">
            <v>5.2010999999999995E-4</v>
          </cell>
          <cell r="Q56">
            <v>1.0041029999999999E-3</v>
          </cell>
          <cell r="R56">
            <v>1.1882310000000001E-3</v>
          </cell>
          <cell r="S56">
            <v>1.1931175E-2</v>
          </cell>
          <cell r="T56">
            <v>1.3293472000000001E-2</v>
          </cell>
          <cell r="U56">
            <v>3.8119878000000003E-2</v>
          </cell>
          <cell r="V56">
            <v>0.282525146</v>
          </cell>
          <cell r="W56">
            <v>3.68224E-4</v>
          </cell>
          <cell r="X56">
            <v>4.8030499999999999E-4</v>
          </cell>
          <cell r="Y56">
            <v>7.4832299999999996E-4</v>
          </cell>
          <cell r="Z56">
            <v>3.9817430000000003E-3</v>
          </cell>
          <cell r="AA56">
            <v>7.4376019999999998E-3</v>
          </cell>
          <cell r="AB56">
            <v>2.47555E-3</v>
          </cell>
          <cell r="AC56">
            <v>1.1102639999999999E-3</v>
          </cell>
          <cell r="AD56">
            <v>1.976467E-3</v>
          </cell>
          <cell r="AE56">
            <v>2.1404369999999998E-3</v>
          </cell>
          <cell r="AF56">
            <v>2.0512030000000001E-3</v>
          </cell>
          <cell r="AG56">
            <v>2.4486349999999998E-3</v>
          </cell>
          <cell r="AH56">
            <v>1.4438669999999999E-3</v>
          </cell>
          <cell r="AI56">
            <v>0</v>
          </cell>
          <cell r="AJ56">
            <v>1.4150479999999999E-3</v>
          </cell>
          <cell r="AK56">
            <v>1.465975E-3</v>
          </cell>
          <cell r="AL56">
            <v>4.06516E-4</v>
          </cell>
          <cell r="AM56">
            <v>3.5867199999999998E-4</v>
          </cell>
          <cell r="AN56">
            <v>9.6610100000000003E-4</v>
          </cell>
          <cell r="AO56">
            <v>0</v>
          </cell>
          <cell r="AP56">
            <v>1.5443740000000001E-3</v>
          </cell>
          <cell r="AQ56">
            <v>0</v>
          </cell>
          <cell r="AR56">
            <v>1.7665910000000001E-3</v>
          </cell>
          <cell r="AS56">
            <v>1.03206E-3</v>
          </cell>
          <cell r="AT56">
            <v>2.2967719999999999E-3</v>
          </cell>
          <cell r="AU56">
            <v>2.5837149999999999E-3</v>
          </cell>
          <cell r="AV56">
            <v>2.410653E-3</v>
          </cell>
          <cell r="AW56">
            <v>1.7585229999999999E-3</v>
          </cell>
          <cell r="AX56">
            <v>4.9676379999999999E-3</v>
          </cell>
          <cell r="AY56">
            <v>7.4141699999999997E-4</v>
          </cell>
          <cell r="AZ56">
            <v>1.2380565E-2</v>
          </cell>
          <cell r="BA56">
            <v>1.4737789999999999E-3</v>
          </cell>
          <cell r="BB56">
            <v>0</v>
          </cell>
          <cell r="BC56">
            <v>1.300105E-3</v>
          </cell>
          <cell r="BD56">
            <v>1.220421E-3</v>
          </cell>
          <cell r="BE56">
            <v>1.166923E-3</v>
          </cell>
          <cell r="BF56">
            <v>1.8168599999999999E-4</v>
          </cell>
          <cell r="BG56">
            <v>1.749015E-3</v>
          </cell>
          <cell r="BH56">
            <v>1.5920419999999999E-3</v>
          </cell>
          <cell r="BI56">
            <v>1.787949E-3</v>
          </cell>
          <cell r="BJ56">
            <v>6.4029799999999997E-4</v>
          </cell>
        </row>
        <row r="57">
          <cell r="B57">
            <v>5.3399999999999997E-6</v>
          </cell>
          <cell r="C57">
            <v>7.2599999999999999E-6</v>
          </cell>
          <cell r="D57">
            <v>6.19E-6</v>
          </cell>
          <cell r="E57">
            <v>5.3000000000000001E-7</v>
          </cell>
          <cell r="F57">
            <v>1.3799999999999999E-6</v>
          </cell>
          <cell r="G57">
            <v>2.1999999999999999E-5</v>
          </cell>
          <cell r="H57">
            <v>7.6899999999999992E-6</v>
          </cell>
          <cell r="I57">
            <v>1.53E-6</v>
          </cell>
          <cell r="J57">
            <v>1.19E-5</v>
          </cell>
          <cell r="K57">
            <v>3.7100000000000001E-5</v>
          </cell>
          <cell r="L57">
            <v>2.7800000000000001E-5</v>
          </cell>
          <cell r="M57">
            <v>9.4399999999999994E-6</v>
          </cell>
          <cell r="N57">
            <v>1.0499999999999999E-5</v>
          </cell>
          <cell r="O57">
            <v>1.26E-5</v>
          </cell>
          <cell r="P57">
            <v>7.9000000000000006E-6</v>
          </cell>
          <cell r="Q57">
            <v>6.1299999999999998E-6</v>
          </cell>
          <cell r="R57">
            <v>1.13E-5</v>
          </cell>
          <cell r="S57">
            <v>8.8899999999999996E-6</v>
          </cell>
          <cell r="T57">
            <v>7.5000000000000002E-6</v>
          </cell>
          <cell r="U57">
            <v>7.2300000000000002E-6</v>
          </cell>
          <cell r="V57">
            <v>2.4499999999999998E-6</v>
          </cell>
          <cell r="W57">
            <v>2.2730600000000001E-4</v>
          </cell>
          <cell r="X57">
            <v>7.625672E-3</v>
          </cell>
          <cell r="Y57">
            <v>6.4400000000000002E-6</v>
          </cell>
          <cell r="Z57">
            <v>1.31738E-4</v>
          </cell>
          <cell r="AA57">
            <v>6.2934199999999997E-4</v>
          </cell>
          <cell r="AB57">
            <v>8.5900000000000001E-5</v>
          </cell>
          <cell r="AC57">
            <v>1.4107729999999999E-3</v>
          </cell>
          <cell r="AD57">
            <v>7.5406799999999999E-4</v>
          </cell>
          <cell r="AE57">
            <v>7.2745100000000005E-4</v>
          </cell>
          <cell r="AF57">
            <v>2.2471790000000002E-3</v>
          </cell>
          <cell r="AG57">
            <v>2.7836549999999999E-3</v>
          </cell>
          <cell r="AH57">
            <v>1.474824E-3</v>
          </cell>
          <cell r="AI57">
            <v>0</v>
          </cell>
          <cell r="AJ57">
            <v>3.7386899999999998E-3</v>
          </cell>
          <cell r="AK57">
            <v>1.9269650000000001E-3</v>
          </cell>
          <cell r="AL57">
            <v>5.1413499999999998E-4</v>
          </cell>
          <cell r="AM57">
            <v>2.1708299999999999E-4</v>
          </cell>
          <cell r="AN57">
            <v>1.651656E-3</v>
          </cell>
          <cell r="AO57">
            <v>0</v>
          </cell>
          <cell r="AP57">
            <v>1.147054E-3</v>
          </cell>
          <cell r="AQ57">
            <v>0</v>
          </cell>
          <cell r="AR57">
            <v>3.328756E-3</v>
          </cell>
          <cell r="AS57">
            <v>2.9499999999999999E-5</v>
          </cell>
          <cell r="AT57">
            <v>3.3200000000000001E-5</v>
          </cell>
          <cell r="AU57">
            <v>8.1000000000000004E-6</v>
          </cell>
          <cell r="AV57">
            <v>8.6400000000000003E-6</v>
          </cell>
          <cell r="AW57">
            <v>8.9099999999999994E-6</v>
          </cell>
          <cell r="AX57">
            <v>2.48E-5</v>
          </cell>
          <cell r="AY57">
            <v>9.7699999999999996E-6</v>
          </cell>
          <cell r="AZ57">
            <v>1.98E-5</v>
          </cell>
          <cell r="BA57">
            <v>2.0100000000000001E-5</v>
          </cell>
          <cell r="BB57">
            <v>0</v>
          </cell>
          <cell r="BC57">
            <v>5.8152099999999999E-4</v>
          </cell>
          <cell r="BD57">
            <v>4.5800000000000002E-6</v>
          </cell>
          <cell r="BE57">
            <v>4.4700000000000004E-6</v>
          </cell>
          <cell r="BF57">
            <v>1.2371499999999999E-4</v>
          </cell>
          <cell r="BG57">
            <v>9.5007000000000002E-4</v>
          </cell>
          <cell r="BH57">
            <v>1.27E-5</v>
          </cell>
          <cell r="BI57">
            <v>2.5600000000000001E-6</v>
          </cell>
          <cell r="BJ57">
            <v>1.5400000000000001E-6</v>
          </cell>
        </row>
        <row r="58">
          <cell r="B58">
            <v>3.49639E-4</v>
          </cell>
          <cell r="C58">
            <v>8.5254700000000005E-4</v>
          </cell>
          <cell r="D58">
            <v>5.3366399999999999E-4</v>
          </cell>
          <cell r="E58">
            <v>4.0599999999999998E-5</v>
          </cell>
          <cell r="F58">
            <v>8.8900000000000006E-5</v>
          </cell>
          <cell r="G58">
            <v>2.9650900000000001E-3</v>
          </cell>
          <cell r="H58">
            <v>5.9709499999999996E-4</v>
          </cell>
          <cell r="I58">
            <v>1.3757299999999999E-4</v>
          </cell>
          <cell r="J58">
            <v>1.414715E-3</v>
          </cell>
          <cell r="K58">
            <v>5.3299200000000001E-3</v>
          </cell>
          <cell r="L58">
            <v>1.520354E-3</v>
          </cell>
          <cell r="M58">
            <v>1.1769630000000001E-3</v>
          </cell>
          <cell r="N58">
            <v>6.8948799999999999E-3</v>
          </cell>
          <cell r="O58">
            <v>2.5783099999999998E-4</v>
          </cell>
          <cell r="P58">
            <v>2.25539E-4</v>
          </cell>
          <cell r="Q58">
            <v>1.7398180999999999E-2</v>
          </cell>
          <cell r="R58">
            <v>5.0012624999999998E-2</v>
          </cell>
          <cell r="S58">
            <v>1.3056167E-2</v>
          </cell>
          <cell r="T58">
            <v>2.5499939999999999E-3</v>
          </cell>
          <cell r="U58">
            <v>5.8057229999999996E-3</v>
          </cell>
          <cell r="V58">
            <v>1.6898659999999999E-3</v>
          </cell>
          <cell r="W58">
            <v>5.2560400000000005E-4</v>
          </cell>
          <cell r="X58">
            <v>3.0661302000000001E-2</v>
          </cell>
          <cell r="Y58">
            <v>4.2551300000000002E-3</v>
          </cell>
          <cell r="Z58">
            <v>8.353727E-3</v>
          </cell>
          <cell r="AA58">
            <v>3.0411033000000001E-2</v>
          </cell>
          <cell r="AB58">
            <v>9.4488660000000002E-3</v>
          </cell>
          <cell r="AC58">
            <v>2.7358199999999999E-3</v>
          </cell>
          <cell r="AD58">
            <v>1.558739E-3</v>
          </cell>
          <cell r="AE58">
            <v>5.2255599999999998E-3</v>
          </cell>
          <cell r="AF58">
            <v>2.8095210000000002E-3</v>
          </cell>
          <cell r="AG58">
            <v>4.3709270000000001E-3</v>
          </cell>
          <cell r="AH58">
            <v>8.6572609999999994E-3</v>
          </cell>
          <cell r="AI58">
            <v>0</v>
          </cell>
          <cell r="AJ58">
            <v>1.1072871E-2</v>
          </cell>
          <cell r="AK58">
            <v>6.9431509999999998E-3</v>
          </cell>
          <cell r="AL58">
            <v>3.1468220000000001E-3</v>
          </cell>
          <cell r="AM58">
            <v>1.704119E-3</v>
          </cell>
          <cell r="AN58">
            <v>7.5060190000000001E-3</v>
          </cell>
          <cell r="AO58">
            <v>0</v>
          </cell>
          <cell r="AP58">
            <v>4.0831940000000001E-3</v>
          </cell>
          <cell r="AQ58">
            <v>0</v>
          </cell>
          <cell r="AR58">
            <v>1.211258E-2</v>
          </cell>
          <cell r="AS58">
            <v>2.2453310000000001E-3</v>
          </cell>
          <cell r="AT58">
            <v>2.655171E-3</v>
          </cell>
          <cell r="AU58">
            <v>1.7289399999999999E-4</v>
          </cell>
          <cell r="AV58">
            <v>4.8999999999999998E-5</v>
          </cell>
          <cell r="AW58">
            <v>1.22397E-4</v>
          </cell>
          <cell r="AX58">
            <v>1.3471259999999999E-3</v>
          </cell>
          <cell r="AY58">
            <v>1.0026329E-2</v>
          </cell>
          <cell r="AZ58">
            <v>3.2166629999999998E-3</v>
          </cell>
          <cell r="BA58">
            <v>3.352907E-3</v>
          </cell>
          <cell r="BB58">
            <v>0</v>
          </cell>
          <cell r="BC58">
            <v>1.319413E-2</v>
          </cell>
          <cell r="BD58">
            <v>1.360773E-3</v>
          </cell>
          <cell r="BE58">
            <v>2.1776360000000002E-3</v>
          </cell>
          <cell r="BF58">
            <v>8.0398299999999998E-4</v>
          </cell>
          <cell r="BG58">
            <v>2.5888161E-2</v>
          </cell>
          <cell r="BH58">
            <v>2.9844250000000002E-3</v>
          </cell>
          <cell r="BI58">
            <v>4.3984749999999998E-3</v>
          </cell>
          <cell r="BJ58">
            <v>6.4300000000000004E-5</v>
          </cell>
        </row>
        <row r="59">
          <cell r="B59">
            <v>2.6299999999999998E-6</v>
          </cell>
          <cell r="C59">
            <v>1.0100000000000001E-6</v>
          </cell>
          <cell r="D59">
            <v>1.5099999999999999E-6</v>
          </cell>
          <cell r="E59">
            <v>4.0400000000000002E-7</v>
          </cell>
          <cell r="F59">
            <v>6.5300000000000004E-7</v>
          </cell>
          <cell r="G59">
            <v>1.75E-6</v>
          </cell>
          <cell r="H59">
            <v>3.4699999999999998E-6</v>
          </cell>
          <cell r="I59">
            <v>9.1800000000000004E-7</v>
          </cell>
          <cell r="J59">
            <v>1.55E-6</v>
          </cell>
          <cell r="K59">
            <v>2.2699999999999999E-6</v>
          </cell>
          <cell r="L59">
            <v>4.1200000000000004E-6</v>
          </cell>
          <cell r="M59">
            <v>4.0099999999999997E-6</v>
          </cell>
          <cell r="N59">
            <v>4.1999999999999996E-6</v>
          </cell>
          <cell r="O59">
            <v>1.7099999999999999E-5</v>
          </cell>
          <cell r="P59">
            <v>3.9700000000000001E-6</v>
          </cell>
          <cell r="Q59">
            <v>2.04E-6</v>
          </cell>
          <cell r="R59">
            <v>2.5000000000000002E-6</v>
          </cell>
          <cell r="S59">
            <v>3.0800000000000002E-6</v>
          </cell>
          <cell r="T59">
            <v>3.6399999999999999E-6</v>
          </cell>
          <cell r="U59">
            <v>8.6600000000000001E-6</v>
          </cell>
          <cell r="V59">
            <v>2.6900000000000001E-6</v>
          </cell>
          <cell r="W59">
            <v>1.9700000000000002E-6</v>
          </cell>
          <cell r="X59">
            <v>9.2899999999999995E-5</v>
          </cell>
          <cell r="Y59">
            <v>2.9000000000000002E-6</v>
          </cell>
          <cell r="Z59">
            <v>4.5499999999999996E-6</v>
          </cell>
          <cell r="AA59">
            <v>7.1400000000000001E-5</v>
          </cell>
          <cell r="AB59">
            <v>2.9300000000000001E-5</v>
          </cell>
          <cell r="AC59">
            <v>8.2400000000000007E-6</v>
          </cell>
          <cell r="AD59">
            <v>3.3000000000000002E-6</v>
          </cell>
          <cell r="AE59">
            <v>3.0800000000000002E-6</v>
          </cell>
          <cell r="AF59">
            <v>6.4400000000000002E-6</v>
          </cell>
          <cell r="AG59">
            <v>4.87E-6</v>
          </cell>
          <cell r="AH59">
            <v>2.48E-6</v>
          </cell>
          <cell r="AI59">
            <v>0</v>
          </cell>
          <cell r="AJ59">
            <v>6.8800000000000002E-6</v>
          </cell>
          <cell r="AK59">
            <v>6.0700000000000003E-6</v>
          </cell>
          <cell r="AL59">
            <v>6.5700000000000002E-7</v>
          </cell>
          <cell r="AM59">
            <v>6.7100000000000001E-7</v>
          </cell>
          <cell r="AN59">
            <v>1.11E-6</v>
          </cell>
          <cell r="AO59">
            <v>0</v>
          </cell>
          <cell r="AP59">
            <v>3.4300000000000002E-6</v>
          </cell>
          <cell r="AQ59">
            <v>0</v>
          </cell>
          <cell r="AR59">
            <v>1.9400000000000001E-6</v>
          </cell>
          <cell r="AS59">
            <v>2.0700000000000001E-6</v>
          </cell>
          <cell r="AT59">
            <v>2.9799999999999998E-6</v>
          </cell>
          <cell r="AU59">
            <v>4.3800000000000004E-6</v>
          </cell>
          <cell r="AV59">
            <v>2.2800000000000002E-6</v>
          </cell>
          <cell r="AW59">
            <v>1.79E-6</v>
          </cell>
          <cell r="AX59">
            <v>9.4199999999999996E-6</v>
          </cell>
          <cell r="AY59">
            <v>5.6099999999999997E-6</v>
          </cell>
          <cell r="AZ59">
            <v>3.2499999999999997E-5</v>
          </cell>
          <cell r="BA59">
            <v>2.0999999999999998E-6</v>
          </cell>
          <cell r="BB59">
            <v>0</v>
          </cell>
          <cell r="BC59">
            <v>1.3400000000000001E-6</v>
          </cell>
          <cell r="BD59">
            <v>2.5799999999999999E-6</v>
          </cell>
          <cell r="BE59">
            <v>2.3700000000000002E-6</v>
          </cell>
          <cell r="BF59">
            <v>8.67E-6</v>
          </cell>
          <cell r="BG59">
            <v>6.55E-6</v>
          </cell>
          <cell r="BH59">
            <v>1.08E-6</v>
          </cell>
          <cell r="BI59">
            <v>1.2899999999999999E-6</v>
          </cell>
          <cell r="BJ59">
            <v>7.1900000000000002E-7</v>
          </cell>
        </row>
        <row r="60">
          <cell r="B60">
            <v>6.67933E-4</v>
          </cell>
          <cell r="C60">
            <v>1.7340000000000001E-4</v>
          </cell>
          <cell r="D60">
            <v>2.8112299999999998E-4</v>
          </cell>
          <cell r="E60">
            <v>1.8199999999999999E-5</v>
          </cell>
          <cell r="F60">
            <v>2.8500000000000002E-5</v>
          </cell>
          <cell r="G60">
            <v>4.1183600000000001E-4</v>
          </cell>
          <cell r="H60">
            <v>2.4793200000000002E-4</v>
          </cell>
          <cell r="I60">
            <v>3.96E-5</v>
          </cell>
          <cell r="J60">
            <v>7.8949200000000004E-4</v>
          </cell>
          <cell r="K60">
            <v>5.5116799999999999E-4</v>
          </cell>
          <cell r="L60">
            <v>3.5533500000000003E-4</v>
          </cell>
          <cell r="M60">
            <v>1.51571E-4</v>
          </cell>
          <cell r="N60">
            <v>1.1043579999999999E-3</v>
          </cell>
          <cell r="O60">
            <v>3.1487600000000001E-4</v>
          </cell>
          <cell r="P60">
            <v>1.7837350000000001E-3</v>
          </cell>
          <cell r="Q60">
            <v>7.4991999999999995E-4</v>
          </cell>
          <cell r="R60">
            <v>1.975493E-3</v>
          </cell>
          <cell r="S60">
            <v>6.3739999999999999E-4</v>
          </cell>
          <cell r="T60">
            <v>2.5824000000000002E-4</v>
          </cell>
          <cell r="U60">
            <v>5.4050699999999997E-4</v>
          </cell>
          <cell r="V60">
            <v>1.5813399999999999E-4</v>
          </cell>
          <cell r="W60">
            <v>1.15771E-4</v>
          </cell>
          <cell r="X60">
            <v>8.2948600000000005E-4</v>
          </cell>
          <cell r="Y60">
            <v>3.0122900000000003E-4</v>
          </cell>
          <cell r="Z60">
            <v>2.2604E-4</v>
          </cell>
          <cell r="AA60">
            <v>1.371061E-3</v>
          </cell>
          <cell r="AB60">
            <v>3.4494359000000002E-2</v>
          </cell>
          <cell r="AC60">
            <v>1.3918240000000001E-3</v>
          </cell>
          <cell r="AD60">
            <v>5.1977299999999996E-4</v>
          </cell>
          <cell r="AE60">
            <v>8.9079299999999997E-4</v>
          </cell>
          <cell r="AF60">
            <v>6.9748200000000003E-4</v>
          </cell>
          <cell r="AG60">
            <v>6.8642799999999999E-4</v>
          </cell>
          <cell r="AH60">
            <v>6.1701900000000001E-4</v>
          </cell>
          <cell r="AI60">
            <v>0</v>
          </cell>
          <cell r="AJ60">
            <v>1.0619099999999999E-3</v>
          </cell>
          <cell r="AK60">
            <v>9.7941400000000007E-4</v>
          </cell>
          <cell r="AL60">
            <v>5.7246900000000004E-4</v>
          </cell>
          <cell r="AM60">
            <v>5.0809499999999997E-4</v>
          </cell>
          <cell r="AN60">
            <v>2.3883820000000001E-3</v>
          </cell>
          <cell r="AO60">
            <v>0</v>
          </cell>
          <cell r="AP60">
            <v>7.8992999999999999E-4</v>
          </cell>
          <cell r="AQ60">
            <v>0</v>
          </cell>
          <cell r="AR60">
            <v>1.199206E-3</v>
          </cell>
          <cell r="AS60">
            <v>8.8826900000000002E-4</v>
          </cell>
          <cell r="AT60">
            <v>7.3857800000000004E-4</v>
          </cell>
          <cell r="AU60">
            <v>2.43537E-4</v>
          </cell>
          <cell r="AV60">
            <v>8.9051099999999997E-4</v>
          </cell>
          <cell r="AW60">
            <v>2.744E-4</v>
          </cell>
          <cell r="AX60">
            <v>6.032417E-3</v>
          </cell>
          <cell r="AY60">
            <v>1.867182E-3</v>
          </cell>
          <cell r="AZ60">
            <v>1.1144670000000001E-3</v>
          </cell>
          <cell r="BA60">
            <v>1.181252E-3</v>
          </cell>
          <cell r="BB60">
            <v>0</v>
          </cell>
          <cell r="BC60">
            <v>2.94734E-4</v>
          </cell>
          <cell r="BD60">
            <v>1.1054599999999999E-4</v>
          </cell>
          <cell r="BE60">
            <v>1.6118299999999999E-4</v>
          </cell>
          <cell r="BF60">
            <v>5.6799999999999998E-5</v>
          </cell>
          <cell r="BG60">
            <v>1.0945830000000001E-3</v>
          </cell>
          <cell r="BH60">
            <v>2.1751100000000001E-4</v>
          </cell>
          <cell r="BI60">
            <v>3.4065799999999998E-4</v>
          </cell>
          <cell r="BJ60">
            <v>4.2299999999999998E-5</v>
          </cell>
        </row>
        <row r="61">
          <cell r="B61">
            <v>1.69424E-4</v>
          </cell>
          <cell r="C61">
            <v>4.3000000000000002E-5</v>
          </cell>
          <cell r="D61">
            <v>7.7799999999999994E-5</v>
          </cell>
          <cell r="E61">
            <v>8.0399999999999993E-6</v>
          </cell>
          <cell r="F61">
            <v>1.2799999999999999E-5</v>
          </cell>
          <cell r="G61">
            <v>1.05481E-4</v>
          </cell>
          <cell r="H61">
            <v>1.02363E-4</v>
          </cell>
          <cell r="I61">
            <v>1.5E-5</v>
          </cell>
          <cell r="J61">
            <v>2.3843599999999999E-4</v>
          </cell>
          <cell r="K61">
            <v>1.4183699999999999E-4</v>
          </cell>
          <cell r="L61">
            <v>1.1726300000000001E-4</v>
          </cell>
          <cell r="M61">
            <v>5.2800000000000003E-5</v>
          </cell>
          <cell r="N61">
            <v>2.9399899999999997E-4</v>
          </cell>
          <cell r="O61">
            <v>8.53E-5</v>
          </cell>
          <cell r="P61">
            <v>4.5355699999999999E-4</v>
          </cell>
          <cell r="Q61">
            <v>1.3631900000000001E-4</v>
          </cell>
          <cell r="R61">
            <v>3.5237700000000002E-4</v>
          </cell>
          <cell r="S61">
            <v>1.05369E-4</v>
          </cell>
          <cell r="T61">
            <v>3.9799999999999998E-5</v>
          </cell>
          <cell r="U61">
            <v>1.0970400000000001E-4</v>
          </cell>
          <cell r="V61">
            <v>4.1499999999999999E-5</v>
          </cell>
          <cell r="W61">
            <v>3.4199999999999998E-5</v>
          </cell>
          <cell r="X61">
            <v>1.6936300000000001E-4</v>
          </cell>
          <cell r="Y61">
            <v>6.3399999999999996E-5</v>
          </cell>
          <cell r="Z61">
            <v>1.06333E-4</v>
          </cell>
          <cell r="AA61">
            <v>3.5700400000000001E-4</v>
          </cell>
          <cell r="AB61">
            <v>8.4426650000000002E-3</v>
          </cell>
          <cell r="AC61">
            <v>3.1271499999999998E-4</v>
          </cell>
          <cell r="AD61">
            <v>1.1425399999999999E-4</v>
          </cell>
          <cell r="AE61">
            <v>3.02081E-4</v>
          </cell>
          <cell r="AF61">
            <v>1.74067E-4</v>
          </cell>
          <cell r="AG61">
            <v>1.6002200000000001E-4</v>
          </cell>
          <cell r="AH61">
            <v>1.1877100000000001E-4</v>
          </cell>
          <cell r="AI61">
            <v>0</v>
          </cell>
          <cell r="AJ61">
            <v>2.10664E-4</v>
          </cell>
          <cell r="AK61">
            <v>1.9118499999999999E-4</v>
          </cell>
          <cell r="AL61">
            <v>9.7700000000000003E-5</v>
          </cell>
          <cell r="AM61">
            <v>7.3800000000000005E-5</v>
          </cell>
          <cell r="AN61">
            <v>3.5235099999999999E-4</v>
          </cell>
          <cell r="AO61">
            <v>0</v>
          </cell>
          <cell r="AP61">
            <v>1.4966099999999999E-4</v>
          </cell>
          <cell r="AQ61">
            <v>0</v>
          </cell>
          <cell r="AR61">
            <v>2.7674600000000002E-4</v>
          </cell>
          <cell r="AS61">
            <v>1.5855900000000001E-4</v>
          </cell>
          <cell r="AT61">
            <v>1.51688E-4</v>
          </cell>
          <cell r="AU61">
            <v>8.3800000000000004E-5</v>
          </cell>
          <cell r="AV61">
            <v>1.6090700000000001E-4</v>
          </cell>
          <cell r="AW61">
            <v>5.2099999999999999E-5</v>
          </cell>
          <cell r="AX61">
            <v>1.461831E-3</v>
          </cell>
          <cell r="AY61">
            <v>3.2693799999999998E-4</v>
          </cell>
          <cell r="AZ61">
            <v>2.2493799999999999E-4</v>
          </cell>
          <cell r="BA61">
            <v>1.8333100000000001E-4</v>
          </cell>
          <cell r="BB61">
            <v>0</v>
          </cell>
          <cell r="BC61">
            <v>5.27E-5</v>
          </cell>
          <cell r="BD61">
            <v>2.6999999999999999E-5</v>
          </cell>
          <cell r="BE61">
            <v>3.3800000000000002E-5</v>
          </cell>
          <cell r="BF61">
            <v>4.2400000000000001E-5</v>
          </cell>
          <cell r="BG61">
            <v>2.0374299999999999E-4</v>
          </cell>
          <cell r="BH61">
            <v>5.5500000000000001E-5</v>
          </cell>
          <cell r="BI61">
            <v>1.0197E-4</v>
          </cell>
          <cell r="BJ61">
            <v>1.7799999999999999E-5</v>
          </cell>
        </row>
        <row r="62">
          <cell r="B62">
            <v>5.1600000000000001E-5</v>
          </cell>
          <cell r="C62">
            <v>2.87E-5</v>
          </cell>
          <cell r="D62">
            <v>3.01E-5</v>
          </cell>
          <cell r="E62">
            <v>6.6100000000000002E-6</v>
          </cell>
          <cell r="F62">
            <v>9.9499999999999996E-6</v>
          </cell>
          <cell r="G62">
            <v>5.5500000000000001E-5</v>
          </cell>
          <cell r="H62">
            <v>1.2097200000000001E-4</v>
          </cell>
          <cell r="I62">
            <v>2.16E-5</v>
          </cell>
          <cell r="J62">
            <v>5.5699999999999999E-5</v>
          </cell>
          <cell r="K62">
            <v>1.3172699999999999E-4</v>
          </cell>
          <cell r="L62">
            <v>9.1299999999999997E-5</v>
          </cell>
          <cell r="M62">
            <v>6.2399999999999999E-5</v>
          </cell>
          <cell r="N62">
            <v>1.6399399999999999E-4</v>
          </cell>
          <cell r="O62">
            <v>1.02242E-4</v>
          </cell>
          <cell r="P62">
            <v>7.7200000000000006E-5</v>
          </cell>
          <cell r="Q62">
            <v>1.08891E-4</v>
          </cell>
          <cell r="R62">
            <v>1.66902E-4</v>
          </cell>
          <cell r="S62">
            <v>1.14096E-4</v>
          </cell>
          <cell r="T62">
            <v>1.03101E-4</v>
          </cell>
          <cell r="U62">
            <v>5.7500000000000002E-5</v>
          </cell>
          <cell r="V62">
            <v>3.9499999999999998E-5</v>
          </cell>
          <cell r="W62">
            <v>5.8100000000000003E-5</v>
          </cell>
          <cell r="X62">
            <v>2.2184E-4</v>
          </cell>
          <cell r="Y62">
            <v>8.4099999999999998E-5</v>
          </cell>
          <cell r="Z62">
            <v>5.6199999999999997E-5</v>
          </cell>
          <cell r="AA62">
            <v>7.2746900000000001E-4</v>
          </cell>
          <cell r="AB62">
            <v>1.07522E-4</v>
          </cell>
          <cell r="AC62">
            <v>4.7899999999999999E-5</v>
          </cell>
          <cell r="AD62">
            <v>7.5799999999999999E-5</v>
          </cell>
          <cell r="AE62">
            <v>2.9899999999999998E-5</v>
          </cell>
          <cell r="AF62">
            <v>5.41E-5</v>
          </cell>
          <cell r="AG62">
            <v>2.02442E-4</v>
          </cell>
          <cell r="AH62">
            <v>1.16259E-4</v>
          </cell>
          <cell r="AI62">
            <v>0</v>
          </cell>
          <cell r="AJ62">
            <v>1.09953E-4</v>
          </cell>
          <cell r="AK62">
            <v>8.3700000000000002E-5</v>
          </cell>
          <cell r="AL62">
            <v>3.2700000000000002E-5</v>
          </cell>
          <cell r="AM62">
            <v>3.15E-5</v>
          </cell>
          <cell r="AN62">
            <v>1.4433E-4</v>
          </cell>
          <cell r="AO62">
            <v>0</v>
          </cell>
          <cell r="AP62">
            <v>2.6991500000000002E-4</v>
          </cell>
          <cell r="AQ62">
            <v>0</v>
          </cell>
          <cell r="AR62">
            <v>9.8499999999999995E-5</v>
          </cell>
          <cell r="AS62">
            <v>5.4599999999999999E-5</v>
          </cell>
          <cell r="AT62">
            <v>7.7100000000000004E-5</v>
          </cell>
          <cell r="AU62">
            <v>1.2999999999999999E-5</v>
          </cell>
          <cell r="AV62">
            <v>7.6899999999999999E-5</v>
          </cell>
          <cell r="AW62">
            <v>1.7E-5</v>
          </cell>
          <cell r="AX62">
            <v>8.0099999999999995E-5</v>
          </cell>
          <cell r="AY62">
            <v>5.9899999999999999E-5</v>
          </cell>
          <cell r="AZ62">
            <v>6.1199999999999997E-5</v>
          </cell>
          <cell r="BA62">
            <v>8.5699999999999996E-5</v>
          </cell>
          <cell r="BB62">
            <v>0</v>
          </cell>
          <cell r="BC62">
            <v>9.9300000000000001E-5</v>
          </cell>
          <cell r="BD62">
            <v>2.0438800000000001E-4</v>
          </cell>
          <cell r="BE62">
            <v>1.88662E-4</v>
          </cell>
          <cell r="BF62">
            <v>3.9898899999999998E-4</v>
          </cell>
          <cell r="BG62">
            <v>2.0018400000000001E-4</v>
          </cell>
          <cell r="BH62">
            <v>5.5999999999999999E-5</v>
          </cell>
          <cell r="BI62">
            <v>4.8099999999999997E-5</v>
          </cell>
          <cell r="BJ62">
            <v>2.8099999999999999E-5</v>
          </cell>
        </row>
        <row r="63">
          <cell r="B63">
            <v>1.3810100000000001E-4</v>
          </cell>
          <cell r="C63">
            <v>8.0400000000000003E-5</v>
          </cell>
          <cell r="D63">
            <v>9.1399999999999999E-5</v>
          </cell>
          <cell r="E63">
            <v>2.1399999999999998E-5</v>
          </cell>
          <cell r="F63">
            <v>2.6999999999999999E-5</v>
          </cell>
          <cell r="G63">
            <v>1.62855E-4</v>
          </cell>
          <cell r="H63">
            <v>3.1242599999999998E-4</v>
          </cell>
          <cell r="I63">
            <v>6.8899999999999994E-5</v>
          </cell>
          <cell r="J63">
            <v>1.6027200000000001E-4</v>
          </cell>
          <cell r="K63">
            <v>3.6304700000000002E-4</v>
          </cell>
          <cell r="L63">
            <v>2.72506E-4</v>
          </cell>
          <cell r="M63">
            <v>1.6671000000000001E-4</v>
          </cell>
          <cell r="N63">
            <v>4.12197E-4</v>
          </cell>
          <cell r="O63">
            <v>3.5530099999999998E-4</v>
          </cell>
          <cell r="P63">
            <v>2.0201999999999999E-4</v>
          </cell>
          <cell r="Q63">
            <v>1.8314500000000001E-4</v>
          </cell>
          <cell r="R63">
            <v>3.4367000000000002E-4</v>
          </cell>
          <cell r="S63">
            <v>2.7417899999999999E-4</v>
          </cell>
          <cell r="T63">
            <v>2.3948200000000001E-4</v>
          </cell>
          <cell r="U63">
            <v>1.67956E-4</v>
          </cell>
          <cell r="V63">
            <v>1.0389499999999999E-4</v>
          </cell>
          <cell r="W63">
            <v>1.5019400000000001E-4</v>
          </cell>
          <cell r="X63">
            <v>5.3480300000000004E-4</v>
          </cell>
          <cell r="Y63">
            <v>2.23928E-4</v>
          </cell>
          <cell r="Z63">
            <v>1.4615900000000001E-4</v>
          </cell>
          <cell r="AA63">
            <v>1.481413E-3</v>
          </cell>
          <cell r="AB63">
            <v>3.1667000000000002E-4</v>
          </cell>
          <cell r="AC63">
            <v>1.2094799999999999E-4</v>
          </cell>
          <cell r="AD63">
            <v>1.7768699999999999E-4</v>
          </cell>
          <cell r="AE63">
            <v>9.6799999999999995E-5</v>
          </cell>
          <cell r="AF63">
            <v>1.67863E-4</v>
          </cell>
          <cell r="AG63">
            <v>3.8483099999999998E-4</v>
          </cell>
          <cell r="AH63">
            <v>2.74228E-4</v>
          </cell>
          <cell r="AI63">
            <v>0</v>
          </cell>
          <cell r="AJ63">
            <v>2.9941199999999999E-4</v>
          </cell>
          <cell r="AK63">
            <v>2.31874E-4</v>
          </cell>
          <cell r="AL63">
            <v>9.87E-5</v>
          </cell>
          <cell r="AM63">
            <v>9.2999999999999997E-5</v>
          </cell>
          <cell r="AN63">
            <v>2.4434599999999999E-4</v>
          </cell>
          <cell r="AO63">
            <v>0</v>
          </cell>
          <cell r="AP63">
            <v>7.5863799999999996E-4</v>
          </cell>
          <cell r="AQ63">
            <v>0</v>
          </cell>
          <cell r="AR63">
            <v>2.4843100000000002E-4</v>
          </cell>
          <cell r="AS63">
            <v>1.3762299999999999E-4</v>
          </cell>
          <cell r="AT63">
            <v>1.8881099999999999E-4</v>
          </cell>
          <cell r="AU63">
            <v>3.4999999999999997E-5</v>
          </cell>
          <cell r="AV63">
            <v>1.62619E-4</v>
          </cell>
          <cell r="AW63">
            <v>4.74E-5</v>
          </cell>
          <cell r="AX63">
            <v>2.1181999999999999E-4</v>
          </cell>
          <cell r="AY63">
            <v>1.58682E-4</v>
          </cell>
          <cell r="AZ63">
            <v>3.36872E-4</v>
          </cell>
          <cell r="BA63">
            <v>2.14589E-4</v>
          </cell>
          <cell r="BB63">
            <v>0</v>
          </cell>
          <cell r="BC63">
            <v>1.93826E-4</v>
          </cell>
          <cell r="BD63">
            <v>4.2622500000000002E-4</v>
          </cell>
          <cell r="BE63">
            <v>3.969E-4</v>
          </cell>
          <cell r="BF63">
            <v>9.5744600000000003E-4</v>
          </cell>
          <cell r="BG63">
            <v>4.5836299999999999E-4</v>
          </cell>
          <cell r="BH63">
            <v>1.40593E-4</v>
          </cell>
          <cell r="BI63">
            <v>1.14057E-4</v>
          </cell>
          <cell r="BJ63">
            <v>5.8E-5</v>
          </cell>
        </row>
        <row r="64">
          <cell r="B64">
            <v>5.7996399999999998E-4</v>
          </cell>
          <cell r="C64">
            <v>5.1218699999999999E-4</v>
          </cell>
          <cell r="D64">
            <v>8.8487899999999998E-4</v>
          </cell>
          <cell r="E64">
            <v>2.3E-5</v>
          </cell>
          <cell r="F64">
            <v>7.5900000000000002E-5</v>
          </cell>
          <cell r="G64">
            <v>1.4608710000000001E-3</v>
          </cell>
          <cell r="H64">
            <v>6.7525799999999998E-4</v>
          </cell>
          <cell r="I64">
            <v>8.1000000000000004E-5</v>
          </cell>
          <cell r="J64">
            <v>8.8037399999999996E-4</v>
          </cell>
          <cell r="K64">
            <v>2.570985E-3</v>
          </cell>
          <cell r="L64">
            <v>1.600064E-3</v>
          </cell>
          <cell r="M64">
            <v>3.1153799999999998E-4</v>
          </cell>
          <cell r="N64">
            <v>1.1217902E-2</v>
          </cell>
          <cell r="O64">
            <v>1.24603E-3</v>
          </cell>
          <cell r="P64">
            <v>2.4639660000000002E-3</v>
          </cell>
          <cell r="Q64">
            <v>8.275559E-3</v>
          </cell>
          <cell r="R64">
            <v>9.0175150000000003E-3</v>
          </cell>
          <cell r="S64">
            <v>7.7545369999999997E-3</v>
          </cell>
          <cell r="T64">
            <v>7.9067459999999992E-3</v>
          </cell>
          <cell r="U64">
            <v>4.5253100000000003E-3</v>
          </cell>
          <cell r="V64">
            <v>1.361098E-3</v>
          </cell>
          <cell r="W64">
            <v>5.9655299999999999E-4</v>
          </cell>
          <cell r="X64">
            <v>2.4648679999999998E-3</v>
          </cell>
          <cell r="Y64">
            <v>3.9579399999999999E-4</v>
          </cell>
          <cell r="Z64">
            <v>8.7155059999999996E-3</v>
          </cell>
          <cell r="AA64">
            <v>0.14975327999999999</v>
          </cell>
          <cell r="AB64">
            <v>4.4154410999999998E-2</v>
          </cell>
          <cell r="AC64">
            <v>3.2357000000000002E-3</v>
          </cell>
          <cell r="AD64">
            <v>5.2092900000000001E-3</v>
          </cell>
          <cell r="AE64">
            <v>4.2058200000000002E-4</v>
          </cell>
          <cell r="AF64">
            <v>1.762118E-3</v>
          </cell>
          <cell r="AG64">
            <v>1.2114911000000001E-2</v>
          </cell>
          <cell r="AH64">
            <v>3.817955E-3</v>
          </cell>
          <cell r="AI64">
            <v>0</v>
          </cell>
          <cell r="AJ64">
            <v>1.5668912E-2</v>
          </cell>
          <cell r="AK64">
            <v>1.6649884E-2</v>
          </cell>
          <cell r="AL64">
            <v>5.6799999999999998E-5</v>
          </cell>
          <cell r="AM64">
            <v>3.4700000000000003E-5</v>
          </cell>
          <cell r="AN64">
            <v>1.66336E-3</v>
          </cell>
          <cell r="AO64">
            <v>0</v>
          </cell>
          <cell r="AP64">
            <v>3.1114010000000002E-3</v>
          </cell>
          <cell r="AQ64">
            <v>0</v>
          </cell>
          <cell r="AR64">
            <v>1.9494860000000001E-3</v>
          </cell>
          <cell r="AS64">
            <v>2.1752130000000001E-3</v>
          </cell>
          <cell r="AT64">
            <v>4.667671E-3</v>
          </cell>
          <cell r="AU64">
            <v>1.212606E-3</v>
          </cell>
          <cell r="AV64">
            <v>1.9972779999999999E-3</v>
          </cell>
          <cell r="AW64">
            <v>2.58342E-4</v>
          </cell>
          <cell r="AX64">
            <v>1.1760915E-2</v>
          </cell>
          <cell r="AY64">
            <v>4.5168079999999998E-3</v>
          </cell>
          <cell r="AZ64">
            <v>1.4423195999999999E-2</v>
          </cell>
          <cell r="BA64">
            <v>8.0183000000000001E-4</v>
          </cell>
          <cell r="BB64">
            <v>0</v>
          </cell>
          <cell r="BC64">
            <v>1.604671E-3</v>
          </cell>
          <cell r="BD64">
            <v>2.3156660000000001E-3</v>
          </cell>
          <cell r="BE64">
            <v>1.572007E-3</v>
          </cell>
          <cell r="BF64">
            <v>5.4015410000000002E-3</v>
          </cell>
          <cell r="BG64">
            <v>1.1908609000000001E-2</v>
          </cell>
          <cell r="BH64">
            <v>2.4617480000000001E-3</v>
          </cell>
          <cell r="BI64">
            <v>6.5441800000000004E-4</v>
          </cell>
          <cell r="BJ64">
            <v>1.8134800000000001E-4</v>
          </cell>
        </row>
        <row r="65">
          <cell r="B65">
            <v>5.3262561999999999E-2</v>
          </cell>
          <cell r="C65">
            <v>5.7573879999999996E-3</v>
          </cell>
          <cell r="D65">
            <v>3.306668E-3</v>
          </cell>
          <cell r="E65">
            <v>3.7293200000000003E-4</v>
          </cell>
          <cell r="F65">
            <v>9.0833099999999996E-4</v>
          </cell>
          <cell r="G65">
            <v>5.4413309999999998E-3</v>
          </cell>
          <cell r="H65">
            <v>2.2994270000000002E-3</v>
          </cell>
          <cell r="I65">
            <v>1.3048929999999999E-3</v>
          </cell>
          <cell r="J65">
            <v>4.4665399999999997E-3</v>
          </cell>
          <cell r="K65">
            <v>8.4307879999999998E-3</v>
          </cell>
          <cell r="L65">
            <v>5.1798620000000004E-3</v>
          </cell>
          <cell r="M65">
            <v>1.197601E-3</v>
          </cell>
          <cell r="N65">
            <v>1.8145343000000001E-2</v>
          </cell>
          <cell r="O65">
            <v>4.7844510000000003E-3</v>
          </cell>
          <cell r="P65">
            <v>7.0141659999999996E-3</v>
          </cell>
          <cell r="Q65">
            <v>2.670838E-3</v>
          </cell>
          <cell r="R65">
            <v>2.9346939999999998E-3</v>
          </cell>
          <cell r="S65">
            <v>1.9943890000000001E-3</v>
          </cell>
          <cell r="T65">
            <v>1.597355E-3</v>
          </cell>
          <cell r="U65">
            <v>5.5031999999999998E-3</v>
          </cell>
          <cell r="V65">
            <v>3.522889E-3</v>
          </cell>
          <cell r="W65">
            <v>6.1660899999999995E-4</v>
          </cell>
          <cell r="X65">
            <v>1.1095479999999999E-3</v>
          </cell>
          <cell r="Y65">
            <v>6.2511620000000002E-3</v>
          </cell>
          <cell r="Z65">
            <v>8.3403800000000005E-4</v>
          </cell>
          <cell r="AA65">
            <v>5.1474240000000003E-3</v>
          </cell>
          <cell r="AB65">
            <v>0.24498441800000001</v>
          </cell>
          <cell r="AC65">
            <v>1.1956222000000001E-2</v>
          </cell>
          <cell r="AD65">
            <v>2.2098737E-2</v>
          </cell>
          <cell r="AE65">
            <v>3.0897519999999999E-3</v>
          </cell>
          <cell r="AF65">
            <v>5.9614000000000004E-3</v>
          </cell>
          <cell r="AG65">
            <v>1.0032671999999999E-2</v>
          </cell>
          <cell r="AH65">
            <v>4.8301209999999997E-3</v>
          </cell>
          <cell r="AI65">
            <v>0</v>
          </cell>
          <cell r="AJ65">
            <v>4.1085569999999997E-3</v>
          </cell>
          <cell r="AK65">
            <v>3.9688500000000003E-3</v>
          </cell>
          <cell r="AL65">
            <v>8.09934E-4</v>
          </cell>
          <cell r="AM65">
            <v>5.9336199999999995E-4</v>
          </cell>
          <cell r="AN65">
            <v>2.5711380000000002E-3</v>
          </cell>
          <cell r="AO65">
            <v>0</v>
          </cell>
          <cell r="AP65">
            <v>3.119915E-3</v>
          </cell>
          <cell r="AQ65">
            <v>0</v>
          </cell>
          <cell r="AR65">
            <v>7.3311310000000003E-3</v>
          </cell>
          <cell r="AS65">
            <v>5.089921E-2</v>
          </cell>
          <cell r="AT65">
            <v>1.2255271999999999E-2</v>
          </cell>
          <cell r="AU65">
            <v>2.5856920000000001E-3</v>
          </cell>
          <cell r="AV65">
            <v>4.7650495000000001E-2</v>
          </cell>
          <cell r="AW65">
            <v>2.0899226999999999E-2</v>
          </cell>
          <cell r="AX65">
            <v>5.6369130000000003E-2</v>
          </cell>
          <cell r="AY65">
            <v>0.12839708599999999</v>
          </cell>
          <cell r="AZ65">
            <v>5.3317679E-2</v>
          </cell>
          <cell r="BA65">
            <v>3.1668310000000002E-3</v>
          </cell>
          <cell r="BB65">
            <v>0</v>
          </cell>
          <cell r="BC65">
            <v>5.0048400000000004E-4</v>
          </cell>
          <cell r="BD65">
            <v>3.23049E-4</v>
          </cell>
          <cell r="BE65">
            <v>3.5768799999999999E-4</v>
          </cell>
          <cell r="BF65">
            <v>1.8170099999999999E-4</v>
          </cell>
          <cell r="BG65">
            <v>1.679701E-3</v>
          </cell>
          <cell r="BH65">
            <v>8.0326599999999996E-4</v>
          </cell>
          <cell r="BI65">
            <v>5.0401070000000003E-3</v>
          </cell>
          <cell r="BJ65">
            <v>7.7054000000000001E-4</v>
          </cell>
        </row>
        <row r="66">
          <cell r="B66">
            <v>1.1131590000000001E-3</v>
          </cell>
          <cell r="C66">
            <v>1.9931340000000001E-3</v>
          </cell>
          <cell r="D66">
            <v>9.6612800000000002E-4</v>
          </cell>
          <cell r="E66">
            <v>1.58858E-4</v>
          </cell>
          <cell r="F66">
            <v>2.8246E-4</v>
          </cell>
          <cell r="G66">
            <v>6.9450140000000002E-3</v>
          </cell>
          <cell r="H66">
            <v>5.5066299999999996E-4</v>
          </cell>
          <cell r="I66">
            <v>4.6344300000000001E-4</v>
          </cell>
          <cell r="J66">
            <v>3.6880900000000002E-3</v>
          </cell>
          <cell r="K66">
            <v>8.7687640000000001E-3</v>
          </cell>
          <cell r="L66">
            <v>4.5349379999999996E-3</v>
          </cell>
          <cell r="M66">
            <v>4.2832100000000001E-4</v>
          </cell>
          <cell r="N66">
            <v>2.1539584000000001E-2</v>
          </cell>
          <cell r="O66">
            <v>1.030675E-3</v>
          </cell>
          <cell r="P66">
            <v>9.69701E-4</v>
          </cell>
          <cell r="Q66">
            <v>8.4226200000000005E-3</v>
          </cell>
          <cell r="R66">
            <v>8.9722110000000008E-3</v>
          </cell>
          <cell r="S66">
            <v>3.80336E-4</v>
          </cell>
          <cell r="T66">
            <v>4.5101700000000001E-4</v>
          </cell>
          <cell r="U66">
            <v>2.9436399999999998E-4</v>
          </cell>
          <cell r="V66">
            <v>2.30442E-4</v>
          </cell>
          <cell r="W66">
            <v>2.0903499999999999E-4</v>
          </cell>
          <cell r="X66">
            <v>2.0092740000000001E-3</v>
          </cell>
          <cell r="Y66">
            <v>7.3797499999999998E-4</v>
          </cell>
          <cell r="Z66">
            <v>3.6867200000000001E-4</v>
          </cell>
          <cell r="AA66">
            <v>8.0632389999999998E-3</v>
          </cell>
          <cell r="AB66">
            <v>1.276959E-3</v>
          </cell>
          <cell r="AC66">
            <v>0.36272555400000001</v>
          </cell>
          <cell r="AD66">
            <v>1.210453E-3</v>
          </cell>
          <cell r="AE66">
            <v>1.375315E-3</v>
          </cell>
          <cell r="AF66">
            <v>2.6382710000000002E-3</v>
          </cell>
          <cell r="AG66">
            <v>1.6485584000000001E-2</v>
          </cell>
          <cell r="AH66">
            <v>6.2733400000000001E-4</v>
          </cell>
          <cell r="AI66">
            <v>0</v>
          </cell>
          <cell r="AJ66">
            <v>5.6981299999999996E-4</v>
          </cell>
          <cell r="AK66">
            <v>5.1449999999999998E-4</v>
          </cell>
          <cell r="AL66">
            <v>1.9860400000000001E-4</v>
          </cell>
          <cell r="AM66">
            <v>1.72659E-4</v>
          </cell>
          <cell r="AN66">
            <v>3.4730200000000002E-4</v>
          </cell>
          <cell r="AO66">
            <v>0</v>
          </cell>
          <cell r="AP66">
            <v>8.6067999999999995E-4</v>
          </cell>
          <cell r="AQ66">
            <v>0</v>
          </cell>
          <cell r="AR66">
            <v>5.91864E-4</v>
          </cell>
          <cell r="AS66">
            <v>4.7521610000000004E-3</v>
          </cell>
          <cell r="AT66">
            <v>2.4566919999999999E-3</v>
          </cell>
          <cell r="AU66">
            <v>2.8680999999999997E-4</v>
          </cell>
          <cell r="AV66">
            <v>5.0556489999999997E-3</v>
          </cell>
          <cell r="AW66">
            <v>4.8198099999999998E-4</v>
          </cell>
          <cell r="AX66">
            <v>1.8943930000000001E-3</v>
          </cell>
          <cell r="AY66">
            <v>5.4568289999999998E-3</v>
          </cell>
          <cell r="AZ66">
            <v>7.8891699999999998E-4</v>
          </cell>
          <cell r="BA66">
            <v>2.2188400000000001E-3</v>
          </cell>
          <cell r="BB66">
            <v>0</v>
          </cell>
          <cell r="BC66">
            <v>2.4065800000000001E-4</v>
          </cell>
          <cell r="BD66">
            <v>1.97166E-4</v>
          </cell>
          <cell r="BE66">
            <v>2.0719600000000001E-4</v>
          </cell>
          <cell r="BF66">
            <v>1.52044E-4</v>
          </cell>
          <cell r="BG66">
            <v>7.4373899999999999E-4</v>
          </cell>
          <cell r="BH66">
            <v>3.96315E-4</v>
          </cell>
          <cell r="BI66">
            <v>2.8015520000000001E-3</v>
          </cell>
          <cell r="BJ66">
            <v>2.4336900000000001E-4</v>
          </cell>
        </row>
        <row r="67">
          <cell r="B67">
            <v>1.3011399999999999E-4</v>
          </cell>
          <cell r="C67">
            <v>2.4769100000000002E-4</v>
          </cell>
          <cell r="D67">
            <v>1.1056300000000001E-4</v>
          </cell>
          <cell r="E67">
            <v>1.8899999999999999E-5</v>
          </cell>
          <cell r="F67">
            <v>3.3000000000000003E-5</v>
          </cell>
          <cell r="G67">
            <v>8.8240599999999997E-4</v>
          </cell>
          <cell r="H67">
            <v>5.0399999999999999E-5</v>
          </cell>
          <cell r="I67">
            <v>5.38E-5</v>
          </cell>
          <cell r="J67">
            <v>4.5881200000000001E-4</v>
          </cell>
          <cell r="K67">
            <v>1.0828999999999999E-3</v>
          </cell>
          <cell r="L67">
            <v>5.44379E-4</v>
          </cell>
          <cell r="M67">
            <v>3.7499999999999997E-5</v>
          </cell>
          <cell r="N67">
            <v>2.642967E-3</v>
          </cell>
          <cell r="O67">
            <v>9.7E-5</v>
          </cell>
          <cell r="P67">
            <v>1.01E-4</v>
          </cell>
          <cell r="Q67">
            <v>1.055814E-3</v>
          </cell>
          <cell r="R67">
            <v>1.120642E-3</v>
          </cell>
          <cell r="S67">
            <v>3.6399999999999997E-5</v>
          </cell>
          <cell r="T67">
            <v>4.2899999999999999E-5</v>
          </cell>
          <cell r="U67">
            <v>2.83E-5</v>
          </cell>
          <cell r="V67">
            <v>2.1100000000000001E-5</v>
          </cell>
          <cell r="W67">
            <v>2.34E-5</v>
          </cell>
          <cell r="X67">
            <v>1.7585699999999999E-4</v>
          </cell>
          <cell r="Y67">
            <v>7.2100000000000004E-5</v>
          </cell>
          <cell r="Z67">
            <v>3.7700000000000002E-5</v>
          </cell>
          <cell r="AA67">
            <v>9.7210999999999999E-4</v>
          </cell>
          <cell r="AB67">
            <v>1.4866200000000001E-4</v>
          </cell>
          <cell r="AC67">
            <v>4.6716127000000003E-2</v>
          </cell>
          <cell r="AD67">
            <v>1.46606E-4</v>
          </cell>
          <cell r="AE67">
            <v>1.5524899999999999E-4</v>
          </cell>
          <cell r="AF67">
            <v>3.0996399999999998E-4</v>
          </cell>
          <cell r="AG67">
            <v>2.064481E-3</v>
          </cell>
          <cell r="AH67">
            <v>7.2000000000000002E-5</v>
          </cell>
          <cell r="AI67">
            <v>0</v>
          </cell>
          <cell r="AJ67">
            <v>6.19E-5</v>
          </cell>
          <cell r="AK67">
            <v>5.7399999999999999E-5</v>
          </cell>
          <cell r="AL67">
            <v>2.0800000000000001E-5</v>
          </cell>
          <cell r="AM67">
            <v>1.77E-5</v>
          </cell>
          <cell r="AN67">
            <v>4.5899999999999998E-5</v>
          </cell>
          <cell r="AO67">
            <v>0</v>
          </cell>
          <cell r="AP67">
            <v>6.4800000000000003E-5</v>
          </cell>
          <cell r="AQ67">
            <v>0</v>
          </cell>
          <cell r="AR67">
            <v>6.0699999999999998E-5</v>
          </cell>
          <cell r="AS67">
            <v>5.8849200000000003E-4</v>
          </cell>
          <cell r="AT67">
            <v>2.9938399999999998E-4</v>
          </cell>
          <cell r="AU67">
            <v>3.0899999999999999E-5</v>
          </cell>
          <cell r="AV67">
            <v>6.3537100000000003E-4</v>
          </cell>
          <cell r="AW67">
            <v>6.2299999999999996E-5</v>
          </cell>
          <cell r="AX67">
            <v>2.27054E-4</v>
          </cell>
          <cell r="AY67">
            <v>6.7223599999999999E-4</v>
          </cell>
          <cell r="AZ67">
            <v>9.1399999999999999E-5</v>
          </cell>
          <cell r="BA67">
            <v>2.7114000000000001E-4</v>
          </cell>
          <cell r="BB67">
            <v>0</v>
          </cell>
          <cell r="BC67">
            <v>2.3799999999999999E-5</v>
          </cell>
          <cell r="BD67">
            <v>1.98E-5</v>
          </cell>
          <cell r="BE67">
            <v>2.2099999999999998E-5</v>
          </cell>
          <cell r="BF67">
            <v>1.47E-5</v>
          </cell>
          <cell r="BG67">
            <v>7.9599999999999997E-5</v>
          </cell>
          <cell r="BH67">
            <v>4.0899999999999998E-5</v>
          </cell>
          <cell r="BI67">
            <v>3.3000500000000002E-4</v>
          </cell>
          <cell r="BJ67">
            <v>2.76E-5</v>
          </cell>
        </row>
        <row r="68">
          <cell r="B68">
            <v>2.4141200000000001E-4</v>
          </cell>
          <cell r="C68">
            <v>1.2349099999999999E-4</v>
          </cell>
          <cell r="D68">
            <v>1.4065400000000001E-4</v>
          </cell>
          <cell r="E68">
            <v>4.8600000000000002E-5</v>
          </cell>
          <cell r="F68">
            <v>7.0199999999999999E-5</v>
          </cell>
          <cell r="G68">
            <v>2.0379E-4</v>
          </cell>
          <cell r="H68">
            <v>3.5726399999999999E-4</v>
          </cell>
          <cell r="I68">
            <v>1.5487899999999999E-4</v>
          </cell>
          <cell r="J68">
            <v>1.9305E-4</v>
          </cell>
          <cell r="K68">
            <v>4.8546400000000001E-4</v>
          </cell>
          <cell r="L68">
            <v>4.1146500000000002E-4</v>
          </cell>
          <cell r="M68">
            <v>2.7822600000000002E-4</v>
          </cell>
          <cell r="N68">
            <v>2.4828459999999999E-3</v>
          </cell>
          <cell r="O68">
            <v>6.2215800000000004E-4</v>
          </cell>
          <cell r="P68">
            <v>3.5282899999999998E-4</v>
          </cell>
          <cell r="Q68">
            <v>4.3548300000000002E-4</v>
          </cell>
          <cell r="R68">
            <v>5.5206799999999996E-4</v>
          </cell>
          <cell r="S68">
            <v>2.2428500000000001E-4</v>
          </cell>
          <cell r="T68">
            <v>2.77557E-4</v>
          </cell>
          <cell r="U68">
            <v>1.7858899999999999E-4</v>
          </cell>
          <cell r="V68">
            <v>1.4574799999999999E-4</v>
          </cell>
          <cell r="W68">
            <v>4.4593500000000001E-4</v>
          </cell>
          <cell r="X68">
            <v>3.03541E-4</v>
          </cell>
          <cell r="Y68">
            <v>5.8098299999999998E-4</v>
          </cell>
          <cell r="Z68">
            <v>1.8924E-4</v>
          </cell>
          <cell r="AA68">
            <v>6.1029599999999997E-4</v>
          </cell>
          <cell r="AB68">
            <v>4.4357199999999999E-4</v>
          </cell>
          <cell r="AC68">
            <v>6.2332000000000002E-4</v>
          </cell>
          <cell r="AD68">
            <v>4.9574099999999996E-4</v>
          </cell>
          <cell r="AE68">
            <v>0.1496681</v>
          </cell>
          <cell r="AF68">
            <v>9.6754800000000004E-4</v>
          </cell>
          <cell r="AG68">
            <v>6.7626299999999997E-4</v>
          </cell>
          <cell r="AH68">
            <v>3.2107099999999998E-4</v>
          </cell>
          <cell r="AI68">
            <v>0</v>
          </cell>
          <cell r="AJ68">
            <v>2.7960600000000001E-4</v>
          </cell>
          <cell r="AK68">
            <v>2.4913600000000001E-4</v>
          </cell>
          <cell r="AL68">
            <v>1.1937E-4</v>
          </cell>
          <cell r="AM68">
            <v>1.15103E-4</v>
          </cell>
          <cell r="AN68">
            <v>2.62966E-4</v>
          </cell>
          <cell r="AO68">
            <v>0</v>
          </cell>
          <cell r="AP68">
            <v>6.1372599999999999E-4</v>
          </cell>
          <cell r="AQ68">
            <v>0</v>
          </cell>
          <cell r="AR68">
            <v>5.0520700000000003E-4</v>
          </cell>
          <cell r="AS68">
            <v>3.8246599999999998E-4</v>
          </cell>
          <cell r="AT68">
            <v>3.7231500000000002E-4</v>
          </cell>
          <cell r="AU68">
            <v>1.7833500000000001E-4</v>
          </cell>
          <cell r="AV68">
            <v>2.4063840000000001E-3</v>
          </cell>
          <cell r="AW68">
            <v>1.4025909999999999E-3</v>
          </cell>
          <cell r="AX68">
            <v>3.6791999999999999E-4</v>
          </cell>
          <cell r="AY68">
            <v>2.7674999999999998E-4</v>
          </cell>
          <cell r="AZ68">
            <v>2.86054E-4</v>
          </cell>
          <cell r="BA68">
            <v>2.83138E-4</v>
          </cell>
          <cell r="BB68">
            <v>0</v>
          </cell>
          <cell r="BC68">
            <v>1.61022E-4</v>
          </cell>
          <cell r="BD68">
            <v>1.1086699999999999E-4</v>
          </cell>
          <cell r="BE68">
            <v>1.10246E-4</v>
          </cell>
          <cell r="BF68">
            <v>9.6899999999999997E-5</v>
          </cell>
          <cell r="BG68">
            <v>3.5511100000000002E-4</v>
          </cell>
          <cell r="BH68">
            <v>3.7241299999999999E-4</v>
          </cell>
          <cell r="BI68">
            <v>7.0744110000000001E-3</v>
          </cell>
          <cell r="BJ68">
            <v>1.7266800000000001E-4</v>
          </cell>
        </row>
        <row r="69">
          <cell r="B69">
            <v>3.5099999999999999E-5</v>
          </cell>
          <cell r="C69">
            <v>1.42E-5</v>
          </cell>
          <cell r="D69">
            <v>1.8300000000000001E-5</v>
          </cell>
          <cell r="E69">
            <v>3.7100000000000001E-6</v>
          </cell>
          <cell r="F69">
            <v>5.2399999999999998E-6</v>
          </cell>
          <cell r="G69">
            <v>2.0400000000000001E-5</v>
          </cell>
          <cell r="H69">
            <v>4.2500000000000003E-5</v>
          </cell>
          <cell r="I69">
            <v>1.19E-5</v>
          </cell>
          <cell r="J69">
            <v>2.2399999999999999E-5</v>
          </cell>
          <cell r="K69">
            <v>5.3499999999999999E-5</v>
          </cell>
          <cell r="L69">
            <v>4.8099999999999997E-5</v>
          </cell>
          <cell r="M69">
            <v>3.4600000000000001E-5</v>
          </cell>
          <cell r="N69">
            <v>3.4047599999999998E-4</v>
          </cell>
          <cell r="O69">
            <v>9.0400000000000002E-5</v>
          </cell>
          <cell r="P69">
            <v>4.8399999999999997E-5</v>
          </cell>
          <cell r="Q69">
            <v>3.8999999999999999E-5</v>
          </cell>
          <cell r="R69">
            <v>5.1199999999999998E-5</v>
          </cell>
          <cell r="S69">
            <v>2.94E-5</v>
          </cell>
          <cell r="T69">
            <v>3.4499999999999998E-5</v>
          </cell>
          <cell r="U69">
            <v>2.6599999999999999E-5</v>
          </cell>
          <cell r="V69">
            <v>2.0000000000000002E-5</v>
          </cell>
          <cell r="W69">
            <v>2.19E-5</v>
          </cell>
          <cell r="X69">
            <v>1.01121E-4</v>
          </cell>
          <cell r="Y69">
            <v>5.6100000000000002E-5</v>
          </cell>
          <cell r="Z69">
            <v>2.8E-5</v>
          </cell>
          <cell r="AA69">
            <v>1.06005E-4</v>
          </cell>
          <cell r="AB69">
            <v>9.1700000000000006E-5</v>
          </cell>
          <cell r="AC69">
            <v>7.4099999999999999E-5</v>
          </cell>
          <cell r="AD69">
            <v>7.8499999999999997E-5</v>
          </cell>
          <cell r="AE69">
            <v>4.636093E-3</v>
          </cell>
          <cell r="AF69">
            <v>3.6350436999999999E-2</v>
          </cell>
          <cell r="AG69">
            <v>2.517119E-3</v>
          </cell>
          <cell r="AH69">
            <v>5.6700000000000003E-5</v>
          </cell>
          <cell r="AI69">
            <v>0</v>
          </cell>
          <cell r="AJ69">
            <v>6.2700000000000006E-5</v>
          </cell>
          <cell r="AK69">
            <v>5.5899999999999997E-5</v>
          </cell>
          <cell r="AL69">
            <v>1.59E-5</v>
          </cell>
          <cell r="AM69">
            <v>1.4399999999999999E-5</v>
          </cell>
          <cell r="AN69">
            <v>7.6199999999999995E-5</v>
          </cell>
          <cell r="AO69">
            <v>0</v>
          </cell>
          <cell r="AP69">
            <v>3.0818099999999998E-4</v>
          </cell>
          <cell r="AQ69">
            <v>0</v>
          </cell>
          <cell r="AR69">
            <v>7.36E-5</v>
          </cell>
          <cell r="AS69">
            <v>7.6000000000000004E-5</v>
          </cell>
          <cell r="AT69">
            <v>2.97936E-4</v>
          </cell>
          <cell r="AU69">
            <v>3.5200000000000002E-5</v>
          </cell>
          <cell r="AV69">
            <v>8.81E-5</v>
          </cell>
          <cell r="AW69">
            <v>2.9E-5</v>
          </cell>
          <cell r="AX69">
            <v>7.7999999999999999E-5</v>
          </cell>
          <cell r="AY69">
            <v>5.2299999999999997E-5</v>
          </cell>
          <cell r="AZ69">
            <v>5.0399999999999999E-5</v>
          </cell>
          <cell r="BA69">
            <v>4.7500000000000003E-5</v>
          </cell>
          <cell r="BB69">
            <v>0</v>
          </cell>
          <cell r="BC69">
            <v>2.1699999999999999E-5</v>
          </cell>
          <cell r="BD69">
            <v>1.5400000000000002E-5</v>
          </cell>
          <cell r="BE69">
            <v>1.49E-5</v>
          </cell>
          <cell r="BF69">
            <v>1.6099999999999998E-5</v>
          </cell>
          <cell r="BG69">
            <v>6.1199999999999997E-5</v>
          </cell>
          <cell r="BH69">
            <v>4.9299999999999999E-5</v>
          </cell>
          <cell r="BI69">
            <v>1.62576E-3</v>
          </cell>
          <cell r="BJ69">
            <v>1.1600000000000001E-5</v>
          </cell>
        </row>
        <row r="70">
          <cell r="B70">
            <v>1.6134600000000001E-4</v>
          </cell>
          <cell r="C70">
            <v>5.77E-5</v>
          </cell>
          <cell r="D70">
            <v>6.4499999999999996E-5</v>
          </cell>
          <cell r="E70">
            <v>1.4399999999999999E-5</v>
          </cell>
          <cell r="F70">
            <v>2.1500000000000001E-5</v>
          </cell>
          <cell r="G70">
            <v>8.2899999999999996E-5</v>
          </cell>
          <cell r="H70">
            <v>1.7626499999999999E-4</v>
          </cell>
          <cell r="I70">
            <v>4.6499999999999999E-5</v>
          </cell>
          <cell r="J70">
            <v>8.7800000000000006E-5</v>
          </cell>
          <cell r="K70">
            <v>2.14556E-4</v>
          </cell>
          <cell r="L70">
            <v>1.7452799999999999E-4</v>
          </cell>
          <cell r="M70">
            <v>1.41669E-4</v>
          </cell>
          <cell r="N70">
            <v>2.312372E-3</v>
          </cell>
          <cell r="O70">
            <v>3.8814200000000001E-4</v>
          </cell>
          <cell r="P70">
            <v>1.8998800000000001E-4</v>
          </cell>
          <cell r="Q70">
            <v>1.56372E-4</v>
          </cell>
          <cell r="R70">
            <v>2.06622E-4</v>
          </cell>
          <cell r="S70">
            <v>1.3721299999999999E-4</v>
          </cell>
          <cell r="T70">
            <v>1.5726100000000001E-4</v>
          </cell>
          <cell r="U70">
            <v>1.14368E-4</v>
          </cell>
          <cell r="V70">
            <v>7.9800000000000002E-5</v>
          </cell>
          <cell r="W70">
            <v>9.3700000000000001E-5</v>
          </cell>
          <cell r="X70">
            <v>3.5540399999999997E-4</v>
          </cell>
          <cell r="Y70">
            <v>2.20728E-4</v>
          </cell>
          <cell r="Z70">
            <v>1.0794300000000001E-4</v>
          </cell>
          <cell r="AA70">
            <v>4.6803399999999998E-4</v>
          </cell>
          <cell r="AB70">
            <v>4.6371200000000002E-4</v>
          </cell>
          <cell r="AC70">
            <v>3.6824299999999998E-4</v>
          </cell>
          <cell r="AD70">
            <v>4.1712699999999999E-4</v>
          </cell>
          <cell r="AE70">
            <v>4.8771699999999998E-4</v>
          </cell>
          <cell r="AF70">
            <v>2.2621120000000002E-3</v>
          </cell>
          <cell r="AG70">
            <v>2.2892210000000001E-3</v>
          </cell>
          <cell r="AH70">
            <v>2.5632699999999999E-4</v>
          </cell>
          <cell r="AI70">
            <v>0</v>
          </cell>
          <cell r="AJ70">
            <v>2.47548E-4</v>
          </cell>
          <cell r="AK70">
            <v>2.40201E-4</v>
          </cell>
          <cell r="AL70">
            <v>5.8900000000000002E-5</v>
          </cell>
          <cell r="AM70">
            <v>5.3900000000000002E-5</v>
          </cell>
          <cell r="AN70">
            <v>2.4711699999999999E-4</v>
          </cell>
          <cell r="AO70">
            <v>0</v>
          </cell>
          <cell r="AP70">
            <v>4.8231700000000001E-4</v>
          </cell>
          <cell r="AQ70">
            <v>0</v>
          </cell>
          <cell r="AR70">
            <v>3.6243199999999999E-4</v>
          </cell>
          <cell r="AS70">
            <v>3.3336699999999999E-4</v>
          </cell>
          <cell r="AT70">
            <v>3.19585E-4</v>
          </cell>
          <cell r="AU70">
            <v>1.5713899999999999E-4</v>
          </cell>
          <cell r="AV70">
            <v>2.6170499999999999E-4</v>
          </cell>
          <cell r="AW70">
            <v>1.62912E-4</v>
          </cell>
          <cell r="AX70">
            <v>1.96033E-4</v>
          </cell>
          <cell r="AY70">
            <v>2.59103E-4</v>
          </cell>
          <cell r="AZ70">
            <v>2.4106799999999999E-4</v>
          </cell>
          <cell r="BA70">
            <v>2.2896099999999999E-4</v>
          </cell>
          <cell r="BB70">
            <v>0</v>
          </cell>
          <cell r="BC70">
            <v>9.7200000000000004E-5</v>
          </cell>
          <cell r="BD70">
            <v>7.2399999999999998E-5</v>
          </cell>
          <cell r="BE70">
            <v>7.36E-5</v>
          </cell>
          <cell r="BF70">
            <v>5.5399999999999998E-5</v>
          </cell>
          <cell r="BG70">
            <v>2.7227099999999998E-4</v>
          </cell>
          <cell r="BH70">
            <v>2.9516699999999999E-4</v>
          </cell>
          <cell r="BI70">
            <v>1.16311E-2</v>
          </cell>
          <cell r="BJ70">
            <v>5.0300000000000003E-5</v>
          </cell>
        </row>
        <row r="71">
          <cell r="B71">
            <v>3.4499999999999998E-5</v>
          </cell>
          <cell r="C71">
            <v>1.1600000000000001E-5</v>
          </cell>
          <cell r="D71">
            <v>1.2799999999999999E-5</v>
          </cell>
          <cell r="E71">
            <v>2.9399999999999998E-6</v>
          </cell>
          <cell r="F71">
            <v>4.3000000000000003E-6</v>
          </cell>
          <cell r="G71">
            <v>1.6399999999999999E-5</v>
          </cell>
          <cell r="H71">
            <v>3.5800000000000003E-5</v>
          </cell>
          <cell r="I71">
            <v>9.2599999999999994E-6</v>
          </cell>
          <cell r="J71">
            <v>1.7399999999999999E-5</v>
          </cell>
          <cell r="K71">
            <v>4.32E-5</v>
          </cell>
          <cell r="L71">
            <v>3.4900000000000001E-5</v>
          </cell>
          <cell r="M71">
            <v>2.8200000000000001E-5</v>
          </cell>
          <cell r="N71">
            <v>4.3473999999999997E-4</v>
          </cell>
          <cell r="O71">
            <v>7.2899999999999997E-5</v>
          </cell>
          <cell r="P71">
            <v>3.4999999999999997E-5</v>
          </cell>
          <cell r="Q71">
            <v>2.83E-5</v>
          </cell>
          <cell r="R71">
            <v>3.7799999999999997E-5</v>
          </cell>
          <cell r="S71">
            <v>2.55E-5</v>
          </cell>
          <cell r="T71">
            <v>3.0199999999999999E-5</v>
          </cell>
          <cell r="U71">
            <v>2.1299999999999999E-5</v>
          </cell>
          <cell r="V71">
            <v>1.5500000000000001E-5</v>
          </cell>
          <cell r="W71">
            <v>1.5699999999999999E-5</v>
          </cell>
          <cell r="X71">
            <v>6.69E-5</v>
          </cell>
          <cell r="Y71">
            <v>4.3999999999999999E-5</v>
          </cell>
          <cell r="Z71">
            <v>2.0299999999999999E-5</v>
          </cell>
          <cell r="AA71">
            <v>8.4599999999999996E-5</v>
          </cell>
          <cell r="AB71">
            <v>9.5799999999999998E-5</v>
          </cell>
          <cell r="AC71">
            <v>6.9400000000000006E-5</v>
          </cell>
          <cell r="AD71">
            <v>8.2799999999999993E-5</v>
          </cell>
          <cell r="AE71">
            <v>9.1299999999999997E-5</v>
          </cell>
          <cell r="AF71">
            <v>4.3712999999999998E-4</v>
          </cell>
          <cell r="AG71">
            <v>4.3364400000000001E-4</v>
          </cell>
          <cell r="AH71">
            <v>5.2099999999999999E-5</v>
          </cell>
          <cell r="AI71">
            <v>0</v>
          </cell>
          <cell r="AJ71">
            <v>4.9200000000000003E-5</v>
          </cell>
          <cell r="AK71">
            <v>5.0599999999999997E-5</v>
          </cell>
          <cell r="AL71">
            <v>1.2E-5</v>
          </cell>
          <cell r="AM71">
            <v>1.1E-5</v>
          </cell>
          <cell r="AN71">
            <v>5.0899999999999997E-5</v>
          </cell>
          <cell r="AO71">
            <v>0</v>
          </cell>
          <cell r="AP71">
            <v>5.0399999999999999E-5</v>
          </cell>
          <cell r="AQ71">
            <v>0</v>
          </cell>
          <cell r="AR71">
            <v>7.1500000000000003E-5</v>
          </cell>
          <cell r="AS71">
            <v>7.0900000000000002E-5</v>
          </cell>
          <cell r="AT71">
            <v>6.5199999999999999E-5</v>
          </cell>
          <cell r="AU71">
            <v>3.2799999999999998E-5</v>
          </cell>
          <cell r="AV71">
            <v>5.3999999999999998E-5</v>
          </cell>
          <cell r="AW71">
            <v>4.1699999999999997E-5</v>
          </cell>
          <cell r="AX71">
            <v>4.0500000000000002E-5</v>
          </cell>
          <cell r="AY71">
            <v>5.5300000000000002E-5</v>
          </cell>
          <cell r="AZ71">
            <v>5.0800000000000002E-5</v>
          </cell>
          <cell r="BA71">
            <v>4.74E-5</v>
          </cell>
          <cell r="BB71">
            <v>0</v>
          </cell>
          <cell r="BC71">
            <v>1.8499999999999999E-5</v>
          </cell>
          <cell r="BD71">
            <v>1.42E-5</v>
          </cell>
          <cell r="BE71">
            <v>1.4399999999999999E-5</v>
          </cell>
          <cell r="BF71">
            <v>1.1399999999999999E-5</v>
          </cell>
          <cell r="BG71">
            <v>5.1400000000000003E-5</v>
          </cell>
          <cell r="BH71">
            <v>5.8600000000000001E-5</v>
          </cell>
          <cell r="BI71">
            <v>2.185439E-3</v>
          </cell>
          <cell r="BJ71">
            <v>9.8200000000000008E-6</v>
          </cell>
        </row>
        <row r="72">
          <cell r="B72">
            <v>2.13179E-4</v>
          </cell>
          <cell r="C72">
            <v>2.7685900000000001E-4</v>
          </cell>
          <cell r="D72">
            <v>1.5843199999999999E-4</v>
          </cell>
          <cell r="E72">
            <v>2.5599999999999999E-5</v>
          </cell>
          <cell r="F72">
            <v>4.6100000000000002E-5</v>
          </cell>
          <cell r="G72">
            <v>9.0241900000000001E-4</v>
          </cell>
          <cell r="H72">
            <v>1.3756799999999999E-4</v>
          </cell>
          <cell r="I72">
            <v>7.7600000000000002E-5</v>
          </cell>
          <cell r="J72">
            <v>5.0655700000000004E-4</v>
          </cell>
          <cell r="K72">
            <v>1.2224359999999999E-3</v>
          </cell>
          <cell r="L72">
            <v>6.89775E-4</v>
          </cell>
          <cell r="M72">
            <v>1.16474E-4</v>
          </cell>
          <cell r="N72">
            <v>5.1242700000000002E-3</v>
          </cell>
          <cell r="O72">
            <v>3.3827199999999998E-4</v>
          </cell>
          <cell r="P72">
            <v>3.1942899999999998E-4</v>
          </cell>
          <cell r="Q72">
            <v>6.3533999999999997E-4</v>
          </cell>
          <cell r="R72">
            <v>7.0017899999999999E-4</v>
          </cell>
          <cell r="S72">
            <v>1.0173799999999999E-4</v>
          </cell>
          <cell r="T72">
            <v>1.17037E-4</v>
          </cell>
          <cell r="U72">
            <v>9.0099999999999995E-5</v>
          </cell>
          <cell r="V72">
            <v>6.3499999999999999E-5</v>
          </cell>
          <cell r="W72">
            <v>6.9575870000000003E-3</v>
          </cell>
          <cell r="X72">
            <v>3.2061749999999999E-3</v>
          </cell>
          <cell r="Y72">
            <v>2.1936199999999999E-4</v>
          </cell>
          <cell r="Z72">
            <v>3.8175600000000002E-4</v>
          </cell>
          <cell r="AA72">
            <v>8.9276899999999996E-4</v>
          </cell>
          <cell r="AB72">
            <v>3.0346399999999998E-4</v>
          </cell>
          <cell r="AC72">
            <v>3.5247427999999997E-2</v>
          </cell>
          <cell r="AD72">
            <v>6.5973340000000005E-2</v>
          </cell>
          <cell r="AE72">
            <v>6.5254968999999996E-2</v>
          </cell>
          <cell r="AF72">
            <v>0.20061304799999999</v>
          </cell>
          <cell r="AG72">
            <v>0.15219761500000001</v>
          </cell>
          <cell r="AH72">
            <v>2.7996599999999998E-4</v>
          </cell>
          <cell r="AI72">
            <v>0</v>
          </cell>
          <cell r="AJ72">
            <v>1.9449968000000002E-2</v>
          </cell>
          <cell r="AK72">
            <v>2.3760784E-2</v>
          </cell>
          <cell r="AL72">
            <v>4.74E-5</v>
          </cell>
          <cell r="AM72">
            <v>4.1999999999999998E-5</v>
          </cell>
          <cell r="AN72">
            <v>1.59994E-4</v>
          </cell>
          <cell r="AO72">
            <v>0</v>
          </cell>
          <cell r="AP72">
            <v>4.2492799999999998E-4</v>
          </cell>
          <cell r="AQ72">
            <v>0</v>
          </cell>
          <cell r="AR72">
            <v>9.9276599999999996E-4</v>
          </cell>
          <cell r="AS72">
            <v>1.240955E-3</v>
          </cell>
          <cell r="AT72">
            <v>1.7159E-3</v>
          </cell>
          <cell r="AU72">
            <v>1.14181E-4</v>
          </cell>
          <cell r="AV72">
            <v>2.7861230000000002E-3</v>
          </cell>
          <cell r="AW72">
            <v>2.1523199999999999E-4</v>
          </cell>
          <cell r="AX72">
            <v>7.7439700000000002E-4</v>
          </cell>
          <cell r="AY72">
            <v>1.0312749999999999E-3</v>
          </cell>
          <cell r="AZ72">
            <v>2.15851E-4</v>
          </cell>
          <cell r="BA72">
            <v>6.7172200000000003E-4</v>
          </cell>
          <cell r="BB72">
            <v>0</v>
          </cell>
          <cell r="BC72">
            <v>1.0089E-4</v>
          </cell>
          <cell r="BD72">
            <v>9.5000000000000005E-5</v>
          </cell>
          <cell r="BE72">
            <v>9.6000000000000002E-5</v>
          </cell>
          <cell r="BF72">
            <v>4.88E-5</v>
          </cell>
          <cell r="BG72">
            <v>2.6744099999999999E-4</v>
          </cell>
          <cell r="BH72">
            <v>9.6909399999999999E-4</v>
          </cell>
          <cell r="BI72">
            <v>2.9705080000000002E-3</v>
          </cell>
          <cell r="BJ72">
            <v>8.0000000000000007E-5</v>
          </cell>
        </row>
        <row r="73">
          <cell r="B73">
            <v>6.9800000000000003E-5</v>
          </cell>
          <cell r="C73">
            <v>4.3900000000000003E-5</v>
          </cell>
          <cell r="D73">
            <v>3.7400000000000001E-5</v>
          </cell>
          <cell r="E73">
            <v>8.3499999999999997E-6</v>
          </cell>
          <cell r="F73">
            <v>5.6200000000000004E-6</v>
          </cell>
          <cell r="G73">
            <v>1.0922299999999999E-4</v>
          </cell>
          <cell r="H73">
            <v>3.3403799999999999E-4</v>
          </cell>
          <cell r="I73">
            <v>8.4800000000000001E-6</v>
          </cell>
          <cell r="J73">
            <v>8.5699999999999996E-5</v>
          </cell>
          <cell r="K73">
            <v>2.46202E-4</v>
          </cell>
          <cell r="L73">
            <v>1.2403699999999999E-4</v>
          </cell>
          <cell r="M73">
            <v>4.3558699999999998E-4</v>
          </cell>
          <cell r="N73">
            <v>2.10168E-4</v>
          </cell>
          <cell r="O73">
            <v>5.5300000000000002E-5</v>
          </cell>
          <cell r="P73">
            <v>9.1700000000000006E-5</v>
          </cell>
          <cell r="Q73">
            <v>4.3849200000000002E-4</v>
          </cell>
          <cell r="R73">
            <v>9.0171900000000004E-4</v>
          </cell>
          <cell r="S73">
            <v>4.45167E-4</v>
          </cell>
          <cell r="T73">
            <v>2.2815499999999999E-4</v>
          </cell>
          <cell r="U73">
            <v>3.61617E-4</v>
          </cell>
          <cell r="V73">
            <v>7.2299999999999996E-5</v>
          </cell>
          <cell r="W73">
            <v>1.4157899999999999E-4</v>
          </cell>
          <cell r="X73">
            <v>5.8212800000000001E-4</v>
          </cell>
          <cell r="Y73">
            <v>1.380392E-3</v>
          </cell>
          <cell r="Z73">
            <v>1.81039E-4</v>
          </cell>
          <cell r="AA73">
            <v>7.8177800000000001E-4</v>
          </cell>
          <cell r="AB73">
            <v>1.641287E-3</v>
          </cell>
          <cell r="AC73">
            <v>2.43821E-4</v>
          </cell>
          <cell r="AD73">
            <v>3.3080199999999999E-4</v>
          </cell>
          <cell r="AE73">
            <v>2.4259300000000001E-4</v>
          </cell>
          <cell r="AF73">
            <v>3.7314100000000001E-4</v>
          </cell>
          <cell r="AG73">
            <v>1.067681E-3</v>
          </cell>
          <cell r="AH73">
            <v>1.1246446E-2</v>
          </cell>
          <cell r="AI73">
            <v>0</v>
          </cell>
          <cell r="AJ73">
            <v>8.1897580000000001E-3</v>
          </cell>
          <cell r="AK73">
            <v>6.3239589999999997E-3</v>
          </cell>
          <cell r="AL73">
            <v>1.8705100000000001E-4</v>
          </cell>
          <cell r="AM73">
            <v>1.35656E-4</v>
          </cell>
          <cell r="AN73">
            <v>3.229581E-3</v>
          </cell>
          <cell r="AO73">
            <v>0</v>
          </cell>
          <cell r="AP73">
            <v>3.712187E-3</v>
          </cell>
          <cell r="AQ73">
            <v>0</v>
          </cell>
          <cell r="AR73">
            <v>5.5974673000000003E-2</v>
          </cell>
          <cell r="AS73">
            <v>2.4749489999999999E-2</v>
          </cell>
          <cell r="AT73">
            <v>2.5519822000000001E-2</v>
          </cell>
          <cell r="AU73">
            <v>2.5674200000000002E-4</v>
          </cell>
          <cell r="AV73">
            <v>1.6142452000000002E-2</v>
          </cell>
          <cell r="AW73">
            <v>2.3090299999999999E-4</v>
          </cell>
          <cell r="AX73">
            <v>2.114758E-3</v>
          </cell>
          <cell r="AY73">
            <v>1.9938232E-2</v>
          </cell>
          <cell r="AZ73">
            <v>7.3013380000000001E-3</v>
          </cell>
          <cell r="BA73">
            <v>8.1315428999999995E-2</v>
          </cell>
          <cell r="BB73">
            <v>0</v>
          </cell>
          <cell r="BC73">
            <v>3.3632399999999999E-4</v>
          </cell>
          <cell r="BD73">
            <v>1.07314E-4</v>
          </cell>
          <cell r="BE73">
            <v>1.04843E-4</v>
          </cell>
          <cell r="BF73">
            <v>3.45397E-4</v>
          </cell>
          <cell r="BG73">
            <v>6.5161699999999995E-4</v>
          </cell>
          <cell r="BH73">
            <v>5.4437799999999998E-4</v>
          </cell>
          <cell r="BI73">
            <v>1.4200339999999999E-3</v>
          </cell>
          <cell r="BJ73">
            <v>1.0857300000000001E-4</v>
          </cell>
        </row>
        <row r="74">
          <cell r="B74">
            <v>7.1000000000000005E-5</v>
          </cell>
          <cell r="C74">
            <v>2.5599999999999999E-5</v>
          </cell>
          <cell r="D74">
            <v>1.56E-5</v>
          </cell>
          <cell r="E74">
            <v>1.44E-6</v>
          </cell>
          <cell r="F74">
            <v>3.4800000000000001E-6</v>
          </cell>
          <cell r="G74">
            <v>6.4599999999999998E-5</v>
          </cell>
          <cell r="H74">
            <v>4.9200000000000003E-5</v>
          </cell>
          <cell r="I74">
            <v>4.5499999999999996E-6</v>
          </cell>
          <cell r="J74">
            <v>4.3000000000000002E-5</v>
          </cell>
          <cell r="K74">
            <v>1.37472E-4</v>
          </cell>
          <cell r="L74">
            <v>6.3899999999999995E-5</v>
          </cell>
          <cell r="M74">
            <v>2.26827E-4</v>
          </cell>
          <cell r="N74">
            <v>1.18941E-4</v>
          </cell>
          <cell r="O74">
            <v>2.55E-5</v>
          </cell>
          <cell r="P74">
            <v>4.21E-5</v>
          </cell>
          <cell r="Q74">
            <v>2.4388400000000001E-4</v>
          </cell>
          <cell r="R74">
            <v>5.55865E-4</v>
          </cell>
          <cell r="S74">
            <v>2.60766E-4</v>
          </cell>
          <cell r="T74">
            <v>9.8999999999999994E-5</v>
          </cell>
          <cell r="U74">
            <v>1.9688799999999999E-4</v>
          </cell>
          <cell r="V74">
            <v>4.4299999999999999E-5</v>
          </cell>
          <cell r="W74">
            <v>6.3800000000000006E-5</v>
          </cell>
          <cell r="X74">
            <v>3.6772399999999999E-4</v>
          </cell>
          <cell r="Y74">
            <v>6.4627900000000004E-4</v>
          </cell>
          <cell r="Z74">
            <v>7.5699999999999997E-5</v>
          </cell>
          <cell r="AA74">
            <v>3.8081500000000001E-4</v>
          </cell>
          <cell r="AB74">
            <v>7.7777499999999997E-4</v>
          </cell>
          <cell r="AC74">
            <v>1.2599700000000001E-4</v>
          </cell>
          <cell r="AD74">
            <v>1.6508500000000001E-4</v>
          </cell>
          <cell r="AE74">
            <v>1.24015E-4</v>
          </cell>
          <cell r="AF74">
            <v>1.89865E-4</v>
          </cell>
          <cell r="AG74">
            <v>5.1941599999999997E-4</v>
          </cell>
          <cell r="AH74">
            <v>5.3217890000000004E-3</v>
          </cell>
          <cell r="AI74">
            <v>0</v>
          </cell>
          <cell r="AJ74">
            <v>3.9084599999999999E-3</v>
          </cell>
          <cell r="AK74">
            <v>3.0096480000000002E-3</v>
          </cell>
          <cell r="AL74">
            <v>9.2100000000000003E-5</v>
          </cell>
          <cell r="AM74">
            <v>6.2399999999999999E-5</v>
          </cell>
          <cell r="AN74">
            <v>1.554136E-3</v>
          </cell>
          <cell r="AO74">
            <v>0</v>
          </cell>
          <cell r="AP74">
            <v>1.7116430000000001E-3</v>
          </cell>
          <cell r="AQ74">
            <v>0</v>
          </cell>
          <cell r="AR74">
            <v>2.6564634E-2</v>
          </cell>
          <cell r="AS74">
            <v>1.168133E-2</v>
          </cell>
          <cell r="AT74">
            <v>1.2074550999999999E-2</v>
          </cell>
          <cell r="AU74">
            <v>1.19852E-4</v>
          </cell>
          <cell r="AV74">
            <v>7.6618449999999996E-3</v>
          </cell>
          <cell r="AW74">
            <v>1.02138E-4</v>
          </cell>
          <cell r="AX74">
            <v>9.9728399999999997E-4</v>
          </cell>
          <cell r="AY74">
            <v>9.4803969999999998E-3</v>
          </cell>
          <cell r="AZ74">
            <v>3.4514609999999999E-3</v>
          </cell>
          <cell r="BA74">
            <v>3.8569724E-2</v>
          </cell>
          <cell r="BB74">
            <v>0</v>
          </cell>
          <cell r="BC74">
            <v>2.4526000000000002E-4</v>
          </cell>
          <cell r="BD74">
            <v>4.6699999999999997E-5</v>
          </cell>
          <cell r="BE74">
            <v>4.7700000000000001E-5</v>
          </cell>
          <cell r="BF74">
            <v>1.02583E-4</v>
          </cell>
          <cell r="BG74">
            <v>4.1886199999999999E-4</v>
          </cell>
          <cell r="BH74">
            <v>2.8723799999999999E-4</v>
          </cell>
          <cell r="BI74">
            <v>6.9038499999999996E-4</v>
          </cell>
          <cell r="BJ74">
            <v>5.2099999999999999E-5</v>
          </cell>
        </row>
        <row r="75">
          <cell r="B75">
            <v>3.3000000000000003E-5</v>
          </cell>
          <cell r="C75">
            <v>1.2099999999999999E-5</v>
          </cell>
          <cell r="D75">
            <v>1.08E-5</v>
          </cell>
          <cell r="E75">
            <v>1.48E-6</v>
          </cell>
          <cell r="F75">
            <v>2.6900000000000001E-6</v>
          </cell>
          <cell r="G75">
            <v>2.05E-5</v>
          </cell>
          <cell r="H75">
            <v>2.0699999999999998E-5</v>
          </cell>
          <cell r="I75">
            <v>3.2100000000000002E-6</v>
          </cell>
          <cell r="J75">
            <v>1.4800000000000001E-5</v>
          </cell>
          <cell r="K75">
            <v>3.4100000000000002E-5</v>
          </cell>
          <cell r="L75">
            <v>5.1900000000000001E-5</v>
          </cell>
          <cell r="M75">
            <v>2.3900000000000002E-5</v>
          </cell>
          <cell r="N75">
            <v>4.4400000000000002E-5</v>
          </cell>
          <cell r="O75">
            <v>2.0000000000000002E-5</v>
          </cell>
          <cell r="P75">
            <v>1.9000000000000001E-5</v>
          </cell>
          <cell r="Q75">
            <v>6.41E-5</v>
          </cell>
          <cell r="R75">
            <v>1.56057E-4</v>
          </cell>
          <cell r="S75">
            <v>8.1899999999999999E-5</v>
          </cell>
          <cell r="T75">
            <v>4.2500000000000003E-5</v>
          </cell>
          <cell r="U75">
            <v>5.4700000000000001E-5</v>
          </cell>
          <cell r="V75">
            <v>1.8700000000000001E-5</v>
          </cell>
          <cell r="W75">
            <v>1.3499999999999999E-5</v>
          </cell>
          <cell r="X75">
            <v>1.2746599999999999E-4</v>
          </cell>
          <cell r="Y75">
            <v>5.7899999999999998E-5</v>
          </cell>
          <cell r="Z75">
            <v>3.3300000000000003E-5</v>
          </cell>
          <cell r="AA75">
            <v>3.3915799999999999E-4</v>
          </cell>
          <cell r="AB75">
            <v>9.2399999999999996E-5</v>
          </cell>
          <cell r="AC75">
            <v>5.4299999999999998E-5</v>
          </cell>
          <cell r="AD75">
            <v>5.4599999999999999E-5</v>
          </cell>
          <cell r="AE75">
            <v>5.2599999999999998E-5</v>
          </cell>
          <cell r="AF75">
            <v>6.5199999999999999E-5</v>
          </cell>
          <cell r="AG75">
            <v>7.1099999999999994E-5</v>
          </cell>
          <cell r="AH75">
            <v>0.17711449900000001</v>
          </cell>
          <cell r="AI75">
            <v>0</v>
          </cell>
          <cell r="AJ75">
            <v>1.49433E-4</v>
          </cell>
          <cell r="AK75">
            <v>1.09885E-4</v>
          </cell>
          <cell r="AL75">
            <v>3.7499999999999997E-5</v>
          </cell>
          <cell r="AM75">
            <v>2.8900000000000001E-5</v>
          </cell>
          <cell r="AN75">
            <v>1.02692E-4</v>
          </cell>
          <cell r="AO75">
            <v>0</v>
          </cell>
          <cell r="AP75">
            <v>1.56809E-4</v>
          </cell>
          <cell r="AQ75">
            <v>0</v>
          </cell>
          <cell r="AR75">
            <v>2.8521689999999999E-2</v>
          </cell>
          <cell r="AS75">
            <v>3.7446700000000002E-4</v>
          </cell>
          <cell r="AT75">
            <v>4.8566599999999999E-4</v>
          </cell>
          <cell r="AU75">
            <v>3.2400000000000001E-5</v>
          </cell>
          <cell r="AV75">
            <v>2.3217499999999999E-4</v>
          </cell>
          <cell r="AW75">
            <v>3.1900000000000003E-5</v>
          </cell>
          <cell r="AX75">
            <v>6.1727500000000003E-4</v>
          </cell>
          <cell r="AY75">
            <v>1.8202100000000001E-4</v>
          </cell>
          <cell r="AZ75">
            <v>3.4224540000000001E-3</v>
          </cell>
          <cell r="BA75">
            <v>3.0333249999999999E-3</v>
          </cell>
          <cell r="BB75">
            <v>0</v>
          </cell>
          <cell r="BC75">
            <v>8.6100000000000006E-5</v>
          </cell>
          <cell r="BD75">
            <v>2.0100000000000001E-5</v>
          </cell>
          <cell r="BE75">
            <v>1.77E-5</v>
          </cell>
          <cell r="BF75">
            <v>7.0599999999999995E-5</v>
          </cell>
          <cell r="BG75">
            <v>1.31741E-4</v>
          </cell>
          <cell r="BH75">
            <v>3.1999999999999999E-5</v>
          </cell>
          <cell r="BI75">
            <v>3.9400000000000002E-5</v>
          </cell>
          <cell r="BJ75">
            <v>2.9499999999999999E-5</v>
          </cell>
        </row>
        <row r="76">
          <cell r="B76">
            <v>6.96E-9</v>
          </cell>
          <cell r="C76">
            <v>1.7800000000000001E-9</v>
          </cell>
          <cell r="D76">
            <v>4.5299999999999999E-9</v>
          </cell>
          <cell r="E76">
            <v>1.8400000000000001E-10</v>
          </cell>
          <cell r="F76">
            <v>3.58E-10</v>
          </cell>
          <cell r="G76">
            <v>3.46E-9</v>
          </cell>
          <cell r="H76">
            <v>1.5400000000000001E-9</v>
          </cell>
          <cell r="I76">
            <v>4.64E-10</v>
          </cell>
          <cell r="J76">
            <v>3.5699999999999999E-9</v>
          </cell>
          <cell r="K76">
            <v>1.04E-8</v>
          </cell>
          <cell r="L76">
            <v>7.7900000000000006E-9</v>
          </cell>
          <cell r="M76">
            <v>2.0799999999999998E-9</v>
          </cell>
          <cell r="N76">
            <v>2.4599999999999999E-8</v>
          </cell>
          <cell r="O76">
            <v>3.3000000000000002E-9</v>
          </cell>
          <cell r="P76">
            <v>1.8299999999999998E-8</v>
          </cell>
          <cell r="Q76">
            <v>1.13E-8</v>
          </cell>
          <cell r="R76">
            <v>1.2100000000000001E-8</v>
          </cell>
          <cell r="S76">
            <v>9.4899999999999993E-9</v>
          </cell>
          <cell r="T76">
            <v>1.03E-8</v>
          </cell>
          <cell r="U76">
            <v>1.55E-8</v>
          </cell>
          <cell r="V76">
            <v>1.1700000000000001E-9</v>
          </cell>
          <cell r="W76">
            <v>4.0499999999999999E-9</v>
          </cell>
          <cell r="X76">
            <v>8.7299999999999994E-9</v>
          </cell>
          <cell r="Y76">
            <v>2.5200000000000001E-8</v>
          </cell>
          <cell r="Z76">
            <v>9.4800000000000004E-10</v>
          </cell>
          <cell r="AA76">
            <v>5.5199999999999997E-7</v>
          </cell>
          <cell r="AB76">
            <v>1.5900000000000001E-7</v>
          </cell>
          <cell r="AC76">
            <v>1.24E-8</v>
          </cell>
          <cell r="AD76">
            <v>1.7100000000000001E-8</v>
          </cell>
          <cell r="AE76">
            <v>1.1700000000000001E-8</v>
          </cell>
          <cell r="AF76">
            <v>1.7900000000000001E-8</v>
          </cell>
          <cell r="AG76">
            <v>2.4E-8</v>
          </cell>
          <cell r="AH76">
            <v>6.8700000000000003E-5</v>
          </cell>
          <cell r="AI76">
            <v>0</v>
          </cell>
          <cell r="AJ76">
            <v>7.6799999999999999E-8</v>
          </cell>
          <cell r="AK76">
            <v>6.87E-8</v>
          </cell>
          <cell r="AL76">
            <v>7.1099999999999996E-9</v>
          </cell>
          <cell r="AM76">
            <v>5.2199999999999998E-9</v>
          </cell>
          <cell r="AN76">
            <v>3.1E-7</v>
          </cell>
          <cell r="AO76">
            <v>0</v>
          </cell>
          <cell r="AP76">
            <v>2.9399999999999999E-8</v>
          </cell>
          <cell r="AQ76">
            <v>0</v>
          </cell>
          <cell r="AR76">
            <v>1.1800000000000001E-5</v>
          </cell>
          <cell r="AS76">
            <v>1.98E-7</v>
          </cell>
          <cell r="AT76">
            <v>2.9999999999999999E-7</v>
          </cell>
          <cell r="AU76">
            <v>9.8000000000000004E-8</v>
          </cell>
          <cell r="AV76">
            <v>2.34E-7</v>
          </cell>
          <cell r="AW76">
            <v>1.7999999999999999E-8</v>
          </cell>
          <cell r="AX76">
            <v>2.84E-7</v>
          </cell>
          <cell r="AY76">
            <v>1.1000000000000001E-7</v>
          </cell>
          <cell r="AZ76">
            <v>1.42E-6</v>
          </cell>
          <cell r="BA76">
            <v>1.33E-6</v>
          </cell>
          <cell r="BB76">
            <v>0</v>
          </cell>
          <cell r="BC76">
            <v>2.1200000000000001E-8</v>
          </cell>
          <cell r="BD76">
            <v>8.5199999999999995E-9</v>
          </cell>
          <cell r="BE76">
            <v>1.0999999999999999E-8</v>
          </cell>
          <cell r="BF76">
            <v>1.1900000000000001E-8</v>
          </cell>
          <cell r="BG76">
            <v>1.2100000000000001E-7</v>
          </cell>
          <cell r="BH76">
            <v>1.67E-9</v>
          </cell>
          <cell r="BI76">
            <v>2.3899999999999999E-8</v>
          </cell>
          <cell r="BJ76">
            <v>3.9E-10</v>
          </cell>
        </row>
        <row r="77">
          <cell r="B77">
            <v>6.7399999999999998E-5</v>
          </cell>
          <cell r="C77">
            <v>6.41E-5</v>
          </cell>
          <cell r="D77">
            <v>3.9700000000000003E-5</v>
          </cell>
          <cell r="E77">
            <v>6.1600000000000003E-6</v>
          </cell>
          <cell r="F77">
            <v>1.08E-5</v>
          </cell>
          <cell r="G77">
            <v>1.44912E-4</v>
          </cell>
          <cell r="H77">
            <v>1.1421600000000001E-4</v>
          </cell>
          <cell r="I77">
            <v>1.5699999999999999E-5</v>
          </cell>
          <cell r="J77">
            <v>1.9137200000000001E-4</v>
          </cell>
          <cell r="K77">
            <v>5.8238699999999997E-4</v>
          </cell>
          <cell r="L77">
            <v>2.8387900000000001E-4</v>
          </cell>
          <cell r="M77">
            <v>2.0083829999999999E-3</v>
          </cell>
          <cell r="N77">
            <v>1.1548399999999999E-4</v>
          </cell>
          <cell r="O77">
            <v>6.3800000000000006E-5</v>
          </cell>
          <cell r="P77">
            <v>5.1100000000000002E-5</v>
          </cell>
          <cell r="Q77">
            <v>1.49359E-4</v>
          </cell>
          <cell r="R77">
            <v>2.7839100000000001E-4</v>
          </cell>
          <cell r="S77">
            <v>1.9020500000000001E-4</v>
          </cell>
          <cell r="T77">
            <v>1.3852999999999999E-4</v>
          </cell>
          <cell r="U77">
            <v>3.1268399999999998E-4</v>
          </cell>
          <cell r="V77">
            <v>1.19824E-4</v>
          </cell>
          <cell r="W77">
            <v>4.8600000000000002E-5</v>
          </cell>
          <cell r="X77">
            <v>2.2031899999999999E-4</v>
          </cell>
          <cell r="Y77">
            <v>2.1609099999999999E-4</v>
          </cell>
          <cell r="Z77">
            <v>9.8999999999999994E-5</v>
          </cell>
          <cell r="AA77">
            <v>1.006552E-3</v>
          </cell>
          <cell r="AB77">
            <v>7.5382499999999996E-4</v>
          </cell>
          <cell r="AC77">
            <v>5.2459000000000002E-4</v>
          </cell>
          <cell r="AD77">
            <v>9.7577099999999995E-4</v>
          </cell>
          <cell r="AE77">
            <v>3.4863299999999999E-4</v>
          </cell>
          <cell r="AF77">
            <v>8.3686299999999997E-4</v>
          </cell>
          <cell r="AG77">
            <v>5.9740900000000003E-4</v>
          </cell>
          <cell r="AH77">
            <v>3.45597E-3</v>
          </cell>
          <cell r="AI77">
            <v>0</v>
          </cell>
          <cell r="AJ77">
            <v>8.2638920000000005E-2</v>
          </cell>
          <cell r="AK77">
            <v>9.7851641000000003E-2</v>
          </cell>
          <cell r="AL77">
            <v>7.4512099999999996E-4</v>
          </cell>
          <cell r="AM77">
            <v>4.8771099999999999E-4</v>
          </cell>
          <cell r="AN77">
            <v>1.149415E-3</v>
          </cell>
          <cell r="AO77">
            <v>0</v>
          </cell>
          <cell r="AP77">
            <v>1.346014E-3</v>
          </cell>
          <cell r="AQ77">
            <v>0</v>
          </cell>
          <cell r="AR77">
            <v>4.1056751000000002E-2</v>
          </cell>
          <cell r="AS77">
            <v>8.7278760000000007E-3</v>
          </cell>
          <cell r="AT77">
            <v>1.6092460999999999E-2</v>
          </cell>
          <cell r="AU77">
            <v>1.2283800000000001E-4</v>
          </cell>
          <cell r="AV77">
            <v>8.0528600000000002E-3</v>
          </cell>
          <cell r="AW77">
            <v>1.1304800000000001E-4</v>
          </cell>
          <cell r="AX77">
            <v>3.4843740000000002E-3</v>
          </cell>
          <cell r="AY77">
            <v>4.7480839999999996E-3</v>
          </cell>
          <cell r="AZ77">
            <v>1.2756293E-2</v>
          </cell>
          <cell r="BA77">
            <v>3.3236101999999997E-2</v>
          </cell>
          <cell r="BB77">
            <v>0</v>
          </cell>
          <cell r="BC77">
            <v>9.5099999999999994E-5</v>
          </cell>
          <cell r="BD77">
            <v>1.00905E-4</v>
          </cell>
          <cell r="BE77">
            <v>9.31E-5</v>
          </cell>
          <cell r="BF77">
            <v>3.15285E-4</v>
          </cell>
          <cell r="BG77">
            <v>2.1473799999999999E-4</v>
          </cell>
          <cell r="BH77">
            <v>1.7646099999999999E-4</v>
          </cell>
          <cell r="BI77">
            <v>2.26858E-4</v>
          </cell>
          <cell r="BJ77">
            <v>4.5200000000000001E-5</v>
          </cell>
        </row>
        <row r="78">
          <cell r="B78">
            <v>1.0075E-4</v>
          </cell>
          <cell r="C78">
            <v>8.6899999999999998E-5</v>
          </cell>
          <cell r="D78">
            <v>5.52E-5</v>
          </cell>
          <cell r="E78">
            <v>8.4999999999999999E-6</v>
          </cell>
          <cell r="F78">
            <v>1.6500000000000001E-5</v>
          </cell>
          <cell r="G78">
            <v>1.97462E-4</v>
          </cell>
          <cell r="H78">
            <v>1.5677000000000001E-4</v>
          </cell>
          <cell r="I78">
            <v>2.4700000000000001E-5</v>
          </cell>
          <cell r="J78">
            <v>2.4319000000000001E-4</v>
          </cell>
          <cell r="K78">
            <v>7.4351699999999996E-4</v>
          </cell>
          <cell r="L78">
            <v>3.6689399999999999E-4</v>
          </cell>
          <cell r="M78">
            <v>2.5964859999999998E-3</v>
          </cell>
          <cell r="N78">
            <v>1.7580100000000001E-4</v>
          </cell>
          <cell r="O78">
            <v>9.5099999999999994E-5</v>
          </cell>
          <cell r="P78">
            <v>7.64E-5</v>
          </cell>
          <cell r="Q78">
            <v>2.1938599999999999E-4</v>
          </cell>
          <cell r="R78">
            <v>3.3162900000000001E-4</v>
          </cell>
          <cell r="S78">
            <v>2.6411099999999998E-4</v>
          </cell>
          <cell r="T78">
            <v>2.14236E-4</v>
          </cell>
          <cell r="U78">
            <v>4.4176799999999999E-4</v>
          </cell>
          <cell r="V78">
            <v>1.61714E-4</v>
          </cell>
          <cell r="W78">
            <v>9.8400000000000007E-5</v>
          </cell>
          <cell r="X78">
            <v>3.21706E-4</v>
          </cell>
          <cell r="Y78">
            <v>4.2290699999999998E-4</v>
          </cell>
          <cell r="Z78">
            <v>8.9800000000000001E-5</v>
          </cell>
          <cell r="AA78">
            <v>1.352041E-3</v>
          </cell>
          <cell r="AB78">
            <v>1.08599E-3</v>
          </cell>
          <cell r="AC78">
            <v>6.6395699999999996E-4</v>
          </cell>
          <cell r="AD78">
            <v>1.263243E-3</v>
          </cell>
          <cell r="AE78">
            <v>4.17145E-4</v>
          </cell>
          <cell r="AF78">
            <v>1.04608E-3</v>
          </cell>
          <cell r="AG78">
            <v>8.0525799999999999E-4</v>
          </cell>
          <cell r="AH78">
            <v>4.6338309999999997E-3</v>
          </cell>
          <cell r="AI78">
            <v>0</v>
          </cell>
          <cell r="AJ78">
            <v>0.10497445499999999</v>
          </cell>
          <cell r="AK78">
            <v>0.124098192</v>
          </cell>
          <cell r="AL78">
            <v>9.1090699999999997E-4</v>
          </cell>
          <cell r="AM78">
            <v>5.8687699999999997E-4</v>
          </cell>
          <cell r="AN78">
            <v>1.5427240000000001E-3</v>
          </cell>
          <cell r="AO78">
            <v>0</v>
          </cell>
          <cell r="AP78">
            <v>1.6803650000000001E-3</v>
          </cell>
          <cell r="AQ78">
            <v>0</v>
          </cell>
          <cell r="AR78">
            <v>5.2435713000000002E-2</v>
          </cell>
          <cell r="AS78">
            <v>1.1848195000000001E-2</v>
          </cell>
          <cell r="AT78">
            <v>2.0836396E-2</v>
          </cell>
          <cell r="AU78">
            <v>1.7822199999999999E-4</v>
          </cell>
          <cell r="AV78">
            <v>1.032428E-2</v>
          </cell>
          <cell r="AW78">
            <v>1.7012900000000001E-4</v>
          </cell>
          <cell r="AX78">
            <v>4.5390589999999998E-3</v>
          </cell>
          <cell r="AY78">
            <v>6.1191550000000003E-3</v>
          </cell>
          <cell r="AZ78">
            <v>1.6368809000000002E-2</v>
          </cell>
          <cell r="BA78">
            <v>4.2205342999999999E-2</v>
          </cell>
          <cell r="BB78">
            <v>0</v>
          </cell>
          <cell r="BC78">
            <v>8.5699999999999996E-5</v>
          </cell>
          <cell r="BD78">
            <v>2.0445000000000001E-4</v>
          </cell>
          <cell r="BE78">
            <v>1.8194700000000001E-4</v>
          </cell>
          <cell r="BF78">
            <v>7.1236499999999996E-4</v>
          </cell>
          <cell r="BG78">
            <v>2.56242E-4</v>
          </cell>
          <cell r="BH78">
            <v>1.21044E-4</v>
          </cell>
          <cell r="BI78">
            <v>3.1449800000000002E-4</v>
          </cell>
          <cell r="BJ78">
            <v>5.8999999999999998E-5</v>
          </cell>
        </row>
        <row r="79">
          <cell r="B79">
            <v>3.79E-5</v>
          </cell>
          <cell r="C79">
            <v>2.3099999999999999E-5</v>
          </cell>
          <cell r="D79">
            <v>2.16E-5</v>
          </cell>
          <cell r="E79">
            <v>3.3299999999999999E-6</v>
          </cell>
          <cell r="F79">
            <v>5.0000000000000004E-6</v>
          </cell>
          <cell r="G79">
            <v>4.32E-5</v>
          </cell>
          <cell r="H79">
            <v>7.1099999999999994E-5</v>
          </cell>
          <cell r="I79">
            <v>3.1199999999999999E-5</v>
          </cell>
          <cell r="J79">
            <v>3.3200000000000001E-5</v>
          </cell>
          <cell r="K79">
            <v>8.8599999999999999E-5</v>
          </cell>
          <cell r="L79">
            <v>8.7600000000000002E-5</v>
          </cell>
          <cell r="M79">
            <v>3.8699999999999999E-5</v>
          </cell>
          <cell r="N79">
            <v>7.5400000000000003E-5</v>
          </cell>
          <cell r="O79">
            <v>5.8900000000000002E-5</v>
          </cell>
          <cell r="P79">
            <v>2.8E-5</v>
          </cell>
          <cell r="Q79">
            <v>1.01222E-4</v>
          </cell>
          <cell r="R79">
            <v>2.12625E-4</v>
          </cell>
          <cell r="S79">
            <v>1.3374799999999999E-4</v>
          </cell>
          <cell r="T79">
            <v>1.05803E-4</v>
          </cell>
          <cell r="U79">
            <v>1.04108E-4</v>
          </cell>
          <cell r="V79">
            <v>3.4400000000000003E-5</v>
          </cell>
          <cell r="W79">
            <v>4.1300000000000001E-5</v>
          </cell>
          <cell r="X79">
            <v>1.5356899999999999E-4</v>
          </cell>
          <cell r="Y79">
            <v>1.5507499999999999E-4</v>
          </cell>
          <cell r="Z79">
            <v>7.5400000000000003E-5</v>
          </cell>
          <cell r="AA79">
            <v>3.8850000000000001E-4</v>
          </cell>
          <cell r="AB79">
            <v>1.7281299999999999E-4</v>
          </cell>
          <cell r="AC79">
            <v>8.6399999999999999E-5</v>
          </cell>
          <cell r="AD79">
            <v>1.05846E-4</v>
          </cell>
          <cell r="AE79">
            <v>2.8508E-4</v>
          </cell>
          <cell r="AF79">
            <v>1.17805E-4</v>
          </cell>
          <cell r="AG79">
            <v>2.06672E-4</v>
          </cell>
          <cell r="AH79">
            <v>2.6066099999999998E-4</v>
          </cell>
          <cell r="AI79">
            <v>0</v>
          </cell>
          <cell r="AJ79">
            <v>2.71721E-4</v>
          </cell>
          <cell r="AK79">
            <v>2.2547600000000001E-4</v>
          </cell>
          <cell r="AL79">
            <v>0.34302748399999999</v>
          </cell>
          <cell r="AM79">
            <v>0.35510819399999999</v>
          </cell>
          <cell r="AN79">
            <v>1.59023E-4</v>
          </cell>
          <cell r="AO79">
            <v>0</v>
          </cell>
          <cell r="AP79">
            <v>2.8741500000000001E-4</v>
          </cell>
          <cell r="AQ79">
            <v>0</v>
          </cell>
          <cell r="AR79">
            <v>2.1030760000000002E-3</v>
          </cell>
          <cell r="AS79">
            <v>1.2542020000000001E-3</v>
          </cell>
          <cell r="AT79">
            <v>1.564621E-3</v>
          </cell>
          <cell r="AU79">
            <v>4.88E-5</v>
          </cell>
          <cell r="AV79">
            <v>7.09007E-4</v>
          </cell>
          <cell r="AW79">
            <v>4.1699999999999997E-5</v>
          </cell>
          <cell r="AX79">
            <v>3.24171E-4</v>
          </cell>
          <cell r="AY79">
            <v>3.8565099999999998E-4</v>
          </cell>
          <cell r="AZ79">
            <v>2.5500499999999999E-4</v>
          </cell>
          <cell r="BA79">
            <v>5.8904309999999998E-3</v>
          </cell>
          <cell r="BB79">
            <v>0</v>
          </cell>
          <cell r="BC79">
            <v>9.0600000000000007E-5</v>
          </cell>
          <cell r="BD79">
            <v>7.9200000000000001E-5</v>
          </cell>
          <cell r="BE79">
            <v>7.08E-5</v>
          </cell>
          <cell r="BF79">
            <v>2.03501E-4</v>
          </cell>
          <cell r="BG79">
            <v>1.55296E-4</v>
          </cell>
          <cell r="BH79">
            <v>1.4724599999999999E-4</v>
          </cell>
          <cell r="BI79">
            <v>4.0945599999999999E-4</v>
          </cell>
          <cell r="BJ79">
            <v>4.32E-5</v>
          </cell>
        </row>
        <row r="80">
          <cell r="B80">
            <v>2.0000000000000002E-5</v>
          </cell>
          <cell r="C80">
            <v>1.2099999999999999E-5</v>
          </cell>
          <cell r="D80">
            <v>1.22E-5</v>
          </cell>
          <cell r="E80">
            <v>1.84E-6</v>
          </cell>
          <cell r="F80">
            <v>3.0599999999999999E-6</v>
          </cell>
          <cell r="G80">
            <v>2.5199999999999999E-5</v>
          </cell>
          <cell r="H80">
            <v>4.0899999999999998E-5</v>
          </cell>
          <cell r="I80">
            <v>1.47E-5</v>
          </cell>
          <cell r="J80">
            <v>1.6799999999999998E-5</v>
          </cell>
          <cell r="K80">
            <v>4.5899999999999998E-5</v>
          </cell>
          <cell r="L80">
            <v>3.82E-5</v>
          </cell>
          <cell r="M80">
            <v>2.34E-5</v>
          </cell>
          <cell r="N80">
            <v>4.2799999999999997E-5</v>
          </cell>
          <cell r="O80">
            <v>2.9099999999999999E-5</v>
          </cell>
          <cell r="P80">
            <v>1.8600000000000001E-5</v>
          </cell>
          <cell r="Q80">
            <v>5.41E-5</v>
          </cell>
          <cell r="R80">
            <v>9.2499999999999999E-5</v>
          </cell>
          <cell r="S80">
            <v>7.0699999999999997E-5</v>
          </cell>
          <cell r="T80">
            <v>5.9500000000000003E-5</v>
          </cell>
          <cell r="U80">
            <v>6.2199999999999994E-5</v>
          </cell>
          <cell r="V80">
            <v>2.05E-5</v>
          </cell>
          <cell r="W80">
            <v>2.97E-5</v>
          </cell>
          <cell r="X80">
            <v>8.3499999999999997E-5</v>
          </cell>
          <cell r="Y80">
            <v>1.11668E-4</v>
          </cell>
          <cell r="Z80">
            <v>2.4899999999999999E-5</v>
          </cell>
          <cell r="AA80">
            <v>2.0687E-4</v>
          </cell>
          <cell r="AB80">
            <v>1.05363E-4</v>
          </cell>
          <cell r="AC80">
            <v>4.1699999999999997E-5</v>
          </cell>
          <cell r="AD80">
            <v>5.7299999999999997E-5</v>
          </cell>
          <cell r="AE80">
            <v>1.3747799999999999E-4</v>
          </cell>
          <cell r="AF80">
            <v>5.4599999999999999E-5</v>
          </cell>
          <cell r="AG80">
            <v>1.15915E-4</v>
          </cell>
          <cell r="AH80">
            <v>1.7325199999999999E-4</v>
          </cell>
          <cell r="AI80">
            <v>0</v>
          </cell>
          <cell r="AJ80">
            <v>1.69195E-4</v>
          </cell>
          <cell r="AK80">
            <v>1.48381E-4</v>
          </cell>
          <cell r="AL80">
            <v>0.17282090999999999</v>
          </cell>
          <cell r="AM80">
            <v>0.17683897500000001</v>
          </cell>
          <cell r="AN80">
            <v>8.8900000000000006E-5</v>
          </cell>
          <cell r="AO80">
            <v>0</v>
          </cell>
          <cell r="AP80">
            <v>1.3512999999999999E-4</v>
          </cell>
          <cell r="AQ80">
            <v>0</v>
          </cell>
          <cell r="AR80">
            <v>1.2053859999999999E-3</v>
          </cell>
          <cell r="AS80">
            <v>8.1915799999999995E-4</v>
          </cell>
          <cell r="AT80">
            <v>9.2586000000000003E-4</v>
          </cell>
          <cell r="AU80">
            <v>2.9300000000000001E-5</v>
          </cell>
          <cell r="AV80">
            <v>4.0591299999999999E-4</v>
          </cell>
          <cell r="AW80">
            <v>2.5000000000000001E-5</v>
          </cell>
          <cell r="AX80">
            <v>1.9224800000000001E-4</v>
          </cell>
          <cell r="AY80">
            <v>2.1573E-4</v>
          </cell>
          <cell r="AZ80">
            <v>1.46773E-4</v>
          </cell>
          <cell r="BA80">
            <v>3.2475310000000001E-3</v>
          </cell>
          <cell r="BB80">
            <v>0</v>
          </cell>
          <cell r="BC80">
            <v>3.1199999999999999E-5</v>
          </cell>
          <cell r="BD80">
            <v>5.8400000000000003E-5</v>
          </cell>
          <cell r="BE80">
            <v>5.1199999999999998E-5</v>
          </cell>
          <cell r="BF80">
            <v>1.7399700000000001E-4</v>
          </cell>
          <cell r="BG80">
            <v>6.6400000000000001E-5</v>
          </cell>
          <cell r="BH80">
            <v>3.3699999999999999E-5</v>
          </cell>
          <cell r="BI80">
            <v>2.2579300000000001E-4</v>
          </cell>
          <cell r="BJ80">
            <v>1.5500000000000001E-5</v>
          </cell>
        </row>
        <row r="81">
          <cell r="B81">
            <v>4.0200000000000001E-5</v>
          </cell>
          <cell r="C81">
            <v>2.2500000000000001E-5</v>
          </cell>
          <cell r="D81">
            <v>1.77E-5</v>
          </cell>
          <cell r="E81">
            <v>4.2599999999999999E-6</v>
          </cell>
          <cell r="F81">
            <v>5.0699999999999997E-6</v>
          </cell>
          <cell r="G81">
            <v>3.8800000000000001E-5</v>
          </cell>
          <cell r="H81">
            <v>9.5199999999999997E-5</v>
          </cell>
          <cell r="I81">
            <v>6.6000000000000003E-6</v>
          </cell>
          <cell r="J81">
            <v>3.04E-5</v>
          </cell>
          <cell r="K81">
            <v>8.1799999999999996E-5</v>
          </cell>
          <cell r="L81">
            <v>9.9300000000000001E-5</v>
          </cell>
          <cell r="M81">
            <v>4.1300000000000001E-5</v>
          </cell>
          <cell r="N81">
            <v>7.9499999999999994E-5</v>
          </cell>
          <cell r="O81">
            <v>3.6300000000000001E-5</v>
          </cell>
          <cell r="P81">
            <v>3.18E-5</v>
          </cell>
          <cell r="Q81">
            <v>1.18484E-4</v>
          </cell>
          <cell r="R81">
            <v>2.5923899999999998E-4</v>
          </cell>
          <cell r="S81">
            <v>1.4888100000000001E-4</v>
          </cell>
          <cell r="T81">
            <v>1.08712E-4</v>
          </cell>
          <cell r="U81">
            <v>9.9900000000000002E-5</v>
          </cell>
          <cell r="V81">
            <v>3.6300000000000001E-5</v>
          </cell>
          <cell r="W81">
            <v>2.65E-5</v>
          </cell>
          <cell r="X81">
            <v>1.7192600000000001E-4</v>
          </cell>
          <cell r="Y81">
            <v>1.41633E-4</v>
          </cell>
          <cell r="Z81">
            <v>7.0199999999999999E-5</v>
          </cell>
          <cell r="AA81">
            <v>6.8580699999999997E-4</v>
          </cell>
          <cell r="AB81">
            <v>2.1477900000000001E-4</v>
          </cell>
          <cell r="AC81">
            <v>1.0944E-4</v>
          </cell>
          <cell r="AD81">
            <v>1.3946E-4</v>
          </cell>
          <cell r="AE81">
            <v>1.16051E-4</v>
          </cell>
          <cell r="AF81">
            <v>1.5812000000000001E-4</v>
          </cell>
          <cell r="AG81">
            <v>1.8248299999999999E-4</v>
          </cell>
          <cell r="AH81">
            <v>1.9563879999999999E-3</v>
          </cell>
          <cell r="AI81">
            <v>0</v>
          </cell>
          <cell r="AJ81">
            <v>1.6135030000000001E-3</v>
          </cell>
          <cell r="AK81">
            <v>1.278602E-3</v>
          </cell>
          <cell r="AL81">
            <v>9.7E-5</v>
          </cell>
          <cell r="AM81">
            <v>6.0699999999999998E-5</v>
          </cell>
          <cell r="AN81">
            <v>0.371808472</v>
          </cell>
          <cell r="AO81">
            <v>0</v>
          </cell>
          <cell r="AP81">
            <v>1.2875160000000001E-3</v>
          </cell>
          <cell r="AQ81">
            <v>0</v>
          </cell>
          <cell r="AR81">
            <v>4.1399660000000001E-3</v>
          </cell>
          <cell r="AS81">
            <v>4.5915069999999999E-3</v>
          </cell>
          <cell r="AT81">
            <v>5.6218450000000003E-3</v>
          </cell>
          <cell r="AU81">
            <v>8.9499999999999994E-5</v>
          </cell>
          <cell r="AV81">
            <v>1.3625646999999999E-2</v>
          </cell>
          <cell r="AW81">
            <v>1.44673E-4</v>
          </cell>
          <cell r="AX81">
            <v>3.3774429999999999E-3</v>
          </cell>
          <cell r="AY81">
            <v>1.4130989999999999E-3</v>
          </cell>
          <cell r="AZ81">
            <v>6.1457500000000002E-4</v>
          </cell>
          <cell r="BA81">
            <v>2.7936697999999999E-2</v>
          </cell>
          <cell r="BB81">
            <v>0</v>
          </cell>
          <cell r="BC81">
            <v>1.19268E-4</v>
          </cell>
          <cell r="BD81">
            <v>5.1900000000000001E-5</v>
          </cell>
          <cell r="BE81">
            <v>4.99E-5</v>
          </cell>
          <cell r="BF81">
            <v>1.11377E-4</v>
          </cell>
          <cell r="BG81">
            <v>2.2299599999999999E-4</v>
          </cell>
          <cell r="BH81">
            <v>1.15586E-4</v>
          </cell>
          <cell r="BI81">
            <v>7.5789E-4</v>
          </cell>
          <cell r="BJ81">
            <v>6.3200000000000005E-5</v>
          </cell>
        </row>
        <row r="82">
          <cell r="B82">
            <v>1.1199999999999999E-5</v>
          </cell>
          <cell r="C82">
            <v>1.9599999999999999E-6</v>
          </cell>
          <cell r="D82">
            <v>1.15E-6</v>
          </cell>
          <cell r="E82">
            <v>1.5599999999999999E-7</v>
          </cell>
          <cell r="F82">
            <v>3.0899999999999997E-7</v>
          </cell>
          <cell r="G82">
            <v>3.3000000000000002E-6</v>
          </cell>
          <cell r="H82">
            <v>5.5400000000000003E-6</v>
          </cell>
          <cell r="I82">
            <v>4.3599999999999999E-7</v>
          </cell>
          <cell r="J82">
            <v>2.5799999999999999E-6</v>
          </cell>
          <cell r="K82">
            <v>6.7800000000000003E-6</v>
          </cell>
          <cell r="L82">
            <v>4.33E-6</v>
          </cell>
          <cell r="M82">
            <v>4.7600000000000002E-6</v>
          </cell>
          <cell r="N82">
            <v>8.32E-6</v>
          </cell>
          <cell r="O82">
            <v>2.43E-6</v>
          </cell>
          <cell r="P82">
            <v>2.8600000000000001E-6</v>
          </cell>
          <cell r="Q82">
            <v>8.5299999999999996E-6</v>
          </cell>
          <cell r="R82">
            <v>1.7200000000000001E-5</v>
          </cell>
          <cell r="S82">
            <v>9.9199999999999999E-6</v>
          </cell>
          <cell r="T82">
            <v>6.8900000000000001E-6</v>
          </cell>
          <cell r="U82">
            <v>6.8199999999999999E-6</v>
          </cell>
          <cell r="V82">
            <v>2.4899999999999999E-6</v>
          </cell>
          <cell r="W82">
            <v>1.33E-6</v>
          </cell>
          <cell r="X82">
            <v>9.7899999999999994E-6</v>
          </cell>
          <cell r="Y82">
            <v>1.2799999999999999E-5</v>
          </cell>
          <cell r="Z82">
            <v>3.5499999999999999E-6</v>
          </cell>
          <cell r="AA82">
            <v>5.8499999999999999E-5</v>
          </cell>
          <cell r="AB82">
            <v>2.1800000000000001E-5</v>
          </cell>
          <cell r="AC82">
            <v>9.8400000000000007E-6</v>
          </cell>
          <cell r="AD82">
            <v>1.22E-5</v>
          </cell>
          <cell r="AE82">
            <v>1.2500000000000001E-5</v>
          </cell>
          <cell r="AF82">
            <v>1.26E-5</v>
          </cell>
          <cell r="AG82">
            <v>1.56E-5</v>
          </cell>
          <cell r="AH82">
            <v>1.41526E-4</v>
          </cell>
          <cell r="AI82">
            <v>0</v>
          </cell>
          <cell r="AJ82">
            <v>1.1764000000000001E-4</v>
          </cell>
          <cell r="AK82">
            <v>9.6199999999999994E-5</v>
          </cell>
          <cell r="AL82">
            <v>5.4700000000000001E-6</v>
          </cell>
          <cell r="AM82">
            <v>3.6600000000000001E-6</v>
          </cell>
          <cell r="AN82">
            <v>2.6050659E-2</v>
          </cell>
          <cell r="AO82">
            <v>0</v>
          </cell>
          <cell r="AP82">
            <v>8.7499999999999999E-5</v>
          </cell>
          <cell r="AQ82">
            <v>0</v>
          </cell>
          <cell r="AR82">
            <v>3.00869E-4</v>
          </cell>
          <cell r="AS82">
            <v>3.4092999999999998E-4</v>
          </cell>
          <cell r="AT82">
            <v>4.0989299999999999E-4</v>
          </cell>
          <cell r="AU82">
            <v>1.4100000000000001E-5</v>
          </cell>
          <cell r="AV82">
            <v>9.6010500000000005E-4</v>
          </cell>
          <cell r="AW82">
            <v>1.0200000000000001E-5</v>
          </cell>
          <cell r="AX82">
            <v>2.4042200000000001E-4</v>
          </cell>
          <cell r="AY82">
            <v>1.0446300000000001E-4</v>
          </cell>
          <cell r="AZ82">
            <v>5.0399999999999999E-5</v>
          </cell>
          <cell r="BA82">
            <v>1.9534349999999999E-3</v>
          </cell>
          <cell r="BB82">
            <v>0</v>
          </cell>
          <cell r="BC82">
            <v>1.0000000000000001E-5</v>
          </cell>
          <cell r="BD82">
            <v>3.1599999999999998E-6</v>
          </cell>
          <cell r="BE82">
            <v>3.67E-6</v>
          </cell>
          <cell r="BF82">
            <v>1.4300000000000001E-6</v>
          </cell>
          <cell r="BG82">
            <v>2.4499999999999999E-5</v>
          </cell>
          <cell r="BH82">
            <v>1.03E-5</v>
          </cell>
          <cell r="BI82">
            <v>5.8699999999999997E-5</v>
          </cell>
          <cell r="BJ82">
            <v>2.5100000000000001E-6</v>
          </cell>
        </row>
        <row r="83">
          <cell r="B83">
            <v>8.9600000000000006E-6</v>
          </cell>
          <cell r="C83">
            <v>2.6199999999999999E-6</v>
          </cell>
          <cell r="D83">
            <v>3.05E-6</v>
          </cell>
          <cell r="E83">
            <v>1.37E-7</v>
          </cell>
          <cell r="F83">
            <v>2.16E-7</v>
          </cell>
          <cell r="G83">
            <v>2.8100000000000002E-6</v>
          </cell>
          <cell r="H83">
            <v>3.5099999999999999E-6</v>
          </cell>
          <cell r="I83">
            <v>4.0499999999999999E-7</v>
          </cell>
          <cell r="J83">
            <v>3.49E-6</v>
          </cell>
          <cell r="K83">
            <v>6.2099999999999998E-6</v>
          </cell>
          <cell r="L83">
            <v>1.0499999999999999E-5</v>
          </cell>
          <cell r="M83">
            <v>4.7999999999999998E-6</v>
          </cell>
          <cell r="N83">
            <v>9.5699999999999999E-6</v>
          </cell>
          <cell r="O83">
            <v>6.1600000000000003E-6</v>
          </cell>
          <cell r="P83">
            <v>1.4600000000000001E-5</v>
          </cell>
          <cell r="Q83">
            <v>8.4700000000000002E-6</v>
          </cell>
          <cell r="R83">
            <v>1.19E-5</v>
          </cell>
          <cell r="S83">
            <v>7.5800000000000003E-6</v>
          </cell>
          <cell r="T83">
            <v>9.5100000000000004E-6</v>
          </cell>
          <cell r="U83">
            <v>1.0200000000000001E-5</v>
          </cell>
          <cell r="V83">
            <v>3.9999999999999998E-6</v>
          </cell>
          <cell r="W83">
            <v>2.5799999999999999E-6</v>
          </cell>
          <cell r="X83">
            <v>1.43E-5</v>
          </cell>
          <cell r="Y83">
            <v>1.15E-5</v>
          </cell>
          <cell r="Z83">
            <v>5.6799999999999998E-6</v>
          </cell>
          <cell r="AA83">
            <v>5.77E-5</v>
          </cell>
          <cell r="AB83">
            <v>3.8699999999999999E-5</v>
          </cell>
          <cell r="AC83">
            <v>2.0000000000000002E-5</v>
          </cell>
          <cell r="AD83">
            <v>2.1999999999999999E-5</v>
          </cell>
          <cell r="AE83">
            <v>1.8499999999999999E-5</v>
          </cell>
          <cell r="AF83">
            <v>2.27E-5</v>
          </cell>
          <cell r="AG83">
            <v>1.68469E-4</v>
          </cell>
          <cell r="AH83">
            <v>1.5211000000000001E-3</v>
          </cell>
          <cell r="AI83">
            <v>0</v>
          </cell>
          <cell r="AJ83">
            <v>2.5445157999999999E-2</v>
          </cell>
          <cell r="AK83">
            <v>2.7390742999999999E-2</v>
          </cell>
          <cell r="AL83">
            <v>7.7100000000000007E-6</v>
          </cell>
          <cell r="AM83">
            <v>6.8600000000000004E-6</v>
          </cell>
          <cell r="AN83">
            <v>2.1092763E-2</v>
          </cell>
          <cell r="AO83">
            <v>0</v>
          </cell>
          <cell r="AP83">
            <v>9.6640989999999996E-2</v>
          </cell>
          <cell r="AQ83">
            <v>0</v>
          </cell>
          <cell r="AR83">
            <v>8.9968289999999996E-3</v>
          </cell>
          <cell r="AS83">
            <v>1.3782390000000001E-3</v>
          </cell>
          <cell r="AT83">
            <v>1.223191E-3</v>
          </cell>
          <cell r="AU83">
            <v>2.9899999999999998E-5</v>
          </cell>
          <cell r="AV83">
            <v>1.047805E-3</v>
          </cell>
          <cell r="AW83">
            <v>1.9199999999999999E-5</v>
          </cell>
          <cell r="AX83">
            <v>6.9811899999999997E-4</v>
          </cell>
          <cell r="AY83">
            <v>9.7292899999999998E-4</v>
          </cell>
          <cell r="AZ83">
            <v>3.8625529999999999E-3</v>
          </cell>
          <cell r="BA83">
            <v>5.7057210000000004E-3</v>
          </cell>
          <cell r="BB83">
            <v>0</v>
          </cell>
          <cell r="BC83">
            <v>1.06E-5</v>
          </cell>
          <cell r="BD83">
            <v>6.0100000000000001E-6</v>
          </cell>
          <cell r="BE83">
            <v>4.8600000000000001E-6</v>
          </cell>
          <cell r="BF83">
            <v>4.2200000000000003E-6</v>
          </cell>
          <cell r="BG83">
            <v>1.6699999999999999E-5</v>
          </cell>
          <cell r="BH83">
            <v>1.3200000000000001E-5</v>
          </cell>
          <cell r="BI83">
            <v>7.8200000000000003E-5</v>
          </cell>
          <cell r="BJ83">
            <v>1.5299999999999999E-5</v>
          </cell>
        </row>
        <row r="84">
          <cell r="B84">
            <v>1.0800000000000001E-8</v>
          </cell>
          <cell r="C84">
            <v>6.6400000000000002E-9</v>
          </cell>
          <cell r="D84">
            <v>6.5400000000000003E-8</v>
          </cell>
          <cell r="E84">
            <v>1.37E-9</v>
          </cell>
          <cell r="F84">
            <v>6.3799999999999997E-10</v>
          </cell>
          <cell r="G84">
            <v>1.29E-8</v>
          </cell>
          <cell r="H84">
            <v>3.3499999999999998E-9</v>
          </cell>
          <cell r="I84">
            <v>4.25E-9</v>
          </cell>
          <cell r="J84">
            <v>3.7100000000000001E-8</v>
          </cell>
          <cell r="K84">
            <v>1.6899999999999999E-7</v>
          </cell>
          <cell r="L84">
            <v>3.7E-8</v>
          </cell>
          <cell r="M84">
            <v>3.3000000000000002E-9</v>
          </cell>
          <cell r="N84">
            <v>1.8199999999999999E-7</v>
          </cell>
          <cell r="O84">
            <v>1.01E-7</v>
          </cell>
          <cell r="P84">
            <v>1.1000000000000001E-6</v>
          </cell>
          <cell r="Q84">
            <v>1.68E-7</v>
          </cell>
          <cell r="R84">
            <v>1.7700000000000001E-7</v>
          </cell>
          <cell r="S84">
            <v>3.8299999999999999E-8</v>
          </cell>
          <cell r="T84">
            <v>4.7500000000000002E-8</v>
          </cell>
          <cell r="U84">
            <v>2.22E-7</v>
          </cell>
          <cell r="V84">
            <v>2.0100000000000001E-8</v>
          </cell>
          <cell r="W84">
            <v>2.4100000000000001E-8</v>
          </cell>
          <cell r="X84">
            <v>4.03E-7</v>
          </cell>
          <cell r="Y84">
            <v>8.5199999999999995E-8</v>
          </cell>
          <cell r="Z84">
            <v>1.35E-8</v>
          </cell>
          <cell r="AA84">
            <v>4.4399999999999998E-6</v>
          </cell>
          <cell r="AB84">
            <v>2.3099999999999999E-6</v>
          </cell>
          <cell r="AC84">
            <v>5.5099999999999997E-8</v>
          </cell>
          <cell r="AD84">
            <v>2.1799999999999999E-7</v>
          </cell>
          <cell r="AE84">
            <v>6.6100000000000003E-8</v>
          </cell>
          <cell r="AF84">
            <v>1.2800000000000001E-7</v>
          </cell>
          <cell r="AG84">
            <v>1.34E-5</v>
          </cell>
          <cell r="AH84">
            <v>1.3159700000000001E-4</v>
          </cell>
          <cell r="AI84">
            <v>0</v>
          </cell>
          <cell r="AJ84">
            <v>2.2452610000000001E-3</v>
          </cell>
          <cell r="AK84">
            <v>2.4236399999999999E-3</v>
          </cell>
          <cell r="AL84">
            <v>3.1300000000000002E-8</v>
          </cell>
          <cell r="AM84">
            <v>2.4900000000000001E-8</v>
          </cell>
          <cell r="AN84">
            <v>1.8552099999999999E-3</v>
          </cell>
          <cell r="AO84">
            <v>0</v>
          </cell>
          <cell r="AP84">
            <v>8.4431990000000002E-3</v>
          </cell>
          <cell r="AQ84">
            <v>0</v>
          </cell>
          <cell r="AR84">
            <v>7.9186000000000002E-4</v>
          </cell>
          <cell r="AS84">
            <v>1.17924E-4</v>
          </cell>
          <cell r="AT84">
            <v>1.05295E-4</v>
          </cell>
          <cell r="AU84">
            <v>1.53E-6</v>
          </cell>
          <cell r="AV84">
            <v>9.1500000000000001E-5</v>
          </cell>
          <cell r="AW84">
            <v>1.0100000000000001E-6</v>
          </cell>
          <cell r="AX84">
            <v>6.0000000000000002E-5</v>
          </cell>
          <cell r="AY84">
            <v>8.3999999999999995E-5</v>
          </cell>
          <cell r="AZ84">
            <v>3.38628E-4</v>
          </cell>
          <cell r="BA84">
            <v>5.0250999999999996E-4</v>
          </cell>
          <cell r="BB84">
            <v>0</v>
          </cell>
          <cell r="BC84">
            <v>1.8300000000000001E-7</v>
          </cell>
          <cell r="BD84">
            <v>1.3899999999999999E-7</v>
          </cell>
          <cell r="BE84">
            <v>4.3299999999999997E-8</v>
          </cell>
          <cell r="BF84">
            <v>4.2699999999999999E-8</v>
          </cell>
          <cell r="BG84">
            <v>6.1799999999999995E-7</v>
          </cell>
          <cell r="BH84">
            <v>1.6299999999999999E-7</v>
          </cell>
          <cell r="BI84">
            <v>6.3199999999999996E-6</v>
          </cell>
          <cell r="BJ84">
            <v>6.4300000000000003E-7</v>
          </cell>
        </row>
        <row r="85">
          <cell r="B85">
            <v>8.5400000000000002E-5</v>
          </cell>
          <cell r="C85">
            <v>4.8099999999999997E-5</v>
          </cell>
          <cell r="D85">
            <v>3.3699999999999999E-5</v>
          </cell>
          <cell r="E85">
            <v>4.9200000000000003E-6</v>
          </cell>
          <cell r="F85">
            <v>8.8300000000000002E-6</v>
          </cell>
          <cell r="G85">
            <v>1.14082E-4</v>
          </cell>
          <cell r="H85">
            <v>1.33392E-4</v>
          </cell>
          <cell r="I85">
            <v>1.5500000000000001E-5</v>
          </cell>
          <cell r="J85">
            <v>9.4400000000000004E-5</v>
          </cell>
          <cell r="K85">
            <v>2.7483500000000002E-4</v>
          </cell>
          <cell r="L85">
            <v>1.483E-4</v>
          </cell>
          <cell r="M85">
            <v>1.194227E-3</v>
          </cell>
          <cell r="N85">
            <v>1.98679E-4</v>
          </cell>
          <cell r="O85">
            <v>9.59E-5</v>
          </cell>
          <cell r="P85">
            <v>9.8200000000000002E-5</v>
          </cell>
          <cell r="Q85">
            <v>2.9986699999999999E-4</v>
          </cell>
          <cell r="R85">
            <v>5.1825000000000005E-4</v>
          </cell>
          <cell r="S85">
            <v>3.3523E-4</v>
          </cell>
          <cell r="T85">
            <v>3.4419600000000001E-4</v>
          </cell>
          <cell r="U85">
            <v>3.59489E-4</v>
          </cell>
          <cell r="V85">
            <v>7.0500000000000006E-5</v>
          </cell>
          <cell r="W85">
            <v>6.4455899999999995E-4</v>
          </cell>
          <cell r="X85">
            <v>6.1211900000000005E-4</v>
          </cell>
          <cell r="Y85">
            <v>8.9073199999999998E-4</v>
          </cell>
          <cell r="Z85">
            <v>1.82282E-4</v>
          </cell>
          <cell r="AA85">
            <v>5.9412899999999999E-4</v>
          </cell>
          <cell r="AB85">
            <v>1.005064E-3</v>
          </cell>
          <cell r="AC85">
            <v>2.8414299999999999E-4</v>
          </cell>
          <cell r="AD85">
            <v>4.54473E-4</v>
          </cell>
          <cell r="AE85">
            <v>4.0474400000000001E-4</v>
          </cell>
          <cell r="AF85">
            <v>4.4417700000000003E-4</v>
          </cell>
          <cell r="AG85">
            <v>1.335288E-3</v>
          </cell>
          <cell r="AH85">
            <v>1.2459138999999999E-2</v>
          </cell>
          <cell r="AI85">
            <v>0</v>
          </cell>
          <cell r="AJ85">
            <v>8.3381050000000002E-3</v>
          </cell>
          <cell r="AK85">
            <v>6.876269E-3</v>
          </cell>
          <cell r="AL85">
            <v>1.9055020000000001E-3</v>
          </cell>
          <cell r="AM85">
            <v>1.2186230000000001E-3</v>
          </cell>
          <cell r="AN85">
            <v>3.7425190000000001E-3</v>
          </cell>
          <cell r="AO85">
            <v>0</v>
          </cell>
          <cell r="AP85">
            <v>4.5298500000000002E-3</v>
          </cell>
          <cell r="AQ85">
            <v>0</v>
          </cell>
          <cell r="AR85">
            <v>7.3945383000000003E-2</v>
          </cell>
          <cell r="AS85">
            <v>2.0617785E-2</v>
          </cell>
          <cell r="AT85">
            <v>4.2783024000000003E-2</v>
          </cell>
          <cell r="AU85">
            <v>3.9954900000000002E-4</v>
          </cell>
          <cell r="AV85">
            <v>5.3924523000000002E-2</v>
          </cell>
          <cell r="AW85">
            <v>3.6065700000000001E-4</v>
          </cell>
          <cell r="AX85">
            <v>7.310782E-3</v>
          </cell>
          <cell r="AY85">
            <v>1.9334611000000002E-2</v>
          </cell>
          <cell r="AZ85">
            <v>4.2557769999999997E-3</v>
          </cell>
          <cell r="BA85">
            <v>2.1621950000000001E-2</v>
          </cell>
          <cell r="BB85">
            <v>0</v>
          </cell>
          <cell r="BC85">
            <v>1.4079000000000001E-4</v>
          </cell>
          <cell r="BD85">
            <v>2.3855799999999999E-4</v>
          </cell>
          <cell r="BE85">
            <v>2.1511600000000001E-4</v>
          </cell>
          <cell r="BF85">
            <v>7.7679300000000001E-4</v>
          </cell>
          <cell r="BG85">
            <v>4.2489399999999999E-4</v>
          </cell>
          <cell r="BH85">
            <v>1.282369E-3</v>
          </cell>
          <cell r="BI85">
            <v>3.767065E-3</v>
          </cell>
          <cell r="BJ85">
            <v>9.9699999999999998E-5</v>
          </cell>
        </row>
        <row r="86">
          <cell r="B86">
            <v>3.8593569999999999E-3</v>
          </cell>
          <cell r="C86">
            <v>1.912307E-3</v>
          </cell>
          <cell r="D86">
            <v>1.1821150000000001E-3</v>
          </cell>
          <cell r="E86">
            <v>1.9836800000000001E-4</v>
          </cell>
          <cell r="F86">
            <v>3.6166600000000002E-4</v>
          </cell>
          <cell r="G86">
            <v>5.0774749999999997E-3</v>
          </cell>
          <cell r="H86">
            <v>3.993618E-3</v>
          </cell>
          <cell r="I86">
            <v>6.0698999999999996E-4</v>
          </cell>
          <cell r="J86">
            <v>2.6696020000000001E-3</v>
          </cell>
          <cell r="K86">
            <v>6.2216260000000001E-3</v>
          </cell>
          <cell r="L86">
            <v>3.8385379999999998E-3</v>
          </cell>
          <cell r="M86">
            <v>3.181087E-3</v>
          </cell>
          <cell r="N86">
            <v>1.0545827000000001E-2</v>
          </cell>
          <cell r="O86">
            <v>3.9442119999999999E-3</v>
          </cell>
          <cell r="P86">
            <v>3.3537440000000001E-3</v>
          </cell>
          <cell r="Q86">
            <v>1.3905735000000001E-2</v>
          </cell>
          <cell r="R86">
            <v>1.4978831E-2</v>
          </cell>
          <cell r="S86">
            <v>1.090173E-2</v>
          </cell>
          <cell r="T86">
            <v>1.2988553999999999E-2</v>
          </cell>
          <cell r="U86">
            <v>9.2983479999999997E-3</v>
          </cell>
          <cell r="V86">
            <v>1.116304E-3</v>
          </cell>
          <cell r="W86">
            <v>3.5476290000000001E-3</v>
          </cell>
          <cell r="X86">
            <v>5.1053720000000004E-3</v>
          </cell>
          <cell r="Y86">
            <v>5.3654151999999997E-2</v>
          </cell>
          <cell r="Z86">
            <v>1.318261E-3</v>
          </cell>
          <cell r="AA86">
            <v>2.1080324000000001E-2</v>
          </cell>
          <cell r="AB86">
            <v>1.8742182E-2</v>
          </cell>
          <cell r="AC86">
            <v>8.2674250000000001E-3</v>
          </cell>
          <cell r="AD86">
            <v>1.2092543000000001E-2</v>
          </cell>
          <cell r="AE86">
            <v>9.9806730000000007E-3</v>
          </cell>
          <cell r="AF86">
            <v>6.9467640000000002E-3</v>
          </cell>
          <cell r="AG86">
            <v>1.5378938E-2</v>
          </cell>
          <cell r="AH86">
            <v>9.6366254999999998E-2</v>
          </cell>
          <cell r="AI86">
            <v>0</v>
          </cell>
          <cell r="AJ86">
            <v>8.5758824999999997E-2</v>
          </cell>
          <cell r="AK86">
            <v>8.3580156000000003E-2</v>
          </cell>
          <cell r="AL86">
            <v>1.9340386000000001E-2</v>
          </cell>
          <cell r="AM86">
            <v>1.4899427E-2</v>
          </cell>
          <cell r="AN86">
            <v>5.2399528000000001E-2</v>
          </cell>
          <cell r="AO86">
            <v>0</v>
          </cell>
          <cell r="AP86">
            <v>5.1945009E-2</v>
          </cell>
          <cell r="AQ86">
            <v>0</v>
          </cell>
          <cell r="AR86">
            <v>0.16032344600000001</v>
          </cell>
          <cell r="AS86">
            <v>0.32645389200000002</v>
          </cell>
          <cell r="AT86">
            <v>0.183599815</v>
          </cell>
          <cell r="AU86">
            <v>5.8480720000000002E-3</v>
          </cell>
          <cell r="AV86">
            <v>5.7247841000000001E-2</v>
          </cell>
          <cell r="AW86">
            <v>6.9208070000000002E-3</v>
          </cell>
          <cell r="AX86">
            <v>2.1999399999999999E-2</v>
          </cell>
          <cell r="AY86">
            <v>1.8108604E-2</v>
          </cell>
          <cell r="AZ86">
            <v>6.0179692E-2</v>
          </cell>
          <cell r="BA86">
            <v>1.0796735999999999E-2</v>
          </cell>
          <cell r="BB86">
            <v>0</v>
          </cell>
          <cell r="BC86">
            <v>2.440472E-3</v>
          </cell>
          <cell r="BD86">
            <v>1.620256E-3</v>
          </cell>
          <cell r="BE86">
            <v>1.765352E-3</v>
          </cell>
          <cell r="BF86">
            <v>7.1565400000000003E-4</v>
          </cell>
          <cell r="BG86">
            <v>7.107744E-3</v>
          </cell>
          <cell r="BH86">
            <v>4.0076549999999997E-3</v>
          </cell>
          <cell r="BI86">
            <v>7.63622E-3</v>
          </cell>
          <cell r="BJ86">
            <v>5.1541399999999995E-4</v>
          </cell>
        </row>
        <row r="87">
          <cell r="B87">
            <v>1.8340940000000001E-3</v>
          </cell>
          <cell r="C87">
            <v>5.6154100000000004E-4</v>
          </cell>
          <cell r="D87">
            <v>4.5557799999999999E-4</v>
          </cell>
          <cell r="E87">
            <v>9.2399999999999996E-5</v>
          </cell>
          <cell r="F87">
            <v>1.47539E-4</v>
          </cell>
          <cell r="G87">
            <v>1.0723830000000001E-3</v>
          </cell>
          <cell r="H87">
            <v>1.545804E-3</v>
          </cell>
          <cell r="I87">
            <v>2.9250100000000002E-4</v>
          </cell>
          <cell r="J87">
            <v>9.2884700000000001E-4</v>
          </cell>
          <cell r="K87">
            <v>2.8490189999999999E-3</v>
          </cell>
          <cell r="L87">
            <v>1.45874E-3</v>
          </cell>
          <cell r="M87">
            <v>1.525656E-3</v>
          </cell>
          <cell r="N87">
            <v>3.6125739999999999E-3</v>
          </cell>
          <cell r="O87">
            <v>1.1219800000000001E-3</v>
          </cell>
          <cell r="P87">
            <v>1.33091E-3</v>
          </cell>
          <cell r="Q87">
            <v>8.5429080000000001E-3</v>
          </cell>
          <cell r="R87">
            <v>8.9727379999999992E-3</v>
          </cell>
          <cell r="S87">
            <v>7.0094370000000003E-3</v>
          </cell>
          <cell r="T87">
            <v>9.2423190000000006E-3</v>
          </cell>
          <cell r="U87">
            <v>4.6881240000000001E-3</v>
          </cell>
          <cell r="V87">
            <v>3.060185E-3</v>
          </cell>
          <cell r="W87">
            <v>1.089788E-3</v>
          </cell>
          <cell r="X87">
            <v>4.5378809999999997E-3</v>
          </cell>
          <cell r="Y87">
            <v>7.0657080000000004E-3</v>
          </cell>
          <cell r="Z87">
            <v>4.5659400000000001E-3</v>
          </cell>
          <cell r="AA87">
            <v>1.6535828999999998E-2</v>
          </cell>
          <cell r="AB87">
            <v>1.7712272000000001E-2</v>
          </cell>
          <cell r="AC87">
            <v>4.3649193000000003E-2</v>
          </cell>
          <cell r="AD87">
            <v>7.2297543000000006E-2</v>
          </cell>
          <cell r="AE87">
            <v>5.2838354999999997E-2</v>
          </cell>
          <cell r="AF87">
            <v>3.6037536000000002E-2</v>
          </cell>
          <cell r="AG87">
            <v>6.5991039000000001E-2</v>
          </cell>
          <cell r="AH87">
            <v>1.3345499E-2</v>
          </cell>
          <cell r="AI87">
            <v>0</v>
          </cell>
          <cell r="AJ87">
            <v>1.1442384E-2</v>
          </cell>
          <cell r="AK87">
            <v>1.2340429E-2</v>
          </cell>
          <cell r="AL87">
            <v>2.5579180000000002E-3</v>
          </cell>
          <cell r="AM87">
            <v>2.2077799999999999E-3</v>
          </cell>
          <cell r="AN87">
            <v>7.9606320000000005E-3</v>
          </cell>
          <cell r="AO87">
            <v>0</v>
          </cell>
          <cell r="AP87">
            <v>5.3330740000000001E-3</v>
          </cell>
          <cell r="AQ87">
            <v>0</v>
          </cell>
          <cell r="AR87">
            <v>1.5688856000000001E-2</v>
          </cell>
          <cell r="AS87">
            <v>1.5969051000000001E-2</v>
          </cell>
          <cell r="AT87">
            <v>1.3543713000000001E-2</v>
          </cell>
          <cell r="AU87">
            <v>1.499615E-2</v>
          </cell>
          <cell r="AV87">
            <v>5.5663517000000003E-2</v>
          </cell>
          <cell r="AW87">
            <v>1.9001767999999999E-2</v>
          </cell>
          <cell r="AX87">
            <v>4.8795264999999997E-2</v>
          </cell>
          <cell r="AY87">
            <v>7.6243725999999998E-2</v>
          </cell>
          <cell r="AZ87">
            <v>1.365336E-2</v>
          </cell>
          <cell r="BA87">
            <v>1.027521E-2</v>
          </cell>
          <cell r="BB87">
            <v>0</v>
          </cell>
          <cell r="BC87">
            <v>1.6200198999999998E-2</v>
          </cell>
          <cell r="BD87">
            <v>1.7317949999999999E-2</v>
          </cell>
          <cell r="BE87">
            <v>1.9184198999999999E-2</v>
          </cell>
          <cell r="BF87">
            <v>9.0143600000000003E-4</v>
          </cell>
          <cell r="BG87">
            <v>1.6661525E-2</v>
          </cell>
          <cell r="BH87">
            <v>5.9550275999999999E-2</v>
          </cell>
          <cell r="BI87">
            <v>1.9113374999999998E-2</v>
          </cell>
          <cell r="BJ87">
            <v>1.343487E-3</v>
          </cell>
        </row>
        <row r="88">
          <cell r="B88">
            <v>1.04855E-4</v>
          </cell>
          <cell r="C88">
            <v>2.5439100000000002E-4</v>
          </cell>
          <cell r="D88">
            <v>2.0888159999999998E-3</v>
          </cell>
          <cell r="E88">
            <v>2.48E-6</v>
          </cell>
          <cell r="F88">
            <v>9.0199999999999997E-5</v>
          </cell>
          <cell r="G88">
            <v>8.0500000000000005E-5</v>
          </cell>
          <cell r="H88">
            <v>1.4201099999999999E-4</v>
          </cell>
          <cell r="I88">
            <v>5.3900000000000001E-6</v>
          </cell>
          <cell r="J88">
            <v>1.4445500000000001E-4</v>
          </cell>
          <cell r="K88">
            <v>1.5738199999999999E-4</v>
          </cell>
          <cell r="L88">
            <v>1.2258169999999999E-3</v>
          </cell>
          <cell r="M88">
            <v>1.355347E-3</v>
          </cell>
          <cell r="N88">
            <v>4.8000000000000001E-5</v>
          </cell>
          <cell r="O88">
            <v>5.7299999999999997E-5</v>
          </cell>
          <cell r="P88">
            <v>4.5068300000000001E-4</v>
          </cell>
          <cell r="Q88">
            <v>7.4800000000000002E-5</v>
          </cell>
          <cell r="R88">
            <v>7.5799999999999999E-5</v>
          </cell>
          <cell r="S88">
            <v>2.2061699999999999E-4</v>
          </cell>
          <cell r="T88">
            <v>1.2287499999999999E-4</v>
          </cell>
          <cell r="U88">
            <v>9.2042399999999998E-4</v>
          </cell>
          <cell r="V88">
            <v>1.81578E-4</v>
          </cell>
          <cell r="W88">
            <v>2.9200000000000002E-5</v>
          </cell>
          <cell r="X88">
            <v>1.8251199999999999E-4</v>
          </cell>
          <cell r="Y88">
            <v>8.7100000000000003E-5</v>
          </cell>
          <cell r="Z88">
            <v>1.4600000000000001E-5</v>
          </cell>
          <cell r="AA88">
            <v>7.9594400000000004E-4</v>
          </cell>
          <cell r="AB88">
            <v>1.99469E-4</v>
          </cell>
          <cell r="AC88">
            <v>9.5299999999999999E-5</v>
          </cell>
          <cell r="AD88">
            <v>1.8139400000000001E-4</v>
          </cell>
          <cell r="AE88">
            <v>8.9099999999999997E-5</v>
          </cell>
          <cell r="AF88">
            <v>7.7899999999999996E-5</v>
          </cell>
          <cell r="AG88">
            <v>1.7588900000000001E-4</v>
          </cell>
          <cell r="AH88">
            <v>1.14364E-4</v>
          </cell>
          <cell r="AI88">
            <v>0</v>
          </cell>
          <cell r="AJ88">
            <v>1.13632E-4</v>
          </cell>
          <cell r="AK88">
            <v>1.10231E-4</v>
          </cell>
          <cell r="AL88">
            <v>1.98E-5</v>
          </cell>
          <cell r="AM88">
            <v>1.4800000000000001E-5</v>
          </cell>
          <cell r="AN88">
            <v>8.14E-5</v>
          </cell>
          <cell r="AO88">
            <v>0</v>
          </cell>
          <cell r="AP88">
            <v>1.1592800000000001E-4</v>
          </cell>
          <cell r="AQ88">
            <v>0</v>
          </cell>
          <cell r="AR88">
            <v>1.20452E-4</v>
          </cell>
          <cell r="AS88">
            <v>3.6033000000000001E-4</v>
          </cell>
          <cell r="AT88">
            <v>3.4961600000000002E-4</v>
          </cell>
          <cell r="AU88">
            <v>0.467517132</v>
          </cell>
          <cell r="AV88">
            <v>7.6389899999999996E-4</v>
          </cell>
          <cell r="AW88">
            <v>5.0205220000000004E-3</v>
          </cell>
          <cell r="AX88">
            <v>3.6282399999999998E-4</v>
          </cell>
          <cell r="AY88">
            <v>8.9902793999999994E-2</v>
          </cell>
          <cell r="AZ88">
            <v>1.4654830000000001E-3</v>
          </cell>
          <cell r="BA88">
            <v>4.0899999999999998E-5</v>
          </cell>
          <cell r="BB88">
            <v>0</v>
          </cell>
          <cell r="BC88">
            <v>7.6500000000000003E-5</v>
          </cell>
          <cell r="BD88">
            <v>5.0000000000000002E-5</v>
          </cell>
          <cell r="BE88">
            <v>5.6900000000000001E-5</v>
          </cell>
          <cell r="BF88">
            <v>2.94E-5</v>
          </cell>
          <cell r="BG88">
            <v>2.5420999999999999E-4</v>
          </cell>
          <cell r="BH88">
            <v>1.1315E-4</v>
          </cell>
          <cell r="BI88">
            <v>1.52867E-4</v>
          </cell>
          <cell r="BJ88">
            <v>1.21048E-4</v>
          </cell>
        </row>
        <row r="89">
          <cell r="B89">
            <v>1.128549E-3</v>
          </cell>
          <cell r="C89">
            <v>1.078133E-3</v>
          </cell>
          <cell r="D89">
            <v>7.8495500000000005E-4</v>
          </cell>
          <cell r="E89">
            <v>1.5206099999999999E-4</v>
          </cell>
          <cell r="F89">
            <v>2.6043600000000001E-4</v>
          </cell>
          <cell r="G89">
            <v>1.701344E-3</v>
          </cell>
          <cell r="H89">
            <v>1.0503629999999999E-3</v>
          </cell>
          <cell r="I89">
            <v>4.3672600000000002E-4</v>
          </cell>
          <cell r="J89">
            <v>3.0767680000000001E-3</v>
          </cell>
          <cell r="K89">
            <v>1.1933209E-2</v>
          </cell>
          <cell r="L89">
            <v>5.1459009999999996E-3</v>
          </cell>
          <cell r="M89">
            <v>7.3237599999999997E-4</v>
          </cell>
          <cell r="N89">
            <v>1.3988667999999999E-2</v>
          </cell>
          <cell r="O89">
            <v>1.396135E-3</v>
          </cell>
          <cell r="P89">
            <v>1.1112353E-2</v>
          </cell>
          <cell r="Q89">
            <v>4.2147130000000001E-3</v>
          </cell>
          <cell r="R89">
            <v>4.8643599999999999E-3</v>
          </cell>
          <cell r="S89">
            <v>6.8417080000000002E-3</v>
          </cell>
          <cell r="T89">
            <v>8.7072E-3</v>
          </cell>
          <cell r="U89">
            <v>4.8783000000000003E-3</v>
          </cell>
          <cell r="V89">
            <v>6.0657799999999998E-4</v>
          </cell>
          <cell r="W89">
            <v>1.0904420000000001E-3</v>
          </cell>
          <cell r="X89">
            <v>4.5355600000000001E-3</v>
          </cell>
          <cell r="Y89">
            <v>6.5075569999999998E-3</v>
          </cell>
          <cell r="Z89">
            <v>1.0602090000000001E-3</v>
          </cell>
          <cell r="AA89">
            <v>1.9021327000000001E-2</v>
          </cell>
          <cell r="AB89">
            <v>1.8424020999999999E-2</v>
          </cell>
          <cell r="AC89">
            <v>6.4428699999999998E-3</v>
          </cell>
          <cell r="AD89">
            <v>1.1757705E-2</v>
          </cell>
          <cell r="AE89">
            <v>3.2792229999999999E-3</v>
          </cell>
          <cell r="AF89">
            <v>5.7614670000000002E-3</v>
          </cell>
          <cell r="AG89">
            <v>5.6612140000000004E-3</v>
          </cell>
          <cell r="AH89">
            <v>4.3564950000000002E-3</v>
          </cell>
          <cell r="AI89">
            <v>0</v>
          </cell>
          <cell r="AJ89">
            <v>3.6184500000000001E-3</v>
          </cell>
          <cell r="AK89">
            <v>3.7740059999999999E-3</v>
          </cell>
          <cell r="AL89">
            <v>1.0591540000000001E-3</v>
          </cell>
          <cell r="AM89">
            <v>9.7671999999999993E-4</v>
          </cell>
          <cell r="AN89">
            <v>2.709384E-3</v>
          </cell>
          <cell r="AO89">
            <v>0</v>
          </cell>
          <cell r="AP89">
            <v>2.5065840000000001E-3</v>
          </cell>
          <cell r="AQ89">
            <v>0</v>
          </cell>
          <cell r="AR89">
            <v>4.7211409999999999E-3</v>
          </cell>
          <cell r="AS89">
            <v>1.6798960000000002E-2</v>
          </cell>
          <cell r="AT89">
            <v>0.108074543</v>
          </cell>
          <cell r="AU89">
            <v>0.146828135</v>
          </cell>
          <cell r="AV89">
            <v>0.17218772600000001</v>
          </cell>
          <cell r="AW89">
            <v>2.8476556E-2</v>
          </cell>
          <cell r="AX89">
            <v>1.6993042E-2</v>
          </cell>
          <cell r="AY89">
            <v>3.8586090000000003E-2</v>
          </cell>
          <cell r="AZ89">
            <v>4.8085419999999999E-3</v>
          </cell>
          <cell r="BA89">
            <v>2.1735220000000002E-3</v>
          </cell>
          <cell r="BB89">
            <v>0</v>
          </cell>
          <cell r="BC89">
            <v>3.2123629000000001E-2</v>
          </cell>
          <cell r="BD89">
            <v>1.333987E-2</v>
          </cell>
          <cell r="BE89">
            <v>1.7033981E-2</v>
          </cell>
          <cell r="BF89">
            <v>1.1116302999999999E-2</v>
          </cell>
          <cell r="BG89">
            <v>0.13360408600000001</v>
          </cell>
          <cell r="BH89">
            <v>1.82569E-3</v>
          </cell>
          <cell r="BI89">
            <v>2.5264401999999998E-2</v>
          </cell>
          <cell r="BJ89">
            <v>2.98907E-4</v>
          </cell>
        </row>
        <row r="90">
          <cell r="B90">
            <v>3.0586099999999999E-4</v>
          </cell>
          <cell r="C90">
            <v>2.22556E-4</v>
          </cell>
          <cell r="D90">
            <v>3.1013999999999998E-4</v>
          </cell>
          <cell r="E90">
            <v>5.7800000000000002E-5</v>
          </cell>
          <cell r="F90">
            <v>8.7700000000000004E-5</v>
          </cell>
          <cell r="G90">
            <v>2.9829699999999999E-4</v>
          </cell>
          <cell r="H90">
            <v>6.0303500000000003E-4</v>
          </cell>
          <cell r="I90">
            <v>1.86248E-4</v>
          </cell>
          <cell r="J90">
            <v>4.3433399999999998E-4</v>
          </cell>
          <cell r="K90">
            <v>1.333875E-3</v>
          </cell>
          <cell r="L90">
            <v>9.0684399999999997E-4</v>
          </cell>
          <cell r="M90">
            <v>6.4591099999999999E-4</v>
          </cell>
          <cell r="N90">
            <v>4.0205599999999997E-4</v>
          </cell>
          <cell r="O90">
            <v>5.7406299999999998E-4</v>
          </cell>
          <cell r="P90">
            <v>6.9974000000000002E-4</v>
          </cell>
          <cell r="Q90">
            <v>2.2626699999999999E-4</v>
          </cell>
          <cell r="R90">
            <v>4.21366E-4</v>
          </cell>
          <cell r="S90">
            <v>2.9232500000000002E-4</v>
          </cell>
          <cell r="T90">
            <v>3.7047300000000002E-4</v>
          </cell>
          <cell r="U90">
            <v>3.0394100000000001E-4</v>
          </cell>
          <cell r="V90">
            <v>8.9713919999999999E-3</v>
          </cell>
          <cell r="W90">
            <v>7.99323E-4</v>
          </cell>
          <cell r="X90">
            <v>4.2775809999999999E-3</v>
          </cell>
          <cell r="Y90">
            <v>1.847294E-3</v>
          </cell>
          <cell r="Z90">
            <v>1.78424E-4</v>
          </cell>
          <cell r="AA90">
            <v>7.5884399999999995E-4</v>
          </cell>
          <cell r="AB90">
            <v>2.468357E-3</v>
          </cell>
          <cell r="AC90">
            <v>4.0725899999999998E-4</v>
          </cell>
          <cell r="AD90">
            <v>7.5946E-4</v>
          </cell>
          <cell r="AE90">
            <v>3.3198199999999998E-4</v>
          </cell>
          <cell r="AF90">
            <v>5.2713599999999999E-4</v>
          </cell>
          <cell r="AG90">
            <v>5.3210599999999996E-4</v>
          </cell>
          <cell r="AH90">
            <v>6.91221E-4</v>
          </cell>
          <cell r="AI90">
            <v>0</v>
          </cell>
          <cell r="AJ90">
            <v>6.11303E-4</v>
          </cell>
          <cell r="AK90">
            <v>5.87953E-4</v>
          </cell>
          <cell r="AL90">
            <v>1.6494799999999999E-4</v>
          </cell>
          <cell r="AM90">
            <v>1.4725200000000001E-4</v>
          </cell>
          <cell r="AN90">
            <v>3.95055E-4</v>
          </cell>
          <cell r="AO90">
            <v>0</v>
          </cell>
          <cell r="AP90">
            <v>8.1426600000000001E-4</v>
          </cell>
          <cell r="AQ90">
            <v>0</v>
          </cell>
          <cell r="AR90">
            <v>5.6248099999999998E-4</v>
          </cell>
          <cell r="AS90">
            <v>1.2067989999999999E-3</v>
          </cell>
          <cell r="AT90">
            <v>5.7190169999999999E-3</v>
          </cell>
          <cell r="AU90">
            <v>9.3920017999999994E-2</v>
          </cell>
          <cell r="AV90">
            <v>3.437402E-3</v>
          </cell>
          <cell r="AW90">
            <v>0.64078042800000001</v>
          </cell>
          <cell r="AX90">
            <v>1.7215098000000002E-2</v>
          </cell>
          <cell r="AY90">
            <v>3.681218E-3</v>
          </cell>
          <cell r="AZ90">
            <v>5.9434889999999997E-3</v>
          </cell>
          <cell r="BA90">
            <v>3.9567699999999999E-4</v>
          </cell>
          <cell r="BB90">
            <v>0</v>
          </cell>
          <cell r="BC90">
            <v>5.4726299999999998E-4</v>
          </cell>
          <cell r="BD90">
            <v>2.9331700000000002E-4</v>
          </cell>
          <cell r="BE90">
            <v>3.2914100000000003E-4</v>
          </cell>
          <cell r="BF90">
            <v>1.5919900000000001E-4</v>
          </cell>
          <cell r="BG90">
            <v>1.8328019999999999E-3</v>
          </cell>
          <cell r="BH90">
            <v>6.9103000000000003E-4</v>
          </cell>
          <cell r="BI90">
            <v>1.2994009999999999E-3</v>
          </cell>
          <cell r="BJ90">
            <v>9.2299999999999994E-5</v>
          </cell>
        </row>
        <row r="91">
          <cell r="B91">
            <v>8.2328800000000004E-4</v>
          </cell>
          <cell r="C91">
            <v>1.02174E-4</v>
          </cell>
          <cell r="D91">
            <v>1.3365299999999999E-4</v>
          </cell>
          <cell r="E91">
            <v>8.1499999999999999E-6</v>
          </cell>
          <cell r="F91">
            <v>1.9599999999999999E-5</v>
          </cell>
          <cell r="G91">
            <v>1.0770200000000001E-4</v>
          </cell>
          <cell r="H91">
            <v>3.7364499999999998E-4</v>
          </cell>
          <cell r="I91">
            <v>2.55E-5</v>
          </cell>
          <cell r="J91">
            <v>1.62261E-4</v>
          </cell>
          <cell r="K91">
            <v>5.6403400000000004E-4</v>
          </cell>
          <cell r="L91">
            <v>4.4955499999999997E-4</v>
          </cell>
          <cell r="M91">
            <v>3.2459200000000001E-4</v>
          </cell>
          <cell r="N91">
            <v>3.4864599999999998E-4</v>
          </cell>
          <cell r="O91">
            <v>9.5562800000000003E-4</v>
          </cell>
          <cell r="P91">
            <v>4.4587099999999997E-4</v>
          </cell>
          <cell r="Q91">
            <v>2.41287E-4</v>
          </cell>
          <cell r="R91">
            <v>2.48488E-4</v>
          </cell>
          <cell r="S91">
            <v>1.9560199999999999E-4</v>
          </cell>
          <cell r="T91">
            <v>2.40511E-4</v>
          </cell>
          <cell r="U91">
            <v>4.9520399999999996E-4</v>
          </cell>
          <cell r="V91">
            <v>1.8511100000000001E-4</v>
          </cell>
          <cell r="W91">
            <v>8.5516080000000005E-3</v>
          </cell>
          <cell r="X91">
            <v>6.0902356999999997E-2</v>
          </cell>
          <cell r="Y91">
            <v>6.7477320000000002E-3</v>
          </cell>
          <cell r="Z91">
            <v>1.8459800000000001E-4</v>
          </cell>
          <cell r="AA91">
            <v>2.4883129999999998E-3</v>
          </cell>
          <cell r="AB91">
            <v>1.762734E-3</v>
          </cell>
          <cell r="AC91">
            <v>6.5667999999999998E-4</v>
          </cell>
          <cell r="AD91">
            <v>9.5029900000000004E-4</v>
          </cell>
          <cell r="AE91">
            <v>6.6475200000000001E-4</v>
          </cell>
          <cell r="AF91">
            <v>5.0540199999999996E-4</v>
          </cell>
          <cell r="AG91">
            <v>9.4533099999999999E-4</v>
          </cell>
          <cell r="AH91">
            <v>7.3037999999999998E-4</v>
          </cell>
          <cell r="AI91">
            <v>0</v>
          </cell>
          <cell r="AJ91">
            <v>5.1946499999999999E-4</v>
          </cell>
          <cell r="AK91">
            <v>5.5951899999999997E-4</v>
          </cell>
          <cell r="AL91">
            <v>4.9499999999999997E-5</v>
          </cell>
          <cell r="AM91">
            <v>3.7799999999999997E-5</v>
          </cell>
          <cell r="AN91">
            <v>3.24567E-4</v>
          </cell>
          <cell r="AO91">
            <v>0</v>
          </cell>
          <cell r="AP91">
            <v>2.42768E-4</v>
          </cell>
          <cell r="AQ91">
            <v>0</v>
          </cell>
          <cell r="AR91">
            <v>7.1486E-4</v>
          </cell>
          <cell r="AS91">
            <v>9.4546699999999997E-4</v>
          </cell>
          <cell r="AT91">
            <v>1.888998E-3</v>
          </cell>
          <cell r="AU91">
            <v>2.227611E-3</v>
          </cell>
          <cell r="AV91">
            <v>2.089526E-3</v>
          </cell>
          <cell r="AW91">
            <v>3.4133499999999999E-3</v>
          </cell>
          <cell r="AX91">
            <v>4.4791539999999998E-2</v>
          </cell>
          <cell r="AY91">
            <v>4.6904770000000002E-3</v>
          </cell>
          <cell r="AZ91">
            <v>7.9890600000000005E-4</v>
          </cell>
          <cell r="BA91">
            <v>2.8317099999999998E-4</v>
          </cell>
          <cell r="BB91">
            <v>0</v>
          </cell>
          <cell r="BC91">
            <v>4.2539999999999999E-4</v>
          </cell>
          <cell r="BD91">
            <v>3.1577299999999999E-4</v>
          </cell>
          <cell r="BE91">
            <v>3.5266300000000002E-4</v>
          </cell>
          <cell r="BF91">
            <v>2.8161800000000003E-4</v>
          </cell>
          <cell r="BG91">
            <v>1.173641E-3</v>
          </cell>
          <cell r="BH91">
            <v>9.5211899999999997E-4</v>
          </cell>
          <cell r="BI91">
            <v>1.044737E-3</v>
          </cell>
          <cell r="BJ91">
            <v>8.92E-5</v>
          </cell>
        </row>
        <row r="92">
          <cell r="B92">
            <v>1.741701E-3</v>
          </cell>
          <cell r="C92">
            <v>7.5720500000000005E-4</v>
          </cell>
          <cell r="D92">
            <v>1.0221760000000001E-3</v>
          </cell>
          <cell r="E92">
            <v>2.1970299999999999E-4</v>
          </cell>
          <cell r="F92">
            <v>3.3743500000000002E-4</v>
          </cell>
          <cell r="G92">
            <v>8.3733799999999997E-4</v>
          </cell>
          <cell r="H92">
            <v>2.5698880000000002E-3</v>
          </cell>
          <cell r="I92">
            <v>7.2321600000000005E-4</v>
          </cell>
          <cell r="J92">
            <v>9.64502E-4</v>
          </cell>
          <cell r="K92">
            <v>2.657581E-3</v>
          </cell>
          <cell r="L92">
            <v>2.268132E-3</v>
          </cell>
          <cell r="M92">
            <v>1.9993250000000001E-3</v>
          </cell>
          <cell r="N92">
            <v>4.8612179999999996E-3</v>
          </cell>
          <cell r="O92">
            <v>2.8642350000000001E-3</v>
          </cell>
          <cell r="P92">
            <v>3.596892E-3</v>
          </cell>
          <cell r="Q92">
            <v>1.6764080000000001E-3</v>
          </cell>
          <cell r="R92">
            <v>2.4970679999999999E-3</v>
          </cell>
          <cell r="S92">
            <v>1.610785E-3</v>
          </cell>
          <cell r="T92">
            <v>1.938756E-3</v>
          </cell>
          <cell r="U92">
            <v>1.213593E-3</v>
          </cell>
          <cell r="V92">
            <v>6.0171300000000003E-4</v>
          </cell>
          <cell r="W92">
            <v>2.1032189999999999E-3</v>
          </cell>
          <cell r="X92">
            <v>5.2078080000000004E-3</v>
          </cell>
          <cell r="Y92">
            <v>8.781222E-3</v>
          </cell>
          <cell r="Z92">
            <v>9.8069600000000009E-4</v>
          </cell>
          <cell r="AA92">
            <v>3.6959670000000001E-3</v>
          </cell>
          <cell r="AB92">
            <v>2.3542285E-2</v>
          </cell>
          <cell r="AC92">
            <v>1.1673964E-2</v>
          </cell>
          <cell r="AD92">
            <v>1.4452326999999999E-2</v>
          </cell>
          <cell r="AE92">
            <v>5.203867E-3</v>
          </cell>
          <cell r="AF92">
            <v>9.5487120000000009E-3</v>
          </cell>
          <cell r="AG92">
            <v>1.1282766E-2</v>
          </cell>
          <cell r="AH92">
            <v>5.5802243000000001E-2</v>
          </cell>
          <cell r="AI92">
            <v>0</v>
          </cell>
          <cell r="AJ92">
            <v>3.6774895000000002E-2</v>
          </cell>
          <cell r="AK92">
            <v>3.4043014000000003E-2</v>
          </cell>
          <cell r="AL92">
            <v>9.0162850000000006E-3</v>
          </cell>
          <cell r="AM92">
            <v>6.6224450000000002E-3</v>
          </cell>
          <cell r="AN92">
            <v>1.9614573999999999E-2</v>
          </cell>
          <cell r="AO92">
            <v>0</v>
          </cell>
          <cell r="AP92">
            <v>3.3842417E-2</v>
          </cell>
          <cell r="AQ92">
            <v>0</v>
          </cell>
          <cell r="AR92">
            <v>1.3206450999999999E-2</v>
          </cell>
          <cell r="AS92">
            <v>1.5937873000000002E-2</v>
          </cell>
          <cell r="AT92">
            <v>2.1572692000000001E-2</v>
          </cell>
          <cell r="AU92">
            <v>1.7117316E-2</v>
          </cell>
          <cell r="AV92">
            <v>0.110583705</v>
          </cell>
          <cell r="AW92">
            <v>1.2100609E-2</v>
          </cell>
          <cell r="AX92">
            <v>1.5891821E-2</v>
          </cell>
          <cell r="AY92">
            <v>3.9095446999999998E-2</v>
          </cell>
          <cell r="AZ92">
            <v>5.4868243999999997E-2</v>
          </cell>
          <cell r="BA92">
            <v>1.4120834000000001E-2</v>
          </cell>
          <cell r="BB92">
            <v>0</v>
          </cell>
          <cell r="BC92">
            <v>4.0420789999999996E-3</v>
          </cell>
          <cell r="BD92">
            <v>2.3697919999999999E-3</v>
          </cell>
          <cell r="BE92">
            <v>2.8175349999999999E-3</v>
          </cell>
          <cell r="BF92">
            <v>1.1205099999999999E-3</v>
          </cell>
          <cell r="BG92">
            <v>1.3110711000000001E-2</v>
          </cell>
          <cell r="BH92">
            <v>5.6012800000000001E-3</v>
          </cell>
          <cell r="BI92">
            <v>7.8769110000000003E-3</v>
          </cell>
          <cell r="BJ92">
            <v>1.0112809999999999E-3</v>
          </cell>
        </row>
        <row r="93">
          <cell r="B93">
            <v>4.99E-5</v>
          </cell>
          <cell r="C93">
            <v>3.0599999999999998E-5</v>
          </cell>
          <cell r="D93">
            <v>3.3399999999999999E-5</v>
          </cell>
          <cell r="E93">
            <v>3.1200000000000002E-6</v>
          </cell>
          <cell r="F93">
            <v>7.9300000000000003E-6</v>
          </cell>
          <cell r="G93">
            <v>6.3200000000000005E-5</v>
          </cell>
          <cell r="H93">
            <v>4.9400000000000001E-5</v>
          </cell>
          <cell r="I93">
            <v>9.2599999999999994E-6</v>
          </cell>
          <cell r="J93">
            <v>6.7600000000000003E-5</v>
          </cell>
          <cell r="K93">
            <v>2.1018E-4</v>
          </cell>
          <cell r="L93">
            <v>1.2524500000000001E-4</v>
          </cell>
          <cell r="M93">
            <v>1.21684E-4</v>
          </cell>
          <cell r="N93">
            <v>2.40714E-4</v>
          </cell>
          <cell r="O93">
            <v>1.8363200000000001E-4</v>
          </cell>
          <cell r="P93">
            <v>2.0789100000000001E-4</v>
          </cell>
          <cell r="Q93">
            <v>2.0619599999999999E-4</v>
          </cell>
          <cell r="R93">
            <v>1.8983100000000001E-4</v>
          </cell>
          <cell r="S93">
            <v>3.20384E-4</v>
          </cell>
          <cell r="T93">
            <v>3.7481800000000002E-4</v>
          </cell>
          <cell r="U93">
            <v>2.8939100000000001E-4</v>
          </cell>
          <cell r="V93">
            <v>9.2600000000000001E-5</v>
          </cell>
          <cell r="W93">
            <v>1.8894699999999999E-4</v>
          </cell>
          <cell r="X93">
            <v>1.135643E-3</v>
          </cell>
          <cell r="Y93">
            <v>5.2434599999999997E-4</v>
          </cell>
          <cell r="Z93">
            <v>4.88E-5</v>
          </cell>
          <cell r="AA93">
            <v>4.2540999999999998E-4</v>
          </cell>
          <cell r="AB93">
            <v>4.3155999999999999E-4</v>
          </cell>
          <cell r="AC93">
            <v>3.8915599999999999E-4</v>
          </cell>
          <cell r="AD93">
            <v>6.6952600000000004E-4</v>
          </cell>
          <cell r="AE93">
            <v>4.1888800000000002E-4</v>
          </cell>
          <cell r="AF93">
            <v>3.4016199999999997E-4</v>
          </cell>
          <cell r="AG93">
            <v>5.7171399999999997E-4</v>
          </cell>
          <cell r="AH93">
            <v>1.0430350000000001E-3</v>
          </cell>
          <cell r="AI93">
            <v>0</v>
          </cell>
          <cell r="AJ93">
            <v>8.6028999999999999E-4</v>
          </cell>
          <cell r="AK93">
            <v>8.7996600000000004E-4</v>
          </cell>
          <cell r="AL93">
            <v>1.283E-4</v>
          </cell>
          <cell r="AM93">
            <v>9.5000000000000005E-5</v>
          </cell>
          <cell r="AN93">
            <v>6.2026699999999998E-4</v>
          </cell>
          <cell r="AO93">
            <v>0</v>
          </cell>
          <cell r="AP93">
            <v>5.1228500000000002E-4</v>
          </cell>
          <cell r="AQ93">
            <v>0</v>
          </cell>
          <cell r="AR93">
            <v>1.28987E-3</v>
          </cell>
          <cell r="AS93">
            <v>2.0588030000000001E-3</v>
          </cell>
          <cell r="AT93">
            <v>1.345096E-2</v>
          </cell>
          <cell r="AU93">
            <v>3.5273750000000001E-3</v>
          </cell>
          <cell r="AV93">
            <v>4.9312799999999997E-3</v>
          </cell>
          <cell r="AW93">
            <v>3.1614239999999999E-3</v>
          </cell>
          <cell r="AX93">
            <v>1.3746089999999999E-3</v>
          </cell>
          <cell r="AY93">
            <v>4.2098351999999999E-2</v>
          </cell>
          <cell r="AZ93">
            <v>2.2842690999999998E-2</v>
          </cell>
          <cell r="BA93">
            <v>3.4603800000000001E-4</v>
          </cell>
          <cell r="BB93">
            <v>0</v>
          </cell>
          <cell r="BC93">
            <v>3.5381799999999999E-4</v>
          </cell>
          <cell r="BD93">
            <v>2.3420200000000001E-4</v>
          </cell>
          <cell r="BE93">
            <v>2.7224299999999998E-4</v>
          </cell>
          <cell r="BF93">
            <v>1.7132200000000001E-4</v>
          </cell>
          <cell r="BG93">
            <v>1.1574440000000001E-3</v>
          </cell>
          <cell r="BH93">
            <v>3.9942100000000001E-4</v>
          </cell>
          <cell r="BI93">
            <v>3.6661499999999999E-4</v>
          </cell>
          <cell r="BJ93">
            <v>1.98E-5</v>
          </cell>
        </row>
        <row r="94">
          <cell r="B94">
            <v>4.95923E-4</v>
          </cell>
          <cell r="C94">
            <v>7.9889499999999999E-4</v>
          </cell>
          <cell r="D94">
            <v>6.19029E-4</v>
          </cell>
          <cell r="E94">
            <v>3.6600000000000002E-5</v>
          </cell>
          <cell r="F94">
            <v>9.5199999999999997E-5</v>
          </cell>
          <cell r="G94">
            <v>1.6236449999999999E-3</v>
          </cell>
          <cell r="H94">
            <v>1.8011200000000001E-4</v>
          </cell>
          <cell r="I94">
            <v>1.03229E-4</v>
          </cell>
          <cell r="J94">
            <v>3.1980699999999999E-3</v>
          </cell>
          <cell r="K94">
            <v>1.0735144E-2</v>
          </cell>
          <cell r="L94">
            <v>4.3213440000000004E-3</v>
          </cell>
          <cell r="M94">
            <v>1.4912899999999999E-4</v>
          </cell>
          <cell r="N94">
            <v>5.083522E-3</v>
          </cell>
          <cell r="O94">
            <v>2.4399123000000002E-2</v>
          </cell>
          <cell r="P94">
            <v>9.6237189999999993E-3</v>
          </cell>
          <cell r="Q94">
            <v>6.1297959999999999E-3</v>
          </cell>
          <cell r="R94">
            <v>5.779668E-3</v>
          </cell>
          <cell r="S94">
            <v>7.5377899999999999E-3</v>
          </cell>
          <cell r="T94">
            <v>7.3897060000000002E-3</v>
          </cell>
          <cell r="U94">
            <v>1.1480185E-2</v>
          </cell>
          <cell r="V94">
            <v>4.3962599999999998E-4</v>
          </cell>
          <cell r="W94">
            <v>9.0199999999999997E-5</v>
          </cell>
          <cell r="X94">
            <v>2.98559E-4</v>
          </cell>
          <cell r="Y94">
            <v>5.2665199999999996E-4</v>
          </cell>
          <cell r="Z94">
            <v>3.5366299999999999E-4</v>
          </cell>
          <cell r="AA94">
            <v>4.8116369999999997E-3</v>
          </cell>
          <cell r="AB94">
            <v>5.1385700000000003E-3</v>
          </cell>
          <cell r="AC94">
            <v>9.0603199999999997E-4</v>
          </cell>
          <cell r="AD94">
            <v>1.4065200000000001E-3</v>
          </cell>
          <cell r="AE94">
            <v>1.0631729999999999E-3</v>
          </cell>
          <cell r="AF94">
            <v>6.0861900000000002E-4</v>
          </cell>
          <cell r="AG94">
            <v>2.5844330000000001E-3</v>
          </cell>
          <cell r="AH94">
            <v>3.7252980000000002E-3</v>
          </cell>
          <cell r="AI94">
            <v>0</v>
          </cell>
          <cell r="AJ94">
            <v>2.2423510000000001E-3</v>
          </cell>
          <cell r="AK94">
            <v>2.2694820000000002E-3</v>
          </cell>
          <cell r="AL94">
            <v>2.6129300000000001E-4</v>
          </cell>
          <cell r="AM94">
            <v>1.9319500000000001E-4</v>
          </cell>
          <cell r="AN94">
            <v>1.7338239999999999E-3</v>
          </cell>
          <cell r="AO94">
            <v>0</v>
          </cell>
          <cell r="AP94">
            <v>1.5048069999999999E-3</v>
          </cell>
          <cell r="AQ94">
            <v>0</v>
          </cell>
          <cell r="AR94">
            <v>6.5629310000000001E-3</v>
          </cell>
          <cell r="AS94">
            <v>3.3829369999999999E-3</v>
          </cell>
          <cell r="AT94">
            <v>2.0164879999999999E-3</v>
          </cell>
          <cell r="AU94">
            <v>7.3815899999999995E-4</v>
          </cell>
          <cell r="AV94">
            <v>2.4918760000000001E-3</v>
          </cell>
          <cell r="AW94">
            <v>1.0071399999999999E-3</v>
          </cell>
          <cell r="AX94">
            <v>1.8146359999999999E-3</v>
          </cell>
          <cell r="AY94">
            <v>1.6188960000000001E-3</v>
          </cell>
          <cell r="AZ94">
            <v>7.3146218999999998E-2</v>
          </cell>
          <cell r="BA94">
            <v>1.133399E-3</v>
          </cell>
          <cell r="BB94">
            <v>0</v>
          </cell>
          <cell r="BC94">
            <v>2.3206600000000001E-4</v>
          </cell>
          <cell r="BD94">
            <v>1.8802900000000001E-4</v>
          </cell>
          <cell r="BE94">
            <v>1.8552799999999999E-4</v>
          </cell>
          <cell r="BF94">
            <v>7.4599999999999997E-5</v>
          </cell>
          <cell r="BG94">
            <v>5.4856999999999996E-4</v>
          </cell>
          <cell r="BH94">
            <v>4.60526E-4</v>
          </cell>
          <cell r="BI94">
            <v>7.8408899999999997E-4</v>
          </cell>
          <cell r="BJ94">
            <v>1.00047E-4</v>
          </cell>
        </row>
        <row r="95">
          <cell r="B95">
            <v>5.7599999999999997E-5</v>
          </cell>
          <cell r="C95">
            <v>5.5399999999999998E-5</v>
          </cell>
          <cell r="D95">
            <v>7.2999999999999999E-5</v>
          </cell>
          <cell r="E95">
            <v>2.72E-5</v>
          </cell>
          <cell r="F95">
            <v>2.0400000000000001E-5</v>
          </cell>
          <cell r="G95">
            <v>7.0300000000000001E-5</v>
          </cell>
          <cell r="H95">
            <v>2.4562500000000002E-4</v>
          </cell>
          <cell r="I95">
            <v>4.49E-5</v>
          </cell>
          <cell r="J95">
            <v>1.72072E-4</v>
          </cell>
          <cell r="K95">
            <v>2.1534700000000001E-4</v>
          </cell>
          <cell r="L95">
            <v>2.5254999999999999E-4</v>
          </cell>
          <cell r="M95">
            <v>1.16005E-4</v>
          </cell>
          <cell r="N95">
            <v>1.18867E-4</v>
          </cell>
          <cell r="O95">
            <v>1.07963E-4</v>
          </cell>
          <cell r="P95">
            <v>1.2162700000000001E-4</v>
          </cell>
          <cell r="Q95">
            <v>4.6E-5</v>
          </cell>
          <cell r="R95">
            <v>9.0799999999999998E-5</v>
          </cell>
          <cell r="S95">
            <v>7.1299999999999998E-5</v>
          </cell>
          <cell r="T95">
            <v>8.9300000000000002E-5</v>
          </cell>
          <cell r="U95">
            <v>4.4400000000000002E-5</v>
          </cell>
          <cell r="V95">
            <v>5.3600000000000002E-5</v>
          </cell>
          <cell r="W95">
            <v>6.1199999999999997E-5</v>
          </cell>
          <cell r="X95">
            <v>7.7600000000000002E-5</v>
          </cell>
          <cell r="Y95">
            <v>1.4605099999999999E-4</v>
          </cell>
          <cell r="Z95">
            <v>8.1600000000000005E-5</v>
          </cell>
          <cell r="AA95">
            <v>4.5013200000000001E-4</v>
          </cell>
          <cell r="AB95">
            <v>1.91812E-4</v>
          </cell>
          <cell r="AC95">
            <v>9.6500000000000001E-5</v>
          </cell>
          <cell r="AD95">
            <v>1.4170400000000001E-4</v>
          </cell>
          <cell r="AE95">
            <v>7.2299999999999996E-5</v>
          </cell>
          <cell r="AF95">
            <v>1.42607E-4</v>
          </cell>
          <cell r="AG95">
            <v>1.10845E-4</v>
          </cell>
          <cell r="AH95">
            <v>0.12237052900000001</v>
          </cell>
          <cell r="AI95">
            <v>0</v>
          </cell>
          <cell r="AJ95">
            <v>0.11727006700000001</v>
          </cell>
          <cell r="AK95">
            <v>0.14173768</v>
          </cell>
          <cell r="AL95">
            <v>3.8638969999999998E-3</v>
          </cell>
          <cell r="AM95">
            <v>6.2118500000000001E-4</v>
          </cell>
          <cell r="AN95">
            <v>9.8234679000000005E-2</v>
          </cell>
          <cell r="AO95">
            <v>0</v>
          </cell>
          <cell r="AP95">
            <v>0.106040537</v>
          </cell>
          <cell r="AQ95">
            <v>0</v>
          </cell>
          <cell r="AR95">
            <v>5.1296332E-2</v>
          </cell>
          <cell r="AS95">
            <v>2.5658400000000002E-4</v>
          </cell>
          <cell r="AT95">
            <v>5.74539E-4</v>
          </cell>
          <cell r="AU95">
            <v>4.57E-5</v>
          </cell>
          <cell r="AV95">
            <v>3.5849599999999998E-4</v>
          </cell>
          <cell r="AW95">
            <v>1.4747600000000001E-4</v>
          </cell>
          <cell r="AX95">
            <v>1.80082E-4</v>
          </cell>
          <cell r="AY95">
            <v>2.7923100000000001E-4</v>
          </cell>
          <cell r="AZ95">
            <v>2.1723900000000001E-4</v>
          </cell>
          <cell r="BA95">
            <v>0.24740000000000001</v>
          </cell>
          <cell r="BB95">
            <v>0</v>
          </cell>
          <cell r="BC95">
            <v>5.9799999999999997E-5</v>
          </cell>
          <cell r="BD95">
            <v>4.6E-5</v>
          </cell>
          <cell r="BE95">
            <v>3.6399999999999997E-5</v>
          </cell>
          <cell r="BF95">
            <v>1.111E-4</v>
          </cell>
          <cell r="BG95">
            <v>5.8999999999999998E-5</v>
          </cell>
          <cell r="BH95">
            <v>9.7999999999999997E-5</v>
          </cell>
          <cell r="BI95">
            <v>4.2299999999999998E-5</v>
          </cell>
          <cell r="BJ95">
            <v>3.8300000000000003E-5</v>
          </cell>
        </row>
        <row r="96">
          <cell r="B96">
            <v>4.21E-5</v>
          </cell>
          <cell r="C96">
            <v>1.47E-5</v>
          </cell>
          <cell r="D96">
            <v>2.2200000000000001E-5</v>
          </cell>
          <cell r="E96">
            <v>1.9899999999999999E-5</v>
          </cell>
          <cell r="F96">
            <v>3.3399999999999999E-5</v>
          </cell>
          <cell r="G96">
            <v>2.3499999999999999E-5</v>
          </cell>
          <cell r="H96">
            <v>7.6299999999999998E-5</v>
          </cell>
          <cell r="I96">
            <v>3.3000000000000003E-5</v>
          </cell>
          <cell r="J96">
            <v>3.4100000000000002E-5</v>
          </cell>
          <cell r="K96">
            <v>4.4400000000000002E-5</v>
          </cell>
          <cell r="L96">
            <v>1.28577E-4</v>
          </cell>
          <cell r="M96">
            <v>4.88E-5</v>
          </cell>
          <cell r="N96">
            <v>1.9005899999999999E-4</v>
          </cell>
          <cell r="O96">
            <v>9.3499999999999996E-5</v>
          </cell>
          <cell r="P96">
            <v>7.7000000000000001E-5</v>
          </cell>
          <cell r="Q96">
            <v>1.48942E-4</v>
          </cell>
          <cell r="R96">
            <v>1.62631E-4</v>
          </cell>
          <cell r="S96">
            <v>8.0599999999999994E-5</v>
          </cell>
          <cell r="T96">
            <v>4.4100000000000001E-5</v>
          </cell>
          <cell r="U96">
            <v>1.03158E-4</v>
          </cell>
          <cell r="V96">
            <v>2.87E-5</v>
          </cell>
          <cell r="W96">
            <v>2.9E-5</v>
          </cell>
          <cell r="X96">
            <v>9.8599999999999998E-5</v>
          </cell>
          <cell r="Y96">
            <v>1.2539300000000001E-4</v>
          </cell>
          <cell r="Z96">
            <v>1.5800000000000001E-5</v>
          </cell>
          <cell r="AA96">
            <v>9.6100000000000005E-5</v>
          </cell>
          <cell r="AB96">
            <v>8.5905300000000003E-4</v>
          </cell>
          <cell r="AC96">
            <v>6.0099999999999997E-5</v>
          </cell>
          <cell r="AD96">
            <v>5.8E-5</v>
          </cell>
          <cell r="AE96">
            <v>7.1299999999999998E-5</v>
          </cell>
          <cell r="AF96">
            <v>9.4599999999999996E-5</v>
          </cell>
          <cell r="AG96">
            <v>8.8599999999999999E-5</v>
          </cell>
          <cell r="AH96">
            <v>2.232992E-3</v>
          </cell>
          <cell r="AI96">
            <v>0</v>
          </cell>
          <cell r="AJ96">
            <v>4.5549000000000002E-4</v>
          </cell>
          <cell r="AK96">
            <v>4.6203200000000002E-4</v>
          </cell>
          <cell r="AL96">
            <v>4.2567700000000001E-4</v>
          </cell>
          <cell r="AM96">
            <v>4.3495200000000001E-4</v>
          </cell>
          <cell r="AN96">
            <v>7.4190250000000001E-3</v>
          </cell>
          <cell r="AO96">
            <v>0</v>
          </cell>
          <cell r="AP96">
            <v>5.1216E-4</v>
          </cell>
          <cell r="AQ96">
            <v>0</v>
          </cell>
          <cell r="AR96">
            <v>1.0888829999999999E-3</v>
          </cell>
          <cell r="AS96">
            <v>7.6319799999999998E-4</v>
          </cell>
          <cell r="AT96">
            <v>5.7866999999999999E-4</v>
          </cell>
          <cell r="AU96">
            <v>3.4400000000000003E-5</v>
          </cell>
          <cell r="AV96">
            <v>4.6558100000000001E-4</v>
          </cell>
          <cell r="AW96">
            <v>2.0400000000000001E-5</v>
          </cell>
          <cell r="AX96">
            <v>2.6883199999999999E-4</v>
          </cell>
          <cell r="AY96">
            <v>2.0505799999999999E-4</v>
          </cell>
          <cell r="AZ96">
            <v>2.7518200000000001E-4</v>
          </cell>
          <cell r="BA96">
            <v>1.1263180000000001E-3</v>
          </cell>
          <cell r="BB96">
            <v>0</v>
          </cell>
          <cell r="BC96">
            <v>1.19E-5</v>
          </cell>
          <cell r="BD96">
            <v>8.8999999999999995E-6</v>
          </cell>
          <cell r="BE96">
            <v>9.7999999999999993E-6</v>
          </cell>
          <cell r="BF96">
            <v>1.1399999999999999E-5</v>
          </cell>
          <cell r="BG96">
            <v>2.3600000000000001E-5</v>
          </cell>
          <cell r="BH96">
            <v>1.2099999999999999E-5</v>
          </cell>
          <cell r="BI96">
            <v>4.8099999999999997E-5</v>
          </cell>
          <cell r="BJ96">
            <v>6.4799999999999998E-6</v>
          </cell>
        </row>
        <row r="97">
          <cell r="B97">
            <v>9.9430400000000011E-4</v>
          </cell>
          <cell r="C97">
            <v>1.697648E-3</v>
          </cell>
          <cell r="D97">
            <v>9.9679499999999997E-4</v>
          </cell>
          <cell r="E97">
            <v>1.17791E-4</v>
          </cell>
          <cell r="F97">
            <v>2.9655099999999999E-4</v>
          </cell>
          <cell r="G97">
            <v>5.3586049999999998E-3</v>
          </cell>
          <cell r="H97">
            <v>2.1951368999999998E-2</v>
          </cell>
          <cell r="I97">
            <v>3.80594E-4</v>
          </cell>
          <cell r="J97">
            <v>2.0490220000000002E-3</v>
          </cell>
          <cell r="K97">
            <v>7.3513340000000002E-3</v>
          </cell>
          <cell r="L97">
            <v>3.116808E-3</v>
          </cell>
          <cell r="M97">
            <v>2.0783759999999998E-3</v>
          </cell>
          <cell r="N97">
            <v>1.6125877E-2</v>
          </cell>
          <cell r="O97">
            <v>1.6864697000000001E-2</v>
          </cell>
          <cell r="P97">
            <v>7.2617299999999999E-4</v>
          </cell>
          <cell r="Q97">
            <v>7.9774549999999996E-3</v>
          </cell>
          <cell r="R97">
            <v>8.1236309999999992E-3</v>
          </cell>
          <cell r="S97">
            <v>2.7546643999999999E-2</v>
          </cell>
          <cell r="T97">
            <v>1.3299770000000001E-2</v>
          </cell>
          <cell r="U97">
            <v>6.4762099999999996E-3</v>
          </cell>
          <cell r="V97">
            <v>3.917785E-3</v>
          </cell>
          <cell r="W97">
            <v>1.6750148999999999E-2</v>
          </cell>
          <cell r="X97">
            <v>3.6012158000000002E-2</v>
          </cell>
          <cell r="Y97">
            <v>3.5943500000000002E-4</v>
          </cell>
          <cell r="Z97">
            <v>4.5805129999999996E-3</v>
          </cell>
          <cell r="AA97">
            <v>1.5491984E-2</v>
          </cell>
          <cell r="AB97">
            <v>4.0929260000000002E-3</v>
          </cell>
          <cell r="AC97">
            <v>2.6119060000000002E-3</v>
          </cell>
          <cell r="AD97">
            <v>6.793688E-3</v>
          </cell>
          <cell r="AE97">
            <v>2.1401620000000001E-3</v>
          </cell>
          <cell r="AF97">
            <v>3.3156510000000002E-3</v>
          </cell>
          <cell r="AG97">
            <v>1.2414853999999999E-2</v>
          </cell>
          <cell r="AH97">
            <v>1.507043E-3</v>
          </cell>
          <cell r="AI97">
            <v>0</v>
          </cell>
          <cell r="AJ97">
            <v>9.3702620000000007E-3</v>
          </cell>
          <cell r="AK97">
            <v>7.6860100000000005E-4</v>
          </cell>
          <cell r="AL97">
            <v>2.6032600000000001E-4</v>
          </cell>
          <cell r="AM97">
            <v>1.4449299999999999E-4</v>
          </cell>
          <cell r="AN97">
            <v>1.312798E-3</v>
          </cell>
          <cell r="AO97">
            <v>0</v>
          </cell>
          <cell r="AP97">
            <v>2.589329E-3</v>
          </cell>
          <cell r="AQ97">
            <v>0</v>
          </cell>
          <cell r="AR97">
            <v>8.14348E-4</v>
          </cell>
          <cell r="AS97">
            <v>4.9775569999999996E-3</v>
          </cell>
          <cell r="AT97">
            <v>8.6544859999999994E-3</v>
          </cell>
          <cell r="AU97">
            <v>3.3020100000000002E-4</v>
          </cell>
          <cell r="AV97">
            <v>5.0410489999999997E-3</v>
          </cell>
          <cell r="AW97">
            <v>1.251327E-3</v>
          </cell>
          <cell r="AX97">
            <v>1.2624358E-2</v>
          </cell>
          <cell r="AY97">
            <v>3.055557E-3</v>
          </cell>
          <cell r="AZ97">
            <v>6.1397159999999999E-3</v>
          </cell>
          <cell r="BA97">
            <v>1.787961E-3</v>
          </cell>
          <cell r="BB97">
            <v>0</v>
          </cell>
          <cell r="BC97">
            <v>1.6810499999999999E-4</v>
          </cell>
          <cell r="BD97">
            <v>3.7049047000000002E-2</v>
          </cell>
          <cell r="BE97">
            <v>2.9574082000000002E-2</v>
          </cell>
          <cell r="BF97">
            <v>0.238724349</v>
          </cell>
          <cell r="BG97">
            <v>8.0696870000000007E-3</v>
          </cell>
          <cell r="BH97">
            <v>3.2371140000000001E-3</v>
          </cell>
          <cell r="BI97">
            <v>1.3114159999999999E-3</v>
          </cell>
          <cell r="BJ97">
            <v>3.8721680000000001E-3</v>
          </cell>
        </row>
        <row r="98">
          <cell r="B98">
            <v>4.8099999999999997E-5</v>
          </cell>
          <cell r="C98">
            <v>3.0800000000000003E-5</v>
          </cell>
          <cell r="D98">
            <v>3.6100000000000003E-5</v>
          </cell>
          <cell r="E98">
            <v>1.13E-6</v>
          </cell>
          <cell r="F98">
            <v>6.5200000000000003E-6</v>
          </cell>
          <cell r="G98">
            <v>6.5099999999999997E-5</v>
          </cell>
          <cell r="H98">
            <v>2.2781599999999999E-4</v>
          </cell>
          <cell r="I98">
            <v>4.5199999999999999E-6</v>
          </cell>
          <cell r="J98">
            <v>4.1499999999999999E-5</v>
          </cell>
          <cell r="K98">
            <v>1.53213E-4</v>
          </cell>
          <cell r="L98">
            <v>9.2499999999999999E-5</v>
          </cell>
          <cell r="M98">
            <v>8.1699999999999994E-5</v>
          </cell>
          <cell r="N98">
            <v>2.12065E-4</v>
          </cell>
          <cell r="O98">
            <v>3.75072E-4</v>
          </cell>
          <cell r="P98">
            <v>2.34E-5</v>
          </cell>
          <cell r="Q98">
            <v>9.2800000000000006E-5</v>
          </cell>
          <cell r="R98">
            <v>9.1600000000000004E-5</v>
          </cell>
          <cell r="S98">
            <v>1.0644E-4</v>
          </cell>
          <cell r="T98">
            <v>3.8099999999999998E-5</v>
          </cell>
          <cell r="U98">
            <v>8.8900000000000006E-5</v>
          </cell>
          <cell r="V98">
            <v>3.6399999999999997E-5</v>
          </cell>
          <cell r="W98">
            <v>1.204501E-3</v>
          </cell>
          <cell r="X98">
            <v>2.7642370000000001E-3</v>
          </cell>
          <cell r="Y98">
            <v>1.56E-5</v>
          </cell>
          <cell r="Z98">
            <v>3.3399999999999999E-5</v>
          </cell>
          <cell r="AA98">
            <v>4.1412799999999999E-4</v>
          </cell>
          <cell r="AB98">
            <v>6.3499999999999999E-5</v>
          </cell>
          <cell r="AC98">
            <v>3.15E-5</v>
          </cell>
          <cell r="AD98">
            <v>4.8199999999999999E-5</v>
          </cell>
          <cell r="AE98">
            <v>1.1600000000000001E-5</v>
          </cell>
          <cell r="AF98">
            <v>2.5700000000000001E-5</v>
          </cell>
          <cell r="AG98">
            <v>1.39787E-4</v>
          </cell>
          <cell r="AH98">
            <v>3.1699999999999998E-5</v>
          </cell>
          <cell r="AI98">
            <v>0</v>
          </cell>
          <cell r="AJ98">
            <v>1.22328E-4</v>
          </cell>
          <cell r="AK98">
            <v>1.7200000000000001E-5</v>
          </cell>
          <cell r="AL98">
            <v>4.7700000000000001E-6</v>
          </cell>
          <cell r="AM98">
            <v>2.96E-6</v>
          </cell>
          <cell r="AN98">
            <v>4.1900000000000002E-5</v>
          </cell>
          <cell r="AO98">
            <v>0</v>
          </cell>
          <cell r="AP98">
            <v>5.2899999999999998E-5</v>
          </cell>
          <cell r="AQ98">
            <v>0</v>
          </cell>
          <cell r="AR98">
            <v>1.9300000000000002E-5</v>
          </cell>
          <cell r="AS98">
            <v>7.7100000000000004E-5</v>
          </cell>
          <cell r="AT98">
            <v>1.7424000000000001E-4</v>
          </cell>
          <cell r="AU98">
            <v>7.7399999999999998E-5</v>
          </cell>
          <cell r="AV98">
            <v>1.3097599999999999E-4</v>
          </cell>
          <cell r="AW98">
            <v>3.4499999999999998E-5</v>
          </cell>
          <cell r="AX98">
            <v>1.7616999999999999E-4</v>
          </cell>
          <cell r="AY98">
            <v>7.2799999999999994E-5</v>
          </cell>
          <cell r="AZ98">
            <v>8.4099999999999998E-5</v>
          </cell>
          <cell r="BA98">
            <v>2.5299999999999998E-5</v>
          </cell>
          <cell r="BB98">
            <v>0</v>
          </cell>
          <cell r="BC98">
            <v>2.6299999999999999E-5</v>
          </cell>
          <cell r="BD98">
            <v>5.0142999999999997E-4</v>
          </cell>
          <cell r="BE98">
            <v>1.4883100000000001E-4</v>
          </cell>
          <cell r="BF98">
            <v>2.0473834E-2</v>
          </cell>
          <cell r="BG98">
            <v>1.2354449999999999E-3</v>
          </cell>
          <cell r="BH98">
            <v>4.99E-5</v>
          </cell>
          <cell r="BI98">
            <v>5.5899999999999997E-5</v>
          </cell>
          <cell r="BJ98">
            <v>8.8300000000000005E-5</v>
          </cell>
        </row>
        <row r="99">
          <cell r="B99">
            <v>7.2493500000000001E-4</v>
          </cell>
          <cell r="C99">
            <v>1.2331530000000001E-3</v>
          </cell>
          <cell r="D99">
            <v>6.17087E-4</v>
          </cell>
          <cell r="E99">
            <v>1.00021E-4</v>
          </cell>
          <cell r="F99">
            <v>2.1207100000000001E-4</v>
          </cell>
          <cell r="G99">
            <v>3.9983010000000001E-3</v>
          </cell>
          <cell r="H99">
            <v>1.6506237999999999E-2</v>
          </cell>
          <cell r="I99">
            <v>3.1130699999999998E-4</v>
          </cell>
          <cell r="J99">
            <v>1.4629700000000001E-3</v>
          </cell>
          <cell r="K99">
            <v>5.1071179999999999E-3</v>
          </cell>
          <cell r="L99">
            <v>2.0849330000000002E-3</v>
          </cell>
          <cell r="M99">
            <v>1.2842960000000001E-3</v>
          </cell>
          <cell r="N99">
            <v>1.1523181E-2</v>
          </cell>
          <cell r="O99">
            <v>1.0838975000000001E-2</v>
          </cell>
          <cell r="P99">
            <v>5.0633500000000001E-4</v>
          </cell>
          <cell r="Q99">
            <v>5.8293470000000003E-3</v>
          </cell>
          <cell r="R99">
            <v>5.9762060000000004E-3</v>
          </cell>
          <cell r="S99">
            <v>2.1646003E-2</v>
          </cell>
          <cell r="T99">
            <v>1.0784795999999999E-2</v>
          </cell>
          <cell r="U99">
            <v>4.6246949999999998E-3</v>
          </cell>
          <cell r="V99">
            <v>2.9604309999999999E-3</v>
          </cell>
          <cell r="W99">
            <v>7.1044300000000001E-3</v>
          </cell>
          <cell r="X99">
            <v>1.4454524999999999E-2</v>
          </cell>
          <cell r="Y99">
            <v>3.2325000000000002E-4</v>
          </cell>
          <cell r="Z99">
            <v>3.6213999999999999E-3</v>
          </cell>
          <cell r="AA99">
            <v>1.0070653000000001E-2</v>
          </cell>
          <cell r="AB99">
            <v>2.91647E-3</v>
          </cell>
          <cell r="AC99">
            <v>2.0390690000000001E-3</v>
          </cell>
          <cell r="AD99">
            <v>5.2215760000000003E-3</v>
          </cell>
          <cell r="AE99">
            <v>2.10034E-3</v>
          </cell>
          <cell r="AF99">
            <v>2.5886189999999999E-3</v>
          </cell>
          <cell r="AG99">
            <v>9.0411150000000006E-3</v>
          </cell>
          <cell r="AH99">
            <v>1.030621E-3</v>
          </cell>
          <cell r="AI99">
            <v>0</v>
          </cell>
          <cell r="AJ99">
            <v>6.6655100000000004E-3</v>
          </cell>
          <cell r="AK99">
            <v>5.4628200000000004E-4</v>
          </cell>
          <cell r="AL99">
            <v>2.67893E-4</v>
          </cell>
          <cell r="AM99">
            <v>1.6584799999999999E-4</v>
          </cell>
          <cell r="AN99">
            <v>9.1505199999999997E-4</v>
          </cell>
          <cell r="AO99">
            <v>0</v>
          </cell>
          <cell r="AP99">
            <v>1.7937809999999999E-3</v>
          </cell>
          <cell r="AQ99">
            <v>0</v>
          </cell>
          <cell r="AR99">
            <v>5.7350399999999996E-4</v>
          </cell>
          <cell r="AS99">
            <v>3.5535749999999998E-3</v>
          </cell>
          <cell r="AT99">
            <v>6.0788209999999999E-3</v>
          </cell>
          <cell r="AU99">
            <v>2.1502399999999999E-4</v>
          </cell>
          <cell r="AV99">
            <v>3.6137650000000001E-3</v>
          </cell>
          <cell r="AW99">
            <v>8.7796700000000001E-4</v>
          </cell>
          <cell r="AX99">
            <v>8.8443949999999997E-3</v>
          </cell>
          <cell r="AY99">
            <v>2.091472E-3</v>
          </cell>
          <cell r="AZ99">
            <v>4.3644820000000003E-3</v>
          </cell>
          <cell r="BA99">
            <v>1.266774E-3</v>
          </cell>
          <cell r="BB99">
            <v>0</v>
          </cell>
          <cell r="BC99">
            <v>1.6269099999999999E-4</v>
          </cell>
          <cell r="BD99">
            <v>2.6629666E-2</v>
          </cell>
          <cell r="BE99">
            <v>2.3018197000000001E-2</v>
          </cell>
          <cell r="BF99">
            <v>8.5357296999999999E-2</v>
          </cell>
          <cell r="BG99">
            <v>6.3294399999999998E-4</v>
          </cell>
          <cell r="BH99">
            <v>2.3737570000000002E-3</v>
          </cell>
          <cell r="BI99">
            <v>8.8236100000000002E-4</v>
          </cell>
          <cell r="BJ99">
            <v>2.6269420000000002E-3</v>
          </cell>
        </row>
        <row r="100">
          <cell r="B100">
            <v>4.8199999999999999E-5</v>
          </cell>
          <cell r="C100">
            <v>7.7700000000000005E-5</v>
          </cell>
          <cell r="D100">
            <v>4.2200000000000003E-5</v>
          </cell>
          <cell r="E100">
            <v>6.1800000000000001E-6</v>
          </cell>
          <cell r="F100">
            <v>1.3499999999999999E-5</v>
          </cell>
          <cell r="G100">
            <v>2.4537799999999998E-4</v>
          </cell>
          <cell r="H100">
            <v>1.002743E-3</v>
          </cell>
          <cell r="I100">
            <v>1.9400000000000001E-5</v>
          </cell>
          <cell r="J100">
            <v>9.5299999999999999E-5</v>
          </cell>
          <cell r="K100">
            <v>3.24154E-4</v>
          </cell>
          <cell r="L100">
            <v>1.4013200000000001E-4</v>
          </cell>
          <cell r="M100">
            <v>8.5000000000000006E-5</v>
          </cell>
          <cell r="N100">
            <v>7.2398099999999995E-4</v>
          </cell>
          <cell r="O100">
            <v>7.1124100000000004E-4</v>
          </cell>
          <cell r="P100">
            <v>3.5899999999999998E-5</v>
          </cell>
          <cell r="Q100">
            <v>3.65683E-4</v>
          </cell>
          <cell r="R100">
            <v>3.7456300000000001E-4</v>
          </cell>
          <cell r="S100">
            <v>1.3076839999999999E-3</v>
          </cell>
          <cell r="T100">
            <v>6.4959000000000002E-4</v>
          </cell>
          <cell r="U100">
            <v>2.9200999999999999E-4</v>
          </cell>
          <cell r="V100">
            <v>1.8412999999999999E-4</v>
          </cell>
          <cell r="W100">
            <v>4.5204099999999998E-4</v>
          </cell>
          <cell r="X100">
            <v>9.2654E-4</v>
          </cell>
          <cell r="Y100">
            <v>2.4000000000000001E-5</v>
          </cell>
          <cell r="Z100">
            <v>2.2357E-4</v>
          </cell>
          <cell r="AA100">
            <v>6.5277499999999997E-4</v>
          </cell>
          <cell r="AB100">
            <v>1.88223E-4</v>
          </cell>
          <cell r="AC100">
            <v>1.29682E-4</v>
          </cell>
          <cell r="AD100">
            <v>3.20515E-4</v>
          </cell>
          <cell r="AE100">
            <v>1.17834E-4</v>
          </cell>
          <cell r="AF100">
            <v>1.6039599999999999E-4</v>
          </cell>
          <cell r="AG100">
            <v>5.6571900000000001E-4</v>
          </cell>
          <cell r="AH100">
            <v>7.0199999999999999E-5</v>
          </cell>
          <cell r="AI100">
            <v>0</v>
          </cell>
          <cell r="AJ100">
            <v>4.2334600000000001E-4</v>
          </cell>
          <cell r="AK100">
            <v>3.7799999999999997E-5</v>
          </cell>
          <cell r="AL100">
            <v>1.6799999999999998E-5</v>
          </cell>
          <cell r="AM100">
            <v>1.0000000000000001E-5</v>
          </cell>
          <cell r="AN100">
            <v>6.3499999999999999E-5</v>
          </cell>
          <cell r="AO100">
            <v>0</v>
          </cell>
          <cell r="AP100">
            <v>1.21752E-4</v>
          </cell>
          <cell r="AQ100">
            <v>0</v>
          </cell>
          <cell r="AR100">
            <v>3.8699999999999999E-5</v>
          </cell>
          <cell r="AS100">
            <v>2.2399799999999999E-4</v>
          </cell>
          <cell r="AT100">
            <v>3.95003E-4</v>
          </cell>
          <cell r="AU100">
            <v>3.1399999999999998E-5</v>
          </cell>
          <cell r="AV100">
            <v>2.41778E-4</v>
          </cell>
          <cell r="AW100">
            <v>6.05E-5</v>
          </cell>
          <cell r="AX100">
            <v>5.7001199999999995E-4</v>
          </cell>
          <cell r="AY100">
            <v>1.38035E-4</v>
          </cell>
          <cell r="AZ100">
            <v>2.8047499999999997E-4</v>
          </cell>
          <cell r="BA100">
            <v>8.3599999999999999E-5</v>
          </cell>
          <cell r="BB100">
            <v>0</v>
          </cell>
          <cell r="BC100">
            <v>1.6900000000000001E-5</v>
          </cell>
          <cell r="BD100">
            <v>1.6458320000000001E-3</v>
          </cell>
          <cell r="BE100">
            <v>1.385746E-3</v>
          </cell>
          <cell r="BF100">
            <v>5.4077989999999996E-3</v>
          </cell>
          <cell r="BG100">
            <v>4.7599999999999998E-5</v>
          </cell>
          <cell r="BH100">
            <v>1.4878800000000001E-4</v>
          </cell>
          <cell r="BI100">
            <v>6.3E-5</v>
          </cell>
          <cell r="BJ100">
            <v>1.6973100000000001E-4</v>
          </cell>
        </row>
        <row r="101">
          <cell r="B101">
            <v>1.1E-5</v>
          </cell>
          <cell r="C101">
            <v>1.49E-5</v>
          </cell>
          <cell r="D101">
            <v>8.5599999999999994E-6</v>
          </cell>
          <cell r="E101">
            <v>5.9599999999999999E-7</v>
          </cell>
          <cell r="F101">
            <v>2.4600000000000002E-6</v>
          </cell>
          <cell r="G101">
            <v>4.5200000000000001E-5</v>
          </cell>
          <cell r="H101">
            <v>1.8327400000000001E-4</v>
          </cell>
          <cell r="I101">
            <v>1.9599999999999999E-6</v>
          </cell>
          <cell r="J101">
            <v>1.77E-5</v>
          </cell>
          <cell r="K101">
            <v>6.2299999999999996E-5</v>
          </cell>
          <cell r="L101">
            <v>2.8900000000000001E-5</v>
          </cell>
          <cell r="M101">
            <v>1.8300000000000001E-5</v>
          </cell>
          <cell r="N101">
            <v>1.4081200000000001E-4</v>
          </cell>
          <cell r="O101">
            <v>1.4733500000000001E-4</v>
          </cell>
          <cell r="P101">
            <v>8.3000000000000002E-6</v>
          </cell>
          <cell r="Q101">
            <v>7.0099999999999996E-5</v>
          </cell>
          <cell r="R101">
            <v>7.2299999999999996E-5</v>
          </cell>
          <cell r="S101">
            <v>2.3645E-4</v>
          </cell>
          <cell r="T101">
            <v>1.17173E-4</v>
          </cell>
          <cell r="U101">
            <v>5.7099999999999999E-5</v>
          </cell>
          <cell r="V101">
            <v>3.43E-5</v>
          </cell>
          <cell r="W101">
            <v>9.1500000000000001E-5</v>
          </cell>
          <cell r="X101">
            <v>1.9926300000000001E-4</v>
          </cell>
          <cell r="Y101">
            <v>7.4499999999999998E-6</v>
          </cell>
          <cell r="Z101">
            <v>4.0200000000000001E-5</v>
          </cell>
          <cell r="AA101">
            <v>1.3089899999999999E-4</v>
          </cell>
          <cell r="AB101">
            <v>3.8399999999999998E-5</v>
          </cell>
          <cell r="AC101">
            <v>2.8E-5</v>
          </cell>
          <cell r="AD101">
            <v>6.1299999999999999E-5</v>
          </cell>
          <cell r="AE101">
            <v>1.9199999999999999E-5</v>
          </cell>
          <cell r="AF101">
            <v>3.15E-5</v>
          </cell>
          <cell r="AG101">
            <v>1.0964E-4</v>
          </cell>
          <cell r="AH101">
            <v>1.43E-5</v>
          </cell>
          <cell r="AI101">
            <v>0</v>
          </cell>
          <cell r="AJ101">
            <v>8.2799999999999993E-5</v>
          </cell>
          <cell r="AK101">
            <v>7.7400000000000004E-6</v>
          </cell>
          <cell r="AL101">
            <v>3.2799999999999999E-6</v>
          </cell>
          <cell r="AM101">
            <v>2.1799999999999999E-6</v>
          </cell>
          <cell r="AN101">
            <v>1.22E-5</v>
          </cell>
          <cell r="AO101">
            <v>0</v>
          </cell>
          <cell r="AP101">
            <v>3.0000000000000001E-5</v>
          </cell>
          <cell r="AQ101">
            <v>0</v>
          </cell>
          <cell r="AR101">
            <v>8.7700000000000007E-6</v>
          </cell>
          <cell r="AS101">
            <v>4.6100000000000002E-5</v>
          </cell>
          <cell r="AT101">
            <v>8.7800000000000006E-5</v>
          </cell>
          <cell r="AU101">
            <v>2.1100000000000001E-5</v>
          </cell>
          <cell r="AV101">
            <v>6.3800000000000006E-5</v>
          </cell>
          <cell r="AW101">
            <v>1.5099999999999999E-5</v>
          </cell>
          <cell r="AX101">
            <v>1.14746E-4</v>
          </cell>
          <cell r="AY101">
            <v>3.1300000000000002E-5</v>
          </cell>
          <cell r="AZ101">
            <v>5.5399999999999998E-5</v>
          </cell>
          <cell r="BA101">
            <v>1.6200000000000001E-5</v>
          </cell>
          <cell r="BB101">
            <v>0</v>
          </cell>
          <cell r="BC101">
            <v>8.1100000000000003E-6</v>
          </cell>
          <cell r="BD101">
            <v>3.1093499999999998E-4</v>
          </cell>
          <cell r="BE101">
            <v>2.49948E-4</v>
          </cell>
          <cell r="BF101">
            <v>1.097546E-3</v>
          </cell>
          <cell r="BG101">
            <v>2.4899999999999999E-5</v>
          </cell>
          <cell r="BH101">
            <v>2.9200000000000002E-5</v>
          </cell>
          <cell r="BI101">
            <v>1.52E-5</v>
          </cell>
          <cell r="BJ101">
            <v>3.3500000000000001E-5</v>
          </cell>
        </row>
        <row r="102">
          <cell r="B102">
            <v>1.8699999999999999E-7</v>
          </cell>
          <cell r="C102">
            <v>3.9500000000000003E-8</v>
          </cell>
          <cell r="D102">
            <v>2.1299999999999999E-8</v>
          </cell>
          <cell r="E102">
            <v>4.9200000000000004E-9</v>
          </cell>
          <cell r="F102">
            <v>7.5200000000000005E-9</v>
          </cell>
          <cell r="G102">
            <v>5.4100000000000001E-8</v>
          </cell>
          <cell r="H102">
            <v>1.3E-7</v>
          </cell>
          <cell r="I102">
            <v>1.52E-8</v>
          </cell>
          <cell r="J102">
            <v>3.5299999999999998E-8</v>
          </cell>
          <cell r="K102">
            <v>8.9599999999999995E-8</v>
          </cell>
          <cell r="L102">
            <v>1.09E-7</v>
          </cell>
          <cell r="M102">
            <v>9.1300000000000004E-8</v>
          </cell>
          <cell r="N102">
            <v>8.1899999999999999E-8</v>
          </cell>
          <cell r="O102">
            <v>1.11E-8</v>
          </cell>
          <cell r="P102">
            <v>4.8200000000000001E-8</v>
          </cell>
          <cell r="Q102">
            <v>4.7899999999999999E-8</v>
          </cell>
          <cell r="R102">
            <v>5.8799999999999997E-8</v>
          </cell>
          <cell r="S102">
            <v>1.6E-7</v>
          </cell>
          <cell r="T102">
            <v>2.3999999999999998E-7</v>
          </cell>
          <cell r="U102">
            <v>4.8E-8</v>
          </cell>
          <cell r="V102">
            <v>4.1899999999999998E-8</v>
          </cell>
          <cell r="W102">
            <v>2.14E-8</v>
          </cell>
          <cell r="X102">
            <v>1.08E-7</v>
          </cell>
          <cell r="Y102">
            <v>1.14E-7</v>
          </cell>
          <cell r="Z102">
            <v>7.4299999999999997E-8</v>
          </cell>
          <cell r="AA102">
            <v>1.36E-7</v>
          </cell>
          <cell r="AB102">
            <v>7.4999999999999997E-8</v>
          </cell>
          <cell r="AC102">
            <v>5.9499999999999997E-8</v>
          </cell>
          <cell r="AD102">
            <v>1.1999999999999999E-7</v>
          </cell>
          <cell r="AE102">
            <v>6.4599999999999996E-8</v>
          </cell>
          <cell r="AF102">
            <v>8.4299999999999994E-8</v>
          </cell>
          <cell r="AG102">
            <v>8.3000000000000002E-8</v>
          </cell>
          <cell r="AH102">
            <v>3.8199999999999998E-8</v>
          </cell>
          <cell r="AI102">
            <v>0</v>
          </cell>
          <cell r="AJ102">
            <v>3.5000000000000002E-8</v>
          </cell>
          <cell r="AK102">
            <v>2.8200000000000001E-8</v>
          </cell>
          <cell r="AL102">
            <v>3.6400000000000002E-8</v>
          </cell>
          <cell r="AM102">
            <v>2.6700000000000001E-8</v>
          </cell>
          <cell r="AN102">
            <v>2.7599999999999999E-8</v>
          </cell>
          <cell r="AO102">
            <v>0</v>
          </cell>
          <cell r="AP102">
            <v>2.7199999999999999E-8</v>
          </cell>
          <cell r="AQ102">
            <v>0</v>
          </cell>
          <cell r="AR102">
            <v>3.3699999999999997E-8</v>
          </cell>
          <cell r="AS102">
            <v>1.04E-7</v>
          </cell>
          <cell r="AT102">
            <v>4.2100000000000002E-7</v>
          </cell>
          <cell r="AU102">
            <v>6.2799999999999996E-7</v>
          </cell>
          <cell r="AV102">
            <v>6.3300000000000002E-7</v>
          </cell>
          <cell r="AW102">
            <v>1.74E-7</v>
          </cell>
          <cell r="AX102">
            <v>9.8500000000000002E-8</v>
          </cell>
          <cell r="AY102">
            <v>1.8699999999999999E-7</v>
          </cell>
          <cell r="AZ102">
            <v>5.32E-8</v>
          </cell>
          <cell r="BA102">
            <v>1.7199999999999999E-8</v>
          </cell>
          <cell r="BB102">
            <v>0</v>
          </cell>
          <cell r="BC102">
            <v>2.1400000000000001E-7</v>
          </cell>
          <cell r="BD102">
            <v>1.12E-7</v>
          </cell>
          <cell r="BE102">
            <v>1.24E-7</v>
          </cell>
          <cell r="BF102">
            <v>7.1900000000000002E-8</v>
          </cell>
          <cell r="BG102">
            <v>5.3200000000000005E-7</v>
          </cell>
          <cell r="BH102">
            <v>1.0700000000000001E-7</v>
          </cell>
          <cell r="BI102">
            <v>1.9999999999999999E-7</v>
          </cell>
          <cell r="BJ102">
            <v>6.9100000000000003E-8</v>
          </cell>
        </row>
        <row r="103">
          <cell r="B103">
            <v>5.3399999999999997E-6</v>
          </cell>
          <cell r="C103">
            <v>4.1300000000000003E-6</v>
          </cell>
          <cell r="D103">
            <v>3.6799999999999999E-6</v>
          </cell>
          <cell r="E103">
            <v>2.1E-7</v>
          </cell>
          <cell r="F103">
            <v>5.4600000000000005E-7</v>
          </cell>
          <cell r="G103">
            <v>5.5799999999999999E-6</v>
          </cell>
          <cell r="H103">
            <v>1.9000000000000001E-5</v>
          </cell>
          <cell r="I103">
            <v>6.7599999999999997E-7</v>
          </cell>
          <cell r="J103">
            <v>4.07E-6</v>
          </cell>
          <cell r="K103">
            <v>1.3499999999999999E-5</v>
          </cell>
          <cell r="L103">
            <v>1.56E-5</v>
          </cell>
          <cell r="M103">
            <v>8.9400000000000008E-6</v>
          </cell>
          <cell r="N103">
            <v>1.8099999999999999E-5</v>
          </cell>
          <cell r="O103">
            <v>3.01E-5</v>
          </cell>
          <cell r="P103">
            <v>3.3100000000000001E-6</v>
          </cell>
          <cell r="Q103">
            <v>8.3999999999999992E-6</v>
          </cell>
          <cell r="R103">
            <v>7.9200000000000004E-6</v>
          </cell>
          <cell r="S103">
            <v>9.4199999999999996E-6</v>
          </cell>
          <cell r="T103">
            <v>9.7699999999999996E-6</v>
          </cell>
          <cell r="U103">
            <v>8.0900000000000005E-6</v>
          </cell>
          <cell r="V103">
            <v>3.3900000000000002E-6</v>
          </cell>
          <cell r="W103">
            <v>9.5400000000000001E-5</v>
          </cell>
          <cell r="X103">
            <v>2.2221599999999999E-4</v>
          </cell>
          <cell r="Y103">
            <v>2.8499999999999998E-6</v>
          </cell>
          <cell r="Z103">
            <v>1.08E-5</v>
          </cell>
          <cell r="AA103">
            <v>4.8900000000000003E-5</v>
          </cell>
          <cell r="AB103">
            <v>9.4900000000000006E-6</v>
          </cell>
          <cell r="AC103">
            <v>1.03E-5</v>
          </cell>
          <cell r="AD103">
            <v>5.0300000000000001E-6</v>
          </cell>
          <cell r="AE103">
            <v>3.2799999999999999E-6</v>
          </cell>
          <cell r="AF103">
            <v>4.16E-6</v>
          </cell>
          <cell r="AG103">
            <v>1.27E-5</v>
          </cell>
          <cell r="AH103">
            <v>5.4099999999999999E-6</v>
          </cell>
          <cell r="AI103">
            <v>0</v>
          </cell>
          <cell r="AJ103">
            <v>1.2500000000000001E-5</v>
          </cell>
          <cell r="AK103">
            <v>3.4199999999999999E-6</v>
          </cell>
          <cell r="AL103">
            <v>3.19E-6</v>
          </cell>
          <cell r="AM103">
            <v>9.6099999999999999E-7</v>
          </cell>
          <cell r="AN103">
            <v>4.2899999999999996E-6</v>
          </cell>
          <cell r="AO103">
            <v>0</v>
          </cell>
          <cell r="AP103">
            <v>5.4500000000000003E-6</v>
          </cell>
          <cell r="AQ103">
            <v>0</v>
          </cell>
          <cell r="AR103">
            <v>2.5299999999999999E-6</v>
          </cell>
          <cell r="AS103">
            <v>7.34E-6</v>
          </cell>
          <cell r="AT103">
            <v>1.9000000000000001E-5</v>
          </cell>
          <cell r="AU103">
            <v>1.6099999999999998E-5</v>
          </cell>
          <cell r="AV103">
            <v>1.7900000000000001E-5</v>
          </cell>
          <cell r="AW103">
            <v>3.9199999999999997E-6</v>
          </cell>
          <cell r="AX103">
            <v>1.6200000000000001E-5</v>
          </cell>
          <cell r="AY103">
            <v>8.8200000000000003E-6</v>
          </cell>
          <cell r="AZ103">
            <v>8.6000000000000007E-6</v>
          </cell>
          <cell r="BA103">
            <v>2.88E-6</v>
          </cell>
          <cell r="BB103">
            <v>0</v>
          </cell>
          <cell r="BC103">
            <v>9.38E-6</v>
          </cell>
          <cell r="BD103">
            <v>3.9199999999999997E-5</v>
          </cell>
          <cell r="BE103">
            <v>1.0200000000000001E-5</v>
          </cell>
          <cell r="BF103">
            <v>1.617795E-3</v>
          </cell>
          <cell r="BG103">
            <v>1.0681800000000001E-4</v>
          </cell>
          <cell r="BH103">
            <v>5.9800000000000003E-6</v>
          </cell>
          <cell r="BI103">
            <v>6.5100000000000004E-6</v>
          </cell>
          <cell r="BJ103">
            <v>1.2300000000000001E-5</v>
          </cell>
        </row>
        <row r="104">
          <cell r="B104">
            <v>1.3159200000000001E-4</v>
          </cell>
          <cell r="C104">
            <v>2.0636999999999999E-4</v>
          </cell>
          <cell r="D104">
            <v>1.08961E-4</v>
          </cell>
          <cell r="E104">
            <v>1.77E-5</v>
          </cell>
          <cell r="F104">
            <v>3.7100000000000001E-5</v>
          </cell>
          <cell r="G104">
            <v>6.5478900000000002E-4</v>
          </cell>
          <cell r="H104">
            <v>2.67446E-3</v>
          </cell>
          <cell r="I104">
            <v>5.4799999999999997E-5</v>
          </cell>
          <cell r="J104">
            <v>2.4587799999999999E-4</v>
          </cell>
          <cell r="K104">
            <v>8.5206500000000005E-4</v>
          </cell>
          <cell r="L104">
            <v>3.61131E-4</v>
          </cell>
          <cell r="M104">
            <v>2.2488599999999999E-4</v>
          </cell>
          <cell r="N104">
            <v>1.6166500000000001E-3</v>
          </cell>
          <cell r="O104">
            <v>1.3506530000000001E-3</v>
          </cell>
          <cell r="P104">
            <v>7.75E-5</v>
          </cell>
          <cell r="Q104">
            <v>8.3496000000000004E-4</v>
          </cell>
          <cell r="R104">
            <v>8.65221E-4</v>
          </cell>
          <cell r="S104">
            <v>3.3113589999999998E-3</v>
          </cell>
          <cell r="T104">
            <v>1.71003E-3</v>
          </cell>
          <cell r="U104">
            <v>6.4930399999999996E-4</v>
          </cell>
          <cell r="V104">
            <v>4.4107599999999999E-4</v>
          </cell>
          <cell r="W104">
            <v>2.5293149999999999E-3</v>
          </cell>
          <cell r="X104">
            <v>5.5662970000000004E-3</v>
          </cell>
          <cell r="Y104">
            <v>7.8399999999999995E-5</v>
          </cell>
          <cell r="Z104">
            <v>5.7953499999999995E-4</v>
          </cell>
          <cell r="AA104">
            <v>1.5575599999999999E-3</v>
          </cell>
          <cell r="AB104">
            <v>3.7638100000000001E-4</v>
          </cell>
          <cell r="AC104">
            <v>3.10107E-4</v>
          </cell>
          <cell r="AD104">
            <v>7.7879399999999997E-4</v>
          </cell>
          <cell r="AE104">
            <v>4.0116499999999999E-4</v>
          </cell>
          <cell r="AF104">
            <v>3.9632900000000001E-4</v>
          </cell>
          <cell r="AG104">
            <v>1.26775E-3</v>
          </cell>
          <cell r="AH104">
            <v>1.4248200000000001E-4</v>
          </cell>
          <cell r="AI104">
            <v>0</v>
          </cell>
          <cell r="AJ104">
            <v>8.9841499999999996E-4</v>
          </cell>
          <cell r="AK104">
            <v>8.4699999999999999E-5</v>
          </cell>
          <cell r="AL104">
            <v>5.5300000000000002E-5</v>
          </cell>
          <cell r="AM104">
            <v>3.7799999999999997E-5</v>
          </cell>
          <cell r="AN104">
            <v>1.2945799999999999E-4</v>
          </cell>
          <cell r="AO104">
            <v>0</v>
          </cell>
          <cell r="AP104">
            <v>2.4476599999999999E-4</v>
          </cell>
          <cell r="AQ104">
            <v>0</v>
          </cell>
          <cell r="AR104">
            <v>8.6199999999999995E-5</v>
          </cell>
          <cell r="AS104">
            <v>5.1333599999999998E-4</v>
          </cell>
          <cell r="AT104">
            <v>8.7532099999999998E-4</v>
          </cell>
          <cell r="AU104">
            <v>4.4400000000000002E-5</v>
          </cell>
          <cell r="AV104">
            <v>5.3711600000000003E-4</v>
          </cell>
          <cell r="AW104">
            <v>1.2824099999999999E-4</v>
          </cell>
          <cell r="AX104">
            <v>1.103487E-3</v>
          </cell>
          <cell r="AY104">
            <v>3.00439E-4</v>
          </cell>
          <cell r="AZ104">
            <v>5.6052000000000001E-4</v>
          </cell>
          <cell r="BA104">
            <v>1.8005199999999999E-4</v>
          </cell>
          <cell r="BB104">
            <v>0</v>
          </cell>
          <cell r="BC104">
            <v>4.2400000000000001E-5</v>
          </cell>
          <cell r="BD104">
            <v>4.0750309999999998E-3</v>
          </cell>
          <cell r="BE104">
            <v>3.6016149999999999E-3</v>
          </cell>
          <cell r="BF104">
            <v>3.9535528E-2</v>
          </cell>
          <cell r="BG104">
            <v>1.9673669999999998E-3</v>
          </cell>
          <cell r="BH104">
            <v>3.7659999999999999E-4</v>
          </cell>
          <cell r="BI104">
            <v>1.54535E-4</v>
          </cell>
          <cell r="BJ104">
            <v>4.1899800000000002E-4</v>
          </cell>
        </row>
        <row r="105">
          <cell r="B105">
            <v>2.87E-5</v>
          </cell>
          <cell r="C105">
            <v>4.6499999999999999E-5</v>
          </cell>
          <cell r="D105">
            <v>2.8600000000000001E-5</v>
          </cell>
          <cell r="E105">
            <v>3.3000000000000002E-6</v>
          </cell>
          <cell r="F105">
            <v>8.4600000000000003E-6</v>
          </cell>
          <cell r="G105">
            <v>1.4426599999999999E-4</v>
          </cell>
          <cell r="H105">
            <v>5.8767100000000001E-4</v>
          </cell>
          <cell r="I105">
            <v>1.08E-5</v>
          </cell>
          <cell r="J105">
            <v>5.5999999999999999E-5</v>
          </cell>
          <cell r="K105">
            <v>2.01213E-4</v>
          </cell>
          <cell r="L105">
            <v>8.81E-5</v>
          </cell>
          <cell r="M105">
            <v>5.91E-5</v>
          </cell>
          <cell r="N105">
            <v>4.7193199999999999E-4</v>
          </cell>
          <cell r="O105">
            <v>5.2879000000000001E-4</v>
          </cell>
          <cell r="P105">
            <v>2.37E-5</v>
          </cell>
          <cell r="Q105">
            <v>2.3050699999999999E-4</v>
          </cell>
          <cell r="R105">
            <v>2.3484800000000001E-4</v>
          </cell>
          <cell r="S105">
            <v>7.5236200000000002E-4</v>
          </cell>
          <cell r="T105">
            <v>3.58205E-4</v>
          </cell>
          <cell r="U105">
            <v>1.9051100000000001E-4</v>
          </cell>
          <cell r="V105">
            <v>1.1086699999999999E-4</v>
          </cell>
          <cell r="W105">
            <v>3.2062399999999998E-4</v>
          </cell>
          <cell r="X105">
            <v>6.5712599999999996E-4</v>
          </cell>
          <cell r="Y105">
            <v>1.26E-5</v>
          </cell>
          <cell r="Z105">
            <v>1.2244099999999999E-4</v>
          </cell>
          <cell r="AA105">
            <v>4.4308200000000002E-4</v>
          </cell>
          <cell r="AB105">
            <v>1.2504500000000001E-4</v>
          </cell>
          <cell r="AC105">
            <v>7.1799999999999997E-5</v>
          </cell>
          <cell r="AD105">
            <v>1.8995000000000001E-4</v>
          </cell>
          <cell r="AE105">
            <v>4.2899999999999999E-5</v>
          </cell>
          <cell r="AF105">
            <v>9.2499999999999999E-5</v>
          </cell>
          <cell r="AG105">
            <v>3.6151899999999998E-4</v>
          </cell>
          <cell r="AH105">
            <v>4.1399999999999997E-5</v>
          </cell>
          <cell r="AI105">
            <v>0</v>
          </cell>
          <cell r="AJ105">
            <v>2.75543E-4</v>
          </cell>
          <cell r="AK105">
            <v>1.73E-5</v>
          </cell>
          <cell r="AL105">
            <v>5.66E-6</v>
          </cell>
          <cell r="AM105">
            <v>3.1599999999999998E-6</v>
          </cell>
          <cell r="AN105">
            <v>3.57E-5</v>
          </cell>
          <cell r="AO105">
            <v>0</v>
          </cell>
          <cell r="AP105">
            <v>7.8399999999999995E-5</v>
          </cell>
          <cell r="AQ105">
            <v>0</v>
          </cell>
          <cell r="AR105">
            <v>2.1299999999999999E-5</v>
          </cell>
          <cell r="AS105">
            <v>1.4376699999999999E-4</v>
          </cell>
          <cell r="AT105">
            <v>2.5259000000000002E-4</v>
          </cell>
          <cell r="AU105">
            <v>9.6500000000000008E-6</v>
          </cell>
          <cell r="AV105">
            <v>1.4544100000000001E-4</v>
          </cell>
          <cell r="AW105">
            <v>3.8099999999999998E-5</v>
          </cell>
          <cell r="AX105">
            <v>3.9050100000000002E-4</v>
          </cell>
          <cell r="AY105">
            <v>8.9800000000000001E-5</v>
          </cell>
          <cell r="AZ105">
            <v>1.87011E-4</v>
          </cell>
          <cell r="BA105">
            <v>4.5000000000000003E-5</v>
          </cell>
          <cell r="BB105">
            <v>0</v>
          </cell>
          <cell r="BC105">
            <v>6.7499999999999997E-6</v>
          </cell>
          <cell r="BD105">
            <v>1.033391E-3</v>
          </cell>
          <cell r="BE105">
            <v>7.9407000000000002E-4</v>
          </cell>
          <cell r="BF105">
            <v>3.887691E-3</v>
          </cell>
          <cell r="BG105">
            <v>8.8400000000000001E-6</v>
          </cell>
          <cell r="BH105">
            <v>8.9400000000000005E-5</v>
          </cell>
          <cell r="BI105">
            <v>3.6900000000000002E-5</v>
          </cell>
          <cell r="BJ105">
            <v>1.08449E-4</v>
          </cell>
        </row>
        <row r="106">
          <cell r="B106">
            <v>1.5E-5</v>
          </cell>
          <cell r="C106">
            <v>2.4499999999999999E-5</v>
          </cell>
          <cell r="D106">
            <v>1.5099999999999999E-5</v>
          </cell>
          <cell r="E106">
            <v>1.72E-6</v>
          </cell>
          <cell r="F106">
            <v>4.4499999999999997E-6</v>
          </cell>
          <cell r="G106">
            <v>7.6299999999999998E-5</v>
          </cell>
          <cell r="H106">
            <v>3.1063800000000002E-4</v>
          </cell>
          <cell r="I106">
            <v>5.6500000000000001E-6</v>
          </cell>
          <cell r="J106">
            <v>2.9600000000000001E-5</v>
          </cell>
          <cell r="K106">
            <v>1.06483E-4</v>
          </cell>
          <cell r="L106">
            <v>4.6100000000000002E-5</v>
          </cell>
          <cell r="M106">
            <v>3.1099999999999997E-5</v>
          </cell>
          <cell r="N106">
            <v>2.4963600000000002E-4</v>
          </cell>
          <cell r="O106">
            <v>2.79609E-4</v>
          </cell>
          <cell r="P106">
            <v>1.26E-5</v>
          </cell>
          <cell r="Q106">
            <v>1.21922E-4</v>
          </cell>
          <cell r="R106">
            <v>1.24194E-4</v>
          </cell>
          <cell r="S106">
            <v>3.9785200000000003E-4</v>
          </cell>
          <cell r="T106">
            <v>1.8934299999999999E-4</v>
          </cell>
          <cell r="U106">
            <v>1.0076100000000001E-4</v>
          </cell>
          <cell r="V106">
            <v>5.8600000000000001E-5</v>
          </cell>
          <cell r="W106">
            <v>1.69536E-4</v>
          </cell>
          <cell r="X106">
            <v>3.4743099999999999E-4</v>
          </cell>
          <cell r="Y106">
            <v>6.55E-6</v>
          </cell>
          <cell r="Z106">
            <v>6.4599999999999998E-5</v>
          </cell>
          <cell r="AA106">
            <v>2.34436E-4</v>
          </cell>
          <cell r="AB106">
            <v>6.6199999999999996E-5</v>
          </cell>
          <cell r="AC106">
            <v>3.8000000000000002E-5</v>
          </cell>
          <cell r="AD106">
            <v>1.00413E-4</v>
          </cell>
          <cell r="AE106">
            <v>2.27E-5</v>
          </cell>
          <cell r="AF106">
            <v>4.8699999999999998E-5</v>
          </cell>
          <cell r="AG106">
            <v>1.9116599999999999E-4</v>
          </cell>
          <cell r="AH106">
            <v>2.1800000000000001E-5</v>
          </cell>
          <cell r="AI106">
            <v>0</v>
          </cell>
          <cell r="AJ106">
            <v>1.45618E-4</v>
          </cell>
          <cell r="AK106">
            <v>9.1200000000000008E-6</v>
          </cell>
          <cell r="AL106">
            <v>2.8700000000000001E-6</v>
          </cell>
          <cell r="AM106">
            <v>1.5200000000000001E-6</v>
          </cell>
          <cell r="AN106">
            <v>1.88E-5</v>
          </cell>
          <cell r="AO106">
            <v>0</v>
          </cell>
          <cell r="AP106">
            <v>4.1300000000000001E-5</v>
          </cell>
          <cell r="AQ106">
            <v>0</v>
          </cell>
          <cell r="AR106">
            <v>1.1199999999999999E-5</v>
          </cell>
          <cell r="AS106">
            <v>7.6100000000000007E-5</v>
          </cell>
          <cell r="AT106">
            <v>1.34358E-4</v>
          </cell>
          <cell r="AU106">
            <v>6.1999999999999999E-6</v>
          </cell>
          <cell r="AV106">
            <v>7.8200000000000003E-5</v>
          </cell>
          <cell r="AW106">
            <v>2.0400000000000001E-5</v>
          </cell>
          <cell r="AX106">
            <v>2.0661200000000001E-4</v>
          </cell>
          <cell r="AY106">
            <v>4.7800000000000003E-5</v>
          </cell>
          <cell r="AZ106">
            <v>9.8900000000000005E-5</v>
          </cell>
          <cell r="BA106">
            <v>2.3799999999999999E-5</v>
          </cell>
          <cell r="BB106">
            <v>0</v>
          </cell>
          <cell r="BC106">
            <v>3.5700000000000001E-6</v>
          </cell>
          <cell r="BD106">
            <v>5.4651299999999999E-4</v>
          </cell>
          <cell r="BE106">
            <v>4.2002199999999998E-4</v>
          </cell>
          <cell r="BF106">
            <v>2.0558180000000001E-3</v>
          </cell>
          <cell r="BG106">
            <v>5.5799999999999999E-6</v>
          </cell>
          <cell r="BH106">
            <v>4.7200000000000002E-5</v>
          </cell>
          <cell r="BI106">
            <v>1.9599999999999999E-5</v>
          </cell>
          <cell r="BJ106">
            <v>5.7099999999999999E-5</v>
          </cell>
        </row>
        <row r="107">
          <cell r="B107">
            <v>7.8199999999999999E-9</v>
          </cell>
          <cell r="C107">
            <v>1.0999999999999999E-9</v>
          </cell>
          <cell r="D107">
            <v>5.9000000000000003E-10</v>
          </cell>
          <cell r="E107">
            <v>1.5E-10</v>
          </cell>
          <cell r="F107">
            <v>2.4599999999999998E-10</v>
          </cell>
          <cell r="G107">
            <v>1.62E-9</v>
          </cell>
          <cell r="H107">
            <v>4.9E-9</v>
          </cell>
          <cell r="I107">
            <v>4.6900000000000003E-10</v>
          </cell>
          <cell r="J107">
            <v>1.08E-9</v>
          </cell>
          <cell r="K107">
            <v>2.6299999999999998E-9</v>
          </cell>
          <cell r="L107">
            <v>1.5300000000000001E-9</v>
          </cell>
          <cell r="M107">
            <v>2.9499999999999999E-9</v>
          </cell>
          <cell r="N107">
            <v>2.4699999999999999E-9</v>
          </cell>
          <cell r="O107">
            <v>2.3600000000000001E-10</v>
          </cell>
          <cell r="P107">
            <v>1.37E-9</v>
          </cell>
          <cell r="Q107">
            <v>1.15E-9</v>
          </cell>
          <cell r="R107">
            <v>1.4800000000000001E-9</v>
          </cell>
          <cell r="S107">
            <v>4.0899999999999997E-9</v>
          </cell>
          <cell r="T107">
            <v>5.8699999999999998E-9</v>
          </cell>
          <cell r="U107">
            <v>1.1599999999999999E-9</v>
          </cell>
          <cell r="V107">
            <v>8.7399999999999998E-10</v>
          </cell>
          <cell r="W107">
            <v>4.9600000000000004E-10</v>
          </cell>
          <cell r="X107">
            <v>2.8699999999999998E-9</v>
          </cell>
          <cell r="Y107">
            <v>2.9600000000000001E-9</v>
          </cell>
          <cell r="Z107">
            <v>1.8199999999999999E-9</v>
          </cell>
          <cell r="AA107">
            <v>4.0300000000000004E-9</v>
          </cell>
          <cell r="AB107">
            <v>2.0099999999999999E-9</v>
          </cell>
          <cell r="AC107">
            <v>8.67E-10</v>
          </cell>
          <cell r="AD107">
            <v>1.79E-9</v>
          </cell>
          <cell r="AE107">
            <v>4.7400000000000002E-10</v>
          </cell>
          <cell r="AF107">
            <v>1.0399999999999999E-9</v>
          </cell>
          <cell r="AG107">
            <v>9.8100000000000002E-10</v>
          </cell>
          <cell r="AH107">
            <v>3.1100000000000001E-10</v>
          </cell>
          <cell r="AI107">
            <v>0</v>
          </cell>
          <cell r="AJ107">
            <v>3.5700000000000001E-10</v>
          </cell>
          <cell r="AK107">
            <v>3.4799999999999999E-10</v>
          </cell>
          <cell r="AL107">
            <v>2.6800000000000001E-10</v>
          </cell>
          <cell r="AM107">
            <v>2.7099999999999999E-10</v>
          </cell>
          <cell r="AN107">
            <v>2.32E-10</v>
          </cell>
          <cell r="AO107">
            <v>0</v>
          </cell>
          <cell r="AP107">
            <v>4.8999999999999996E-10</v>
          </cell>
          <cell r="AQ107">
            <v>0</v>
          </cell>
          <cell r="AR107">
            <v>2.18E-10</v>
          </cell>
          <cell r="AS107">
            <v>1.87E-9</v>
          </cell>
          <cell r="AT107">
            <v>1.2100000000000001E-8</v>
          </cell>
          <cell r="AU107">
            <v>1.51E-8</v>
          </cell>
          <cell r="AV107">
            <v>1.8299999999999998E-8</v>
          </cell>
          <cell r="AW107">
            <v>2.2699999999999998E-9</v>
          </cell>
          <cell r="AX107">
            <v>1.9599999999999998E-9</v>
          </cell>
          <cell r="AY107">
            <v>3.84E-9</v>
          </cell>
          <cell r="AZ107">
            <v>1.2E-9</v>
          </cell>
          <cell r="BA107">
            <v>2.3400000000000002E-10</v>
          </cell>
          <cell r="BB107">
            <v>0</v>
          </cell>
          <cell r="BC107">
            <v>5.0700000000000001E-9</v>
          </cell>
          <cell r="BD107">
            <v>2.8299999999999999E-9</v>
          </cell>
          <cell r="BE107">
            <v>3.2700000000000001E-9</v>
          </cell>
          <cell r="BF107">
            <v>1.99E-9</v>
          </cell>
          <cell r="BG107">
            <v>1.5300000000000001E-8</v>
          </cell>
          <cell r="BH107">
            <v>2.6200000000000001E-9</v>
          </cell>
          <cell r="BI107">
            <v>8.1699999999999997E-9</v>
          </cell>
          <cell r="BJ107">
            <v>8.1299999999999998E-10</v>
          </cell>
        </row>
        <row r="108">
          <cell r="B108">
            <v>5.17E-11</v>
          </cell>
          <cell r="C108">
            <v>6.4199999999999995E-11</v>
          </cell>
          <cell r="D108">
            <v>1.7199999999999999E-11</v>
          </cell>
          <cell r="E108">
            <v>9.6199999999999998E-12</v>
          </cell>
          <cell r="F108">
            <v>1.1300000000000001E-11</v>
          </cell>
          <cell r="G108">
            <v>1.5100000000000001E-11</v>
          </cell>
          <cell r="H108">
            <v>6.6099999999999997E-11</v>
          </cell>
          <cell r="I108">
            <v>2.92E-11</v>
          </cell>
          <cell r="J108">
            <v>1.1100000000000001E-11</v>
          </cell>
          <cell r="K108">
            <v>3.0499999999999998E-11</v>
          </cell>
          <cell r="L108">
            <v>3.6399999999999998E-10</v>
          </cell>
          <cell r="M108">
            <v>8.3999999999999994E-11</v>
          </cell>
          <cell r="N108">
            <v>1.8900000000000001E-11</v>
          </cell>
          <cell r="O108">
            <v>7.2299999999999997E-12</v>
          </cell>
          <cell r="P108">
            <v>1.1200000000000001E-11</v>
          </cell>
          <cell r="Q108">
            <v>1.7300000000000001E-11</v>
          </cell>
          <cell r="R108">
            <v>5.21E-11</v>
          </cell>
          <cell r="S108">
            <v>9.3199999999999999E-11</v>
          </cell>
          <cell r="T108">
            <v>2.17E-10</v>
          </cell>
          <cell r="U108">
            <v>2.4200000000000001E-11</v>
          </cell>
          <cell r="V108">
            <v>1.7500000000000001E-11</v>
          </cell>
          <cell r="W108">
            <v>2.17E-11</v>
          </cell>
          <cell r="X108">
            <v>2.3000000000000001E-11</v>
          </cell>
          <cell r="Y108">
            <v>9.0999999999999996E-11</v>
          </cell>
          <cell r="Z108">
            <v>1.88E-10</v>
          </cell>
          <cell r="AA108">
            <v>1.37E-11</v>
          </cell>
          <cell r="AB108">
            <v>5.88E-12</v>
          </cell>
          <cell r="AC108">
            <v>2.1399999999999998E-11</v>
          </cell>
          <cell r="AD108">
            <v>5.1500000000000003E-11</v>
          </cell>
          <cell r="AE108">
            <v>5.2400000000000001E-11</v>
          </cell>
          <cell r="AF108">
            <v>8.8200000000000003E-11</v>
          </cell>
          <cell r="AG108">
            <v>5.1600000000000001E-11</v>
          </cell>
          <cell r="AH108">
            <v>1.06E-10</v>
          </cell>
          <cell r="AI108">
            <v>0</v>
          </cell>
          <cell r="AJ108">
            <v>7.8000000000000002E-11</v>
          </cell>
          <cell r="AK108">
            <v>3.5199999999999999E-11</v>
          </cell>
          <cell r="AL108">
            <v>1.34E-10</v>
          </cell>
          <cell r="AM108">
            <v>6.6300000000000006E-11</v>
          </cell>
          <cell r="AN108">
            <v>8.9399999999999996E-11</v>
          </cell>
          <cell r="AO108">
            <v>0</v>
          </cell>
          <cell r="AP108">
            <v>5.5200000000000001E-11</v>
          </cell>
          <cell r="AQ108">
            <v>0</v>
          </cell>
          <cell r="AR108">
            <v>1.7700000000000001E-11</v>
          </cell>
          <cell r="AS108">
            <v>4.9400000000000004E-12</v>
          </cell>
          <cell r="AT108">
            <v>6.03E-12</v>
          </cell>
          <cell r="AU108">
            <v>2.9500000000000002E-11</v>
          </cell>
          <cell r="AV108">
            <v>6.2699999999999997E-12</v>
          </cell>
          <cell r="AW108">
            <v>5.6400000000000002E-12</v>
          </cell>
          <cell r="AX108">
            <v>2.1399999999999998E-11</v>
          </cell>
          <cell r="AY108">
            <v>1.8399999999999999E-11</v>
          </cell>
          <cell r="AZ108">
            <v>1.2100000000000001E-11</v>
          </cell>
          <cell r="BA108">
            <v>3.83E-11</v>
          </cell>
          <cell r="BB108">
            <v>0</v>
          </cell>
          <cell r="BC108">
            <v>2.1400000000000001E-10</v>
          </cell>
          <cell r="BD108">
            <v>5.25E-11</v>
          </cell>
          <cell r="BE108">
            <v>1.97E-11</v>
          </cell>
          <cell r="BF108">
            <v>2.9100000000000002E-11</v>
          </cell>
          <cell r="BG108">
            <v>8.2999999999999998E-11</v>
          </cell>
          <cell r="BH108">
            <v>6.8199999999999995E-11</v>
          </cell>
          <cell r="BI108">
            <v>9.5099999999999997E-12</v>
          </cell>
          <cell r="BJ108">
            <v>2.2799999999999999E-10</v>
          </cell>
        </row>
        <row r="109">
          <cell r="B109">
            <v>8.0099999999999996E-8</v>
          </cell>
          <cell r="C109">
            <v>2.3499999999999999E-8</v>
          </cell>
          <cell r="D109">
            <v>1.9000000000000001E-8</v>
          </cell>
          <cell r="E109">
            <v>2.76E-9</v>
          </cell>
          <cell r="F109">
            <v>5.1799999999999999E-9</v>
          </cell>
          <cell r="G109">
            <v>3.2700000000000002E-8</v>
          </cell>
          <cell r="H109">
            <v>3.8500000000000001E-8</v>
          </cell>
          <cell r="I109">
            <v>6.82E-9</v>
          </cell>
          <cell r="J109">
            <v>5.32E-8</v>
          </cell>
          <cell r="K109">
            <v>1.8300000000000001E-7</v>
          </cell>
          <cell r="L109">
            <v>1.1300000000000001E-7</v>
          </cell>
          <cell r="M109">
            <v>5.4599999999999999E-8</v>
          </cell>
          <cell r="N109">
            <v>1.8E-7</v>
          </cell>
          <cell r="O109">
            <v>1.1300000000000001E-7</v>
          </cell>
          <cell r="P109">
            <v>1.4000000000000001E-7</v>
          </cell>
          <cell r="Q109">
            <v>8.5300000000000003E-8</v>
          </cell>
          <cell r="R109">
            <v>9.0800000000000006E-8</v>
          </cell>
          <cell r="S109">
            <v>1.2200000000000001E-7</v>
          </cell>
          <cell r="T109">
            <v>1.54E-7</v>
          </cell>
          <cell r="U109">
            <v>1.11E-7</v>
          </cell>
          <cell r="V109">
            <v>2.6300000000000001E-8</v>
          </cell>
          <cell r="W109">
            <v>1.59E-8</v>
          </cell>
          <cell r="X109">
            <v>6.9899999999999997E-8</v>
          </cell>
          <cell r="Y109">
            <v>8.0200000000000003E-8</v>
          </cell>
          <cell r="Z109">
            <v>4.3900000000000003E-8</v>
          </cell>
          <cell r="AA109">
            <v>3.9200000000000002E-7</v>
          </cell>
          <cell r="AB109">
            <v>2.4900000000000002E-7</v>
          </cell>
          <cell r="AC109">
            <v>1.29E-7</v>
          </cell>
          <cell r="AD109">
            <v>2.1E-7</v>
          </cell>
          <cell r="AE109">
            <v>1.2800000000000001E-7</v>
          </cell>
          <cell r="AF109">
            <v>1.48E-7</v>
          </cell>
          <cell r="AG109">
            <v>1.5099999999999999E-7</v>
          </cell>
          <cell r="AH109">
            <v>8.8300000000000003E-8</v>
          </cell>
          <cell r="AI109">
            <v>0</v>
          </cell>
          <cell r="AJ109">
            <v>8.5899999999999995E-8</v>
          </cell>
          <cell r="AK109">
            <v>8.0299999999999998E-8</v>
          </cell>
          <cell r="AL109">
            <v>2.96E-8</v>
          </cell>
          <cell r="AM109">
            <v>2.77E-8</v>
          </cell>
          <cell r="AN109">
            <v>4.1099999999999997E-8</v>
          </cell>
          <cell r="AO109">
            <v>0</v>
          </cell>
          <cell r="AP109">
            <v>5.5000000000000003E-8</v>
          </cell>
          <cell r="AQ109">
            <v>0</v>
          </cell>
          <cell r="AR109">
            <v>1.05E-7</v>
          </cell>
          <cell r="AS109">
            <v>2.84E-7</v>
          </cell>
          <cell r="AT109">
            <v>1.22E-6</v>
          </cell>
          <cell r="AU109">
            <v>1.66E-6</v>
          </cell>
          <cell r="AV109">
            <v>1.9E-6</v>
          </cell>
          <cell r="AW109">
            <v>3.3700000000000001E-7</v>
          </cell>
          <cell r="AX109">
            <v>2.41E-7</v>
          </cell>
          <cell r="AY109">
            <v>4.7999999999999996E-7</v>
          </cell>
          <cell r="AZ109">
            <v>4.3300000000000003E-7</v>
          </cell>
          <cell r="BA109">
            <v>2.3800000000000001E-8</v>
          </cell>
          <cell r="BB109">
            <v>0</v>
          </cell>
          <cell r="BC109">
            <v>3.65E-7</v>
          </cell>
          <cell r="BD109">
            <v>1.55E-7</v>
          </cell>
          <cell r="BE109">
            <v>1.9299999999999999E-7</v>
          </cell>
          <cell r="BF109">
            <v>1.12E-7</v>
          </cell>
          <cell r="BG109">
            <v>1.44E-6</v>
          </cell>
          <cell r="BH109">
            <v>9.2999999999999999E-8</v>
          </cell>
          <cell r="BI109">
            <v>2.96E-7</v>
          </cell>
          <cell r="BJ109">
            <v>3.8000000000000003E-8</v>
          </cell>
        </row>
        <row r="110">
          <cell r="B110">
            <v>7.47E-5</v>
          </cell>
          <cell r="C110">
            <v>1.237E-4</v>
          </cell>
          <cell r="D110">
            <v>6.9900000000000005E-5</v>
          </cell>
          <cell r="E110">
            <v>9.2499999999999995E-6</v>
          </cell>
          <cell r="F110">
            <v>2.1699999999999999E-5</v>
          </cell>
          <cell r="G110">
            <v>3.92459E-4</v>
          </cell>
          <cell r="H110">
            <v>1.6085940000000001E-3</v>
          </cell>
          <cell r="I110">
            <v>2.94E-5</v>
          </cell>
          <cell r="J110">
            <v>1.48665E-4</v>
          </cell>
          <cell r="K110">
            <v>5.2787999999999999E-4</v>
          </cell>
          <cell r="L110">
            <v>2.2237599999999999E-4</v>
          </cell>
          <cell r="M110">
            <v>1.45823E-4</v>
          </cell>
          <cell r="N110">
            <v>1.127372E-3</v>
          </cell>
          <cell r="O110">
            <v>1.11958E-3</v>
          </cell>
          <cell r="P110">
            <v>5.1400000000000003E-5</v>
          </cell>
          <cell r="Q110">
            <v>5.6357300000000005E-4</v>
          </cell>
          <cell r="R110">
            <v>5.7643199999999999E-4</v>
          </cell>
          <cell r="S110">
            <v>2.0223179999999999E-3</v>
          </cell>
          <cell r="T110">
            <v>9.9512699999999995E-4</v>
          </cell>
          <cell r="U110">
            <v>4.5275900000000001E-4</v>
          </cell>
          <cell r="V110">
            <v>2.8200499999999999E-4</v>
          </cell>
          <cell r="W110">
            <v>1.231745E-3</v>
          </cell>
          <cell r="X110">
            <v>2.6578890000000001E-3</v>
          </cell>
          <cell r="Y110">
            <v>3.2299999999999999E-5</v>
          </cell>
          <cell r="Z110">
            <v>3.4021300000000002E-4</v>
          </cell>
          <cell r="AA110">
            <v>1.072036E-3</v>
          </cell>
          <cell r="AB110">
            <v>2.8143899999999997E-4</v>
          </cell>
          <cell r="AC110">
            <v>1.9071E-4</v>
          </cell>
          <cell r="AD110">
            <v>4.9223099999999998E-4</v>
          </cell>
          <cell r="AE110">
            <v>1.8111900000000001E-4</v>
          </cell>
          <cell r="AF110">
            <v>2.4269E-4</v>
          </cell>
          <cell r="AG110">
            <v>8.72747E-4</v>
          </cell>
          <cell r="AH110">
            <v>1.0458699999999999E-4</v>
          </cell>
          <cell r="AI110">
            <v>0</v>
          </cell>
          <cell r="AJ110">
            <v>6.4999000000000003E-4</v>
          </cell>
          <cell r="AK110">
            <v>5.5800000000000001E-5</v>
          </cell>
          <cell r="AL110">
            <v>2.3E-5</v>
          </cell>
          <cell r="AM110">
            <v>1.3900000000000001E-5</v>
          </cell>
          <cell r="AN110">
            <v>9.1199999999999994E-5</v>
          </cell>
          <cell r="AO110">
            <v>0</v>
          </cell>
          <cell r="AP110">
            <v>1.7880899999999999E-4</v>
          </cell>
          <cell r="AQ110">
            <v>0</v>
          </cell>
          <cell r="AR110">
            <v>5.77E-5</v>
          </cell>
          <cell r="AS110">
            <v>3.4972399999999999E-4</v>
          </cell>
          <cell r="AT110">
            <v>6.0391799999999995E-4</v>
          </cell>
          <cell r="AU110">
            <v>2.5899999999999999E-5</v>
          </cell>
          <cell r="AV110">
            <v>3.5506200000000001E-4</v>
          </cell>
          <cell r="AW110">
            <v>8.8399999999999994E-5</v>
          </cell>
          <cell r="AX110">
            <v>8.5749700000000003E-4</v>
          </cell>
          <cell r="AY110">
            <v>2.1191299999999999E-4</v>
          </cell>
          <cell r="AZ110">
            <v>4.2154099999999999E-4</v>
          </cell>
          <cell r="BA110">
            <v>1.2663600000000001E-4</v>
          </cell>
          <cell r="BB110">
            <v>0</v>
          </cell>
          <cell r="BC110">
            <v>1.5299999999999999E-5</v>
          </cell>
          <cell r="BD110">
            <v>2.6407330000000001E-3</v>
          </cell>
          <cell r="BE110">
            <v>2.1748840000000002E-3</v>
          </cell>
          <cell r="BF110">
            <v>1.7846226E-2</v>
          </cell>
          <cell r="BG110">
            <v>6.6622100000000004E-4</v>
          </cell>
          <cell r="BH110">
            <v>2.3498099999999999E-4</v>
          </cell>
          <cell r="BI110">
            <v>9.5000000000000005E-5</v>
          </cell>
          <cell r="BJ110">
            <v>2.7290700000000002E-4</v>
          </cell>
        </row>
        <row r="111">
          <cell r="B111">
            <v>4.03683E-4</v>
          </cell>
          <cell r="C111">
            <v>6.6686899999999995E-4</v>
          </cell>
          <cell r="D111">
            <v>3.6106099999999998E-4</v>
          </cell>
          <cell r="E111">
            <v>5.0500000000000001E-5</v>
          </cell>
          <cell r="F111">
            <v>1.1563199999999999E-4</v>
          </cell>
          <cell r="G111">
            <v>2.1295490000000001E-3</v>
          </cell>
          <cell r="H111">
            <v>8.7544360000000009E-3</v>
          </cell>
          <cell r="I111">
            <v>1.5998799999999999E-4</v>
          </cell>
          <cell r="J111">
            <v>7.9732000000000002E-4</v>
          </cell>
          <cell r="K111">
            <v>2.8158720000000001E-3</v>
          </cell>
          <cell r="L111">
            <v>1.176702E-3</v>
          </cell>
          <cell r="M111">
            <v>7.5578400000000001E-4</v>
          </cell>
          <cell r="N111">
            <v>6.4618840000000002E-3</v>
          </cell>
          <cell r="O111">
            <v>6.5449059999999996E-3</v>
          </cell>
          <cell r="P111">
            <v>2.9455300000000002E-4</v>
          </cell>
          <cell r="Q111">
            <v>3.2246660000000002E-3</v>
          </cell>
          <cell r="R111">
            <v>3.2922099999999998E-3</v>
          </cell>
          <cell r="S111">
            <v>1.1383087E-2</v>
          </cell>
          <cell r="T111">
            <v>5.5667659999999999E-3</v>
          </cell>
          <cell r="U111">
            <v>2.5983450000000002E-3</v>
          </cell>
          <cell r="V111">
            <v>1.606421E-3</v>
          </cell>
          <cell r="W111">
            <v>4.111824E-3</v>
          </cell>
          <cell r="X111">
            <v>8.4395419999999995E-3</v>
          </cell>
          <cell r="Y111">
            <v>1.6672E-4</v>
          </cell>
          <cell r="Z111">
            <v>1.8901790000000001E-3</v>
          </cell>
          <cell r="AA111">
            <v>5.8343450000000003E-3</v>
          </cell>
          <cell r="AB111">
            <v>1.6726709999999999E-3</v>
          </cell>
          <cell r="AC111">
            <v>1.086942E-3</v>
          </cell>
          <cell r="AD111">
            <v>2.7953850000000001E-3</v>
          </cell>
          <cell r="AE111">
            <v>9.4043499999999999E-4</v>
          </cell>
          <cell r="AF111">
            <v>1.3741090000000001E-3</v>
          </cell>
          <cell r="AG111">
            <v>5.0235260000000004E-3</v>
          </cell>
          <cell r="AH111">
            <v>6.0459100000000003E-4</v>
          </cell>
          <cell r="AI111">
            <v>0</v>
          </cell>
          <cell r="AJ111">
            <v>3.7804729999999999E-3</v>
          </cell>
          <cell r="AK111">
            <v>3.1194399999999998E-4</v>
          </cell>
          <cell r="AL111">
            <v>1.2003899999999999E-4</v>
          </cell>
          <cell r="AM111">
            <v>6.9599999999999998E-5</v>
          </cell>
          <cell r="AN111">
            <v>5.3455600000000005E-4</v>
          </cell>
          <cell r="AO111">
            <v>0</v>
          </cell>
          <cell r="AP111">
            <v>1.040036E-3</v>
          </cell>
          <cell r="AQ111">
            <v>0</v>
          </cell>
          <cell r="AR111">
            <v>3.2786799999999999E-4</v>
          </cell>
          <cell r="AS111">
            <v>1.987216E-3</v>
          </cell>
          <cell r="AT111">
            <v>3.4500529999999998E-3</v>
          </cell>
          <cell r="AU111">
            <v>1.59968E-4</v>
          </cell>
          <cell r="AV111">
            <v>2.0435150000000001E-3</v>
          </cell>
          <cell r="AW111">
            <v>5.01941E-4</v>
          </cell>
          <cell r="AX111">
            <v>5.1288260000000004E-3</v>
          </cell>
          <cell r="AY111">
            <v>1.20488E-3</v>
          </cell>
          <cell r="AZ111">
            <v>2.4994100000000001E-3</v>
          </cell>
          <cell r="BA111">
            <v>7.2471099999999995E-4</v>
          </cell>
          <cell r="BB111">
            <v>0</v>
          </cell>
          <cell r="BC111">
            <v>9.0000000000000006E-5</v>
          </cell>
          <cell r="BD111">
            <v>1.5427699E-2</v>
          </cell>
          <cell r="BE111">
            <v>1.2758451000000001E-2</v>
          </cell>
          <cell r="BF111">
            <v>4.945078E-2</v>
          </cell>
          <cell r="BG111">
            <v>3.3675900000000001E-4</v>
          </cell>
          <cell r="BH111">
            <v>1.362631E-3</v>
          </cell>
          <cell r="BI111">
            <v>5.12559E-4</v>
          </cell>
          <cell r="BJ111">
            <v>1.478037E-3</v>
          </cell>
        </row>
        <row r="112">
          <cell r="B112">
            <v>1.251629E-3</v>
          </cell>
          <cell r="C112">
            <v>1.1095289999999999E-3</v>
          </cell>
          <cell r="D112">
            <v>6.1430800000000004E-4</v>
          </cell>
          <cell r="E112">
            <v>1.26329E-4</v>
          </cell>
          <cell r="F112">
            <v>2.2720300000000001E-4</v>
          </cell>
          <cell r="G112">
            <v>3.2797270000000001E-3</v>
          </cell>
          <cell r="H112">
            <v>1.2896919999999999E-2</v>
          </cell>
          <cell r="I112">
            <v>3.9357299999999998E-4</v>
          </cell>
          <cell r="J112">
            <v>1.324422E-3</v>
          </cell>
          <cell r="K112">
            <v>4.2543060000000002E-3</v>
          </cell>
          <cell r="L112">
            <v>1.9904240000000002E-3</v>
          </cell>
          <cell r="M112">
            <v>1.348421E-3</v>
          </cell>
          <cell r="N112">
            <v>8.2302920000000002E-3</v>
          </cell>
          <cell r="O112">
            <v>7.0780909999999999E-3</v>
          </cell>
          <cell r="P112">
            <v>6.8190899999999997E-4</v>
          </cell>
          <cell r="Q112">
            <v>4.3381310000000003E-3</v>
          </cell>
          <cell r="R112">
            <v>4.5970539999999997E-3</v>
          </cell>
          <cell r="S112">
            <v>1.6765799000000001E-2</v>
          </cell>
          <cell r="T112">
            <v>9.2168879999999995E-3</v>
          </cell>
          <cell r="U112">
            <v>3.421468E-3</v>
          </cell>
          <cell r="V112">
            <v>2.3611439999999999E-3</v>
          </cell>
          <cell r="W112">
            <v>4.8482849999999999E-3</v>
          </cell>
          <cell r="X112">
            <v>1.0916303E-2</v>
          </cell>
          <cell r="Y112">
            <v>1.263068E-3</v>
          </cell>
          <cell r="Z112">
            <v>3.0284140000000001E-3</v>
          </cell>
          <cell r="AA112">
            <v>7.2417330000000002E-3</v>
          </cell>
          <cell r="AB112">
            <v>2.140159E-3</v>
          </cell>
          <cell r="AC112">
            <v>1.6077859999999999E-3</v>
          </cell>
          <cell r="AD112">
            <v>4.0072609999999998E-3</v>
          </cell>
          <cell r="AE112">
            <v>1.883909E-3</v>
          </cell>
          <cell r="AF112">
            <v>2.140791E-3</v>
          </cell>
          <cell r="AG112">
            <v>6.4613559999999997E-3</v>
          </cell>
          <cell r="AH112">
            <v>1.245199E-3</v>
          </cell>
          <cell r="AI112">
            <v>0</v>
          </cell>
          <cell r="AJ112">
            <v>5.046376E-3</v>
          </cell>
          <cell r="AK112">
            <v>9.2462100000000004E-4</v>
          </cell>
          <cell r="AL112">
            <v>3.7537200000000001E-4</v>
          </cell>
          <cell r="AM112">
            <v>2.8352500000000002E-4</v>
          </cell>
          <cell r="AN112">
            <v>1.039299E-3</v>
          </cell>
          <cell r="AO112">
            <v>0</v>
          </cell>
          <cell r="AP112">
            <v>1.862612E-3</v>
          </cell>
          <cell r="AQ112">
            <v>0</v>
          </cell>
          <cell r="AR112">
            <v>7.02128E-4</v>
          </cell>
          <cell r="AS112">
            <v>2.6002360000000001E-3</v>
          </cell>
          <cell r="AT112">
            <v>4.6053839999999997E-3</v>
          </cell>
          <cell r="AU112">
            <v>4.72662E-4</v>
          </cell>
          <cell r="AV112">
            <v>2.967033E-3</v>
          </cell>
          <cell r="AW112">
            <v>7.2067699999999997E-4</v>
          </cell>
          <cell r="AX112">
            <v>6.1857459999999998E-3</v>
          </cell>
          <cell r="AY112">
            <v>1.5637890000000001E-3</v>
          </cell>
          <cell r="AZ112">
            <v>3.1288359999999999E-3</v>
          </cell>
          <cell r="BA112">
            <v>1.6712140000000001E-3</v>
          </cell>
          <cell r="BB112">
            <v>0</v>
          </cell>
          <cell r="BC112">
            <v>6.4765199999999997E-4</v>
          </cell>
          <cell r="BD112">
            <v>7.5159397000000003E-2</v>
          </cell>
          <cell r="BE112">
            <v>6.8040154000000005E-2</v>
          </cell>
          <cell r="BF112">
            <v>5.4405723000000003E-2</v>
          </cell>
          <cell r="BG112">
            <v>2.133846E-3</v>
          </cell>
          <cell r="BH112">
            <v>7.0233819999999999E-3</v>
          </cell>
          <cell r="BI112">
            <v>1.4443559999999999E-3</v>
          </cell>
          <cell r="BJ112">
            <v>1.959915E-3</v>
          </cell>
        </row>
        <row r="113">
          <cell r="B113">
            <v>2.6100000000000001E-5</v>
          </cell>
          <cell r="C113">
            <v>9.0799999999999995E-6</v>
          </cell>
          <cell r="D113">
            <v>3.0960100000000001E-4</v>
          </cell>
          <cell r="E113">
            <v>7.4499999999999996E-7</v>
          </cell>
          <cell r="F113">
            <v>1.4500000000000001E-6</v>
          </cell>
          <cell r="G113">
            <v>1.9899999999999999E-5</v>
          </cell>
          <cell r="H113">
            <v>6.4399999999999993E-5</v>
          </cell>
          <cell r="I113">
            <v>2.26E-6</v>
          </cell>
          <cell r="J113">
            <v>1.3499999999999999E-5</v>
          </cell>
          <cell r="K113">
            <v>3.5299999999999997E-5</v>
          </cell>
          <cell r="L113">
            <v>2.1299999999999999E-5</v>
          </cell>
          <cell r="M113">
            <v>5.2764299999999995E-4</v>
          </cell>
          <cell r="N113">
            <v>3.1000000000000001E-5</v>
          </cell>
          <cell r="O113">
            <v>4.2967359999999998E-3</v>
          </cell>
          <cell r="P113">
            <v>1.5660500000000001E-4</v>
          </cell>
          <cell r="Q113">
            <v>1.0200000000000001E-5</v>
          </cell>
          <cell r="R113">
            <v>9.9199999999999999E-6</v>
          </cell>
          <cell r="S113">
            <v>2.2099999999999998E-5</v>
          </cell>
          <cell r="T113">
            <v>2.97E-5</v>
          </cell>
          <cell r="U113">
            <v>9.2199999999999998E-6</v>
          </cell>
          <cell r="V113">
            <v>6.7599999999999997E-6</v>
          </cell>
          <cell r="W113">
            <v>1.1711744E-2</v>
          </cell>
          <cell r="X113">
            <v>1.0705177999999999E-2</v>
          </cell>
          <cell r="Y113">
            <v>4.9299999999999999E-5</v>
          </cell>
          <cell r="Z113">
            <v>1.6099999999999998E-5</v>
          </cell>
          <cell r="AA113">
            <v>4.7899999999999999E-5</v>
          </cell>
          <cell r="AB113">
            <v>1.27E-5</v>
          </cell>
          <cell r="AC113">
            <v>1.0200000000000001E-5</v>
          </cell>
          <cell r="AD113">
            <v>1.31E-5</v>
          </cell>
          <cell r="AE113">
            <v>6.5200000000000003E-6</v>
          </cell>
          <cell r="AF113">
            <v>9.2299999999999997E-6</v>
          </cell>
          <cell r="AG113">
            <v>1.88E-5</v>
          </cell>
          <cell r="AH113">
            <v>7.2000000000000002E-5</v>
          </cell>
          <cell r="AI113">
            <v>0</v>
          </cell>
          <cell r="AJ113">
            <v>5.5699999999999999E-5</v>
          </cell>
          <cell r="AK113">
            <v>6.5099999999999997E-5</v>
          </cell>
          <cell r="AL113">
            <v>3.54E-6</v>
          </cell>
          <cell r="AM113">
            <v>1.7600000000000001E-6</v>
          </cell>
          <cell r="AN113">
            <v>6.3899999999999995E-5</v>
          </cell>
          <cell r="AO113">
            <v>0</v>
          </cell>
          <cell r="AP113">
            <v>9.1700000000000006E-5</v>
          </cell>
          <cell r="AQ113">
            <v>0</v>
          </cell>
          <cell r="AR113">
            <v>5.49E-5</v>
          </cell>
          <cell r="AS113">
            <v>1.15E-5</v>
          </cell>
          <cell r="AT113">
            <v>4.4799999999999998E-5</v>
          </cell>
          <cell r="AU113">
            <v>5.0300000000000003E-5</v>
          </cell>
          <cell r="AV113">
            <v>6.19E-5</v>
          </cell>
          <cell r="AW113">
            <v>1.0699999999999999E-5</v>
          </cell>
          <cell r="AX113">
            <v>2.4700000000000001E-5</v>
          </cell>
          <cell r="AY113">
            <v>1.5699999999999999E-5</v>
          </cell>
          <cell r="AZ113">
            <v>1.3900000000000001E-5</v>
          </cell>
          <cell r="BA113">
            <v>1.0293699999999999E-4</v>
          </cell>
          <cell r="BB113">
            <v>0</v>
          </cell>
          <cell r="BC113">
            <v>3.5152540000000002E-3</v>
          </cell>
          <cell r="BD113">
            <v>2.7398899999999998E-4</v>
          </cell>
          <cell r="BE113">
            <v>1.96959E-4</v>
          </cell>
          <cell r="BF113">
            <v>1.7772788000000001E-2</v>
          </cell>
          <cell r="BG113">
            <v>3.3893841000000001E-2</v>
          </cell>
          <cell r="BH113">
            <v>8.0799999999999999E-5</v>
          </cell>
          <cell r="BI113">
            <v>8.25E-5</v>
          </cell>
          <cell r="BJ113">
            <v>9.5300000000000002E-6</v>
          </cell>
        </row>
        <row r="114">
          <cell r="B114">
            <v>2.1848899999999999E-4</v>
          </cell>
          <cell r="C114">
            <v>1.5162199999999999E-4</v>
          </cell>
          <cell r="D114">
            <v>1.5533699999999999E-4</v>
          </cell>
          <cell r="E114">
            <v>2.02E-5</v>
          </cell>
          <cell r="F114">
            <v>5.6700000000000003E-5</v>
          </cell>
          <cell r="G114">
            <v>3.02618E-4</v>
          </cell>
          <cell r="H114">
            <v>1.1298040000000001E-3</v>
          </cell>
          <cell r="I114">
            <v>4.3699999999999998E-5</v>
          </cell>
          <cell r="J114">
            <v>1.80106E-4</v>
          </cell>
          <cell r="K114">
            <v>6.7089600000000004E-4</v>
          </cell>
          <cell r="L114">
            <v>5.4719399999999998E-4</v>
          </cell>
          <cell r="M114">
            <v>3.8222100000000003E-4</v>
          </cell>
          <cell r="N114">
            <v>4.2431899999999999E-4</v>
          </cell>
          <cell r="O114">
            <v>6.9351299999999999E-4</v>
          </cell>
          <cell r="P114">
            <v>5.3300000000000001E-5</v>
          </cell>
          <cell r="Q114">
            <v>1.8740299999999999E-4</v>
          </cell>
          <cell r="R114">
            <v>1.80519E-4</v>
          </cell>
          <cell r="S114">
            <v>3.1333899999999999E-4</v>
          </cell>
          <cell r="T114">
            <v>1.87856E-4</v>
          </cell>
          <cell r="U114">
            <v>1.9148400000000001E-4</v>
          </cell>
          <cell r="V114">
            <v>9.3700000000000001E-5</v>
          </cell>
          <cell r="W114">
            <v>7.4971780000000002E-3</v>
          </cell>
          <cell r="X114">
            <v>1.8039617000000001E-2</v>
          </cell>
          <cell r="Y114">
            <v>2.1017900000000001E-4</v>
          </cell>
          <cell r="Z114">
            <v>1.7122099999999999E-4</v>
          </cell>
          <cell r="AA114">
            <v>1.442416E-3</v>
          </cell>
          <cell r="AB114">
            <v>3.5500000000000002E-5</v>
          </cell>
          <cell r="AC114">
            <v>4.1900000000000002E-5</v>
          </cell>
          <cell r="AD114">
            <v>9.5799999999999998E-5</v>
          </cell>
          <cell r="AE114">
            <v>3.01E-5</v>
          </cell>
          <cell r="AF114">
            <v>6.2000000000000003E-5</v>
          </cell>
          <cell r="AG114">
            <v>2.36085E-4</v>
          </cell>
          <cell r="AH114">
            <v>3.5357800000000001E-4</v>
          </cell>
          <cell r="AI114">
            <v>0</v>
          </cell>
          <cell r="AJ114">
            <v>3.7606100000000002E-4</v>
          </cell>
          <cell r="AK114">
            <v>2.9237300000000001E-4</v>
          </cell>
          <cell r="AL114">
            <v>4.2599999999999999E-5</v>
          </cell>
          <cell r="AM114">
            <v>1.08E-5</v>
          </cell>
          <cell r="AN114">
            <v>2.76307E-4</v>
          </cell>
          <cell r="AO114">
            <v>0</v>
          </cell>
          <cell r="AP114">
            <v>3.45259E-4</v>
          </cell>
          <cell r="AQ114">
            <v>0</v>
          </cell>
          <cell r="AR114">
            <v>1.6679999999999999E-4</v>
          </cell>
          <cell r="AS114">
            <v>1.8548100000000001E-4</v>
          </cell>
          <cell r="AT114">
            <v>3.84516E-4</v>
          </cell>
          <cell r="AU114">
            <v>1.3260999999999999E-4</v>
          </cell>
          <cell r="AV114">
            <v>2.7313100000000002E-4</v>
          </cell>
          <cell r="AW114">
            <v>8.1000000000000004E-5</v>
          </cell>
          <cell r="AX114">
            <v>1.08631E-4</v>
          </cell>
          <cell r="AY114">
            <v>1.7796700000000001E-4</v>
          </cell>
          <cell r="AZ114">
            <v>6.6799999999999997E-5</v>
          </cell>
          <cell r="BA114">
            <v>4.5287300000000001E-4</v>
          </cell>
          <cell r="BB114">
            <v>0</v>
          </cell>
          <cell r="BC114">
            <v>1.2595600000000001E-4</v>
          </cell>
          <cell r="BD114">
            <v>1.773604E-3</v>
          </cell>
          <cell r="BE114">
            <v>6.5289199999999997E-4</v>
          </cell>
          <cell r="BF114">
            <v>0.13155651500000001</v>
          </cell>
          <cell r="BG114">
            <v>9.6018609999999997E-3</v>
          </cell>
          <cell r="BH114">
            <v>4.1428899999999998E-4</v>
          </cell>
          <cell r="BI114">
            <v>4.5068199999999999E-4</v>
          </cell>
          <cell r="BJ114">
            <v>4.0163299999999998E-4</v>
          </cell>
        </row>
        <row r="115">
          <cell r="B115">
            <v>2.02062E-4</v>
          </cell>
          <cell r="C115">
            <v>2.3005399999999999E-4</v>
          </cell>
          <cell r="D115">
            <v>1.1582399999999999E-4</v>
          </cell>
          <cell r="E115">
            <v>1.7E-5</v>
          </cell>
          <cell r="F115">
            <v>3.7400000000000001E-5</v>
          </cell>
          <cell r="G115">
            <v>4.3637800000000002E-4</v>
          </cell>
          <cell r="H115">
            <v>3.65817E-4</v>
          </cell>
          <cell r="I115">
            <v>4.7599999999999998E-5</v>
          </cell>
          <cell r="J115">
            <v>5.9913999999999996E-4</v>
          </cell>
          <cell r="K115">
            <v>1.8053559999999999E-3</v>
          </cell>
          <cell r="L115">
            <v>1.2448820000000001E-3</v>
          </cell>
          <cell r="M115">
            <v>2.3968200000000001E-4</v>
          </cell>
          <cell r="N115">
            <v>3.0907500000000002E-4</v>
          </cell>
          <cell r="O115">
            <v>1.1862300000000001E-4</v>
          </cell>
          <cell r="P115">
            <v>5.0300000000000003E-5</v>
          </cell>
          <cell r="Q115">
            <v>1.0346800000000001E-4</v>
          </cell>
          <cell r="R115">
            <v>9.3800000000000003E-5</v>
          </cell>
          <cell r="S115">
            <v>1.170529E-3</v>
          </cell>
          <cell r="T115">
            <v>1.48112E-3</v>
          </cell>
          <cell r="U115">
            <v>5.7408999999999997E-4</v>
          </cell>
          <cell r="V115">
            <v>6.0699999999999998E-5</v>
          </cell>
          <cell r="W115">
            <v>7.5934500000000003E-4</v>
          </cell>
          <cell r="X115">
            <v>4.2594679999999998E-3</v>
          </cell>
          <cell r="Y115">
            <v>6.5106779999999998E-3</v>
          </cell>
          <cell r="Z115">
            <v>1.5141320000000001E-3</v>
          </cell>
          <cell r="AA115">
            <v>1.0731339999999999E-3</v>
          </cell>
          <cell r="AB115">
            <v>1.2855000000000001E-4</v>
          </cell>
          <cell r="AC115">
            <v>7.1500000000000003E-5</v>
          </cell>
          <cell r="AD115">
            <v>1.2849700000000001E-4</v>
          </cell>
          <cell r="AE115">
            <v>8.1699999999999994E-5</v>
          </cell>
          <cell r="AF115">
            <v>1.39025E-4</v>
          </cell>
          <cell r="AG115">
            <v>2.4184799999999999E-4</v>
          </cell>
          <cell r="AH115">
            <v>5.8319000000000003E-4</v>
          </cell>
          <cell r="AI115">
            <v>0</v>
          </cell>
          <cell r="AJ115">
            <v>2.6133500000000002E-4</v>
          </cell>
          <cell r="AK115">
            <v>1.8762100000000001E-4</v>
          </cell>
          <cell r="AL115">
            <v>1.46491E-4</v>
          </cell>
          <cell r="AM115">
            <v>5.8300000000000001E-5</v>
          </cell>
          <cell r="AN115">
            <v>2.85059E-4</v>
          </cell>
          <cell r="AO115">
            <v>0</v>
          </cell>
          <cell r="AP115">
            <v>3.2691000000000003E-4</v>
          </cell>
          <cell r="AQ115">
            <v>0</v>
          </cell>
          <cell r="AR115">
            <v>4.8453100000000001E-4</v>
          </cell>
          <cell r="AS115">
            <v>5.5027400000000001E-4</v>
          </cell>
          <cell r="AT115">
            <v>9.0365900000000002E-4</v>
          </cell>
          <cell r="AU115">
            <v>1.04806E-4</v>
          </cell>
          <cell r="AV115">
            <v>2.4626900000000002E-4</v>
          </cell>
          <cell r="AW115">
            <v>7.2200000000000007E-5</v>
          </cell>
          <cell r="AX115">
            <v>2.1379299999999999E-4</v>
          </cell>
          <cell r="AY115">
            <v>4.0178399999999997E-4</v>
          </cell>
          <cell r="AZ115">
            <v>1.8045600000000001E-4</v>
          </cell>
          <cell r="BA115">
            <v>3.6441799999999998E-4</v>
          </cell>
          <cell r="BB115">
            <v>0</v>
          </cell>
          <cell r="BC115">
            <v>9.2323100000000005E-4</v>
          </cell>
          <cell r="BD115">
            <v>9.5323800000000002E-4</v>
          </cell>
          <cell r="BE115">
            <v>7.7178399999999997E-4</v>
          </cell>
          <cell r="BF115">
            <v>1.2035640000000001E-3</v>
          </cell>
          <cell r="BG115">
            <v>1.188564E-3</v>
          </cell>
          <cell r="BH115">
            <v>1.6348971E-2</v>
          </cell>
          <cell r="BI115">
            <v>7.5414099999999995E-4</v>
          </cell>
          <cell r="BJ115">
            <v>1.0226E-3</v>
          </cell>
        </row>
        <row r="116">
          <cell r="B116">
            <v>3.1338149999999999E-3</v>
          </cell>
          <cell r="C116">
            <v>7.2314600000000003E-4</v>
          </cell>
          <cell r="D116">
            <v>5.0439500000000004E-4</v>
          </cell>
          <cell r="E116">
            <v>1.00917E-4</v>
          </cell>
          <cell r="F116">
            <v>1.8015500000000001E-4</v>
          </cell>
          <cell r="G116">
            <v>1.107972E-3</v>
          </cell>
          <cell r="H116">
            <v>3.1787149999999999E-3</v>
          </cell>
          <cell r="I116">
            <v>3.0298499999999997E-4</v>
          </cell>
          <cell r="J116">
            <v>1.342431E-3</v>
          </cell>
          <cell r="K116">
            <v>7.0982830000000004E-3</v>
          </cell>
          <cell r="L116">
            <v>2.2503480000000001E-3</v>
          </cell>
          <cell r="M116">
            <v>1.928744E-3</v>
          </cell>
          <cell r="N116">
            <v>2.7838369999999999E-3</v>
          </cell>
          <cell r="O116">
            <v>7.5237299999999997E-4</v>
          </cell>
          <cell r="P116">
            <v>6.2637999999999995E-4</v>
          </cell>
          <cell r="Q116">
            <v>5.8455879999999997E-3</v>
          </cell>
          <cell r="R116">
            <v>5.0653390000000003E-3</v>
          </cell>
          <cell r="S116">
            <v>7.9952860000000008E-3</v>
          </cell>
          <cell r="T116">
            <v>8.2884689999999997E-3</v>
          </cell>
          <cell r="U116">
            <v>6.2757259999999997E-3</v>
          </cell>
          <cell r="V116">
            <v>6.9343400000000004E-4</v>
          </cell>
          <cell r="W116">
            <v>4.6793629999999998E-3</v>
          </cell>
          <cell r="X116">
            <v>1.1933747E-2</v>
          </cell>
          <cell r="Y116">
            <v>6.4723421000000003E-2</v>
          </cell>
          <cell r="Z116">
            <v>7.7562680000000002E-3</v>
          </cell>
          <cell r="AA116">
            <v>2.2719982999999999E-2</v>
          </cell>
          <cell r="AB116">
            <v>2.7830379999999998E-3</v>
          </cell>
          <cell r="AC116">
            <v>7.8066239999999999E-3</v>
          </cell>
          <cell r="AD116">
            <v>3.0571869999999998E-3</v>
          </cell>
          <cell r="AE116">
            <v>3.232361E-3</v>
          </cell>
          <cell r="AF116">
            <v>7.2555680000000004E-3</v>
          </cell>
          <cell r="AG116">
            <v>6.85588E-3</v>
          </cell>
          <cell r="AH116">
            <v>3.4989320000000002E-3</v>
          </cell>
          <cell r="AI116">
            <v>0</v>
          </cell>
          <cell r="AJ116">
            <v>3.319766E-3</v>
          </cell>
          <cell r="AK116">
            <v>3.6239240000000002E-3</v>
          </cell>
          <cell r="AL116">
            <v>3.9227100000000003E-4</v>
          </cell>
          <cell r="AM116">
            <v>2.7088600000000002E-4</v>
          </cell>
          <cell r="AN116">
            <v>2.3073709999999999E-3</v>
          </cell>
          <cell r="AO116">
            <v>0</v>
          </cell>
          <cell r="AP116">
            <v>3.0581380000000002E-3</v>
          </cell>
          <cell r="AQ116">
            <v>0</v>
          </cell>
          <cell r="AR116">
            <v>3.04725E-3</v>
          </cell>
          <cell r="AS116">
            <v>3.0326540000000001E-3</v>
          </cell>
          <cell r="AT116">
            <v>6.596111E-3</v>
          </cell>
          <cell r="AU116">
            <v>1.5355760000000001E-3</v>
          </cell>
          <cell r="AV116">
            <v>3.1564010000000003E-2</v>
          </cell>
          <cell r="AW116">
            <v>5.1427579999999999E-3</v>
          </cell>
          <cell r="AX116">
            <v>3.9761309999999999E-3</v>
          </cell>
          <cell r="AY116">
            <v>2.4077539999999998E-3</v>
          </cell>
          <cell r="AZ116">
            <v>7.9364559999999997E-3</v>
          </cell>
          <cell r="BA116">
            <v>1.5142462000000001E-2</v>
          </cell>
          <cell r="BB116">
            <v>0</v>
          </cell>
          <cell r="BC116">
            <v>1.1226269000000001E-2</v>
          </cell>
          <cell r="BD116">
            <v>1.0602598E-2</v>
          </cell>
          <cell r="BE116">
            <v>7.8449680000000008E-3</v>
          </cell>
          <cell r="BF116">
            <v>6.9121700000000005E-4</v>
          </cell>
          <cell r="BG116">
            <v>7.2177559999999997E-3</v>
          </cell>
          <cell r="BH116">
            <v>3.4834575999999999E-2</v>
          </cell>
          <cell r="BI116">
            <v>0.27312404600000001</v>
          </cell>
          <cell r="BJ116">
            <v>4.3841740000000002E-3</v>
          </cell>
        </row>
        <row r="117">
          <cell r="B117">
            <v>1.2799999999999999E-5</v>
          </cell>
          <cell r="C117">
            <v>3.01E-6</v>
          </cell>
          <cell r="D117">
            <v>2.0600000000000002E-6</v>
          </cell>
          <cell r="E117">
            <v>3.8099999999999998E-7</v>
          </cell>
          <cell r="F117">
            <v>7.0699999999999996E-7</v>
          </cell>
          <cell r="G117">
            <v>4.5399999999999997E-6</v>
          </cell>
          <cell r="H117">
            <v>1.27E-5</v>
          </cell>
          <cell r="I117">
            <v>1.1799999999999999E-6</v>
          </cell>
          <cell r="J117">
            <v>5.2800000000000003E-6</v>
          </cell>
          <cell r="K117">
            <v>2.7399999999999999E-5</v>
          </cell>
          <cell r="L117">
            <v>9.5200000000000003E-6</v>
          </cell>
          <cell r="M117">
            <v>7.9300000000000003E-6</v>
          </cell>
          <cell r="N117">
            <v>1.1399999999999999E-5</v>
          </cell>
          <cell r="O117">
            <v>1.7999999999999999E-6</v>
          </cell>
          <cell r="P117">
            <v>2.0899999999999999E-6</v>
          </cell>
          <cell r="Q117">
            <v>2.27E-5</v>
          </cell>
          <cell r="R117">
            <v>1.95E-5</v>
          </cell>
          <cell r="S117">
            <v>3.1000000000000001E-5</v>
          </cell>
          <cell r="T117">
            <v>3.2400000000000001E-5</v>
          </cell>
          <cell r="U117">
            <v>2.4000000000000001E-5</v>
          </cell>
          <cell r="V117">
            <v>2.8100000000000002E-6</v>
          </cell>
          <cell r="W117">
            <v>1.7600000000000001E-5</v>
          </cell>
          <cell r="X117">
            <v>4.6600000000000001E-5</v>
          </cell>
          <cell r="Y117">
            <v>2.4898200000000002E-4</v>
          </cell>
          <cell r="Z117">
            <v>3.0000000000000001E-5</v>
          </cell>
          <cell r="AA117">
            <v>8.8499999999999996E-5</v>
          </cell>
          <cell r="AB117">
            <v>1.06E-5</v>
          </cell>
          <cell r="AC117">
            <v>3.7200000000000003E-5</v>
          </cell>
          <cell r="AD117">
            <v>1.26E-5</v>
          </cell>
          <cell r="AE117">
            <v>1.5500000000000001E-5</v>
          </cell>
          <cell r="AF117">
            <v>2.9799999999999999E-5</v>
          </cell>
          <cell r="AG117">
            <v>2.7800000000000001E-5</v>
          </cell>
          <cell r="AH117">
            <v>1.3499999999999999E-5</v>
          </cell>
          <cell r="AI117">
            <v>0</v>
          </cell>
          <cell r="AJ117">
            <v>1.2799999999999999E-5</v>
          </cell>
          <cell r="AK117">
            <v>1.4E-5</v>
          </cell>
          <cell r="AL117">
            <v>1.7600000000000001E-6</v>
          </cell>
          <cell r="AM117">
            <v>1.08E-6</v>
          </cell>
          <cell r="AN117">
            <v>8.5699999999999993E-6</v>
          </cell>
          <cell r="AO117">
            <v>0</v>
          </cell>
          <cell r="AP117">
            <v>1.1199999999999999E-5</v>
          </cell>
          <cell r="AQ117">
            <v>0</v>
          </cell>
          <cell r="AR117">
            <v>1.1199999999999999E-5</v>
          </cell>
          <cell r="AS117">
            <v>1.11E-5</v>
          </cell>
          <cell r="AT117">
            <v>2.48E-5</v>
          </cell>
          <cell r="AU117">
            <v>5.4399999999999996E-6</v>
          </cell>
          <cell r="AV117">
            <v>1.21718E-4</v>
          </cell>
          <cell r="AW117">
            <v>1.88E-5</v>
          </cell>
          <cell r="AX117">
            <v>1.5800000000000001E-5</v>
          </cell>
          <cell r="AY117">
            <v>9.73E-6</v>
          </cell>
          <cell r="AZ117">
            <v>2.7100000000000001E-5</v>
          </cell>
          <cell r="BA117">
            <v>5.8699999999999997E-5</v>
          </cell>
          <cell r="BB117">
            <v>0</v>
          </cell>
          <cell r="BC117">
            <v>4.3900000000000003E-5</v>
          </cell>
          <cell r="BD117">
            <v>4.1199999999999999E-5</v>
          </cell>
          <cell r="BE117">
            <v>3.0199999999999999E-5</v>
          </cell>
          <cell r="BF117">
            <v>2.7999999999999999E-6</v>
          </cell>
          <cell r="BG117">
            <v>2.7800000000000001E-5</v>
          </cell>
          <cell r="BH117">
            <v>1.35623E-4</v>
          </cell>
          <cell r="BI117">
            <v>1.0604779999999999E-3</v>
          </cell>
          <cell r="BJ117">
            <v>1.77E-5</v>
          </cell>
        </row>
        <row r="118">
          <cell r="B118">
            <v>6.3400799999999997E-3</v>
          </cell>
          <cell r="C118">
            <v>5.6428069999999997E-3</v>
          </cell>
          <cell r="D118">
            <v>1.0900749E-2</v>
          </cell>
          <cell r="E118">
            <v>4.4137760000000003E-3</v>
          </cell>
          <cell r="F118">
            <v>5.8615719999999998E-3</v>
          </cell>
          <cell r="G118">
            <v>3.554237E-3</v>
          </cell>
          <cell r="H118">
            <v>4.1518175999999997E-2</v>
          </cell>
          <cell r="I118">
            <v>1.4167216E-2</v>
          </cell>
          <cell r="J118">
            <v>3.376324E-3</v>
          </cell>
          <cell r="K118">
            <v>4.3705380000000002E-3</v>
          </cell>
          <cell r="L118">
            <v>2.0340494000000001E-2</v>
          </cell>
          <cell r="M118">
            <v>6.1438700000000001E-3</v>
          </cell>
          <cell r="N118">
            <v>4.9782180000000004E-3</v>
          </cell>
          <cell r="O118">
            <v>1.6421649999999999E-2</v>
          </cell>
          <cell r="P118">
            <v>2.2644093000000001E-2</v>
          </cell>
          <cell r="Q118">
            <v>5.0963969999999999E-3</v>
          </cell>
          <cell r="R118">
            <v>1.6933027999999999E-2</v>
          </cell>
          <cell r="S118">
            <v>7.0270469999999998E-3</v>
          </cell>
          <cell r="T118">
            <v>9.7906980000000005E-3</v>
          </cell>
          <cell r="U118">
            <v>3.870657E-3</v>
          </cell>
          <cell r="V118">
            <v>2.5731909999999998E-3</v>
          </cell>
          <cell r="W118">
            <v>1.0231779E-2</v>
          </cell>
          <cell r="X118">
            <v>1.0472739E-2</v>
          </cell>
          <cell r="Y118">
            <v>4.6224438E-2</v>
          </cell>
          <cell r="Z118">
            <v>7.1311439999999999E-3</v>
          </cell>
          <cell r="AA118">
            <v>3.1047010000000001E-3</v>
          </cell>
          <cell r="AB118">
            <v>4.5085330000000003E-3</v>
          </cell>
          <cell r="AC118">
            <v>5.4401789999999998E-3</v>
          </cell>
          <cell r="AD118">
            <v>1.3632224E-2</v>
          </cell>
          <cell r="AE118">
            <v>6.8156670000000001E-3</v>
          </cell>
          <cell r="AF118">
            <v>2.1156702999999999E-2</v>
          </cell>
          <cell r="AG118">
            <v>9.5218149999999994E-3</v>
          </cell>
          <cell r="AH118">
            <v>1.5829472000000001E-2</v>
          </cell>
          <cell r="AI118">
            <v>0</v>
          </cell>
          <cell r="AJ118">
            <v>1.3096956999999999E-2</v>
          </cell>
          <cell r="AK118">
            <v>9.3400559999999994E-3</v>
          </cell>
          <cell r="AL118">
            <v>8.5057829999999994E-3</v>
          </cell>
          <cell r="AM118">
            <v>7.9143159999999994E-3</v>
          </cell>
          <cell r="AN118">
            <v>9.5380870000000006E-3</v>
          </cell>
          <cell r="AO118">
            <v>0</v>
          </cell>
          <cell r="AP118">
            <v>3.9557759999999997E-2</v>
          </cell>
          <cell r="AQ118">
            <v>0</v>
          </cell>
          <cell r="AR118">
            <v>5.1682159999999998E-3</v>
          </cell>
          <cell r="AS118">
            <v>8.0799930000000006E-3</v>
          </cell>
          <cell r="AT118">
            <v>1.820201E-3</v>
          </cell>
          <cell r="AU118">
            <v>2.8007240000000001E-3</v>
          </cell>
          <cell r="AV118">
            <v>1.725288E-3</v>
          </cell>
          <cell r="AW118">
            <v>1.807003E-3</v>
          </cell>
          <cell r="AX118">
            <v>3.607393E-3</v>
          </cell>
          <cell r="AY118">
            <v>4.8198299999999998E-3</v>
          </cell>
          <cell r="AZ118">
            <v>3.6306870000000001E-3</v>
          </cell>
          <cell r="BA118">
            <v>2.4241413999999999E-2</v>
          </cell>
          <cell r="BB118">
            <v>0</v>
          </cell>
          <cell r="BC118">
            <v>9.9211309999999997E-3</v>
          </cell>
          <cell r="BD118">
            <v>5.3185860000000001E-3</v>
          </cell>
          <cell r="BE118">
            <v>5.2870110000000003E-3</v>
          </cell>
          <cell r="BF118">
            <v>2.0970870000000001E-3</v>
          </cell>
          <cell r="BG118">
            <v>1.7808022999999999E-2</v>
          </cell>
          <cell r="BH118">
            <v>8.8325829999999998E-3</v>
          </cell>
          <cell r="BI118">
            <v>4.9817120000000001E-3</v>
          </cell>
          <cell r="BJ118">
            <v>9.5472939999999996E-3</v>
          </cell>
        </row>
        <row r="119">
          <cell r="B119">
            <v>1.0825850000000001E-3</v>
          </cell>
          <cell r="C119">
            <v>9.59303E-4</v>
          </cell>
          <cell r="D119">
            <v>1.9393069999999999E-3</v>
          </cell>
          <cell r="E119">
            <v>7.4770200000000005E-4</v>
          </cell>
          <cell r="F119">
            <v>1.0164289999999999E-3</v>
          </cell>
          <cell r="G119">
            <v>5.9778399999999997E-4</v>
          </cell>
          <cell r="H119">
            <v>6.2125289999999996E-3</v>
          </cell>
          <cell r="I119">
            <v>2.3934709999999999E-3</v>
          </cell>
          <cell r="J119">
            <v>5.7797700000000003E-4</v>
          </cell>
          <cell r="K119">
            <v>7.5378800000000003E-4</v>
          </cell>
          <cell r="L119">
            <v>3.5894529999999998E-3</v>
          </cell>
          <cell r="M119">
            <v>1.5035129999999999E-3</v>
          </cell>
          <cell r="N119">
            <v>9.5973300000000005E-4</v>
          </cell>
          <cell r="O119">
            <v>3.1038160000000001E-3</v>
          </cell>
          <cell r="P119">
            <v>4.0824399999999997E-3</v>
          </cell>
          <cell r="Q119">
            <v>1.4378380000000001E-3</v>
          </cell>
          <cell r="R119">
            <v>3.5712109999999999E-3</v>
          </cell>
          <cell r="S119">
            <v>1.134255E-3</v>
          </cell>
          <cell r="T119">
            <v>1.6084230000000001E-3</v>
          </cell>
          <cell r="U119">
            <v>6.6303399999999995E-4</v>
          </cell>
          <cell r="V119">
            <v>4.5750899999999999E-4</v>
          </cell>
          <cell r="W119">
            <v>1.772715E-3</v>
          </cell>
          <cell r="X119">
            <v>3.4129849999999999E-3</v>
          </cell>
          <cell r="Y119">
            <v>7.771165E-3</v>
          </cell>
          <cell r="Z119">
            <v>1.2270180000000001E-3</v>
          </cell>
          <cell r="AA119">
            <v>5.6115400000000001E-4</v>
          </cell>
          <cell r="AB119">
            <v>5.3992899999999997E-4</v>
          </cell>
          <cell r="AC119">
            <v>6.30666E-4</v>
          </cell>
          <cell r="AD119">
            <v>1.8154250000000001E-3</v>
          </cell>
          <cell r="AE119">
            <v>9.778670000000001E-4</v>
          </cell>
          <cell r="AF119">
            <v>2.8009129999999999E-3</v>
          </cell>
          <cell r="AG119">
            <v>1.175358E-3</v>
          </cell>
          <cell r="AH119">
            <v>2.4490409999999999E-3</v>
          </cell>
          <cell r="AI119">
            <v>0</v>
          </cell>
          <cell r="AJ119">
            <v>2.2939530000000001E-3</v>
          </cell>
          <cell r="AK119">
            <v>1.832293E-3</v>
          </cell>
          <cell r="AL119">
            <v>1.3149909999999999E-3</v>
          </cell>
          <cell r="AM119">
            <v>1.250794E-3</v>
          </cell>
          <cell r="AN119">
            <v>1.755085E-3</v>
          </cell>
          <cell r="AO119">
            <v>0</v>
          </cell>
          <cell r="AP119">
            <v>7.4764890000000002E-3</v>
          </cell>
          <cell r="AQ119">
            <v>0</v>
          </cell>
          <cell r="AR119">
            <v>9.2348099999999998E-4</v>
          </cell>
          <cell r="AS119">
            <v>7.8964499999999995E-4</v>
          </cell>
          <cell r="AT119">
            <v>3.3084599999999998E-4</v>
          </cell>
          <cell r="AU119">
            <v>5.1916600000000005E-4</v>
          </cell>
          <cell r="AV119">
            <v>3.4774699999999998E-4</v>
          </cell>
          <cell r="AW119">
            <v>3.6966599999999999E-4</v>
          </cell>
          <cell r="AX119">
            <v>6.7194100000000001E-4</v>
          </cell>
          <cell r="AY119">
            <v>1.171783E-3</v>
          </cell>
          <cell r="AZ119">
            <v>8.5212799999999996E-4</v>
          </cell>
          <cell r="BA119">
            <v>1.0152072999999999E-2</v>
          </cell>
          <cell r="BB119">
            <v>0</v>
          </cell>
          <cell r="BC119">
            <v>1.3541810000000001E-3</v>
          </cell>
          <cell r="BD119">
            <v>5.8480000000000001E-4</v>
          </cell>
          <cell r="BE119">
            <v>4.2081099999999999E-4</v>
          </cell>
          <cell r="BF119">
            <v>3.4181800000000003E-4</v>
          </cell>
          <cell r="BG119">
            <v>1.3695510000000001E-3</v>
          </cell>
          <cell r="BH119">
            <v>2.2522750000000002E-3</v>
          </cell>
          <cell r="BI119">
            <v>1.7079440000000001E-3</v>
          </cell>
          <cell r="BJ119">
            <v>1.3338670000000001E-3</v>
          </cell>
        </row>
        <row r="120">
          <cell r="B120">
            <v>5.2897758000000003E-2</v>
          </cell>
          <cell r="C120">
            <v>4.6278545999999997E-2</v>
          </cell>
          <cell r="D120">
            <v>6.3282281999999995E-2</v>
          </cell>
          <cell r="E120">
            <v>1.8859728999999999E-2</v>
          </cell>
          <cell r="F120">
            <v>2.8394804999999999E-2</v>
          </cell>
          <cell r="G120">
            <v>6.1372449000000003E-2</v>
          </cell>
          <cell r="H120">
            <v>0.15818348600000001</v>
          </cell>
          <cell r="I120">
            <v>5.4125582999999998E-2</v>
          </cell>
          <cell r="J120">
            <v>8.3851055999999993E-2</v>
          </cell>
          <cell r="K120">
            <v>0.19932937100000001</v>
          </cell>
          <cell r="L120">
            <v>0.19275814099999999</v>
          </cell>
          <cell r="M120">
            <v>0.11826442099999999</v>
          </cell>
          <cell r="N120">
            <v>5.6693235000000002E-2</v>
          </cell>
          <cell r="O120">
            <v>9.8802100000000004E-2</v>
          </cell>
          <cell r="P120">
            <v>0.12718723700000001</v>
          </cell>
          <cell r="Q120">
            <v>3.6350274000000002E-2</v>
          </cell>
          <cell r="R120">
            <v>8.8520909999999994E-2</v>
          </cell>
          <cell r="S120">
            <v>4.4718923000000001E-2</v>
          </cell>
          <cell r="T120">
            <v>5.4536973000000002E-2</v>
          </cell>
          <cell r="U120">
            <v>4.4759300000000002E-2</v>
          </cell>
          <cell r="V120">
            <v>5.5580422999999997E-2</v>
          </cell>
          <cell r="W120">
            <v>4.8460617999999997E-2</v>
          </cell>
          <cell r="X120">
            <v>3.7175910999999999E-2</v>
          </cell>
          <cell r="Y120">
            <v>0.14436406399999999</v>
          </cell>
          <cell r="Z120">
            <v>3.9522473000000002E-2</v>
          </cell>
          <cell r="AA120">
            <v>7.5482272000000003E-2</v>
          </cell>
          <cell r="AB120">
            <v>5.5607954000000001E-2</v>
          </cell>
          <cell r="AC120">
            <v>2.940361E-2</v>
          </cell>
          <cell r="AD120">
            <v>5.9315211E-2</v>
          </cell>
          <cell r="AE120">
            <v>3.3940799000000001E-2</v>
          </cell>
          <cell r="AF120">
            <v>7.7683123000000007E-2</v>
          </cell>
          <cell r="AG120">
            <v>4.3413438999999998E-2</v>
          </cell>
          <cell r="AH120">
            <v>6.2399393999999997E-2</v>
          </cell>
          <cell r="AI120">
            <v>0</v>
          </cell>
          <cell r="AJ120">
            <v>4.8955772000000002E-2</v>
          </cell>
          <cell r="AK120">
            <v>3.6499759E-2</v>
          </cell>
          <cell r="AL120">
            <v>3.6206851999999998E-2</v>
          </cell>
          <cell r="AM120">
            <v>3.6250612000000002E-2</v>
          </cell>
          <cell r="AN120">
            <v>4.7021668000000003E-2</v>
          </cell>
          <cell r="AO120">
            <v>0</v>
          </cell>
          <cell r="AP120">
            <v>0.173477718</v>
          </cell>
          <cell r="AQ120">
            <v>0</v>
          </cell>
          <cell r="AR120">
            <v>3.3094944000000001E-2</v>
          </cell>
          <cell r="AS120">
            <v>2.3265233999999999E-2</v>
          </cell>
          <cell r="AT120">
            <v>3.2609791999999999E-2</v>
          </cell>
          <cell r="AU120">
            <v>3.1222646E-2</v>
          </cell>
          <cell r="AV120">
            <v>1.6184898999999999E-2</v>
          </cell>
          <cell r="AW120">
            <v>3.8281326999999997E-2</v>
          </cell>
          <cell r="AX120">
            <v>6.0106680000000003E-2</v>
          </cell>
          <cell r="AY120">
            <v>2.2503537000000001E-2</v>
          </cell>
          <cell r="AZ120">
            <v>2.6395842999999999E-2</v>
          </cell>
          <cell r="BA120">
            <v>5.8830331E-2</v>
          </cell>
          <cell r="BB120">
            <v>0</v>
          </cell>
          <cell r="BC120">
            <v>2.9709770999999999E-2</v>
          </cell>
          <cell r="BD120">
            <v>1.6082332000000001E-2</v>
          </cell>
          <cell r="BE120">
            <v>1.2380079E-2</v>
          </cell>
          <cell r="BF120">
            <v>1.4443538000000001E-2</v>
          </cell>
          <cell r="BG120">
            <v>3.3173631000000002E-2</v>
          </cell>
          <cell r="BH120">
            <v>3.4865536000000003E-2</v>
          </cell>
          <cell r="BI120">
            <v>1.7027521E-2</v>
          </cell>
          <cell r="BJ120">
            <v>1.6444690000000001E-2</v>
          </cell>
        </row>
        <row r="121">
          <cell r="B121">
            <v>2.7047005999999998E-2</v>
          </cell>
          <cell r="C121">
            <v>1.3680804E-2</v>
          </cell>
          <cell r="D121">
            <v>1.8247267000000001E-2</v>
          </cell>
          <cell r="E121">
            <v>5.3808329999999998E-3</v>
          </cell>
          <cell r="F121">
            <v>5.6697509999999998E-3</v>
          </cell>
          <cell r="G121">
            <v>1.4300277E-2</v>
          </cell>
          <cell r="H121">
            <v>4.8329324E-2</v>
          </cell>
          <cell r="I121">
            <v>1.2623667E-2</v>
          </cell>
          <cell r="J121">
            <v>2.1350544999999999E-2</v>
          </cell>
          <cell r="K121">
            <v>4.3004753E-2</v>
          </cell>
          <cell r="L121">
            <v>6.1013228000000003E-2</v>
          </cell>
          <cell r="M121">
            <v>2.9716441E-2</v>
          </cell>
          <cell r="N121">
            <v>1.4192654000000001E-2</v>
          </cell>
          <cell r="O121">
            <v>2.5603428000000001E-2</v>
          </cell>
          <cell r="P121">
            <v>3.2690811E-2</v>
          </cell>
          <cell r="Q121">
            <v>7.5607069999999998E-3</v>
          </cell>
          <cell r="R121">
            <v>3.0930454E-2</v>
          </cell>
          <cell r="S121">
            <v>1.4920900000000001E-2</v>
          </cell>
          <cell r="T121">
            <v>2.3022616999999999E-2</v>
          </cell>
          <cell r="U121">
            <v>9.2359550000000006E-3</v>
          </cell>
          <cell r="V121">
            <v>2.2061883000000001E-2</v>
          </cell>
          <cell r="W121">
            <v>1.6837237000000001E-2</v>
          </cell>
          <cell r="X121">
            <v>9.4606180000000005E-3</v>
          </cell>
          <cell r="Y121">
            <v>3.7355025E-2</v>
          </cell>
          <cell r="Z121">
            <v>1.8418985999999998E-2</v>
          </cell>
          <cell r="AA121">
            <v>2.4101309000000001E-2</v>
          </cell>
          <cell r="AB121">
            <v>1.1468366000000001E-2</v>
          </cell>
          <cell r="AC121">
            <v>7.4705350000000004E-3</v>
          </cell>
          <cell r="AD121">
            <v>2.4030131999999999E-2</v>
          </cell>
          <cell r="AE121">
            <v>1.0192769000000001E-2</v>
          </cell>
          <cell r="AF121">
            <v>3.5758106999999997E-2</v>
          </cell>
          <cell r="AG121">
            <v>1.2361874E-2</v>
          </cell>
          <cell r="AH121">
            <v>1.6855917000000002E-2</v>
          </cell>
          <cell r="AI121">
            <v>0</v>
          </cell>
          <cell r="AJ121">
            <v>1.3217791E-2</v>
          </cell>
          <cell r="AK121">
            <v>8.7980990000000002E-3</v>
          </cell>
          <cell r="AL121">
            <v>1.5454346000000001E-2</v>
          </cell>
          <cell r="AM121">
            <v>1.6485316E-2</v>
          </cell>
          <cell r="AN121">
            <v>1.3031205000000001E-2</v>
          </cell>
          <cell r="AO121">
            <v>0</v>
          </cell>
          <cell r="AP121">
            <v>3.5406733000000003E-2</v>
          </cell>
          <cell r="AQ121">
            <v>0</v>
          </cell>
          <cell r="AR121">
            <v>6.8954999999999997E-3</v>
          </cell>
          <cell r="AS121">
            <v>5.0690370000000002E-3</v>
          </cell>
          <cell r="AT121">
            <v>7.3100459999999997E-3</v>
          </cell>
          <cell r="AU121">
            <v>8.9717000000000009E-3</v>
          </cell>
          <cell r="AV121">
            <v>4.0568649999999998E-3</v>
          </cell>
          <cell r="AW121">
            <v>9.2111180000000008E-3</v>
          </cell>
          <cell r="AX121">
            <v>1.3582240000000001E-2</v>
          </cell>
          <cell r="AY121">
            <v>7.5583179999999996E-3</v>
          </cell>
          <cell r="AZ121">
            <v>1.0024137000000001E-2</v>
          </cell>
          <cell r="BA121">
            <v>1.3196041E-2</v>
          </cell>
          <cell r="BB121">
            <v>0</v>
          </cell>
          <cell r="BC121">
            <v>8.0456929999999996E-3</v>
          </cell>
          <cell r="BD121">
            <v>6.1848479999999997E-3</v>
          </cell>
          <cell r="BE121">
            <v>3.9624559999999996E-3</v>
          </cell>
          <cell r="BF121">
            <v>2.359168E-3</v>
          </cell>
          <cell r="BG121">
            <v>1.1872858999999999E-2</v>
          </cell>
          <cell r="BH121">
            <v>1.3750396999999999E-2</v>
          </cell>
          <cell r="BI121">
            <v>1.0891738E-2</v>
          </cell>
          <cell r="BJ121">
            <v>5.0661400000000002E-3</v>
          </cell>
        </row>
        <row r="122">
          <cell r="B122">
            <v>6.3601800000000002E-4</v>
          </cell>
          <cell r="C122">
            <v>6.3840399999999997E-4</v>
          </cell>
          <cell r="D122">
            <v>4.1790399999999998E-4</v>
          </cell>
          <cell r="E122">
            <v>6.1699999999999995E-5</v>
          </cell>
          <cell r="F122">
            <v>1.1585400000000001E-4</v>
          </cell>
          <cell r="G122">
            <v>1.270817E-3</v>
          </cell>
          <cell r="H122">
            <v>1.540977E-3</v>
          </cell>
          <cell r="I122">
            <v>1.53659E-4</v>
          </cell>
          <cell r="J122">
            <v>2.7754939999999999E-3</v>
          </cell>
          <cell r="K122">
            <v>8.4789940000000001E-3</v>
          </cell>
          <cell r="L122">
            <v>3.6861860000000001E-3</v>
          </cell>
          <cell r="M122">
            <v>5.0403700000000004E-4</v>
          </cell>
          <cell r="N122">
            <v>1.405377E-3</v>
          </cell>
          <cell r="O122">
            <v>3.3681999999999999E-4</v>
          </cell>
          <cell r="P122">
            <v>1.67713E-4</v>
          </cell>
          <cell r="Q122">
            <v>3.040896E-3</v>
          </cell>
          <cell r="R122">
            <v>3.4201000000000001E-3</v>
          </cell>
          <cell r="S122">
            <v>1.0460929999999999E-3</v>
          </cell>
          <cell r="T122">
            <v>1.2675500000000001E-3</v>
          </cell>
          <cell r="U122">
            <v>6.65268E-4</v>
          </cell>
          <cell r="V122">
            <v>1.1286650000000001E-3</v>
          </cell>
          <cell r="W122">
            <v>2.2492899999999999E-4</v>
          </cell>
          <cell r="X122">
            <v>9.5444400000000004E-4</v>
          </cell>
          <cell r="Y122">
            <v>2.0024079999999998E-3</v>
          </cell>
          <cell r="Z122">
            <v>9.8945499999999998E-4</v>
          </cell>
          <cell r="AA122">
            <v>7.5197959999999996E-3</v>
          </cell>
          <cell r="AB122">
            <v>1.1124590000000001E-3</v>
          </cell>
          <cell r="AC122">
            <v>1.23485E-4</v>
          </cell>
          <cell r="AD122">
            <v>2.0772400000000001E-4</v>
          </cell>
          <cell r="AE122">
            <v>1.5065799999999999E-4</v>
          </cell>
          <cell r="AF122">
            <v>1.66253E-4</v>
          </cell>
          <cell r="AG122">
            <v>2.69349E-4</v>
          </cell>
          <cell r="AH122">
            <v>4.8336070000000002E-3</v>
          </cell>
          <cell r="AI122">
            <v>0</v>
          </cell>
          <cell r="AJ122">
            <v>2.3437559999999998E-3</v>
          </cell>
          <cell r="AK122">
            <v>2.497151E-3</v>
          </cell>
          <cell r="AL122">
            <v>6.7650499999999999E-4</v>
          </cell>
          <cell r="AM122">
            <v>5.9042600000000002E-4</v>
          </cell>
          <cell r="AN122">
            <v>1.7573389999999999E-3</v>
          </cell>
          <cell r="AO122">
            <v>0</v>
          </cell>
          <cell r="AP122">
            <v>5.1771170000000002E-3</v>
          </cell>
          <cell r="AQ122">
            <v>0</v>
          </cell>
          <cell r="AR122">
            <v>2.401748E-3</v>
          </cell>
          <cell r="AS122">
            <v>8.9070600000000001E-4</v>
          </cell>
          <cell r="AT122">
            <v>8.2441100000000005E-4</v>
          </cell>
          <cell r="AU122">
            <v>1.0273299999999999E-4</v>
          </cell>
          <cell r="AV122">
            <v>1.456316E-3</v>
          </cell>
          <cell r="AW122">
            <v>1.6199000000000001E-4</v>
          </cell>
          <cell r="AX122">
            <v>4.6446370000000001E-3</v>
          </cell>
          <cell r="AY122">
            <v>1.0168589999999999E-3</v>
          </cell>
          <cell r="AZ122">
            <v>9.99923E-4</v>
          </cell>
          <cell r="BA122">
            <v>1.9419540000000001E-3</v>
          </cell>
          <cell r="BB122">
            <v>0</v>
          </cell>
          <cell r="BC122">
            <v>6.0727669999999997E-3</v>
          </cell>
          <cell r="BD122">
            <v>5.0058500000000001E-3</v>
          </cell>
          <cell r="BE122">
            <v>4.4552120000000001E-3</v>
          </cell>
          <cell r="BF122">
            <v>2.5179299999999998E-3</v>
          </cell>
          <cell r="BG122">
            <v>3.7765899999999998E-3</v>
          </cell>
          <cell r="BH122">
            <v>5.0999289999999996E-3</v>
          </cell>
          <cell r="BI122">
            <v>1.2984240000000001E-3</v>
          </cell>
          <cell r="BJ122">
            <v>4.6678739999999998E-3</v>
          </cell>
        </row>
        <row r="123">
          <cell r="B123">
            <v>3.448193E-3</v>
          </cell>
          <cell r="C123">
            <v>2.3110040000000002E-3</v>
          </cell>
          <cell r="D123">
            <v>3.766742E-3</v>
          </cell>
          <cell r="E123">
            <v>1.0225290000000001E-3</v>
          </cell>
          <cell r="F123">
            <v>1.393149E-3</v>
          </cell>
          <cell r="G123">
            <v>2.3489359999999998E-3</v>
          </cell>
          <cell r="H123">
            <v>9.2288309999999998E-3</v>
          </cell>
          <cell r="I123">
            <v>3.2219990000000001E-3</v>
          </cell>
          <cell r="J123">
            <v>1.7149540000000001E-3</v>
          </cell>
          <cell r="K123">
            <v>2.4381559999999999E-3</v>
          </cell>
          <cell r="L123">
            <v>6.3753129999999996E-3</v>
          </cell>
          <cell r="M123">
            <v>2.906301E-3</v>
          </cell>
          <cell r="N123">
            <v>2.3134140000000002E-3</v>
          </cell>
          <cell r="O123">
            <v>5.2272519999999999E-3</v>
          </cell>
          <cell r="P123">
            <v>7.74693E-3</v>
          </cell>
          <cell r="Q123">
            <v>1.665202E-3</v>
          </cell>
          <cell r="R123">
            <v>5.1308609999999996E-3</v>
          </cell>
          <cell r="S123">
            <v>4.4612469999999998E-3</v>
          </cell>
          <cell r="T123">
            <v>5.6526129999999999E-3</v>
          </cell>
          <cell r="U123">
            <v>2.8104110000000001E-3</v>
          </cell>
          <cell r="V123">
            <v>1.7811260000000001E-3</v>
          </cell>
          <cell r="W123">
            <v>1.5367845E-2</v>
          </cell>
          <cell r="X123">
            <v>1.5436791E-2</v>
          </cell>
          <cell r="Y123">
            <v>4.1934870999999999E-2</v>
          </cell>
          <cell r="Z123">
            <v>3.3597689999999999E-3</v>
          </cell>
          <cell r="AA123">
            <v>2.0337596999999999E-2</v>
          </cell>
          <cell r="AB123">
            <v>8.99499E-4</v>
          </cell>
          <cell r="AC123">
            <v>1.6684429999999999E-3</v>
          </cell>
          <cell r="AD123">
            <v>3.7368240000000001E-3</v>
          </cell>
          <cell r="AE123">
            <v>2.464211E-3</v>
          </cell>
          <cell r="AF123">
            <v>5.5260400000000003E-3</v>
          </cell>
          <cell r="AG123">
            <v>3.2285399999999998E-3</v>
          </cell>
          <cell r="AH123">
            <v>3.9981349999999999E-3</v>
          </cell>
          <cell r="AI123">
            <v>0</v>
          </cell>
          <cell r="AJ123">
            <v>3.2267720000000001E-3</v>
          </cell>
          <cell r="AK123">
            <v>2.4369439999999999E-3</v>
          </cell>
          <cell r="AL123">
            <v>1.987698E-3</v>
          </cell>
          <cell r="AM123">
            <v>1.8890479999999999E-3</v>
          </cell>
          <cell r="AN123">
            <v>2.9090050000000001E-3</v>
          </cell>
          <cell r="AO123">
            <v>0</v>
          </cell>
          <cell r="AP123">
            <v>1.0537479000000001E-2</v>
          </cell>
          <cell r="AQ123">
            <v>0</v>
          </cell>
          <cell r="AR123">
            <v>1.745576E-3</v>
          </cell>
          <cell r="AS123">
            <v>9.8828999999999996E-4</v>
          </cell>
          <cell r="AT123">
            <v>2.044761E-3</v>
          </cell>
          <cell r="AU123">
            <v>1.5036889999999999E-3</v>
          </cell>
          <cell r="AV123">
            <v>1.4659639999999999E-3</v>
          </cell>
          <cell r="AW123">
            <v>8.9982899999999999E-4</v>
          </cell>
          <cell r="AX123">
            <v>1.5195740000000001E-3</v>
          </cell>
          <cell r="AY123">
            <v>1.388495E-3</v>
          </cell>
          <cell r="AZ123">
            <v>1.5173070000000001E-3</v>
          </cell>
          <cell r="BA123">
            <v>2.9180790000000001E-3</v>
          </cell>
          <cell r="BB123">
            <v>0</v>
          </cell>
          <cell r="BC123">
            <v>1.6322291999999999E-2</v>
          </cell>
          <cell r="BD123">
            <v>3.8191810000000001E-3</v>
          </cell>
          <cell r="BE123">
            <v>4.9276959999999996E-3</v>
          </cell>
          <cell r="BF123">
            <v>1.1907720000000001E-3</v>
          </cell>
          <cell r="BG123">
            <v>4.5291307000000003E-2</v>
          </cell>
          <cell r="BH123">
            <v>2.0217809999999998E-3</v>
          </cell>
          <cell r="BI123">
            <v>1.948375E-3</v>
          </cell>
          <cell r="BJ123">
            <v>1.438445E-3</v>
          </cell>
        </row>
        <row r="124">
          <cell r="B124">
            <v>1.7270707E-2</v>
          </cell>
          <cell r="C124">
            <v>2.2416934999999999E-2</v>
          </cell>
          <cell r="D124">
            <v>1.7898491999999998E-2</v>
          </cell>
          <cell r="E124">
            <v>5.365201E-3</v>
          </cell>
          <cell r="F124">
            <v>7.5185429999999999E-3</v>
          </cell>
          <cell r="G124">
            <v>5.8809425999999998E-2</v>
          </cell>
          <cell r="H124">
            <v>8.2560713999999993E-2</v>
          </cell>
          <cell r="I124">
            <v>1.6656901000000002E-2</v>
          </cell>
          <cell r="J124">
            <v>2.2148866E-2</v>
          </cell>
          <cell r="K124">
            <v>4.2818881000000003E-2</v>
          </cell>
          <cell r="L124">
            <v>4.3011425999999998E-2</v>
          </cell>
          <cell r="M124">
            <v>1.523249E-2</v>
          </cell>
          <cell r="N124">
            <v>2.9560468999999999E-2</v>
          </cell>
          <cell r="O124">
            <v>1.8033820999999998E-2</v>
          </cell>
          <cell r="P124">
            <v>2.8983867999999999E-2</v>
          </cell>
          <cell r="Q124">
            <v>4.2644287000000003E-2</v>
          </cell>
          <cell r="R124">
            <v>6.1622964000000002E-2</v>
          </cell>
          <cell r="S124">
            <v>0.20064143300000001</v>
          </cell>
          <cell r="T124">
            <v>0.28683148000000003</v>
          </cell>
          <cell r="U124">
            <v>3.8606641999999997E-2</v>
          </cell>
          <cell r="V124">
            <v>2.0610397999999999E-2</v>
          </cell>
          <cell r="W124">
            <v>4.0072492000000001E-2</v>
          </cell>
          <cell r="X124">
            <v>0.22639365</v>
          </cell>
          <cell r="Y124">
            <v>0.12693434000000001</v>
          </cell>
          <cell r="Z124">
            <v>4.1029897000000003E-2</v>
          </cell>
          <cell r="AA124">
            <v>2.2112364999999998E-2</v>
          </cell>
          <cell r="AB124">
            <v>3.3451370000000002E-3</v>
          </cell>
          <cell r="AC124">
            <v>5.991405E-3</v>
          </cell>
          <cell r="AD124">
            <v>1.3793730000000001E-2</v>
          </cell>
          <cell r="AE124">
            <v>8.7423589999999999E-3</v>
          </cell>
          <cell r="AF124">
            <v>2.0739205E-2</v>
          </cell>
          <cell r="AG124">
            <v>1.0670377E-2</v>
          </cell>
          <cell r="AH124">
            <v>1.5146366E-2</v>
          </cell>
          <cell r="AI124">
            <v>0</v>
          </cell>
          <cell r="AJ124">
            <v>1.5389915000000001E-2</v>
          </cell>
          <cell r="AK124">
            <v>1.3049721E-2</v>
          </cell>
          <cell r="AL124">
            <v>1.3352179E-2</v>
          </cell>
          <cell r="AM124">
            <v>1.3191230999999999E-2</v>
          </cell>
          <cell r="AN124">
            <v>1.4406624E-2</v>
          </cell>
          <cell r="AO124">
            <v>0</v>
          </cell>
          <cell r="AP124">
            <v>3.7070625000000003E-2</v>
          </cell>
          <cell r="AQ124">
            <v>0</v>
          </cell>
          <cell r="AR124">
            <v>8.9064869999999994E-3</v>
          </cell>
          <cell r="AS124">
            <v>3.037578E-3</v>
          </cell>
          <cell r="AT124">
            <v>2.7740322000000001E-2</v>
          </cell>
          <cell r="AU124">
            <v>4.9751550000000002E-3</v>
          </cell>
          <cell r="AV124">
            <v>2.1812964000000001E-2</v>
          </cell>
          <cell r="AW124">
            <v>6.1841170000000003E-3</v>
          </cell>
          <cell r="AX124">
            <v>1.3693965000000001E-2</v>
          </cell>
          <cell r="AY124">
            <v>6.913705E-3</v>
          </cell>
          <cell r="AZ124">
            <v>6.9737169999999999E-3</v>
          </cell>
          <cell r="BA124">
            <v>1.1536670000000001E-2</v>
          </cell>
          <cell r="BB124">
            <v>0</v>
          </cell>
          <cell r="BC124">
            <v>9.5033562000000002E-2</v>
          </cell>
          <cell r="BD124">
            <v>8.0855248000000005E-2</v>
          </cell>
          <cell r="BE124">
            <v>8.0497314E-2</v>
          </cell>
          <cell r="BF124">
            <v>7.2393417000000002E-2</v>
          </cell>
          <cell r="BG124">
            <v>8.4211753E-2</v>
          </cell>
          <cell r="BH124">
            <v>6.6502139999999998E-3</v>
          </cell>
          <cell r="BI124">
            <v>5.8633950000000004E-3</v>
          </cell>
          <cell r="BJ124">
            <v>5.5843009999999998E-3</v>
          </cell>
        </row>
        <row r="125">
          <cell r="B125">
            <v>9.3365500000000003E-4</v>
          </cell>
          <cell r="C125">
            <v>6.9481600000000001E-4</v>
          </cell>
          <cell r="D125">
            <v>8.6928099999999996E-4</v>
          </cell>
          <cell r="E125">
            <v>4.0564799999999999E-4</v>
          </cell>
          <cell r="F125">
            <v>4.5867199999999998E-4</v>
          </cell>
          <cell r="G125">
            <v>4.50748E-4</v>
          </cell>
          <cell r="H125">
            <v>2.8936830000000002E-3</v>
          </cell>
          <cell r="I125">
            <v>1.2430150000000001E-3</v>
          </cell>
          <cell r="J125">
            <v>4.34793E-4</v>
          </cell>
          <cell r="K125">
            <v>4.9619599999999996E-4</v>
          </cell>
          <cell r="L125">
            <v>1.789821E-3</v>
          </cell>
          <cell r="M125">
            <v>6.35858E-4</v>
          </cell>
          <cell r="N125">
            <v>4.86176E-4</v>
          </cell>
          <cell r="O125">
            <v>7.8445200000000004E-4</v>
          </cell>
          <cell r="P125">
            <v>1.658893E-3</v>
          </cell>
          <cell r="Q125">
            <v>3.7809600000000002E-4</v>
          </cell>
          <cell r="R125">
            <v>1.543989E-3</v>
          </cell>
          <cell r="S125">
            <v>7.29961E-4</v>
          </cell>
          <cell r="T125">
            <v>8.8647900000000002E-4</v>
          </cell>
          <cell r="U125">
            <v>4.2826300000000002E-4</v>
          </cell>
          <cell r="V125">
            <v>4.0865399999999999E-4</v>
          </cell>
          <cell r="W125">
            <v>1.2735120000000001E-3</v>
          </cell>
          <cell r="X125">
            <v>5.9049325E-2</v>
          </cell>
          <cell r="Y125">
            <v>4.3606189999999996E-3</v>
          </cell>
          <cell r="Z125">
            <v>1.0365089999999999E-3</v>
          </cell>
          <cell r="AA125">
            <v>4.8954800000000002E-4</v>
          </cell>
          <cell r="AB125">
            <v>2.3696000000000001E-4</v>
          </cell>
          <cell r="AC125">
            <v>5.3655300000000005E-4</v>
          </cell>
          <cell r="AD125">
            <v>1.2066659999999999E-3</v>
          </cell>
          <cell r="AE125">
            <v>8.4165800000000001E-4</v>
          </cell>
          <cell r="AF125">
            <v>1.8623870000000001E-3</v>
          </cell>
          <cell r="AG125">
            <v>8.6436599999999998E-4</v>
          </cell>
          <cell r="AH125">
            <v>9.5926599999999996E-4</v>
          </cell>
          <cell r="AI125">
            <v>0</v>
          </cell>
          <cell r="AJ125">
            <v>8.8075700000000002E-4</v>
          </cell>
          <cell r="AK125">
            <v>6.3765600000000001E-4</v>
          </cell>
          <cell r="AL125">
            <v>8.8524700000000003E-4</v>
          </cell>
          <cell r="AM125">
            <v>8.94858E-4</v>
          </cell>
          <cell r="AN125">
            <v>7.8425200000000004E-4</v>
          </cell>
          <cell r="AO125">
            <v>0</v>
          </cell>
          <cell r="AP125">
            <v>2.9226149999999999E-3</v>
          </cell>
          <cell r="AQ125">
            <v>0</v>
          </cell>
          <cell r="AR125">
            <v>4.6856699999999997E-4</v>
          </cell>
          <cell r="AS125">
            <v>2.5419100000000002E-4</v>
          </cell>
          <cell r="AT125">
            <v>2.25157E-4</v>
          </cell>
          <cell r="AU125">
            <v>3.60026E-4</v>
          </cell>
          <cell r="AV125">
            <v>2.1306799999999999E-4</v>
          </cell>
          <cell r="AW125">
            <v>2.2238600000000001E-4</v>
          </cell>
          <cell r="AX125">
            <v>3.3962499999999997E-4</v>
          </cell>
          <cell r="AY125">
            <v>3.6383500000000002E-4</v>
          </cell>
          <cell r="AZ125">
            <v>4.1944900000000002E-4</v>
          </cell>
          <cell r="BA125">
            <v>7.7690799999999998E-4</v>
          </cell>
          <cell r="BB125">
            <v>0</v>
          </cell>
          <cell r="BC125">
            <v>1.50877E-3</v>
          </cell>
          <cell r="BD125">
            <v>1.1536859999999999E-3</v>
          </cell>
          <cell r="BE125">
            <v>1.6421980000000001E-3</v>
          </cell>
          <cell r="BF125">
            <v>1.3399429999999999E-3</v>
          </cell>
          <cell r="BG125">
            <v>3.4338440000000001E-3</v>
          </cell>
          <cell r="BH125">
            <v>5.1986000000000003E-4</v>
          </cell>
          <cell r="BI125">
            <v>4.0168099999999998E-4</v>
          </cell>
          <cell r="BJ125">
            <v>4.5297499999999999E-4</v>
          </cell>
        </row>
        <row r="126">
          <cell r="B126">
            <v>1.85162E-4</v>
          </cell>
          <cell r="C126">
            <v>8.4499999999999994E-5</v>
          </cell>
          <cell r="D126">
            <v>2.2302300000000001E-4</v>
          </cell>
          <cell r="E126">
            <v>1.28291E-4</v>
          </cell>
          <cell r="F126">
            <v>1.3699999999999999E-5</v>
          </cell>
          <cell r="G126">
            <v>9.3999999999999994E-5</v>
          </cell>
          <cell r="H126">
            <v>5.363339E-3</v>
          </cell>
          <cell r="I126">
            <v>6.1099999999999994E-5</v>
          </cell>
          <cell r="J126">
            <v>2.1951100000000001E-4</v>
          </cell>
          <cell r="K126">
            <v>3.0090100000000001E-4</v>
          </cell>
          <cell r="L126">
            <v>7.9800000000000002E-5</v>
          </cell>
          <cell r="M126">
            <v>4.3600000000000003E-5</v>
          </cell>
          <cell r="N126">
            <v>1.05604E-4</v>
          </cell>
          <cell r="O126">
            <v>1.15065E-4</v>
          </cell>
          <cell r="P126">
            <v>1.33499E-4</v>
          </cell>
          <cell r="Q126">
            <v>1.8188500000000001E-4</v>
          </cell>
          <cell r="R126">
            <v>5.1844700000000001E-4</v>
          </cell>
          <cell r="S126">
            <v>7.8235999999999996E-4</v>
          </cell>
          <cell r="T126">
            <v>8.4310799999999997E-4</v>
          </cell>
          <cell r="U126">
            <v>1.83893E-4</v>
          </cell>
          <cell r="V126">
            <v>4.7299999999999998E-5</v>
          </cell>
          <cell r="W126">
            <v>3.2299999999999999E-5</v>
          </cell>
          <cell r="X126">
            <v>2.05899E-4</v>
          </cell>
          <cell r="Y126">
            <v>1.9924799999999999E-4</v>
          </cell>
          <cell r="Z126">
            <v>1.2215889999999999E-3</v>
          </cell>
          <cell r="AA126">
            <v>1.361929E-3</v>
          </cell>
          <cell r="AB126">
            <v>5.1900000000000001E-5</v>
          </cell>
          <cell r="AC126">
            <v>4.5500000000000001E-5</v>
          </cell>
          <cell r="AD126">
            <v>6.7000000000000002E-5</v>
          </cell>
          <cell r="AE126">
            <v>1.03677E-4</v>
          </cell>
          <cell r="AF126">
            <v>9.2399999999999996E-5</v>
          </cell>
          <cell r="AG126">
            <v>8.7100000000000003E-5</v>
          </cell>
          <cell r="AH126">
            <v>8.7299999999999994E-5</v>
          </cell>
          <cell r="AI126">
            <v>0</v>
          </cell>
          <cell r="AJ126">
            <v>1.02154E-4</v>
          </cell>
          <cell r="AK126">
            <v>6.9999999999999994E-5</v>
          </cell>
          <cell r="AL126">
            <v>5.3399999999999997E-5</v>
          </cell>
          <cell r="AM126">
            <v>3.9499999999999998E-5</v>
          </cell>
          <cell r="AN126">
            <v>6.0999999999999999E-5</v>
          </cell>
          <cell r="AO126">
            <v>0</v>
          </cell>
          <cell r="AP126">
            <v>1.10027E-4</v>
          </cell>
          <cell r="AQ126">
            <v>0</v>
          </cell>
          <cell r="AR126">
            <v>8.9400000000000005E-5</v>
          </cell>
          <cell r="AS126">
            <v>4.9700000000000002E-5</v>
          </cell>
          <cell r="AT126">
            <v>1.91361E-4</v>
          </cell>
          <cell r="AU126">
            <v>1.4810999999999999E-4</v>
          </cell>
          <cell r="AV126">
            <v>5.4400000000000001E-5</v>
          </cell>
          <cell r="AW126">
            <v>1.3555899999999999E-4</v>
          </cell>
          <cell r="AX126">
            <v>3.4600000000000001E-5</v>
          </cell>
          <cell r="AY126">
            <v>1.11266E-4</v>
          </cell>
          <cell r="AZ126">
            <v>4.1100000000000003E-5</v>
          </cell>
          <cell r="BA126">
            <v>4.7599999999999998E-5</v>
          </cell>
          <cell r="BB126">
            <v>0</v>
          </cell>
          <cell r="BC126">
            <v>1.17095E-4</v>
          </cell>
          <cell r="BD126">
            <v>4.57E-5</v>
          </cell>
          <cell r="BE126">
            <v>5.6499999999999998E-5</v>
          </cell>
          <cell r="BF126">
            <v>2.3600000000000001E-5</v>
          </cell>
          <cell r="BG126">
            <v>3.1973899999999998E-4</v>
          </cell>
          <cell r="BH126">
            <v>5.6700000000000003E-5</v>
          </cell>
          <cell r="BI126">
            <v>7.5500000000000006E-5</v>
          </cell>
          <cell r="BJ126">
            <v>3.2100000000000001E-5</v>
          </cell>
        </row>
        <row r="127">
          <cell r="B127">
            <v>3.0199999999999999E-5</v>
          </cell>
          <cell r="C127">
            <v>1.1800000000000001E-5</v>
          </cell>
          <cell r="D127">
            <v>2.4499999999999999E-5</v>
          </cell>
          <cell r="E127">
            <v>1.5400000000000002E-5</v>
          </cell>
          <cell r="F127">
            <v>1.6700000000000001E-6</v>
          </cell>
          <cell r="G127">
            <v>1.9899999999999999E-5</v>
          </cell>
          <cell r="H127">
            <v>1.353976E-3</v>
          </cell>
          <cell r="I127">
            <v>1.1600000000000001E-5</v>
          </cell>
          <cell r="J127">
            <v>3.3500000000000001E-5</v>
          </cell>
          <cell r="K127">
            <v>4.2299999999999998E-5</v>
          </cell>
          <cell r="L127">
            <v>1.4100000000000001E-5</v>
          </cell>
          <cell r="M127">
            <v>5.1499999999999998E-6</v>
          </cell>
          <cell r="N127">
            <v>2.1500000000000001E-5</v>
          </cell>
          <cell r="O127">
            <v>2.9899999999999998E-5</v>
          </cell>
          <cell r="P127">
            <v>2.51E-5</v>
          </cell>
          <cell r="Q127">
            <v>1.7600000000000001E-5</v>
          </cell>
          <cell r="R127">
            <v>4.5200000000000001E-5</v>
          </cell>
          <cell r="S127">
            <v>8.25E-5</v>
          </cell>
          <cell r="T127">
            <v>9.4400000000000004E-5</v>
          </cell>
          <cell r="U127">
            <v>2.1299999999999999E-5</v>
          </cell>
          <cell r="V127">
            <v>6.1099999999999999E-6</v>
          </cell>
          <cell r="W127">
            <v>6.9399999999999996E-6</v>
          </cell>
          <cell r="X127">
            <v>4.1499999999999999E-5</v>
          </cell>
          <cell r="Y127">
            <v>2.6299999999999999E-5</v>
          </cell>
          <cell r="Z127">
            <v>3.2393100000000001E-4</v>
          </cell>
          <cell r="AA127">
            <v>4.1809099999999999E-4</v>
          </cell>
          <cell r="AB127">
            <v>4.3200000000000001E-6</v>
          </cell>
          <cell r="AC127">
            <v>5.8000000000000004E-6</v>
          </cell>
          <cell r="AD127">
            <v>7.5800000000000003E-6</v>
          </cell>
          <cell r="AE127">
            <v>1.11E-5</v>
          </cell>
          <cell r="AF127">
            <v>1.17E-5</v>
          </cell>
          <cell r="AG127">
            <v>1.0900000000000001E-5</v>
          </cell>
          <cell r="AH127">
            <v>1.0900000000000001E-5</v>
          </cell>
          <cell r="AI127">
            <v>0</v>
          </cell>
          <cell r="AJ127">
            <v>1.04E-5</v>
          </cell>
          <cell r="AK127">
            <v>7.2099999999999996E-6</v>
          </cell>
          <cell r="AL127">
            <v>6.0599999999999996E-6</v>
          </cell>
          <cell r="AM127">
            <v>4.5199999999999999E-6</v>
          </cell>
          <cell r="AN127">
            <v>7.6299999999999998E-6</v>
          </cell>
          <cell r="AO127">
            <v>0</v>
          </cell>
          <cell r="AP127">
            <v>3.57E-5</v>
          </cell>
          <cell r="AQ127">
            <v>0</v>
          </cell>
          <cell r="AR127">
            <v>9.9599999999999995E-6</v>
          </cell>
          <cell r="AS127">
            <v>4.6399999999999996E-6</v>
          </cell>
          <cell r="AT127">
            <v>2.4199999999999999E-5</v>
          </cell>
          <cell r="AU127">
            <v>3.0800000000000003E-5</v>
          </cell>
          <cell r="AV127">
            <v>4.8999999999999997E-6</v>
          </cell>
          <cell r="AW127">
            <v>2.16E-5</v>
          </cell>
          <cell r="AX127">
            <v>4.95E-6</v>
          </cell>
          <cell r="AY127">
            <v>9.91E-6</v>
          </cell>
          <cell r="AZ127">
            <v>4.8899999999999998E-6</v>
          </cell>
          <cell r="BA127">
            <v>6.02E-6</v>
          </cell>
          <cell r="BB127">
            <v>0</v>
          </cell>
          <cell r="BC127">
            <v>1.8300000000000001E-5</v>
          </cell>
          <cell r="BD127">
            <v>9.9699999999999994E-6</v>
          </cell>
          <cell r="BE127">
            <v>1.1199999999999999E-5</v>
          </cell>
          <cell r="BF127">
            <v>7.0899999999999999E-6</v>
          </cell>
          <cell r="BG127">
            <v>3.2499999999999997E-5</v>
          </cell>
          <cell r="BH127">
            <v>5.0799999999999996E-6</v>
          </cell>
          <cell r="BI127">
            <v>6.7399999999999998E-6</v>
          </cell>
          <cell r="BJ127">
            <v>4.69E-6</v>
          </cell>
        </row>
        <row r="128">
          <cell r="B128">
            <v>7.6484899999999995E-4</v>
          </cell>
          <cell r="C128">
            <v>8.3257299999999997E-4</v>
          </cell>
          <cell r="D128">
            <v>1.2935259999999999E-3</v>
          </cell>
          <cell r="E128">
            <v>3.4633800000000002E-4</v>
          </cell>
          <cell r="F128">
            <v>4.94277E-4</v>
          </cell>
          <cell r="G128">
            <v>7.6541800000000002E-4</v>
          </cell>
          <cell r="H128">
            <v>2.9148120000000001E-3</v>
          </cell>
          <cell r="I128">
            <v>1.0940909999999999E-3</v>
          </cell>
          <cell r="J128">
            <v>9.9410600000000003E-4</v>
          </cell>
          <cell r="K128">
            <v>2.7481789999999999E-3</v>
          </cell>
          <cell r="L128">
            <v>3.012505E-3</v>
          </cell>
          <cell r="M128">
            <v>7.5805299999999996E-4</v>
          </cell>
          <cell r="N128">
            <v>9.8597799999999998E-4</v>
          </cell>
          <cell r="O128">
            <v>1.7963479999999999E-3</v>
          </cell>
          <cell r="P128">
            <v>2.622096E-3</v>
          </cell>
          <cell r="Q128">
            <v>4.3032200000000002E-4</v>
          </cell>
          <cell r="R128">
            <v>1.8150449999999999E-3</v>
          </cell>
          <cell r="S128">
            <v>8.0444999999999996E-4</v>
          </cell>
          <cell r="T128">
            <v>1.0751350000000001E-3</v>
          </cell>
          <cell r="U128">
            <v>5.0953000000000001E-4</v>
          </cell>
          <cell r="V128">
            <v>1.1640279999999999E-3</v>
          </cell>
          <cell r="W128">
            <v>1.206904E-3</v>
          </cell>
          <cell r="X128">
            <v>1.0191410000000001E-3</v>
          </cell>
          <cell r="Y128">
            <v>4.5103749999999996E-3</v>
          </cell>
          <cell r="Z128">
            <v>9.1388799999999996E-4</v>
          </cell>
          <cell r="AA128">
            <v>1.0803480000000001E-3</v>
          </cell>
          <cell r="AB128">
            <v>3.0626900000000002E-4</v>
          </cell>
          <cell r="AC128">
            <v>6.4069500000000004E-4</v>
          </cell>
          <cell r="AD128">
            <v>1.5412920000000001E-3</v>
          </cell>
          <cell r="AE128">
            <v>1.1224060000000001E-3</v>
          </cell>
          <cell r="AF128">
            <v>2.268197E-3</v>
          </cell>
          <cell r="AG128">
            <v>1.3865730000000001E-3</v>
          </cell>
          <cell r="AH128">
            <v>1.3232129999999999E-3</v>
          </cell>
          <cell r="AI128">
            <v>0</v>
          </cell>
          <cell r="AJ128">
            <v>1.018054E-3</v>
          </cell>
          <cell r="AK128">
            <v>7.5449499999999999E-4</v>
          </cell>
          <cell r="AL128">
            <v>8.1497099999999995E-4</v>
          </cell>
          <cell r="AM128">
            <v>8.7048900000000001E-4</v>
          </cell>
          <cell r="AN128">
            <v>1.063533E-3</v>
          </cell>
          <cell r="AO128">
            <v>0</v>
          </cell>
          <cell r="AP128">
            <v>3.3580630000000001E-3</v>
          </cell>
          <cell r="AQ128">
            <v>0</v>
          </cell>
          <cell r="AR128">
            <v>6.8038899999999999E-4</v>
          </cell>
          <cell r="AS128">
            <v>3.7747699999999998E-4</v>
          </cell>
          <cell r="AT128">
            <v>9.3853700000000003E-4</v>
          </cell>
          <cell r="AU128">
            <v>2.5647280000000001E-3</v>
          </cell>
          <cell r="AV128">
            <v>5.9221399999999998E-4</v>
          </cell>
          <cell r="AW128">
            <v>2.606241E-3</v>
          </cell>
          <cell r="AX128">
            <v>6.3056799999999997E-4</v>
          </cell>
          <cell r="AY128">
            <v>6.8915100000000004E-4</v>
          </cell>
          <cell r="AZ128">
            <v>1.585089E-3</v>
          </cell>
          <cell r="BA128">
            <v>8.9284900000000003E-4</v>
          </cell>
          <cell r="BB128">
            <v>0</v>
          </cell>
          <cell r="BC128">
            <v>6.8538300000000002E-4</v>
          </cell>
          <cell r="BD128">
            <v>2.8825999999999998E-4</v>
          </cell>
          <cell r="BE128">
            <v>2.0668300000000001E-4</v>
          </cell>
          <cell r="BF128">
            <v>1.4624700000000001E-4</v>
          </cell>
          <cell r="BG128">
            <v>8.9305500000000002E-4</v>
          </cell>
          <cell r="BH128">
            <v>5.7797600000000001E-4</v>
          </cell>
          <cell r="BI128">
            <v>3.38831E-4</v>
          </cell>
          <cell r="BJ128">
            <v>5.4049700000000003E-4</v>
          </cell>
        </row>
        <row r="129">
          <cell r="B129">
            <v>2.854859E-3</v>
          </cell>
          <cell r="C129">
            <v>2.8185939999999998E-3</v>
          </cell>
          <cell r="D129">
            <v>2.2087399999999998E-3</v>
          </cell>
          <cell r="E129">
            <v>5.95018E-4</v>
          </cell>
          <cell r="F129">
            <v>8.7890799999999997E-4</v>
          </cell>
          <cell r="G129">
            <v>7.5376660000000002E-3</v>
          </cell>
          <cell r="H129">
            <v>1.0400997E-2</v>
          </cell>
          <cell r="I129">
            <v>1.745704E-3</v>
          </cell>
          <cell r="J129">
            <v>3.8818699999999999E-3</v>
          </cell>
          <cell r="K129">
            <v>8.7406040000000008E-3</v>
          </cell>
          <cell r="L129">
            <v>6.7026860000000002E-3</v>
          </cell>
          <cell r="M129">
            <v>3.7908460000000001E-3</v>
          </cell>
          <cell r="N129">
            <v>2.5712510000000001E-3</v>
          </cell>
          <cell r="O129">
            <v>2.2137070000000001E-3</v>
          </cell>
          <cell r="P129">
            <v>3.2166809999999999E-3</v>
          </cell>
          <cell r="Q129">
            <v>3.802873E-3</v>
          </cell>
          <cell r="R129">
            <v>6.5518399999999997E-3</v>
          </cell>
          <cell r="S129">
            <v>1.2220593E-2</v>
          </cell>
          <cell r="T129">
            <v>1.6969841999999999E-2</v>
          </cell>
          <cell r="U129">
            <v>3.206141E-3</v>
          </cell>
          <cell r="V129">
            <v>1.9574950000000001E-3</v>
          </cell>
          <cell r="W129">
            <v>7.8107250000000001E-3</v>
          </cell>
          <cell r="X129">
            <v>4.7694319999999998E-2</v>
          </cell>
          <cell r="Y129">
            <v>8.1183078000000006E-2</v>
          </cell>
          <cell r="Z129">
            <v>4.8860470000000001E-3</v>
          </cell>
          <cell r="AA129">
            <v>1.0977143E-2</v>
          </cell>
          <cell r="AB129">
            <v>7.0704139999999997E-3</v>
          </cell>
          <cell r="AC129">
            <v>2.0845799000000002E-2</v>
          </cell>
          <cell r="AD129">
            <v>4.0658342E-2</v>
          </cell>
          <cell r="AE129">
            <v>5.2466252999999997E-2</v>
          </cell>
          <cell r="AF129">
            <v>4.8092540000000003E-2</v>
          </cell>
          <cell r="AG129">
            <v>6.1433205999999997E-2</v>
          </cell>
          <cell r="AH129">
            <v>1.7804176000000001E-2</v>
          </cell>
          <cell r="AI129">
            <v>0</v>
          </cell>
          <cell r="AJ129">
            <v>1.0593816000000001E-2</v>
          </cell>
          <cell r="AK129">
            <v>1.0310395999999999E-2</v>
          </cell>
          <cell r="AL129">
            <v>3.9662609999999996E-3</v>
          </cell>
          <cell r="AM129">
            <v>3.5165420000000001E-3</v>
          </cell>
          <cell r="AN129">
            <v>7.3690170000000003E-3</v>
          </cell>
          <cell r="AO129">
            <v>0</v>
          </cell>
          <cell r="AP129">
            <v>1.9210640000000001E-2</v>
          </cell>
          <cell r="AQ129">
            <v>0</v>
          </cell>
          <cell r="AR129">
            <v>2.1830626999999998E-2</v>
          </cell>
          <cell r="AS129">
            <v>1.0247832E-2</v>
          </cell>
          <cell r="AT129">
            <v>4.9927579999999999E-3</v>
          </cell>
          <cell r="AU129">
            <v>2.0797950000000002E-3</v>
          </cell>
          <cell r="AV129">
            <v>1.9607270000000002E-3</v>
          </cell>
          <cell r="AW129">
            <v>6.6239080000000004E-3</v>
          </cell>
          <cell r="AX129">
            <v>4.0945189999999996E-3</v>
          </cell>
          <cell r="AY129">
            <v>1.8553420000000001E-3</v>
          </cell>
          <cell r="AZ129">
            <v>3.8129129999999998E-3</v>
          </cell>
          <cell r="BA129">
            <v>1.4652884999999999E-2</v>
          </cell>
          <cell r="BB129">
            <v>0</v>
          </cell>
          <cell r="BC129">
            <v>9.1564209999999997E-3</v>
          </cell>
          <cell r="BD129">
            <v>7.564543E-3</v>
          </cell>
          <cell r="BE129">
            <v>8.1018300000000008E-3</v>
          </cell>
          <cell r="BF129">
            <v>5.3133549999999996E-3</v>
          </cell>
          <cell r="BG129">
            <v>1.6146087999999999E-2</v>
          </cell>
          <cell r="BH129">
            <v>1.0641667E-2</v>
          </cell>
          <cell r="BI129">
            <v>2.5879829999999999E-3</v>
          </cell>
          <cell r="BJ129">
            <v>1.129225E-3</v>
          </cell>
        </row>
        <row r="130">
          <cell r="B130">
            <v>5.2077899999999997E-4</v>
          </cell>
          <cell r="C130">
            <v>4.6802999999999998E-4</v>
          </cell>
          <cell r="D130">
            <v>2.0494400000000001E-4</v>
          </cell>
          <cell r="E130">
            <v>4.7299999999999998E-5</v>
          </cell>
          <cell r="F130">
            <v>8.42E-5</v>
          </cell>
          <cell r="G130">
            <v>1.365836E-3</v>
          </cell>
          <cell r="H130">
            <v>1.723535E-3</v>
          </cell>
          <cell r="I130">
            <v>1.2924400000000001E-4</v>
          </cell>
          <cell r="J130">
            <v>1.0939929999999999E-3</v>
          </cell>
          <cell r="K130">
            <v>2.868743E-3</v>
          </cell>
          <cell r="L130">
            <v>1.5763280000000001E-3</v>
          </cell>
          <cell r="M130">
            <v>1.5258769999999999E-3</v>
          </cell>
          <cell r="N130">
            <v>1.775006E-3</v>
          </cell>
          <cell r="O130">
            <v>5.13248E-4</v>
          </cell>
          <cell r="P130">
            <v>4.3209800000000001E-4</v>
          </cell>
          <cell r="Q130">
            <v>1.3058119999999999E-3</v>
          </cell>
          <cell r="R130">
            <v>1.481509E-3</v>
          </cell>
          <cell r="S130">
            <v>1.2509699999999999E-3</v>
          </cell>
          <cell r="T130">
            <v>1.692296E-3</v>
          </cell>
          <cell r="U130">
            <v>1.22072E-3</v>
          </cell>
          <cell r="V130">
            <v>2.0230754E-2</v>
          </cell>
          <cell r="W130">
            <v>7.3999999999999996E-5</v>
          </cell>
          <cell r="X130">
            <v>3.7654399999999998E-4</v>
          </cell>
          <cell r="Y130">
            <v>8.8513700000000003E-4</v>
          </cell>
          <cell r="Z130">
            <v>5.2962300000000001E-4</v>
          </cell>
          <cell r="AA130">
            <v>7.5091700000000003E-4</v>
          </cell>
          <cell r="AB130">
            <v>6.4364269999999998E-3</v>
          </cell>
          <cell r="AC130">
            <v>1.6000000000000001E-3</v>
          </cell>
          <cell r="AD130">
            <v>3.2685430000000001E-3</v>
          </cell>
          <cell r="AE130">
            <v>1.143313E-3</v>
          </cell>
          <cell r="AF130">
            <v>1.3452970000000001E-3</v>
          </cell>
          <cell r="AG130">
            <v>1.4952539999999999E-3</v>
          </cell>
          <cell r="AH130">
            <v>1.62258E-4</v>
          </cell>
          <cell r="AI130">
            <v>0</v>
          </cell>
          <cell r="AJ130">
            <v>9.4300000000000002E-5</v>
          </cell>
          <cell r="AK130">
            <v>9.7100000000000002E-5</v>
          </cell>
          <cell r="AL130">
            <v>3.8399999999999998E-5</v>
          </cell>
          <cell r="AM130">
            <v>3.5500000000000002E-5</v>
          </cell>
          <cell r="AN130">
            <v>6.4999999999999994E-5</v>
          </cell>
          <cell r="AO130">
            <v>0</v>
          </cell>
          <cell r="AP130">
            <v>2.0941300000000001E-4</v>
          </cell>
          <cell r="AQ130">
            <v>0</v>
          </cell>
          <cell r="AR130">
            <v>1.6789999999999999E-4</v>
          </cell>
          <cell r="AS130">
            <v>2.8974399999999998E-3</v>
          </cell>
          <cell r="AT130">
            <v>1.3896340000000001E-3</v>
          </cell>
          <cell r="AU130">
            <v>5.1371189999999999E-3</v>
          </cell>
          <cell r="AV130">
            <v>3.1334819999999999E-3</v>
          </cell>
          <cell r="AW130">
            <v>7.6569949999999998E-3</v>
          </cell>
          <cell r="AX130">
            <v>4.405389E-3</v>
          </cell>
          <cell r="AY130">
            <v>1.8473129999999999E-3</v>
          </cell>
          <cell r="AZ130">
            <v>4.4074989999999996E-3</v>
          </cell>
          <cell r="BA130">
            <v>1.4651930000000001E-3</v>
          </cell>
          <cell r="BB130">
            <v>0</v>
          </cell>
          <cell r="BC130">
            <v>6.396929E-3</v>
          </cell>
          <cell r="BD130">
            <v>5.4375769999999999E-3</v>
          </cell>
          <cell r="BE130">
            <v>5.9823999999999997E-3</v>
          </cell>
          <cell r="BF130">
            <v>1.0479176999999999E-2</v>
          </cell>
          <cell r="BG130">
            <v>1.273551E-2</v>
          </cell>
          <cell r="BH130">
            <v>6.3975990000000003E-3</v>
          </cell>
          <cell r="BI130">
            <v>2.4970169999999998E-3</v>
          </cell>
          <cell r="BJ130">
            <v>3.9652300000000003E-4</v>
          </cell>
        </row>
        <row r="131">
          <cell r="B131">
            <v>6.7638699999999997E-4</v>
          </cell>
          <cell r="C131">
            <v>1.095581E-3</v>
          </cell>
          <cell r="D131">
            <v>5.3172699999999996E-4</v>
          </cell>
          <cell r="E131">
            <v>8.4900000000000004E-5</v>
          </cell>
          <cell r="F131">
            <v>1.80094E-4</v>
          </cell>
          <cell r="G131">
            <v>3.851925E-3</v>
          </cell>
          <cell r="H131">
            <v>1.4797E-3</v>
          </cell>
          <cell r="I131">
            <v>2.52778E-4</v>
          </cell>
          <cell r="J131">
            <v>1.443417E-3</v>
          </cell>
          <cell r="K131">
            <v>3.3130709999999999E-3</v>
          </cell>
          <cell r="L131">
            <v>2.0456070000000001E-3</v>
          </cell>
          <cell r="M131">
            <v>8.8266500000000003E-4</v>
          </cell>
          <cell r="N131">
            <v>5.7998829999999996E-3</v>
          </cell>
          <cell r="O131">
            <v>1.075117E-3</v>
          </cell>
          <cell r="P131">
            <v>8.0072400000000005E-4</v>
          </cell>
          <cell r="Q131">
            <v>1.437846E-3</v>
          </cell>
          <cell r="R131">
            <v>1.6211750000000001E-3</v>
          </cell>
          <cell r="S131">
            <v>2.1629962999999999E-2</v>
          </cell>
          <cell r="T131">
            <v>2.9647026E-2</v>
          </cell>
          <cell r="U131">
            <v>5.3182070000000001E-3</v>
          </cell>
          <cell r="V131">
            <v>1.6774680000000001E-3</v>
          </cell>
          <cell r="W131">
            <v>7.7100000000000004E-5</v>
          </cell>
          <cell r="X131">
            <v>4.6593699999999998E-4</v>
          </cell>
          <cell r="Y131">
            <v>2.6088000000000001E-4</v>
          </cell>
          <cell r="Z131">
            <v>5.3442020000000002E-3</v>
          </cell>
          <cell r="AA131">
            <v>5.1714000000000003E-4</v>
          </cell>
          <cell r="AB131">
            <v>8.4139699999999998E-3</v>
          </cell>
          <cell r="AC131">
            <v>2.550213E-3</v>
          </cell>
          <cell r="AD131">
            <v>5.3405600000000003E-3</v>
          </cell>
          <cell r="AE131">
            <v>4.0849930000000003E-3</v>
          </cell>
          <cell r="AF131">
            <v>3.3617310000000002E-3</v>
          </cell>
          <cell r="AG131">
            <v>4.2258479999999999E-3</v>
          </cell>
          <cell r="AH131">
            <v>1.7123799999999999E-4</v>
          </cell>
          <cell r="AI131">
            <v>0</v>
          </cell>
          <cell r="AJ131">
            <v>3.4164999999999998E-4</v>
          </cell>
          <cell r="AK131">
            <v>3.9607999999999999E-4</v>
          </cell>
          <cell r="AL131">
            <v>3.4199999999999998E-5</v>
          </cell>
          <cell r="AM131">
            <v>3.01E-5</v>
          </cell>
          <cell r="AN131">
            <v>2.2566400000000001E-4</v>
          </cell>
          <cell r="AO131">
            <v>0</v>
          </cell>
          <cell r="AP131">
            <v>5.8600000000000001E-5</v>
          </cell>
          <cell r="AQ131">
            <v>0</v>
          </cell>
          <cell r="AR131">
            <v>5.66E-5</v>
          </cell>
          <cell r="AS131">
            <v>1.0041069999999999E-2</v>
          </cell>
          <cell r="AT131">
            <v>5.9674230000000003E-3</v>
          </cell>
          <cell r="AU131">
            <v>1.588786E-3</v>
          </cell>
          <cell r="AV131">
            <v>2.5104979999999999E-3</v>
          </cell>
          <cell r="AW131">
            <v>1.7092159999999999E-3</v>
          </cell>
          <cell r="AX131">
            <v>8.3102569999999997E-3</v>
          </cell>
          <cell r="AY131">
            <v>8.3457779999999999E-3</v>
          </cell>
          <cell r="AZ131">
            <v>4.5251579999999996E-3</v>
          </cell>
          <cell r="BA131">
            <v>9.0236329999999997E-3</v>
          </cell>
          <cell r="BB131">
            <v>0</v>
          </cell>
          <cell r="BC131">
            <v>2.0704138E-2</v>
          </cell>
          <cell r="BD131">
            <v>1.8492914999999999E-2</v>
          </cell>
          <cell r="BE131">
            <v>1.6036104999999998E-2</v>
          </cell>
          <cell r="BF131">
            <v>2.2619630000000001E-3</v>
          </cell>
          <cell r="BG131">
            <v>1.6773869E-2</v>
          </cell>
          <cell r="BH131">
            <v>5.5130810000000004E-3</v>
          </cell>
          <cell r="BI131">
            <v>8.8162780000000003E-3</v>
          </cell>
          <cell r="BJ131">
            <v>3.8313879999999998E-3</v>
          </cell>
        </row>
        <row r="132">
          <cell r="B132">
            <v>1.7841800000000001E-4</v>
          </cell>
          <cell r="C132">
            <v>1.7676200000000001E-4</v>
          </cell>
          <cell r="D132">
            <v>9.2899999999999995E-5</v>
          </cell>
          <cell r="E132">
            <v>1.84E-5</v>
          </cell>
          <cell r="F132">
            <v>3.6000000000000001E-5</v>
          </cell>
          <cell r="G132">
            <v>3.15168E-4</v>
          </cell>
          <cell r="H132">
            <v>2.0568499999999999E-4</v>
          </cell>
          <cell r="I132">
            <v>4.8000000000000001E-5</v>
          </cell>
          <cell r="J132">
            <v>6.4778299999999997E-4</v>
          </cell>
          <cell r="K132">
            <v>2.6616510000000001E-3</v>
          </cell>
          <cell r="L132">
            <v>1.033869E-3</v>
          </cell>
          <cell r="M132">
            <v>8.7420800000000002E-4</v>
          </cell>
          <cell r="N132">
            <v>2.4501319999999998E-3</v>
          </cell>
          <cell r="O132">
            <v>1.12309E-4</v>
          </cell>
          <cell r="P132">
            <v>2.7919000000000002E-4</v>
          </cell>
          <cell r="Q132">
            <v>4.8465879999999998E-3</v>
          </cell>
          <cell r="R132">
            <v>5.4768660000000004E-3</v>
          </cell>
          <cell r="S132">
            <v>4.3831850000000004E-3</v>
          </cell>
          <cell r="T132">
            <v>6.0095050000000001E-3</v>
          </cell>
          <cell r="U132">
            <v>9.2227300000000004E-4</v>
          </cell>
          <cell r="V132">
            <v>1.943637E-3</v>
          </cell>
          <cell r="W132">
            <v>1.91E-5</v>
          </cell>
          <cell r="X132">
            <v>5.0886599999999996E-4</v>
          </cell>
          <cell r="Y132">
            <v>7.2899999999999997E-5</v>
          </cell>
          <cell r="Z132">
            <v>7.4497599999999997E-3</v>
          </cell>
          <cell r="AA132">
            <v>1.579312E-3</v>
          </cell>
          <cell r="AB132">
            <v>8.5071099999999998E-4</v>
          </cell>
          <cell r="AC132">
            <v>6.7220699999999997E-4</v>
          </cell>
          <cell r="AD132">
            <v>1.3598569999999999E-3</v>
          </cell>
          <cell r="AE132">
            <v>1.5437669999999999E-3</v>
          </cell>
          <cell r="AF132">
            <v>8.1395899999999995E-4</v>
          </cell>
          <cell r="AG132">
            <v>2.4974490000000001E-3</v>
          </cell>
          <cell r="AH132">
            <v>2.48774E-4</v>
          </cell>
          <cell r="AI132">
            <v>0</v>
          </cell>
          <cell r="AJ132">
            <v>1.100625E-3</v>
          </cell>
          <cell r="AK132">
            <v>1.2614480000000001E-3</v>
          </cell>
          <cell r="AL132">
            <v>3.58921E-4</v>
          </cell>
          <cell r="AM132">
            <v>3.2182599999999999E-4</v>
          </cell>
          <cell r="AN132">
            <v>1.1047990000000001E-3</v>
          </cell>
          <cell r="AO132">
            <v>0</v>
          </cell>
          <cell r="AP132">
            <v>1.27708E-4</v>
          </cell>
          <cell r="AQ132">
            <v>0</v>
          </cell>
          <cell r="AR132">
            <v>4.39899E-4</v>
          </cell>
          <cell r="AS132">
            <v>2.8030279999999999E-3</v>
          </cell>
          <cell r="AT132">
            <v>2.554705E-3</v>
          </cell>
          <cell r="AU132">
            <v>1.357437E-3</v>
          </cell>
          <cell r="AV132">
            <v>1.0656579999999999E-3</v>
          </cell>
          <cell r="AW132">
            <v>4.5911200000000002E-4</v>
          </cell>
          <cell r="AX132">
            <v>1.12017E-3</v>
          </cell>
          <cell r="AY132">
            <v>1.9921600000000002E-3</v>
          </cell>
          <cell r="AZ132">
            <v>1.1804890000000001E-3</v>
          </cell>
          <cell r="BA132">
            <v>9.5116019999999992E-3</v>
          </cell>
          <cell r="BB132">
            <v>0</v>
          </cell>
          <cell r="BC132">
            <v>2.8042190000000002E-3</v>
          </cell>
          <cell r="BD132">
            <v>2.6766239999999998E-3</v>
          </cell>
          <cell r="BE132">
            <v>2.8900269999999999E-3</v>
          </cell>
          <cell r="BF132">
            <v>5.6165800000000004E-4</v>
          </cell>
          <cell r="BG132">
            <v>7.5105689999999999E-3</v>
          </cell>
          <cell r="BH132">
            <v>2.4754339999999999E-3</v>
          </cell>
          <cell r="BI132">
            <v>1.5554189999999999E-3</v>
          </cell>
          <cell r="BJ132">
            <v>1.856148E-3</v>
          </cell>
        </row>
        <row r="133">
          <cell r="B133">
            <v>3.3699999999999999E-5</v>
          </cell>
          <cell r="C133">
            <v>4.0199999999999996E-6</v>
          </cell>
          <cell r="D133">
            <v>2.5000000000000002E-6</v>
          </cell>
          <cell r="E133">
            <v>4.6499999999999999E-7</v>
          </cell>
          <cell r="F133">
            <v>8.7300000000000005E-7</v>
          </cell>
          <cell r="G133">
            <v>5.0900000000000004E-6</v>
          </cell>
          <cell r="H133">
            <v>1.8899999999999999E-5</v>
          </cell>
          <cell r="I133">
            <v>1.48E-6</v>
          </cell>
          <cell r="J133">
            <v>4.78E-6</v>
          </cell>
          <cell r="K133">
            <v>1.11E-5</v>
          </cell>
          <cell r="L133">
            <v>6.5899999999999996E-6</v>
          </cell>
          <cell r="M133">
            <v>2.23E-5</v>
          </cell>
          <cell r="N133">
            <v>5.6200000000000004E-6</v>
          </cell>
          <cell r="O133">
            <v>2.96E-6</v>
          </cell>
          <cell r="P133">
            <v>1.0899999999999999E-6</v>
          </cell>
          <cell r="Q133">
            <v>3.63E-6</v>
          </cell>
          <cell r="R133">
            <v>4.3599999999999998E-6</v>
          </cell>
          <cell r="S133">
            <v>5.6899999999999997E-6</v>
          </cell>
          <cell r="T133">
            <v>7.6199999999999999E-6</v>
          </cell>
          <cell r="U133">
            <v>5.2800000000000003E-6</v>
          </cell>
          <cell r="V133">
            <v>1.6178000000000001E-4</v>
          </cell>
          <cell r="W133">
            <v>6.5099999999999999E-7</v>
          </cell>
          <cell r="X133">
            <v>3.05E-6</v>
          </cell>
          <cell r="Y133">
            <v>3.6200000000000001E-6</v>
          </cell>
          <cell r="Z133">
            <v>0.106262758</v>
          </cell>
          <cell r="AA133">
            <v>4.5189599999999998E-3</v>
          </cell>
          <cell r="AB133">
            <v>5.0210599999999999E-4</v>
          </cell>
          <cell r="AC133">
            <v>1.13472E-4</v>
          </cell>
          <cell r="AD133">
            <v>2.3728099999999999E-4</v>
          </cell>
          <cell r="AE133">
            <v>1.50314E-4</v>
          </cell>
          <cell r="AF133">
            <v>1.9608399999999999E-4</v>
          </cell>
          <cell r="AG133">
            <v>2.0859000000000001E-4</v>
          </cell>
          <cell r="AH133">
            <v>1.647449E-3</v>
          </cell>
          <cell r="AI133">
            <v>0</v>
          </cell>
          <cell r="AJ133">
            <v>9.4530600000000003E-4</v>
          </cell>
          <cell r="AK133">
            <v>1.029505E-3</v>
          </cell>
          <cell r="AL133">
            <v>3.9402399999999998E-4</v>
          </cell>
          <cell r="AM133">
            <v>3.4205900000000003E-4</v>
          </cell>
          <cell r="AN133">
            <v>1.072136E-3</v>
          </cell>
          <cell r="AO133">
            <v>0</v>
          </cell>
          <cell r="AP133">
            <v>1.1145199999999999E-3</v>
          </cell>
          <cell r="AQ133">
            <v>0</v>
          </cell>
          <cell r="AR133">
            <v>1.314731E-3</v>
          </cell>
          <cell r="AS133">
            <v>4.3281299999999999E-4</v>
          </cell>
          <cell r="AT133">
            <v>8.3799999999999994E-6</v>
          </cell>
          <cell r="AU133">
            <v>2.9799999999999999E-5</v>
          </cell>
          <cell r="AV133">
            <v>4.2500000000000003E-5</v>
          </cell>
          <cell r="AW133">
            <v>1.39E-6</v>
          </cell>
          <cell r="AX133">
            <v>6.5400000000000001E-6</v>
          </cell>
          <cell r="AY133">
            <v>3.45E-6</v>
          </cell>
          <cell r="AZ133">
            <v>1.2999999999999999E-5</v>
          </cell>
          <cell r="BA133">
            <v>3.1399999999999998E-5</v>
          </cell>
          <cell r="BB133">
            <v>0</v>
          </cell>
          <cell r="BC133">
            <v>3.34982E-4</v>
          </cell>
          <cell r="BD133">
            <v>3.1973400000000001E-4</v>
          </cell>
          <cell r="BE133">
            <v>2.90117E-4</v>
          </cell>
          <cell r="BF133">
            <v>1.1275E-4</v>
          </cell>
          <cell r="BG133">
            <v>3.9334199999999998E-4</v>
          </cell>
          <cell r="BH133">
            <v>1.45E-5</v>
          </cell>
          <cell r="BI133">
            <v>6.1299999999999999E-5</v>
          </cell>
          <cell r="BJ133">
            <v>3.2799999999999998E-5</v>
          </cell>
        </row>
        <row r="134">
          <cell r="B134">
            <v>2.6966080000000001E-3</v>
          </cell>
          <cell r="C134">
            <v>1.7397420000000001E-3</v>
          </cell>
          <cell r="D134">
            <v>9.9671000000000004E-4</v>
          </cell>
          <cell r="E134">
            <v>2.0263599999999999E-4</v>
          </cell>
          <cell r="F134">
            <v>3.8819199999999999E-4</v>
          </cell>
          <cell r="G134">
            <v>5.350128E-3</v>
          </cell>
          <cell r="H134">
            <v>7.1146810000000003E-3</v>
          </cell>
          <cell r="I134">
            <v>6.0796400000000001E-4</v>
          </cell>
          <cell r="J134">
            <v>3.1180050000000001E-3</v>
          </cell>
          <cell r="K134">
            <v>8.3374380000000008E-3</v>
          </cell>
          <cell r="L134">
            <v>4.7497679999999997E-3</v>
          </cell>
          <cell r="M134">
            <v>2.6029966000000002E-2</v>
          </cell>
          <cell r="N134">
            <v>9.0954940000000008E-3</v>
          </cell>
          <cell r="O134">
            <v>1.3352710000000001E-3</v>
          </cell>
          <cell r="P134">
            <v>4.1377949999999997E-3</v>
          </cell>
          <cell r="Q134">
            <v>2.2127779999999999E-3</v>
          </cell>
          <cell r="R134">
            <v>2.3964609999999999E-3</v>
          </cell>
          <cell r="S134">
            <v>5.8910669999999998E-3</v>
          </cell>
          <cell r="T134">
            <v>5.9671059999999998E-3</v>
          </cell>
          <cell r="U134">
            <v>4.9672980000000002E-3</v>
          </cell>
          <cell r="V134">
            <v>4.7671470000000002E-3</v>
          </cell>
          <cell r="W134">
            <v>4.7509240000000001E-3</v>
          </cell>
          <cell r="X134">
            <v>6.4368799999999999E-3</v>
          </cell>
          <cell r="Y134">
            <v>1.4869189999999999E-2</v>
          </cell>
          <cell r="Z134">
            <v>2.540507E-3</v>
          </cell>
          <cell r="AA134">
            <v>8.7599410000000003E-3</v>
          </cell>
          <cell r="AB134">
            <v>1.874791E-3</v>
          </cell>
          <cell r="AC134">
            <v>7.0690599999999998E-4</v>
          </cell>
          <cell r="AD134">
            <v>1.598246E-3</v>
          </cell>
          <cell r="AE134">
            <v>6.1035099999999997E-4</v>
          </cell>
          <cell r="AF134">
            <v>1.315121E-3</v>
          </cell>
          <cell r="AG134">
            <v>2.0298650000000001E-3</v>
          </cell>
          <cell r="AH134">
            <v>1.1843540000000001E-3</v>
          </cell>
          <cell r="AI134">
            <v>0</v>
          </cell>
          <cell r="AJ134">
            <v>1.2126839999999999E-3</v>
          </cell>
          <cell r="AK134">
            <v>6.3656699999999999E-4</v>
          </cell>
          <cell r="AL134">
            <v>1.72325E-4</v>
          </cell>
          <cell r="AM134">
            <v>1.52814E-4</v>
          </cell>
          <cell r="AN134">
            <v>5.4564100000000003E-4</v>
          </cell>
          <cell r="AO134">
            <v>0</v>
          </cell>
          <cell r="AP134">
            <v>1.500288E-3</v>
          </cell>
          <cell r="AQ134">
            <v>0</v>
          </cell>
          <cell r="AR134">
            <v>5.8759700000000003E-4</v>
          </cell>
          <cell r="AS134">
            <v>6.8815599999999999E-4</v>
          </cell>
          <cell r="AT134">
            <v>5.4593230000000003E-3</v>
          </cell>
          <cell r="AU134">
            <v>2.3061520000000001E-3</v>
          </cell>
          <cell r="AV134">
            <v>8.9437200000000005E-3</v>
          </cell>
          <cell r="AW134">
            <v>2.5619050000000002E-3</v>
          </cell>
          <cell r="AX134">
            <v>1.0800702000000001E-2</v>
          </cell>
          <cell r="AY134">
            <v>6.7659700000000003E-4</v>
          </cell>
          <cell r="AZ134">
            <v>8.7464859999999995E-3</v>
          </cell>
          <cell r="BA134">
            <v>2.6530680000000002E-3</v>
          </cell>
          <cell r="BB134">
            <v>0</v>
          </cell>
          <cell r="BC134">
            <v>3.3629240000000002E-3</v>
          </cell>
          <cell r="BD134">
            <v>6.471933E-3</v>
          </cell>
          <cell r="BE134">
            <v>5.2988039999999998E-3</v>
          </cell>
          <cell r="BF134">
            <v>1.4838268E-2</v>
          </cell>
          <cell r="BG134">
            <v>3.9705410000000002E-3</v>
          </cell>
          <cell r="BH134">
            <v>3.6377354000000001E-2</v>
          </cell>
          <cell r="BI134">
            <v>5.0934684000000001E-2</v>
          </cell>
          <cell r="BJ134">
            <v>1.6204450000000001E-3</v>
          </cell>
        </row>
        <row r="135">
          <cell r="B135">
            <v>8.4713200000000001E-4</v>
          </cell>
          <cell r="C135">
            <v>1.3093530000000001E-3</v>
          </cell>
          <cell r="D135">
            <v>7.0543699999999995E-4</v>
          </cell>
          <cell r="E135">
            <v>1.1302E-4</v>
          </cell>
          <cell r="F135">
            <v>2.3818999999999999E-4</v>
          </cell>
          <cell r="G135">
            <v>3.4887939999999999E-3</v>
          </cell>
          <cell r="H135">
            <v>4.8531210000000002E-3</v>
          </cell>
          <cell r="I135">
            <v>3.0251699999999998E-4</v>
          </cell>
          <cell r="J135">
            <v>3.7073280000000002E-3</v>
          </cell>
          <cell r="K135">
            <v>1.0200806999999999E-2</v>
          </cell>
          <cell r="L135">
            <v>5.988869E-3</v>
          </cell>
          <cell r="M135">
            <v>8.0723700000000004E-4</v>
          </cell>
          <cell r="N135">
            <v>1.522125E-3</v>
          </cell>
          <cell r="O135">
            <v>2.8190700000000002E-4</v>
          </cell>
          <cell r="P135">
            <v>3.83693E-4</v>
          </cell>
          <cell r="Q135">
            <v>2.5653080000000001E-3</v>
          </cell>
          <cell r="R135">
            <v>2.9087800000000001E-3</v>
          </cell>
          <cell r="S135">
            <v>1.3232560000000001E-3</v>
          </cell>
          <cell r="T135">
            <v>1.745288E-3</v>
          </cell>
          <cell r="U135">
            <v>1.6872079999999999E-3</v>
          </cell>
          <cell r="V135">
            <v>3.1763859999999998E-3</v>
          </cell>
          <cell r="W135">
            <v>2.4446E-4</v>
          </cell>
          <cell r="X135">
            <v>1.834926E-3</v>
          </cell>
          <cell r="Y135">
            <v>2.372093E-3</v>
          </cell>
          <cell r="Z135">
            <v>1.1022880000000001E-3</v>
          </cell>
          <cell r="AA135">
            <v>6.3848029999999997E-3</v>
          </cell>
          <cell r="AB135">
            <v>1.57155E-4</v>
          </cell>
          <cell r="AC135">
            <v>1.5108499999999999E-4</v>
          </cell>
          <cell r="AD135">
            <v>3.2147300000000002E-4</v>
          </cell>
          <cell r="AE135">
            <v>3.6480200000000001E-4</v>
          </cell>
          <cell r="AF135">
            <v>3.7278300000000001E-4</v>
          </cell>
          <cell r="AG135">
            <v>1.023801E-3</v>
          </cell>
          <cell r="AH135">
            <v>2.0959400000000001E-3</v>
          </cell>
          <cell r="AI135">
            <v>0</v>
          </cell>
          <cell r="AJ135">
            <v>1.063088E-3</v>
          </cell>
          <cell r="AK135">
            <v>1.1782629999999999E-3</v>
          </cell>
          <cell r="AL135">
            <v>1.9360199999999999E-4</v>
          </cell>
          <cell r="AM135">
            <v>1.5788600000000001E-4</v>
          </cell>
          <cell r="AN135">
            <v>8.50065E-4</v>
          </cell>
          <cell r="AO135">
            <v>0</v>
          </cell>
          <cell r="AP135">
            <v>2.3504929999999999E-3</v>
          </cell>
          <cell r="AQ135">
            <v>0</v>
          </cell>
          <cell r="AR135">
            <v>1.276513E-3</v>
          </cell>
          <cell r="AS135">
            <v>6.6615900000000004E-4</v>
          </cell>
          <cell r="AT135">
            <v>5.6823639999999996E-3</v>
          </cell>
          <cell r="AU135">
            <v>3.31002E-4</v>
          </cell>
          <cell r="AV135">
            <v>1.427864E-3</v>
          </cell>
          <cell r="AW135">
            <v>8.6047399999999996E-4</v>
          </cell>
          <cell r="AX135">
            <v>3.4901839999999999E-3</v>
          </cell>
          <cell r="AY135">
            <v>1.5566399999999999E-4</v>
          </cell>
          <cell r="AZ135">
            <v>2.9120639999999998E-3</v>
          </cell>
          <cell r="BA135">
            <v>4.0177579999999997E-3</v>
          </cell>
          <cell r="BB135">
            <v>0</v>
          </cell>
          <cell r="BC135">
            <v>1.8321200000000001E-4</v>
          </cell>
          <cell r="BD135">
            <v>1.6575100000000001E-4</v>
          </cell>
          <cell r="BE135">
            <v>1.5120500000000001E-4</v>
          </cell>
          <cell r="BF135">
            <v>5.91E-5</v>
          </cell>
          <cell r="BG135">
            <v>2.1604999999999999E-4</v>
          </cell>
          <cell r="BH135">
            <v>4.0563799999999999E-4</v>
          </cell>
          <cell r="BI135">
            <v>7.547654E-3</v>
          </cell>
          <cell r="BJ135">
            <v>5.1461900000000001E-3</v>
          </cell>
        </row>
        <row r="136">
          <cell r="B136">
            <v>1.797344E-3</v>
          </cell>
          <cell r="C136">
            <v>7.2147900000000002E-4</v>
          </cell>
          <cell r="D136">
            <v>4.9409699999999998E-4</v>
          </cell>
          <cell r="E136">
            <v>5.9200000000000002E-5</v>
          </cell>
          <cell r="F136">
            <v>1.2736E-4</v>
          </cell>
          <cell r="G136">
            <v>1.251051E-3</v>
          </cell>
          <cell r="H136">
            <v>1.2461709999999999E-3</v>
          </cell>
          <cell r="I136">
            <v>1.72363E-4</v>
          </cell>
          <cell r="J136">
            <v>2.1878209999999999E-3</v>
          </cell>
          <cell r="K136">
            <v>7.1871239999999996E-3</v>
          </cell>
          <cell r="L136">
            <v>3.3407749999999998E-3</v>
          </cell>
          <cell r="M136">
            <v>2.8850437E-2</v>
          </cell>
          <cell r="N136">
            <v>1.9561719999999999E-3</v>
          </cell>
          <cell r="O136">
            <v>1.7622199999999999E-4</v>
          </cell>
          <cell r="P136">
            <v>6.5625199999999996E-4</v>
          </cell>
          <cell r="Q136">
            <v>1.9115650000000001E-3</v>
          </cell>
          <cell r="R136">
            <v>2.048036E-3</v>
          </cell>
          <cell r="S136">
            <v>3.1777799999999998E-3</v>
          </cell>
          <cell r="T136">
            <v>3.7474449999999999E-3</v>
          </cell>
          <cell r="U136">
            <v>4.9167239999999999E-3</v>
          </cell>
          <cell r="V136">
            <v>2.8857206E-2</v>
          </cell>
          <cell r="W136">
            <v>1.9809999999999999E-4</v>
          </cell>
          <cell r="X136">
            <v>9.6736900000000004E-4</v>
          </cell>
          <cell r="Y136">
            <v>1.1357159999999999E-3</v>
          </cell>
          <cell r="Z136">
            <v>1.090852E-3</v>
          </cell>
          <cell r="AA136">
            <v>4.0592170000000004E-3</v>
          </cell>
          <cell r="AB136">
            <v>4.2586499999999999E-4</v>
          </cell>
          <cell r="AC136">
            <v>8.4359099999999998E-4</v>
          </cell>
          <cell r="AD136">
            <v>1.66092E-3</v>
          </cell>
          <cell r="AE136">
            <v>1.091358E-3</v>
          </cell>
          <cell r="AF136">
            <v>1.198632E-3</v>
          </cell>
          <cell r="AG136">
            <v>2.3786800000000002E-3</v>
          </cell>
          <cell r="AH136">
            <v>5.38643E-4</v>
          </cell>
          <cell r="AI136">
            <v>0</v>
          </cell>
          <cell r="AJ136">
            <v>3.1528699999999998E-4</v>
          </cell>
          <cell r="AK136">
            <v>3.22329E-4</v>
          </cell>
          <cell r="AL136">
            <v>6.9800000000000003E-5</v>
          </cell>
          <cell r="AM136">
            <v>5.8199999999999998E-5</v>
          </cell>
          <cell r="AN136">
            <v>2.2099199999999999E-4</v>
          </cell>
          <cell r="AO136">
            <v>0</v>
          </cell>
          <cell r="AP136">
            <v>5.2748300000000003E-4</v>
          </cell>
          <cell r="AQ136">
            <v>0</v>
          </cell>
          <cell r="AR136">
            <v>5.1469299999999999E-4</v>
          </cell>
          <cell r="AS136">
            <v>5.2769299999999998E-4</v>
          </cell>
          <cell r="AT136">
            <v>3.919329E-3</v>
          </cell>
          <cell r="AU136">
            <v>0.100960508</v>
          </cell>
          <cell r="AV136">
            <v>4.5373389999999996E-3</v>
          </cell>
          <cell r="AW136">
            <v>1.3795859999999999E-3</v>
          </cell>
          <cell r="AX136">
            <v>2.506604E-3</v>
          </cell>
          <cell r="AY136">
            <v>3.6133139999999998E-3</v>
          </cell>
          <cell r="AZ136">
            <v>2.533488E-3</v>
          </cell>
          <cell r="BA136">
            <v>2.1084799999999998E-3</v>
          </cell>
          <cell r="BB136">
            <v>0</v>
          </cell>
          <cell r="BC136">
            <v>1.4852610000000001E-3</v>
          </cell>
          <cell r="BD136">
            <v>1.5767120000000001E-3</v>
          </cell>
          <cell r="BE136">
            <v>1.3349600000000001E-3</v>
          </cell>
          <cell r="BF136">
            <v>5.11127E-4</v>
          </cell>
          <cell r="BG136">
            <v>1.16351E-3</v>
          </cell>
          <cell r="BH136">
            <v>1.196679E-3</v>
          </cell>
          <cell r="BI136">
            <v>1.9516690000000001E-3</v>
          </cell>
          <cell r="BJ136">
            <v>2.39471E-4</v>
          </cell>
        </row>
        <row r="137">
          <cell r="B137">
            <v>5.7319300000000005E-4</v>
          </cell>
          <cell r="C137">
            <v>5.8499999999999999E-5</v>
          </cell>
          <cell r="D137">
            <v>3.9199999999999997E-5</v>
          </cell>
          <cell r="E137">
            <v>2.0000000000000002E-5</v>
          </cell>
          <cell r="F137">
            <v>1.2099999999999999E-5</v>
          </cell>
          <cell r="G137">
            <v>5.8300000000000001E-5</v>
          </cell>
          <cell r="H137">
            <v>2.8076000000000002E-4</v>
          </cell>
          <cell r="I137">
            <v>1.7099999999999999E-5</v>
          </cell>
          <cell r="J137">
            <v>2.4057899999999999E-4</v>
          </cell>
          <cell r="K137">
            <v>2.7142900000000001E-4</v>
          </cell>
          <cell r="L137">
            <v>2.9870999999999999E-4</v>
          </cell>
          <cell r="M137">
            <v>2.7596600000000002E-3</v>
          </cell>
          <cell r="N137">
            <v>1.175836E-3</v>
          </cell>
          <cell r="O137">
            <v>7.7000000000000001E-5</v>
          </cell>
          <cell r="P137">
            <v>7.2100000000000004E-5</v>
          </cell>
          <cell r="Q137">
            <v>5.5600000000000003E-5</v>
          </cell>
          <cell r="R137">
            <v>6.0999999999999999E-5</v>
          </cell>
          <cell r="S137">
            <v>5.6799999999999998E-5</v>
          </cell>
          <cell r="T137">
            <v>6.7299999999999996E-5</v>
          </cell>
          <cell r="U137">
            <v>4.3900000000000003E-5</v>
          </cell>
          <cell r="V137">
            <v>1.05241E-4</v>
          </cell>
          <cell r="W137">
            <v>6.9900000000000005E-5</v>
          </cell>
          <cell r="X137">
            <v>4.56732E-4</v>
          </cell>
          <cell r="Y137">
            <v>1.38341E-4</v>
          </cell>
          <cell r="Z137">
            <v>1.480299E-3</v>
          </cell>
          <cell r="AA137">
            <v>2.7584340000000001E-3</v>
          </cell>
          <cell r="AB137">
            <v>3.2134600000000002E-4</v>
          </cell>
          <cell r="AC137">
            <v>2.05606E-4</v>
          </cell>
          <cell r="AD137">
            <v>2.1553499999999999E-4</v>
          </cell>
          <cell r="AE137">
            <v>8.9245500000000001E-4</v>
          </cell>
          <cell r="AF137">
            <v>8.5972100000000003E-4</v>
          </cell>
          <cell r="AG137">
            <v>1.5827300000000001E-3</v>
          </cell>
          <cell r="AH137">
            <v>1.82616E-4</v>
          </cell>
          <cell r="AI137">
            <v>0</v>
          </cell>
          <cell r="AJ137">
            <v>1.8246000000000001E-4</v>
          </cell>
          <cell r="AK137">
            <v>1.8984399999999999E-4</v>
          </cell>
          <cell r="AL137">
            <v>2.9300000000000001E-5</v>
          </cell>
          <cell r="AM137">
            <v>2.2799999999999999E-5</v>
          </cell>
          <cell r="AN137">
            <v>7.8100000000000001E-5</v>
          </cell>
          <cell r="AO137">
            <v>0</v>
          </cell>
          <cell r="AP137">
            <v>8.3499999999999997E-5</v>
          </cell>
          <cell r="AQ137">
            <v>0</v>
          </cell>
          <cell r="AR137">
            <v>1.08007E-4</v>
          </cell>
          <cell r="AS137">
            <v>1.29276E-4</v>
          </cell>
          <cell r="AT137">
            <v>2.1430920000000001E-3</v>
          </cell>
          <cell r="AU137">
            <v>1.17102E-4</v>
          </cell>
          <cell r="AV137">
            <v>9.1799999999999995E-5</v>
          </cell>
          <cell r="AW137">
            <v>1.3837019999999999E-3</v>
          </cell>
          <cell r="AX137">
            <v>9.3917600000000001E-4</v>
          </cell>
          <cell r="AY137">
            <v>2.7759099999999999E-4</v>
          </cell>
          <cell r="AZ137">
            <v>1.4007000000000001E-4</v>
          </cell>
          <cell r="BA137">
            <v>3.6300000000000001E-5</v>
          </cell>
          <cell r="BB137">
            <v>0</v>
          </cell>
          <cell r="BC137">
            <v>4.0899999999999998E-5</v>
          </cell>
          <cell r="BD137">
            <v>3.2700000000000002E-5</v>
          </cell>
          <cell r="BE137">
            <v>2.8200000000000001E-5</v>
          </cell>
          <cell r="BF137">
            <v>1.5299999999999999E-5</v>
          </cell>
          <cell r="BG137">
            <v>8.6899999999999998E-5</v>
          </cell>
          <cell r="BH137">
            <v>1.9934600000000001E-4</v>
          </cell>
          <cell r="BI137">
            <v>3.8005299999999999E-4</v>
          </cell>
          <cell r="BJ137">
            <v>1.83129E-4</v>
          </cell>
        </row>
        <row r="138">
          <cell r="B138">
            <v>0.28456901299999998</v>
          </cell>
          <cell r="C138">
            <v>2.6622863E-2</v>
          </cell>
          <cell r="D138">
            <v>1.3583289E-2</v>
          </cell>
          <cell r="E138">
            <v>2.139784E-3</v>
          </cell>
          <cell r="F138">
            <v>4.6907299999999997E-3</v>
          </cell>
          <cell r="G138">
            <v>2.3096483000000001E-2</v>
          </cell>
          <cell r="H138">
            <v>0.139136172</v>
          </cell>
          <cell r="I138">
            <v>7.0937159999999999E-3</v>
          </cell>
          <cell r="J138">
            <v>2.0290374999999999E-2</v>
          </cell>
          <cell r="K138">
            <v>3.6457121000000002E-2</v>
          </cell>
          <cell r="L138">
            <v>2.2012245999999999E-2</v>
          </cell>
          <cell r="M138">
            <v>0.107272519</v>
          </cell>
          <cell r="N138">
            <v>2.6706654999999999E-2</v>
          </cell>
          <cell r="O138">
            <v>6.0268250000000004E-3</v>
          </cell>
          <cell r="P138">
            <v>2.0092460000000001E-3</v>
          </cell>
          <cell r="Q138">
            <v>9.5769380000000001E-3</v>
          </cell>
          <cell r="R138">
            <v>7.9459160000000008E-3</v>
          </cell>
          <cell r="S138">
            <v>1.2439156999999999E-2</v>
          </cell>
          <cell r="T138">
            <v>1.4279811E-2</v>
          </cell>
          <cell r="U138">
            <v>9.583421E-3</v>
          </cell>
          <cell r="V138">
            <v>3.7228004000000002E-2</v>
          </cell>
          <cell r="W138">
            <v>1.9970650000000001E-3</v>
          </cell>
          <cell r="X138">
            <v>7.1748560000000003E-3</v>
          </cell>
          <cell r="Y138">
            <v>2.8680569999999998E-3</v>
          </cell>
          <cell r="Z138">
            <v>3.8156677999999999E-2</v>
          </cell>
          <cell r="AA138">
            <v>6.7545684999999994E-2</v>
          </cell>
          <cell r="AB138">
            <v>1.492541E-2</v>
          </cell>
          <cell r="AC138">
            <v>1.1441420000000001E-2</v>
          </cell>
          <cell r="AD138">
            <v>2.4164973999999999E-2</v>
          </cell>
          <cell r="AE138">
            <v>6.0963450000000004E-3</v>
          </cell>
          <cell r="AF138">
            <v>1.0751223000000001E-2</v>
          </cell>
          <cell r="AG138">
            <v>1.7201658000000002E-2</v>
          </cell>
          <cell r="AH138">
            <v>8.2253420000000001E-3</v>
          </cell>
          <cell r="AI138">
            <v>0</v>
          </cell>
          <cell r="AJ138">
            <v>9.1798309999999994E-3</v>
          </cell>
          <cell r="AK138">
            <v>1.0108331999999999E-2</v>
          </cell>
          <cell r="AL138">
            <v>1.2166810000000001E-3</v>
          </cell>
          <cell r="AM138">
            <v>9.5820699999999998E-4</v>
          </cell>
          <cell r="AN138">
            <v>4.3933779999999999E-3</v>
          </cell>
          <cell r="AO138">
            <v>0</v>
          </cell>
          <cell r="AP138">
            <v>4.797305E-3</v>
          </cell>
          <cell r="AQ138">
            <v>0</v>
          </cell>
          <cell r="AR138">
            <v>5.4301410000000003E-3</v>
          </cell>
          <cell r="AS138">
            <v>2.4273009000000002E-2</v>
          </cell>
          <cell r="AT138">
            <v>3.1095550999999999E-2</v>
          </cell>
          <cell r="AU138">
            <v>7.4830920000000002E-3</v>
          </cell>
          <cell r="AV138">
            <v>1.1989088E-2</v>
          </cell>
          <cell r="AW138">
            <v>4.2948730000000003E-3</v>
          </cell>
          <cell r="AX138">
            <v>1.6605590999999999E-2</v>
          </cell>
          <cell r="AY138">
            <v>7.6245949999999996E-3</v>
          </cell>
          <cell r="AZ138">
            <v>3.6045252999999999E-2</v>
          </cell>
          <cell r="BA138">
            <v>6.8829160000000002E-3</v>
          </cell>
          <cell r="BB138">
            <v>0</v>
          </cell>
          <cell r="BC138">
            <v>1.2469859999999999E-2</v>
          </cell>
          <cell r="BD138">
            <v>1.2193269E-2</v>
          </cell>
          <cell r="BE138">
            <v>1.0699669E-2</v>
          </cell>
          <cell r="BF138">
            <v>1.2303524999999999E-2</v>
          </cell>
          <cell r="BG138">
            <v>1.5708082000000002E-2</v>
          </cell>
          <cell r="BH138">
            <v>8.7097489E-2</v>
          </cell>
          <cell r="BI138">
            <v>0.15068549000000001</v>
          </cell>
          <cell r="BJ138">
            <v>2.6571856000000001E-2</v>
          </cell>
        </row>
        <row r="139">
          <cell r="B139">
            <v>1.6117400000000001E-4</v>
          </cell>
          <cell r="C139">
            <v>1.57035E-4</v>
          </cell>
          <cell r="D139">
            <v>8.7600000000000002E-5</v>
          </cell>
          <cell r="E139">
            <v>8.5199999999999997E-6</v>
          </cell>
          <cell r="F139">
            <v>2.2099999999999998E-5</v>
          </cell>
          <cell r="G139">
            <v>3.2239200000000001E-4</v>
          </cell>
          <cell r="H139">
            <v>3.39923E-4</v>
          </cell>
          <cell r="I139">
            <v>2.48E-5</v>
          </cell>
          <cell r="J139">
            <v>2.7365000000000001E-4</v>
          </cell>
          <cell r="K139">
            <v>8.7032400000000001E-4</v>
          </cell>
          <cell r="L139">
            <v>7.9120299999999998E-4</v>
          </cell>
          <cell r="M139">
            <v>1.667008E-3</v>
          </cell>
          <cell r="N139">
            <v>8.5979399999999999E-4</v>
          </cell>
          <cell r="O139">
            <v>6.3360399999999996E-4</v>
          </cell>
          <cell r="P139">
            <v>3.1119699999999998E-4</v>
          </cell>
          <cell r="Q139">
            <v>3.0181869999999999E-3</v>
          </cell>
          <cell r="R139">
            <v>2.5450199999999998E-4</v>
          </cell>
          <cell r="S139">
            <v>1.443511E-3</v>
          </cell>
          <cell r="T139">
            <v>5.9446399999999995E-4</v>
          </cell>
          <cell r="U139">
            <v>9.4430100000000004E-4</v>
          </cell>
          <cell r="V139">
            <v>1.229415E-3</v>
          </cell>
          <cell r="W139">
            <v>3.0785300000000002E-4</v>
          </cell>
          <cell r="X139">
            <v>1.9781759999999999E-3</v>
          </cell>
          <cell r="Y139">
            <v>1.8460690000000001E-3</v>
          </cell>
          <cell r="Z139">
            <v>3.7402699999999997E-4</v>
          </cell>
          <cell r="AA139">
            <v>3.69594E-4</v>
          </cell>
          <cell r="AB139">
            <v>3.7610600000000002E-4</v>
          </cell>
          <cell r="AC139">
            <v>3.37144E-4</v>
          </cell>
          <cell r="AD139">
            <v>8.6352499999999997E-4</v>
          </cell>
          <cell r="AE139">
            <v>8.8200000000000003E-5</v>
          </cell>
          <cell r="AF139">
            <v>1.80228E-4</v>
          </cell>
          <cell r="AG139">
            <v>2.5228400000000003E-4</v>
          </cell>
          <cell r="AH139">
            <v>2.6498899999999998E-4</v>
          </cell>
          <cell r="AI139">
            <v>0</v>
          </cell>
          <cell r="AJ139">
            <v>1.26E-4</v>
          </cell>
          <cell r="AK139">
            <v>9.5099999999999994E-5</v>
          </cell>
          <cell r="AL139">
            <v>1.00503E-4</v>
          </cell>
          <cell r="AM139">
            <v>3.8600000000000003E-5</v>
          </cell>
          <cell r="AN139">
            <v>1.13076E-4</v>
          </cell>
          <cell r="AO139">
            <v>0</v>
          </cell>
          <cell r="AP139">
            <v>1.7985000000000001E-4</v>
          </cell>
          <cell r="AQ139">
            <v>0</v>
          </cell>
          <cell r="AR139">
            <v>1.49753E-4</v>
          </cell>
          <cell r="AS139">
            <v>3.53529E-4</v>
          </cell>
          <cell r="AT139">
            <v>3.8860499999999998E-4</v>
          </cell>
          <cell r="AU139">
            <v>4.6488500000000001E-4</v>
          </cell>
          <cell r="AV139">
            <v>3.3768699999999998E-4</v>
          </cell>
          <cell r="AW139">
            <v>2.04487E-4</v>
          </cell>
          <cell r="AX139">
            <v>6.9983000000000003E-4</v>
          </cell>
          <cell r="AY139">
            <v>1.1142630000000001E-3</v>
          </cell>
          <cell r="AZ139">
            <v>7.1110399999999995E-4</v>
          </cell>
          <cell r="BA139">
            <v>1.7485720000000001E-3</v>
          </cell>
          <cell r="BB139">
            <v>0</v>
          </cell>
          <cell r="BC139">
            <v>5.4010799999999997E-4</v>
          </cell>
          <cell r="BD139">
            <v>2.38247E-4</v>
          </cell>
          <cell r="BE139">
            <v>1.8304899999999999E-4</v>
          </cell>
          <cell r="BF139">
            <v>5.4779799999999995E-4</v>
          </cell>
          <cell r="BG139">
            <v>1.4375639999999999E-3</v>
          </cell>
          <cell r="BH139">
            <v>3.571046E-3</v>
          </cell>
          <cell r="BI139">
            <v>4.9213600000000001E-4</v>
          </cell>
          <cell r="BJ139">
            <v>1.7660199999999999E-4</v>
          </cell>
        </row>
        <row r="140">
          <cell r="B140">
            <v>1.64289E-4</v>
          </cell>
          <cell r="C140">
            <v>3.0300000000000001E-5</v>
          </cell>
          <cell r="D140">
            <v>3.7599999999999999E-5</v>
          </cell>
          <cell r="E140">
            <v>2.7300000000000001E-6</v>
          </cell>
          <cell r="F140">
            <v>6.1700000000000002E-6</v>
          </cell>
          <cell r="G140">
            <v>4.6600000000000001E-5</v>
          </cell>
          <cell r="H140">
            <v>1.0724E-4</v>
          </cell>
          <cell r="I140">
            <v>7.0899999999999999E-6</v>
          </cell>
          <cell r="J140">
            <v>5.77E-5</v>
          </cell>
          <cell r="K140">
            <v>2.1648500000000001E-4</v>
          </cell>
          <cell r="L140">
            <v>1.96498E-4</v>
          </cell>
          <cell r="M140">
            <v>2.24513E-4</v>
          </cell>
          <cell r="N140">
            <v>7.1500000000000003E-5</v>
          </cell>
          <cell r="O140">
            <v>9.7399999999999999E-6</v>
          </cell>
          <cell r="P140">
            <v>1.8300000000000001E-5</v>
          </cell>
          <cell r="Q140">
            <v>6.3E-5</v>
          </cell>
          <cell r="R140">
            <v>6.9099999999999999E-5</v>
          </cell>
          <cell r="S140">
            <v>4.99E-5</v>
          </cell>
          <cell r="T140">
            <v>6.4300000000000004E-5</v>
          </cell>
          <cell r="U140">
            <v>1.5815299999999999E-4</v>
          </cell>
          <cell r="V140">
            <v>3.4775300000000002E-4</v>
          </cell>
          <cell r="W140">
            <v>1.03E-5</v>
          </cell>
          <cell r="X140">
            <v>8.4800000000000001E-5</v>
          </cell>
          <cell r="Y140">
            <v>3.79E-5</v>
          </cell>
          <cell r="Z140">
            <v>5.3499999999999999E-5</v>
          </cell>
          <cell r="AA140">
            <v>2.26608E-4</v>
          </cell>
          <cell r="AB140">
            <v>4.5200000000000001E-5</v>
          </cell>
          <cell r="AC140">
            <v>1.2500000000000001E-5</v>
          </cell>
          <cell r="AD140">
            <v>2.5899999999999999E-5</v>
          </cell>
          <cell r="AE140">
            <v>2.2500000000000001E-5</v>
          </cell>
          <cell r="AF140">
            <v>2.19E-5</v>
          </cell>
          <cell r="AG140">
            <v>3.5299999999999997E-5</v>
          </cell>
          <cell r="AH140">
            <v>3.1442599999999997E-4</v>
          </cell>
          <cell r="AI140">
            <v>0</v>
          </cell>
          <cell r="AJ140">
            <v>8.8999999999999995E-5</v>
          </cell>
          <cell r="AK140">
            <v>8.7700000000000004E-5</v>
          </cell>
          <cell r="AL140">
            <v>1.0200000000000001E-5</v>
          </cell>
          <cell r="AM140">
            <v>7.1999999999999997E-6</v>
          </cell>
          <cell r="AN140">
            <v>8.14E-5</v>
          </cell>
          <cell r="AO140">
            <v>0</v>
          </cell>
          <cell r="AP140">
            <v>3.4490200000000001E-4</v>
          </cell>
          <cell r="AQ140">
            <v>0</v>
          </cell>
          <cell r="AR140">
            <v>1.1314100000000001E-4</v>
          </cell>
          <cell r="AS140">
            <v>3.7499999999999997E-5</v>
          </cell>
          <cell r="AT140">
            <v>1.0773E-4</v>
          </cell>
          <cell r="AU140">
            <v>1.7532800000000001E-4</v>
          </cell>
          <cell r="AV140">
            <v>1.14967E-4</v>
          </cell>
          <cell r="AW140">
            <v>5.5800000000000001E-5</v>
          </cell>
          <cell r="AX140">
            <v>1.43425E-4</v>
          </cell>
          <cell r="AY140">
            <v>9.7100000000000002E-5</v>
          </cell>
          <cell r="AZ140">
            <v>1.3857999999999999E-4</v>
          </cell>
          <cell r="BA140">
            <v>1.25535E-4</v>
          </cell>
          <cell r="BB140">
            <v>0</v>
          </cell>
          <cell r="BC140">
            <v>1.19033E-4</v>
          </cell>
          <cell r="BD140">
            <v>8.8399999999999994E-5</v>
          </cell>
          <cell r="BE140">
            <v>6.9099999999999999E-5</v>
          </cell>
          <cell r="BF140">
            <v>1.73893E-4</v>
          </cell>
          <cell r="BG140">
            <v>4.3497300000000001E-4</v>
          </cell>
          <cell r="BH140">
            <v>2.11895E-4</v>
          </cell>
          <cell r="BI140">
            <v>1.6209800000000001E-4</v>
          </cell>
          <cell r="BJ140">
            <v>9.3200000000000002E-5</v>
          </cell>
        </row>
        <row r="141">
          <cell r="B141">
            <v>1.45E-5</v>
          </cell>
          <cell r="C141">
            <v>5.3700000000000003E-6</v>
          </cell>
          <cell r="D141">
            <v>1.63E-5</v>
          </cell>
          <cell r="E141">
            <v>5.5899999999999996E-7</v>
          </cell>
          <cell r="F141">
            <v>7.8199999999999999E-7</v>
          </cell>
          <cell r="G141">
            <v>9.4599999999999992E-6</v>
          </cell>
          <cell r="H141">
            <v>2.69E-5</v>
          </cell>
          <cell r="I141">
            <v>1.0899999999999999E-6</v>
          </cell>
          <cell r="J141">
            <v>2.76E-5</v>
          </cell>
          <cell r="K141">
            <v>3.2400000000000001E-5</v>
          </cell>
          <cell r="L141">
            <v>1.6900000000000001E-5</v>
          </cell>
          <cell r="M141">
            <v>3.8999999999999999E-5</v>
          </cell>
          <cell r="N141">
            <v>2.4300000000000001E-5</v>
          </cell>
          <cell r="O141">
            <v>2.4700000000000001E-5</v>
          </cell>
          <cell r="P141">
            <v>7.1600000000000001E-6</v>
          </cell>
          <cell r="Q141">
            <v>9.4199999999999996E-6</v>
          </cell>
          <cell r="R141">
            <v>1.0699999999999999E-5</v>
          </cell>
          <cell r="S141">
            <v>1.2999999999999999E-5</v>
          </cell>
          <cell r="T141">
            <v>1.3699999999999999E-5</v>
          </cell>
          <cell r="U141">
            <v>1.3200000000000001E-5</v>
          </cell>
          <cell r="V141">
            <v>1.7399999999999999E-5</v>
          </cell>
          <cell r="W141">
            <v>1.2999999999999999E-5</v>
          </cell>
          <cell r="X141">
            <v>4.2700000000000001E-5</v>
          </cell>
          <cell r="Y141">
            <v>5.5000000000000002E-5</v>
          </cell>
          <cell r="Z141">
            <v>1.0499999999999999E-5</v>
          </cell>
          <cell r="AA141">
            <v>3.0836500000000001E-4</v>
          </cell>
          <cell r="AB141">
            <v>9.1500000000000005E-6</v>
          </cell>
          <cell r="AC141">
            <v>5.6699999999999999E-6</v>
          </cell>
          <cell r="AD141">
            <v>6.6599999999999998E-6</v>
          </cell>
          <cell r="AE141">
            <v>5.5799999999999999E-6</v>
          </cell>
          <cell r="AF141">
            <v>7.2599999999999999E-6</v>
          </cell>
          <cell r="AG141">
            <v>9.4199999999999996E-6</v>
          </cell>
          <cell r="AH141">
            <v>5.3100000000000003E-5</v>
          </cell>
          <cell r="AI141">
            <v>0</v>
          </cell>
          <cell r="AJ141">
            <v>7.5800000000000003E-6</v>
          </cell>
          <cell r="AK141">
            <v>6.8199999999999999E-6</v>
          </cell>
          <cell r="AL141">
            <v>1.8199999999999999E-6</v>
          </cell>
          <cell r="AM141">
            <v>1.5200000000000001E-6</v>
          </cell>
          <cell r="AN141">
            <v>4.5000000000000001E-6</v>
          </cell>
          <cell r="AO141">
            <v>0</v>
          </cell>
          <cell r="AP141">
            <v>1.2999999999999999E-5</v>
          </cell>
          <cell r="AQ141">
            <v>0</v>
          </cell>
          <cell r="AR141">
            <v>7.5599999999999996E-6</v>
          </cell>
          <cell r="AS141">
            <v>1.03E-5</v>
          </cell>
          <cell r="AT141">
            <v>1.5099999999999999E-5</v>
          </cell>
          <cell r="AU141">
            <v>2.8E-5</v>
          </cell>
          <cell r="AV141">
            <v>3.01E-5</v>
          </cell>
          <cell r="AW141">
            <v>9.2799999999999992E-6</v>
          </cell>
          <cell r="AX141">
            <v>3.6699999999999998E-5</v>
          </cell>
          <cell r="AY141">
            <v>7.0899999999999999E-6</v>
          </cell>
          <cell r="AZ141">
            <v>2.1100000000000001E-5</v>
          </cell>
          <cell r="BA141">
            <v>1.31E-5</v>
          </cell>
          <cell r="BB141">
            <v>0</v>
          </cell>
          <cell r="BC141">
            <v>1.8E-5</v>
          </cell>
          <cell r="BD141">
            <v>1.9599999999999999E-5</v>
          </cell>
          <cell r="BE141">
            <v>1.5699999999999999E-5</v>
          </cell>
          <cell r="BF141">
            <v>9.6299999999999996E-5</v>
          </cell>
          <cell r="BG141">
            <v>6.0900000000000003E-5</v>
          </cell>
          <cell r="BH141">
            <v>6.1400000000000002E-5</v>
          </cell>
          <cell r="BI141">
            <v>1.9798299999999999E-4</v>
          </cell>
          <cell r="BJ141">
            <v>1.13E-5</v>
          </cell>
        </row>
        <row r="142">
          <cell r="B142">
            <v>1.3050900000000001E-4</v>
          </cell>
          <cell r="C142">
            <v>1.1476699999999999E-4</v>
          </cell>
          <cell r="D142">
            <v>2.41E-5</v>
          </cell>
          <cell r="E142">
            <v>5.3900000000000001E-6</v>
          </cell>
          <cell r="F142">
            <v>9.3300000000000005E-6</v>
          </cell>
          <cell r="G142">
            <v>1.0521100000000001E-4</v>
          </cell>
          <cell r="H142">
            <v>1.33552E-4</v>
          </cell>
          <cell r="I142">
            <v>1.49E-5</v>
          </cell>
          <cell r="J142">
            <v>1.2447200000000001E-4</v>
          </cell>
          <cell r="K142">
            <v>3.5459899999999998E-4</v>
          </cell>
          <cell r="L142">
            <v>6.80706E-4</v>
          </cell>
          <cell r="M142">
            <v>1.9991099999999999E-4</v>
          </cell>
          <cell r="N142">
            <v>1.35005E-4</v>
          </cell>
          <cell r="O142">
            <v>4.5399999999999999E-5</v>
          </cell>
          <cell r="P142">
            <v>1.42E-5</v>
          </cell>
          <cell r="Q142">
            <v>4.7200000000000002E-5</v>
          </cell>
          <cell r="R142">
            <v>3.8000000000000002E-5</v>
          </cell>
          <cell r="S142">
            <v>3.1648000000000001E-4</v>
          </cell>
          <cell r="T142">
            <v>4.5941999999999999E-4</v>
          </cell>
          <cell r="U142">
            <v>9.1899999999999998E-5</v>
          </cell>
          <cell r="V142">
            <v>4.1900000000000002E-5</v>
          </cell>
          <cell r="W142">
            <v>3.79E-5</v>
          </cell>
          <cell r="X142">
            <v>1.1189E-4</v>
          </cell>
          <cell r="Y142">
            <v>4.35E-5</v>
          </cell>
          <cell r="Z142">
            <v>6.0639299999999999E-4</v>
          </cell>
          <cell r="AA142">
            <v>2.11461E-4</v>
          </cell>
          <cell r="AB142">
            <v>3.96E-5</v>
          </cell>
          <cell r="AC142">
            <v>4.7500000000000003E-5</v>
          </cell>
          <cell r="AD142">
            <v>5.3999999999999998E-5</v>
          </cell>
          <cell r="AE142">
            <v>8.2399999999999997E-5</v>
          </cell>
          <cell r="AF142">
            <v>5.0500000000000001E-5</v>
          </cell>
          <cell r="AG142">
            <v>1.4221000000000001E-4</v>
          </cell>
          <cell r="AH142">
            <v>3.0149400000000002E-4</v>
          </cell>
          <cell r="AI142">
            <v>0</v>
          </cell>
          <cell r="AJ142">
            <v>2.02401E-4</v>
          </cell>
          <cell r="AK142">
            <v>1.4061999999999999E-4</v>
          </cell>
          <cell r="AL142">
            <v>2.27E-5</v>
          </cell>
          <cell r="AM142">
            <v>1.77E-5</v>
          </cell>
          <cell r="AN142">
            <v>2.0933200000000001E-4</v>
          </cell>
          <cell r="AO142">
            <v>0</v>
          </cell>
          <cell r="AP142">
            <v>1.05189E-4</v>
          </cell>
          <cell r="AQ142">
            <v>0</v>
          </cell>
          <cell r="AR142">
            <v>1.4192799999999999E-4</v>
          </cell>
          <cell r="AS142">
            <v>2.0523300000000001E-4</v>
          </cell>
          <cell r="AT142">
            <v>3.3018499999999998E-4</v>
          </cell>
          <cell r="AU142">
            <v>2.2500000000000001E-5</v>
          </cell>
          <cell r="AV142">
            <v>5.1900000000000001E-5</v>
          </cell>
          <cell r="AW142">
            <v>1.84E-5</v>
          </cell>
          <cell r="AX142">
            <v>8.9599999999999996E-5</v>
          </cell>
          <cell r="AY142">
            <v>1.57243E-4</v>
          </cell>
          <cell r="AZ142">
            <v>6.6600000000000006E-5</v>
          </cell>
          <cell r="BA142">
            <v>2.7460800000000002E-4</v>
          </cell>
          <cell r="BB142">
            <v>0</v>
          </cell>
          <cell r="BC142">
            <v>3.6502399999999998E-4</v>
          </cell>
          <cell r="BD142">
            <v>2.3028E-4</v>
          </cell>
          <cell r="BE142">
            <v>1.7958699999999999E-4</v>
          </cell>
          <cell r="BF142">
            <v>3.2032700000000002E-4</v>
          </cell>
          <cell r="BG142">
            <v>1.7668800000000001E-4</v>
          </cell>
          <cell r="BH142">
            <v>1.5440429999999999E-3</v>
          </cell>
          <cell r="BI142">
            <v>1.1720199999999999E-4</v>
          </cell>
          <cell r="BJ142">
            <v>4.5899999999999998E-5</v>
          </cell>
        </row>
        <row r="143">
          <cell r="B143">
            <v>1.10784E-4</v>
          </cell>
          <cell r="C143">
            <v>1.19021E-4</v>
          </cell>
          <cell r="D143">
            <v>2.3200000000000001E-5</v>
          </cell>
          <cell r="E143">
            <v>5.3199999999999999E-6</v>
          </cell>
          <cell r="F143">
            <v>9.1300000000000007E-6</v>
          </cell>
          <cell r="G143">
            <v>1.09349E-4</v>
          </cell>
          <cell r="H143">
            <v>1.14533E-4</v>
          </cell>
          <cell r="I143">
            <v>1.4600000000000001E-5</v>
          </cell>
          <cell r="J143">
            <v>1.3217099999999999E-4</v>
          </cell>
          <cell r="K143">
            <v>3.8090200000000002E-4</v>
          </cell>
          <cell r="L143">
            <v>7.2055100000000005E-4</v>
          </cell>
          <cell r="M143">
            <v>1.9455199999999999E-4</v>
          </cell>
          <cell r="N143">
            <v>1.3510099999999999E-4</v>
          </cell>
          <cell r="O143">
            <v>4.1399999999999997E-5</v>
          </cell>
          <cell r="P143">
            <v>1.2300000000000001E-5</v>
          </cell>
          <cell r="Q143">
            <v>4.4700000000000002E-5</v>
          </cell>
          <cell r="R143">
            <v>3.43E-5</v>
          </cell>
          <cell r="S143">
            <v>3.2673799999999997E-4</v>
          </cell>
          <cell r="T143">
            <v>4.8804000000000002E-4</v>
          </cell>
          <cell r="U143">
            <v>9.5600000000000006E-5</v>
          </cell>
          <cell r="V143">
            <v>3.9499999999999998E-5</v>
          </cell>
          <cell r="W143">
            <v>3.5599999999999998E-5</v>
          </cell>
          <cell r="X143">
            <v>1.09067E-4</v>
          </cell>
          <cell r="Y143">
            <v>3.9900000000000001E-5</v>
          </cell>
          <cell r="Z143">
            <v>6.6561099999999998E-4</v>
          </cell>
          <cell r="AA143">
            <v>2.1672799999999999E-4</v>
          </cell>
          <cell r="AB143">
            <v>3.8399999999999998E-5</v>
          </cell>
          <cell r="AC143">
            <v>4.8000000000000001E-5</v>
          </cell>
          <cell r="AD143">
            <v>5.1799999999999999E-5</v>
          </cell>
          <cell r="AE143">
            <v>8.5000000000000006E-5</v>
          </cell>
          <cell r="AF143">
            <v>5.13E-5</v>
          </cell>
          <cell r="AG143">
            <v>1.4533800000000001E-4</v>
          </cell>
          <cell r="AH143">
            <v>3.0549499999999997E-4</v>
          </cell>
          <cell r="AI143">
            <v>0</v>
          </cell>
          <cell r="AJ143">
            <v>1.9642999999999999E-4</v>
          </cell>
          <cell r="AK143">
            <v>1.3140999999999999E-4</v>
          </cell>
          <cell r="AL143">
            <v>2.44E-5</v>
          </cell>
          <cell r="AM143">
            <v>1.9400000000000001E-5</v>
          </cell>
          <cell r="AN143">
            <v>2.1126200000000001E-4</v>
          </cell>
          <cell r="AO143">
            <v>0</v>
          </cell>
          <cell r="AP143">
            <v>9.4699999999999998E-5</v>
          </cell>
          <cell r="AQ143">
            <v>0</v>
          </cell>
          <cell r="AR143">
            <v>1.4771900000000001E-4</v>
          </cell>
          <cell r="AS143">
            <v>2.2347600000000001E-4</v>
          </cell>
          <cell r="AT143">
            <v>3.5912299999999998E-4</v>
          </cell>
          <cell r="AU143">
            <v>2.1399999999999998E-5</v>
          </cell>
          <cell r="AV143">
            <v>5.1799999999999999E-5</v>
          </cell>
          <cell r="AW143">
            <v>1.7799999999999999E-5</v>
          </cell>
          <cell r="AX143">
            <v>8.8700000000000001E-5</v>
          </cell>
          <cell r="AY143">
            <v>1.70927E-4</v>
          </cell>
          <cell r="AZ143">
            <v>6.5500000000000006E-5</v>
          </cell>
          <cell r="BA143">
            <v>2.6389399999999998E-4</v>
          </cell>
          <cell r="BB143">
            <v>0</v>
          </cell>
          <cell r="BC143">
            <v>3.8951799999999999E-4</v>
          </cell>
          <cell r="BD143">
            <v>2.30437E-4</v>
          </cell>
          <cell r="BE143">
            <v>1.77975E-4</v>
          </cell>
          <cell r="BF143">
            <v>2.9624499999999999E-4</v>
          </cell>
          <cell r="BG143">
            <v>1.87138E-4</v>
          </cell>
          <cell r="BH143">
            <v>1.7119780000000001E-3</v>
          </cell>
          <cell r="BI143">
            <v>1.0607699999999999E-4</v>
          </cell>
          <cell r="BJ143">
            <v>4.4700000000000002E-5</v>
          </cell>
        </row>
        <row r="144">
          <cell r="B144">
            <v>2.7100000000000001E-5</v>
          </cell>
          <cell r="C144">
            <v>4.9499999999999997E-5</v>
          </cell>
          <cell r="D144">
            <v>8.4400000000000005E-6</v>
          </cell>
          <cell r="E144">
            <v>2.6000000000000001E-6</v>
          </cell>
          <cell r="F144">
            <v>4.9899999999999997E-6</v>
          </cell>
          <cell r="G144">
            <v>4.6600000000000001E-5</v>
          </cell>
          <cell r="H144">
            <v>2.4899999999999999E-5</v>
          </cell>
          <cell r="I144">
            <v>7.7300000000000005E-6</v>
          </cell>
          <cell r="J144">
            <v>5.9899999999999999E-5</v>
          </cell>
          <cell r="K144">
            <v>1.75732E-4</v>
          </cell>
          <cell r="L144">
            <v>3.1203600000000002E-4</v>
          </cell>
          <cell r="M144">
            <v>7.1699999999999995E-5</v>
          </cell>
          <cell r="N144">
            <v>5.1199999999999998E-5</v>
          </cell>
          <cell r="O144">
            <v>1.0900000000000001E-5</v>
          </cell>
          <cell r="P144">
            <v>4.6299999999999997E-6</v>
          </cell>
          <cell r="Q144">
            <v>1.4100000000000001E-5</v>
          </cell>
          <cell r="R144">
            <v>1.1E-5</v>
          </cell>
          <cell r="S144">
            <v>1.3255600000000001E-4</v>
          </cell>
          <cell r="T144">
            <v>2.1290999999999999E-4</v>
          </cell>
          <cell r="U144">
            <v>4.0200000000000001E-5</v>
          </cell>
          <cell r="V144">
            <v>1.2799999999999999E-5</v>
          </cell>
          <cell r="W144">
            <v>1.1E-5</v>
          </cell>
          <cell r="X144">
            <v>3.8000000000000002E-5</v>
          </cell>
          <cell r="Y144">
            <v>2.2900000000000001E-5</v>
          </cell>
          <cell r="Z144">
            <v>3.1760000000000002E-4</v>
          </cell>
          <cell r="AA144">
            <v>8.9599999999999996E-5</v>
          </cell>
          <cell r="AB144">
            <v>1.36E-5</v>
          </cell>
          <cell r="AC144">
            <v>1.8700000000000001E-5</v>
          </cell>
          <cell r="AD144">
            <v>1.7799999999999999E-5</v>
          </cell>
          <cell r="AE144">
            <v>3.4100000000000002E-5</v>
          </cell>
          <cell r="AF144">
            <v>2.09E-5</v>
          </cell>
          <cell r="AG144">
            <v>5.77E-5</v>
          </cell>
          <cell r="AH144">
            <v>1.2435500000000001E-4</v>
          </cell>
          <cell r="AI144">
            <v>0</v>
          </cell>
          <cell r="AJ144">
            <v>7.0199999999999999E-5</v>
          </cell>
          <cell r="AK144">
            <v>4.3900000000000003E-5</v>
          </cell>
          <cell r="AL144">
            <v>1.15E-5</v>
          </cell>
          <cell r="AM144">
            <v>9.55E-6</v>
          </cell>
          <cell r="AN144">
            <v>8.42E-5</v>
          </cell>
          <cell r="AO144">
            <v>0</v>
          </cell>
          <cell r="AP144">
            <v>4.5200000000000001E-5</v>
          </cell>
          <cell r="AQ144">
            <v>0</v>
          </cell>
          <cell r="AR144">
            <v>6.4399999999999993E-5</v>
          </cell>
          <cell r="AS144">
            <v>1.05719E-4</v>
          </cell>
          <cell r="AT144">
            <v>1.69452E-4</v>
          </cell>
          <cell r="AU144">
            <v>8.9900000000000003E-6</v>
          </cell>
          <cell r="AV144">
            <v>2.02E-5</v>
          </cell>
          <cell r="AW144">
            <v>6.7000000000000002E-6</v>
          </cell>
          <cell r="AX144">
            <v>3.26E-5</v>
          </cell>
          <cell r="AY144">
            <v>8.0500000000000005E-5</v>
          </cell>
          <cell r="AZ144">
            <v>2.41E-5</v>
          </cell>
          <cell r="BA144">
            <v>9.59E-5</v>
          </cell>
          <cell r="BB144">
            <v>0</v>
          </cell>
          <cell r="BC144">
            <v>1.7139E-4</v>
          </cell>
          <cell r="BD144">
            <v>8.4900000000000004E-5</v>
          </cell>
          <cell r="BE144">
            <v>6.3800000000000006E-5</v>
          </cell>
          <cell r="BF144">
            <v>7.9300000000000003E-5</v>
          </cell>
          <cell r="BG144">
            <v>8.2899999999999996E-5</v>
          </cell>
          <cell r="BH144">
            <v>8.4236800000000002E-4</v>
          </cell>
          <cell r="BI144">
            <v>3.2799999999999998E-5</v>
          </cell>
          <cell r="BJ144">
            <v>1.7E-5</v>
          </cell>
        </row>
        <row r="145">
          <cell r="B145">
            <v>1.6720400000000001E-4</v>
          </cell>
          <cell r="C145">
            <v>1.76157E-4</v>
          </cell>
          <cell r="D145">
            <v>2.7800000000000001E-5</v>
          </cell>
          <cell r="E145">
            <v>6.2400000000000004E-6</v>
          </cell>
          <cell r="F145">
            <v>1.0200000000000001E-5</v>
          </cell>
          <cell r="G145">
            <v>1.1409900000000001E-4</v>
          </cell>
          <cell r="H145">
            <v>9.2399999999999996E-5</v>
          </cell>
          <cell r="I145">
            <v>1.66E-5</v>
          </cell>
          <cell r="J145">
            <v>1.4626299999999999E-4</v>
          </cell>
          <cell r="K145">
            <v>3.9986500000000001E-4</v>
          </cell>
          <cell r="L145">
            <v>1.122191E-3</v>
          </cell>
          <cell r="M145">
            <v>2.9440500000000002E-4</v>
          </cell>
          <cell r="N145">
            <v>1.34714E-4</v>
          </cell>
          <cell r="O145">
            <v>2.16E-5</v>
          </cell>
          <cell r="P145">
            <v>1.84E-5</v>
          </cell>
          <cell r="Q145">
            <v>4.2400000000000001E-5</v>
          </cell>
          <cell r="R145">
            <v>2.2099999999999998E-5</v>
          </cell>
          <cell r="S145">
            <v>3.3162000000000003E-4</v>
          </cell>
          <cell r="T145">
            <v>6.3807299999999996E-4</v>
          </cell>
          <cell r="U145">
            <v>1.10029E-4</v>
          </cell>
          <cell r="V145">
            <v>4.85E-5</v>
          </cell>
          <cell r="W145">
            <v>2.69E-5</v>
          </cell>
          <cell r="X145">
            <v>1.02124E-4</v>
          </cell>
          <cell r="Y145">
            <v>5.5099999999999998E-5</v>
          </cell>
          <cell r="Z145">
            <v>7.75546E-4</v>
          </cell>
          <cell r="AA145">
            <v>2.12969E-4</v>
          </cell>
          <cell r="AB145">
            <v>4.1399999999999997E-5</v>
          </cell>
          <cell r="AC145">
            <v>6.5900000000000003E-5</v>
          </cell>
          <cell r="AD145">
            <v>4.2500000000000003E-5</v>
          </cell>
          <cell r="AE145">
            <v>1.26568E-4</v>
          </cell>
          <cell r="AF145">
            <v>5.13E-5</v>
          </cell>
          <cell r="AG145">
            <v>1.6749199999999999E-4</v>
          </cell>
          <cell r="AH145">
            <v>4.2670799999999998E-4</v>
          </cell>
          <cell r="AI145">
            <v>0</v>
          </cell>
          <cell r="AJ145">
            <v>2.7539900000000001E-4</v>
          </cell>
          <cell r="AK145">
            <v>1.9863699999999999E-4</v>
          </cell>
          <cell r="AL145">
            <v>2.5000000000000001E-5</v>
          </cell>
          <cell r="AM145">
            <v>1.9599999999999999E-5</v>
          </cell>
          <cell r="AN145">
            <v>3.1157899999999998E-4</v>
          </cell>
          <cell r="AO145">
            <v>0</v>
          </cell>
          <cell r="AP145">
            <v>1.2319800000000001E-4</v>
          </cell>
          <cell r="AQ145">
            <v>0</v>
          </cell>
          <cell r="AR145">
            <v>1.76133E-4</v>
          </cell>
          <cell r="AS145">
            <v>2.1942399999999999E-4</v>
          </cell>
          <cell r="AT145">
            <v>3.4939200000000002E-4</v>
          </cell>
          <cell r="AU145">
            <v>3.7400000000000001E-5</v>
          </cell>
          <cell r="AV145">
            <v>5.0599999999999997E-5</v>
          </cell>
          <cell r="AW145">
            <v>2.5599999999999999E-5</v>
          </cell>
          <cell r="AX145">
            <v>8.7000000000000001E-5</v>
          </cell>
          <cell r="AY145">
            <v>1.8370100000000001E-4</v>
          </cell>
          <cell r="AZ145">
            <v>7.1899999999999999E-5</v>
          </cell>
          <cell r="BA145">
            <v>3.5830500000000001E-4</v>
          </cell>
          <cell r="BB145">
            <v>0</v>
          </cell>
          <cell r="BC145">
            <v>6.0129200000000002E-4</v>
          </cell>
          <cell r="BD145">
            <v>1.8662400000000001E-4</v>
          </cell>
          <cell r="BE145">
            <v>1.10776E-4</v>
          </cell>
          <cell r="BF145">
            <v>8.7899999999999995E-5</v>
          </cell>
          <cell r="BG145">
            <v>2.6445100000000002E-4</v>
          </cell>
          <cell r="BH145">
            <v>1.7590990000000001E-3</v>
          </cell>
          <cell r="BI145">
            <v>1.4657900000000001E-4</v>
          </cell>
          <cell r="BJ145">
            <v>4.3800000000000001E-5</v>
          </cell>
        </row>
        <row r="146">
          <cell r="B146">
            <v>2.44E-5</v>
          </cell>
          <cell r="C146">
            <v>2.9499999999999999E-5</v>
          </cell>
          <cell r="D146">
            <v>5.9699999999999996E-6</v>
          </cell>
          <cell r="E146">
            <v>1.81E-6</v>
          </cell>
          <cell r="F146">
            <v>8.2399999999999997E-7</v>
          </cell>
          <cell r="G146">
            <v>2.5599999999999999E-5</v>
          </cell>
          <cell r="H146">
            <v>2.58E-5</v>
          </cell>
          <cell r="I146">
            <v>5.75E-6</v>
          </cell>
          <cell r="J146">
            <v>3.0599999999999998E-5</v>
          </cell>
          <cell r="K146">
            <v>8.8200000000000003E-5</v>
          </cell>
          <cell r="L146">
            <v>4.1E-5</v>
          </cell>
          <cell r="M146">
            <v>2.3900000000000002E-5</v>
          </cell>
          <cell r="N146">
            <v>3.1399999999999998E-5</v>
          </cell>
          <cell r="O146">
            <v>1.01E-5</v>
          </cell>
          <cell r="P146">
            <v>4.5700000000000003E-6</v>
          </cell>
          <cell r="Q146">
            <v>6.9600000000000003E-6</v>
          </cell>
          <cell r="R146">
            <v>1.0000000000000001E-5</v>
          </cell>
          <cell r="S146">
            <v>7.86E-5</v>
          </cell>
          <cell r="T146">
            <v>1.19879E-4</v>
          </cell>
          <cell r="U146">
            <v>2.2799999999999999E-5</v>
          </cell>
          <cell r="V146">
            <v>5.84E-6</v>
          </cell>
          <cell r="W146">
            <v>9.6199999999999994E-6</v>
          </cell>
          <cell r="X146">
            <v>2.5999999999999998E-5</v>
          </cell>
          <cell r="Y146">
            <v>2.09E-5</v>
          </cell>
          <cell r="Z146">
            <v>1.58956E-4</v>
          </cell>
          <cell r="AA146">
            <v>4.9299999999999999E-5</v>
          </cell>
          <cell r="AB146">
            <v>8.8899999999999996E-6</v>
          </cell>
          <cell r="AC146">
            <v>1.1800000000000001E-5</v>
          </cell>
          <cell r="AD146">
            <v>1.2099999999999999E-5</v>
          </cell>
          <cell r="AE146">
            <v>5.6799999999999998E-6</v>
          </cell>
          <cell r="AF146">
            <v>1.2500000000000001E-5</v>
          </cell>
          <cell r="AG146">
            <v>3.5299999999999997E-5</v>
          </cell>
          <cell r="AH146">
            <v>7.3499999999999998E-5</v>
          </cell>
          <cell r="AI146">
            <v>0</v>
          </cell>
          <cell r="AJ146">
            <v>2.3600000000000001E-5</v>
          </cell>
          <cell r="AK146">
            <v>3.0499999999999999E-5</v>
          </cell>
          <cell r="AL146">
            <v>5.7400000000000001E-6</v>
          </cell>
          <cell r="AM146">
            <v>4.6399999999999996E-6</v>
          </cell>
          <cell r="AN146">
            <v>5.13E-5</v>
          </cell>
          <cell r="AO146">
            <v>0</v>
          </cell>
          <cell r="AP146">
            <v>1.27E-5</v>
          </cell>
          <cell r="AQ146">
            <v>0</v>
          </cell>
          <cell r="AR146">
            <v>3.4100000000000002E-5</v>
          </cell>
          <cell r="AS146">
            <v>5.13E-5</v>
          </cell>
          <cell r="AT146">
            <v>8.2200000000000006E-5</v>
          </cell>
          <cell r="AU146">
            <v>5.1900000000000003E-6</v>
          </cell>
          <cell r="AV146">
            <v>1.2E-5</v>
          </cell>
          <cell r="AW146">
            <v>4.7700000000000001E-6</v>
          </cell>
          <cell r="AX146">
            <v>2.0999999999999999E-5</v>
          </cell>
          <cell r="AY146">
            <v>3.96E-5</v>
          </cell>
          <cell r="AZ146">
            <v>1.52E-5</v>
          </cell>
          <cell r="BA146">
            <v>6.02E-5</v>
          </cell>
          <cell r="BB146">
            <v>0</v>
          </cell>
          <cell r="BC146">
            <v>9.8300000000000004E-5</v>
          </cell>
          <cell r="BD146">
            <v>5.4799999999999997E-5</v>
          </cell>
          <cell r="BE146">
            <v>4.1699999999999997E-5</v>
          </cell>
          <cell r="BF146">
            <v>7.0099999999999996E-5</v>
          </cell>
          <cell r="BG146">
            <v>4.6300000000000001E-5</v>
          </cell>
          <cell r="BH146">
            <v>3.96349E-4</v>
          </cell>
          <cell r="BI146">
            <v>2.3499999999999999E-5</v>
          </cell>
          <cell r="BJ146">
            <v>1.31E-5</v>
          </cell>
        </row>
        <row r="147">
          <cell r="B147">
            <v>3.1600000000000002E-5</v>
          </cell>
          <cell r="C147">
            <v>3.7499999999999997E-5</v>
          </cell>
          <cell r="D147">
            <v>6.9600000000000003E-6</v>
          </cell>
          <cell r="E147">
            <v>2.04E-6</v>
          </cell>
          <cell r="F147">
            <v>4.6999999999999999E-6</v>
          </cell>
          <cell r="G147">
            <v>3.3000000000000003E-5</v>
          </cell>
          <cell r="H147">
            <v>3.4799999999999999E-5</v>
          </cell>
          <cell r="I147">
            <v>6.2700000000000001E-6</v>
          </cell>
          <cell r="J147">
            <v>3.93E-5</v>
          </cell>
          <cell r="K147">
            <v>1.12781E-4</v>
          </cell>
          <cell r="L147">
            <v>2.3164E-4</v>
          </cell>
          <cell r="M147">
            <v>6.02E-5</v>
          </cell>
          <cell r="N147">
            <v>4.21E-5</v>
          </cell>
          <cell r="O147">
            <v>1.3699999999999999E-5</v>
          </cell>
          <cell r="P147">
            <v>5.4099999999999999E-6</v>
          </cell>
          <cell r="Q147">
            <v>1.42E-5</v>
          </cell>
          <cell r="R147">
            <v>1.26E-5</v>
          </cell>
          <cell r="S147">
            <v>1.01722E-4</v>
          </cell>
          <cell r="T147">
            <v>1.5290900000000001E-4</v>
          </cell>
          <cell r="U147">
            <v>2.9600000000000001E-5</v>
          </cell>
          <cell r="V147">
            <v>1.24E-5</v>
          </cell>
          <cell r="W147">
            <v>1.24E-5</v>
          </cell>
          <cell r="X147">
            <v>3.4199999999999998E-5</v>
          </cell>
          <cell r="Y147">
            <v>2.16E-5</v>
          </cell>
          <cell r="Z147">
            <v>2.0192300000000001E-4</v>
          </cell>
          <cell r="AA147">
            <v>6.4300000000000004E-5</v>
          </cell>
          <cell r="AB147">
            <v>1.1800000000000001E-5</v>
          </cell>
          <cell r="AC147">
            <v>1.5299999999999999E-5</v>
          </cell>
          <cell r="AD147">
            <v>1.5800000000000001E-5</v>
          </cell>
          <cell r="AE147">
            <v>2.73E-5</v>
          </cell>
          <cell r="AF147">
            <v>1.5500000000000001E-5</v>
          </cell>
          <cell r="AG147">
            <v>4.57E-5</v>
          </cell>
          <cell r="AH147">
            <v>9.3700000000000001E-5</v>
          </cell>
          <cell r="AI147">
            <v>0</v>
          </cell>
          <cell r="AJ147">
            <v>6.0800000000000001E-5</v>
          </cell>
          <cell r="AK147">
            <v>3.9100000000000002E-5</v>
          </cell>
          <cell r="AL147">
            <v>7.2899999999999997E-6</v>
          </cell>
          <cell r="AM147">
            <v>5.8699999999999997E-6</v>
          </cell>
          <cell r="AN147">
            <v>6.5199999999999999E-5</v>
          </cell>
          <cell r="AO147">
            <v>0</v>
          </cell>
          <cell r="AP147">
            <v>1.66E-5</v>
          </cell>
          <cell r="AQ147">
            <v>0</v>
          </cell>
          <cell r="AR147">
            <v>4.3800000000000001E-5</v>
          </cell>
          <cell r="AS147">
            <v>6.58E-5</v>
          </cell>
          <cell r="AT147">
            <v>1.0553299999999999E-4</v>
          </cell>
          <cell r="AU147">
            <v>6.8600000000000004E-6</v>
          </cell>
          <cell r="AV147">
            <v>1.59E-5</v>
          </cell>
          <cell r="AW147">
            <v>6.4999999999999996E-6</v>
          </cell>
          <cell r="AX147">
            <v>2.7500000000000001E-5</v>
          </cell>
          <cell r="AY147">
            <v>5.0899999999999997E-5</v>
          </cell>
          <cell r="AZ147">
            <v>2.0000000000000002E-5</v>
          </cell>
          <cell r="BA147">
            <v>7.7299999999999995E-5</v>
          </cell>
          <cell r="BB147">
            <v>0</v>
          </cell>
          <cell r="BC147">
            <v>1.24299E-4</v>
          </cell>
          <cell r="BD147">
            <v>7.2000000000000002E-5</v>
          </cell>
          <cell r="BE147">
            <v>5.52E-5</v>
          </cell>
          <cell r="BF147">
            <v>9.5099999999999994E-5</v>
          </cell>
          <cell r="BG147">
            <v>5.8799999999999999E-5</v>
          </cell>
          <cell r="BH147">
            <v>5.0437099999999999E-4</v>
          </cell>
          <cell r="BI147">
            <v>3.0499999999999999E-5</v>
          </cell>
          <cell r="BJ147">
            <v>1.5299999999999999E-5</v>
          </cell>
        </row>
        <row r="148">
          <cell r="B148">
            <v>1.5517600000000001E-4</v>
          </cell>
          <cell r="C148">
            <v>6.3600000000000001E-5</v>
          </cell>
          <cell r="D148">
            <v>3.2499999999999997E-5</v>
          </cell>
          <cell r="E148">
            <v>7.2599999999999999E-6</v>
          </cell>
          <cell r="F148">
            <v>1.24E-5</v>
          </cell>
          <cell r="G148">
            <v>1.32356E-4</v>
          </cell>
          <cell r="H148">
            <v>1.7241500000000001E-4</v>
          </cell>
          <cell r="I148">
            <v>1.9599999999999999E-5</v>
          </cell>
          <cell r="J148">
            <v>2.1483900000000001E-4</v>
          </cell>
          <cell r="K148">
            <v>6.1291299999999998E-4</v>
          </cell>
          <cell r="L148">
            <v>2.4874000000000001E-4</v>
          </cell>
          <cell r="M148">
            <v>1.5157899999999999E-4</v>
          </cell>
          <cell r="N148">
            <v>1.6876200000000001E-4</v>
          </cell>
          <cell r="O148">
            <v>6.41E-5</v>
          </cell>
          <cell r="P148">
            <v>1.6799999999999998E-5</v>
          </cell>
          <cell r="Q148">
            <v>4.6499999999999999E-5</v>
          </cell>
          <cell r="R148">
            <v>5.1100000000000002E-5</v>
          </cell>
          <cell r="S148">
            <v>3.2044499999999999E-4</v>
          </cell>
          <cell r="T148">
            <v>3.3275500000000001E-4</v>
          </cell>
          <cell r="U148">
            <v>9.8800000000000003E-5</v>
          </cell>
          <cell r="V148">
            <v>3.7599999999999999E-5</v>
          </cell>
          <cell r="W148">
            <v>5.4200000000000003E-5</v>
          </cell>
          <cell r="X148">
            <v>1.2278199999999999E-4</v>
          </cell>
          <cell r="Y148">
            <v>5.0699999999999999E-5</v>
          </cell>
          <cell r="Z148">
            <v>6.8214399999999998E-4</v>
          </cell>
          <cell r="AA148">
            <v>3.2903199999999999E-4</v>
          </cell>
          <cell r="AB148">
            <v>4.7800000000000003E-5</v>
          </cell>
          <cell r="AC148">
            <v>3.4600000000000001E-5</v>
          </cell>
          <cell r="AD148">
            <v>7.5699999999999997E-5</v>
          </cell>
          <cell r="AE148">
            <v>3.5899999999999998E-5</v>
          </cell>
          <cell r="AF148">
            <v>7.2600000000000003E-5</v>
          </cell>
          <cell r="AG148">
            <v>1.25494E-4</v>
          </cell>
          <cell r="AH148">
            <v>2.5093099999999997E-4</v>
          </cell>
          <cell r="AI148">
            <v>0</v>
          </cell>
          <cell r="AJ148">
            <v>1.52979E-4</v>
          </cell>
          <cell r="AK148">
            <v>1.2916699999999999E-4</v>
          </cell>
          <cell r="AL148">
            <v>3.3500000000000001E-5</v>
          </cell>
          <cell r="AM148">
            <v>2.6599999999999999E-5</v>
          </cell>
          <cell r="AN148">
            <v>1.4906500000000001E-4</v>
          </cell>
          <cell r="AO148">
            <v>0</v>
          </cell>
          <cell r="AP148">
            <v>1.24034E-4</v>
          </cell>
          <cell r="AQ148">
            <v>0</v>
          </cell>
          <cell r="AR148">
            <v>1.77407E-4</v>
          </cell>
          <cell r="AS148">
            <v>3.2159799999999998E-4</v>
          </cell>
          <cell r="AT148">
            <v>5.09137E-4</v>
          </cell>
          <cell r="AU148">
            <v>2.51E-5</v>
          </cell>
          <cell r="AV148">
            <v>6.8300000000000007E-5</v>
          </cell>
          <cell r="AW148">
            <v>1.8700000000000001E-5</v>
          </cell>
          <cell r="AX148">
            <v>9.8999999999999994E-5</v>
          </cell>
          <cell r="AY148">
            <v>2.0885500000000001E-4</v>
          </cell>
          <cell r="AZ148">
            <v>7.8300000000000006E-5</v>
          </cell>
          <cell r="BA148">
            <v>3.0713799999999999E-4</v>
          </cell>
          <cell r="BB148">
            <v>0</v>
          </cell>
          <cell r="BC148">
            <v>1.4564800000000001E-4</v>
          </cell>
          <cell r="BD148">
            <v>2.5805700000000001E-4</v>
          </cell>
          <cell r="BE148">
            <v>3.2563299999999998E-4</v>
          </cell>
          <cell r="BF148">
            <v>4.0979800000000001E-4</v>
          </cell>
          <cell r="BG148">
            <v>1.2656599999999999E-4</v>
          </cell>
          <cell r="BH148">
            <v>2.5689839999999999E-3</v>
          </cell>
          <cell r="BI148">
            <v>1.5446899999999999E-4</v>
          </cell>
          <cell r="BJ148">
            <v>6.3600000000000001E-5</v>
          </cell>
        </row>
        <row r="149">
          <cell r="B149">
            <v>3.89E-7</v>
          </cell>
          <cell r="C149">
            <v>6.0699999999999994E-8</v>
          </cell>
          <cell r="D149">
            <v>7.6899999999999994E-8</v>
          </cell>
          <cell r="E149">
            <v>1.26E-8</v>
          </cell>
          <cell r="F149">
            <v>1.74E-8</v>
          </cell>
          <cell r="G149">
            <v>6.6899999999999997E-8</v>
          </cell>
          <cell r="H149">
            <v>2.5600000000000002E-7</v>
          </cell>
          <cell r="I149">
            <v>2.81E-8</v>
          </cell>
          <cell r="J149">
            <v>1.66E-7</v>
          </cell>
          <cell r="K149">
            <v>1.37E-7</v>
          </cell>
          <cell r="L149">
            <v>9.9E-8</v>
          </cell>
          <cell r="M149">
            <v>1.8799999999999999E-7</v>
          </cell>
          <cell r="N149">
            <v>7.1400000000000004E-8</v>
          </cell>
          <cell r="O149">
            <v>6.3500000000000006E-8</v>
          </cell>
          <cell r="P149">
            <v>2.7500000000000001E-8</v>
          </cell>
          <cell r="Q149">
            <v>4.0100000000000002E-8</v>
          </cell>
          <cell r="R149">
            <v>7.7799999999999995E-8</v>
          </cell>
          <cell r="S149">
            <v>9.0600000000000004E-8</v>
          </cell>
          <cell r="T149">
            <v>1.14E-7</v>
          </cell>
          <cell r="U149">
            <v>9.4500000000000006E-8</v>
          </cell>
          <cell r="V149">
            <v>2.2700000000000001E-7</v>
          </cell>
          <cell r="W149">
            <v>1.91E-7</v>
          </cell>
          <cell r="X149">
            <v>5.03E-8</v>
          </cell>
          <cell r="Y149">
            <v>1.01E-7</v>
          </cell>
          <cell r="Z149">
            <v>9.53E-8</v>
          </cell>
          <cell r="AA149">
            <v>1.8099999999999999E-7</v>
          </cell>
          <cell r="AB149">
            <v>5.3500000000000003E-8</v>
          </cell>
          <cell r="AC149">
            <v>7.5899999999999998E-8</v>
          </cell>
          <cell r="AD149">
            <v>9.9699999999999999E-8</v>
          </cell>
          <cell r="AE149">
            <v>8.7999999999999994E-8</v>
          </cell>
          <cell r="AF149">
            <v>7.7700000000000001E-8</v>
          </cell>
          <cell r="AG149">
            <v>9.7699999999999995E-8</v>
          </cell>
          <cell r="AH149">
            <v>7.2200000000000003E-7</v>
          </cell>
          <cell r="AI149">
            <v>0</v>
          </cell>
          <cell r="AJ149">
            <v>2.5600000000000001E-8</v>
          </cell>
          <cell r="AK149">
            <v>2.1200000000000001E-8</v>
          </cell>
          <cell r="AL149">
            <v>1.2499999999999999E-8</v>
          </cell>
          <cell r="AM149">
            <v>1.2100000000000001E-8</v>
          </cell>
          <cell r="AN149">
            <v>1.33E-8</v>
          </cell>
          <cell r="AO149">
            <v>0</v>
          </cell>
          <cell r="AP149">
            <v>4.2799999999999999E-8</v>
          </cell>
          <cell r="AQ149">
            <v>0</v>
          </cell>
          <cell r="AR149">
            <v>1.4600000000000001E-7</v>
          </cell>
          <cell r="AS149">
            <v>5.8700000000000003E-8</v>
          </cell>
          <cell r="AT149">
            <v>2.1500000000000001E-7</v>
          </cell>
          <cell r="AU149">
            <v>2.2700000000000001E-7</v>
          </cell>
          <cell r="AV149">
            <v>2.65E-7</v>
          </cell>
          <cell r="AW149">
            <v>5.6799999999999999E-8</v>
          </cell>
          <cell r="AX149">
            <v>7.8699999999999997E-8</v>
          </cell>
          <cell r="AY149">
            <v>1.02E-7</v>
          </cell>
          <cell r="AZ149">
            <v>8.5300000000000003E-8</v>
          </cell>
          <cell r="BA149">
            <v>2.7899999999999998E-8</v>
          </cell>
          <cell r="BB149">
            <v>0</v>
          </cell>
          <cell r="BC149">
            <v>9.9099999999999994E-8</v>
          </cell>
          <cell r="BD149">
            <v>6.0399999999999998E-8</v>
          </cell>
          <cell r="BE149">
            <v>6.5999999999999995E-8</v>
          </cell>
          <cell r="BF149">
            <v>3.2399999999999999E-8</v>
          </cell>
          <cell r="BG149">
            <v>2.36E-7</v>
          </cell>
          <cell r="BH149">
            <v>2.6800000000000001E-5</v>
          </cell>
          <cell r="BI149">
            <v>1.02E-6</v>
          </cell>
          <cell r="BJ149">
            <v>5.1599999999999999E-8</v>
          </cell>
        </row>
        <row r="150">
          <cell r="B150">
            <v>1.4999999999999999E-7</v>
          </cell>
          <cell r="C150">
            <v>6.36E-8</v>
          </cell>
          <cell r="D150">
            <v>1.09E-7</v>
          </cell>
          <cell r="E150">
            <v>1.55E-7</v>
          </cell>
          <cell r="F150">
            <v>5.7900000000000002E-8</v>
          </cell>
          <cell r="G150">
            <v>8.42E-8</v>
          </cell>
          <cell r="H150">
            <v>3.2800000000000003E-7</v>
          </cell>
          <cell r="I150">
            <v>1.2100000000000001E-7</v>
          </cell>
          <cell r="J150">
            <v>2.9200000000000002E-7</v>
          </cell>
          <cell r="K150">
            <v>2.04E-7</v>
          </cell>
          <cell r="L150">
            <v>2.9299999999999999E-7</v>
          </cell>
          <cell r="M150">
            <v>1.06E-7</v>
          </cell>
          <cell r="N150">
            <v>7.4200000000000003E-8</v>
          </cell>
          <cell r="O150">
            <v>2.8699999999999999E-8</v>
          </cell>
          <cell r="P150">
            <v>7.4299999999999997E-8</v>
          </cell>
          <cell r="Q150">
            <v>4.7099999999999998E-8</v>
          </cell>
          <cell r="R150">
            <v>1.36E-7</v>
          </cell>
          <cell r="S150">
            <v>1.7100000000000001E-7</v>
          </cell>
          <cell r="T150">
            <v>2.48E-7</v>
          </cell>
          <cell r="U150">
            <v>1.06E-7</v>
          </cell>
          <cell r="V150">
            <v>4.1199999999999998E-7</v>
          </cell>
          <cell r="W150">
            <v>5.7800000000000001E-8</v>
          </cell>
          <cell r="X150">
            <v>8.4799999999999997E-7</v>
          </cell>
          <cell r="Y150">
            <v>4.6499999999999999E-7</v>
          </cell>
          <cell r="Z150">
            <v>9.0800000000000006E-8</v>
          </cell>
          <cell r="AA150">
            <v>1.4100000000000001E-7</v>
          </cell>
          <cell r="AB150">
            <v>5.3300000000000001E-8</v>
          </cell>
          <cell r="AC150">
            <v>5.5899999999999998E-8</v>
          </cell>
          <cell r="AD150">
            <v>1.05E-7</v>
          </cell>
          <cell r="AE150">
            <v>5.2700000000000002E-8</v>
          </cell>
          <cell r="AF150">
            <v>1.2700000000000001E-7</v>
          </cell>
          <cell r="AG150">
            <v>6.1500000000000001E-8</v>
          </cell>
          <cell r="AH150">
            <v>1.55E-7</v>
          </cell>
          <cell r="AI150">
            <v>0</v>
          </cell>
          <cell r="AJ150">
            <v>3.9300000000000001E-8</v>
          </cell>
          <cell r="AK150">
            <v>2.9099999999999999E-8</v>
          </cell>
          <cell r="AL150">
            <v>5.4399999999999997E-8</v>
          </cell>
          <cell r="AM150">
            <v>5.8199999999999998E-8</v>
          </cell>
          <cell r="AN150">
            <v>3.5700000000000002E-8</v>
          </cell>
          <cell r="AO150">
            <v>0</v>
          </cell>
          <cell r="AP150">
            <v>2.2399999999999999E-7</v>
          </cell>
          <cell r="AQ150">
            <v>0</v>
          </cell>
          <cell r="AR150">
            <v>4.6499999999999999E-8</v>
          </cell>
          <cell r="AS150">
            <v>4.73E-8</v>
          </cell>
          <cell r="AT150">
            <v>2.9200000000000002E-7</v>
          </cell>
          <cell r="AU150">
            <v>3.7E-7</v>
          </cell>
          <cell r="AV150">
            <v>4.2899999999999999E-7</v>
          </cell>
          <cell r="AW150">
            <v>6.1799999999999998E-8</v>
          </cell>
          <cell r="AX150">
            <v>7.0200000000000007E-8</v>
          </cell>
          <cell r="AY150">
            <v>1.04E-7</v>
          </cell>
          <cell r="AZ150">
            <v>5.1300000000000003E-8</v>
          </cell>
          <cell r="BA150">
            <v>3.8199999999999998E-8</v>
          </cell>
          <cell r="BB150">
            <v>0</v>
          </cell>
          <cell r="BC150">
            <v>2.0699999999999999E-7</v>
          </cell>
          <cell r="BD150">
            <v>1.08E-7</v>
          </cell>
          <cell r="BE150">
            <v>1.24E-7</v>
          </cell>
          <cell r="BF150">
            <v>7.6000000000000006E-8</v>
          </cell>
          <cell r="BG150">
            <v>4.5900000000000002E-7</v>
          </cell>
          <cell r="BH150">
            <v>4.7299999999999998E-5</v>
          </cell>
          <cell r="BI150">
            <v>1.31E-7</v>
          </cell>
          <cell r="BJ150">
            <v>8.7600000000000004E-8</v>
          </cell>
        </row>
        <row r="151">
          <cell r="B151">
            <v>7.5060199999999995E-4</v>
          </cell>
          <cell r="C151">
            <v>6.7458100000000005E-4</v>
          </cell>
          <cell r="D151">
            <v>1.37553E-4</v>
          </cell>
          <cell r="E151">
            <v>3.0899999999999999E-5</v>
          </cell>
          <cell r="F151">
            <v>5.2299999999999997E-5</v>
          </cell>
          <cell r="G151">
            <v>5.8034199999999997E-4</v>
          </cell>
          <cell r="H151">
            <v>4.1181399999999998E-4</v>
          </cell>
          <cell r="I151">
            <v>8.2000000000000001E-5</v>
          </cell>
          <cell r="J151">
            <v>7.7417299999999996E-4</v>
          </cell>
          <cell r="K151">
            <v>2.2069110000000002E-3</v>
          </cell>
          <cell r="L151">
            <v>4.0971940000000002E-3</v>
          </cell>
          <cell r="M151">
            <v>1.176341E-3</v>
          </cell>
          <cell r="N151">
            <v>6.0090299999999996E-4</v>
          </cell>
          <cell r="O151">
            <v>8.0500000000000005E-5</v>
          </cell>
          <cell r="P151">
            <v>6.3299999999999994E-5</v>
          </cell>
          <cell r="Q151">
            <v>1.5568299999999999E-4</v>
          </cell>
          <cell r="R151">
            <v>9.2100000000000003E-5</v>
          </cell>
          <cell r="S151">
            <v>1.4636E-3</v>
          </cell>
          <cell r="T151">
            <v>2.61247E-3</v>
          </cell>
          <cell r="U151">
            <v>4.82089E-4</v>
          </cell>
          <cell r="V151">
            <v>1.83034E-4</v>
          </cell>
          <cell r="W151">
            <v>1.00537E-4</v>
          </cell>
          <cell r="X151">
            <v>4.2496E-4</v>
          </cell>
          <cell r="Y151">
            <v>2.0543800000000001E-4</v>
          </cell>
          <cell r="Z151">
            <v>3.8648020000000001E-3</v>
          </cell>
          <cell r="AA151">
            <v>1.1499850000000001E-3</v>
          </cell>
          <cell r="AB151">
            <v>1.8349999999999999E-4</v>
          </cell>
          <cell r="AC151">
            <v>2.4061300000000001E-4</v>
          </cell>
          <cell r="AD151">
            <v>2.1080099999999999E-4</v>
          </cell>
          <cell r="AE151">
            <v>4.3507099999999998E-4</v>
          </cell>
          <cell r="AF151">
            <v>2.6100100000000002E-4</v>
          </cell>
          <cell r="AG151">
            <v>6.7969700000000005E-4</v>
          </cell>
          <cell r="AH151">
            <v>1.8066779999999999E-3</v>
          </cell>
          <cell r="AI151">
            <v>0</v>
          </cell>
          <cell r="AJ151">
            <v>1.0807729999999999E-3</v>
          </cell>
          <cell r="AK151">
            <v>8.3712299999999995E-4</v>
          </cell>
          <cell r="AL151">
            <v>1.4913540000000001E-3</v>
          </cell>
          <cell r="AM151">
            <v>1.14617E-4</v>
          </cell>
          <cell r="AN151">
            <v>1.2604910000000001E-3</v>
          </cell>
          <cell r="AO151">
            <v>0</v>
          </cell>
          <cell r="AP151">
            <v>5.5049799999999996E-4</v>
          </cell>
          <cell r="AQ151">
            <v>0</v>
          </cell>
          <cell r="AR151">
            <v>8.9336400000000001E-4</v>
          </cell>
          <cell r="AS151">
            <v>1.2793080000000001E-3</v>
          </cell>
          <cell r="AT151">
            <v>2.0519269999999998E-3</v>
          </cell>
          <cell r="AU151">
            <v>1.2801699999999999E-4</v>
          </cell>
          <cell r="AV151">
            <v>2.4504300000000002E-4</v>
          </cell>
          <cell r="AW151">
            <v>9.1299999999999997E-5</v>
          </cell>
          <cell r="AX151">
            <v>3.7532599999999999E-4</v>
          </cell>
          <cell r="AY151">
            <v>9.816759999999999E-4</v>
          </cell>
          <cell r="AZ151">
            <v>3.2180400000000002E-4</v>
          </cell>
          <cell r="BA151">
            <v>1.668817E-3</v>
          </cell>
          <cell r="BB151">
            <v>0</v>
          </cell>
          <cell r="BC151">
            <v>2.2840429999999999E-3</v>
          </cell>
          <cell r="BD151">
            <v>8.4203299999999995E-4</v>
          </cell>
          <cell r="BE151">
            <v>5.7005800000000002E-4</v>
          </cell>
          <cell r="BF151">
            <v>3.3559399999999999E-4</v>
          </cell>
          <cell r="BG151">
            <v>1.5528429999999999E-3</v>
          </cell>
          <cell r="BH151">
            <v>1.0244633E-2</v>
          </cell>
          <cell r="BI151">
            <v>6.9147100000000003E-4</v>
          </cell>
          <cell r="BJ151">
            <v>2.3148299999999999E-4</v>
          </cell>
        </row>
        <row r="152">
          <cell r="B152">
            <v>3.6141E-4</v>
          </cell>
          <cell r="C152">
            <v>1.5144299999999999E-4</v>
          </cell>
          <cell r="D152">
            <v>2.4700000000000001E-5</v>
          </cell>
          <cell r="E152">
            <v>5.7300000000000002E-6</v>
          </cell>
          <cell r="F152">
            <v>9.4499999999999993E-6</v>
          </cell>
          <cell r="G152">
            <v>1.09522E-4</v>
          </cell>
          <cell r="H152">
            <v>7.1299999999999998E-5</v>
          </cell>
          <cell r="I152">
            <v>1.5400000000000002E-5</v>
          </cell>
          <cell r="J152">
            <v>1.42516E-4</v>
          </cell>
          <cell r="K152">
            <v>4.0025299999999999E-4</v>
          </cell>
          <cell r="L152">
            <v>9.6061200000000001E-4</v>
          </cell>
          <cell r="M152">
            <v>2.4738000000000001E-4</v>
          </cell>
          <cell r="N152">
            <v>1.5653299999999999E-4</v>
          </cell>
          <cell r="O152">
            <v>3.2100000000000001E-5</v>
          </cell>
          <cell r="P152">
            <v>1.9899999999999999E-5</v>
          </cell>
          <cell r="Q152">
            <v>3.5099999999999999E-5</v>
          </cell>
          <cell r="R152">
            <v>1.8600000000000001E-5</v>
          </cell>
          <cell r="S152">
            <v>3.0597799999999999E-4</v>
          </cell>
          <cell r="T152">
            <v>5.7236600000000004E-4</v>
          </cell>
          <cell r="U152">
            <v>1.0179900000000001E-4</v>
          </cell>
          <cell r="V152">
            <v>4.1100000000000003E-5</v>
          </cell>
          <cell r="W152">
            <v>2.2500000000000001E-5</v>
          </cell>
          <cell r="X152">
            <v>8.9499999999999994E-5</v>
          </cell>
          <cell r="Y152">
            <v>4.6999999999999997E-5</v>
          </cell>
          <cell r="Z152">
            <v>7.5445199999999997E-4</v>
          </cell>
          <cell r="AA152">
            <v>2.0940499999999999E-4</v>
          </cell>
          <cell r="AB152">
            <v>3.8500000000000001E-5</v>
          </cell>
          <cell r="AC152">
            <v>5.4700000000000001E-5</v>
          </cell>
          <cell r="AD152">
            <v>3.8000000000000002E-5</v>
          </cell>
          <cell r="AE152">
            <v>1.04827E-4</v>
          </cell>
          <cell r="AF152">
            <v>4.6999999999999997E-5</v>
          </cell>
          <cell r="AG152">
            <v>1.4677399999999999E-4</v>
          </cell>
          <cell r="AH152">
            <v>3.8755000000000001E-4</v>
          </cell>
          <cell r="AI152">
            <v>0</v>
          </cell>
          <cell r="AJ152">
            <v>2.2894899999999999E-4</v>
          </cell>
          <cell r="AK152">
            <v>1.6331000000000001E-4</v>
          </cell>
          <cell r="AL152">
            <v>3.6683100000000003E-4</v>
          </cell>
          <cell r="AM152">
            <v>4.0289999999999998E-4</v>
          </cell>
          <cell r="AN152">
            <v>2.6685100000000002E-4</v>
          </cell>
          <cell r="AO152">
            <v>0</v>
          </cell>
          <cell r="AP152">
            <v>1.03575E-4</v>
          </cell>
          <cell r="AQ152">
            <v>0</v>
          </cell>
          <cell r="AR152">
            <v>1.6847100000000001E-4</v>
          </cell>
          <cell r="AS152">
            <v>2.2697099999999999E-4</v>
          </cell>
          <cell r="AT152">
            <v>3.62925E-4</v>
          </cell>
          <cell r="AU152">
            <v>3.0300000000000001E-5</v>
          </cell>
          <cell r="AV152">
            <v>4.6199999999999998E-5</v>
          </cell>
          <cell r="AW152">
            <v>1.9599999999999999E-5</v>
          </cell>
          <cell r="AX152">
            <v>7.6899999999999999E-5</v>
          </cell>
          <cell r="AY152">
            <v>1.83318E-4</v>
          </cell>
          <cell r="AZ152">
            <v>6.3600000000000001E-5</v>
          </cell>
          <cell r="BA152">
            <v>3.1004699999999998E-4</v>
          </cell>
          <cell r="BB152">
            <v>0</v>
          </cell>
          <cell r="BC152">
            <v>5.1942600000000002E-4</v>
          </cell>
          <cell r="BD152">
            <v>1.7230300000000001E-4</v>
          </cell>
          <cell r="BE152">
            <v>1.08175E-4</v>
          </cell>
          <cell r="BF152">
            <v>7.6500000000000003E-5</v>
          </cell>
          <cell r="BG152">
            <v>2.3549899999999999E-4</v>
          </cell>
          <cell r="BH152">
            <v>1.8284659999999999E-3</v>
          </cell>
          <cell r="BI152">
            <v>1.2280400000000001E-4</v>
          </cell>
          <cell r="BJ152">
            <v>7.5619800000000003E-4</v>
          </cell>
        </row>
        <row r="153">
          <cell r="B153">
            <v>5.9800000000000006E-8</v>
          </cell>
          <cell r="C153">
            <v>1.33E-8</v>
          </cell>
          <cell r="D153">
            <v>2.14E-8</v>
          </cell>
          <cell r="E153">
            <v>3.8199999999999996E-9</v>
          </cell>
          <cell r="F153">
            <v>8.6100000000000007E-9</v>
          </cell>
          <cell r="G153">
            <v>1.8699999999999999E-8</v>
          </cell>
          <cell r="H153">
            <v>5.0699999999999997E-8</v>
          </cell>
          <cell r="I153">
            <v>1.1199999999999999E-8</v>
          </cell>
          <cell r="J153">
            <v>6.7099999999999999E-8</v>
          </cell>
          <cell r="K153">
            <v>5.5000000000000003E-8</v>
          </cell>
          <cell r="L153">
            <v>3.7499999999999998E-8</v>
          </cell>
          <cell r="M153">
            <v>3.5399999999999999E-8</v>
          </cell>
          <cell r="N153">
            <v>8.5E-9</v>
          </cell>
          <cell r="O153">
            <v>4.5900000000000001E-9</v>
          </cell>
          <cell r="P153">
            <v>5.6599999999999999E-9</v>
          </cell>
          <cell r="Q153">
            <v>8.6100000000000007E-9</v>
          </cell>
          <cell r="R153">
            <v>2.85E-8</v>
          </cell>
          <cell r="S153">
            <v>7.61E-9</v>
          </cell>
          <cell r="T153">
            <v>8.4599999999999993E-9</v>
          </cell>
          <cell r="U153">
            <v>3.2600000000000001E-8</v>
          </cell>
          <cell r="V153">
            <v>1.3799999999999999E-8</v>
          </cell>
          <cell r="W153">
            <v>2.23E-7</v>
          </cell>
          <cell r="X153">
            <v>4.0300000000000004E-9</v>
          </cell>
          <cell r="Y153">
            <v>3.6500000000000003E-8</v>
          </cell>
          <cell r="Z153">
            <v>1.48E-8</v>
          </cell>
          <cell r="AA153">
            <v>2.4999999999999999E-8</v>
          </cell>
          <cell r="AB153">
            <v>5.6599999999999999E-9</v>
          </cell>
          <cell r="AC153">
            <v>2.1699999999999999E-8</v>
          </cell>
          <cell r="AD153">
            <v>1.3000000000000001E-8</v>
          </cell>
          <cell r="AE153">
            <v>2.5600000000000001E-8</v>
          </cell>
          <cell r="AF153">
            <v>1.9799999999999999E-8</v>
          </cell>
          <cell r="AG153">
            <v>1.33E-8</v>
          </cell>
          <cell r="AH153">
            <v>7.6000000000000002E-9</v>
          </cell>
          <cell r="AI153">
            <v>0</v>
          </cell>
          <cell r="AJ153">
            <v>9.8099999999999998E-9</v>
          </cell>
          <cell r="AK153">
            <v>7.0800000000000004E-9</v>
          </cell>
          <cell r="AL153">
            <v>4.6299999999999999E-9</v>
          </cell>
          <cell r="AM153">
            <v>4.4699999999999997E-9</v>
          </cell>
          <cell r="AN153">
            <v>5.0799999999999998E-9</v>
          </cell>
          <cell r="AO153">
            <v>0</v>
          </cell>
          <cell r="AP153">
            <v>2.18E-8</v>
          </cell>
          <cell r="AQ153">
            <v>0</v>
          </cell>
          <cell r="AR153">
            <v>1E-8</v>
          </cell>
          <cell r="AS153">
            <v>7.8000000000000004E-9</v>
          </cell>
          <cell r="AT153">
            <v>9.94E-9</v>
          </cell>
          <cell r="AU153">
            <v>1.73E-9</v>
          </cell>
          <cell r="AV153">
            <v>6.5899999999999998E-9</v>
          </cell>
          <cell r="AW153">
            <v>1.74E-9</v>
          </cell>
          <cell r="AX153">
            <v>6.8800000000000002E-9</v>
          </cell>
          <cell r="AY153">
            <v>3.94E-9</v>
          </cell>
          <cell r="AZ153">
            <v>1.24E-8</v>
          </cell>
          <cell r="BA153">
            <v>6.3099999999999999E-9</v>
          </cell>
          <cell r="BB153">
            <v>0</v>
          </cell>
          <cell r="BC153">
            <v>8.9600000000000005E-9</v>
          </cell>
          <cell r="BD153">
            <v>4.9399999999999999E-9</v>
          </cell>
          <cell r="BE153">
            <v>4.5399999999999996E-9</v>
          </cell>
          <cell r="BF153">
            <v>2.1200000000000001E-9</v>
          </cell>
          <cell r="BG153">
            <v>8.5999999999999993E-9</v>
          </cell>
          <cell r="BH153">
            <v>3.8300000000000003E-5</v>
          </cell>
          <cell r="BI153">
            <v>4.2300000000000002E-8</v>
          </cell>
          <cell r="BJ153">
            <v>1.4100000000000001E-8</v>
          </cell>
        </row>
        <row r="154">
          <cell r="B154">
            <v>4.5905799999999998E-4</v>
          </cell>
          <cell r="C154">
            <v>1.65141E-4</v>
          </cell>
          <cell r="D154">
            <v>1.6490799999999999E-4</v>
          </cell>
          <cell r="E154">
            <v>9.6600000000000007E-6</v>
          </cell>
          <cell r="F154">
            <v>1.6099999999999998E-5</v>
          </cell>
          <cell r="G154">
            <v>1.5862800000000001E-4</v>
          </cell>
          <cell r="H154">
            <v>1.5508300000000001E-4</v>
          </cell>
          <cell r="I154">
            <v>2.5700000000000001E-5</v>
          </cell>
          <cell r="J154">
            <v>2.1560199999999999E-4</v>
          </cell>
          <cell r="K154">
            <v>6.0227900000000005E-4</v>
          </cell>
          <cell r="L154">
            <v>9.4162499999999997E-4</v>
          </cell>
          <cell r="M154">
            <v>3.3530000000000002E-4</v>
          </cell>
          <cell r="N154">
            <v>1.6721499999999999E-4</v>
          </cell>
          <cell r="O154">
            <v>7.8499999999999997E-5</v>
          </cell>
          <cell r="P154">
            <v>2.44E-5</v>
          </cell>
          <cell r="Q154">
            <v>4.2400000000000001E-5</v>
          </cell>
          <cell r="R154">
            <v>3.15E-5</v>
          </cell>
          <cell r="S154">
            <v>3.6199600000000001E-4</v>
          </cell>
          <cell r="T154">
            <v>6.2190599999999998E-4</v>
          </cell>
          <cell r="U154">
            <v>1.2652799999999999E-4</v>
          </cell>
          <cell r="V154">
            <v>5.3699999999999997E-5</v>
          </cell>
          <cell r="W154">
            <v>3.3399999999999999E-5</v>
          </cell>
          <cell r="X154">
            <v>1.16698E-4</v>
          </cell>
          <cell r="Y154">
            <v>8.0900000000000001E-5</v>
          </cell>
          <cell r="Z154">
            <v>9.8096399999999997E-4</v>
          </cell>
          <cell r="AA154">
            <v>3.2990599999999998E-4</v>
          </cell>
          <cell r="AB154">
            <v>5.5000000000000002E-5</v>
          </cell>
          <cell r="AC154">
            <v>6.1500000000000004E-5</v>
          </cell>
          <cell r="AD154">
            <v>3.95296E-4</v>
          </cell>
          <cell r="AE154">
            <v>1.0030300000000001E-4</v>
          </cell>
          <cell r="AF154">
            <v>6.5319100000000001E-4</v>
          </cell>
          <cell r="AG154">
            <v>1.6961E-4</v>
          </cell>
          <cell r="AH154">
            <v>4.9028299999999999E-4</v>
          </cell>
          <cell r="AI154">
            <v>0</v>
          </cell>
          <cell r="AJ154">
            <v>3.00966E-4</v>
          </cell>
          <cell r="AK154">
            <v>2.5911400000000001E-4</v>
          </cell>
          <cell r="AL154">
            <v>3.2238299999999998E-4</v>
          </cell>
          <cell r="AM154">
            <v>3.4757599999999999E-4</v>
          </cell>
          <cell r="AN154">
            <v>3.3749099999999998E-4</v>
          </cell>
          <cell r="AO154">
            <v>0</v>
          </cell>
          <cell r="AP154">
            <v>1.88841E-4</v>
          </cell>
          <cell r="AQ154">
            <v>0</v>
          </cell>
          <cell r="AR154">
            <v>2.5232299999999999E-4</v>
          </cell>
          <cell r="AS154">
            <v>3.47012E-4</v>
          </cell>
          <cell r="AT154">
            <v>5.5958600000000005E-4</v>
          </cell>
          <cell r="AU154">
            <v>3.6999999999999998E-5</v>
          </cell>
          <cell r="AV154">
            <v>7.1099999999999994E-5</v>
          </cell>
          <cell r="AW154">
            <v>2.2900000000000001E-5</v>
          </cell>
          <cell r="AX154">
            <v>1.0135499999999999E-4</v>
          </cell>
          <cell r="AY154">
            <v>2.60683E-4</v>
          </cell>
          <cell r="AZ154">
            <v>9.3300000000000005E-5</v>
          </cell>
          <cell r="BA154">
            <v>5.1384399999999995E-4</v>
          </cell>
          <cell r="BB154">
            <v>0</v>
          </cell>
          <cell r="BC154">
            <v>5.1322399999999995E-4</v>
          </cell>
          <cell r="BD154">
            <v>2.0832000000000001E-4</v>
          </cell>
          <cell r="BE154">
            <v>1.47372E-4</v>
          </cell>
          <cell r="BF154">
            <v>8.03E-5</v>
          </cell>
          <cell r="BG154">
            <v>2.72451E-4</v>
          </cell>
          <cell r="BH154">
            <v>2.738252E-3</v>
          </cell>
          <cell r="BI154">
            <v>2.33303E-4</v>
          </cell>
          <cell r="BJ154">
            <v>6.62899E-4</v>
          </cell>
        </row>
        <row r="155">
          <cell r="B155">
            <v>8.87827E-4</v>
          </cell>
          <cell r="C155">
            <v>3.2305600000000001E-4</v>
          </cell>
          <cell r="D155">
            <v>8.0900000000000001E-5</v>
          </cell>
          <cell r="E155">
            <v>1.7900000000000001E-5</v>
          </cell>
          <cell r="F155">
            <v>3.0000000000000001E-5</v>
          </cell>
          <cell r="G155">
            <v>2.9926300000000002E-4</v>
          </cell>
          <cell r="H155">
            <v>2.8236599999999999E-4</v>
          </cell>
          <cell r="I155">
            <v>4.7800000000000003E-5</v>
          </cell>
          <cell r="J155">
            <v>4.0429300000000001E-4</v>
          </cell>
          <cell r="K155">
            <v>1.131347E-3</v>
          </cell>
          <cell r="L155">
            <v>1.8647030000000001E-3</v>
          </cell>
          <cell r="M155">
            <v>6.4103300000000005E-4</v>
          </cell>
          <cell r="N155">
            <v>3.1710700000000001E-4</v>
          </cell>
          <cell r="O155">
            <v>4.9200000000000003E-5</v>
          </cell>
          <cell r="P155">
            <v>4.3900000000000003E-5</v>
          </cell>
          <cell r="Q155">
            <v>8.1899999999999999E-5</v>
          </cell>
          <cell r="R155">
            <v>5.8400000000000003E-5</v>
          </cell>
          <cell r="S155">
            <v>6.98031E-4</v>
          </cell>
          <cell r="T155">
            <v>1.213371E-3</v>
          </cell>
          <cell r="U155">
            <v>2.41179E-4</v>
          </cell>
          <cell r="V155">
            <v>1.02834E-4</v>
          </cell>
          <cell r="W155">
            <v>6.0999999999999999E-5</v>
          </cell>
          <cell r="X155">
            <v>2.22766E-4</v>
          </cell>
          <cell r="Y155">
            <v>1.4192999999999999E-4</v>
          </cell>
          <cell r="Z155">
            <v>1.8678080000000001E-3</v>
          </cell>
          <cell r="AA155">
            <v>6.1852000000000001E-4</v>
          </cell>
          <cell r="AB155">
            <v>1.042E-4</v>
          </cell>
          <cell r="AC155">
            <v>1.1934699999999999E-4</v>
          </cell>
          <cell r="AD155">
            <v>7.9468599999999996E-4</v>
          </cell>
          <cell r="AE155">
            <v>1.9937899999999999E-4</v>
          </cell>
          <cell r="AF155">
            <v>1.3182510000000001E-3</v>
          </cell>
          <cell r="AG155">
            <v>3.2839399999999997E-4</v>
          </cell>
          <cell r="AH155">
            <v>9.40236E-4</v>
          </cell>
          <cell r="AI155">
            <v>0</v>
          </cell>
          <cell r="AJ155">
            <v>5.7917799999999996E-4</v>
          </cell>
          <cell r="AK155">
            <v>4.9100200000000004E-4</v>
          </cell>
          <cell r="AL155">
            <v>6.5167600000000001E-4</v>
          </cell>
          <cell r="AM155">
            <v>7.0493699999999999E-4</v>
          </cell>
          <cell r="AN155">
            <v>6.5039399999999999E-4</v>
          </cell>
          <cell r="AO155">
            <v>0</v>
          </cell>
          <cell r="AP155">
            <v>3.5110300000000002E-4</v>
          </cell>
          <cell r="AQ155">
            <v>0</v>
          </cell>
          <cell r="AR155">
            <v>4.7515399999999998E-4</v>
          </cell>
          <cell r="AS155">
            <v>6.50422E-4</v>
          </cell>
          <cell r="AT155">
            <v>1.0500399999999999E-3</v>
          </cell>
          <cell r="AU155">
            <v>7.5199999999999998E-5</v>
          </cell>
          <cell r="AV155">
            <v>1.4140999999999999E-4</v>
          </cell>
          <cell r="AW155">
            <v>4.4199999999999997E-5</v>
          </cell>
          <cell r="AX155">
            <v>1.9395400000000001E-4</v>
          </cell>
          <cell r="AY155">
            <v>4.9282299999999998E-4</v>
          </cell>
          <cell r="AZ155">
            <v>1.7614900000000001E-4</v>
          </cell>
          <cell r="BA155">
            <v>9.6810400000000001E-4</v>
          </cell>
          <cell r="BB155">
            <v>0</v>
          </cell>
          <cell r="BC155">
            <v>1.016901E-3</v>
          </cell>
          <cell r="BD155">
            <v>4.0141800000000001E-4</v>
          </cell>
          <cell r="BE155">
            <v>2.7997299999999998E-4</v>
          </cell>
          <cell r="BF155">
            <v>1.57706E-4</v>
          </cell>
          <cell r="BG155">
            <v>5.3330999999999995E-4</v>
          </cell>
          <cell r="BH155">
            <v>5.1360080000000001E-3</v>
          </cell>
          <cell r="BI155">
            <v>4.3637100000000001E-4</v>
          </cell>
          <cell r="BJ155">
            <v>1.336877E-3</v>
          </cell>
        </row>
        <row r="156">
          <cell r="B156">
            <v>6.9707000000000005E-4</v>
          </cell>
          <cell r="C156">
            <v>7.3923700000000001E-4</v>
          </cell>
          <cell r="D156">
            <v>1.1307900000000001E-4</v>
          </cell>
          <cell r="E156">
            <v>2.48E-5</v>
          </cell>
          <cell r="F156">
            <v>4.1600000000000002E-5</v>
          </cell>
          <cell r="G156">
            <v>4.7487099999999997E-4</v>
          </cell>
          <cell r="H156">
            <v>3.9058499999999999E-4</v>
          </cell>
          <cell r="I156">
            <v>6.6299999999999999E-5</v>
          </cell>
          <cell r="J156">
            <v>6.00561E-4</v>
          </cell>
          <cell r="K156">
            <v>1.6706609999999999E-3</v>
          </cell>
          <cell r="L156">
            <v>4.7147619999999999E-3</v>
          </cell>
          <cell r="M156">
            <v>1.2280850000000001E-3</v>
          </cell>
          <cell r="N156">
            <v>5.1373100000000002E-4</v>
          </cell>
          <cell r="O156">
            <v>7.6500000000000003E-5</v>
          </cell>
          <cell r="P156">
            <v>5.94E-5</v>
          </cell>
          <cell r="Q156">
            <v>1.72564E-4</v>
          </cell>
          <cell r="R156">
            <v>8.2700000000000004E-5</v>
          </cell>
          <cell r="S156">
            <v>1.3881290000000001E-3</v>
          </cell>
          <cell r="T156">
            <v>2.679617E-3</v>
          </cell>
          <cell r="U156">
            <v>4.4044599999999999E-4</v>
          </cell>
          <cell r="V156">
            <v>2.0505400000000001E-4</v>
          </cell>
          <cell r="W156">
            <v>8.4699999999999999E-5</v>
          </cell>
          <cell r="X156">
            <v>5.0925799999999995E-4</v>
          </cell>
          <cell r="Y156">
            <v>1.9376500000000001E-4</v>
          </cell>
          <cell r="Z156">
            <v>3.24968E-3</v>
          </cell>
          <cell r="AA156">
            <v>8.8707599999999999E-4</v>
          </cell>
          <cell r="AB156">
            <v>1.67999E-4</v>
          </cell>
          <cell r="AC156">
            <v>2.7130999999999998E-4</v>
          </cell>
          <cell r="AD156">
            <v>1.7002200000000001E-4</v>
          </cell>
          <cell r="AE156">
            <v>5.2481700000000001E-4</v>
          </cell>
          <cell r="AF156">
            <v>2.0376300000000001E-4</v>
          </cell>
          <cell r="AG156">
            <v>6.9379000000000001E-4</v>
          </cell>
          <cell r="AH156">
            <v>1.777215E-3</v>
          </cell>
          <cell r="AI156">
            <v>0</v>
          </cell>
          <cell r="AJ156">
            <v>1.1616409999999999E-3</v>
          </cell>
          <cell r="AK156">
            <v>8.4000199999999996E-4</v>
          </cell>
          <cell r="AL156">
            <v>1.854117E-3</v>
          </cell>
          <cell r="AM156">
            <v>8.0900000000000001E-5</v>
          </cell>
          <cell r="AN156">
            <v>1.352107E-3</v>
          </cell>
          <cell r="AO156">
            <v>0</v>
          </cell>
          <cell r="AP156">
            <v>4.9199599999999997E-4</v>
          </cell>
          <cell r="AQ156">
            <v>0</v>
          </cell>
          <cell r="AR156">
            <v>7.3457600000000002E-4</v>
          </cell>
          <cell r="AS156">
            <v>9.1581699999999998E-4</v>
          </cell>
          <cell r="AT156">
            <v>1.460774E-3</v>
          </cell>
          <cell r="AU156">
            <v>1.20862E-4</v>
          </cell>
          <cell r="AV156">
            <v>2.0387399999999999E-4</v>
          </cell>
          <cell r="AW156">
            <v>8.0799999999999999E-5</v>
          </cell>
          <cell r="AX156">
            <v>3.5260700000000001E-4</v>
          </cell>
          <cell r="AY156">
            <v>7.6133099999999997E-4</v>
          </cell>
          <cell r="AZ156">
            <v>3.0819700000000002E-4</v>
          </cell>
          <cell r="BA156">
            <v>1.516454E-3</v>
          </cell>
          <cell r="BB156">
            <v>0</v>
          </cell>
          <cell r="BC156">
            <v>2.528481E-3</v>
          </cell>
          <cell r="BD156">
            <v>7.8226599999999999E-4</v>
          </cell>
          <cell r="BE156">
            <v>4.61638E-4</v>
          </cell>
          <cell r="BF156">
            <v>3.6790500000000002E-4</v>
          </cell>
          <cell r="BG156">
            <v>1.102699E-3</v>
          </cell>
          <cell r="BH156">
            <v>7.3718589999999997E-3</v>
          </cell>
          <cell r="BI156">
            <v>6.1086500000000004E-4</v>
          </cell>
          <cell r="BJ156">
            <v>3.8294660000000001E-3</v>
          </cell>
        </row>
        <row r="157">
          <cell r="B157">
            <v>4.7901999999999998E-4</v>
          </cell>
          <cell r="C157">
            <v>3.9701500000000002E-4</v>
          </cell>
          <cell r="D157">
            <v>7.7899999999999996E-5</v>
          </cell>
          <cell r="E157">
            <v>1.73E-5</v>
          </cell>
          <cell r="F157">
            <v>2.87E-5</v>
          </cell>
          <cell r="G157">
            <v>3.0340199999999998E-4</v>
          </cell>
          <cell r="H157">
            <v>2.7058399999999998E-4</v>
          </cell>
          <cell r="I157">
            <v>4.5899999999999998E-5</v>
          </cell>
          <cell r="J157">
            <v>3.97768E-4</v>
          </cell>
          <cell r="K157">
            <v>1.1072969999999999E-3</v>
          </cell>
          <cell r="L157">
            <v>2.428188E-3</v>
          </cell>
          <cell r="M157">
            <v>7.1870500000000004E-4</v>
          </cell>
          <cell r="N157">
            <v>3.2418099999999999E-4</v>
          </cell>
          <cell r="O157">
            <v>5.5000000000000002E-5</v>
          </cell>
          <cell r="P157">
            <v>4.1699999999999997E-5</v>
          </cell>
          <cell r="Q157">
            <v>9.7999999999999997E-5</v>
          </cell>
          <cell r="R157">
            <v>5.77E-5</v>
          </cell>
          <cell r="S157">
            <v>7.9353300000000002E-4</v>
          </cell>
          <cell r="T157">
            <v>1.4602250000000001E-3</v>
          </cell>
          <cell r="U157">
            <v>2.6311800000000001E-4</v>
          </cell>
          <cell r="V157">
            <v>1.20642E-4</v>
          </cell>
          <cell r="W157">
            <v>5.7299999999999997E-5</v>
          </cell>
          <cell r="X157">
            <v>3.3895000000000003E-4</v>
          </cell>
          <cell r="Y157">
            <v>1.37269E-4</v>
          </cell>
          <cell r="Z157">
            <v>1.977389E-3</v>
          </cell>
          <cell r="AA157">
            <v>6.0040199999999999E-4</v>
          </cell>
          <cell r="AB157">
            <v>1.07865E-4</v>
          </cell>
          <cell r="AC157">
            <v>1.5752600000000001E-4</v>
          </cell>
          <cell r="AD157">
            <v>1.17812E-4</v>
          </cell>
          <cell r="AE157">
            <v>2.7084599999999999E-4</v>
          </cell>
          <cell r="AF157">
            <v>1.41772E-4</v>
          </cell>
          <cell r="AG157">
            <v>3.89081E-4</v>
          </cell>
          <cell r="AH157">
            <v>1.038258E-3</v>
          </cell>
          <cell r="AI157">
            <v>0</v>
          </cell>
          <cell r="AJ157">
            <v>6.6460800000000002E-4</v>
          </cell>
          <cell r="AK157">
            <v>5.1970599999999999E-4</v>
          </cell>
          <cell r="AL157">
            <v>9.1173600000000001E-4</v>
          </cell>
          <cell r="AM157">
            <v>5.5999999999999999E-5</v>
          </cell>
          <cell r="AN157">
            <v>7.90812E-4</v>
          </cell>
          <cell r="AO157">
            <v>0</v>
          </cell>
          <cell r="AP157">
            <v>3.4501300000000003E-4</v>
          </cell>
          <cell r="AQ157">
            <v>0</v>
          </cell>
          <cell r="AR157">
            <v>4.7686000000000001E-4</v>
          </cell>
          <cell r="AS157">
            <v>6.2354000000000001E-4</v>
          </cell>
          <cell r="AT157">
            <v>9.9850500000000001E-4</v>
          </cell>
          <cell r="AU157">
            <v>7.5799999999999999E-5</v>
          </cell>
          <cell r="AV157">
            <v>1.3647900000000001E-4</v>
          </cell>
          <cell r="AW157">
            <v>4.7200000000000002E-5</v>
          </cell>
          <cell r="AX157">
            <v>2.11084E-4</v>
          </cell>
          <cell r="AY157">
            <v>4.9329799999999998E-4</v>
          </cell>
          <cell r="AZ157">
            <v>2.0016000000000001E-4</v>
          </cell>
          <cell r="BA157">
            <v>9.7698100000000003E-4</v>
          </cell>
          <cell r="BB157">
            <v>0</v>
          </cell>
          <cell r="BC157">
            <v>1.3103030000000001E-3</v>
          </cell>
          <cell r="BD157">
            <v>4.5096099999999999E-4</v>
          </cell>
          <cell r="BE157">
            <v>2.8874800000000002E-4</v>
          </cell>
          <cell r="BF157">
            <v>1.9595100000000001E-4</v>
          </cell>
          <cell r="BG157">
            <v>6.17156E-4</v>
          </cell>
          <cell r="BH157">
            <v>4.955877E-3</v>
          </cell>
          <cell r="BI157">
            <v>4.1694799999999999E-4</v>
          </cell>
          <cell r="BJ157">
            <v>1.8783809999999999E-3</v>
          </cell>
        </row>
        <row r="158">
          <cell r="B158">
            <v>5.94E-5</v>
          </cell>
          <cell r="C158">
            <v>1.2505700000000001E-4</v>
          </cell>
          <cell r="D158">
            <v>1.04E-5</v>
          </cell>
          <cell r="E158">
            <v>2.6199999999999999E-6</v>
          </cell>
          <cell r="F158">
            <v>5.1399999999999999E-6</v>
          </cell>
          <cell r="G158">
            <v>5.2800000000000003E-5</v>
          </cell>
          <cell r="H158">
            <v>3.3699999999999999E-5</v>
          </cell>
          <cell r="I158">
            <v>7.4900000000000003E-6</v>
          </cell>
          <cell r="J158">
            <v>5.9599999999999999E-5</v>
          </cell>
          <cell r="K158">
            <v>1.60085E-4</v>
          </cell>
          <cell r="L158">
            <v>6.5300000000000002E-5</v>
          </cell>
          <cell r="M158">
            <v>1.81977E-4</v>
          </cell>
          <cell r="N158">
            <v>6.0900000000000003E-5</v>
          </cell>
          <cell r="O158">
            <v>1.5E-5</v>
          </cell>
          <cell r="P158">
            <v>7.7200000000000006E-6</v>
          </cell>
          <cell r="Q158">
            <v>2.8900000000000001E-5</v>
          </cell>
          <cell r="R158">
            <v>1.11E-5</v>
          </cell>
          <cell r="S158">
            <v>2.06937E-4</v>
          </cell>
          <cell r="T158">
            <v>4.3846899999999998E-4</v>
          </cell>
          <cell r="U158">
            <v>6.0900000000000003E-5</v>
          </cell>
          <cell r="V158">
            <v>3.4700000000000003E-5</v>
          </cell>
          <cell r="W158">
            <v>8.2500000000000006E-6</v>
          </cell>
          <cell r="X158">
            <v>1.53172E-4</v>
          </cell>
          <cell r="Y158">
            <v>2.8600000000000001E-5</v>
          </cell>
          <cell r="Z158">
            <v>4.1050599999999999E-4</v>
          </cell>
          <cell r="AA158">
            <v>8.0099999999999995E-5</v>
          </cell>
          <cell r="AB158">
            <v>2.0100000000000001E-5</v>
          </cell>
          <cell r="AC158">
            <v>5.7200000000000001E-5</v>
          </cell>
          <cell r="AD158">
            <v>1.5500000000000001E-5</v>
          </cell>
          <cell r="AE158">
            <v>9.7600000000000001E-5</v>
          </cell>
          <cell r="AF158">
            <v>1.8600000000000001E-5</v>
          </cell>
          <cell r="AG158">
            <v>1.09815E-4</v>
          </cell>
          <cell r="AH158">
            <v>2.51573E-4</v>
          </cell>
          <cell r="AI158">
            <v>0</v>
          </cell>
          <cell r="AJ158">
            <v>1.7688099999999999E-4</v>
          </cell>
          <cell r="AK158">
            <v>1.06901E-4</v>
          </cell>
          <cell r="AL158">
            <v>9.1700000000000003E-6</v>
          </cell>
          <cell r="AM158">
            <v>7.3499999999999999E-6</v>
          </cell>
          <cell r="AN158">
            <v>2.16281E-4</v>
          </cell>
          <cell r="AO158">
            <v>0</v>
          </cell>
          <cell r="AP158">
            <v>7.2000000000000002E-5</v>
          </cell>
          <cell r="AQ158">
            <v>0</v>
          </cell>
          <cell r="AR158">
            <v>7.8200000000000003E-5</v>
          </cell>
          <cell r="AS158">
            <v>7.86E-5</v>
          </cell>
          <cell r="AT158">
            <v>1.2342599999999999E-4</v>
          </cell>
          <cell r="AU158">
            <v>1.9899999999999999E-5</v>
          </cell>
          <cell r="AV158">
            <v>2.4300000000000001E-5</v>
          </cell>
          <cell r="AW158">
            <v>1.31E-5</v>
          </cell>
          <cell r="AX158">
            <v>4.85E-5</v>
          </cell>
          <cell r="AY158">
            <v>8.0900000000000001E-5</v>
          </cell>
          <cell r="AZ158">
            <v>5.1900000000000001E-5</v>
          </cell>
          <cell r="BA158">
            <v>1.63015E-4</v>
          </cell>
          <cell r="BB158">
            <v>0</v>
          </cell>
          <cell r="BC158">
            <v>4.5326699999999998E-4</v>
          </cell>
          <cell r="BD158">
            <v>1.14239E-4</v>
          </cell>
          <cell r="BE158">
            <v>5.5000000000000002E-5</v>
          </cell>
          <cell r="BF158">
            <v>6.3800000000000006E-5</v>
          </cell>
          <cell r="BG158">
            <v>1.75489E-4</v>
          </cell>
          <cell r="BH158">
            <v>6.5546300000000001E-4</v>
          </cell>
          <cell r="BI158">
            <v>5.3100000000000003E-5</v>
          </cell>
          <cell r="BJ158">
            <v>1.6699999999999999E-5</v>
          </cell>
        </row>
        <row r="159">
          <cell r="B159">
            <v>3.3694699999999998E-4</v>
          </cell>
          <cell r="C159">
            <v>3.5291700000000001E-4</v>
          </cell>
          <cell r="D159">
            <v>5.6499999999999998E-5</v>
          </cell>
          <cell r="E159">
            <v>1.24E-5</v>
          </cell>
          <cell r="F159">
            <v>2.02E-5</v>
          </cell>
          <cell r="G159">
            <v>2.2928400000000001E-4</v>
          </cell>
          <cell r="H159">
            <v>1.9313500000000001E-4</v>
          </cell>
          <cell r="I159">
            <v>3.2299999999999999E-5</v>
          </cell>
          <cell r="J159">
            <v>2.9492400000000001E-4</v>
          </cell>
          <cell r="K159">
            <v>8.0630299999999997E-4</v>
          </cell>
          <cell r="L159">
            <v>2.2460449999999999E-3</v>
          </cell>
          <cell r="M159">
            <v>5.9304799999999999E-4</v>
          </cell>
          <cell r="N159">
            <v>2.5541499999999999E-4</v>
          </cell>
          <cell r="O159">
            <v>4.46E-5</v>
          </cell>
          <cell r="P159">
            <v>3.4700000000000003E-5</v>
          </cell>
          <cell r="Q159">
            <v>8.6100000000000006E-5</v>
          </cell>
          <cell r="R159">
            <v>4.6E-5</v>
          </cell>
          <cell r="S159">
            <v>6.6500499999999998E-4</v>
          </cell>
          <cell r="T159">
            <v>1.2779550000000001E-3</v>
          </cell>
          <cell r="U159">
            <v>2.1432299999999999E-4</v>
          </cell>
          <cell r="V159">
            <v>1.0064399999999999E-4</v>
          </cell>
          <cell r="W159">
            <v>4.5399999999999999E-5</v>
          </cell>
          <cell r="X159">
            <v>2.9094199999999998E-4</v>
          </cell>
          <cell r="Y159">
            <v>1.0050199999999999E-4</v>
          </cell>
          <cell r="Z159">
            <v>1.555833E-3</v>
          </cell>
          <cell r="AA159">
            <v>4.3222300000000003E-4</v>
          </cell>
          <cell r="AB159">
            <v>8.5000000000000006E-5</v>
          </cell>
          <cell r="AC159">
            <v>1.4557799999999999E-4</v>
          </cell>
          <cell r="AD159">
            <v>8.7700000000000004E-5</v>
          </cell>
          <cell r="AE159">
            <v>2.6766700000000002E-4</v>
          </cell>
          <cell r="AF159">
            <v>1.13113E-4</v>
          </cell>
          <cell r="AG159">
            <v>3.4226699999999999E-4</v>
          </cell>
          <cell r="AH159">
            <v>8.5991400000000003E-4</v>
          </cell>
          <cell r="AI159">
            <v>0</v>
          </cell>
          <cell r="AJ159">
            <v>5.59721E-4</v>
          </cell>
          <cell r="AK159">
            <v>4.0738100000000001E-4</v>
          </cell>
          <cell r="AL159">
            <v>5.0800000000000002E-5</v>
          </cell>
          <cell r="AM159">
            <v>3.9700000000000003E-5</v>
          </cell>
          <cell r="AN159">
            <v>6.7311200000000002E-4</v>
          </cell>
          <cell r="AO159">
            <v>0</v>
          </cell>
          <cell r="AP159">
            <v>2.4203899999999999E-4</v>
          </cell>
          <cell r="AQ159">
            <v>0</v>
          </cell>
          <cell r="AR159">
            <v>3.5712599999999998E-4</v>
          </cell>
          <cell r="AS159">
            <v>4.4195699999999998E-4</v>
          </cell>
          <cell r="AT159">
            <v>7.04414E-4</v>
          </cell>
          <cell r="AU159">
            <v>6.97E-5</v>
          </cell>
          <cell r="AV159">
            <v>1.02754E-4</v>
          </cell>
          <cell r="AW159">
            <v>4.1600000000000002E-5</v>
          </cell>
          <cell r="AX159">
            <v>1.70891E-4</v>
          </cell>
          <cell r="AY159">
            <v>3.69353E-4</v>
          </cell>
          <cell r="AZ159">
            <v>1.5924799999999999E-4</v>
          </cell>
          <cell r="BA159">
            <v>7.2962500000000002E-4</v>
          </cell>
          <cell r="BB159">
            <v>0</v>
          </cell>
          <cell r="BC159">
            <v>1.203951E-3</v>
          </cell>
          <cell r="BD159">
            <v>3.7406499999999998E-4</v>
          </cell>
          <cell r="BE159">
            <v>2.2205099999999999E-4</v>
          </cell>
          <cell r="BF159">
            <v>1.75699E-4</v>
          </cell>
          <cell r="BG159">
            <v>5.3047399999999996E-4</v>
          </cell>
          <cell r="BH159">
            <v>3.5400539999999999E-3</v>
          </cell>
          <cell r="BI159">
            <v>2.9606400000000002E-4</v>
          </cell>
          <cell r="BJ159">
            <v>8.8399999999999994E-5</v>
          </cell>
        </row>
        <row r="160">
          <cell r="B160">
            <v>1.0507599999999999E-4</v>
          </cell>
          <cell r="C160">
            <v>9.3700000000000001E-5</v>
          </cell>
          <cell r="D160">
            <v>1.7099999999999999E-5</v>
          </cell>
          <cell r="E160">
            <v>4.1699999999999999E-6</v>
          </cell>
          <cell r="F160">
            <v>7.17E-6</v>
          </cell>
          <cell r="G160">
            <v>6.7600000000000003E-5</v>
          </cell>
          <cell r="H160">
            <v>5.7800000000000002E-5</v>
          </cell>
          <cell r="I160">
            <v>1.13E-5</v>
          </cell>
          <cell r="J160">
            <v>8.7800000000000006E-5</v>
          </cell>
          <cell r="K160">
            <v>2.42215E-4</v>
          </cell>
          <cell r="L160">
            <v>1.16901E-4</v>
          </cell>
          <cell r="M160">
            <v>1.6979699999999999E-4</v>
          </cell>
          <cell r="N160">
            <v>7.3300000000000006E-5</v>
          </cell>
          <cell r="O160">
            <v>1.3200000000000001E-5</v>
          </cell>
          <cell r="P160">
            <v>1.1399999999999999E-5</v>
          </cell>
          <cell r="Q160">
            <v>2.37E-5</v>
          </cell>
          <cell r="R160">
            <v>1.5E-5</v>
          </cell>
          <cell r="S160">
            <v>1.83077E-4</v>
          </cell>
          <cell r="T160">
            <v>3.4190400000000003E-4</v>
          </cell>
          <cell r="U160">
            <v>6.0099999999999997E-5</v>
          </cell>
          <cell r="V160">
            <v>2.8799999999999999E-5</v>
          </cell>
          <cell r="W160">
            <v>1.26E-5</v>
          </cell>
          <cell r="X160">
            <v>9.1100000000000005E-5</v>
          </cell>
          <cell r="Y160">
            <v>3.9900000000000001E-5</v>
          </cell>
          <cell r="Z160">
            <v>4.44048E-4</v>
          </cell>
          <cell r="AA160">
            <v>1.3071400000000001E-4</v>
          </cell>
          <cell r="AB160">
            <v>2.6299999999999999E-5</v>
          </cell>
          <cell r="AC160">
            <v>4.3800000000000001E-5</v>
          </cell>
          <cell r="AD160">
            <v>2.69E-5</v>
          </cell>
          <cell r="AE160">
            <v>1.3699999999999999E-5</v>
          </cell>
          <cell r="AF160">
            <v>3.2199999999999997E-5</v>
          </cell>
          <cell r="AG160">
            <v>9.1600000000000004E-5</v>
          </cell>
          <cell r="AH160">
            <v>2.3619299999999999E-4</v>
          </cell>
          <cell r="AI160">
            <v>0</v>
          </cell>
          <cell r="AJ160">
            <v>1.5522100000000001E-4</v>
          </cell>
          <cell r="AK160">
            <v>1.18738E-4</v>
          </cell>
          <cell r="AL160">
            <v>1.5800000000000001E-5</v>
          </cell>
          <cell r="AM160">
            <v>1.24E-5</v>
          </cell>
          <cell r="AN160">
            <v>1.8018400000000001E-4</v>
          </cell>
          <cell r="AO160">
            <v>0</v>
          </cell>
          <cell r="AP160">
            <v>9.8499999999999995E-5</v>
          </cell>
          <cell r="AQ160">
            <v>0</v>
          </cell>
          <cell r="AR160">
            <v>1.05364E-4</v>
          </cell>
          <cell r="AS160">
            <v>1.3524899999999999E-4</v>
          </cell>
          <cell r="AT160">
            <v>2.1655200000000001E-4</v>
          </cell>
          <cell r="AU160">
            <v>2.0699999999999998E-5</v>
          </cell>
          <cell r="AV160">
            <v>3.3300000000000003E-5</v>
          </cell>
          <cell r="AW160">
            <v>1.19E-5</v>
          </cell>
          <cell r="AX160">
            <v>4.88E-5</v>
          </cell>
          <cell r="AY160">
            <v>1.10241E-4</v>
          </cell>
          <cell r="AZ160">
            <v>4.7700000000000001E-5</v>
          </cell>
          <cell r="BA160">
            <v>2.14348E-4</v>
          </cell>
          <cell r="BB160">
            <v>0</v>
          </cell>
          <cell r="BC160">
            <v>3.1285800000000001E-4</v>
          </cell>
          <cell r="BD160">
            <v>1.03671E-4</v>
          </cell>
          <cell r="BE160">
            <v>6.4999999999999994E-5</v>
          </cell>
          <cell r="BF160">
            <v>4.6699999999999997E-5</v>
          </cell>
          <cell r="BG160">
            <v>1.4586499999999999E-4</v>
          </cell>
          <cell r="BH160">
            <v>1.072655E-3</v>
          </cell>
          <cell r="BI160">
            <v>9.1100000000000005E-5</v>
          </cell>
          <cell r="BJ160">
            <v>2.7399999999999999E-5</v>
          </cell>
        </row>
        <row r="161">
          <cell r="B161">
            <v>1.3304500000000001E-4</v>
          </cell>
          <cell r="C161">
            <v>1.18399E-4</v>
          </cell>
          <cell r="D161">
            <v>2.1699999999999999E-5</v>
          </cell>
          <cell r="E161">
            <v>5.1200000000000001E-6</v>
          </cell>
          <cell r="F161">
            <v>8.5599999999999994E-6</v>
          </cell>
          <cell r="G161">
            <v>8.5699999999999996E-5</v>
          </cell>
          <cell r="H161">
            <v>7.3200000000000004E-5</v>
          </cell>
          <cell r="I161">
            <v>1.38E-5</v>
          </cell>
          <cell r="J161">
            <v>1.11383E-4</v>
          </cell>
          <cell r="K161">
            <v>3.0776700000000002E-4</v>
          </cell>
          <cell r="L161">
            <v>1.4861900000000001E-4</v>
          </cell>
          <cell r="M161">
            <v>2.14677E-4</v>
          </cell>
          <cell r="N161">
            <v>9.31E-5</v>
          </cell>
          <cell r="O161">
            <v>1.6500000000000001E-5</v>
          </cell>
          <cell r="P161">
            <v>1.3699999999999999E-5</v>
          </cell>
          <cell r="Q161">
            <v>2.9899999999999998E-5</v>
          </cell>
          <cell r="R161">
            <v>1.8099999999999999E-5</v>
          </cell>
          <cell r="S161">
            <v>2.31776E-4</v>
          </cell>
          <cell r="T161">
            <v>4.3249E-4</v>
          </cell>
          <cell r="U161">
            <v>7.6199999999999995E-5</v>
          </cell>
          <cell r="V161">
            <v>3.65E-5</v>
          </cell>
          <cell r="W161">
            <v>1.6200000000000001E-5</v>
          </cell>
          <cell r="X161">
            <v>1.12279E-4</v>
          </cell>
          <cell r="Y161">
            <v>4.71E-5</v>
          </cell>
          <cell r="Z161">
            <v>5.6330200000000001E-4</v>
          </cell>
          <cell r="AA161">
            <v>1.6634700000000001E-4</v>
          </cell>
          <cell r="AB161">
            <v>3.2299999999999999E-5</v>
          </cell>
          <cell r="AC161">
            <v>5.4500000000000003E-5</v>
          </cell>
          <cell r="AD161">
            <v>3.4100000000000002E-5</v>
          </cell>
          <cell r="AE161">
            <v>8.3599999999999999E-5</v>
          </cell>
          <cell r="AF161">
            <v>4.0899999999999998E-5</v>
          </cell>
          <cell r="AG161">
            <v>1.15925E-4</v>
          </cell>
          <cell r="AH161">
            <v>3.0014899999999999E-4</v>
          </cell>
          <cell r="AI161">
            <v>0</v>
          </cell>
          <cell r="AJ161">
            <v>1.962E-4</v>
          </cell>
          <cell r="AK161">
            <v>1.50309E-4</v>
          </cell>
          <cell r="AL161">
            <v>2.0100000000000001E-5</v>
          </cell>
          <cell r="AM161">
            <v>1.59E-5</v>
          </cell>
          <cell r="AN161">
            <v>2.4156899999999999E-4</v>
          </cell>
          <cell r="AO161">
            <v>0</v>
          </cell>
          <cell r="AP161">
            <v>1.15844E-4</v>
          </cell>
          <cell r="AQ161">
            <v>0</v>
          </cell>
          <cell r="AR161">
            <v>1.3406599999999999E-4</v>
          </cell>
          <cell r="AS161">
            <v>1.7222200000000001E-4</v>
          </cell>
          <cell r="AT161">
            <v>2.75918E-4</v>
          </cell>
          <cell r="AU161">
            <v>2.5700000000000001E-5</v>
          </cell>
          <cell r="AV161">
            <v>4.2400000000000001E-5</v>
          </cell>
          <cell r="AW161">
            <v>1.49E-5</v>
          </cell>
          <cell r="AX161">
            <v>6.1799999999999998E-5</v>
          </cell>
          <cell r="AY161">
            <v>1.3979500000000001E-4</v>
          </cell>
          <cell r="AZ161">
            <v>5.9799999999999997E-5</v>
          </cell>
          <cell r="BA161">
            <v>2.7349600000000003E-4</v>
          </cell>
          <cell r="BB161">
            <v>0</v>
          </cell>
          <cell r="BC161">
            <v>3.95227E-4</v>
          </cell>
          <cell r="BD161">
            <v>1.31335E-4</v>
          </cell>
          <cell r="BE161">
            <v>8.25E-5</v>
          </cell>
          <cell r="BF161">
            <v>5.8999999999999998E-5</v>
          </cell>
          <cell r="BG161">
            <v>1.84363E-4</v>
          </cell>
          <cell r="BH161">
            <v>1.3650960000000001E-3</v>
          </cell>
          <cell r="BI161">
            <v>1.1574900000000001E-4</v>
          </cell>
          <cell r="BJ161">
            <v>3.4799999999999999E-5</v>
          </cell>
        </row>
        <row r="162">
          <cell r="B162">
            <v>3.0699999999999998E-6</v>
          </cell>
          <cell r="C162">
            <v>3.5499999999999999E-7</v>
          </cell>
          <cell r="D162">
            <v>3.3699999999999999E-6</v>
          </cell>
          <cell r="E162">
            <v>2.8100000000000002E-6</v>
          </cell>
          <cell r="F162">
            <v>3.9299999999999996E-6</v>
          </cell>
          <cell r="G162">
            <v>1.2699999999999999E-6</v>
          </cell>
          <cell r="H162">
            <v>1.8500000000000001E-6</v>
          </cell>
          <cell r="I162">
            <v>1.1399999999999999E-5</v>
          </cell>
          <cell r="J162">
            <v>1.9199999999999999E-5</v>
          </cell>
          <cell r="K162">
            <v>1.6645000000000001E-4</v>
          </cell>
          <cell r="L162">
            <v>9.8099999999999999E-5</v>
          </cell>
          <cell r="M162">
            <v>2.7900000000000001E-5</v>
          </cell>
          <cell r="N162">
            <v>2.39E-6</v>
          </cell>
          <cell r="O162">
            <v>5.4634900000000001E-4</v>
          </cell>
          <cell r="P162">
            <v>5.8188599999999999E-4</v>
          </cell>
          <cell r="Q162">
            <v>2.7099999999999999E-6</v>
          </cell>
          <cell r="R162">
            <v>3.069713E-3</v>
          </cell>
          <cell r="S162">
            <v>1.22E-5</v>
          </cell>
          <cell r="T162">
            <v>6.61E-7</v>
          </cell>
          <cell r="U162">
            <v>3.0300000000000001E-5</v>
          </cell>
          <cell r="V162">
            <v>8.4100000000000008E-6</v>
          </cell>
          <cell r="W162">
            <v>4.4799999999999999E-7</v>
          </cell>
          <cell r="X162">
            <v>7.4900000000000002E-8</v>
          </cell>
          <cell r="Y162">
            <v>2.17E-7</v>
          </cell>
          <cell r="Z162">
            <v>9.0599999999999997E-6</v>
          </cell>
          <cell r="AA162">
            <v>2.3730100000000001E-4</v>
          </cell>
          <cell r="AB162">
            <v>7.0500000000000003E-7</v>
          </cell>
          <cell r="AC162">
            <v>8.9999999999999996E-7</v>
          </cell>
          <cell r="AD162">
            <v>8.7499999999999999E-7</v>
          </cell>
          <cell r="AE162">
            <v>1.3799999999999999E-6</v>
          </cell>
          <cell r="AF162">
            <v>1.2500000000000001E-6</v>
          </cell>
          <cell r="AG162">
            <v>1.26E-6</v>
          </cell>
          <cell r="AH162">
            <v>1.2300000000000001E-6</v>
          </cell>
          <cell r="AI162">
            <v>0</v>
          </cell>
          <cell r="AJ162">
            <v>1.57E-6</v>
          </cell>
          <cell r="AK162">
            <v>1.77E-6</v>
          </cell>
          <cell r="AL162">
            <v>1.4399999999999999E-7</v>
          </cell>
          <cell r="AM162">
            <v>5.7299999999999997E-8</v>
          </cell>
          <cell r="AN162">
            <v>2.43E-6</v>
          </cell>
          <cell r="AO162">
            <v>0</v>
          </cell>
          <cell r="AP162">
            <v>2.4499999999999998E-7</v>
          </cell>
          <cell r="AQ162">
            <v>0</v>
          </cell>
          <cell r="AR162">
            <v>1.1200000000000001E-6</v>
          </cell>
          <cell r="AS162">
            <v>6.4899999999999995E-7</v>
          </cell>
          <cell r="AT162">
            <v>9.569999999999999E-7</v>
          </cell>
          <cell r="AU162">
            <v>1.73E-6</v>
          </cell>
          <cell r="AV162">
            <v>7.3099999999999997E-7</v>
          </cell>
          <cell r="AW162">
            <v>2.5799999999999999E-6</v>
          </cell>
          <cell r="AX162">
            <v>7.7700000000000004E-7</v>
          </cell>
          <cell r="AY162">
            <v>7.9299999999999997E-7</v>
          </cell>
          <cell r="AZ162">
            <v>1.1599999999999999E-6</v>
          </cell>
          <cell r="BA162">
            <v>9.1200000000000001E-7</v>
          </cell>
          <cell r="BB162">
            <v>0</v>
          </cell>
          <cell r="BC162">
            <v>3.5699999999999998E-7</v>
          </cell>
          <cell r="BD162">
            <v>2.41E-7</v>
          </cell>
          <cell r="BE162">
            <v>2.3200000000000001E-7</v>
          </cell>
          <cell r="BF162">
            <v>8.0900000000000003E-8</v>
          </cell>
          <cell r="BG162">
            <v>4.4799999999999999E-7</v>
          </cell>
          <cell r="BH162">
            <v>1.1599999999999999E-6</v>
          </cell>
          <cell r="BI162">
            <v>2.6999999999999999E-5</v>
          </cell>
          <cell r="BJ162">
            <v>2.65E-5</v>
          </cell>
        </row>
        <row r="163">
          <cell r="B163">
            <v>2.23262E-4</v>
          </cell>
          <cell r="C163">
            <v>3.0800000000000003E-5</v>
          </cell>
          <cell r="D163">
            <v>9.7999999999999997E-5</v>
          </cell>
          <cell r="E163">
            <v>2.3800000000000001E-6</v>
          </cell>
          <cell r="F163">
            <v>5.0799999999999996E-6</v>
          </cell>
          <cell r="G163">
            <v>3.8399999999999998E-5</v>
          </cell>
          <cell r="H163">
            <v>1.21416E-4</v>
          </cell>
          <cell r="I163">
            <v>7.5000000000000002E-6</v>
          </cell>
          <cell r="J163">
            <v>4.1600000000000002E-5</v>
          </cell>
          <cell r="K163">
            <v>1.07506E-4</v>
          </cell>
          <cell r="L163">
            <v>7.25E-5</v>
          </cell>
          <cell r="M163">
            <v>1.5858499999999999E-4</v>
          </cell>
          <cell r="N163">
            <v>5.2200000000000002E-5</v>
          </cell>
          <cell r="O163">
            <v>6.8499999999999998E-5</v>
          </cell>
          <cell r="P163">
            <v>2.9200000000000002E-5</v>
          </cell>
          <cell r="Q163">
            <v>5.2099999999999999E-5</v>
          </cell>
          <cell r="R163">
            <v>4.32E-5</v>
          </cell>
          <cell r="S163">
            <v>5.3600000000000002E-5</v>
          </cell>
          <cell r="T163">
            <v>6.0800000000000001E-5</v>
          </cell>
          <cell r="U163">
            <v>5.3199999999999999E-5</v>
          </cell>
          <cell r="V163">
            <v>8.1199999999999995E-5</v>
          </cell>
          <cell r="W163">
            <v>4.7400000000000004E-6</v>
          </cell>
          <cell r="X163">
            <v>6.2534099999999996E-4</v>
          </cell>
          <cell r="Y163">
            <v>2.41E-5</v>
          </cell>
          <cell r="Z163">
            <v>7.4400000000000006E-5</v>
          </cell>
          <cell r="AA163">
            <v>5.8976799999999995E-4</v>
          </cell>
          <cell r="AB163">
            <v>2.7500000000000001E-5</v>
          </cell>
          <cell r="AC163">
            <v>1.33E-5</v>
          </cell>
          <cell r="AD163">
            <v>2.4600000000000002E-5</v>
          </cell>
          <cell r="AE163">
            <v>1.19E-5</v>
          </cell>
          <cell r="AF163">
            <v>1.36E-5</v>
          </cell>
          <cell r="AG163">
            <v>2.5400000000000001E-5</v>
          </cell>
          <cell r="AH163">
            <v>8.7899999999999995E-5</v>
          </cell>
          <cell r="AI163">
            <v>0</v>
          </cell>
          <cell r="AJ163">
            <v>2.0400000000000001E-5</v>
          </cell>
          <cell r="AK163">
            <v>1.9300000000000002E-5</v>
          </cell>
          <cell r="AL163">
            <v>7.96E-6</v>
          </cell>
          <cell r="AM163">
            <v>4.6E-6</v>
          </cell>
          <cell r="AN163">
            <v>1.4399999999999999E-5</v>
          </cell>
          <cell r="AO163">
            <v>0</v>
          </cell>
          <cell r="AP163">
            <v>2.6299999999999999E-5</v>
          </cell>
          <cell r="AQ163">
            <v>0</v>
          </cell>
          <cell r="AR163">
            <v>2.48E-5</v>
          </cell>
          <cell r="AS163">
            <v>2.5700000000000001E-5</v>
          </cell>
          <cell r="AT163">
            <v>4.4299999999999999E-5</v>
          </cell>
          <cell r="AU163">
            <v>1.2082300000000001E-4</v>
          </cell>
          <cell r="AV163">
            <v>3.18E-5</v>
          </cell>
          <cell r="AW163">
            <v>1.26E-5</v>
          </cell>
          <cell r="AX163">
            <v>5.4500000000000003E-5</v>
          </cell>
          <cell r="AY163">
            <v>1.8899999999999999E-5</v>
          </cell>
          <cell r="AZ163">
            <v>2.1490499999999999E-4</v>
          </cell>
          <cell r="BA163">
            <v>1.5E-5</v>
          </cell>
          <cell r="BB163">
            <v>0</v>
          </cell>
          <cell r="BC163">
            <v>4.71E-5</v>
          </cell>
          <cell r="BD163">
            <v>3.3699999999999999E-5</v>
          </cell>
          <cell r="BE163">
            <v>2.8799999999999999E-5</v>
          </cell>
          <cell r="BF163">
            <v>4.18E-5</v>
          </cell>
          <cell r="BG163">
            <v>7.5199999999999998E-5</v>
          </cell>
          <cell r="BH163">
            <v>1.43392E-4</v>
          </cell>
          <cell r="BI163">
            <v>1.45084E-4</v>
          </cell>
          <cell r="BJ163">
            <v>4.7899999999999999E-5</v>
          </cell>
        </row>
        <row r="164">
          <cell r="B164">
            <v>5.49E-5</v>
          </cell>
          <cell r="C164">
            <v>2.6100000000000001E-5</v>
          </cell>
          <cell r="D164">
            <v>2.4600000000000002E-5</v>
          </cell>
          <cell r="E164">
            <v>5.0900000000000004E-6</v>
          </cell>
          <cell r="F164">
            <v>8.32E-6</v>
          </cell>
          <cell r="G164">
            <v>4.0299999999999997E-5</v>
          </cell>
          <cell r="H164">
            <v>7.7200000000000006E-5</v>
          </cell>
          <cell r="I164">
            <v>1.63E-5</v>
          </cell>
          <cell r="J164">
            <v>4.9700000000000002E-5</v>
          </cell>
          <cell r="K164">
            <v>1.42733E-4</v>
          </cell>
          <cell r="L164">
            <v>1.01235E-4</v>
          </cell>
          <cell r="M164">
            <v>6.86E-5</v>
          </cell>
          <cell r="N164">
            <v>3.2898699999999999E-4</v>
          </cell>
          <cell r="O164">
            <v>1.8762600000000001E-4</v>
          </cell>
          <cell r="P164">
            <v>4.4299999999999999E-5</v>
          </cell>
          <cell r="Q164">
            <v>1.24845E-4</v>
          </cell>
          <cell r="R164">
            <v>1.4848500000000001E-4</v>
          </cell>
          <cell r="S164">
            <v>7.2200000000000007E-5</v>
          </cell>
          <cell r="T164">
            <v>4.7700000000000001E-5</v>
          </cell>
          <cell r="U164">
            <v>4.3699999999999998E-5</v>
          </cell>
          <cell r="V164">
            <v>6.2100000000000005E-5</v>
          </cell>
          <cell r="W164">
            <v>2.0299999999999999E-5</v>
          </cell>
          <cell r="X164">
            <v>1.6200000000000001E-5</v>
          </cell>
          <cell r="Y164">
            <v>5.3300000000000001E-5</v>
          </cell>
          <cell r="Z164">
            <v>4.6600000000000001E-5</v>
          </cell>
          <cell r="AA164">
            <v>1.1233E-4</v>
          </cell>
          <cell r="AB164">
            <v>3.2700000000000002E-5</v>
          </cell>
          <cell r="AC164">
            <v>1.5618300000000001E-4</v>
          </cell>
          <cell r="AD164">
            <v>5.02E-5</v>
          </cell>
          <cell r="AE164">
            <v>1.7628199999999999E-4</v>
          </cell>
          <cell r="AF164">
            <v>1.26484E-4</v>
          </cell>
          <cell r="AG164">
            <v>1.0063799999999999E-4</v>
          </cell>
          <cell r="AH164">
            <v>7.0500000000000006E-5</v>
          </cell>
          <cell r="AI164">
            <v>0</v>
          </cell>
          <cell r="AJ164">
            <v>4.6300000000000001E-5</v>
          </cell>
          <cell r="AK164">
            <v>4.3399999999999998E-5</v>
          </cell>
          <cell r="AL164">
            <v>1.7499999999999998E-5</v>
          </cell>
          <cell r="AM164">
            <v>1.36E-5</v>
          </cell>
          <cell r="AN164">
            <v>3.1300000000000002E-5</v>
          </cell>
          <cell r="AO164">
            <v>0</v>
          </cell>
          <cell r="AP164">
            <v>9.4500000000000007E-5</v>
          </cell>
          <cell r="AQ164">
            <v>0</v>
          </cell>
          <cell r="AR164">
            <v>4.9400000000000001E-5</v>
          </cell>
          <cell r="AS164">
            <v>4.1399999999999997E-5</v>
          </cell>
          <cell r="AT164">
            <v>3.8699999999999999E-5</v>
          </cell>
          <cell r="AU164">
            <v>5.0899999999999997E-5</v>
          </cell>
          <cell r="AV164">
            <v>5.9599999999999999E-5</v>
          </cell>
          <cell r="AW164">
            <v>7.6699999999999994E-5</v>
          </cell>
          <cell r="AX164">
            <v>4.85E-5</v>
          </cell>
          <cell r="AY164">
            <v>2.1100000000000001E-5</v>
          </cell>
          <cell r="AZ164">
            <v>6.0999999999999999E-5</v>
          </cell>
          <cell r="BA164">
            <v>3.04E-5</v>
          </cell>
          <cell r="BB164">
            <v>0</v>
          </cell>
          <cell r="BC164">
            <v>3.18E-5</v>
          </cell>
          <cell r="BD164">
            <v>2.0999999999999999E-5</v>
          </cell>
          <cell r="BE164">
            <v>1.7E-5</v>
          </cell>
          <cell r="BF164">
            <v>1.7099999999999999E-5</v>
          </cell>
          <cell r="BG164">
            <v>3.0499999999999999E-5</v>
          </cell>
          <cell r="BH164">
            <v>5.5600000000000003E-5</v>
          </cell>
          <cell r="BI164">
            <v>5.9799999999999997E-5</v>
          </cell>
          <cell r="BJ164">
            <v>3.6999999999999998E-5</v>
          </cell>
        </row>
        <row r="165">
          <cell r="B165">
            <v>2.8200000000000001E-7</v>
          </cell>
          <cell r="C165">
            <v>5.6700000000000003E-7</v>
          </cell>
          <cell r="D165">
            <v>9.2600000000000001E-7</v>
          </cell>
          <cell r="E165">
            <v>1.0700000000000001E-7</v>
          </cell>
          <cell r="F165">
            <v>4.8900000000000001E-8</v>
          </cell>
          <cell r="G165">
            <v>5.2099999999999997E-7</v>
          </cell>
          <cell r="H165">
            <v>1.9099999999999999E-6</v>
          </cell>
          <cell r="I165">
            <v>2.6800000000000002E-7</v>
          </cell>
          <cell r="J165">
            <v>1.7099999999999999E-6</v>
          </cell>
          <cell r="K165">
            <v>1.9E-6</v>
          </cell>
          <cell r="L165">
            <v>1.3200000000000001E-6</v>
          </cell>
          <cell r="M165">
            <v>6.3100000000000003E-8</v>
          </cell>
          <cell r="N165">
            <v>2.4899999999999999E-6</v>
          </cell>
          <cell r="O165">
            <v>2.6100000000000001E-5</v>
          </cell>
          <cell r="P165">
            <v>2.4899999999999999E-5</v>
          </cell>
          <cell r="Q165">
            <v>4.75E-7</v>
          </cell>
          <cell r="R165">
            <v>7.0299999999999998E-7</v>
          </cell>
          <cell r="S165">
            <v>7.9599999999999998E-7</v>
          </cell>
          <cell r="T165">
            <v>9.33E-7</v>
          </cell>
          <cell r="U165">
            <v>5.1399999999999997E-7</v>
          </cell>
          <cell r="V165">
            <v>2.35E-7</v>
          </cell>
          <cell r="W165">
            <v>1.3199999999999999E-7</v>
          </cell>
          <cell r="X165">
            <v>4.75E-7</v>
          </cell>
          <cell r="Y165">
            <v>2.26E-6</v>
          </cell>
          <cell r="Z165">
            <v>7.0699999999999996E-7</v>
          </cell>
          <cell r="AA165">
            <v>1.7999999999999999E-6</v>
          </cell>
          <cell r="AB165">
            <v>6.7400000000000003E-7</v>
          </cell>
          <cell r="AC165">
            <v>1.73E-7</v>
          </cell>
          <cell r="AD165">
            <v>2.36E-7</v>
          </cell>
          <cell r="AE165">
            <v>2.8599999999999999E-7</v>
          </cell>
          <cell r="AF165">
            <v>4.6899999999999998E-7</v>
          </cell>
          <cell r="AG165">
            <v>2.4900000000000002E-7</v>
          </cell>
          <cell r="AH165">
            <v>1.74E-7</v>
          </cell>
          <cell r="AI165">
            <v>0</v>
          </cell>
          <cell r="AJ165">
            <v>2.05E-7</v>
          </cell>
          <cell r="AK165">
            <v>1.4399999999999999E-7</v>
          </cell>
          <cell r="AL165">
            <v>9.9400000000000003E-8</v>
          </cell>
          <cell r="AM165">
            <v>5.25E-8</v>
          </cell>
          <cell r="AN165">
            <v>1.36E-7</v>
          </cell>
          <cell r="AO165">
            <v>0</v>
          </cell>
          <cell r="AP165">
            <v>1.17E-6</v>
          </cell>
          <cell r="AQ165">
            <v>0</v>
          </cell>
          <cell r="AR165">
            <v>2.1500000000000001E-7</v>
          </cell>
          <cell r="AS165">
            <v>1.6500000000000001E-7</v>
          </cell>
          <cell r="AT165">
            <v>4.0400000000000002E-7</v>
          </cell>
          <cell r="AU165">
            <v>9.5600000000000004E-7</v>
          </cell>
          <cell r="AV165">
            <v>6.4300000000000003E-7</v>
          </cell>
          <cell r="AW165">
            <v>1.17E-6</v>
          </cell>
          <cell r="AX165">
            <v>4.46E-7</v>
          </cell>
          <cell r="AY165">
            <v>5.7700000000000004E-7</v>
          </cell>
          <cell r="AZ165">
            <v>2.17E-6</v>
          </cell>
          <cell r="BA165">
            <v>5.3900000000000005E-7</v>
          </cell>
          <cell r="BB165">
            <v>0</v>
          </cell>
          <cell r="BC165">
            <v>4.1199999999999998E-7</v>
          </cell>
          <cell r="BD165">
            <v>3.72E-7</v>
          </cell>
          <cell r="BE165">
            <v>3.72E-7</v>
          </cell>
          <cell r="BF165">
            <v>2.2399999999999999E-7</v>
          </cell>
          <cell r="BG165">
            <v>9.9900000000000009E-7</v>
          </cell>
          <cell r="BH165">
            <v>7.6000000000000003E-7</v>
          </cell>
          <cell r="BI165">
            <v>4.33E-6</v>
          </cell>
          <cell r="BJ165">
            <v>1.37E-7</v>
          </cell>
        </row>
        <row r="166">
          <cell r="B166">
            <v>0</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P166">
            <v>0</v>
          </cell>
          <cell r="AQ166">
            <v>0</v>
          </cell>
          <cell r="AR166">
            <v>0</v>
          </cell>
          <cell r="AS166">
            <v>0</v>
          </cell>
          <cell r="AT166">
            <v>0</v>
          </cell>
          <cell r="AU166">
            <v>0</v>
          </cell>
          <cell r="AV166">
            <v>0</v>
          </cell>
          <cell r="AW166">
            <v>0</v>
          </cell>
          <cell r="AX166">
            <v>0</v>
          </cell>
          <cell r="AY166">
            <v>0</v>
          </cell>
          <cell r="AZ166">
            <v>0</v>
          </cell>
          <cell r="BA166">
            <v>0</v>
          </cell>
          <cell r="BB166">
            <v>0</v>
          </cell>
          <cell r="BC166">
            <v>0</v>
          </cell>
          <cell r="BD166">
            <v>0</v>
          </cell>
          <cell r="BE166">
            <v>0</v>
          </cell>
          <cell r="BF166">
            <v>0</v>
          </cell>
          <cell r="BG166">
            <v>0</v>
          </cell>
          <cell r="BH166">
            <v>0</v>
          </cell>
          <cell r="BI166">
            <v>0</v>
          </cell>
          <cell r="BJ166">
            <v>0</v>
          </cell>
        </row>
        <row r="167">
          <cell r="B167">
            <v>1.1094641000000001E-2</v>
          </cell>
          <cell r="C167">
            <v>4.6216080000000001E-3</v>
          </cell>
          <cell r="D167">
            <v>1.1293766E-2</v>
          </cell>
          <cell r="E167">
            <v>2.8879779999999998E-3</v>
          </cell>
          <cell r="F167">
            <v>2.6131599999999999E-4</v>
          </cell>
          <cell r="G167">
            <v>1.3412949E-2</v>
          </cell>
          <cell r="H167">
            <v>1.3272533E-2</v>
          </cell>
          <cell r="I167">
            <v>4.7301800000000002E-4</v>
          </cell>
          <cell r="J167">
            <v>2.7519213000000001E-2</v>
          </cell>
          <cell r="K167">
            <v>1.6251565999999999E-2</v>
          </cell>
          <cell r="L167">
            <v>8.5591299999999999E-3</v>
          </cell>
          <cell r="M167">
            <v>5.3130499999999997E-3</v>
          </cell>
          <cell r="N167">
            <v>3.3073723999999999E-2</v>
          </cell>
          <cell r="O167">
            <v>5.7810674999999999E-2</v>
          </cell>
          <cell r="P167">
            <v>5.9012006999999998E-2</v>
          </cell>
          <cell r="Q167">
            <v>2.2181962999999999E-2</v>
          </cell>
          <cell r="R167">
            <v>5.9909979000000002E-2</v>
          </cell>
          <cell r="S167">
            <v>1.1152987E-2</v>
          </cell>
          <cell r="T167">
            <v>-1.0856124999999999E-2</v>
          </cell>
          <cell r="U167">
            <v>2.1083039000000001E-2</v>
          </cell>
          <cell r="V167">
            <v>1.9118890999999999E-2</v>
          </cell>
          <cell r="W167">
            <v>2.2557173999999999E-2</v>
          </cell>
          <cell r="X167">
            <v>1.2734137E-2</v>
          </cell>
          <cell r="Y167">
            <v>3.5246630000000001E-2</v>
          </cell>
          <cell r="Z167">
            <v>4.3852934000000003E-2</v>
          </cell>
          <cell r="AA167">
            <v>4.7079289000000003E-2</v>
          </cell>
          <cell r="AB167">
            <v>1.9997298E-2</v>
          </cell>
          <cell r="AC167">
            <v>1.8428727999999998E-2</v>
          </cell>
          <cell r="AD167">
            <v>1.2308176000000001E-2</v>
          </cell>
          <cell r="AE167">
            <v>3.3281481000000002E-2</v>
          </cell>
          <cell r="AF167">
            <v>1.809361E-2</v>
          </cell>
          <cell r="AG167">
            <v>1.7255943999999999E-2</v>
          </cell>
          <cell r="AH167">
            <v>8.8108140000000001E-3</v>
          </cell>
          <cell r="AI167">
            <v>0</v>
          </cell>
          <cell r="AJ167">
            <v>1.5313128000000001E-2</v>
          </cell>
          <cell r="AK167">
            <v>1.1940994999999999E-2</v>
          </cell>
          <cell r="AL167">
            <v>8.7802569999999996E-3</v>
          </cell>
          <cell r="AM167">
            <v>6.400284E-3</v>
          </cell>
          <cell r="AN167">
            <v>8.5897200000000003E-3</v>
          </cell>
          <cell r="AO167">
            <v>0</v>
          </cell>
          <cell r="AP167">
            <v>5.9938680000000003E-3</v>
          </cell>
          <cell r="AQ167">
            <v>0</v>
          </cell>
          <cell r="AR167">
            <v>1.2311681E-2</v>
          </cell>
          <cell r="AS167">
            <v>9.1525719999999994E-3</v>
          </cell>
          <cell r="AT167">
            <v>7.7226059999999999E-3</v>
          </cell>
          <cell r="AU167">
            <v>1.9455324E-2</v>
          </cell>
          <cell r="AV167">
            <v>8.2965069999999998E-3</v>
          </cell>
          <cell r="AW167">
            <v>1.6568550000000001E-2</v>
          </cell>
          <cell r="AX167">
            <v>1.3043165000000001E-2</v>
          </cell>
          <cell r="AY167">
            <v>1.5739138E-2</v>
          </cell>
          <cell r="AZ167">
            <v>2.0712100000000001E-2</v>
          </cell>
          <cell r="BA167">
            <v>6.3544500000000002E-3</v>
          </cell>
          <cell r="BB167">
            <v>0</v>
          </cell>
          <cell r="BC167">
            <v>7.1576210000000003E-3</v>
          </cell>
          <cell r="BD167">
            <v>4.1212219999999999E-3</v>
          </cell>
          <cell r="BE167">
            <v>4.8623620000000003E-3</v>
          </cell>
          <cell r="BF167">
            <v>1.1264098E-2</v>
          </cell>
          <cell r="BG167">
            <v>1.7738519000000001E-2</v>
          </cell>
          <cell r="BH167">
            <v>1.9976437999999999E-2</v>
          </cell>
          <cell r="BI167">
            <v>2.3290529000000001E-2</v>
          </cell>
          <cell r="BJ167">
            <v>2.601351E-3</v>
          </cell>
        </row>
        <row r="168">
          <cell r="B168">
            <v>-1.0000000000000001E-5</v>
          </cell>
          <cell r="C168">
            <v>-2.0699999999999998E-5</v>
          </cell>
          <cell r="D168">
            <v>-3.54E-6</v>
          </cell>
          <cell r="E168">
            <v>-2.7499999999999999E-6</v>
          </cell>
          <cell r="F168">
            <v>-3.3000000000000002E-6</v>
          </cell>
          <cell r="G168">
            <v>-4.6900000000000002E-5</v>
          </cell>
          <cell r="H168">
            <v>-4.2299999999999998E-5</v>
          </cell>
          <cell r="I168">
            <v>-7.7500000000000003E-6</v>
          </cell>
          <cell r="J168">
            <v>-7.1699999999999995E-5</v>
          </cell>
          <cell r="K168">
            <v>-2.2211E-4</v>
          </cell>
          <cell r="L168">
            <v>-8.1899999999999999E-5</v>
          </cell>
          <cell r="M168">
            <v>-2.0082300000000001E-4</v>
          </cell>
          <cell r="N168">
            <v>-3.1050700000000001E-4</v>
          </cell>
          <cell r="O168">
            <v>-3.9355100000000001E-4</v>
          </cell>
          <cell r="P168">
            <v>-1.1220799999999999E-4</v>
          </cell>
          <cell r="Q168">
            <v>-5.3235200000000004E-4</v>
          </cell>
          <cell r="R168">
            <v>-5.58082E-4</v>
          </cell>
          <cell r="S168">
            <v>-4.7798900000000001E-4</v>
          </cell>
          <cell r="T168">
            <v>-5.4825399999999997E-4</v>
          </cell>
          <cell r="U168">
            <v>-1.7002900000000001E-4</v>
          </cell>
          <cell r="V168">
            <v>-3.0037400000000001E-4</v>
          </cell>
          <cell r="W168">
            <v>2.0699999999999998E-5</v>
          </cell>
          <cell r="X168">
            <v>2.9296500000000001E-4</v>
          </cell>
          <cell r="Y168">
            <v>3.7004399999999998E-4</v>
          </cell>
          <cell r="Z168">
            <v>-2.035153E-3</v>
          </cell>
          <cell r="AA168">
            <v>-4.9239399999999995E-4</v>
          </cell>
          <cell r="AB168">
            <v>-2.2181300000000001E-4</v>
          </cell>
          <cell r="AC168">
            <v>-1.2977749999999999E-3</v>
          </cell>
          <cell r="AD168">
            <v>-1.8425760000000001E-3</v>
          </cell>
          <cell r="AE168">
            <v>-1.8275959999999999E-3</v>
          </cell>
          <cell r="AF168">
            <v>-1.41431E-3</v>
          </cell>
          <cell r="AG168">
            <v>-1.3119830000000001E-3</v>
          </cell>
          <cell r="AH168">
            <v>4.7299999999999996E-6</v>
          </cell>
          <cell r="AI168">
            <v>0</v>
          </cell>
          <cell r="AJ168">
            <v>8.5900000000000008E-6</v>
          </cell>
          <cell r="AK168">
            <v>1.06E-5</v>
          </cell>
          <cell r="AL168">
            <v>1.3900000000000001E-5</v>
          </cell>
          <cell r="AM168">
            <v>1.6799999999999998E-5</v>
          </cell>
          <cell r="AN168">
            <v>1.33E-5</v>
          </cell>
          <cell r="AO168">
            <v>0</v>
          </cell>
          <cell r="AP168">
            <v>5.6699999999999999E-6</v>
          </cell>
          <cell r="AQ168">
            <v>0</v>
          </cell>
          <cell r="AR168">
            <v>7.3200000000000002E-6</v>
          </cell>
          <cell r="AS168">
            <v>-1.1472399999999999E-4</v>
          </cell>
          <cell r="AT168">
            <v>-3.2050900000000002E-4</v>
          </cell>
          <cell r="AU168">
            <v>-1.6699999999999999E-5</v>
          </cell>
          <cell r="AV168">
            <v>-7.1600000000000006E-5</v>
          </cell>
          <cell r="AW168">
            <v>-4.0819899999999999E-4</v>
          </cell>
          <cell r="AX168">
            <v>-1.0143179999999999E-3</v>
          </cell>
          <cell r="AY168">
            <v>-7.3361200000000002E-4</v>
          </cell>
          <cell r="AZ168">
            <v>-3.6077899999999998E-4</v>
          </cell>
          <cell r="BA168">
            <v>-2.6847699999999998E-4</v>
          </cell>
          <cell r="BB168">
            <v>0</v>
          </cell>
          <cell r="BC168">
            <v>6.7704439999999996E-3</v>
          </cell>
          <cell r="BD168">
            <v>2.0967920000000001E-3</v>
          </cell>
          <cell r="BE168">
            <v>2.4892069999999998E-3</v>
          </cell>
          <cell r="BF168">
            <v>5.4513230000000001E-3</v>
          </cell>
          <cell r="BG168">
            <v>8.7165809999999993E-3</v>
          </cell>
          <cell r="BH168">
            <v>3.2298370000000002E-3</v>
          </cell>
          <cell r="BI168">
            <v>8.0546700000000003E-4</v>
          </cell>
          <cell r="BJ168">
            <v>1.8752630000000001E-3</v>
          </cell>
        </row>
        <row r="169">
          <cell r="B169">
            <v>6.5532020000000002E-3</v>
          </cell>
          <cell r="C169">
            <v>1.1406179000000001E-2</v>
          </cell>
          <cell r="D169">
            <v>3.7727540000000001E-3</v>
          </cell>
          <cell r="E169">
            <v>1.4311269999999999E-3</v>
          </cell>
          <cell r="F169">
            <v>5.3929181999999999E-2</v>
          </cell>
          <cell r="G169">
            <v>6.5435440000000001E-3</v>
          </cell>
          <cell r="H169">
            <v>8.6924910000000001E-3</v>
          </cell>
          <cell r="I169">
            <v>2.1498171999999999E-2</v>
          </cell>
          <cell r="J169">
            <v>6.4801169999999996E-3</v>
          </cell>
          <cell r="K169">
            <v>8.4600379999999996E-3</v>
          </cell>
          <cell r="L169">
            <v>4.3551800000000002E-3</v>
          </cell>
          <cell r="M169">
            <v>3.1409799999999998E-3</v>
          </cell>
          <cell r="N169">
            <v>1.1379752E-2</v>
          </cell>
          <cell r="O169">
            <v>1.2001839E-2</v>
          </cell>
          <cell r="P169">
            <v>5.7799210000000004E-3</v>
          </cell>
          <cell r="Q169">
            <v>5.416372E-3</v>
          </cell>
          <cell r="R169">
            <v>6.2026850000000003E-3</v>
          </cell>
          <cell r="S169">
            <v>9.5347120000000007E-3</v>
          </cell>
          <cell r="T169">
            <v>1.3258851E-2</v>
          </cell>
          <cell r="U169">
            <v>7.5331790000000001E-3</v>
          </cell>
          <cell r="V169">
            <v>1.214459E-2</v>
          </cell>
          <cell r="W169">
            <v>2.60914E-4</v>
          </cell>
          <cell r="X169">
            <v>1.2977349999999999E-3</v>
          </cell>
          <cell r="Y169">
            <v>2.1418689999999998E-3</v>
          </cell>
          <cell r="Z169">
            <v>1.4454549000000001E-2</v>
          </cell>
          <cell r="AA169">
            <v>5.4511079999999996E-3</v>
          </cell>
          <cell r="AB169">
            <v>8.8320989999999995E-3</v>
          </cell>
          <cell r="AC169">
            <v>6.5227469999999997E-3</v>
          </cell>
          <cell r="AD169">
            <v>1.3083897000000001E-2</v>
          </cell>
          <cell r="AE169">
            <v>1.4390134000000001E-2</v>
          </cell>
          <cell r="AF169">
            <v>1.0452293E-2</v>
          </cell>
          <cell r="AG169">
            <v>1.0981424E-2</v>
          </cell>
          <cell r="AH169">
            <v>2.6920030000000001E-3</v>
          </cell>
          <cell r="AI169">
            <v>0</v>
          </cell>
          <cell r="AJ169">
            <v>3.9808680000000003E-3</v>
          </cell>
          <cell r="AK169">
            <v>4.4061789999999997E-3</v>
          </cell>
          <cell r="AL169">
            <v>4.5111739999999997E-3</v>
          </cell>
          <cell r="AM169">
            <v>4.5659089999999999E-3</v>
          </cell>
          <cell r="AN169">
            <v>4.5246119999999999E-3</v>
          </cell>
          <cell r="AO169">
            <v>0</v>
          </cell>
          <cell r="AP169">
            <v>1.0510669999999999E-3</v>
          </cell>
          <cell r="AQ169">
            <v>0</v>
          </cell>
          <cell r="AR169">
            <v>5.4425339999999997E-3</v>
          </cell>
          <cell r="AS169">
            <v>8.6842489999999998E-3</v>
          </cell>
          <cell r="AT169">
            <v>8.1242339999999993E-3</v>
          </cell>
          <cell r="AU169">
            <v>1.4842049999999999E-3</v>
          </cell>
          <cell r="AV169">
            <v>9.3267220000000008E-3</v>
          </cell>
          <cell r="AW169">
            <v>5.52317E-3</v>
          </cell>
          <cell r="AX169">
            <v>1.9586411000000001E-2</v>
          </cell>
          <cell r="AY169">
            <v>7.2820360000000004E-3</v>
          </cell>
          <cell r="AZ169">
            <v>9.9469840000000007E-3</v>
          </cell>
          <cell r="BA169">
            <v>3.4587649999999999E-3</v>
          </cell>
          <cell r="BB169">
            <v>0</v>
          </cell>
          <cell r="BC169">
            <v>9.0061000000000004E-4</v>
          </cell>
          <cell r="BD169">
            <v>7.1392000000000005E-4</v>
          </cell>
          <cell r="BE169">
            <v>8.53804E-4</v>
          </cell>
          <cell r="BF169">
            <v>2.9946299999999998E-4</v>
          </cell>
          <cell r="BG169">
            <v>1.155131E-3</v>
          </cell>
          <cell r="BH169">
            <v>5.6532980000000002E-3</v>
          </cell>
          <cell r="BI169">
            <v>3.757299E-3</v>
          </cell>
          <cell r="BJ169">
            <v>1.0304667E-2</v>
          </cell>
        </row>
        <row r="170">
          <cell r="B170">
            <v>5.1618493000000001E-2</v>
          </cell>
          <cell r="C170">
            <v>8.9844591000000001E-2</v>
          </cell>
          <cell r="D170">
            <v>2.9717358999999999E-2</v>
          </cell>
          <cell r="E170">
            <v>1.1272752E-2</v>
          </cell>
          <cell r="F170">
            <v>0.42479125899999998</v>
          </cell>
          <cell r="G170">
            <v>5.1542417E-2</v>
          </cell>
          <cell r="H170">
            <v>6.846932E-2</v>
          </cell>
          <cell r="I170">
            <v>0.169337553</v>
          </cell>
          <cell r="J170">
            <v>5.1042812E-2</v>
          </cell>
          <cell r="K170">
            <v>6.6638321E-2</v>
          </cell>
          <cell r="L170">
            <v>3.4305031999999999E-2</v>
          </cell>
          <cell r="M170">
            <v>3.2155441999999999E-2</v>
          </cell>
          <cell r="N170">
            <v>7.7338494999999993E-2</v>
          </cell>
          <cell r="O170">
            <v>6.3284425000000005E-2</v>
          </cell>
          <cell r="P170">
            <v>3.7369977999999998E-2</v>
          </cell>
          <cell r="Q170">
            <v>5.9899886999999999E-2</v>
          </cell>
          <cell r="R170">
            <v>6.8595762000000005E-2</v>
          </cell>
          <cell r="S170">
            <v>7.9269931000000002E-2</v>
          </cell>
          <cell r="T170">
            <v>0.110231774</v>
          </cell>
          <cell r="U170">
            <v>6.2629540999999997E-2</v>
          </cell>
          <cell r="V170">
            <v>0.104142605</v>
          </cell>
          <cell r="W170">
            <v>2.533432E-3</v>
          </cell>
          <cell r="X170">
            <v>1.2600787E-2</v>
          </cell>
          <cell r="Y170">
            <v>2.0797184999999999E-2</v>
          </cell>
          <cell r="Z170">
            <v>0.14035124800000001</v>
          </cell>
          <cell r="AA170">
            <v>5.2929341999999997E-2</v>
          </cell>
          <cell r="AB170">
            <v>8.0811530000000006E-2</v>
          </cell>
          <cell r="AC170">
            <v>6.3007526999999994E-2</v>
          </cell>
          <cell r="AD170">
            <v>0.12638601799999999</v>
          </cell>
          <cell r="AE170">
            <v>0.139003827</v>
          </cell>
          <cell r="AF170">
            <v>0.100965613</v>
          </cell>
          <cell r="AG170">
            <v>0.10607684100000001</v>
          </cell>
          <cell r="AH170">
            <v>3.1646832E-2</v>
          </cell>
          <cell r="AI170">
            <v>0</v>
          </cell>
          <cell r="AJ170">
            <v>4.6798553E-2</v>
          </cell>
          <cell r="AK170">
            <v>5.1798456999999999E-2</v>
          </cell>
          <cell r="AL170">
            <v>5.3032758999999999E-2</v>
          </cell>
          <cell r="AM170">
            <v>5.3676214999999999E-2</v>
          </cell>
          <cell r="AN170">
            <v>5.3190732999999997E-2</v>
          </cell>
          <cell r="AO170">
            <v>0</v>
          </cell>
          <cell r="AP170">
            <v>1.2356205E-2</v>
          </cell>
          <cell r="AQ170">
            <v>0</v>
          </cell>
          <cell r="AR170">
            <v>6.3981706999999999E-2</v>
          </cell>
          <cell r="AS170">
            <v>9.4310986999999999E-2</v>
          </cell>
          <cell r="AT170">
            <v>8.7404361E-2</v>
          </cell>
          <cell r="AU170">
            <v>1.4693895E-2</v>
          </cell>
          <cell r="AV170">
            <v>7.6008618E-2</v>
          </cell>
          <cell r="AW170">
            <v>4.3643003E-2</v>
          </cell>
          <cell r="AX170">
            <v>0.15510922299999999</v>
          </cell>
          <cell r="AY170">
            <v>8.3892715000000007E-2</v>
          </cell>
          <cell r="AZ170">
            <v>8.6107845000000002E-2</v>
          </cell>
          <cell r="BA170">
            <v>1.6569912999999999E-2</v>
          </cell>
          <cell r="BB170">
            <v>0</v>
          </cell>
          <cell r="BC170">
            <v>1.4002809999999999E-2</v>
          </cell>
          <cell r="BD170">
            <v>1.110013E-2</v>
          </cell>
          <cell r="BE170">
            <v>1.3275060999999999E-2</v>
          </cell>
          <cell r="BF170">
            <v>4.656093E-3</v>
          </cell>
          <cell r="BG170">
            <v>1.7960133E-2</v>
          </cell>
          <cell r="BH170">
            <v>8.0504987E-2</v>
          </cell>
          <cell r="BI170">
            <v>6.7552206000000004E-2</v>
          </cell>
          <cell r="BJ170">
            <v>0.18526683999999999</v>
          </cell>
        </row>
        <row r="171">
          <cell r="B171">
            <v>4.1662375000000001E-2</v>
          </cell>
          <cell r="C171">
            <v>7.2515466000000001E-2</v>
          </cell>
          <cell r="D171">
            <v>2.3985507999999999E-2</v>
          </cell>
          <cell r="E171">
            <v>9.0984759999999994E-3</v>
          </cell>
          <cell r="F171">
            <v>0.342857992</v>
          </cell>
          <cell r="G171">
            <v>4.1600972E-2</v>
          </cell>
          <cell r="H171">
            <v>5.5263034000000003E-2</v>
          </cell>
          <cell r="I171">
            <v>0.13667591300000001</v>
          </cell>
          <cell r="J171">
            <v>4.1197731000000001E-2</v>
          </cell>
          <cell r="K171">
            <v>5.3785196E-2</v>
          </cell>
          <cell r="L171">
            <v>2.7688316000000001E-2</v>
          </cell>
          <cell r="M171">
            <v>2.6155127E-2</v>
          </cell>
          <cell r="N171">
            <v>6.2086834E-2</v>
          </cell>
          <cell r="O171">
            <v>5.0227645000000001E-2</v>
          </cell>
          <cell r="P171">
            <v>2.9940085000000002E-2</v>
          </cell>
          <cell r="Q171">
            <v>4.8815554999999997E-2</v>
          </cell>
          <cell r="R171">
            <v>5.5902278999999999E-2</v>
          </cell>
          <cell r="S171">
            <v>6.4093831000000004E-2</v>
          </cell>
          <cell r="T171">
            <v>8.9128079999999998E-2</v>
          </cell>
          <cell r="U171">
            <v>5.0639217E-2</v>
          </cell>
          <cell r="V171">
            <v>8.4286530999999998E-2</v>
          </cell>
          <cell r="W171">
            <v>2.0578020000000001E-3</v>
          </cell>
          <cell r="X171">
            <v>1.0235101E-2</v>
          </cell>
          <cell r="Y171">
            <v>1.6892697000000002E-2</v>
          </cell>
          <cell r="Z171">
            <v>0.114001541</v>
          </cell>
          <cell r="AA171">
            <v>4.2992325999999997E-2</v>
          </cell>
          <cell r="AB171">
            <v>6.5530667000000001E-2</v>
          </cell>
          <cell r="AC171">
            <v>5.1171196000000002E-2</v>
          </cell>
          <cell r="AD171">
            <v>0.10264366699999999</v>
          </cell>
          <cell r="AE171">
            <v>0.112891147</v>
          </cell>
          <cell r="AF171">
            <v>8.1998634000000001E-2</v>
          </cell>
          <cell r="AG171">
            <v>8.6149688000000002E-2</v>
          </cell>
          <cell r="AH171">
            <v>2.5827023000000001E-2</v>
          </cell>
          <cell r="AI171">
            <v>0</v>
          </cell>
          <cell r="AJ171">
            <v>3.8192363999999999E-2</v>
          </cell>
          <cell r="AK171">
            <v>4.2272791999999997E-2</v>
          </cell>
          <cell r="AL171">
            <v>4.3280107999999998E-2</v>
          </cell>
          <cell r="AM171">
            <v>4.3805232999999999E-2</v>
          </cell>
          <cell r="AN171">
            <v>4.3409031000000001E-2</v>
          </cell>
          <cell r="AO171">
            <v>0</v>
          </cell>
          <cell r="AP171">
            <v>1.0083916E-2</v>
          </cell>
          <cell r="AQ171">
            <v>0</v>
          </cell>
          <cell r="AR171">
            <v>5.2215559000000002E-2</v>
          </cell>
          <cell r="AS171">
            <v>7.6825457E-2</v>
          </cell>
          <cell r="AT171">
            <v>7.1183056999999994E-2</v>
          </cell>
          <cell r="AU171">
            <v>1.1941482999999999E-2</v>
          </cell>
          <cell r="AV171">
            <v>6.1417384999999998E-2</v>
          </cell>
          <cell r="AW171">
            <v>3.5228942999999999E-2</v>
          </cell>
          <cell r="AX171">
            <v>0.12521452499999999</v>
          </cell>
          <cell r="AY171">
            <v>6.8433706999999996E-2</v>
          </cell>
          <cell r="AZ171">
            <v>6.9710573999999997E-2</v>
          </cell>
          <cell r="BA171">
            <v>1.308342E-2</v>
          </cell>
          <cell r="BB171">
            <v>0</v>
          </cell>
          <cell r="BC171">
            <v>3.0746389999999998E-2</v>
          </cell>
          <cell r="BD171">
            <v>2.4372887999999999E-2</v>
          </cell>
          <cell r="BE171">
            <v>2.9148449E-2</v>
          </cell>
          <cell r="BF171">
            <v>1.0223522000000001E-2</v>
          </cell>
          <cell r="BG171">
            <v>3.9435600000000001E-2</v>
          </cell>
          <cell r="BH171">
            <v>0.182927531</v>
          </cell>
          <cell r="BI171">
            <v>4.3496106E-2</v>
          </cell>
          <cell r="BJ171">
            <v>0.119291235</v>
          </cell>
        </row>
        <row r="172">
          <cell r="B172">
            <v>3.7616176000000001E-2</v>
          </cell>
          <cell r="C172">
            <v>3.5656532999999997E-2</v>
          </cell>
          <cell r="D172">
            <v>3.8810554999999997E-2</v>
          </cell>
          <cell r="E172">
            <v>4.9808804999999998E-2</v>
          </cell>
          <cell r="F172">
            <v>1.5923209000000001E-2</v>
          </cell>
          <cell r="G172">
            <v>4.4156775000000002E-2</v>
          </cell>
          <cell r="H172">
            <v>5.8707941E-2</v>
          </cell>
          <cell r="I172">
            <v>1.3055663E-2</v>
          </cell>
          <cell r="J172">
            <v>5.012349E-2</v>
          </cell>
          <cell r="K172">
            <v>4.0126920000000003E-2</v>
          </cell>
          <cell r="L172">
            <v>3.0698599E-2</v>
          </cell>
          <cell r="M172">
            <v>3.8896093999999999E-2</v>
          </cell>
          <cell r="N172">
            <v>7.5192202999999999E-2</v>
          </cell>
          <cell r="O172">
            <v>3.5726748000000003E-2</v>
          </cell>
          <cell r="P172">
            <v>2.0568030000000001E-2</v>
          </cell>
          <cell r="Q172">
            <v>5.1451341999999997E-2</v>
          </cell>
          <cell r="R172">
            <v>5.8859899E-2</v>
          </cell>
          <cell r="S172">
            <v>9.0522117999999999E-2</v>
          </cell>
          <cell r="T172">
            <v>0.12632651</v>
          </cell>
          <cell r="U172">
            <v>4.6824007000000001E-2</v>
          </cell>
          <cell r="V172">
            <v>6.5886701000000006E-2</v>
          </cell>
          <cell r="W172">
            <v>1.1066133000000001E-2</v>
          </cell>
          <cell r="X172">
            <v>2.5041468000000001E-2</v>
          </cell>
          <cell r="Y172">
            <v>0.237483271</v>
          </cell>
          <cell r="Z172">
            <v>0.103459739</v>
          </cell>
          <cell r="AA172">
            <v>5.0368270999999999E-2</v>
          </cell>
          <cell r="AB172">
            <v>4.9159138999999998E-2</v>
          </cell>
          <cell r="AC172">
            <v>7.4897470999999993E-2</v>
          </cell>
          <cell r="AD172">
            <v>0.15127358299999999</v>
          </cell>
          <cell r="AE172">
            <v>0.122638104</v>
          </cell>
          <cell r="AF172">
            <v>9.1016111999999996E-2</v>
          </cell>
          <cell r="AG172">
            <v>7.9225959999999998E-2</v>
          </cell>
          <cell r="AH172">
            <v>4.9937247999999997E-2</v>
          </cell>
          <cell r="AI172">
            <v>0</v>
          </cell>
          <cell r="AJ172">
            <v>6.7300267999999996E-2</v>
          </cell>
          <cell r="AK172">
            <v>7.3316016999999997E-2</v>
          </cell>
          <cell r="AL172">
            <v>6.8841863000000003E-2</v>
          </cell>
          <cell r="AM172">
            <v>6.8829944000000004E-2</v>
          </cell>
          <cell r="AN172">
            <v>4.3962078000000002E-2</v>
          </cell>
          <cell r="AO172">
            <v>0</v>
          </cell>
          <cell r="AP172">
            <v>1.2968891999999999E-2</v>
          </cell>
          <cell r="AQ172">
            <v>0</v>
          </cell>
          <cell r="AR172">
            <v>2.7393292E-2</v>
          </cell>
          <cell r="AS172">
            <v>4.4349530999999998E-2</v>
          </cell>
          <cell r="AT172">
            <v>3.6815788000000002E-2</v>
          </cell>
          <cell r="AU172">
            <v>5.5330830000000003E-3</v>
          </cell>
          <cell r="AV172">
            <v>2.9086240999999999E-2</v>
          </cell>
          <cell r="AW172">
            <v>1.9830510999999999E-2</v>
          </cell>
          <cell r="AX172">
            <v>5.6598955999999999E-2</v>
          </cell>
          <cell r="AY172">
            <v>2.0624667999999999E-2</v>
          </cell>
          <cell r="AZ172">
            <v>3.3220697E-2</v>
          </cell>
          <cell r="BA172">
            <v>3.5045889999999998E-3</v>
          </cell>
          <cell r="BB172">
            <v>0</v>
          </cell>
          <cell r="BC172">
            <v>0.198982256</v>
          </cell>
          <cell r="BD172">
            <v>0.19343668899999999</v>
          </cell>
          <cell r="BE172">
            <v>0.19427140700000001</v>
          </cell>
          <cell r="BF172">
            <v>5.5653619999999999E-3</v>
          </cell>
          <cell r="BG172">
            <v>3.5386885999999999E-2</v>
          </cell>
          <cell r="BH172">
            <v>0.17053499999999999</v>
          </cell>
          <cell r="BI172">
            <v>3.1262209999999999E-2</v>
          </cell>
          <cell r="BJ172">
            <v>5.1982584999999998E-2</v>
          </cell>
        </row>
        <row r="173">
          <cell r="B173">
            <v>0</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cell r="BH173">
            <v>0</v>
          </cell>
          <cell r="BI173">
            <v>0</v>
          </cell>
          <cell r="BJ173">
            <v>0</v>
          </cell>
        </row>
        <row r="174">
          <cell r="B174">
            <v>0</v>
          </cell>
          <cell r="C174">
            <v>0</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cell r="BH174">
            <v>0</v>
          </cell>
          <cell r="BI174">
            <v>0</v>
          </cell>
          <cell r="BJ174">
            <v>0</v>
          </cell>
        </row>
        <row r="175">
          <cell r="B175">
            <v>3.0952513000000001E-2</v>
          </cell>
          <cell r="C175">
            <v>5.0094341000000001E-2</v>
          </cell>
          <cell r="D175">
            <v>0.38141762899999998</v>
          </cell>
          <cell r="E175">
            <v>0.83545048799999999</v>
          </cell>
          <cell r="F175">
            <v>1.0747684E-2</v>
          </cell>
          <cell r="G175">
            <v>2.5513395000000001E-2</v>
          </cell>
          <cell r="H175">
            <v>5.2844174000000001E-2</v>
          </cell>
          <cell r="I175">
            <v>7.2142815999999998E-2</v>
          </cell>
          <cell r="J175">
            <v>2.7349254E-2</v>
          </cell>
          <cell r="K175">
            <v>3.2233487999999998E-2</v>
          </cell>
          <cell r="L175">
            <v>1.6662318999999998E-2</v>
          </cell>
          <cell r="M175">
            <v>0.13487027200000001</v>
          </cell>
          <cell r="N175">
            <v>5.4126549000000003E-2</v>
          </cell>
          <cell r="O175">
            <v>6.0455898000000001E-2</v>
          </cell>
          <cell r="P175">
            <v>3.1493156000000001E-2</v>
          </cell>
          <cell r="Q175">
            <v>8.9304930000000005E-2</v>
          </cell>
          <cell r="R175">
            <v>0.102393532</v>
          </cell>
          <cell r="S175">
            <v>3.8400761999999998E-2</v>
          </cell>
          <cell r="T175">
            <v>5.3421637000000001E-2</v>
          </cell>
          <cell r="U175">
            <v>3.0294115999999999E-2</v>
          </cell>
          <cell r="V175">
            <v>0.11061180900000001</v>
          </cell>
          <cell r="W175">
            <v>-3.8496114999999997E-2</v>
          </cell>
          <cell r="X175">
            <v>-9.9263460000000008E-3</v>
          </cell>
          <cell r="Y175">
            <v>-2.1740316999999999E-2</v>
          </cell>
          <cell r="Z175">
            <v>0.173500398</v>
          </cell>
          <cell r="AA175">
            <v>6.8790061E-2</v>
          </cell>
          <cell r="AB175">
            <v>0.14811727199999999</v>
          </cell>
          <cell r="AC175">
            <v>6.3215387999999997E-2</v>
          </cell>
          <cell r="AD175">
            <v>0.12758918499999999</v>
          </cell>
          <cell r="AE175">
            <v>4.7831307000000003E-2</v>
          </cell>
          <cell r="AF175">
            <v>5.4951398999999998E-2</v>
          </cell>
          <cell r="AG175">
            <v>9.2028012000000006E-2</v>
          </cell>
          <cell r="AH175">
            <v>7.9759399999999999E-4</v>
          </cell>
          <cell r="AI175">
            <v>0</v>
          </cell>
          <cell r="AJ175">
            <v>1.8598600000000001E-3</v>
          </cell>
          <cell r="AK175">
            <v>2.1140210000000002E-3</v>
          </cell>
          <cell r="AL175">
            <v>6.1204200000000003E-4</v>
          </cell>
          <cell r="AM175">
            <v>5.7530600000000004E-4</v>
          </cell>
          <cell r="AN175">
            <v>1.2907439999999999E-3</v>
          </cell>
          <cell r="AO175">
            <v>0</v>
          </cell>
          <cell r="AP175">
            <v>2.5342600000000001E-4</v>
          </cell>
          <cell r="AQ175">
            <v>0</v>
          </cell>
          <cell r="AR175">
            <v>3.1777999999999998E-4</v>
          </cell>
          <cell r="AS175">
            <v>9.3027401999999995E-2</v>
          </cell>
          <cell r="AT175">
            <v>7.6691798000000005E-2</v>
          </cell>
          <cell r="AU175">
            <v>1.372912E-3</v>
          </cell>
          <cell r="AV175">
            <v>7.7889587999999996E-2</v>
          </cell>
          <cell r="AW175">
            <v>2.9870790000000001E-2</v>
          </cell>
          <cell r="AX175">
            <v>0.13532033199999999</v>
          </cell>
          <cell r="AY175">
            <v>0.15978751199999999</v>
          </cell>
          <cell r="AZ175">
            <v>0.12379754699999999</v>
          </cell>
          <cell r="BA175">
            <v>0.119477341</v>
          </cell>
          <cell r="BB175">
            <v>0</v>
          </cell>
          <cell r="BC175">
            <v>0.40122091700000001</v>
          </cell>
          <cell r="BD175">
            <v>0.35421503700000001</v>
          </cell>
          <cell r="BE175">
            <v>0.37755069699999999</v>
          </cell>
          <cell r="BF175">
            <v>9.7344134999999998E-2</v>
          </cell>
          <cell r="BG175">
            <v>0.24967217899999999</v>
          </cell>
          <cell r="BH175">
            <v>8.7914087000000002E-2</v>
          </cell>
          <cell r="BI175">
            <v>0.13882391199999999</v>
          </cell>
          <cell r="BJ175">
            <v>0.50646185499999996</v>
          </cell>
        </row>
        <row r="176">
          <cell r="B176">
            <v>2.24971E-4</v>
          </cell>
          <cell r="C176">
            <v>4.2425299999999998E-4</v>
          </cell>
          <cell r="D176">
            <v>1.34623E-4</v>
          </cell>
          <cell r="E176">
            <v>4.7599999999999998E-5</v>
          </cell>
          <cell r="F176">
            <v>1.74989E-3</v>
          </cell>
          <cell r="G176">
            <v>2.3518000000000001E-4</v>
          </cell>
          <cell r="H176">
            <v>3.1128500000000001E-4</v>
          </cell>
          <cell r="I176">
            <v>8.7381299999999998E-4</v>
          </cell>
          <cell r="J176">
            <v>2.4361900000000001E-4</v>
          </cell>
          <cell r="K176">
            <v>2.8376200000000001E-4</v>
          </cell>
          <cell r="L176">
            <v>1.7470800000000001E-4</v>
          </cell>
          <cell r="M176">
            <v>1.62285E-4</v>
          </cell>
          <cell r="N176">
            <v>2.5577100000000001E-4</v>
          </cell>
          <cell r="O176">
            <v>8.42E-5</v>
          </cell>
          <cell r="P176">
            <v>1.81015E-4</v>
          </cell>
          <cell r="Q176">
            <v>6.7826500000000005E-4</v>
          </cell>
          <cell r="R176">
            <v>7.6338700000000003E-4</v>
          </cell>
          <cell r="S176">
            <v>2.8463099999999998E-4</v>
          </cell>
          <cell r="T176">
            <v>3.1583499999999999E-4</v>
          </cell>
          <cell r="U176">
            <v>1.7173500000000001E-4</v>
          </cell>
          <cell r="V176">
            <v>2.2904300000000001E-4</v>
          </cell>
          <cell r="W176">
            <v>7.9200000000000004E-6</v>
          </cell>
          <cell r="X176">
            <v>4.57E-5</v>
          </cell>
          <cell r="Y176">
            <v>7.6000000000000004E-5</v>
          </cell>
          <cell r="Z176">
            <v>3.1991799999999998E-4</v>
          </cell>
          <cell r="AA176">
            <v>2.18443E-4</v>
          </cell>
          <cell r="AB176">
            <v>2.5620299999999999E-4</v>
          </cell>
          <cell r="AC176">
            <v>2.5954100000000001E-4</v>
          </cell>
          <cell r="AD176">
            <v>5.2824100000000004E-4</v>
          </cell>
          <cell r="AE176">
            <v>5.72088E-4</v>
          </cell>
          <cell r="AF176">
            <v>4.2356300000000001E-4</v>
          </cell>
          <cell r="AG176">
            <v>4.2540900000000002E-4</v>
          </cell>
          <cell r="AH176">
            <v>1.74974E-4</v>
          </cell>
          <cell r="AI176">
            <v>0</v>
          </cell>
          <cell r="AJ176">
            <v>2.5293400000000001E-4</v>
          </cell>
          <cell r="AK176">
            <v>2.7838400000000001E-4</v>
          </cell>
          <cell r="AL176">
            <v>3.0676400000000001E-4</v>
          </cell>
          <cell r="AM176">
            <v>3.2168000000000002E-4</v>
          </cell>
          <cell r="AN176">
            <v>3.2230399999999998E-4</v>
          </cell>
          <cell r="AO176">
            <v>0</v>
          </cell>
          <cell r="AP176">
            <v>8.6199999999999995E-5</v>
          </cell>
          <cell r="AQ176">
            <v>0</v>
          </cell>
          <cell r="AR176">
            <v>3.1230400000000001E-4</v>
          </cell>
          <cell r="AS176">
            <v>5.7002699999999997E-4</v>
          </cell>
          <cell r="AT176">
            <v>3.1975599999999998E-4</v>
          </cell>
          <cell r="AU176">
            <v>3.8000000000000002E-5</v>
          </cell>
          <cell r="AV176">
            <v>2.10041E-4</v>
          </cell>
          <cell r="AW176">
            <v>7.8100000000000001E-5</v>
          </cell>
          <cell r="AX176">
            <v>1.9252399999999999E-4</v>
          </cell>
          <cell r="AY176">
            <v>3.9806900000000003E-4</v>
          </cell>
          <cell r="AZ176">
            <v>7.5515700000000001E-4</v>
          </cell>
          <cell r="BA176">
            <v>0</v>
          </cell>
          <cell r="BB176">
            <v>0</v>
          </cell>
          <cell r="BC176">
            <v>5.5300000000000002E-5</v>
          </cell>
          <cell r="BD176">
            <v>2.9499999999999999E-5</v>
          </cell>
          <cell r="BE176">
            <v>3.3599999999999997E-5</v>
          </cell>
          <cell r="BF176">
            <v>1.2999999999999999E-5</v>
          </cell>
          <cell r="BG176">
            <v>5.5999999999999999E-5</v>
          </cell>
          <cell r="BH176">
            <v>3.8949200000000002E-4</v>
          </cell>
          <cell r="BI176">
            <v>6.1071499999999996E-4</v>
          </cell>
          <cell r="BJ176">
            <v>1.8959599999999999E-3</v>
          </cell>
        </row>
        <row r="177">
          <cell r="B177">
            <v>5.5937300000000005E-4</v>
          </cell>
          <cell r="C177">
            <v>1.0394309999999999E-3</v>
          </cell>
          <cell r="D177">
            <v>3.35574E-4</v>
          </cell>
          <cell r="E177">
            <v>1.17427E-4</v>
          </cell>
          <cell r="F177">
            <v>4.1021779999999997E-3</v>
          </cell>
          <cell r="G177">
            <v>5.7457500000000002E-4</v>
          </cell>
          <cell r="H177">
            <v>7.79705E-4</v>
          </cell>
          <cell r="I177">
            <v>2.1074000000000002E-3</v>
          </cell>
          <cell r="J177">
            <v>6.0053999999999999E-4</v>
          </cell>
          <cell r="K177">
            <v>6.9913500000000003E-4</v>
          </cell>
          <cell r="L177">
            <v>4.25139E-4</v>
          </cell>
          <cell r="M177">
            <v>1.19431E-4</v>
          </cell>
          <cell r="N177">
            <v>1.363036E-3</v>
          </cell>
          <cell r="O177">
            <v>1.9075419999999999E-3</v>
          </cell>
          <cell r="P177">
            <v>1.0254960000000001E-3</v>
          </cell>
          <cell r="Q177">
            <v>4.4411899999999998E-4</v>
          </cell>
          <cell r="R177">
            <v>5.7106400000000003E-4</v>
          </cell>
          <cell r="S177">
            <v>5.2905599999999997E-4</v>
          </cell>
          <cell r="T177">
            <v>6.64407E-4</v>
          </cell>
          <cell r="U177">
            <v>3.58938E-4</v>
          </cell>
          <cell r="V177">
            <v>3.6380100000000002E-4</v>
          </cell>
          <cell r="W177">
            <v>6.9399999999999996E-6</v>
          </cell>
          <cell r="X177">
            <v>4.6999999999999997E-5</v>
          </cell>
          <cell r="Y177">
            <v>9.1700000000000006E-5</v>
          </cell>
          <cell r="Z177">
            <v>3.88203E-4</v>
          </cell>
          <cell r="AA177">
            <v>2.3055999999999999E-4</v>
          </cell>
          <cell r="AB177">
            <v>4.1430299999999998E-4</v>
          </cell>
          <cell r="AC177">
            <v>3.6569499999999997E-4</v>
          </cell>
          <cell r="AD177">
            <v>6.8440199999999997E-4</v>
          </cell>
          <cell r="AE177">
            <v>7.5883799999999996E-4</v>
          </cell>
          <cell r="AF177">
            <v>5.7047499999999998E-4</v>
          </cell>
          <cell r="AG177">
            <v>5.5480099999999995E-4</v>
          </cell>
          <cell r="AH177">
            <v>8.6600000000000004E-5</v>
          </cell>
          <cell r="AI177">
            <v>0</v>
          </cell>
          <cell r="AJ177">
            <v>1.09497E-4</v>
          </cell>
          <cell r="AK177">
            <v>1.2326500000000001E-4</v>
          </cell>
          <cell r="AL177">
            <v>1.7140999999999999E-4</v>
          </cell>
          <cell r="AM177">
            <v>1.7818399999999999E-4</v>
          </cell>
          <cell r="AN177">
            <v>1.4368000000000001E-4</v>
          </cell>
          <cell r="AO177">
            <v>0</v>
          </cell>
          <cell r="AP177">
            <v>3.8399999999999998E-5</v>
          </cell>
          <cell r="AQ177">
            <v>0</v>
          </cell>
          <cell r="AR177">
            <v>1.65367E-4</v>
          </cell>
          <cell r="AS177">
            <v>3.66984E-4</v>
          </cell>
          <cell r="AT177">
            <v>2.9456099999999999E-4</v>
          </cell>
          <cell r="AU177">
            <v>3.9700000000000003E-5</v>
          </cell>
          <cell r="AV177">
            <v>5.5149099999999998E-4</v>
          </cell>
          <cell r="AW177">
            <v>1.9477700000000001E-4</v>
          </cell>
          <cell r="AX177">
            <v>5.9715500000000004E-4</v>
          </cell>
          <cell r="AY177">
            <v>2.41325E-4</v>
          </cell>
          <cell r="AZ177">
            <v>1.276964E-3</v>
          </cell>
          <cell r="BA177">
            <v>8.2183799999999997E-4</v>
          </cell>
          <cell r="BB177">
            <v>0</v>
          </cell>
          <cell r="BC177">
            <v>3.7400000000000001E-5</v>
          </cell>
          <cell r="BD177">
            <v>2.1100000000000001E-5</v>
          </cell>
          <cell r="BE177">
            <v>2.3900000000000002E-5</v>
          </cell>
          <cell r="BF177">
            <v>7.1600000000000001E-6</v>
          </cell>
          <cell r="BG177">
            <v>4.1399999999999997E-5</v>
          </cell>
          <cell r="BH177">
            <v>3.5002299999999998E-4</v>
          </cell>
          <cell r="BI177">
            <v>5.0800000000000002E-5</v>
          </cell>
          <cell r="BJ177">
            <v>1.19193E-4</v>
          </cell>
        </row>
        <row r="178">
          <cell r="B178">
            <v>2.6849040000000001E-3</v>
          </cell>
          <cell r="C178">
            <v>5.1695990000000004E-3</v>
          </cell>
          <cell r="D178">
            <v>1.6166329999999999E-3</v>
          </cell>
          <cell r="E178">
            <v>5.8073300000000005E-4</v>
          </cell>
          <cell r="F178">
            <v>2.1631851000000001E-2</v>
          </cell>
          <cell r="G178">
            <v>2.8567140000000002E-3</v>
          </cell>
          <cell r="H178">
            <v>3.7916640000000001E-3</v>
          </cell>
          <cell r="I178">
            <v>1.0625005999999999E-2</v>
          </cell>
          <cell r="J178">
            <v>2.9234980000000001E-3</v>
          </cell>
          <cell r="K178">
            <v>3.5103809999999999E-3</v>
          </cell>
          <cell r="L178">
            <v>2.0935989999999998E-3</v>
          </cell>
          <cell r="M178">
            <v>1.9616220000000001E-3</v>
          </cell>
          <cell r="N178">
            <v>3.2244959999999999E-3</v>
          </cell>
          <cell r="O178">
            <v>9.9462800000000001E-4</v>
          </cell>
          <cell r="P178">
            <v>2.138849E-3</v>
          </cell>
          <cell r="Q178">
            <v>8.2828099999999998E-3</v>
          </cell>
          <cell r="R178">
            <v>9.5295699999999994E-3</v>
          </cell>
          <cell r="S178">
            <v>2.582913E-3</v>
          </cell>
          <cell r="T178">
            <v>4.0505360000000004E-3</v>
          </cell>
          <cell r="U178">
            <v>2.156243E-3</v>
          </cell>
          <cell r="V178">
            <v>2.7879100000000002E-3</v>
          </cell>
          <cell r="W178">
            <v>9.3599999999999998E-5</v>
          </cell>
          <cell r="X178">
            <v>4.8871400000000001E-4</v>
          </cell>
          <cell r="Y178">
            <v>9.1006300000000002E-4</v>
          </cell>
          <cell r="Z178">
            <v>3.599554E-3</v>
          </cell>
          <cell r="AA178">
            <v>2.1639839999999999E-3</v>
          </cell>
          <cell r="AB178">
            <v>3.2673250000000002E-3</v>
          </cell>
          <cell r="AC178">
            <v>3.3294850000000001E-3</v>
          </cell>
          <cell r="AD178">
            <v>6.5338449999999999E-3</v>
          </cell>
          <cell r="AE178">
            <v>7.1711559999999997E-3</v>
          </cell>
          <cell r="AF178">
            <v>5.3220949999999998E-3</v>
          </cell>
          <cell r="AG178">
            <v>5.2865380000000003E-3</v>
          </cell>
          <cell r="AH178">
            <v>2.11283E-3</v>
          </cell>
          <cell r="AI178">
            <v>0</v>
          </cell>
          <cell r="AJ178">
            <v>3.0944079999999999E-3</v>
          </cell>
          <cell r="AK178">
            <v>3.4226460000000001E-3</v>
          </cell>
          <cell r="AL178">
            <v>3.9594139999999996E-3</v>
          </cell>
          <cell r="AM178">
            <v>4.1133589999999996E-3</v>
          </cell>
          <cell r="AN178">
            <v>2.8758719999999998E-3</v>
          </cell>
          <cell r="AO178">
            <v>0</v>
          </cell>
          <cell r="AP178">
            <v>9.1906099999999999E-4</v>
          </cell>
          <cell r="AQ178">
            <v>0</v>
          </cell>
          <cell r="AR178">
            <v>3.8608929999999998E-3</v>
          </cell>
          <cell r="AS178">
            <v>7.0771999999999996E-3</v>
          </cell>
          <cell r="AT178">
            <v>4.1411039999999996E-3</v>
          </cell>
          <cell r="AU178">
            <v>4.4878000000000002E-4</v>
          </cell>
          <cell r="AV178">
            <v>2.658793E-3</v>
          </cell>
          <cell r="AW178">
            <v>9.23276E-4</v>
          </cell>
          <cell r="AX178">
            <v>2.3678010000000001E-3</v>
          </cell>
          <cell r="AY178">
            <v>5.0583779999999997E-3</v>
          </cell>
          <cell r="AZ178">
            <v>9.5319930000000008E-3</v>
          </cell>
          <cell r="BA178">
            <v>0</v>
          </cell>
          <cell r="BB178">
            <v>0</v>
          </cell>
          <cell r="BC178">
            <v>8.31039E-4</v>
          </cell>
          <cell r="BD178">
            <v>4.3680800000000001E-4</v>
          </cell>
          <cell r="BE178">
            <v>4.8725500000000002E-4</v>
          </cell>
          <cell r="BF178">
            <v>2.04859E-4</v>
          </cell>
          <cell r="BG178">
            <v>1.1015879999999999E-3</v>
          </cell>
          <cell r="BH178">
            <v>6.4790819999999997E-3</v>
          </cell>
          <cell r="BI178">
            <v>9.599659E-3</v>
          </cell>
          <cell r="BJ178">
            <v>3.0386661999999998E-2</v>
          </cell>
        </row>
        <row r="179">
          <cell r="B179">
            <v>2.3544210000000002E-3</v>
          </cell>
          <cell r="C179">
            <v>4.4390239999999997E-3</v>
          </cell>
          <cell r="D179">
            <v>1.4185129999999999E-3</v>
          </cell>
          <cell r="E179">
            <v>5.06913E-4</v>
          </cell>
          <cell r="F179">
            <v>1.8070194000000001E-2</v>
          </cell>
          <cell r="G179">
            <v>2.4838009999999999E-3</v>
          </cell>
          <cell r="H179">
            <v>3.311596E-3</v>
          </cell>
          <cell r="I179">
            <v>8.9668809999999995E-3</v>
          </cell>
          <cell r="J179">
            <v>2.5549349999999999E-3</v>
          </cell>
          <cell r="K179">
            <v>3.0376399999999999E-3</v>
          </cell>
          <cell r="L179">
            <v>1.817817E-3</v>
          </cell>
          <cell r="M179">
            <v>5.2594000000000002E-4</v>
          </cell>
          <cell r="N179">
            <v>5.6798869999999998E-3</v>
          </cell>
          <cell r="O179">
            <v>7.9488920000000008E-3</v>
          </cell>
          <cell r="P179">
            <v>4.2733279999999998E-3</v>
          </cell>
          <cell r="Q179">
            <v>1.599411E-3</v>
          </cell>
          <cell r="R179">
            <v>1.841978E-3</v>
          </cell>
          <cell r="S179">
            <v>1.8681380000000001E-3</v>
          </cell>
          <cell r="T179">
            <v>2.930818E-3</v>
          </cell>
          <cell r="U179">
            <v>1.5852189999999999E-3</v>
          </cell>
          <cell r="V179">
            <v>1.4242580000000001E-3</v>
          </cell>
          <cell r="W179">
            <v>2.9499999999999999E-5</v>
          </cell>
          <cell r="X179">
            <v>1.9583900000000001E-4</v>
          </cell>
          <cell r="Y179">
            <v>3.8828300000000001E-4</v>
          </cell>
          <cell r="Z179">
            <v>1.6843489999999999E-3</v>
          </cell>
          <cell r="AA179">
            <v>1.014692E-3</v>
          </cell>
          <cell r="AB179">
            <v>1.5177669999999999E-3</v>
          </cell>
          <cell r="AC179">
            <v>1.5238820000000001E-3</v>
          </cell>
          <cell r="AD179">
            <v>2.8519610000000001E-3</v>
          </cell>
          <cell r="AE179">
            <v>3.1621430000000001E-3</v>
          </cell>
          <cell r="AF179">
            <v>2.377218E-3</v>
          </cell>
          <cell r="AG179">
            <v>2.3119019999999998E-3</v>
          </cell>
          <cell r="AH179">
            <v>3.6100200000000002E-4</v>
          </cell>
          <cell r="AI179">
            <v>0</v>
          </cell>
          <cell r="AJ179">
            <v>3.9955500000000001E-4</v>
          </cell>
          <cell r="AK179">
            <v>4.29474E-4</v>
          </cell>
          <cell r="AL179">
            <v>7.1427999999999997E-4</v>
          </cell>
          <cell r="AM179">
            <v>7.42507E-4</v>
          </cell>
          <cell r="AN179">
            <v>5.9872600000000005E-4</v>
          </cell>
          <cell r="AO179">
            <v>0</v>
          </cell>
          <cell r="AP179">
            <v>1.6020300000000001E-4</v>
          </cell>
          <cell r="AQ179">
            <v>0</v>
          </cell>
          <cell r="AR179">
            <v>6.8909899999999998E-4</v>
          </cell>
          <cell r="AS179">
            <v>1.5867920000000001E-3</v>
          </cell>
          <cell r="AT179">
            <v>1.1073260000000001E-3</v>
          </cell>
          <cell r="AU179">
            <v>1.65534E-4</v>
          </cell>
          <cell r="AV179">
            <v>1.937214E-3</v>
          </cell>
          <cell r="AW179">
            <v>8.1165299999999996E-4</v>
          </cell>
          <cell r="AX179">
            <v>1.8824320000000001E-3</v>
          </cell>
          <cell r="AY179">
            <v>1.0056240000000001E-3</v>
          </cell>
          <cell r="AZ179">
            <v>5.6360569999999999E-3</v>
          </cell>
          <cell r="BA179">
            <v>3.4246699999999999E-3</v>
          </cell>
          <cell r="BB179">
            <v>0</v>
          </cell>
          <cell r="BC179">
            <v>8.7999999999999998E-5</v>
          </cell>
          <cell r="BD179">
            <v>4.9700000000000002E-5</v>
          </cell>
          <cell r="BE179">
            <v>5.63E-5</v>
          </cell>
          <cell r="BF179">
            <v>2.0400000000000001E-5</v>
          </cell>
          <cell r="BG179">
            <v>9.7399999999999996E-5</v>
          </cell>
          <cell r="BH179">
            <v>7.76255E-4</v>
          </cell>
          <cell r="BI179">
            <v>3.2418300000000002E-4</v>
          </cell>
          <cell r="BJ179">
            <v>1.041639E-3</v>
          </cell>
        </row>
        <row r="180">
          <cell r="B180">
            <v>1.0432460000000001E-3</v>
          </cell>
          <cell r="C180">
            <v>2.0301849999999999E-3</v>
          </cell>
          <cell r="D180">
            <v>6.3400200000000005E-4</v>
          </cell>
          <cell r="E180">
            <v>2.2642699999999999E-4</v>
          </cell>
          <cell r="F180">
            <v>8.5498810000000005E-3</v>
          </cell>
          <cell r="G180">
            <v>1.127931E-3</v>
          </cell>
          <cell r="H180">
            <v>1.506206E-3</v>
          </cell>
          <cell r="I180">
            <v>4.2536120000000004E-3</v>
          </cell>
          <cell r="J180">
            <v>1.1459899999999999E-3</v>
          </cell>
          <cell r="K180">
            <v>1.405664E-3</v>
          </cell>
          <cell r="L180">
            <v>8.2458200000000003E-4</v>
          </cell>
          <cell r="M180">
            <v>7.7559799999999996E-4</v>
          </cell>
          <cell r="N180">
            <v>1.263894E-3</v>
          </cell>
          <cell r="O180">
            <v>2.9268700000000003E-4</v>
          </cell>
          <cell r="P180">
            <v>8.3107099999999996E-4</v>
          </cell>
          <cell r="Q180">
            <v>3.3902250000000002E-3</v>
          </cell>
          <cell r="R180">
            <v>3.8721319999999999E-3</v>
          </cell>
          <cell r="S180">
            <v>1.0602470000000001E-3</v>
          </cell>
          <cell r="T180">
            <v>1.6083779999999999E-3</v>
          </cell>
          <cell r="U180">
            <v>8.7733899999999998E-4</v>
          </cell>
          <cell r="V180">
            <v>1.1027400000000001E-3</v>
          </cell>
          <cell r="W180">
            <v>3.6399999999999997E-5</v>
          </cell>
          <cell r="X180">
            <v>1.9024100000000001E-4</v>
          </cell>
          <cell r="Y180">
            <v>3.6043000000000002E-4</v>
          </cell>
          <cell r="Z180">
            <v>1.4320509999999999E-3</v>
          </cell>
          <cell r="AA180">
            <v>8.9359800000000001E-4</v>
          </cell>
          <cell r="AB180">
            <v>1.307957E-3</v>
          </cell>
          <cell r="AC180">
            <v>1.3048739999999999E-3</v>
          </cell>
          <cell r="AD180">
            <v>2.548748E-3</v>
          </cell>
          <cell r="AE180">
            <v>2.8086539999999998E-3</v>
          </cell>
          <cell r="AF180">
            <v>2.1052380000000002E-3</v>
          </cell>
          <cell r="AG180">
            <v>2.0624580000000001E-3</v>
          </cell>
          <cell r="AH180">
            <v>8.4049700000000005E-4</v>
          </cell>
          <cell r="AI180">
            <v>0</v>
          </cell>
          <cell r="AJ180">
            <v>1.22211E-3</v>
          </cell>
          <cell r="AK180">
            <v>1.352198E-3</v>
          </cell>
          <cell r="AL180">
            <v>1.5709210000000001E-3</v>
          </cell>
          <cell r="AM180">
            <v>1.6458989999999999E-3</v>
          </cell>
          <cell r="AN180">
            <v>1.189374E-3</v>
          </cell>
          <cell r="AO180">
            <v>0</v>
          </cell>
          <cell r="AP180">
            <v>3.58594E-4</v>
          </cell>
          <cell r="AQ180">
            <v>0</v>
          </cell>
          <cell r="AR180">
            <v>1.546537E-3</v>
          </cell>
          <cell r="AS180">
            <v>2.8247860000000001E-3</v>
          </cell>
          <cell r="AT180">
            <v>1.6244919999999999E-3</v>
          </cell>
          <cell r="AU180">
            <v>1.7437799999999999E-4</v>
          </cell>
          <cell r="AV180">
            <v>1.085309E-3</v>
          </cell>
          <cell r="AW180">
            <v>3.5874799999999999E-4</v>
          </cell>
          <cell r="AX180">
            <v>9.5949999999999996E-4</v>
          </cell>
          <cell r="AY180">
            <v>2.029271E-3</v>
          </cell>
          <cell r="AZ180">
            <v>3.8426060000000001E-3</v>
          </cell>
          <cell r="BA180">
            <v>0</v>
          </cell>
          <cell r="BB180">
            <v>0</v>
          </cell>
          <cell r="BC180">
            <v>9.0787400000000003E-4</v>
          </cell>
          <cell r="BD180">
            <v>4.8357499999999998E-4</v>
          </cell>
          <cell r="BE180">
            <v>5.4076500000000002E-4</v>
          </cell>
          <cell r="BF180">
            <v>2.16109E-4</v>
          </cell>
          <cell r="BG180">
            <v>9.3691300000000005E-4</v>
          </cell>
          <cell r="BH180">
            <v>6.5292559999999998E-3</v>
          </cell>
          <cell r="BI180">
            <v>2.9126460000000001E-3</v>
          </cell>
          <cell r="BJ180">
            <v>9.0310640000000001E-3</v>
          </cell>
        </row>
        <row r="181">
          <cell r="B181">
            <v>1.0012459999999999E-3</v>
          </cell>
          <cell r="C181">
            <v>1.9317589999999999E-3</v>
          </cell>
          <cell r="D181">
            <v>6.0259099999999998E-4</v>
          </cell>
          <cell r="E181">
            <v>2.1917099999999999E-4</v>
          </cell>
          <cell r="F181">
            <v>8.182992E-3</v>
          </cell>
          <cell r="G181">
            <v>1.0640300000000001E-3</v>
          </cell>
          <cell r="H181">
            <v>1.4225850000000001E-3</v>
          </cell>
          <cell r="I181">
            <v>3.9943399999999999E-3</v>
          </cell>
          <cell r="J181">
            <v>1.1088750000000001E-3</v>
          </cell>
          <cell r="K181">
            <v>1.3358619999999999E-3</v>
          </cell>
          <cell r="L181">
            <v>7.8297299999999996E-4</v>
          </cell>
          <cell r="M181">
            <v>2.4867299999999998E-4</v>
          </cell>
          <cell r="N181">
            <v>1.935825E-3</v>
          </cell>
          <cell r="O181">
            <v>2.4432199999999999E-3</v>
          </cell>
          <cell r="P181">
            <v>1.725049E-3</v>
          </cell>
          <cell r="Q181">
            <v>7.8275399999999998E-4</v>
          </cell>
          <cell r="R181">
            <v>9.0732699999999998E-4</v>
          </cell>
          <cell r="S181">
            <v>9.3470499999999998E-4</v>
          </cell>
          <cell r="T181">
            <v>1.3649790000000001E-3</v>
          </cell>
          <cell r="U181">
            <v>7.3853299999999998E-4</v>
          </cell>
          <cell r="V181">
            <v>6.9155099999999999E-4</v>
          </cell>
          <cell r="W181">
            <v>1.34E-5</v>
          </cell>
          <cell r="X181">
            <v>7.0199999999999999E-5</v>
          </cell>
          <cell r="Y181">
            <v>1.68505E-4</v>
          </cell>
          <cell r="Z181">
            <v>7.4528500000000004E-4</v>
          </cell>
          <cell r="AA181">
            <v>4.5423700000000002E-4</v>
          </cell>
          <cell r="AB181">
            <v>7.0949700000000001E-4</v>
          </cell>
          <cell r="AC181">
            <v>4.8343799999999999E-4</v>
          </cell>
          <cell r="AD181">
            <v>1.0050739999999999E-3</v>
          </cell>
          <cell r="AE181">
            <v>1.0789160000000001E-3</v>
          </cell>
          <cell r="AF181">
            <v>8.0385999999999999E-4</v>
          </cell>
          <cell r="AG181">
            <v>8.0410300000000002E-4</v>
          </cell>
          <cell r="AH181">
            <v>1.2575600000000001E-4</v>
          </cell>
          <cell r="AI181">
            <v>0</v>
          </cell>
          <cell r="AJ181">
            <v>1.8821699999999999E-4</v>
          </cell>
          <cell r="AK181">
            <v>2.0552999999999999E-4</v>
          </cell>
          <cell r="AL181">
            <v>2.3750600000000001E-4</v>
          </cell>
          <cell r="AM181">
            <v>2.5035900000000002E-4</v>
          </cell>
          <cell r="AN181">
            <v>2.1927599999999999E-4</v>
          </cell>
          <cell r="AO181">
            <v>0</v>
          </cell>
          <cell r="AP181">
            <v>6.4700000000000001E-5</v>
          </cell>
          <cell r="AQ181">
            <v>0</v>
          </cell>
          <cell r="AR181">
            <v>2.3116799999999999E-4</v>
          </cell>
          <cell r="AS181">
            <v>7.5025199999999997E-4</v>
          </cell>
          <cell r="AT181">
            <v>4.38023E-4</v>
          </cell>
          <cell r="AU181">
            <v>6.6799999999999997E-5</v>
          </cell>
          <cell r="AV181">
            <v>9.3526500000000001E-4</v>
          </cell>
          <cell r="AW181">
            <v>3.2764600000000001E-4</v>
          </cell>
          <cell r="AX181">
            <v>8.8863799999999997E-4</v>
          </cell>
          <cell r="AY181">
            <v>3.4291500000000001E-4</v>
          </cell>
          <cell r="AZ181">
            <v>2.7126009999999998E-3</v>
          </cell>
          <cell r="BA181">
            <v>1.509575E-3</v>
          </cell>
          <cell r="BB181">
            <v>0</v>
          </cell>
          <cell r="BC181">
            <v>2.1724299999999999E-4</v>
          </cell>
          <cell r="BD181">
            <v>1.21248E-4</v>
          </cell>
          <cell r="BE181">
            <v>1.37849E-4</v>
          </cell>
          <cell r="BF181">
            <v>5.1100000000000002E-5</v>
          </cell>
          <cell r="BG181">
            <v>2.8969100000000002E-4</v>
          </cell>
          <cell r="BH181">
            <v>2.7404510000000001E-3</v>
          </cell>
          <cell r="BI181">
            <v>7.45702E-4</v>
          </cell>
          <cell r="BJ181">
            <v>2.3485899999999998E-3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Z_decarb_opex"/>
    </sheetNames>
    <sheetDataSet>
      <sheetData sheetId="0">
        <row r="2">
          <cell r="B2">
            <v>2.5635095410803999E-4</v>
          </cell>
          <cell r="C2">
            <v>8.8072851094694998E-5</v>
          </cell>
          <cell r="D2">
            <v>6.2079689877585098E-5</v>
          </cell>
          <cell r="E2">
            <v>1.32070289340045E-6</v>
          </cell>
          <cell r="F2">
            <v>2.2462385770093401E-6</v>
          </cell>
          <cell r="G2">
            <v>6.0340918307895499E-7</v>
          </cell>
          <cell r="H2">
            <v>9.4895279719534805E-7</v>
          </cell>
          <cell r="I2">
            <v>9.2354873016701E-7</v>
          </cell>
          <cell r="J2">
            <v>4.0059935488491897E-6</v>
          </cell>
          <cell r="K2">
            <v>2.3666686553420099E-5</v>
          </cell>
          <cell r="L2">
            <v>6.2480255108572701E-7</v>
          </cell>
          <cell r="M2">
            <v>2.5199845595808698E-6</v>
          </cell>
          <cell r="N2">
            <v>8.0720609694100406E-6</v>
          </cell>
          <cell r="O2">
            <v>1.70104992858016E-7</v>
          </cell>
          <cell r="P2">
            <v>3.14424888827703E-5</v>
          </cell>
          <cell r="Q2">
            <v>4.2065437282019902E-7</v>
          </cell>
          <cell r="R2">
            <v>3.0333085193102798E-7</v>
          </cell>
          <cell r="S2">
            <v>3.0333085193102899E-7</v>
          </cell>
          <cell r="T2">
            <v>1.51719488873251E-6</v>
          </cell>
          <cell r="U2">
            <v>3.8051596501042501E-7</v>
          </cell>
          <cell r="V2">
            <v>3.9724160144309002E-5</v>
          </cell>
        </row>
        <row r="3">
          <cell r="B3">
            <v>6.9137020226511402E-4</v>
          </cell>
          <cell r="C3">
            <v>1.08333817586238E-2</v>
          </cell>
          <cell r="D3">
            <v>5.3969859103065601E-3</v>
          </cell>
          <cell r="E3">
            <v>3.6502467033151902E-6</v>
          </cell>
          <cell r="F3">
            <v>3.14474142906157E-6</v>
          </cell>
          <cell r="G3">
            <v>1.75393432855517E-6</v>
          </cell>
          <cell r="H3">
            <v>2.0158827936232199E-6</v>
          </cell>
          <cell r="I3">
            <v>1.3095730095945599E-6</v>
          </cell>
          <cell r="J3">
            <v>8.1506668659692803E-6</v>
          </cell>
          <cell r="K3">
            <v>3.81311848483976E-5</v>
          </cell>
          <cell r="L3">
            <v>1.9405806420825001E-6</v>
          </cell>
          <cell r="M3">
            <v>5.9106631693904599E-6</v>
          </cell>
          <cell r="N3">
            <v>3.5311531227553401E-6</v>
          </cell>
          <cell r="O3">
            <v>1.0981743401556701E-7</v>
          </cell>
          <cell r="P3">
            <v>2.0882865983200501E-5</v>
          </cell>
          <cell r="Q3">
            <v>5.8279733294884198E-7</v>
          </cell>
          <cell r="R3">
            <v>7.4809859392345E-7</v>
          </cell>
          <cell r="S3">
            <v>7.4809859392345095E-7</v>
          </cell>
          <cell r="T3">
            <v>7.4116903318488501E-6</v>
          </cell>
          <cell r="U3">
            <v>4.88461904935668E-7</v>
          </cell>
          <cell r="V3">
            <v>3.4349817764955398E-6</v>
          </cell>
        </row>
        <row r="4">
          <cell r="B4">
            <v>3.9091818214950498E-4</v>
          </cell>
          <cell r="C4">
            <v>7.6306391172149398E-3</v>
          </cell>
          <cell r="D4">
            <v>3.9053434058628502E-3</v>
          </cell>
          <cell r="E4">
            <v>2.8878020605785502E-6</v>
          </cell>
          <cell r="F4">
            <v>3.4022056056284901E-6</v>
          </cell>
          <cell r="G4">
            <v>1.54396575275685E-6</v>
          </cell>
          <cell r="H4">
            <v>2.0200053433418101E-6</v>
          </cell>
          <cell r="I4">
            <v>2.7738992921792502E-6</v>
          </cell>
          <cell r="J4">
            <v>9.2554371606333499E-6</v>
          </cell>
          <cell r="K4">
            <v>3.0004397944589501E-5</v>
          </cell>
          <cell r="L4">
            <v>2.71744830176484E-6</v>
          </cell>
          <cell r="M4">
            <v>6.7608806709892103E-6</v>
          </cell>
          <cell r="N4">
            <v>9.0764697549774002E-6</v>
          </cell>
          <cell r="O4">
            <v>2.54580738085961E-7</v>
          </cell>
          <cell r="P4">
            <v>2.8600295128253999E-5</v>
          </cell>
          <cell r="Q4">
            <v>9.4552827812069497E-7</v>
          </cell>
          <cell r="R4">
            <v>3.0021769808777601E-6</v>
          </cell>
          <cell r="S4">
            <v>3.0021769808777601E-6</v>
          </cell>
          <cell r="T4">
            <v>8.6419249570513802E-6</v>
          </cell>
          <cell r="U4">
            <v>1.01706811526365E-6</v>
          </cell>
          <cell r="V4">
            <v>1.48411691079235E-5</v>
          </cell>
        </row>
        <row r="5">
          <cell r="B5">
            <v>2.6398995416881997E-4</v>
          </cell>
          <cell r="C5">
            <v>2.6223217922986901E-3</v>
          </cell>
          <cell r="D5">
            <v>1.47731003015292E-3</v>
          </cell>
          <cell r="E5">
            <v>2.13902961806828E-5</v>
          </cell>
          <cell r="F5">
            <v>2.0163970879711499E-5</v>
          </cell>
          <cell r="G5">
            <v>1.1329822884584199E-5</v>
          </cell>
          <cell r="H5">
            <v>2.4637383657795899E-5</v>
          </cell>
          <cell r="I5">
            <v>1.4437854679112399E-5</v>
          </cell>
          <cell r="J5">
            <v>2.7029491260443198E-5</v>
          </cell>
          <cell r="K5">
            <v>1.34404858140836E-4</v>
          </cell>
          <cell r="L5">
            <v>1.7514496997939899E-5</v>
          </cell>
          <cell r="M5">
            <v>1.07024393829226E-4</v>
          </cell>
          <cell r="N5">
            <v>3.2927106211466703E-5</v>
          </cell>
          <cell r="O5">
            <v>1.1145424608715299E-6</v>
          </cell>
          <cell r="P5">
            <v>7.52960943890219E-5</v>
          </cell>
          <cell r="Q5">
            <v>3.0969534561804899E-6</v>
          </cell>
          <cell r="R5">
            <v>9.4255485452580808E-6</v>
          </cell>
          <cell r="S5">
            <v>9.4255485452581096E-6</v>
          </cell>
          <cell r="T5">
            <v>2.4014948795505301E-5</v>
          </cell>
          <cell r="U5">
            <v>5.6662083579293398E-6</v>
          </cell>
          <cell r="V5">
            <v>4.9506988337283403E-5</v>
          </cell>
        </row>
        <row r="6">
          <cell r="B6">
            <v>1.9295825082987501E-3</v>
          </cell>
          <cell r="C6">
            <v>1.03276120516338E-2</v>
          </cell>
          <cell r="D6">
            <v>5.4057003692516903E-3</v>
          </cell>
          <cell r="E6">
            <v>1.87170251141367E-6</v>
          </cell>
          <cell r="F6">
            <v>1.6159411099682499E-6</v>
          </cell>
          <cell r="G6">
            <v>1.9999439975512799E-6</v>
          </cell>
          <cell r="H6">
            <v>2.4471023060981198E-6</v>
          </cell>
          <cell r="I6">
            <v>2.6870260228513101E-6</v>
          </cell>
          <cell r="J6">
            <v>4.9947610782088204E-6</v>
          </cell>
          <cell r="K6">
            <v>1.0544534882370699E-5</v>
          </cell>
          <cell r="L6">
            <v>1.95910026709198E-6</v>
          </cell>
          <cell r="M6">
            <v>7.4302451879980997E-6</v>
          </cell>
          <cell r="N6">
            <v>5.7747763410687196E-6</v>
          </cell>
          <cell r="O6">
            <v>1.6831819767579501E-7</v>
          </cell>
          <cell r="P6">
            <v>1.10339496318347E-5</v>
          </cell>
          <cell r="Q6">
            <v>8.52288166039791E-7</v>
          </cell>
          <cell r="R6">
            <v>2.6148531584017501E-6</v>
          </cell>
          <cell r="S6">
            <v>2.6148531584017599E-6</v>
          </cell>
          <cell r="T6">
            <v>1.3867375652559399E-6</v>
          </cell>
          <cell r="U6">
            <v>3.0910267754775402E-6</v>
          </cell>
          <cell r="V6">
            <v>4.8163447629127004E-6</v>
          </cell>
        </row>
        <row r="7">
          <cell r="B7">
            <v>5.4961139789089296E-4</v>
          </cell>
          <cell r="C7">
            <v>1.54751358076817E-5</v>
          </cell>
          <cell r="D7">
            <v>1.05746440436805E-4</v>
          </cell>
          <cell r="E7">
            <v>3.7196890334302801E-6</v>
          </cell>
          <cell r="F7">
            <v>2.6377320507412798E-6</v>
          </cell>
          <cell r="G7">
            <v>1.43266590334269E-6</v>
          </cell>
          <cell r="H7">
            <v>1.9078844683532999E-6</v>
          </cell>
          <cell r="I7">
            <v>2.20630357283205E-6</v>
          </cell>
          <cell r="J7">
            <v>3.0062628985074001E-6</v>
          </cell>
          <cell r="K7">
            <v>8.4958291046238802E-6</v>
          </cell>
          <cell r="L7">
            <v>1.5028367101685401E-6</v>
          </cell>
          <cell r="M7">
            <v>6.0015416432402698E-6</v>
          </cell>
          <cell r="N7">
            <v>4.29964705279371E-6</v>
          </cell>
          <cell r="O7">
            <v>1.91207364275816E-7</v>
          </cell>
          <cell r="P7">
            <v>1.00610884072258E-5</v>
          </cell>
          <cell r="Q7">
            <v>3.7374336664819197E-5</v>
          </cell>
          <cell r="R7">
            <v>1.6894299205273301E-6</v>
          </cell>
          <cell r="S7">
            <v>1.68942992052734E-6</v>
          </cell>
          <cell r="T7">
            <v>2.5534183777905799E-6</v>
          </cell>
          <cell r="U7">
            <v>4.9346653140120699E-6</v>
          </cell>
          <cell r="V7">
            <v>2.49407832468011E-6</v>
          </cell>
        </row>
        <row r="8">
          <cell r="B8">
            <v>1.75606128250703E-5</v>
          </cell>
          <cell r="C8">
            <v>2.5198025670741999E-5</v>
          </cell>
          <cell r="D8">
            <v>1.2237764747378399E-5</v>
          </cell>
          <cell r="E8">
            <v>3.4898193225122803E-7</v>
          </cell>
          <cell r="F8">
            <v>4.0234554027215903E-8</v>
          </cell>
          <cell r="G8">
            <v>7.3040998371177704E-8</v>
          </cell>
          <cell r="H8">
            <v>7.5418212669092298E-8</v>
          </cell>
          <cell r="I8">
            <v>7.7032511048254499E-8</v>
          </cell>
          <cell r="J8">
            <v>1.0555221273605E-7</v>
          </cell>
          <cell r="K8">
            <v>3.6737280402816802E-7</v>
          </cell>
          <cell r="L8">
            <v>3.2161222639475197E-8</v>
          </cell>
          <cell r="M8">
            <v>8.5694378812688495E-8</v>
          </cell>
          <cell r="N8">
            <v>9.1905614577162498E-8</v>
          </cell>
          <cell r="O8">
            <v>4.0688750127938799E-9</v>
          </cell>
          <cell r="P8">
            <v>3.7461556278706799E-7</v>
          </cell>
          <cell r="Q8">
            <v>2.30770657486689E-8</v>
          </cell>
          <cell r="R8">
            <v>3.3939728049769503E-8</v>
          </cell>
          <cell r="S8">
            <v>3.3939728049769602E-8</v>
          </cell>
          <cell r="T8">
            <v>8.8459240977324305E-8</v>
          </cell>
          <cell r="U8">
            <v>1.55624417851064E-7</v>
          </cell>
          <cell r="V8">
            <v>1.52892156164356E-8</v>
          </cell>
        </row>
        <row r="9">
          <cell r="B9">
            <v>6.8300018472459002E-5</v>
          </cell>
          <cell r="C9">
            <v>7.9347477517161804E-4</v>
          </cell>
          <cell r="D9">
            <v>2.6895197862001301E-4</v>
          </cell>
          <cell r="E9">
            <v>2.1780617985482599E-5</v>
          </cell>
          <cell r="F9">
            <v>2.77916238542939E-5</v>
          </cell>
          <cell r="G9">
            <v>1.31731680429376E-5</v>
          </cell>
          <cell r="H9">
            <v>2.08574421188413E-5</v>
          </cell>
          <cell r="I9">
            <v>1.5694151735061099E-5</v>
          </cell>
          <cell r="J9">
            <v>4.0475561448742303E-5</v>
          </cell>
          <cell r="K9">
            <v>1.99757728456767E-4</v>
          </cell>
          <cell r="L9">
            <v>7.9562447175385305E-6</v>
          </cell>
          <cell r="M9">
            <v>2.5729757899980798E-5</v>
          </cell>
          <cell r="N9">
            <v>1.7798462658515301E-5</v>
          </cell>
          <cell r="O9">
            <v>9.8027025201533409E-7</v>
          </cell>
          <cell r="P9">
            <v>1.21667092573394E-4</v>
          </cell>
          <cell r="Q9">
            <v>6.8333262620606603E-6</v>
          </cell>
          <cell r="R9">
            <v>7.7966844605378704E-6</v>
          </cell>
          <cell r="S9">
            <v>7.7966844605378805E-6</v>
          </cell>
          <cell r="T9">
            <v>5.0074867288667003E-6</v>
          </cell>
          <cell r="U9">
            <v>4.2602464618092303E-7</v>
          </cell>
          <cell r="V9">
            <v>2.1268313759980102E-5</v>
          </cell>
        </row>
        <row r="10">
          <cell r="B10">
            <v>1.5051218643121999E-4</v>
          </cell>
          <cell r="C10">
            <v>2.9685817651921899E-5</v>
          </cell>
          <cell r="D10">
            <v>3.9248443445086702E-5</v>
          </cell>
          <cell r="E10">
            <v>6.5707614208099398E-6</v>
          </cell>
          <cell r="F10">
            <v>5.7284523888278197E-6</v>
          </cell>
          <cell r="G10">
            <v>2.5104817050889702E-6</v>
          </cell>
          <cell r="H10">
            <v>3.0537104704655202E-6</v>
          </cell>
          <cell r="I10">
            <v>2.8237569616865799E-6</v>
          </cell>
          <cell r="J10">
            <v>5.7486924260052897E-6</v>
          </cell>
          <cell r="K10">
            <v>1.1281052135699199E-5</v>
          </cell>
          <cell r="L10">
            <v>2.52563232342309E-6</v>
          </cell>
          <cell r="M10">
            <v>6.8244168730467096E-6</v>
          </cell>
          <cell r="N10">
            <v>4.5174781901651801E-6</v>
          </cell>
          <cell r="O10">
            <v>2.4691803696459298E-7</v>
          </cell>
          <cell r="P10">
            <v>9.8477740930591592E-6</v>
          </cell>
          <cell r="Q10">
            <v>9.8489023406946605E-7</v>
          </cell>
          <cell r="R10">
            <v>2.6130358624211E-6</v>
          </cell>
          <cell r="S10">
            <v>2.6130358624211E-6</v>
          </cell>
          <cell r="T10">
            <v>5.90891427211575E-6</v>
          </cell>
          <cell r="U10">
            <v>1.7841140580640401E-6</v>
          </cell>
          <cell r="V10">
            <v>6.8634367760156597E-6</v>
          </cell>
        </row>
        <row r="11">
          <cell r="B11">
            <v>7.7945012262194705E-5</v>
          </cell>
          <cell r="C11">
            <v>3.4568210543324898E-4</v>
          </cell>
          <cell r="D11">
            <v>1.2886983380055501E-4</v>
          </cell>
          <cell r="E11">
            <v>4.16584815545092E-5</v>
          </cell>
          <cell r="F11">
            <v>3.6137758667588702E-5</v>
          </cell>
          <cell r="G11">
            <v>8.9161567717198893E-6</v>
          </cell>
          <cell r="H11">
            <v>2.0262286038513401E-5</v>
          </cell>
          <cell r="I11">
            <v>5.0951967360878102E-6</v>
          </cell>
          <cell r="J11">
            <v>1.35945836774948E-5</v>
          </cell>
          <cell r="K11">
            <v>9.7459627490837695E-5</v>
          </cell>
          <cell r="L11">
            <v>1.09427694524679E-5</v>
          </cell>
          <cell r="M11">
            <v>8.6423362833220902E-5</v>
          </cell>
          <cell r="N11">
            <v>1.7201854165105302E-5</v>
          </cell>
          <cell r="O11">
            <v>1.1906531688928001E-6</v>
          </cell>
          <cell r="P11">
            <v>2.6906909862313001E-5</v>
          </cell>
          <cell r="Q11">
            <v>3.0843566856520298E-6</v>
          </cell>
          <cell r="R11">
            <v>4.4573768899576904E-6</v>
          </cell>
          <cell r="S11">
            <v>4.4573768899577099E-6</v>
          </cell>
          <cell r="T11">
            <v>2.25390338206324E-5</v>
          </cell>
          <cell r="U11">
            <v>2.1681588641072298E-6</v>
          </cell>
          <cell r="V11">
            <v>5.9305368938858399E-6</v>
          </cell>
        </row>
        <row r="12">
          <cell r="B12">
            <v>6.3587340005322101E-5</v>
          </cell>
          <cell r="C12">
            <v>4.5550212098428897E-5</v>
          </cell>
          <cell r="D12">
            <v>2.8995459319350501E-5</v>
          </cell>
          <cell r="E12">
            <v>8.2384688723707604E-6</v>
          </cell>
          <cell r="F12">
            <v>6.3378684464660198E-6</v>
          </cell>
          <cell r="G12">
            <v>7.9638240677743898E-6</v>
          </cell>
          <cell r="H12">
            <v>8.0277025505255606E-6</v>
          </cell>
          <cell r="I12">
            <v>4.2967988923090602E-6</v>
          </cell>
          <cell r="J12">
            <v>6.69657766286421E-6</v>
          </cell>
          <cell r="K12">
            <v>1.8908780649113599E-5</v>
          </cell>
          <cell r="L12">
            <v>2.6578816196440101E-6</v>
          </cell>
          <cell r="M12">
            <v>1.15383009240367E-5</v>
          </cell>
          <cell r="N12">
            <v>4.9018960117277204E-6</v>
          </cell>
          <cell r="O12">
            <v>2.17444103891164E-7</v>
          </cell>
          <cell r="P12">
            <v>1.2339696014075899E-5</v>
          </cell>
          <cell r="Q12">
            <v>9.3326752528708198E-7</v>
          </cell>
          <cell r="R12">
            <v>2.37899400350489E-6</v>
          </cell>
          <cell r="S12">
            <v>2.3789940035049002E-6</v>
          </cell>
          <cell r="T12">
            <v>4.1476410596135304E-6</v>
          </cell>
          <cell r="U12">
            <v>1.88491280804234E-6</v>
          </cell>
          <cell r="V12">
            <v>8.9963376128656205E-6</v>
          </cell>
        </row>
        <row r="13">
          <cell r="B13">
            <v>5.9862125154225699E-4</v>
          </cell>
          <cell r="C13">
            <v>2.03200183827213E-3</v>
          </cell>
          <cell r="D13">
            <v>6.02849990165906E-4</v>
          </cell>
          <cell r="E13">
            <v>1.6725877606595601E-4</v>
          </cell>
          <cell r="F13">
            <v>1.02432135031415E-4</v>
          </cell>
          <cell r="G13">
            <v>9.8723033692773503E-5</v>
          </cell>
          <cell r="H13">
            <v>2.0647885871765E-4</v>
          </cell>
          <cell r="I13">
            <v>1.05049162046147E-4</v>
          </cell>
          <cell r="J13">
            <v>1.13775652616053E-4</v>
          </cell>
          <cell r="K13">
            <v>8.6590994480378197E-4</v>
          </cell>
          <cell r="L13">
            <v>8.6357232148240003E-5</v>
          </cell>
          <cell r="M13">
            <v>7.7691296612167099E-4</v>
          </cell>
          <cell r="N13">
            <v>1.2256470862852001E-4</v>
          </cell>
          <cell r="O13">
            <v>2.3110012343302599E-5</v>
          </cell>
          <cell r="P13">
            <v>2.3350818995089001E-4</v>
          </cell>
          <cell r="Q13">
            <v>3.0394576239496001E-5</v>
          </cell>
          <cell r="R13">
            <v>5.32550584164694E-5</v>
          </cell>
          <cell r="S13">
            <v>5.3255058416469501E-5</v>
          </cell>
          <cell r="T13">
            <v>1.1701265118850301E-4</v>
          </cell>
          <cell r="U13">
            <v>2.10816740454389E-5</v>
          </cell>
          <cell r="V13">
            <v>3.6380746754708997E-4</v>
          </cell>
        </row>
        <row r="14">
          <cell r="B14">
            <v>4.9308516102304498E-5</v>
          </cell>
          <cell r="C14">
            <v>6.8756552819594603E-5</v>
          </cell>
          <cell r="D14">
            <v>2.17060825538901E-5</v>
          </cell>
          <cell r="E14">
            <v>1.52380921851642E-5</v>
          </cell>
          <cell r="F14">
            <v>2.48794865472445E-5</v>
          </cell>
          <cell r="G14">
            <v>1.51973948154517E-5</v>
          </cell>
          <cell r="H14">
            <v>2.2665363203160399E-5</v>
          </cell>
          <cell r="I14">
            <v>2.02263696121965E-5</v>
          </cell>
          <cell r="J14">
            <v>9.48582179931853E-6</v>
          </cell>
          <cell r="K14">
            <v>2.3921215976045699E-5</v>
          </cell>
          <cell r="L14">
            <v>3.3633318161821098E-6</v>
          </cell>
          <cell r="M14">
            <v>1.14510312256993E-5</v>
          </cell>
          <cell r="N14">
            <v>1.7338088346896499E-5</v>
          </cell>
          <cell r="O14">
            <v>1.3561729073329599E-5</v>
          </cell>
          <cell r="P14">
            <v>6.5957562521505104E-5</v>
          </cell>
          <cell r="Q14">
            <v>4.09161192952233E-6</v>
          </cell>
          <cell r="R14">
            <v>7.0749000051864003E-6</v>
          </cell>
          <cell r="S14">
            <v>7.0749000051864096E-6</v>
          </cell>
          <cell r="T14">
            <v>6.6493854841455597E-6</v>
          </cell>
          <cell r="U14">
            <v>1.89599648389596E-7</v>
          </cell>
          <cell r="V14">
            <v>8.7213870526461499E-7</v>
          </cell>
        </row>
        <row r="15">
          <cell r="B15">
            <v>1.07657519302187E-4</v>
          </cell>
          <cell r="C15">
            <v>5.8585800164570801E-5</v>
          </cell>
          <cell r="D15">
            <v>4.9656906127345398E-5</v>
          </cell>
          <cell r="E15">
            <v>5.6594203690750201E-6</v>
          </cell>
          <cell r="F15">
            <v>4.34858867431015E-6</v>
          </cell>
          <cell r="G15">
            <v>2.9500354567151198E-6</v>
          </cell>
          <cell r="H15">
            <v>4.3238104465157202E-6</v>
          </cell>
          <cell r="I15">
            <v>3.0340668660825402E-6</v>
          </cell>
          <cell r="J15">
            <v>4.67258516452962E-6</v>
          </cell>
          <cell r="K15">
            <v>1.7232094584709599E-5</v>
          </cell>
          <cell r="L15">
            <v>2.4273660630615599E-6</v>
          </cell>
          <cell r="M15">
            <v>1.41749446190871E-5</v>
          </cell>
          <cell r="N15">
            <v>5.59192666834081E-6</v>
          </cell>
          <cell r="O15">
            <v>2.2172558711310999E-7</v>
          </cell>
          <cell r="P15">
            <v>1.1588758844039099E-5</v>
          </cell>
          <cell r="Q15">
            <v>7.6399962066904095E-7</v>
          </cell>
          <cell r="R15">
            <v>1.9560697756414E-6</v>
          </cell>
          <cell r="S15">
            <v>1.9560697756414E-6</v>
          </cell>
          <cell r="T15">
            <v>1.02981651211895E-5</v>
          </cell>
          <cell r="U15">
            <v>1.0202442963802199E-6</v>
          </cell>
          <cell r="V15">
            <v>4.6902846262415303E-6</v>
          </cell>
        </row>
        <row r="16">
          <cell r="B16">
            <v>8.9654649341802794E-3</v>
          </cell>
          <cell r="C16">
            <v>3.71038346291847E-7</v>
          </cell>
          <cell r="D16">
            <v>1.81683672834203E-3</v>
          </cell>
          <cell r="E16">
            <v>7.5242867691451605E-8</v>
          </cell>
          <cell r="F16">
            <v>8.3601813747779195E-8</v>
          </cell>
          <cell r="G16">
            <v>4.4885538010246002E-8</v>
          </cell>
          <cell r="H16">
            <v>5.4115545258125003E-8</v>
          </cell>
          <cell r="I16">
            <v>2.2320383265746601E-7</v>
          </cell>
          <cell r="J16">
            <v>2.6485428201044202E-7</v>
          </cell>
          <cell r="K16">
            <v>3.0915730962423102E-7</v>
          </cell>
          <cell r="L16">
            <v>1.0718678750979199E-7</v>
          </cell>
          <cell r="M16">
            <v>1.8501068362486399E-7</v>
          </cell>
          <cell r="N16">
            <v>2.0637923133594001E-7</v>
          </cell>
          <cell r="O16">
            <v>2.4577290246118101E-8</v>
          </cell>
          <cell r="P16">
            <v>4.6585109773163002E-7</v>
          </cell>
          <cell r="Q16">
            <v>1.78244045380164E-7</v>
          </cell>
          <cell r="R16">
            <v>1.71043557286977E-7</v>
          </cell>
          <cell r="S16">
            <v>1.7104355728697801E-7</v>
          </cell>
          <cell r="T16">
            <v>1.2128038684720101E-6</v>
          </cell>
          <cell r="U16">
            <v>4.8952177857585999E-8</v>
          </cell>
          <cell r="V16">
            <v>2.7977296955742199E-8</v>
          </cell>
        </row>
        <row r="17">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row>
        <row r="18">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row>
        <row r="19">
          <cell r="B19">
            <v>1.7549611960191201E-4</v>
          </cell>
          <cell r="C19">
            <v>1.4250602959395701E-3</v>
          </cell>
          <cell r="D19">
            <v>6.7032224155254402E-4</v>
          </cell>
          <cell r="E19">
            <v>4.2813913786746502E-4</v>
          </cell>
          <cell r="F19">
            <v>4.4223446280562499E-4</v>
          </cell>
          <cell r="G19">
            <v>6.7085912738136402E-4</v>
          </cell>
          <cell r="H19">
            <v>6.9130115227240504E-4</v>
          </cell>
          <cell r="I19">
            <v>3.9651344089566202E-4</v>
          </cell>
          <cell r="J19">
            <v>5.0507675663744099E-4</v>
          </cell>
          <cell r="K19">
            <v>6.1548312352514704E-4</v>
          </cell>
          <cell r="L19">
            <v>9.5120772548679499E-5</v>
          </cell>
          <cell r="M19">
            <v>1.4704930705303299E-4</v>
          </cell>
          <cell r="N19">
            <v>2.0290411604863601E-4</v>
          </cell>
          <cell r="O19">
            <v>1.2697500778590599E-6</v>
          </cell>
          <cell r="P19">
            <v>7.3312490790736098E-4</v>
          </cell>
          <cell r="Q19">
            <v>4.8827758569412301E-2</v>
          </cell>
          <cell r="R19">
            <v>1.12252453274693E-4</v>
          </cell>
          <cell r="S19">
            <v>1.12252453274693E-4</v>
          </cell>
          <cell r="T19">
            <v>1.00161804171293E-6</v>
          </cell>
          <cell r="U19">
            <v>7.2637337954216603E-7</v>
          </cell>
          <cell r="V19">
            <v>1.45073822464957E-5</v>
          </cell>
        </row>
        <row r="20">
          <cell r="B20">
            <v>7.1600679228081903E-6</v>
          </cell>
          <cell r="C20">
            <v>7.5975921821049198E-5</v>
          </cell>
          <cell r="D20">
            <v>3.4627153017206103E-5</v>
          </cell>
          <cell r="E20">
            <v>6.0452200706155197E-6</v>
          </cell>
          <cell r="F20">
            <v>6.6625534867270503E-6</v>
          </cell>
          <cell r="G20">
            <v>1.7166881729968899E-6</v>
          </cell>
          <cell r="H20">
            <v>2.69388690246048E-6</v>
          </cell>
          <cell r="I20">
            <v>4.8903273210541702E-6</v>
          </cell>
          <cell r="J20">
            <v>9.4746081205695794E-6</v>
          </cell>
          <cell r="K20">
            <v>1.9972045732100901E-5</v>
          </cell>
          <cell r="L20">
            <v>3.85771627470666E-6</v>
          </cell>
          <cell r="M20">
            <v>3.8128463710641402E-6</v>
          </cell>
          <cell r="N20">
            <v>3.9714738943353602E-6</v>
          </cell>
          <cell r="O20">
            <v>2.24226677237464E-8</v>
          </cell>
          <cell r="P20">
            <v>1.5027876289866099E-5</v>
          </cell>
          <cell r="Q20">
            <v>1.06320272710343E-5</v>
          </cell>
          <cell r="R20">
            <v>2.8366259606008799E-6</v>
          </cell>
          <cell r="S20">
            <v>2.8366259606008799E-6</v>
          </cell>
          <cell r="T20">
            <v>1.9754376532101099E-7</v>
          </cell>
          <cell r="U20">
            <v>9.6151655691459309E-7</v>
          </cell>
          <cell r="V20">
            <v>1.5034340374470801E-6</v>
          </cell>
        </row>
        <row r="21">
          <cell r="B21">
            <v>1.89845054350701E-2</v>
          </cell>
          <cell r="C21">
            <v>3.6500668637103502E-3</v>
          </cell>
          <cell r="D21">
            <v>1.5464210803373899E-2</v>
          </cell>
          <cell r="E21">
            <v>9.28829150639718E-3</v>
          </cell>
          <cell r="F21">
            <v>7.8601087448428395E-3</v>
          </cell>
          <cell r="G21">
            <v>0.14362150773701499</v>
          </cell>
          <cell r="H21">
            <v>2.32954737541964E-2</v>
          </cell>
          <cell r="I21">
            <v>5.2455349802427501E-4</v>
          </cell>
          <cell r="J21">
            <v>0.29194198068030602</v>
          </cell>
          <cell r="K21">
            <v>5.8680678078267701E-3</v>
          </cell>
          <cell r="L21">
            <v>1.25989973558254E-4</v>
          </cell>
          <cell r="M21">
            <v>1.65596604292033E-4</v>
          </cell>
          <cell r="N21">
            <v>1.9319724742737599E-4</v>
          </cell>
          <cell r="O21">
            <v>8.6425054310028602E-5</v>
          </cell>
          <cell r="P21">
            <v>3.2388546617861699E-3</v>
          </cell>
          <cell r="Q21">
            <v>3.1673056224531301E-4</v>
          </cell>
          <cell r="R21">
            <v>1.1182378651294299E-4</v>
          </cell>
          <cell r="S21">
            <v>1.1182378651294299E-4</v>
          </cell>
          <cell r="T21">
            <v>3.55016962824601E-6</v>
          </cell>
          <cell r="U21">
            <v>6.9320112861441103E-6</v>
          </cell>
          <cell r="V21">
            <v>1.32293776707256E-5</v>
          </cell>
        </row>
        <row r="22">
          <cell r="B22">
            <v>4.37093967398956E-5</v>
          </cell>
          <cell r="C22">
            <v>1.9715214114265499E-5</v>
          </cell>
          <cell r="D22">
            <v>3.4479180013033301E-5</v>
          </cell>
          <cell r="E22">
            <v>3.88904385596317E-5</v>
          </cell>
          <cell r="F22">
            <v>3.5689665029099298E-5</v>
          </cell>
          <cell r="G22">
            <v>1.9161459907773901E-5</v>
          </cell>
          <cell r="H22">
            <v>1.66710746731291E-5</v>
          </cell>
          <cell r="I22">
            <v>2.3390310783438801E-5</v>
          </cell>
          <cell r="J22">
            <v>4.1349560849230603E-5</v>
          </cell>
          <cell r="K22">
            <v>5.3760654252330501E-5</v>
          </cell>
          <cell r="L22">
            <v>2.4892221796272702E-5</v>
          </cell>
          <cell r="M22">
            <v>1.1117066608954801E-5</v>
          </cell>
          <cell r="N22">
            <v>9.0403126082155297E-6</v>
          </cell>
          <cell r="O22">
            <v>1.4618620674975899E-5</v>
          </cell>
          <cell r="P22">
            <v>3.8759686665575602E-5</v>
          </cell>
          <cell r="Q22">
            <v>3.63307388147685E-4</v>
          </cell>
          <cell r="R22">
            <v>1.07917541842892E-5</v>
          </cell>
          <cell r="S22">
            <v>1.07917541842892E-5</v>
          </cell>
          <cell r="T22">
            <v>1.07147097561042E-4</v>
          </cell>
          <cell r="U22">
            <v>4.0542645059232103E-5</v>
          </cell>
          <cell r="V22">
            <v>5.1891912757954697E-5</v>
          </cell>
        </row>
        <row r="23">
          <cell r="B23">
            <v>1.23299211956506E-4</v>
          </cell>
          <cell r="C23">
            <v>5.4895872104014698E-5</v>
          </cell>
          <cell r="D23">
            <v>5.7937683640318899E-5</v>
          </cell>
          <cell r="E23">
            <v>5.2649147008735097E-5</v>
          </cell>
          <cell r="F23">
            <v>4.9804804504434797E-5</v>
          </cell>
          <cell r="G23">
            <v>2.0532099398601499E-4</v>
          </cell>
          <cell r="H23">
            <v>3.5250759183475501E-5</v>
          </cell>
          <cell r="I23">
            <v>5.65782206551005E-5</v>
          </cell>
          <cell r="J23">
            <v>1.0545997880040001E-4</v>
          </cell>
          <cell r="K23">
            <v>1.7219299274710999E-4</v>
          </cell>
          <cell r="L23">
            <v>3.9761454309178203E-5</v>
          </cell>
          <cell r="M23">
            <v>3.5398760556679297E-5</v>
          </cell>
          <cell r="N23">
            <v>3.5978476572175E-5</v>
          </cell>
          <cell r="O23">
            <v>7.0125071885459699E-5</v>
          </cell>
          <cell r="P23">
            <v>1.3738394857886E-4</v>
          </cell>
          <cell r="Q23">
            <v>2.1398877427752801E-3</v>
          </cell>
          <cell r="R23">
            <v>3.0732919006324203E-5</v>
          </cell>
          <cell r="S23">
            <v>3.0732919006324203E-5</v>
          </cell>
          <cell r="T23">
            <v>2.1746832607788999E-4</v>
          </cell>
          <cell r="U23">
            <v>7.7638325067733505E-5</v>
          </cell>
          <cell r="V23">
            <v>4.1175999723422601E-5</v>
          </cell>
        </row>
        <row r="24">
          <cell r="B24">
            <v>5.2362642652402097E-6</v>
          </cell>
          <cell r="C24">
            <v>1.2213668326568499E-6</v>
          </cell>
          <cell r="D24">
            <v>5.8375204116164799E-7</v>
          </cell>
          <cell r="E24">
            <v>3.27917057013687E-7</v>
          </cell>
          <cell r="F24">
            <v>4.3347905772532899E-7</v>
          </cell>
          <cell r="G24">
            <v>1.60314168903746E-7</v>
          </cell>
          <cell r="H24">
            <v>2.1244611155283699E-7</v>
          </cell>
          <cell r="I24">
            <v>2.7362521902359301E-7</v>
          </cell>
          <cell r="J24">
            <v>1.16240307273316E-6</v>
          </cell>
          <cell r="K24">
            <v>1.18203024059604E-6</v>
          </cell>
          <cell r="L24">
            <v>4.9844305641103203E-7</v>
          </cell>
          <cell r="M24">
            <v>7.6550058821843702E-7</v>
          </cell>
          <cell r="N24">
            <v>1.1910926338215999E-6</v>
          </cell>
          <cell r="O24">
            <v>4.67201823025258E-8</v>
          </cell>
          <cell r="P24">
            <v>2.1585067224318701E-6</v>
          </cell>
          <cell r="Q24">
            <v>4.7587164082679898E-7</v>
          </cell>
          <cell r="R24">
            <v>6.5533633547143798E-7</v>
          </cell>
          <cell r="S24">
            <v>6.5533633547144105E-7</v>
          </cell>
          <cell r="T24">
            <v>1.00691333690043E-7</v>
          </cell>
          <cell r="U24">
            <v>1.0095853595881E-7</v>
          </cell>
          <cell r="V24">
            <v>1.6093042923231299E-7</v>
          </cell>
        </row>
        <row r="25">
          <cell r="B25">
            <v>4.0134028601514697E-5</v>
          </cell>
          <cell r="C25">
            <v>4.4743317631299698E-4</v>
          </cell>
          <cell r="D25">
            <v>5.0096477416577999E-4</v>
          </cell>
          <cell r="E25">
            <v>1.5542377010820699E-4</v>
          </cell>
          <cell r="F25">
            <v>9.7343174444135806E-5</v>
          </cell>
          <cell r="G25">
            <v>1.1474294107694601E-4</v>
          </cell>
          <cell r="H25">
            <v>2.1774112390585099E-4</v>
          </cell>
          <cell r="I25">
            <v>1.5232161484567301E-4</v>
          </cell>
          <cell r="J25">
            <v>1.6002869877843799E-4</v>
          </cell>
          <cell r="K25">
            <v>2.5186506284692898E-4</v>
          </cell>
          <cell r="L25">
            <v>1.14219387489516E-4</v>
          </cell>
          <cell r="M25">
            <v>8.3745667609641403E-5</v>
          </cell>
          <cell r="N25">
            <v>8.9234600161322406E-5</v>
          </cell>
          <cell r="O25">
            <v>4.2884317864775998E-7</v>
          </cell>
          <cell r="P25">
            <v>1.75791744095147E-4</v>
          </cell>
          <cell r="Q25">
            <v>1.12169283837012E-6</v>
          </cell>
          <cell r="R25">
            <v>4.5565258932628202E-5</v>
          </cell>
          <cell r="S25">
            <v>4.5565258932628202E-5</v>
          </cell>
          <cell r="T25">
            <v>2.5338256662939301E-6</v>
          </cell>
          <cell r="U25">
            <v>8.5972434349110105E-8</v>
          </cell>
          <cell r="V25">
            <v>8.14505876605582E-7</v>
          </cell>
        </row>
        <row r="26">
          <cell r="B26">
            <v>3.7692057145822001E-6</v>
          </cell>
          <cell r="C26">
            <v>1.3216069819405901E-6</v>
          </cell>
          <cell r="D26">
            <v>1.1613598891655601E-6</v>
          </cell>
          <cell r="E26">
            <v>3.7848046652276698E-6</v>
          </cell>
          <cell r="F26">
            <v>3.5134631998571202E-6</v>
          </cell>
          <cell r="G26">
            <v>3.6259517943428798E-2</v>
          </cell>
          <cell r="H26">
            <v>3.9280943539919702E-5</v>
          </cell>
          <cell r="I26">
            <v>1.6041660002017001E-6</v>
          </cell>
          <cell r="J26">
            <v>8.6487324284757695E-7</v>
          </cell>
          <cell r="K26">
            <v>1.71104287717088E-6</v>
          </cell>
          <cell r="L26">
            <v>2.6009928414700601E-7</v>
          </cell>
          <cell r="M26">
            <v>3.8241554477217301E-7</v>
          </cell>
          <cell r="N26">
            <v>6.2052445643076498E-7</v>
          </cell>
          <cell r="O26">
            <v>4.8780531428149099E-7</v>
          </cell>
          <cell r="P26">
            <v>1.7846903984326301E-6</v>
          </cell>
          <cell r="Q26">
            <v>3.7217126365995501E-4</v>
          </cell>
          <cell r="R26">
            <v>2.6725053503300898E-7</v>
          </cell>
          <cell r="S26">
            <v>2.6725053503300898E-7</v>
          </cell>
          <cell r="T26">
            <v>2.71911194589889E-6</v>
          </cell>
          <cell r="U26">
            <v>5.3153332391133603E-8</v>
          </cell>
          <cell r="V26">
            <v>1.0707152638512001E-6</v>
          </cell>
        </row>
        <row r="27">
          <cell r="B27">
            <v>2.8196528439808901E-3</v>
          </cell>
          <cell r="C27">
            <v>4.1927615297094297E-3</v>
          </cell>
          <cell r="D27">
            <v>1.22735178037086E-3</v>
          </cell>
          <cell r="E27">
            <v>1.01605961309375E-3</v>
          </cell>
          <cell r="F27">
            <v>8.7712617532300903E-4</v>
          </cell>
          <cell r="G27">
            <v>2.3574331783123001E-2</v>
          </cell>
          <cell r="H27">
            <v>1.5942947992159999E-2</v>
          </cell>
          <cell r="I27">
            <v>1.5049664309949801E-3</v>
          </cell>
          <cell r="J27">
            <v>4.6568632111485399E-4</v>
          </cell>
          <cell r="K27">
            <v>2.1537630356342299E-3</v>
          </cell>
          <cell r="L27">
            <v>2.74574544439246E-4</v>
          </cell>
          <cell r="M27">
            <v>1.7574731328117901E-3</v>
          </cell>
          <cell r="N27">
            <v>5.0039683589188995E-4</v>
          </cell>
          <cell r="O27">
            <v>6.9029404911065702E-5</v>
          </cell>
          <cell r="P27">
            <v>1.0489511690257301E-3</v>
          </cell>
          <cell r="Q27">
            <v>1.1565365646315501E-4</v>
          </cell>
          <cell r="R27">
            <v>2.0960724725442399E-4</v>
          </cell>
          <cell r="S27">
            <v>2.0960724725442399E-4</v>
          </cell>
          <cell r="T27">
            <v>4.6435979842765002E-4</v>
          </cell>
          <cell r="U27">
            <v>7.3477634767652396E-5</v>
          </cell>
          <cell r="V27">
            <v>2.9611193060801299E-3</v>
          </cell>
        </row>
        <row r="28">
          <cell r="B28">
            <v>2.1596097588619499E-5</v>
          </cell>
          <cell r="C28">
            <v>2.40027303160956E-4</v>
          </cell>
          <cell r="D28">
            <v>9.6294733803209504E-5</v>
          </cell>
          <cell r="E28">
            <v>1.00870113392055E-4</v>
          </cell>
          <cell r="F28">
            <v>1.21363559672192E-4</v>
          </cell>
          <cell r="G28">
            <v>3.6136538497839898E-3</v>
          </cell>
          <cell r="H28">
            <v>3.6730918128268001E-3</v>
          </cell>
          <cell r="I28">
            <v>5.3326345474494502E-5</v>
          </cell>
          <cell r="J28">
            <v>1.6627866795222701E-5</v>
          </cell>
          <cell r="K28">
            <v>7.3922308623119304E-5</v>
          </cell>
          <cell r="L28">
            <v>1.15640286646895E-5</v>
          </cell>
          <cell r="M28">
            <v>6.33717624668385E-5</v>
          </cell>
          <cell r="N28">
            <v>9.7621357122860397E-5</v>
          </cell>
          <cell r="O28">
            <v>4.2383442771946398E-6</v>
          </cell>
          <cell r="P28">
            <v>2.3733213484927501E-5</v>
          </cell>
          <cell r="Q28">
            <v>5.0565466224840003E-6</v>
          </cell>
          <cell r="R28">
            <v>4.2800455632920297E-6</v>
          </cell>
          <cell r="S28">
            <v>4.2800455632920501E-6</v>
          </cell>
          <cell r="T28">
            <v>3.6387479216900898E-5</v>
          </cell>
          <cell r="U28">
            <v>7.1548645717624798E-6</v>
          </cell>
          <cell r="V28">
            <v>4.5093446745452898E-7</v>
          </cell>
        </row>
        <row r="29">
          <cell r="B29">
            <v>2.5426933172991801E-6</v>
          </cell>
          <cell r="C29">
            <v>4.8239182424342797E-7</v>
          </cell>
          <cell r="D29">
            <v>8.9225946156324803E-7</v>
          </cell>
          <cell r="E29">
            <v>5.9954304026264903E-6</v>
          </cell>
          <cell r="F29">
            <v>5.6325159227175604E-6</v>
          </cell>
          <cell r="G29">
            <v>3.8825347295320898E-6</v>
          </cell>
          <cell r="H29">
            <v>1.7231548397229101E-6</v>
          </cell>
          <cell r="I29">
            <v>4.3186031390151298E-6</v>
          </cell>
          <cell r="J29">
            <v>1.05211222108481E-6</v>
          </cell>
          <cell r="K29">
            <v>1.85355595265987E-6</v>
          </cell>
          <cell r="L29">
            <v>3.71586232102512E-7</v>
          </cell>
          <cell r="M29">
            <v>3.0436622981304702E-7</v>
          </cell>
          <cell r="N29">
            <v>3.66910732948531E-7</v>
          </cell>
          <cell r="O29">
            <v>3.0021044782812902E-7</v>
          </cell>
          <cell r="P29">
            <v>1.5231435831521799E-6</v>
          </cell>
          <cell r="Q29">
            <v>6.0566992662685895E-7</v>
          </cell>
          <cell r="R29">
            <v>2.8754383216396199E-7</v>
          </cell>
          <cell r="S29">
            <v>2.8754383216396199E-7</v>
          </cell>
          <cell r="T29">
            <v>1.6665367535863099E-6</v>
          </cell>
          <cell r="U29">
            <v>1.8945697207439599E-7</v>
          </cell>
          <cell r="V29">
            <v>9.4602635973339406E-8</v>
          </cell>
        </row>
        <row r="30">
          <cell r="B30">
            <v>5.2427569028656504E-4</v>
          </cell>
          <cell r="C30">
            <v>2.8630270859252E-4</v>
          </cell>
          <cell r="D30">
            <v>1.07888591946831E-4</v>
          </cell>
          <cell r="E30">
            <v>6.6108658524873204E-4</v>
          </cell>
          <cell r="F30">
            <v>6.24846178165957E-4</v>
          </cell>
          <cell r="G30">
            <v>6.7444747463274298E-3</v>
          </cell>
          <cell r="H30">
            <v>7.0342769915321002E-3</v>
          </cell>
          <cell r="I30">
            <v>9.3037823267944704E-4</v>
          </cell>
          <cell r="J30">
            <v>1.7184175310904E-4</v>
          </cell>
          <cell r="K30">
            <v>3.6808335208619099E-4</v>
          </cell>
          <cell r="L30">
            <v>6.5132852541496504E-5</v>
          </cell>
          <cell r="M30">
            <v>1.21791183863813E-4</v>
          </cell>
          <cell r="N30">
            <v>1.4755088167342899E-4</v>
          </cell>
          <cell r="O30">
            <v>2.2667259183317202E-5</v>
          </cell>
          <cell r="P30">
            <v>3.0668701482005001E-4</v>
          </cell>
          <cell r="Q30">
            <v>3.1671119109134403E-5</v>
          </cell>
          <cell r="R30">
            <v>8.4442282292561304E-5</v>
          </cell>
          <cell r="S30">
            <v>8.4442282292561399E-5</v>
          </cell>
          <cell r="T30">
            <v>2.21952462770045E-4</v>
          </cell>
          <cell r="U30">
            <v>1.09077130003885E-5</v>
          </cell>
          <cell r="V30">
            <v>3.12106352737079E-4</v>
          </cell>
        </row>
        <row r="31">
          <cell r="B31">
            <v>1.3561961498246899E-4</v>
          </cell>
          <cell r="C31">
            <v>1.9290262230909499E-4</v>
          </cell>
          <cell r="D31">
            <v>4.1313424733213399E-5</v>
          </cell>
          <cell r="E31">
            <v>4.7181987372213898E-5</v>
          </cell>
          <cell r="F31">
            <v>4.3953328550958999E-5</v>
          </cell>
          <cell r="G31">
            <v>6.4072934243100395E-4</v>
          </cell>
          <cell r="H31">
            <v>5.7671480153063102E-4</v>
          </cell>
          <cell r="I31">
            <v>5.2520850081344E-5</v>
          </cell>
          <cell r="J31">
            <v>7.4244990703828801E-6</v>
          </cell>
          <cell r="K31">
            <v>7.0311780988442996E-5</v>
          </cell>
          <cell r="L31">
            <v>5.8891177497475498E-6</v>
          </cell>
          <cell r="M31">
            <v>5.4192345893193603E-5</v>
          </cell>
          <cell r="N31">
            <v>1.8686868312892E-5</v>
          </cell>
          <cell r="O31">
            <v>8.3954645436840004E-6</v>
          </cell>
          <cell r="P31">
            <v>4.4486311114153903E-5</v>
          </cell>
          <cell r="Q31">
            <v>3.54957230690824E-6</v>
          </cell>
          <cell r="R31">
            <v>1.9107370317976301E-6</v>
          </cell>
          <cell r="S31">
            <v>1.9107370317976301E-6</v>
          </cell>
          <cell r="T31">
            <v>6.6281514690317699E-4</v>
          </cell>
          <cell r="U31">
            <v>1.8613584103502199E-6</v>
          </cell>
          <cell r="V31">
            <v>8.1052858422628996E-5</v>
          </cell>
        </row>
        <row r="32">
          <cell r="B32">
            <v>1.60132226993228E-5</v>
          </cell>
          <cell r="C32">
            <v>1.5966992588181501E-5</v>
          </cell>
          <cell r="D32">
            <v>6.7588696847659401E-6</v>
          </cell>
          <cell r="E32">
            <v>2.7445612840193302E-5</v>
          </cell>
          <cell r="F32">
            <v>2.6970741298199699E-5</v>
          </cell>
          <cell r="G32">
            <v>2.0943543525430799E-3</v>
          </cell>
          <cell r="H32">
            <v>1.46457519736504E-3</v>
          </cell>
          <cell r="I32">
            <v>2.0129316787357099E-5</v>
          </cell>
          <cell r="J32">
            <v>5.2963786326722903E-6</v>
          </cell>
          <cell r="K32">
            <v>1.15487004423204E-5</v>
          </cell>
          <cell r="L32">
            <v>2.3283273633339301E-6</v>
          </cell>
          <cell r="M32">
            <v>5.11549469902427E-6</v>
          </cell>
          <cell r="N32">
            <v>8.5781722776040798E-6</v>
          </cell>
          <cell r="O32">
            <v>2.15170799772743E-6</v>
          </cell>
          <cell r="P32">
            <v>9.9910169231071397E-6</v>
          </cell>
          <cell r="Q32">
            <v>2.6234949962634199E-3</v>
          </cell>
          <cell r="R32">
            <v>1.5432766328910899E-6</v>
          </cell>
          <cell r="S32">
            <v>1.5432766328910899E-6</v>
          </cell>
          <cell r="T32">
            <v>6.7011978622276303E-6</v>
          </cell>
          <cell r="U32">
            <v>1.07704737870192E-6</v>
          </cell>
          <cell r="V32">
            <v>2.0405883952220799E-5</v>
          </cell>
        </row>
        <row r="33">
          <cell r="B33">
            <v>8.2281510767581397E-4</v>
          </cell>
          <cell r="C33">
            <v>6.2705115159581804E-4</v>
          </cell>
          <cell r="D33">
            <v>3.3624147129786598E-3</v>
          </cell>
          <cell r="E33">
            <v>2.2176248757376602E-2</v>
          </cell>
          <cell r="F33">
            <v>2.1188770794543101E-2</v>
          </cell>
          <cell r="G33">
            <v>1.6402065656385501E-3</v>
          </cell>
          <cell r="H33">
            <v>1.7581214910091601E-3</v>
          </cell>
          <cell r="I33">
            <v>1.9785214949937901E-4</v>
          </cell>
          <cell r="J33">
            <v>1.2189917940024901E-3</v>
          </cell>
          <cell r="K33">
            <v>1.9657155623624498E-3</v>
          </cell>
          <cell r="L33">
            <v>3.1538588676767302E-4</v>
          </cell>
          <cell r="M33">
            <v>4.1172497033233898E-4</v>
          </cell>
          <cell r="N33">
            <v>4.2461697830672101E-4</v>
          </cell>
          <cell r="O33">
            <v>1.13830492979031E-3</v>
          </cell>
          <cell r="P33">
            <v>1.80440708561987E-3</v>
          </cell>
          <cell r="Q33">
            <v>5.5516886945424296E-4</v>
          </cell>
          <cell r="R33">
            <v>2.7430925676028001E-4</v>
          </cell>
          <cell r="S33">
            <v>2.7430925676028098E-4</v>
          </cell>
          <cell r="T33">
            <v>1.0828598792083899E-3</v>
          </cell>
          <cell r="U33">
            <v>5.7006941005823701E-5</v>
          </cell>
          <cell r="V33">
            <v>4.0810409469084101E-4</v>
          </cell>
        </row>
        <row r="34">
          <cell r="B34">
            <v>1.6858694531621499E-3</v>
          </cell>
          <cell r="C34">
            <v>1.6014469324412499E-3</v>
          </cell>
          <cell r="D34">
            <v>1.10386798288958E-3</v>
          </cell>
          <cell r="E34">
            <v>6.4188829194859104E-2</v>
          </cell>
          <cell r="F34">
            <v>6.1428413510679902E-2</v>
          </cell>
          <cell r="G34">
            <v>4.1076245809831798E-3</v>
          </cell>
          <cell r="H34">
            <v>3.2200671927913602E-3</v>
          </cell>
          <cell r="I34">
            <v>2.5384749258750499E-4</v>
          </cell>
          <cell r="J34">
            <v>1.62115797321454E-3</v>
          </cell>
          <cell r="K34">
            <v>3.0601200657460899E-3</v>
          </cell>
          <cell r="L34">
            <v>5.0307721206164396E-4</v>
          </cell>
          <cell r="M34">
            <v>7.2987987536962098E-4</v>
          </cell>
          <cell r="N34">
            <v>6.2742698975131004E-4</v>
          </cell>
          <cell r="O34">
            <v>7.7944429716747998E-4</v>
          </cell>
          <cell r="P34">
            <v>2.0880351639240898E-3</v>
          </cell>
          <cell r="Q34">
            <v>2.9710660847477702E-4</v>
          </cell>
          <cell r="R34">
            <v>3.2969757225450902E-4</v>
          </cell>
          <cell r="S34">
            <v>3.2969757225450799E-4</v>
          </cell>
          <cell r="T34">
            <v>7.3590574668390706E-5</v>
          </cell>
          <cell r="U34">
            <v>1.4055352348933E-4</v>
          </cell>
          <cell r="V34">
            <v>3.6390477454428902E-4</v>
          </cell>
        </row>
        <row r="35">
          <cell r="B35">
            <v>2.3914124155645398E-5</v>
          </cell>
          <cell r="C35">
            <v>1.2628041236443699E-4</v>
          </cell>
          <cell r="D35">
            <v>1.11389283935398E-3</v>
          </cell>
          <cell r="E35">
            <v>3.4357479288574098E-4</v>
          </cell>
          <cell r="F35">
            <v>3.0624416735736999E-4</v>
          </cell>
          <cell r="G35">
            <v>9.1363976234760198E-5</v>
          </cell>
          <cell r="H35">
            <v>7.4420923880102002E-5</v>
          </cell>
          <cell r="I35">
            <v>1.2462557888889899E-5</v>
          </cell>
          <cell r="J35">
            <v>5.15522467795291E-5</v>
          </cell>
          <cell r="K35">
            <v>2.4831889486767798E-4</v>
          </cell>
          <cell r="L35">
            <v>1.14256901649986E-5</v>
          </cell>
          <cell r="M35">
            <v>1.5270325361265902E-5</v>
          </cell>
          <cell r="N35">
            <v>1.7266062016557099E-5</v>
          </cell>
          <cell r="O35">
            <v>1.02802650732401E-4</v>
          </cell>
          <cell r="P35">
            <v>1.5789079071686801E-4</v>
          </cell>
          <cell r="Q35">
            <v>7.6707671621549604E-5</v>
          </cell>
          <cell r="R35">
            <v>9.4574932816532506E-6</v>
          </cell>
          <cell r="S35">
            <v>9.4574932816532692E-6</v>
          </cell>
          <cell r="T35">
            <v>1.04793879378905E-5</v>
          </cell>
          <cell r="U35">
            <v>9.2638879535854592E-6</v>
          </cell>
          <cell r="V35">
            <v>3.1957414290853102E-6</v>
          </cell>
        </row>
        <row r="36">
          <cell r="B36">
            <v>5.08534392158695E-4</v>
          </cell>
          <cell r="C36">
            <v>7.9959097130697504E-4</v>
          </cell>
          <cell r="D36">
            <v>2.9042981904939599E-4</v>
          </cell>
          <cell r="E36">
            <v>6.9166382577343999E-5</v>
          </cell>
          <cell r="F36">
            <v>8.9835562654913895E-5</v>
          </cell>
          <cell r="G36">
            <v>4.7616318346772798E-5</v>
          </cell>
          <cell r="H36">
            <v>7.9690036814502894E-5</v>
          </cell>
          <cell r="I36">
            <v>7.8949740274024296E-5</v>
          </cell>
          <cell r="J36">
            <v>6.6080229003064996E-5</v>
          </cell>
          <cell r="K36">
            <v>2.5801610015121102E-4</v>
          </cell>
          <cell r="L36">
            <v>3.5254039437526797E-5</v>
          </cell>
          <cell r="M36">
            <v>1.8132612865642901E-4</v>
          </cell>
          <cell r="N36">
            <v>9.2129566227845696E-5</v>
          </cell>
          <cell r="O36">
            <v>6.6372237260418702E-6</v>
          </cell>
          <cell r="P36">
            <v>2.4718275648784701E-4</v>
          </cell>
          <cell r="Q36">
            <v>7.09428004509033E-5</v>
          </cell>
          <cell r="R36">
            <v>2.6620843731734401E-5</v>
          </cell>
          <cell r="S36">
            <v>2.6620843731734401E-5</v>
          </cell>
          <cell r="T36">
            <v>4.72034873240872E-5</v>
          </cell>
          <cell r="U36">
            <v>9.6991227695475796E-6</v>
          </cell>
          <cell r="V36">
            <v>6.2197760602174105E-4</v>
          </cell>
        </row>
        <row r="37">
          <cell r="B37">
            <v>1.0890404676379901E-3</v>
          </cell>
          <cell r="C37">
            <v>2.6765512889738601E-3</v>
          </cell>
          <cell r="D37">
            <v>6.99452959996311E-4</v>
          </cell>
          <cell r="E37">
            <v>3.2157478218731398E-4</v>
          </cell>
          <cell r="F37">
            <v>5.0176333488626305E-4</v>
          </cell>
          <cell r="G37">
            <v>2.4034740308726801E-4</v>
          </cell>
          <cell r="H37">
            <v>3.97525087486422E-4</v>
          </cell>
          <cell r="I37">
            <v>3.0517123328212698E-4</v>
          </cell>
          <cell r="J37">
            <v>2.3018410114402301E-4</v>
          </cell>
          <cell r="K37">
            <v>7.6040799804422295E-4</v>
          </cell>
          <cell r="L37">
            <v>7.9063451608296601E-5</v>
          </cell>
          <cell r="M37">
            <v>4.3722537212892199E-4</v>
          </cell>
          <cell r="N37">
            <v>3.6522529730801301E-4</v>
          </cell>
          <cell r="O37">
            <v>2.9899100813160201E-5</v>
          </cell>
          <cell r="P37">
            <v>1.3632621342988701E-3</v>
          </cell>
          <cell r="Q37">
            <v>2.6841829413253E-5</v>
          </cell>
          <cell r="R37">
            <v>1.3309271554056801E-4</v>
          </cell>
          <cell r="S37">
            <v>1.3309271554056801E-4</v>
          </cell>
          <cell r="T37">
            <v>2.1142417778256901E-4</v>
          </cell>
          <cell r="U37">
            <v>6.4499909462131703E-6</v>
          </cell>
          <cell r="V37">
            <v>1.4489163343161499E-4</v>
          </cell>
        </row>
        <row r="38">
          <cell r="B38">
            <v>4.4897929942433202E-4</v>
          </cell>
          <cell r="C38">
            <v>4.2336191851296602E-4</v>
          </cell>
          <cell r="D38">
            <v>2.02183578993548E-4</v>
          </cell>
          <cell r="E38">
            <v>3.1692626215953903E-5</v>
          </cell>
          <cell r="F38">
            <v>2.2795440304493499E-5</v>
          </cell>
          <cell r="G38">
            <v>3.76943327412314E-5</v>
          </cell>
          <cell r="H38">
            <v>4.46832039584569E-5</v>
          </cell>
          <cell r="I38">
            <v>3.5790768720660702E-5</v>
          </cell>
          <cell r="J38">
            <v>3.6727187574824098E-5</v>
          </cell>
          <cell r="K38">
            <v>1.7451644867169099E-4</v>
          </cell>
          <cell r="L38">
            <v>1.54043643137606E-5</v>
          </cell>
          <cell r="M38">
            <v>1.20040039423257E-4</v>
          </cell>
          <cell r="N38">
            <v>2.2902680287970001E-5</v>
          </cell>
          <cell r="O38">
            <v>4.1234828645181098E-6</v>
          </cell>
          <cell r="P38">
            <v>5.8071222380606402E-5</v>
          </cell>
          <cell r="Q38">
            <v>1.6975760208845699E-5</v>
          </cell>
          <cell r="R38">
            <v>5.5324437050663703E-6</v>
          </cell>
          <cell r="S38">
            <v>5.5324437050663796E-6</v>
          </cell>
          <cell r="T38">
            <v>3.2503939594610297E-5</v>
          </cell>
          <cell r="U38">
            <v>8.8661626827225003E-6</v>
          </cell>
          <cell r="V38">
            <v>1.80686762497684E-4</v>
          </cell>
        </row>
        <row r="39">
          <cell r="B39">
            <v>4.70373126065955E-5</v>
          </cell>
          <cell r="C39">
            <v>1.02657340176088E-4</v>
          </cell>
          <cell r="D39">
            <v>9.51510827239466E-5</v>
          </cell>
          <cell r="E39">
            <v>1.1227597519042201E-5</v>
          </cell>
          <cell r="F39">
            <v>1.39399967884562E-5</v>
          </cell>
          <cell r="G39">
            <v>1.93281512225959E-5</v>
          </cell>
          <cell r="H39">
            <v>9.8027047196092099E-6</v>
          </cell>
          <cell r="I39">
            <v>1.9730672957058001E-5</v>
          </cell>
          <cell r="J39">
            <v>1.79352521212262E-5</v>
          </cell>
          <cell r="K39">
            <v>3.7693846861225297E-5</v>
          </cell>
          <cell r="L39">
            <v>8.5319930502933993E-6</v>
          </cell>
          <cell r="M39">
            <v>1.9243851426679501E-5</v>
          </cell>
          <cell r="N39">
            <v>5.9608516997033797E-6</v>
          </cell>
          <cell r="O39">
            <v>1.40587549953676E-6</v>
          </cell>
          <cell r="P39">
            <v>2.90409164639782E-5</v>
          </cell>
          <cell r="Q39">
            <v>3.4122546516434001E-6</v>
          </cell>
          <cell r="R39">
            <v>2.0081437339065201E-6</v>
          </cell>
          <cell r="S39">
            <v>2.0081437339065298E-6</v>
          </cell>
          <cell r="T39">
            <v>1.23511541698636E-5</v>
          </cell>
          <cell r="U39">
            <v>6.3962466752788702E-6</v>
          </cell>
          <cell r="V39">
            <v>5.2457164511223203E-5</v>
          </cell>
        </row>
        <row r="40">
          <cell r="B40">
            <v>2.7751497386964798E-4</v>
          </cell>
          <cell r="C40">
            <v>4.8848037080251598E-4</v>
          </cell>
          <cell r="D40">
            <v>1.5520945376436599E-4</v>
          </cell>
          <cell r="E40">
            <v>7.7237790407528605E-5</v>
          </cell>
          <cell r="F40">
            <v>1.2285847097019399E-4</v>
          </cell>
          <cell r="G40">
            <v>5.6446478323691197E-5</v>
          </cell>
          <cell r="H40">
            <v>8.8379073486974998E-5</v>
          </cell>
          <cell r="I40">
            <v>7.6049224855771606E-5</v>
          </cell>
          <cell r="J40">
            <v>6.8440871639733293E-5</v>
          </cell>
          <cell r="K40">
            <v>1.4652922641508501E-4</v>
          </cell>
          <cell r="L40">
            <v>2.1145171197583801E-5</v>
          </cell>
          <cell r="M40">
            <v>5.7340147095378998E-5</v>
          </cell>
          <cell r="N40">
            <v>8.9972418089612205E-5</v>
          </cell>
          <cell r="O40">
            <v>8.4129819216585297E-7</v>
          </cell>
          <cell r="P40">
            <v>3.4743575853558601E-4</v>
          </cell>
          <cell r="Q40">
            <v>1.8054538723256999E-6</v>
          </cell>
          <cell r="R40">
            <v>3.7189795315361798E-5</v>
          </cell>
          <cell r="S40">
            <v>3.71897953153619E-5</v>
          </cell>
          <cell r="T40">
            <v>9.0611237171247204E-6</v>
          </cell>
          <cell r="U40">
            <v>1.7941261123334099E-6</v>
          </cell>
          <cell r="V40">
            <v>3.7453143762885699E-5</v>
          </cell>
        </row>
        <row r="41">
          <cell r="B41">
            <v>3.1692935562888298E-4</v>
          </cell>
          <cell r="C41">
            <v>8.1549068616111598E-4</v>
          </cell>
          <cell r="D41">
            <v>3.1174778824754598E-4</v>
          </cell>
          <cell r="E41">
            <v>1.4121644197346401E-4</v>
          </cell>
          <cell r="F41">
            <v>1.91634005869707E-4</v>
          </cell>
          <cell r="G41">
            <v>8.5311345708781003E-5</v>
          </cell>
          <cell r="H41">
            <v>1.3062275479023701E-4</v>
          </cell>
          <cell r="I41">
            <v>1.2823655170626601E-4</v>
          </cell>
          <cell r="J41">
            <v>1.3893226498499901E-4</v>
          </cell>
          <cell r="K41">
            <v>2.6383059879564398E-4</v>
          </cell>
          <cell r="L41">
            <v>4.8987722006800101E-5</v>
          </cell>
          <cell r="M41">
            <v>1.0034361077220701E-4</v>
          </cell>
          <cell r="N41">
            <v>1.34046930234914E-4</v>
          </cell>
          <cell r="O41">
            <v>6.9661816290604702E-6</v>
          </cell>
          <cell r="P41">
            <v>4.5202881296952898E-4</v>
          </cell>
          <cell r="Q41">
            <v>2.70423030055878E-5</v>
          </cell>
          <cell r="R41">
            <v>7.4987050592248305E-5</v>
          </cell>
          <cell r="S41">
            <v>7.49870505922484E-5</v>
          </cell>
          <cell r="T41">
            <v>1.05957784442496E-4</v>
          </cell>
          <cell r="U41">
            <v>2.0366794157958898E-6</v>
          </cell>
          <cell r="V41">
            <v>2.1201621360302599E-5</v>
          </cell>
        </row>
        <row r="42">
          <cell r="B42">
            <v>2.50788993246955E-5</v>
          </cell>
          <cell r="C42">
            <v>1.6334375954098401E-6</v>
          </cell>
          <cell r="D42">
            <v>4.1687488279428897E-7</v>
          </cell>
          <cell r="E42">
            <v>5.1650524376581595E-7</v>
          </cell>
          <cell r="F42">
            <v>4.0878955327236399E-7</v>
          </cell>
          <cell r="G42">
            <v>8.7437349574312195E-7</v>
          </cell>
          <cell r="H42">
            <v>7.7091515802774301E-7</v>
          </cell>
          <cell r="I42">
            <v>1.53241572193619E-6</v>
          </cell>
          <cell r="J42">
            <v>8.6917305098168E-7</v>
          </cell>
          <cell r="K42">
            <v>4.5104610627546901E-6</v>
          </cell>
          <cell r="L42">
            <v>3.2363257336780501E-7</v>
          </cell>
          <cell r="M42">
            <v>4.8669753512952297E-7</v>
          </cell>
          <cell r="N42">
            <v>5.2968353743399605E-7</v>
          </cell>
          <cell r="O42">
            <v>1.62037678778242E-7</v>
          </cell>
          <cell r="P42">
            <v>7.5261851836934203E-6</v>
          </cell>
          <cell r="Q42">
            <v>3.72837031091361E-7</v>
          </cell>
          <cell r="R42">
            <v>1.9172663076015999E-7</v>
          </cell>
          <cell r="S42">
            <v>1.9172663076015999E-7</v>
          </cell>
          <cell r="T42">
            <v>4.3298511617304499E-6</v>
          </cell>
          <cell r="U42">
            <v>3.7581093396848601E-7</v>
          </cell>
          <cell r="V42">
            <v>3.5018550971023601E-6</v>
          </cell>
        </row>
        <row r="43">
          <cell r="B43">
            <v>4.3235524219791499E-5</v>
          </cell>
          <cell r="C43">
            <v>6.1802105681910396E-5</v>
          </cell>
          <cell r="D43">
            <v>2.2628106915426501E-5</v>
          </cell>
          <cell r="E43">
            <v>8.8324777328697697E-6</v>
          </cell>
          <cell r="F43">
            <v>1.11937355994483E-5</v>
          </cell>
          <cell r="G43">
            <v>1.0988654687501399E-5</v>
          </cell>
          <cell r="H43">
            <v>1.24509747716503E-5</v>
          </cell>
          <cell r="I43">
            <v>8.7466409082964107E-6</v>
          </cell>
          <cell r="J43">
            <v>8.5428240751972993E-6</v>
          </cell>
          <cell r="K43">
            <v>2.5006533804589701E-5</v>
          </cell>
          <cell r="L43">
            <v>3.31115380479307E-6</v>
          </cell>
          <cell r="M43">
            <v>1.1590891887562799E-5</v>
          </cell>
          <cell r="N43">
            <v>8.2143081086572006E-6</v>
          </cell>
          <cell r="O43">
            <v>8.63197207354356E-7</v>
          </cell>
          <cell r="P43">
            <v>3.50198373864013E-5</v>
          </cell>
          <cell r="Q43">
            <v>5.2326166208617902E-6</v>
          </cell>
          <cell r="R43">
            <v>3.1927490520525999E-6</v>
          </cell>
          <cell r="S43">
            <v>3.1927490520525902E-6</v>
          </cell>
          <cell r="T43">
            <v>4.9330537853015198E-6</v>
          </cell>
          <cell r="U43">
            <v>1.14151853502777E-6</v>
          </cell>
          <cell r="V43">
            <v>8.6703238164700997E-6</v>
          </cell>
        </row>
        <row r="44">
          <cell r="B44">
            <v>5.4931201256912601E-4</v>
          </cell>
          <cell r="C44">
            <v>6.8883279066313903E-4</v>
          </cell>
          <cell r="D44">
            <v>2.16133726746049E-4</v>
          </cell>
          <cell r="E44">
            <v>1.8575375675936999E-4</v>
          </cell>
          <cell r="F44">
            <v>2.18608532328113E-4</v>
          </cell>
          <cell r="G44">
            <v>8.3854560403720201E-5</v>
          </cell>
          <cell r="H44">
            <v>1.13617993927235E-4</v>
          </cell>
          <cell r="I44">
            <v>1.01331409118245E-4</v>
          </cell>
          <cell r="J44">
            <v>3.2488835516578302E-4</v>
          </cell>
          <cell r="K44">
            <v>3.7744577211497099E-4</v>
          </cell>
          <cell r="L44">
            <v>1.57976033023162E-4</v>
          </cell>
          <cell r="M44">
            <v>1.3958039912495199E-4</v>
          </cell>
          <cell r="N44">
            <v>1.6985209600038699E-4</v>
          </cell>
          <cell r="O44">
            <v>1.2302907880213199E-5</v>
          </cell>
          <cell r="P44">
            <v>6.1884500758940201E-4</v>
          </cell>
          <cell r="Q44">
            <v>6.3701674300512906E-5</v>
          </cell>
          <cell r="R44">
            <v>5.1545580031620901E-5</v>
          </cell>
          <cell r="S44">
            <v>5.1545580031620799E-5</v>
          </cell>
          <cell r="T44">
            <v>2.36204066609458E-4</v>
          </cell>
          <cell r="U44">
            <v>5.7077820250907299E-5</v>
          </cell>
          <cell r="V44">
            <v>3.22187466275605E-5</v>
          </cell>
        </row>
        <row r="45">
          <cell r="B45">
            <v>4.0549841286129199E-4</v>
          </cell>
          <cell r="C45">
            <v>5.6970768009780601E-4</v>
          </cell>
          <cell r="D45">
            <v>1.65984705481639E-4</v>
          </cell>
          <cell r="E45">
            <v>6.8138125223026803E-5</v>
          </cell>
          <cell r="F45">
            <v>8.8794775514604998E-5</v>
          </cell>
          <cell r="G45">
            <v>5.03635435534127E-5</v>
          </cell>
          <cell r="H45">
            <v>6.8591698039085499E-5</v>
          </cell>
          <cell r="I45">
            <v>5.5391507880371601E-5</v>
          </cell>
          <cell r="J45">
            <v>2.7942718823773302E-4</v>
          </cell>
          <cell r="K45">
            <v>3.1964073953143099E-4</v>
          </cell>
          <cell r="L45">
            <v>1.4987546916463799E-4</v>
          </cell>
          <cell r="M45">
            <v>1.18320608089078E-4</v>
          </cell>
          <cell r="N45">
            <v>1.3528157218702E-4</v>
          </cell>
          <cell r="O45">
            <v>3.1010203662618899E-6</v>
          </cell>
          <cell r="P45">
            <v>4.5302675977604301E-4</v>
          </cell>
          <cell r="Q45">
            <v>2.6195787292967699E-5</v>
          </cell>
          <cell r="R45">
            <v>3.3370221798256303E-5</v>
          </cell>
          <cell r="S45">
            <v>3.3370221798256201E-5</v>
          </cell>
          <cell r="T45">
            <v>9.2254820469869699E-5</v>
          </cell>
          <cell r="U45">
            <v>2.3973601904049601E-5</v>
          </cell>
          <cell r="V45">
            <v>2.1562214554855702E-5</v>
          </cell>
        </row>
        <row r="46">
          <cell r="B46">
            <v>3.8211669910012998E-5</v>
          </cell>
          <cell r="C46">
            <v>9.0413877773178297E-5</v>
          </cell>
          <cell r="D46">
            <v>3.6593708435870602E-5</v>
          </cell>
          <cell r="E46">
            <v>3.68150573694861E-5</v>
          </cell>
          <cell r="F46">
            <v>4.1050379613539003E-5</v>
          </cell>
          <cell r="G46">
            <v>1.25973336067444E-5</v>
          </cell>
          <cell r="H46">
            <v>1.89140173633174E-5</v>
          </cell>
          <cell r="I46">
            <v>2.0794697934767002E-5</v>
          </cell>
          <cell r="J46">
            <v>1.9462654210510002E-5</v>
          </cell>
          <cell r="K46">
            <v>3.7332593720281002E-5</v>
          </cell>
          <cell r="L46">
            <v>8.8552972778669407E-6</v>
          </cell>
          <cell r="M46">
            <v>1.3648783738016299E-5</v>
          </cell>
          <cell r="N46">
            <v>2.0199756119538899E-5</v>
          </cell>
          <cell r="O46">
            <v>8.6929195801266402E-7</v>
          </cell>
          <cell r="P46">
            <v>5.1126068845515001E-5</v>
          </cell>
          <cell r="Q46">
            <v>1.35877556598157E-5</v>
          </cell>
          <cell r="R46">
            <v>1.0364855568955E-5</v>
          </cell>
          <cell r="S46">
            <v>1.0364855568955E-5</v>
          </cell>
          <cell r="T46">
            <v>1.15501378916842E-4</v>
          </cell>
          <cell r="U46">
            <v>3.7200384558802801E-6</v>
          </cell>
          <cell r="V46">
            <v>4.25550595727578E-6</v>
          </cell>
        </row>
        <row r="47">
          <cell r="B47">
            <v>1.13344920768648E-4</v>
          </cell>
          <cell r="C47">
            <v>4.77910742401214E-6</v>
          </cell>
          <cell r="D47">
            <v>2.2042340832206098E-6</v>
          </cell>
          <cell r="E47">
            <v>5.0631100298226E-6</v>
          </cell>
          <cell r="F47">
            <v>4.0040111445980797E-6</v>
          </cell>
          <cell r="G47">
            <v>2.4097891650215398E-6</v>
          </cell>
          <cell r="H47">
            <v>1.9082168406456499E-6</v>
          </cell>
          <cell r="I47">
            <v>1.79808715442443E-6</v>
          </cell>
          <cell r="J47">
            <v>4.0958013506644099E-6</v>
          </cell>
          <cell r="K47">
            <v>1.3428775780685999E-5</v>
          </cell>
          <cell r="L47">
            <v>2.5833204463812001E-6</v>
          </cell>
          <cell r="M47">
            <v>1.4001113517628399E-6</v>
          </cell>
          <cell r="N47">
            <v>1.01189401874373E-6</v>
          </cell>
          <cell r="O47">
            <v>8.3797909319862598E-7</v>
          </cell>
          <cell r="P47">
            <v>2.9623258007171299E-5</v>
          </cell>
          <cell r="Q47">
            <v>1.1020913201086699E-6</v>
          </cell>
          <cell r="R47">
            <v>9.8653631831941001E-7</v>
          </cell>
          <cell r="S47">
            <v>9.8653631831941404E-7</v>
          </cell>
          <cell r="T47">
            <v>1.2936454349340599E-6</v>
          </cell>
          <cell r="U47">
            <v>1.4847069464920001E-6</v>
          </cell>
          <cell r="V47">
            <v>3.9198102138365202E-6</v>
          </cell>
        </row>
        <row r="48">
          <cell r="B48">
            <v>2.9201428210030698E-4</v>
          </cell>
          <cell r="C48">
            <v>5.6713575971489003E-4</v>
          </cell>
          <cell r="D48">
            <v>2.8362569155539401E-3</v>
          </cell>
          <cell r="E48">
            <v>1.8433744161579799E-4</v>
          </cell>
          <cell r="F48">
            <v>1.85776325150465E-4</v>
          </cell>
          <cell r="G48">
            <v>1.0786573041797601E-4</v>
          </cell>
          <cell r="H48">
            <v>1.3616449906715E-4</v>
          </cell>
          <cell r="I48">
            <v>1.0376635322431301E-2</v>
          </cell>
          <cell r="J48">
            <v>7.5386595053572402E-5</v>
          </cell>
          <cell r="K48">
            <v>1.6009560217675599E-4</v>
          </cell>
          <cell r="L48">
            <v>2.4948937339294001E-5</v>
          </cell>
          <cell r="M48">
            <v>4.3437775850279297E-5</v>
          </cell>
          <cell r="N48">
            <v>5.9937241418060997E-5</v>
          </cell>
          <cell r="O48">
            <v>1.8156337284715901E-5</v>
          </cell>
          <cell r="P48">
            <v>2.5064436787536798E-4</v>
          </cell>
          <cell r="Q48">
            <v>3.5868802762891103E-5</v>
          </cell>
          <cell r="R48">
            <v>3.2030499721002402E-5</v>
          </cell>
          <cell r="S48">
            <v>3.20304997210023E-5</v>
          </cell>
          <cell r="T48">
            <v>5.12791448645609E-5</v>
          </cell>
          <cell r="U48">
            <v>3.5391015542429998E-6</v>
          </cell>
          <cell r="V48">
            <v>5.3010809467246002E-5</v>
          </cell>
        </row>
        <row r="49">
          <cell r="B49">
            <v>3.9937159948294E-6</v>
          </cell>
          <cell r="C49">
            <v>3.74635817041086E-6</v>
          </cell>
          <cell r="D49">
            <v>1.87546934869326E-5</v>
          </cell>
          <cell r="E49">
            <v>3.8488087742265197E-6</v>
          </cell>
          <cell r="F49">
            <v>3.7644988565453001E-6</v>
          </cell>
          <cell r="G49">
            <v>5.4997797144517398E-6</v>
          </cell>
          <cell r="H49">
            <v>6.3418579603049303E-6</v>
          </cell>
          <cell r="I49">
            <v>7.7052965174381302E-5</v>
          </cell>
          <cell r="J49">
            <v>1.6104253864852199E-6</v>
          </cell>
          <cell r="K49">
            <v>2.7196791191272901E-6</v>
          </cell>
          <cell r="L49">
            <v>8.6580073394470405E-7</v>
          </cell>
          <cell r="M49">
            <v>1.0664788019114999E-6</v>
          </cell>
          <cell r="N49">
            <v>1.4929371201816201E-6</v>
          </cell>
          <cell r="O49">
            <v>3.6647292462081003E-7</v>
          </cell>
          <cell r="P49">
            <v>2.48266787941098E-6</v>
          </cell>
          <cell r="Q49">
            <v>8.0246882193531494E-6</v>
          </cell>
          <cell r="R49">
            <v>6.1016822465103305E-7</v>
          </cell>
          <cell r="S49">
            <v>6.1016822465103496E-7</v>
          </cell>
          <cell r="T49">
            <v>2.4480172394514001E-5</v>
          </cell>
          <cell r="U49">
            <v>7.21361392866545E-7</v>
          </cell>
          <cell r="V49">
            <v>6.01472999163291E-6</v>
          </cell>
        </row>
        <row r="50">
          <cell r="B50">
            <v>4.6404280930667401E-6</v>
          </cell>
          <cell r="C50">
            <v>2.0018004468520099E-6</v>
          </cell>
          <cell r="D50">
            <v>3.59962801255467E-6</v>
          </cell>
          <cell r="E50">
            <v>4.2862781362918497E-6</v>
          </cell>
          <cell r="F50">
            <v>4.0189952039578999E-6</v>
          </cell>
          <cell r="G50">
            <v>6.9958840076039602E-6</v>
          </cell>
          <cell r="H50">
            <v>7.5282174288838004E-6</v>
          </cell>
          <cell r="I50">
            <v>6.7204607742409595E-5</v>
          </cell>
          <cell r="J50">
            <v>1.7604852424847899E-6</v>
          </cell>
          <cell r="K50">
            <v>2.95970951753323E-6</v>
          </cell>
          <cell r="L50">
            <v>9.5815645015156594E-7</v>
          </cell>
          <cell r="M50">
            <v>7.14726786245756E-7</v>
          </cell>
          <cell r="N50">
            <v>6.2282904416479396E-7</v>
          </cell>
          <cell r="O50">
            <v>6.10649448776822E-7</v>
          </cell>
          <cell r="P50">
            <v>2.7664162520423698E-6</v>
          </cell>
          <cell r="Q50">
            <v>6.6973429401645503E-6</v>
          </cell>
          <cell r="R50">
            <v>4.91613032114312E-7</v>
          </cell>
          <cell r="S50">
            <v>4.9161303211431295E-7</v>
          </cell>
          <cell r="T50">
            <v>4.1638127709147501E-6</v>
          </cell>
          <cell r="U50">
            <v>3.61659053187557E-7</v>
          </cell>
          <cell r="V50">
            <v>8.9242126458808296E-6</v>
          </cell>
        </row>
        <row r="51">
          <cell r="B51">
            <v>2.71673886211382E-4</v>
          </cell>
          <cell r="C51">
            <v>2.3819806318764801E-3</v>
          </cell>
          <cell r="D51">
            <v>7.4207903223627602E-4</v>
          </cell>
          <cell r="E51">
            <v>1.2536370173504799E-3</v>
          </cell>
          <cell r="F51">
            <v>1.1594382829699899E-3</v>
          </cell>
          <cell r="G51">
            <v>2.7790431304786499E-2</v>
          </cell>
          <cell r="H51">
            <v>3.1783979298286198E-2</v>
          </cell>
          <cell r="I51">
            <v>1.3233677161854E-2</v>
          </cell>
          <cell r="J51">
            <v>4.4582490103133097E-4</v>
          </cell>
          <cell r="K51">
            <v>7.1196309553209398E-4</v>
          </cell>
          <cell r="L51">
            <v>2.13522569107786E-4</v>
          </cell>
          <cell r="M51">
            <v>2.3676825782057399E-4</v>
          </cell>
          <cell r="N51">
            <v>2.5193515424108801E-4</v>
          </cell>
          <cell r="O51">
            <v>1.85400503554303E-4</v>
          </cell>
          <cell r="P51">
            <v>6.5517888795054498E-4</v>
          </cell>
          <cell r="Q51">
            <v>1.9985969887756001E-3</v>
          </cell>
          <cell r="R51">
            <v>1.20007986034433E-4</v>
          </cell>
          <cell r="S51">
            <v>1.20007986034433E-4</v>
          </cell>
          <cell r="T51">
            <v>1.00780297849118E-4</v>
          </cell>
          <cell r="U51">
            <v>1.28763982625229E-5</v>
          </cell>
          <cell r="V51">
            <v>2.43710791122305E-5</v>
          </cell>
        </row>
        <row r="52">
          <cell r="B52">
            <v>1.4921851079568299E-5</v>
          </cell>
          <cell r="C52">
            <v>1.6636903224247901E-4</v>
          </cell>
          <cell r="D52">
            <v>3.8970665702097398E-5</v>
          </cell>
          <cell r="E52">
            <v>1.14687181839051E-4</v>
          </cell>
          <cell r="F52">
            <v>1.04715115315316E-4</v>
          </cell>
          <cell r="G52">
            <v>2.2033418442178E-3</v>
          </cell>
          <cell r="H52">
            <v>2.5258836624246898E-3</v>
          </cell>
          <cell r="I52">
            <v>1.10474685340965E-3</v>
          </cell>
          <cell r="J52">
            <v>3.91868585796407E-5</v>
          </cell>
          <cell r="K52">
            <v>6.1262471163063206E-5</v>
          </cell>
          <cell r="L52">
            <v>1.45313532052851E-5</v>
          </cell>
          <cell r="M52">
            <v>1.56109161959638E-5</v>
          </cell>
          <cell r="N52">
            <v>1.5372382026708598E-5</v>
          </cell>
          <cell r="O52">
            <v>3.78251001668909E-5</v>
          </cell>
          <cell r="P52">
            <v>5.5652337101294898E-5</v>
          </cell>
          <cell r="Q52">
            <v>8.5436773294711302E-4</v>
          </cell>
          <cell r="R52">
            <v>7.13302500607803E-6</v>
          </cell>
          <cell r="S52">
            <v>7.1330250060780401E-6</v>
          </cell>
          <cell r="T52">
            <v>3.0961075404328401E-5</v>
          </cell>
          <cell r="U52">
            <v>2.9658343918853201E-6</v>
          </cell>
          <cell r="V52">
            <v>7.6488532706539203E-6</v>
          </cell>
        </row>
        <row r="53">
          <cell r="B53">
            <v>1.91856195678395E-4</v>
          </cell>
          <cell r="C53">
            <v>1.9165035302409299E-3</v>
          </cell>
          <cell r="D53">
            <v>1.4715459431608699E-4</v>
          </cell>
          <cell r="E53">
            <v>1.43799930374661E-4</v>
          </cell>
          <cell r="F53">
            <v>1.33007829531938E-4</v>
          </cell>
          <cell r="G53">
            <v>1.3280421789958199E-4</v>
          </cell>
          <cell r="H53">
            <v>1.8704973243895801E-4</v>
          </cell>
          <cell r="I53">
            <v>2.1321799643723001E-4</v>
          </cell>
          <cell r="J53">
            <v>4.4811887902870397E-5</v>
          </cell>
          <cell r="K53">
            <v>9.1774381406172994E-5</v>
          </cell>
          <cell r="L53">
            <v>1.6129506381360899E-5</v>
          </cell>
          <cell r="M53">
            <v>3.3439644499435797E-5</v>
          </cell>
          <cell r="N53">
            <v>3.7243430998768998E-5</v>
          </cell>
          <cell r="O53">
            <v>8.0264369445104103E-6</v>
          </cell>
          <cell r="P53">
            <v>1.3805015258567001E-4</v>
          </cell>
          <cell r="Q53">
            <v>1.5745532562181501E-5</v>
          </cell>
          <cell r="R53">
            <v>1.82384115380197E-5</v>
          </cell>
          <cell r="S53">
            <v>1.82384115380197E-5</v>
          </cell>
          <cell r="T53">
            <v>2.9859246771483198E-6</v>
          </cell>
          <cell r="U53">
            <v>5.2279470287234001E-7</v>
          </cell>
          <cell r="V53">
            <v>7.5563587766519703E-6</v>
          </cell>
        </row>
        <row r="54">
          <cell r="B54">
            <v>1.13132120627034E-4</v>
          </cell>
          <cell r="C54">
            <v>9.5637447364410697E-4</v>
          </cell>
          <cell r="D54">
            <v>7.5171887408994706E-5</v>
          </cell>
          <cell r="E54">
            <v>7.4400230804391894E-5</v>
          </cell>
          <cell r="F54">
            <v>6.9227760122968102E-5</v>
          </cell>
          <cell r="G54">
            <v>6.6150494291556601E-5</v>
          </cell>
          <cell r="H54">
            <v>9.0525698765446104E-5</v>
          </cell>
          <cell r="I54">
            <v>1.4783142276278701E-4</v>
          </cell>
          <cell r="J54">
            <v>2.6174065396390201E-5</v>
          </cell>
          <cell r="K54">
            <v>4.88283348866075E-5</v>
          </cell>
          <cell r="L54">
            <v>1.19902794369667E-5</v>
          </cell>
          <cell r="M54">
            <v>2.2773895760628101E-5</v>
          </cell>
          <cell r="N54">
            <v>1.7378604630291701E-5</v>
          </cell>
          <cell r="O54">
            <v>2.6990697742525501E-5</v>
          </cell>
          <cell r="P54">
            <v>6.1830289044614004E-5</v>
          </cell>
          <cell r="Q54">
            <v>4.1860674657533197E-5</v>
          </cell>
          <cell r="R54">
            <v>9.4258242019203297E-6</v>
          </cell>
          <cell r="S54">
            <v>9.4258242019203399E-6</v>
          </cell>
          <cell r="T54">
            <v>9.0464968537233907E-6</v>
          </cell>
          <cell r="U54">
            <v>5.9210367708251404E-7</v>
          </cell>
          <cell r="V54">
            <v>9.2408347463680292E-6</v>
          </cell>
        </row>
        <row r="55">
          <cell r="B55">
            <v>1.00153927625416E-4</v>
          </cell>
          <cell r="C55">
            <v>4.3632984896082097E-3</v>
          </cell>
          <cell r="D55">
            <v>7.2731977315082796E-3</v>
          </cell>
          <cell r="E55">
            <v>5.2718157632158002E-4</v>
          </cell>
          <cell r="F55">
            <v>4.7081015463668399E-4</v>
          </cell>
          <cell r="G55">
            <v>4.2124148735269199E-4</v>
          </cell>
          <cell r="H55">
            <v>4.9979892526106305E-4</v>
          </cell>
          <cell r="I55">
            <v>2.7214075927317399E-3</v>
          </cell>
          <cell r="J55">
            <v>1.77175401876181E-4</v>
          </cell>
          <cell r="K55">
            <v>1.53174562604501E-4</v>
          </cell>
          <cell r="L55">
            <v>1.00507656080528E-4</v>
          </cell>
          <cell r="M55">
            <v>9.7757930067770201E-5</v>
          </cell>
          <cell r="N55">
            <v>8.1596924353958294E-5</v>
          </cell>
          <cell r="O55">
            <v>2.3067429707749998E-5</v>
          </cell>
          <cell r="P55">
            <v>2.1003341621448E-4</v>
          </cell>
          <cell r="Q55">
            <v>8.9543119101492401E-5</v>
          </cell>
          <cell r="R55">
            <v>1.70851207084729E-5</v>
          </cell>
          <cell r="S55">
            <v>1.7085120708472999E-5</v>
          </cell>
          <cell r="T55">
            <v>1.3422901131374899E-4</v>
          </cell>
          <cell r="U55">
            <v>3.7312706057674899E-6</v>
          </cell>
          <cell r="V55">
            <v>4.8083013652862302E-6</v>
          </cell>
        </row>
        <row r="56">
          <cell r="B56">
            <v>1.93731626552095E-3</v>
          </cell>
          <cell r="C56">
            <v>1.57776281546787E-3</v>
          </cell>
          <cell r="D56">
            <v>4.2245372374762596E-3</v>
          </cell>
          <cell r="E56">
            <v>1.5004181919881E-3</v>
          </cell>
          <cell r="F56">
            <v>1.4488492446693699E-3</v>
          </cell>
          <cell r="G56">
            <v>1.1406192299524001E-3</v>
          </cell>
          <cell r="H56">
            <v>1.32123687535519E-3</v>
          </cell>
          <cell r="I56">
            <v>1.2278051479569299E-3</v>
          </cell>
          <cell r="J56">
            <v>1.77737153820002E-3</v>
          </cell>
          <cell r="K56">
            <v>1.56590040507093E-3</v>
          </cell>
          <cell r="L56">
            <v>8.5320552888576505E-4</v>
          </cell>
          <cell r="M56">
            <v>7.9062707174762403E-4</v>
          </cell>
          <cell r="N56">
            <v>6.64544670857718E-4</v>
          </cell>
          <cell r="O56">
            <v>2.68784689972417E-3</v>
          </cell>
          <cell r="P56">
            <v>1.34635456941008E-3</v>
          </cell>
          <cell r="Q56">
            <v>3.2191949564971901E-4</v>
          </cell>
          <cell r="R56">
            <v>1.68539275612633E-4</v>
          </cell>
          <cell r="S56">
            <v>1.68539275612633E-4</v>
          </cell>
          <cell r="T56">
            <v>2.5686237618824299E-3</v>
          </cell>
          <cell r="U56">
            <v>4.2497970496103697E-5</v>
          </cell>
          <cell r="V56">
            <v>3.2535819481201199E-5</v>
          </cell>
        </row>
        <row r="57">
          <cell r="B57">
            <v>5.0701931124400803E-5</v>
          </cell>
          <cell r="C57">
            <v>1.95315726400779E-5</v>
          </cell>
          <cell r="D57">
            <v>1.5276177846295901E-4</v>
          </cell>
          <cell r="E57">
            <v>1.0606002360879199E-3</v>
          </cell>
          <cell r="F57">
            <v>8.3297622271098098E-4</v>
          </cell>
          <cell r="G57">
            <v>3.2442916560662398E-3</v>
          </cell>
          <cell r="H57">
            <v>1.43517294715439E-3</v>
          </cell>
          <cell r="I57">
            <v>4.3935461311936801E-6</v>
          </cell>
          <cell r="J57">
            <v>2.70075722413804E-3</v>
          </cell>
          <cell r="K57">
            <v>1.8960648684333099E-3</v>
          </cell>
          <cell r="L57">
            <v>1.2118898410348E-4</v>
          </cell>
          <cell r="M57">
            <v>6.9546815582337602E-5</v>
          </cell>
          <cell r="N57">
            <v>4.3495916827221997E-6</v>
          </cell>
          <cell r="O57">
            <v>6.43354914927067E-6</v>
          </cell>
          <cell r="P57">
            <v>1.6715674035697501E-4</v>
          </cell>
          <cell r="Q57">
            <v>5.0329970030745099E-5</v>
          </cell>
          <cell r="R57">
            <v>1.45266253107806E-6</v>
          </cell>
          <cell r="S57">
            <v>1.45266253107806E-6</v>
          </cell>
          <cell r="T57">
            <v>6.2696329912800401E-6</v>
          </cell>
          <cell r="U57">
            <v>2.0933709933875098E-6</v>
          </cell>
          <cell r="V57">
            <v>3.6397631607324497E-5</v>
          </cell>
        </row>
        <row r="58">
          <cell r="B58">
            <v>1.8100147387346398E-2</v>
          </cell>
          <cell r="C58">
            <v>7.0636463480509403E-4</v>
          </cell>
          <cell r="D58">
            <v>1.0076354723968201E-2</v>
          </cell>
          <cell r="E58">
            <v>2.34426915369322E-3</v>
          </cell>
          <cell r="F58">
            <v>1.73896747510856E-3</v>
          </cell>
          <cell r="G58">
            <v>7.5174037116861403E-3</v>
          </cell>
          <cell r="H58">
            <v>3.0526107830822001E-3</v>
          </cell>
          <cell r="I58">
            <v>4.9263064104649599E-3</v>
          </cell>
          <cell r="J58">
            <v>2.1319106098944201E-2</v>
          </cell>
          <cell r="K58">
            <v>3.5737450313644802E-2</v>
          </cell>
          <cell r="L58">
            <v>1.61822773333319E-3</v>
          </cell>
          <cell r="M58">
            <v>3.62246427933385E-3</v>
          </cell>
          <cell r="N58">
            <v>4.66218174970602E-3</v>
          </cell>
          <cell r="O58">
            <v>2.3189251722962401E-3</v>
          </cell>
          <cell r="P58">
            <v>4.7973679957663398E-2</v>
          </cell>
          <cell r="Q58">
            <v>1.52463947982011E-3</v>
          </cell>
          <cell r="R58">
            <v>3.6656889237918803E-5</v>
          </cell>
          <cell r="S58">
            <v>3.6656889237918803E-5</v>
          </cell>
          <cell r="T58">
            <v>1.37992280312749E-2</v>
          </cell>
          <cell r="U58">
            <v>5.5253008553262E-3</v>
          </cell>
          <cell r="V58">
            <v>4.0935277219958204E-3</v>
          </cell>
        </row>
        <row r="59">
          <cell r="B59">
            <v>2.3035570974855401E-5</v>
          </cell>
          <cell r="C59">
            <v>5.3815745927251699E-6</v>
          </cell>
          <cell r="D59">
            <v>4.2886752799363398E-6</v>
          </cell>
          <cell r="E59">
            <v>2.7468684002348399E-6</v>
          </cell>
          <cell r="F59">
            <v>2.7919358181402801E-6</v>
          </cell>
          <cell r="G59">
            <v>2.7871509702314501E-6</v>
          </cell>
          <cell r="H59">
            <v>3.2329102138211998E-6</v>
          </cell>
          <cell r="I59">
            <v>3.1546004251581402E-6</v>
          </cell>
          <cell r="J59">
            <v>1.78881674279671E-6</v>
          </cell>
          <cell r="K59">
            <v>6.6871543100827701E-6</v>
          </cell>
          <cell r="L59">
            <v>5.9338267020359997E-7</v>
          </cell>
          <cell r="M59">
            <v>1.3757917746518099E-6</v>
          </cell>
          <cell r="N59">
            <v>2.0291544844026702E-6</v>
          </cell>
          <cell r="O59">
            <v>9.1168662518813795E-7</v>
          </cell>
          <cell r="P59">
            <v>7.7918217865726194E-6</v>
          </cell>
          <cell r="Q59">
            <v>1.0818872342521899E-6</v>
          </cell>
          <cell r="R59">
            <v>7.0030807706871403E-7</v>
          </cell>
          <cell r="S59">
            <v>7.0030807706871604E-7</v>
          </cell>
          <cell r="T59">
            <v>1.9143971331686598E-5</v>
          </cell>
          <cell r="U59">
            <v>5.2627984442992702E-7</v>
          </cell>
          <cell r="V59">
            <v>1.9640144319646601E-5</v>
          </cell>
        </row>
        <row r="60">
          <cell r="B60">
            <v>2.74641458508856E-3</v>
          </cell>
          <cell r="C60">
            <v>1.8051052786372299E-4</v>
          </cell>
          <cell r="D60">
            <v>2.3318204953814601E-4</v>
          </cell>
          <cell r="E60">
            <v>4.5322454034917102E-4</v>
          </cell>
          <cell r="F60">
            <v>3.9307995506851598E-4</v>
          </cell>
          <cell r="G60">
            <v>1.05313432756342E-3</v>
          </cell>
          <cell r="H60">
            <v>1.0170372084702601E-3</v>
          </cell>
          <cell r="I60">
            <v>1.39496795408732E-3</v>
          </cell>
          <cell r="J60">
            <v>6.6060886988295302E-4</v>
          </cell>
          <cell r="K60">
            <v>7.9640599616999505E-4</v>
          </cell>
          <cell r="L60">
            <v>1.16114906208781E-4</v>
          </cell>
          <cell r="M60">
            <v>1.2234258444525101E-4</v>
          </cell>
          <cell r="N60">
            <v>1.5401264134124999E-4</v>
          </cell>
          <cell r="O60">
            <v>6.1845153533328704E-4</v>
          </cell>
          <cell r="P60">
            <v>1.00108131127593E-3</v>
          </cell>
          <cell r="Q60">
            <v>5.6756898382202099E-4</v>
          </cell>
          <cell r="R60">
            <v>4.2670321915005601E-5</v>
          </cell>
          <cell r="S60">
            <v>4.2670321915005601E-5</v>
          </cell>
          <cell r="T60">
            <v>9.6576122534843998E-4</v>
          </cell>
          <cell r="U60">
            <v>7.5078872819267194E-5</v>
          </cell>
          <cell r="V60">
            <v>1.5632259048804201E-4</v>
          </cell>
        </row>
        <row r="61">
          <cell r="B61">
            <v>9.6366873017324E-4</v>
          </cell>
          <cell r="C61">
            <v>4.5551682436794403E-5</v>
          </cell>
          <cell r="D61">
            <v>1.00997476064826E-4</v>
          </cell>
          <cell r="E61">
            <v>1.2532868247595099E-4</v>
          </cell>
          <cell r="F61">
            <v>1.08183551452827E-4</v>
          </cell>
          <cell r="G61">
            <v>2.1179003477712899E-4</v>
          </cell>
          <cell r="H61">
            <v>1.61569698691782E-4</v>
          </cell>
          <cell r="I61">
            <v>2.6728887936949098E-4</v>
          </cell>
          <cell r="J61">
            <v>1.1450592559892401E-4</v>
          </cell>
          <cell r="K61">
            <v>1.6527118723265501E-4</v>
          </cell>
          <cell r="L61">
            <v>1.9854795981337398E-5</v>
          </cell>
          <cell r="M61">
            <v>2.16297228246114E-5</v>
          </cell>
          <cell r="N61">
            <v>2.8575484122851399E-5</v>
          </cell>
          <cell r="O61">
            <v>1.2335228716961599E-4</v>
          </cell>
          <cell r="P61">
            <v>2.4776177915542197E-4</v>
          </cell>
          <cell r="Q61">
            <v>2.07028831622179E-4</v>
          </cell>
          <cell r="R61">
            <v>7.110562456741E-6</v>
          </cell>
          <cell r="S61">
            <v>7.1105624567410203E-6</v>
          </cell>
          <cell r="T61">
            <v>2.21880660668432E-4</v>
          </cell>
          <cell r="U61">
            <v>3.03301508235472E-5</v>
          </cell>
          <cell r="V61">
            <v>9.3823046656833507E-5</v>
          </cell>
        </row>
        <row r="62">
          <cell r="B62">
            <v>6.1390243049706006E-5</v>
          </cell>
          <cell r="C62">
            <v>1.3443519230375001E-3</v>
          </cell>
          <cell r="D62">
            <v>7.0135231819952806E-5</v>
          </cell>
          <cell r="E62">
            <v>4.6043226735265301E-5</v>
          </cell>
          <cell r="F62">
            <v>4.4150210703221502E-5</v>
          </cell>
          <cell r="G62">
            <v>1.5491978302724501E-4</v>
          </cell>
          <cell r="H62">
            <v>8.5891404787344101E-5</v>
          </cell>
          <cell r="I62">
            <v>5.0749767740199598E-5</v>
          </cell>
          <cell r="J62">
            <v>2.3337663351528999E-4</v>
          </cell>
          <cell r="K62">
            <v>1.1780288048634E-4</v>
          </cell>
          <cell r="L62">
            <v>1.6770861874597201E-5</v>
          </cell>
          <cell r="M62">
            <v>6.05768823091545E-5</v>
          </cell>
          <cell r="N62">
            <v>2.9777238673887301E-5</v>
          </cell>
          <cell r="O62">
            <v>6.8074357841054999E-7</v>
          </cell>
          <cell r="P62">
            <v>2.6170445699917101E-4</v>
          </cell>
          <cell r="Q62">
            <v>2.3385776199689101E-6</v>
          </cell>
          <cell r="R62">
            <v>1.7231308360165301E-5</v>
          </cell>
          <cell r="S62">
            <v>1.72313083601654E-5</v>
          </cell>
          <cell r="T62">
            <v>1.8184810332272801E-6</v>
          </cell>
          <cell r="U62">
            <v>3.1793314961076499E-6</v>
          </cell>
          <cell r="V62">
            <v>4.6769670057435E-6</v>
          </cell>
        </row>
        <row r="63">
          <cell r="B63">
            <v>3.6056081440099098E-4</v>
          </cell>
          <cell r="C63">
            <v>2.2259339230789798E-3</v>
          </cell>
          <cell r="D63">
            <v>1.8265005762136801E-4</v>
          </cell>
          <cell r="E63">
            <v>1.2466601208034001E-4</v>
          </cell>
          <cell r="F63">
            <v>1.2242188859480101E-4</v>
          </cell>
          <cell r="G63">
            <v>3.83324242177097E-4</v>
          </cell>
          <cell r="H63">
            <v>2.1956015862261999E-4</v>
          </cell>
          <cell r="I63">
            <v>1.3084015086350901E-4</v>
          </cell>
          <cell r="J63">
            <v>4.0378078212081599E-4</v>
          </cell>
          <cell r="K63">
            <v>2.7017151332727499E-4</v>
          </cell>
          <cell r="L63">
            <v>3.71295650137469E-5</v>
          </cell>
          <cell r="M63">
            <v>1.20007215329256E-4</v>
          </cell>
          <cell r="N63">
            <v>7.9920267836684005E-5</v>
          </cell>
          <cell r="O63">
            <v>1.5638140723716502E-5</v>
          </cell>
          <cell r="P63">
            <v>6.3187416468800004E-4</v>
          </cell>
          <cell r="Q63">
            <v>5.7497216674023298E-6</v>
          </cell>
          <cell r="R63">
            <v>4.0646480043490402E-5</v>
          </cell>
          <cell r="S63">
            <v>4.0646480043490503E-5</v>
          </cell>
          <cell r="T63">
            <v>8.8242294701234498E-5</v>
          </cell>
          <cell r="U63">
            <v>4.0447940430053398E-5</v>
          </cell>
          <cell r="V63">
            <v>4.8634088933673199E-5</v>
          </cell>
        </row>
        <row r="64">
          <cell r="B64">
            <v>2.2042257166381102E-3</v>
          </cell>
          <cell r="C64">
            <v>4.4570586660270299E-2</v>
          </cell>
          <cell r="D64">
            <v>1.1406303800218899E-2</v>
          </cell>
          <cell r="E64">
            <v>1.4316934057775001E-3</v>
          </cell>
          <cell r="F64">
            <v>1.12922705101354E-3</v>
          </cell>
          <cell r="G64">
            <v>3.39187735266391E-3</v>
          </cell>
          <cell r="H64">
            <v>2.47931653747941E-3</v>
          </cell>
          <cell r="I64">
            <v>2.0342040691661602E-3</v>
          </cell>
          <cell r="J64">
            <v>2.7765967472823802E-3</v>
          </cell>
          <cell r="K64">
            <v>7.0667204203045198E-3</v>
          </cell>
          <cell r="L64">
            <v>3.0400986403840598E-4</v>
          </cell>
          <cell r="M64">
            <v>6.4582055732463996E-4</v>
          </cell>
          <cell r="N64">
            <v>3.5160664653442801E-4</v>
          </cell>
          <cell r="O64">
            <v>4.28686849520238E-5</v>
          </cell>
          <cell r="P64">
            <v>3.41189186834187E-3</v>
          </cell>
          <cell r="Q64">
            <v>9.0550874091126105E-5</v>
          </cell>
          <cell r="R64">
            <v>3.9854906591850902E-5</v>
          </cell>
          <cell r="S64">
            <v>3.9854906591850997E-5</v>
          </cell>
          <cell r="T64">
            <v>2.1433848738768201E-4</v>
          </cell>
          <cell r="U64">
            <v>1.3941962730929999E-4</v>
          </cell>
          <cell r="V64">
            <v>2.1502274434193099E-4</v>
          </cell>
        </row>
        <row r="65">
          <cell r="B65">
            <v>4.6992534331772001E-4</v>
          </cell>
          <cell r="C65">
            <v>1.1287589183924601E-3</v>
          </cell>
          <cell r="D65">
            <v>9.6401302934476902E-4</v>
          </cell>
          <cell r="E65">
            <v>4.6055889891371601E-3</v>
          </cell>
          <cell r="F65">
            <v>4.22950635125585E-3</v>
          </cell>
          <cell r="G65">
            <v>3.76500652309861E-3</v>
          </cell>
          <cell r="H65">
            <v>4.30433151244357E-3</v>
          </cell>
          <cell r="I65">
            <v>0.107099642501538</v>
          </cell>
          <cell r="J65">
            <v>5.5924871132915198E-4</v>
          </cell>
          <cell r="K65">
            <v>1.1175155931112701E-3</v>
          </cell>
          <cell r="L65">
            <v>2.4858751394540998E-4</v>
          </cell>
          <cell r="M65">
            <v>2.6862867780571003E-4</v>
          </cell>
          <cell r="N65">
            <v>2.6930313068557503E-4</v>
          </cell>
          <cell r="O65">
            <v>1.30894473031693E-3</v>
          </cell>
          <cell r="P65">
            <v>8.9016511857446204E-4</v>
          </cell>
          <cell r="Q65">
            <v>2.3038990170977299E-4</v>
          </cell>
          <cell r="R65">
            <v>1.2965019129684E-4</v>
          </cell>
          <cell r="S65">
            <v>1.2965019129684E-4</v>
          </cell>
          <cell r="T65">
            <v>2.0969729293529899E-4</v>
          </cell>
          <cell r="U65">
            <v>5.4567809563830702E-4</v>
          </cell>
          <cell r="V65">
            <v>6.11900375810515E-5</v>
          </cell>
        </row>
        <row r="66">
          <cell r="B66">
            <v>4.1560928907110998E-4</v>
          </cell>
          <cell r="C66">
            <v>1.3185645507289799E-3</v>
          </cell>
          <cell r="D66">
            <v>4.2238793687378399E-4</v>
          </cell>
          <cell r="E66">
            <v>2.5791858495999801E-3</v>
          </cell>
          <cell r="F66">
            <v>2.4088449482827E-3</v>
          </cell>
          <cell r="G66">
            <v>4.5868093885071602E-4</v>
          </cell>
          <cell r="H66">
            <v>4.8855275370873405E-4</v>
          </cell>
          <cell r="I66">
            <v>1.45188643206604E-3</v>
          </cell>
          <cell r="J66">
            <v>2.62868139358329E-4</v>
          </cell>
          <cell r="K66">
            <v>3.5803182564101798E-4</v>
          </cell>
          <cell r="L66">
            <v>1.1051343880352299E-4</v>
          </cell>
          <cell r="M66">
            <v>1.60881152947943E-4</v>
          </cell>
          <cell r="N66">
            <v>2.23369339827643E-4</v>
          </cell>
          <cell r="O66">
            <v>1.3922943420973299E-4</v>
          </cell>
          <cell r="P66">
            <v>7.7051574170377201E-4</v>
          </cell>
          <cell r="Q66">
            <v>4.13705596051194E-6</v>
          </cell>
          <cell r="R66">
            <v>1.11331097744129E-4</v>
          </cell>
          <cell r="S66">
            <v>1.11331097744129E-4</v>
          </cell>
          <cell r="T66">
            <v>2.1506333903644599E-5</v>
          </cell>
          <cell r="U66">
            <v>3.8072718869367899E-6</v>
          </cell>
          <cell r="V66">
            <v>5.0628325175984399E-6</v>
          </cell>
        </row>
        <row r="67">
          <cell r="B67">
            <v>4.9587168488963299E-5</v>
          </cell>
          <cell r="C67">
            <v>1.39257945647667E-4</v>
          </cell>
          <cell r="D67">
            <v>4.1872903356080798E-5</v>
          </cell>
          <cell r="E67">
            <v>2.9090678961120401E-4</v>
          </cell>
          <cell r="F67">
            <v>2.68037201078195E-4</v>
          </cell>
          <cell r="G67">
            <v>4.8612219986296298E-5</v>
          </cell>
          <cell r="H67">
            <v>5.5191340886276198E-5</v>
          </cell>
          <cell r="I67">
            <v>1.8028895627444401E-4</v>
          </cell>
          <cell r="J67">
            <v>2.93918791289906E-5</v>
          </cell>
          <cell r="K67">
            <v>3.6747038252134098E-5</v>
          </cell>
          <cell r="L67">
            <v>1.20368084117539E-5</v>
          </cell>
          <cell r="M67">
            <v>1.54125391637209E-5</v>
          </cell>
          <cell r="N67">
            <v>2.38875828180428E-5</v>
          </cell>
          <cell r="O67">
            <v>4.7219224402150897E-5</v>
          </cell>
          <cell r="P67">
            <v>9.0045975803021905E-5</v>
          </cell>
          <cell r="Q67">
            <v>1.1611015932341201E-6</v>
          </cell>
          <cell r="R67">
            <v>1.0020855023198301E-5</v>
          </cell>
          <cell r="S67">
            <v>1.0020855023198401E-5</v>
          </cell>
          <cell r="T67">
            <v>9.9148774962773502E-6</v>
          </cell>
          <cell r="U67">
            <v>1.4515240675213599E-6</v>
          </cell>
          <cell r="V67">
            <v>9.9568773244286209E-7</v>
          </cell>
        </row>
        <row r="68">
          <cell r="B68">
            <v>2.7002800195090202E-4</v>
          </cell>
          <cell r="C68">
            <v>4.38679350905948E-4</v>
          </cell>
          <cell r="D68">
            <v>2.3473292372275299E-4</v>
          </cell>
          <cell r="E68">
            <v>2.7816299237983502E-3</v>
          </cell>
          <cell r="F68">
            <v>2.6045948843853501E-3</v>
          </cell>
          <cell r="G68">
            <v>2.6785417875991598E-4</v>
          </cell>
          <cell r="H68">
            <v>2.7838314207795199E-4</v>
          </cell>
          <cell r="I68">
            <v>2.8713709075298501E-4</v>
          </cell>
          <cell r="J68">
            <v>1.5859129823255901E-4</v>
          </cell>
          <cell r="K68">
            <v>2.8951997555392499E-4</v>
          </cell>
          <cell r="L68">
            <v>6.0438981032274798E-5</v>
          </cell>
          <cell r="M68">
            <v>1.3556516840418199E-4</v>
          </cell>
          <cell r="N68">
            <v>1.2644078500462501E-4</v>
          </cell>
          <cell r="O68">
            <v>3.1199143356136998E-4</v>
          </cell>
          <cell r="P68">
            <v>3.9449805786612402E-4</v>
          </cell>
          <cell r="Q68">
            <v>7.5125109366559003E-6</v>
          </cell>
          <cell r="R68">
            <v>7.6075696372770801E-5</v>
          </cell>
          <cell r="S68">
            <v>7.6075696372771099E-5</v>
          </cell>
          <cell r="T68">
            <v>8.4723365634402795E-5</v>
          </cell>
          <cell r="U68">
            <v>9.6014431516426791E-7</v>
          </cell>
          <cell r="V68">
            <v>5.5584798922545001E-6</v>
          </cell>
        </row>
        <row r="69">
          <cell r="B69">
            <v>4.6167778606495799E-5</v>
          </cell>
          <cell r="C69">
            <v>6.0461827037096301E-5</v>
          </cell>
          <cell r="D69">
            <v>3.2447749983003601E-5</v>
          </cell>
          <cell r="E69">
            <v>2.48639746040368E-3</v>
          </cell>
          <cell r="F69">
            <v>2.24748956443609E-3</v>
          </cell>
          <cell r="G69">
            <v>6.1908153570682894E-5</v>
          </cell>
          <cell r="H69">
            <v>5.5719863602808799E-5</v>
          </cell>
          <cell r="I69">
            <v>4.6372021335316898E-5</v>
          </cell>
          <cell r="J69">
            <v>3.3252450419189E-5</v>
          </cell>
          <cell r="K69">
            <v>4.5405914345776003E-5</v>
          </cell>
          <cell r="L69">
            <v>9.2128079662930992E-6</v>
          </cell>
          <cell r="M69">
            <v>1.53221722935336E-5</v>
          </cell>
          <cell r="N69">
            <v>1.59509399322893E-5</v>
          </cell>
          <cell r="O69">
            <v>2.7013221465125301E-4</v>
          </cell>
          <cell r="P69">
            <v>4.9608938215236699E-5</v>
          </cell>
          <cell r="Q69">
            <v>1.2475355140408701E-5</v>
          </cell>
          <cell r="R69">
            <v>9.8615925969017297E-6</v>
          </cell>
          <cell r="S69">
            <v>9.86159259690175E-6</v>
          </cell>
          <cell r="T69">
            <v>3.2061318155037299E-5</v>
          </cell>
          <cell r="U69">
            <v>5.1216800048968299E-7</v>
          </cell>
          <cell r="V69">
            <v>4.8684043004723799E-6</v>
          </cell>
        </row>
        <row r="70">
          <cell r="B70">
            <v>1.5875549024868901E-4</v>
          </cell>
          <cell r="C70">
            <v>2.22041289113036E-4</v>
          </cell>
          <cell r="D70">
            <v>1.2725787037740701E-4</v>
          </cell>
          <cell r="E70">
            <v>0.14937267828621301</v>
          </cell>
          <cell r="F70">
            <v>0.134461538742562</v>
          </cell>
          <cell r="G70">
            <v>4.2253605473737701E-4</v>
          </cell>
          <cell r="H70">
            <v>2.5298500185425601E-4</v>
          </cell>
          <cell r="I70">
            <v>2.4482752742497103E-4</v>
          </cell>
          <cell r="J70">
            <v>1.5168639457913599E-4</v>
          </cell>
          <cell r="K70">
            <v>1.7490380223197799E-4</v>
          </cell>
          <cell r="L70">
            <v>4.6749185306530302E-5</v>
          </cell>
          <cell r="M70">
            <v>6.2126918091481997E-5</v>
          </cell>
          <cell r="N70">
            <v>7.6970061505044401E-5</v>
          </cell>
          <cell r="O70">
            <v>1.8245150444857099E-3</v>
          </cell>
          <cell r="P70">
            <v>3.05573509777863E-4</v>
          </cell>
          <cell r="Q70">
            <v>1.6745894111931301E-4</v>
          </cell>
          <cell r="R70">
            <v>4.6471645855372197E-5</v>
          </cell>
          <cell r="S70">
            <v>4.6471645855372299E-5</v>
          </cell>
          <cell r="T70">
            <v>6.5836435406445596E-4</v>
          </cell>
          <cell r="U70">
            <v>4.95166396899552E-5</v>
          </cell>
          <cell r="V70">
            <v>2.1815954152625901E-5</v>
          </cell>
        </row>
        <row r="71">
          <cell r="B71">
            <v>3.5252904607789799E-5</v>
          </cell>
          <cell r="C71">
            <v>4.3026698432445299E-5</v>
          </cell>
          <cell r="D71">
            <v>2.40244189461584E-5</v>
          </cell>
          <cell r="E71">
            <v>2.8877782298888401E-2</v>
          </cell>
          <cell r="F71">
            <v>2.6086773455175499E-2</v>
          </cell>
          <cell r="G71">
            <v>4.5050856448853403E-5</v>
          </cell>
          <cell r="H71">
            <v>5.0966293030572598E-5</v>
          </cell>
          <cell r="I71">
            <v>4.9948192686310203E-5</v>
          </cell>
          <cell r="J71">
            <v>2.4939628197935798E-5</v>
          </cell>
          <cell r="K71">
            <v>3.3132655114363501E-5</v>
          </cell>
          <cell r="L71">
            <v>9.5220649883658898E-6</v>
          </cell>
          <cell r="M71">
            <v>1.1735954883976199E-5</v>
          </cell>
          <cell r="N71">
            <v>1.51295674489489E-5</v>
          </cell>
          <cell r="O71">
            <v>3.1520299985845303E-4</v>
          </cell>
          <cell r="P71">
            <v>5.83078778595066E-5</v>
          </cell>
          <cell r="Q71">
            <v>4.4649560895554902E-5</v>
          </cell>
          <cell r="R71">
            <v>9.0765493347816995E-6</v>
          </cell>
          <cell r="S71">
            <v>9.0765493347817096E-6</v>
          </cell>
          <cell r="T71">
            <v>4.4911275736089502E-4</v>
          </cell>
          <cell r="U71">
            <v>1.52866298093599E-5</v>
          </cell>
          <cell r="V71">
            <v>1.3290809066799101E-6</v>
          </cell>
        </row>
        <row r="72">
          <cell r="B72">
            <v>2.2817784509342699E-4</v>
          </cell>
          <cell r="C72">
            <v>3.82147073953366E-4</v>
          </cell>
          <cell r="D72">
            <v>4.0669151236746398E-4</v>
          </cell>
          <cell r="E72">
            <v>6.7832194266020995E-2</v>
          </cell>
          <cell r="F72">
            <v>6.1446348995724799E-2</v>
          </cell>
          <cell r="G72">
            <v>9.9677363842564596E-4</v>
          </cell>
          <cell r="H72">
            <v>1.1359719222405599E-3</v>
          </cell>
          <cell r="I72">
            <v>3.7001503794827399E-4</v>
          </cell>
          <cell r="J72">
            <v>1.07517037399245E-4</v>
          </cell>
          <cell r="K72">
            <v>1.28061120760397E-4</v>
          </cell>
          <cell r="L72">
            <v>3.7359507441653502E-5</v>
          </cell>
          <cell r="M72">
            <v>6.5008470155944895E-5</v>
          </cell>
          <cell r="N72">
            <v>9.2947818615565501E-5</v>
          </cell>
          <cell r="O72">
            <v>4.7811713463229703E-4</v>
          </cell>
          <cell r="P72">
            <v>3.8160624199342702E-4</v>
          </cell>
          <cell r="Q72">
            <v>1.7744483794178999E-5</v>
          </cell>
          <cell r="R72">
            <v>3.0641345521258198E-5</v>
          </cell>
          <cell r="S72">
            <v>3.06413455212583E-5</v>
          </cell>
          <cell r="T72">
            <v>6.9488299515219304E-5</v>
          </cell>
          <cell r="U72">
            <v>7.5323351436103702E-6</v>
          </cell>
          <cell r="V72">
            <v>6.4692264151334903E-6</v>
          </cell>
        </row>
        <row r="73">
          <cell r="B73">
            <v>8.2209885105279906E-5</v>
          </cell>
          <cell r="C73">
            <v>2.3040490317185501E-4</v>
          </cell>
          <cell r="D73">
            <v>2.1033868188510599E-4</v>
          </cell>
          <cell r="E73">
            <v>1.3711388812176E-3</v>
          </cell>
          <cell r="F73">
            <v>1.22205286226133E-3</v>
          </cell>
          <cell r="G73">
            <v>8.0744457062183E-2</v>
          </cell>
          <cell r="H73">
            <v>9.1472464956099994E-2</v>
          </cell>
          <cell r="I73">
            <v>6.2194365075736203E-3</v>
          </cell>
          <cell r="J73">
            <v>5.1633938331711599E-4</v>
          </cell>
          <cell r="K73">
            <v>9.0181707925569398E-4</v>
          </cell>
          <cell r="L73">
            <v>6.72890672352809E-5</v>
          </cell>
          <cell r="M73">
            <v>1.11595263486389E-4</v>
          </cell>
          <cell r="N73">
            <v>1.06460225429765E-4</v>
          </cell>
          <cell r="O73">
            <v>1.2278883803686E-3</v>
          </cell>
          <cell r="P73">
            <v>9.5417962627337202E-4</v>
          </cell>
          <cell r="Q73">
            <v>6.3920031629681104E-4</v>
          </cell>
          <cell r="R73">
            <v>1.7095589690078399E-5</v>
          </cell>
          <cell r="S73">
            <v>1.7095589690078399E-5</v>
          </cell>
          <cell r="T73">
            <v>9.3440510585250606E-5</v>
          </cell>
          <cell r="U73">
            <v>1.40087304032452E-5</v>
          </cell>
          <cell r="V73">
            <v>3.8266351879052598E-5</v>
          </cell>
        </row>
        <row r="74">
          <cell r="B74">
            <v>2.3434888237944002E-5</v>
          </cell>
          <cell r="C74">
            <v>6.12612839228334E-5</v>
          </cell>
          <cell r="D74">
            <v>7.8473932878503997E-5</v>
          </cell>
          <cell r="E74">
            <v>6.5942450289757995E-4</v>
          </cell>
          <cell r="F74">
            <v>5.8811940732029599E-4</v>
          </cell>
          <cell r="G74">
            <v>3.8264487147094399E-2</v>
          </cell>
          <cell r="H74">
            <v>4.3348898814086698E-2</v>
          </cell>
          <cell r="I74">
            <v>2.9570541983872101E-3</v>
          </cell>
          <cell r="J74">
            <v>3.7153578291141E-4</v>
          </cell>
          <cell r="K74">
            <v>6.5106237413209498E-4</v>
          </cell>
          <cell r="L74">
            <v>4.1330898842490603E-5</v>
          </cell>
          <cell r="M74">
            <v>7.4063263186285901E-5</v>
          </cell>
          <cell r="N74">
            <v>7.0347684173982601E-5</v>
          </cell>
          <cell r="O74">
            <v>4.9547859264665705E-4</v>
          </cell>
          <cell r="P74">
            <v>7.0971671469784202E-4</v>
          </cell>
          <cell r="Q74">
            <v>1.40891249272068E-4</v>
          </cell>
          <cell r="R74">
            <v>1.0439632655583901E-5</v>
          </cell>
          <cell r="S74">
            <v>1.0439632655583901E-5</v>
          </cell>
          <cell r="T74">
            <v>2.12510103323914E-4</v>
          </cell>
          <cell r="U74">
            <v>1.03027707416684E-5</v>
          </cell>
          <cell r="V74">
            <v>2.1122474607704302E-5</v>
          </cell>
        </row>
        <row r="75">
          <cell r="B75">
            <v>7.9378699999555104E-5</v>
          </cell>
          <cell r="C75">
            <v>1.3264968348479099E-4</v>
          </cell>
          <cell r="D75">
            <v>4.2160929128266E-5</v>
          </cell>
          <cell r="E75">
            <v>3.8111883365890102E-5</v>
          </cell>
          <cell r="F75">
            <v>4.6658506987569601E-5</v>
          </cell>
          <cell r="G75">
            <v>1.4137271464666399E-4</v>
          </cell>
          <cell r="H75">
            <v>1.37746433714706E-4</v>
          </cell>
          <cell r="I75">
            <v>5.85338013947898E-5</v>
          </cell>
          <cell r="J75">
            <v>1.11174648293529E-4</v>
          </cell>
          <cell r="K75">
            <v>2.2449300693183101E-4</v>
          </cell>
          <cell r="L75">
            <v>1.46862184936399E-5</v>
          </cell>
          <cell r="M75">
            <v>4.8980379473657597E-5</v>
          </cell>
          <cell r="N75">
            <v>6.5432675878094505E-5</v>
          </cell>
          <cell r="O75">
            <v>1.4883156345243201E-5</v>
          </cell>
          <cell r="P75">
            <v>2.23083075881263E-4</v>
          </cell>
          <cell r="Q75">
            <v>1.8879571229497399E-5</v>
          </cell>
          <cell r="R75">
            <v>3.89755449213673E-6</v>
          </cell>
          <cell r="S75">
            <v>3.8975544921367402E-6</v>
          </cell>
          <cell r="T75">
            <v>3.0121470694630501E-5</v>
          </cell>
          <cell r="U75">
            <v>4.7132545535384597E-6</v>
          </cell>
          <cell r="V75">
            <v>2.3819706953741099E-5</v>
          </cell>
        </row>
        <row r="76">
          <cell r="B76">
            <v>4.1058205390244502E-9</v>
          </cell>
          <cell r="C76">
            <v>6.2561078037399999E-9</v>
          </cell>
          <cell r="D76">
            <v>1.0163879830782401E-9</v>
          </cell>
          <cell r="E76">
            <v>1.11923180324565E-8</v>
          </cell>
          <cell r="F76">
            <v>1.02703159432469E-8</v>
          </cell>
          <cell r="G76">
            <v>1.2819430444289101E-7</v>
          </cell>
          <cell r="H76">
            <v>1.4335559861317099E-7</v>
          </cell>
          <cell r="I76">
            <v>6.8361550023615102E-8</v>
          </cell>
          <cell r="J76">
            <v>2.07859513478479E-8</v>
          </cell>
          <cell r="K76">
            <v>8.8969252311283994E-8</v>
          </cell>
          <cell r="L76">
            <v>6.0681300395174001E-9</v>
          </cell>
          <cell r="M76">
            <v>5.6311606193216504E-9</v>
          </cell>
          <cell r="N76">
            <v>4.9508541018179401E-9</v>
          </cell>
          <cell r="O76">
            <v>2.1920086720617099E-8</v>
          </cell>
          <cell r="P76">
            <v>4.2737167297405098E-8</v>
          </cell>
          <cell r="Q76">
            <v>1.9273581136442601E-8</v>
          </cell>
          <cell r="R76">
            <v>6.1553884813391E-9</v>
          </cell>
          <cell r="S76">
            <v>6.1553884813391099E-9</v>
          </cell>
          <cell r="T76">
            <v>5.8057426845275601E-9</v>
          </cell>
          <cell r="U76">
            <v>7.8476683035078202E-9</v>
          </cell>
          <cell r="V76">
            <v>4.1362687779706201E-10</v>
          </cell>
        </row>
        <row r="77">
          <cell r="B77">
            <v>7.1840442553387006E-5</v>
          </cell>
          <cell r="C77">
            <v>1.9555467397853901E-4</v>
          </cell>
          <cell r="D77">
            <v>1.0976584279770699E-4</v>
          </cell>
          <cell r="E77">
            <v>1.89002458218134E-4</v>
          </cell>
          <cell r="F77">
            <v>1.6634010706843001E-4</v>
          </cell>
          <cell r="G77">
            <v>4.3544202078188102E-3</v>
          </cell>
          <cell r="H77">
            <v>5.05462976425385E-3</v>
          </cell>
          <cell r="I77">
            <v>1.7835398262608399E-3</v>
          </cell>
          <cell r="J77">
            <v>1.4243791121795E-4</v>
          </cell>
          <cell r="K77">
            <v>2.3650074140173401E-4</v>
          </cell>
          <cell r="L77">
            <v>3.2622250174201403E-5</v>
          </cell>
          <cell r="M77">
            <v>3.8004313303021897E-5</v>
          </cell>
          <cell r="N77">
            <v>3.8154800832515903E-5</v>
          </cell>
          <cell r="O77">
            <v>8.5298501706019105E-5</v>
          </cell>
          <cell r="P77">
            <v>2.8541910461253399E-4</v>
          </cell>
          <cell r="Q77">
            <v>7.3376846695518503E-5</v>
          </cell>
          <cell r="R77">
            <v>1.1898215258792599E-5</v>
          </cell>
          <cell r="S77">
            <v>1.1898215258792599E-5</v>
          </cell>
          <cell r="T77">
            <v>3.7439903108715102E-5</v>
          </cell>
          <cell r="U77">
            <v>1.84991610626626E-6</v>
          </cell>
          <cell r="V77">
            <v>9.6592753034695594E-6</v>
          </cell>
        </row>
        <row r="78">
          <cell r="B78">
            <v>4.6883454352378798E-5</v>
          </cell>
          <cell r="C78">
            <v>2.1837761203076801E-4</v>
          </cell>
          <cell r="D78">
            <v>1.06994863769973E-4</v>
          </cell>
          <cell r="E78">
            <v>2.6319321876983802E-4</v>
          </cell>
          <cell r="F78">
            <v>2.2733316540903299E-4</v>
          </cell>
          <cell r="G78">
            <v>5.7449224905340296E-3</v>
          </cell>
          <cell r="H78">
            <v>6.6715844984741304E-3</v>
          </cell>
          <cell r="I78">
            <v>2.3332228366655999E-3</v>
          </cell>
          <cell r="J78">
            <v>1.31076685045941E-4</v>
          </cell>
          <cell r="K78">
            <v>2.1543816985725899E-4</v>
          </cell>
          <cell r="L78">
            <v>3.4486779160754398E-5</v>
          </cell>
          <cell r="M78">
            <v>3.3406082484702003E-5</v>
          </cell>
          <cell r="N78">
            <v>3.60681710188841E-5</v>
          </cell>
          <cell r="O78">
            <v>1.10430995356662E-4</v>
          </cell>
          <cell r="P78">
            <v>2.5828479621855599E-4</v>
          </cell>
          <cell r="Q78">
            <v>5.5545453700424797E-4</v>
          </cell>
          <cell r="R78">
            <v>2.21245850549177E-5</v>
          </cell>
          <cell r="S78">
            <v>2.2124585054917798E-5</v>
          </cell>
          <cell r="T78">
            <v>2.46168307462694E-5</v>
          </cell>
          <cell r="U78">
            <v>2.0570476699673501E-6</v>
          </cell>
          <cell r="V78">
            <v>8.0939602856385694E-6</v>
          </cell>
        </row>
        <row r="79">
          <cell r="B79">
            <v>6.6707824353124203E-4</v>
          </cell>
          <cell r="C79">
            <v>1.38811681335564E-4</v>
          </cell>
          <cell r="D79">
            <v>9.2405559290406299E-5</v>
          </cell>
          <cell r="E79">
            <v>1.10688398525569E-4</v>
          </cell>
          <cell r="F79">
            <v>1.05332564962938E-4</v>
          </cell>
          <cell r="G79">
            <v>1.32975585764888E-3</v>
          </cell>
          <cell r="H79">
            <v>1.6628931409732701E-3</v>
          </cell>
          <cell r="I79">
            <v>1.5347428986770201E-4</v>
          </cell>
          <cell r="J79">
            <v>1.12038313332212E-4</v>
          </cell>
          <cell r="K79">
            <v>2.2206715993926401E-4</v>
          </cell>
          <cell r="L79">
            <v>2.73919537474368E-5</v>
          </cell>
          <cell r="M79">
            <v>6.0723741115526398E-5</v>
          </cell>
          <cell r="N79">
            <v>5.1102090322221402E-5</v>
          </cell>
          <cell r="O79">
            <v>1.4698050002193199E-4</v>
          </cell>
          <cell r="P79">
            <v>5.1429926478649803E-4</v>
          </cell>
          <cell r="Q79">
            <v>3.7500954841145201E-5</v>
          </cell>
          <cell r="R79">
            <v>1.1257975608851001E-5</v>
          </cell>
          <cell r="S79">
            <v>1.1257975608851001E-5</v>
          </cell>
          <cell r="T79">
            <v>2.7710362954976299E-5</v>
          </cell>
          <cell r="U79">
            <v>2.3887445002438601E-6</v>
          </cell>
          <cell r="V79">
            <v>1.7424716262445301E-5</v>
          </cell>
        </row>
        <row r="80">
          <cell r="B80">
            <v>2.02632353177162E-4</v>
          </cell>
          <cell r="C80">
            <v>3.8060453314709099E-5</v>
          </cell>
          <cell r="D80">
            <v>3.1749141964156797E-5</v>
          </cell>
          <cell r="E80">
            <v>5.99056327879187E-5</v>
          </cell>
          <cell r="F80">
            <v>5.3617834842718798E-5</v>
          </cell>
          <cell r="G80">
            <v>7.7134573911632402E-4</v>
          </cell>
          <cell r="H80">
            <v>9.5988244200042195E-4</v>
          </cell>
          <cell r="I80">
            <v>8.9683780166885605E-5</v>
          </cell>
          <cell r="J80">
            <v>3.96634452463612E-5</v>
          </cell>
          <cell r="K80">
            <v>7.7119029646661893E-5</v>
          </cell>
          <cell r="L80">
            <v>9.5196854592560195E-6</v>
          </cell>
          <cell r="M80">
            <v>1.8792608708883699E-5</v>
          </cell>
          <cell r="N80">
            <v>1.3087224760444701E-5</v>
          </cell>
          <cell r="O80">
            <v>5.7253850920473801E-5</v>
          </cell>
          <cell r="P80">
            <v>2.1913789620190601E-4</v>
          </cell>
          <cell r="Q80">
            <v>2.82482191229469E-5</v>
          </cell>
          <cell r="R80">
            <v>7.7272316256915602E-6</v>
          </cell>
          <cell r="S80">
            <v>7.7272316256915704E-6</v>
          </cell>
          <cell r="T80">
            <v>8.2186970516571902E-6</v>
          </cell>
          <cell r="U80">
            <v>7.472065792786E-7</v>
          </cell>
          <cell r="V80">
            <v>3.7351784684731298E-6</v>
          </cell>
        </row>
        <row r="81">
          <cell r="B81">
            <v>1.70865505160655E-4</v>
          </cell>
          <cell r="C81">
            <v>2.9650870049547701E-4</v>
          </cell>
          <cell r="D81">
            <v>9.2161331207673403E-5</v>
          </cell>
          <cell r="E81">
            <v>1.27248029846097E-4</v>
          </cell>
          <cell r="F81">
            <v>1.2949897074048E-4</v>
          </cell>
          <cell r="G81">
            <v>2.8194570115600199E-3</v>
          </cell>
          <cell r="H81">
            <v>3.1359811455271701E-3</v>
          </cell>
          <cell r="I81">
            <v>2.66629744245051E-4</v>
          </cell>
          <cell r="J81">
            <v>1.5187950887589401E-4</v>
          </cell>
          <cell r="K81">
            <v>3.0415012623066898E-4</v>
          </cell>
          <cell r="L81">
            <v>3.40307977815541E-5</v>
          </cell>
          <cell r="M81">
            <v>8.2195983414110597E-5</v>
          </cell>
          <cell r="N81">
            <v>9.2782515768875898E-5</v>
          </cell>
          <cell r="O81">
            <v>4.8007642632627698E-4</v>
          </cell>
          <cell r="P81">
            <v>3.1227448488731902E-4</v>
          </cell>
          <cell r="Q81">
            <v>1.47466077870211E-4</v>
          </cell>
          <cell r="R81">
            <v>1.0326482894561E-5</v>
          </cell>
          <cell r="S81">
            <v>1.0326482894561E-5</v>
          </cell>
          <cell r="T81">
            <v>9.2710739926508395E-5</v>
          </cell>
          <cell r="U81">
            <v>9.1494115368673706E-6</v>
          </cell>
          <cell r="V81">
            <v>3.5629356396544201E-5</v>
          </cell>
        </row>
        <row r="82">
          <cell r="B82">
            <v>1.5951605619348199E-5</v>
          </cell>
          <cell r="C82">
            <v>9.1110088622434701E-6</v>
          </cell>
          <cell r="D82">
            <v>3.96898461778239E-6</v>
          </cell>
          <cell r="E82">
            <v>1.31872783137378E-5</v>
          </cell>
          <cell r="F82">
            <v>1.2041321898687E-5</v>
          </cell>
          <cell r="G82">
            <v>2.03969700218559E-4</v>
          </cell>
          <cell r="H82">
            <v>2.2493989954695701E-4</v>
          </cell>
          <cell r="I82">
            <v>2.48179044551278E-5</v>
          </cell>
          <cell r="J82">
            <v>1.36295854817307E-5</v>
          </cell>
          <cell r="K82">
            <v>2.6338478337909901E-5</v>
          </cell>
          <cell r="L82">
            <v>3.5428383741703301E-6</v>
          </cell>
          <cell r="M82">
            <v>4.0436116726382602E-6</v>
          </cell>
          <cell r="N82">
            <v>2.9551499129921099E-6</v>
          </cell>
          <cell r="O82">
            <v>1.99242351468759E-5</v>
          </cell>
          <cell r="P82">
            <v>2.4530358770158598E-5</v>
          </cell>
          <cell r="Q82">
            <v>3.12264420219156E-4</v>
          </cell>
          <cell r="R82">
            <v>1.7149777832530399E-6</v>
          </cell>
          <cell r="S82">
            <v>1.7149777832530399E-6</v>
          </cell>
          <cell r="T82">
            <v>2.8220396785200401E-6</v>
          </cell>
          <cell r="U82">
            <v>9.7047520431913693E-7</v>
          </cell>
          <cell r="V82">
            <v>3.9839556271831899E-6</v>
          </cell>
        </row>
        <row r="83">
          <cell r="B83">
            <v>9.0366496289934003E-6</v>
          </cell>
          <cell r="C83">
            <v>3.34515584742981E-5</v>
          </cell>
          <cell r="D83">
            <v>8.6431424388801692E-6</v>
          </cell>
          <cell r="E83">
            <v>1.3348433603170399E-5</v>
          </cell>
          <cell r="F83">
            <v>1.59591542313412E-5</v>
          </cell>
          <cell r="G83">
            <v>4.2062223061010602E-3</v>
          </cell>
          <cell r="H83">
            <v>4.2852975296679002E-3</v>
          </cell>
          <cell r="I83">
            <v>9.3596404351459206E-5</v>
          </cell>
          <cell r="J83">
            <v>1.0837874321367199E-5</v>
          </cell>
          <cell r="K83">
            <v>1.8869888058554199E-5</v>
          </cell>
          <cell r="L83">
            <v>5.4660033261106397E-6</v>
          </cell>
          <cell r="M83">
            <v>1.05423626010099E-5</v>
          </cell>
          <cell r="N83">
            <v>1.46290812918585E-5</v>
          </cell>
          <cell r="O83">
            <v>2.4682630383344401E-6</v>
          </cell>
          <cell r="P83">
            <v>8.8651488098675392E-6</v>
          </cell>
          <cell r="Q83">
            <v>2.4601197121680698E-4</v>
          </cell>
          <cell r="R83">
            <v>2.0783453776497499E-6</v>
          </cell>
          <cell r="S83">
            <v>2.0783453776497499E-6</v>
          </cell>
          <cell r="T83">
            <v>2.9373928187649601E-6</v>
          </cell>
          <cell r="U83">
            <v>2.6151007337408199E-6</v>
          </cell>
          <cell r="V83">
            <v>4.9438736703605402E-6</v>
          </cell>
        </row>
        <row r="84">
          <cell r="B84">
            <v>8.6035397783405394E-8</v>
          </cell>
          <cell r="C84">
            <v>8.4765890244920008E-9</v>
          </cell>
          <cell r="D84">
            <v>7.1281056474228395E-8</v>
          </cell>
          <cell r="E84">
            <v>7.8836990771720995E-8</v>
          </cell>
          <cell r="F84">
            <v>9.2304704422628905E-8</v>
          </cell>
          <cell r="G84">
            <v>3.6702367043394698E-4</v>
          </cell>
          <cell r="H84">
            <v>3.7492763881250398E-4</v>
          </cell>
          <cell r="I84">
            <v>7.0829288802974696E-6</v>
          </cell>
          <cell r="J84">
            <v>2.0712417064868401E-7</v>
          </cell>
          <cell r="K84">
            <v>2.8328601953452798E-7</v>
          </cell>
          <cell r="L84">
            <v>3.89805725116517E-8</v>
          </cell>
          <cell r="M84">
            <v>4.6851485057264701E-8</v>
          </cell>
          <cell r="N84">
            <v>3.3206537214747597E-8</v>
          </cell>
          <cell r="O84">
            <v>7.8604909072974002E-8</v>
          </cell>
          <cell r="P84">
            <v>2.4697540768162898E-7</v>
          </cell>
          <cell r="Q84">
            <v>9.53467422533602E-7</v>
          </cell>
          <cell r="R84">
            <v>2.1324305506285199E-8</v>
          </cell>
          <cell r="S84">
            <v>2.1324305506285199E-8</v>
          </cell>
          <cell r="T84">
            <v>1.71849031988797E-8</v>
          </cell>
          <cell r="U84">
            <v>3.08678492730288E-7</v>
          </cell>
          <cell r="V84">
            <v>2.05415151076479E-9</v>
          </cell>
        </row>
        <row r="85">
          <cell r="B85">
            <v>7.5522760802157696E-5</v>
          </cell>
          <cell r="C85">
            <v>1.92548061627304E-4</v>
          </cell>
          <cell r="D85">
            <v>2.21789908323414E-4</v>
          </cell>
          <cell r="E85">
            <v>1.43372700206412E-3</v>
          </cell>
          <cell r="F85">
            <v>1.3148948221556099E-3</v>
          </cell>
          <cell r="G85">
            <v>6.16658202414841E-2</v>
          </cell>
          <cell r="H85">
            <v>7.2741771567330402E-2</v>
          </cell>
          <cell r="I85">
            <v>1.4726229696442199E-2</v>
          </cell>
          <cell r="J85">
            <v>1.9249048856374699E-4</v>
          </cell>
          <cell r="K85">
            <v>3.7767319476146398E-4</v>
          </cell>
          <cell r="L85">
            <v>6.3179812383657103E-5</v>
          </cell>
          <cell r="M85">
            <v>5.8495442033825303E-5</v>
          </cell>
          <cell r="N85">
            <v>4.9104388573427899E-5</v>
          </cell>
          <cell r="O85">
            <v>7.1996741179571999E-4</v>
          </cell>
          <cell r="P85">
            <v>3.04596919345065E-4</v>
          </cell>
          <cell r="Q85">
            <v>6.7430035739826297E-4</v>
          </cell>
          <cell r="R85">
            <v>2.34081359267076E-5</v>
          </cell>
          <cell r="S85">
            <v>2.3408135926707702E-5</v>
          </cell>
          <cell r="T85">
            <v>6.0319627475132003E-5</v>
          </cell>
          <cell r="U85">
            <v>1.1007546865164701E-5</v>
          </cell>
          <cell r="V85">
            <v>1.7059101685800998E-5</v>
          </cell>
        </row>
        <row r="86">
          <cell r="B86">
            <v>8.8062495485758297E-4</v>
          </cell>
          <cell r="C86">
            <v>3.62569614846181E-3</v>
          </cell>
          <cell r="D86">
            <v>1.4774513054240199E-3</v>
          </cell>
          <cell r="E86">
            <v>1.06613766790528E-2</v>
          </cell>
          <cell r="F86">
            <v>9.8672428912474491E-3</v>
          </cell>
          <cell r="G86">
            <v>8.6184981834572197E-2</v>
          </cell>
          <cell r="H86">
            <v>9.8934798526672196E-2</v>
          </cell>
          <cell r="I86">
            <v>2.2402321751589301E-2</v>
          </cell>
          <cell r="J86">
            <v>2.87680237992269E-3</v>
          </cell>
          <cell r="K86">
            <v>5.4951852727337701E-3</v>
          </cell>
          <cell r="L86">
            <v>1.4139459840396701E-3</v>
          </cell>
          <cell r="M86">
            <v>1.03662810863545E-3</v>
          </cell>
          <cell r="N86">
            <v>9.9895795080199895E-4</v>
          </cell>
          <cell r="O86">
            <v>3.1294821900973899E-3</v>
          </cell>
          <cell r="P86">
            <v>3.23948168443902E-3</v>
          </cell>
          <cell r="Q86">
            <v>4.6281821114931498E-4</v>
          </cell>
          <cell r="R86">
            <v>9.6843697588147202E-4</v>
          </cell>
          <cell r="S86">
            <v>9.6843697588147495E-4</v>
          </cell>
          <cell r="T86">
            <v>5.9066432768137504E-3</v>
          </cell>
          <cell r="U86">
            <v>1.2295645877325901E-4</v>
          </cell>
          <cell r="V86">
            <v>8.25421684622216E-5</v>
          </cell>
        </row>
        <row r="87">
          <cell r="B87">
            <v>1.2975767643744101E-3</v>
          </cell>
          <cell r="C87">
            <v>2.8694198441743301E-3</v>
          </cell>
          <cell r="D87">
            <v>4.3430533472242801E-3</v>
          </cell>
          <cell r="E87">
            <v>4.42024715405148E-2</v>
          </cell>
          <cell r="F87">
            <v>3.9192696964078302E-2</v>
          </cell>
          <cell r="G87">
            <v>7.6912936999679804E-3</v>
          </cell>
          <cell r="H87">
            <v>8.9259323874253896E-3</v>
          </cell>
          <cell r="I87">
            <v>1.8263956074753999E-2</v>
          </cell>
          <cell r="J87">
            <v>4.0390177797142497E-2</v>
          </cell>
          <cell r="K87">
            <v>1.81783029365724E-2</v>
          </cell>
          <cell r="L87">
            <v>2.7404594834053799E-2</v>
          </cell>
          <cell r="M87">
            <v>9.4115646099642899E-3</v>
          </cell>
          <cell r="N87">
            <v>6.73647933714119E-3</v>
          </cell>
          <cell r="O87">
            <v>9.9748182522043098E-4</v>
          </cell>
          <cell r="P87">
            <v>7.8799748357054403E-3</v>
          </cell>
          <cell r="Q87">
            <v>1.24271921909558E-3</v>
          </cell>
          <cell r="R87">
            <v>8.3894151196640798E-3</v>
          </cell>
          <cell r="S87">
            <v>8.3894151196640902E-3</v>
          </cell>
          <cell r="T87">
            <v>1.3828060495321699E-3</v>
          </cell>
          <cell r="U87">
            <v>1.7155975225413599E-5</v>
          </cell>
          <cell r="V87">
            <v>5.6627615860247197E-5</v>
          </cell>
        </row>
        <row r="88">
          <cell r="B88">
            <v>7.5614508124041103E-6</v>
          </cell>
          <cell r="C88">
            <v>2.2493855822139301E-5</v>
          </cell>
          <cell r="D88">
            <v>1.6820958732086499E-5</v>
          </cell>
          <cell r="E88">
            <v>9.4509892795263499E-5</v>
          </cell>
          <cell r="F88">
            <v>8.2399891970097604E-5</v>
          </cell>
          <cell r="G88">
            <v>8.3593065225505699E-5</v>
          </cell>
          <cell r="H88">
            <v>9.4590759494364197E-5</v>
          </cell>
          <cell r="I88">
            <v>4.3737759252145098E-4</v>
          </cell>
          <cell r="J88">
            <v>1.0242525711619601E-4</v>
          </cell>
          <cell r="K88">
            <v>1.91551138842451E-4</v>
          </cell>
          <cell r="L88">
            <v>5.4982201417902603E-5</v>
          </cell>
          <cell r="M88">
            <v>3.0457715570212601E-5</v>
          </cell>
          <cell r="N88">
            <v>2.4097425888759599E-5</v>
          </cell>
          <cell r="O88">
            <v>5.6999348196475702E-5</v>
          </cell>
          <cell r="P88">
            <v>9.3845950430850497E-5</v>
          </cell>
          <cell r="Q88">
            <v>3.7123204524345E-5</v>
          </cell>
          <cell r="R88">
            <v>2.6097762713719999E-5</v>
          </cell>
          <cell r="S88">
            <v>2.6097762713720101E-5</v>
          </cell>
          <cell r="T88">
            <v>6.0078773407806402E-5</v>
          </cell>
          <cell r="U88">
            <v>7.1763326980455795E-7</v>
          </cell>
          <cell r="V88">
            <v>2.6414559386483101E-7</v>
          </cell>
        </row>
        <row r="89">
          <cell r="B89">
            <v>7.8532628743868801E-4</v>
          </cell>
          <cell r="C89">
            <v>3.6879611765475201E-3</v>
          </cell>
          <cell r="D89">
            <v>1.2178518924449099E-3</v>
          </cell>
          <cell r="E89">
            <v>4.2573499307659701E-3</v>
          </cell>
          <cell r="F89">
            <v>3.9916679034434199E-3</v>
          </cell>
          <cell r="G89">
            <v>2.6088480296050302E-3</v>
          </cell>
          <cell r="H89">
            <v>3.11527345818479E-3</v>
          </cell>
          <cell r="I89">
            <v>6.7916756976679094E-2</v>
          </cell>
          <cell r="J89">
            <v>2.7141427142226199E-2</v>
          </cell>
          <cell r="K89">
            <v>0.101462028600419</v>
          </cell>
          <cell r="L89">
            <v>9.4148792560986398E-3</v>
          </cell>
          <cell r="M89">
            <v>8.6942218381764504E-3</v>
          </cell>
          <cell r="N89">
            <v>7.6593221269091703E-3</v>
          </cell>
          <cell r="O89">
            <v>1.5307896591996399E-2</v>
          </cell>
          <cell r="P89">
            <v>4.9099797830625097E-2</v>
          </cell>
          <cell r="Q89">
            <v>2.4777830276884499E-2</v>
          </cell>
          <cell r="R89">
            <v>9.5716004342947907E-3</v>
          </cell>
          <cell r="S89">
            <v>9.5716004342947993E-3</v>
          </cell>
          <cell r="T89">
            <v>9.1104983702187704E-3</v>
          </cell>
          <cell r="U89">
            <v>1.3164929783584701E-4</v>
          </cell>
          <cell r="V89">
            <v>6.1764162920422203E-5</v>
          </cell>
        </row>
        <row r="90">
          <cell r="B90">
            <v>4.8992156042393896E-4</v>
          </cell>
          <cell r="C90">
            <v>6.8609769655439304E-4</v>
          </cell>
          <cell r="D90">
            <v>2.3422591411693001E-4</v>
          </cell>
          <cell r="E90">
            <v>3.9549845016022099E-4</v>
          </cell>
          <cell r="F90">
            <v>4.6074700822858498E-4</v>
          </cell>
          <cell r="G90">
            <v>4.3646691329505101E-4</v>
          </cell>
          <cell r="H90">
            <v>5.1058841977657296E-4</v>
          </cell>
          <cell r="I90">
            <v>7.0530638240300899E-3</v>
          </cell>
          <cell r="J90">
            <v>5.3485012168703601E-4</v>
          </cell>
          <cell r="K90">
            <v>1.3758313237966001E-3</v>
          </cell>
          <cell r="L90">
            <v>2.3179092224845401E-4</v>
          </cell>
          <cell r="M90">
            <v>2.4354424817162E-4</v>
          </cell>
          <cell r="N90">
            <v>2.7231612021225599E-4</v>
          </cell>
          <cell r="O90">
            <v>2.4262638000980199E-4</v>
          </cell>
          <cell r="P90">
            <v>1.2412945495646401E-3</v>
          </cell>
          <cell r="Q90">
            <v>3.0046773286326802E-4</v>
          </cell>
          <cell r="R90">
            <v>1.9118957291166101E-4</v>
          </cell>
          <cell r="S90">
            <v>1.9118957291166101E-4</v>
          </cell>
          <cell r="T90">
            <v>1.03492004736503E-4</v>
          </cell>
          <cell r="U90">
            <v>1.1865586741825801E-5</v>
          </cell>
          <cell r="V90">
            <v>5.7442026160210103E-5</v>
          </cell>
        </row>
        <row r="91">
          <cell r="B91">
            <v>6.87240465499072E-5</v>
          </cell>
          <cell r="C91">
            <v>2.4542061682552798E-4</v>
          </cell>
          <cell r="D91">
            <v>2.01363432015958E-4</v>
          </cell>
          <cell r="E91">
            <v>5.7269915865769199E-4</v>
          </cell>
          <cell r="F91">
            <v>5.1089410714743005E-4</v>
          </cell>
          <cell r="G91">
            <v>3.7305482228500099E-4</v>
          </cell>
          <cell r="H91">
            <v>4.0868688183574999E-4</v>
          </cell>
          <cell r="I91">
            <v>1.0570080160432699E-3</v>
          </cell>
          <cell r="J91">
            <v>6.3043084386420103E-4</v>
          </cell>
          <cell r="K91">
            <v>9.4077403005206502E-4</v>
          </cell>
          <cell r="L91">
            <v>3.6901047670596698E-4</v>
          </cell>
          <cell r="M91">
            <v>1.8202258459692401E-4</v>
          </cell>
          <cell r="N91">
            <v>1.4759518338021901E-4</v>
          </cell>
          <cell r="O91">
            <v>3.9968045626878699E-4</v>
          </cell>
          <cell r="P91">
            <v>4.4819146138886902E-4</v>
          </cell>
          <cell r="Q91">
            <v>4.0574251908634401E-4</v>
          </cell>
          <cell r="R91">
            <v>1.79034854606857E-4</v>
          </cell>
          <cell r="S91">
            <v>1.79034854606857E-4</v>
          </cell>
          <cell r="T91">
            <v>1.64735017263028E-4</v>
          </cell>
          <cell r="U91">
            <v>3.9783008440760201E-6</v>
          </cell>
          <cell r="V91">
            <v>2.0219449033516401E-5</v>
          </cell>
        </row>
        <row r="92">
          <cell r="B92">
            <v>2.1764730515531901E-3</v>
          </cell>
          <cell r="C92">
            <v>2.8485414516050602E-3</v>
          </cell>
          <cell r="D92">
            <v>1.2137852969441099E-3</v>
          </cell>
          <cell r="E92">
            <v>1.4551002917508601E-2</v>
          </cell>
          <cell r="F92">
            <v>1.35512083126471E-2</v>
          </cell>
          <cell r="G92">
            <v>2.89704417220501E-2</v>
          </cell>
          <cell r="H92">
            <v>3.2922441731574E-2</v>
          </cell>
          <cell r="I92">
            <v>0.31634159702885301</v>
          </cell>
          <cell r="J92">
            <v>4.5359919658695498E-3</v>
          </cell>
          <cell r="K92">
            <v>9.3690310085893496E-3</v>
          </cell>
          <cell r="L92">
            <v>2.3091575718866201E-3</v>
          </cell>
          <cell r="M92">
            <v>1.6592660594785E-3</v>
          </cell>
          <cell r="N92">
            <v>1.73303965885086E-3</v>
          </cell>
          <cell r="O92">
            <v>4.63890111589212E-4</v>
          </cell>
          <cell r="P92">
            <v>6.8581466798074402E-3</v>
          </cell>
          <cell r="Q92">
            <v>3.6680353116297598E-4</v>
          </cell>
          <cell r="R92">
            <v>1.29605818453029E-3</v>
          </cell>
          <cell r="S92">
            <v>1.2960581845303E-3</v>
          </cell>
          <cell r="T92">
            <v>9.7613359583853597E-4</v>
          </cell>
          <cell r="U92">
            <v>1.1080326310732399E-5</v>
          </cell>
          <cell r="V92">
            <v>1.52996485826194E-4</v>
          </cell>
        </row>
        <row r="93">
          <cell r="B93">
            <v>2.7002094192828799E-5</v>
          </cell>
          <cell r="C93">
            <v>7.3438046268200206E-5</v>
          </cell>
          <cell r="D93">
            <v>4.9975098923418402E-5</v>
          </cell>
          <cell r="E93">
            <v>3.9013580316701201E-4</v>
          </cell>
          <cell r="F93">
            <v>3.5011238520042697E-4</v>
          </cell>
          <cell r="G93">
            <v>7.29802075624112E-4</v>
          </cell>
          <cell r="H93">
            <v>8.4341223701442196E-4</v>
          </cell>
          <cell r="I93">
            <v>1.37392451559817E-3</v>
          </cell>
          <cell r="J93">
            <v>4.58947194473336E-4</v>
          </cell>
          <cell r="K93">
            <v>8.8599733737021696E-4</v>
          </cell>
          <cell r="L93">
            <v>2.4537747498524403E-4</v>
          </cell>
          <cell r="M93">
            <v>1.3022073236869901E-4</v>
          </cell>
          <cell r="N93">
            <v>1.06849828260614E-4</v>
          </cell>
          <cell r="O93">
            <v>7.5817431794916496E-5</v>
          </cell>
          <cell r="P93">
            <v>4.8941347213886995E-4</v>
          </cell>
          <cell r="Q93">
            <v>9.1640739648459596E-5</v>
          </cell>
          <cell r="R93">
            <v>1.24132558900916E-4</v>
          </cell>
          <cell r="S93">
            <v>1.24132558900916E-4</v>
          </cell>
          <cell r="T93">
            <v>2.1887386302202401E-4</v>
          </cell>
          <cell r="U93">
            <v>4.4364884252703903E-6</v>
          </cell>
          <cell r="V93">
            <v>2.0596282527033301E-6</v>
          </cell>
        </row>
        <row r="94">
          <cell r="B94">
            <v>1.23264937575068E-4</v>
          </cell>
          <cell r="C94">
            <v>5.8664611997044603E-4</v>
          </cell>
          <cell r="D94">
            <v>4.2323247920165102E-4</v>
          </cell>
          <cell r="E94">
            <v>6.6370374998748604E-4</v>
          </cell>
          <cell r="F94">
            <v>5.7061805323427002E-4</v>
          </cell>
          <cell r="G94">
            <v>3.11043436662274E-3</v>
          </cell>
          <cell r="H94">
            <v>3.3856155683121502E-3</v>
          </cell>
          <cell r="I94">
            <v>1.27436700766495E-3</v>
          </cell>
          <cell r="J94">
            <v>3.3714839416411899E-4</v>
          </cell>
          <cell r="K94">
            <v>4.48386335750305E-4</v>
          </cell>
          <cell r="L94">
            <v>1.5707957642028801E-4</v>
          </cell>
          <cell r="M94">
            <v>1.10597392919944E-4</v>
          </cell>
          <cell r="N94">
            <v>8.8305544445632203E-5</v>
          </cell>
          <cell r="O94">
            <v>6.4641441257008397E-5</v>
          </cell>
          <cell r="P94">
            <v>3.2435886235003899E-4</v>
          </cell>
          <cell r="Q94">
            <v>2.2979877715031301E-4</v>
          </cell>
          <cell r="R94">
            <v>8.2335771885369305E-5</v>
          </cell>
          <cell r="S94">
            <v>8.2335771885369604E-5</v>
          </cell>
          <cell r="T94">
            <v>7.7590769598448797E-4</v>
          </cell>
          <cell r="U94">
            <v>4.5693350800034599E-6</v>
          </cell>
          <cell r="V94">
            <v>9.8986665829497905E-5</v>
          </cell>
        </row>
        <row r="95">
          <cell r="B95">
            <v>1.2976488083071499E-4</v>
          </cell>
          <cell r="C95">
            <v>3.6315192537078302E-4</v>
          </cell>
          <cell r="D95">
            <v>1.12732231398091E-4</v>
          </cell>
          <cell r="E95">
            <v>9.2644119956756404E-5</v>
          </cell>
          <cell r="F95">
            <v>1.05646760220718E-4</v>
          </cell>
          <cell r="G95">
            <v>0.12297476016742501</v>
          </cell>
          <cell r="H95">
            <v>0.136364807713034</v>
          </cell>
          <cell r="I95">
            <v>1.58470330732762E-4</v>
          </cell>
          <cell r="J95">
            <v>3.2527713362672402E-5</v>
          </cell>
          <cell r="K95">
            <v>1.1960310775241401E-4</v>
          </cell>
          <cell r="L95">
            <v>1.6657657361941699E-5</v>
          </cell>
          <cell r="M95">
            <v>7.6344187058682603E-5</v>
          </cell>
          <cell r="N95">
            <v>5.0120977387598997E-5</v>
          </cell>
          <cell r="O95">
            <v>1.40430433945579E-4</v>
          </cell>
          <cell r="P95">
            <v>1.65614104721719E-4</v>
          </cell>
          <cell r="Q95">
            <v>1.9447323019069899E-4</v>
          </cell>
          <cell r="R95">
            <v>1.7321434691212701E-5</v>
          </cell>
          <cell r="S95">
            <v>1.7321434691212701E-5</v>
          </cell>
          <cell r="T95">
            <v>2.8398620266961299E-5</v>
          </cell>
          <cell r="U95">
            <v>4.5170987136897202E-7</v>
          </cell>
          <cell r="V95">
            <v>2.5835854846045901E-6</v>
          </cell>
        </row>
        <row r="96">
          <cell r="B96">
            <v>1.0765062339575799E-3</v>
          </cell>
          <cell r="C96">
            <v>4.94856892725176E-5</v>
          </cell>
          <cell r="D96">
            <v>1.12809939112791E-5</v>
          </cell>
          <cell r="E96">
            <v>6.2103714690626001E-5</v>
          </cell>
          <cell r="F96">
            <v>5.20202641766741E-5</v>
          </cell>
          <cell r="G96">
            <v>6.7495591055406203E-4</v>
          </cell>
          <cell r="H96">
            <v>7.6090137713652895E-4</v>
          </cell>
          <cell r="I96">
            <v>1.12892214175054E-4</v>
          </cell>
          <cell r="J96">
            <v>1.58975362030599E-5</v>
          </cell>
          <cell r="K96">
            <v>1.2355511858528801E-4</v>
          </cell>
          <cell r="L96">
            <v>5.3944695680493603E-6</v>
          </cell>
          <cell r="M96">
            <v>1.03434838803883E-5</v>
          </cell>
          <cell r="N96">
            <v>9.6352110114722606E-6</v>
          </cell>
          <cell r="O96">
            <v>6.21818087418901E-4</v>
          </cell>
          <cell r="P96">
            <v>2.8572184755178799E-4</v>
          </cell>
          <cell r="Q96">
            <v>1.6571756397194999E-3</v>
          </cell>
          <cell r="R96">
            <v>5.31056529141152E-6</v>
          </cell>
          <cell r="S96">
            <v>5.3105652914115301E-6</v>
          </cell>
          <cell r="T96">
            <v>8.6382214202418298E-4</v>
          </cell>
          <cell r="U96">
            <v>1.9538283965824601E-5</v>
          </cell>
          <cell r="V96">
            <v>1.5246008765371601E-4</v>
          </cell>
        </row>
        <row r="97">
          <cell r="B97">
            <v>2.4474877346843799E-4</v>
          </cell>
          <cell r="C97">
            <v>2.5889863919273102E-3</v>
          </cell>
          <cell r="D97">
            <v>4.5176509017278103E-3</v>
          </cell>
          <cell r="E97">
            <v>8.51974436228768E-3</v>
          </cell>
          <cell r="F97">
            <v>3.7324439747756901E-3</v>
          </cell>
          <cell r="G97">
            <v>2.61380390360051E-3</v>
          </cell>
          <cell r="H97">
            <v>1.11759578541454E-2</v>
          </cell>
          <cell r="I97">
            <v>1.6045727041877E-3</v>
          </cell>
          <cell r="J97">
            <v>1.8991982309404101E-4</v>
          </cell>
          <cell r="K97">
            <v>2.7073148132958802E-4</v>
          </cell>
          <cell r="L97">
            <v>6.4513514082323298E-5</v>
          </cell>
          <cell r="M97">
            <v>1.1142013391870899E-4</v>
          </cell>
          <cell r="N97">
            <v>1.3144560234639799E-4</v>
          </cell>
          <cell r="O97">
            <v>2.16865250690182E-4</v>
          </cell>
          <cell r="P97">
            <v>2.7800594975965201E-4</v>
          </cell>
          <cell r="Q97">
            <v>1.33986353189564E-5</v>
          </cell>
          <cell r="R97">
            <v>1.09293291087792E-4</v>
          </cell>
          <cell r="S97">
            <v>1.09293291087792E-4</v>
          </cell>
          <cell r="T97">
            <v>2.9421101607451899E-5</v>
          </cell>
          <cell r="U97">
            <v>4.9118954075536801E-7</v>
          </cell>
          <cell r="V97">
            <v>8.7838194362857807E-6</v>
          </cell>
        </row>
        <row r="98">
          <cell r="B98">
            <v>2.2462004639810701E-5</v>
          </cell>
          <cell r="C98">
            <v>8.1662075691264595E-5</v>
          </cell>
          <cell r="D98">
            <v>7.0137183206178306E-5</v>
          </cell>
          <cell r="E98">
            <v>5.0144068549209901E-5</v>
          </cell>
          <cell r="F98">
            <v>2.37528491962638E-5</v>
          </cell>
          <cell r="G98">
            <v>4.9562343982420399E-5</v>
          </cell>
          <cell r="H98">
            <v>1.80554883626878E-4</v>
          </cell>
          <cell r="I98">
            <v>5.1804932393656702E-5</v>
          </cell>
          <cell r="J98">
            <v>2.3579645993773599E-5</v>
          </cell>
          <cell r="K98">
            <v>6.05139389176341E-5</v>
          </cell>
          <cell r="L98">
            <v>9.2080171365813103E-6</v>
          </cell>
          <cell r="M98">
            <v>1.9212620331360002E-5</v>
          </cell>
          <cell r="N98">
            <v>1.3964880589648299E-5</v>
          </cell>
          <cell r="O98">
            <v>1.13947611275732E-4</v>
          </cell>
          <cell r="P98">
            <v>2.97040786233609E-5</v>
          </cell>
          <cell r="Q98">
            <v>4.0520545377474001E-5</v>
          </cell>
          <cell r="R98">
            <v>9.8995838179648392E-6</v>
          </cell>
          <cell r="S98">
            <v>9.8995838179648596E-6</v>
          </cell>
          <cell r="T98">
            <v>8.5998822282437506E-5</v>
          </cell>
          <cell r="U98">
            <v>1.2577426912922799E-6</v>
          </cell>
          <cell r="V98">
            <v>2.9430564572967001E-5</v>
          </cell>
        </row>
        <row r="99">
          <cell r="B99">
            <v>2.9041342622646802E-4</v>
          </cell>
          <cell r="C99">
            <v>1.8950531346734001E-3</v>
          </cell>
          <cell r="D99">
            <v>3.3409401562030502E-3</v>
          </cell>
          <cell r="E99">
            <v>6.5666744549239204E-3</v>
          </cell>
          <cell r="F99">
            <v>2.9144996357411898E-3</v>
          </cell>
          <cell r="G99">
            <v>1.77290468245335E-3</v>
          </cell>
          <cell r="H99">
            <v>7.6997117953459598E-3</v>
          </cell>
          <cell r="I99">
            <v>1.1561089349864601E-3</v>
          </cell>
          <cell r="J99">
            <v>1.8746122812531799E-4</v>
          </cell>
          <cell r="K99">
            <v>2.5056600662024198E-4</v>
          </cell>
          <cell r="L99">
            <v>6.2092507854592298E-5</v>
          </cell>
          <cell r="M99">
            <v>1.15353801384932E-4</v>
          </cell>
          <cell r="N99">
            <v>1.29981245048177E-4</v>
          </cell>
          <cell r="O99">
            <v>1.0165320550290701E-4</v>
          </cell>
          <cell r="P99">
            <v>2.69205840586952E-4</v>
          </cell>
          <cell r="Q99">
            <v>3.9264082380793804E-6</v>
          </cell>
          <cell r="R99">
            <v>1.08138825132048E-4</v>
          </cell>
          <cell r="S99">
            <v>1.08138825132048E-4</v>
          </cell>
          <cell r="T99">
            <v>3.5987338402436403E-5</v>
          </cell>
          <cell r="U99">
            <v>6.9119741922349399E-7</v>
          </cell>
          <cell r="V99">
            <v>7.5109562984773999E-6</v>
          </cell>
        </row>
        <row r="100">
          <cell r="B100">
            <v>2.0023637119714199E-5</v>
          </cell>
          <cell r="C100">
            <v>1.3524637682202099E-4</v>
          </cell>
          <cell r="D100">
            <v>2.12120146280756E-4</v>
          </cell>
          <cell r="E100">
            <v>4.0098674309218797E-4</v>
          </cell>
          <cell r="F100">
            <v>1.7875135940595299E-4</v>
          </cell>
          <cell r="G100">
            <v>1.14901289678793E-4</v>
          </cell>
          <cell r="H100">
            <v>4.9161600000427095E-4</v>
          </cell>
          <cell r="I100">
            <v>8.0033938129402298E-5</v>
          </cell>
          <cell r="J100">
            <v>1.6033133331581301E-5</v>
          </cell>
          <cell r="K100">
            <v>3.0847902754961799E-5</v>
          </cell>
          <cell r="L100">
            <v>5.8578971003157802E-6</v>
          </cell>
          <cell r="M100">
            <v>1.3349235421173399E-5</v>
          </cell>
          <cell r="N100">
            <v>1.07625233550481E-5</v>
          </cell>
          <cell r="O100">
            <v>1.6363267123522601E-5</v>
          </cell>
          <cell r="P100">
            <v>2.4355034982207401E-5</v>
          </cell>
          <cell r="Q100">
            <v>2.4009505349464399E-5</v>
          </cell>
          <cell r="R100">
            <v>8.7588035791569004E-6</v>
          </cell>
          <cell r="S100">
            <v>8.7588035791569004E-6</v>
          </cell>
          <cell r="T100">
            <v>1.5349405288377001E-5</v>
          </cell>
          <cell r="U100">
            <v>2.2912547658778201E-7</v>
          </cell>
          <cell r="V100">
            <v>2.7661046274818299E-5</v>
          </cell>
        </row>
        <row r="101">
          <cell r="B101">
            <v>1.37298155196492E-5</v>
          </cell>
          <cell r="C101">
            <v>2.9736475108600101E-5</v>
          </cell>
          <cell r="D101">
            <v>4.0171547932160302E-5</v>
          </cell>
          <cell r="E101">
            <v>7.4378301385586503E-5</v>
          </cell>
          <cell r="F101">
            <v>3.4168970306975598E-5</v>
          </cell>
          <cell r="G101">
            <v>2.3859152415101702E-5</v>
          </cell>
          <cell r="H101">
            <v>9.7940968819567703E-5</v>
          </cell>
          <cell r="I101">
            <v>2.21581955974504E-5</v>
          </cell>
          <cell r="J101">
            <v>7.8445408799459797E-6</v>
          </cell>
          <cell r="K101">
            <v>1.9045928145342499E-5</v>
          </cell>
          <cell r="L101">
            <v>2.89913625340271E-6</v>
          </cell>
          <cell r="M101">
            <v>5.0857510227404399E-6</v>
          </cell>
          <cell r="N101">
            <v>4.9125021418168396E-6</v>
          </cell>
          <cell r="O101">
            <v>3.9616562900569101E-5</v>
          </cell>
          <cell r="P101">
            <v>1.28844128304467E-5</v>
          </cell>
          <cell r="Q101">
            <v>5.3451246604056898E-6</v>
          </cell>
          <cell r="R101">
            <v>3.0581003649247699E-6</v>
          </cell>
          <cell r="S101">
            <v>3.05810036492478E-6</v>
          </cell>
          <cell r="T101">
            <v>2.2265101869356799E-5</v>
          </cell>
          <cell r="U101">
            <v>5.9707827764642605E-7</v>
          </cell>
          <cell r="V101">
            <v>2.03537873231578E-5</v>
          </cell>
        </row>
        <row r="102">
          <cell r="B102">
            <v>5.3072151691515202E-8</v>
          </cell>
          <cell r="C102">
            <v>2.9506289366623298E-7</v>
          </cell>
          <cell r="D102">
            <v>9.4850640097901204E-8</v>
          </cell>
          <cell r="E102">
            <v>6.4999995235635296E-8</v>
          </cell>
          <cell r="F102">
            <v>7.4591819959577701E-8</v>
          </cell>
          <cell r="G102">
            <v>2.20018358998826E-8</v>
          </cell>
          <cell r="H102">
            <v>3.53731854988277E-8</v>
          </cell>
          <cell r="I102">
            <v>2.6004803163151601E-7</v>
          </cell>
          <cell r="J102">
            <v>1.9500961058771599E-7</v>
          </cell>
          <cell r="K102">
            <v>4.9060162978389902E-7</v>
          </cell>
          <cell r="L102">
            <v>8.3638148968482297E-8</v>
          </cell>
          <cell r="M102">
            <v>1.43311945526179E-7</v>
          </cell>
          <cell r="N102">
            <v>1.71994460392354E-7</v>
          </cell>
          <cell r="O102">
            <v>4.4375563891499602E-6</v>
          </cell>
          <cell r="P102">
            <v>2.3008161225727099E-7</v>
          </cell>
          <cell r="Q102">
            <v>1.1970313167089199E-7</v>
          </cell>
          <cell r="R102">
            <v>8.4683923467902103E-8</v>
          </cell>
          <cell r="S102">
            <v>8.4683923467902196E-8</v>
          </cell>
          <cell r="T102">
            <v>8.6848090917193805E-8</v>
          </cell>
          <cell r="U102">
            <v>1.9042928898912899E-8</v>
          </cell>
          <cell r="V102">
            <v>9.5429961220499305E-9</v>
          </cell>
        </row>
        <row r="103">
          <cell r="B103">
            <v>1.0694007351382899E-5</v>
          </cell>
          <cell r="C103">
            <v>3.98844551923785E-5</v>
          </cell>
          <cell r="D103">
            <v>1.5827195035048702E-5</v>
          </cell>
          <cell r="E103">
            <v>5.18878179465611E-6</v>
          </cell>
          <cell r="F103">
            <v>3.26341870373815E-6</v>
          </cell>
          <cell r="G103">
            <v>4.8587582379900104E-6</v>
          </cell>
          <cell r="H103">
            <v>1.6287050169252899E-5</v>
          </cell>
          <cell r="I103">
            <v>7.5750670053210299E-6</v>
          </cell>
          <cell r="J103">
            <v>4.2554420751478397E-6</v>
          </cell>
          <cell r="K103">
            <v>2.1260893491208402E-5</v>
          </cell>
          <cell r="L103">
            <v>2.1426557612251E-6</v>
          </cell>
          <cell r="M103">
            <v>1.24192989379644E-5</v>
          </cell>
          <cell r="N103">
            <v>3.8929024247553602E-6</v>
          </cell>
          <cell r="O103">
            <v>9.1225953534647798E-6</v>
          </cell>
          <cell r="P103">
            <v>7.4545739663570798E-6</v>
          </cell>
          <cell r="Q103">
            <v>6.5837920458583699E-6</v>
          </cell>
          <cell r="R103">
            <v>1.5339128785290201E-6</v>
          </cell>
          <cell r="S103">
            <v>1.5339128785290301E-6</v>
          </cell>
          <cell r="T103">
            <v>2.43857467993004E-5</v>
          </cell>
          <cell r="U103">
            <v>2.82229570066155E-7</v>
          </cell>
          <cell r="V103">
            <v>1.2671156162909099E-5</v>
          </cell>
        </row>
        <row r="104">
          <cell r="B104">
            <v>6.1171648027476502E-5</v>
          </cell>
          <cell r="C104">
            <v>3.1907494513485002E-4</v>
          </cell>
          <cell r="D104">
            <v>5.3236548635258595E-4</v>
          </cell>
          <cell r="E104">
            <v>9.789230328172431E-4</v>
          </cell>
          <cell r="F104">
            <v>4.4417351056326801E-4</v>
          </cell>
          <cell r="G104">
            <v>2.42048182205621E-4</v>
          </cell>
          <cell r="H104">
            <v>1.0409959591858101E-3</v>
          </cell>
          <cell r="I104">
            <v>1.7796016698912599E-4</v>
          </cell>
          <cell r="J104">
            <v>4.9219570414099599E-5</v>
          </cell>
          <cell r="K104">
            <v>6.8056238741679706E-5</v>
          </cell>
          <cell r="L104">
            <v>1.6237821031665601E-5</v>
          </cell>
          <cell r="M104">
            <v>2.9707768620171099E-5</v>
          </cell>
          <cell r="N104">
            <v>3.31850212466671E-5</v>
          </cell>
          <cell r="O104">
            <v>3.1847587090800998E-5</v>
          </cell>
          <cell r="P104">
            <v>7.2020617487036497E-5</v>
          </cell>
          <cell r="Q104">
            <v>7.6389029008288393E-6</v>
          </cell>
          <cell r="R104">
            <v>2.76980504104791E-5</v>
          </cell>
          <cell r="S104">
            <v>2.7698050410479202E-5</v>
          </cell>
          <cell r="T104">
            <v>7.5338154761772099E-6</v>
          </cell>
          <cell r="U104">
            <v>5.22621742982634E-7</v>
          </cell>
          <cell r="V104">
            <v>6.8488631211214596E-6</v>
          </cell>
        </row>
        <row r="105">
          <cell r="B105">
            <v>9.8509742840008501E-6</v>
          </cell>
          <cell r="C105">
            <v>7.8473144864104794E-5</v>
          </cell>
          <cell r="D105">
            <v>1.2474597341853799E-4</v>
          </cell>
          <cell r="E105">
            <v>2.36765489565554E-4</v>
          </cell>
          <cell r="F105">
            <v>1.0360380788966E-4</v>
          </cell>
          <cell r="G105">
            <v>7.4704670047328204E-5</v>
          </cell>
          <cell r="H105">
            <v>3.3074452182893499E-4</v>
          </cell>
          <cell r="I105">
            <v>4.6156623488737801E-5</v>
          </cell>
          <cell r="J105">
            <v>7.3175954428389101E-6</v>
          </cell>
          <cell r="K105">
            <v>1.0969799370608301E-5</v>
          </cell>
          <cell r="L105">
            <v>2.5020293226442801E-6</v>
          </cell>
          <cell r="M105">
            <v>5.1153043173806399E-6</v>
          </cell>
          <cell r="N105">
            <v>6.2866686897159602E-6</v>
          </cell>
          <cell r="O105">
            <v>4.9676368070355897E-6</v>
          </cell>
          <cell r="P105">
            <v>1.1196199732864201E-5</v>
          </cell>
          <cell r="Q105">
            <v>4.3521133923624599E-7</v>
          </cell>
          <cell r="R105">
            <v>4.1843232825974304E-6</v>
          </cell>
          <cell r="S105">
            <v>4.1843232825974397E-6</v>
          </cell>
          <cell r="T105">
            <v>1.57625790016914E-6</v>
          </cell>
          <cell r="U105">
            <v>1.63786029178587E-7</v>
          </cell>
          <cell r="V105">
            <v>1.60688724913883E-6</v>
          </cell>
        </row>
        <row r="106">
          <cell r="B106">
            <v>3.2366965306455799E-6</v>
          </cell>
          <cell r="C106">
            <v>3.9625853836620697E-5</v>
          </cell>
          <cell r="D106">
            <v>6.5658863174722495E-5</v>
          </cell>
          <cell r="E106">
            <v>1.2517820002296901E-4</v>
          </cell>
          <cell r="F106">
            <v>5.4638240587505797E-5</v>
          </cell>
          <cell r="G106">
            <v>3.9476265143633502E-5</v>
          </cell>
          <cell r="H106">
            <v>1.7480100000861001E-4</v>
          </cell>
          <cell r="I106">
            <v>2.4905623271607702E-5</v>
          </cell>
          <cell r="J106">
            <v>4.0866358473783604E-6</v>
          </cell>
          <cell r="K106">
            <v>6.0304705138217297E-6</v>
          </cell>
          <cell r="L106">
            <v>1.3680766769776799E-6</v>
          </cell>
          <cell r="M106">
            <v>2.2999022576593502E-6</v>
          </cell>
          <cell r="N106">
            <v>2.7916364135244501E-6</v>
          </cell>
          <cell r="O106">
            <v>1.2677775618125299E-5</v>
          </cell>
          <cell r="P106">
            <v>5.7370339799257003E-6</v>
          </cell>
          <cell r="Q106">
            <v>5.5174522588964505E-7</v>
          </cell>
          <cell r="R106">
            <v>2.30784782207681E-6</v>
          </cell>
          <cell r="S106">
            <v>2.3078478220768202E-6</v>
          </cell>
          <cell r="T106">
            <v>2.4899076663526301E-6</v>
          </cell>
          <cell r="U106">
            <v>6.84749441285248E-8</v>
          </cell>
          <cell r="V106">
            <v>8.0589234711712495E-8</v>
          </cell>
        </row>
        <row r="107">
          <cell r="B107">
            <v>1.51912372898467E-9</v>
          </cell>
          <cell r="C107">
            <v>2.1970401333417899E-9</v>
          </cell>
          <cell r="D107">
            <v>1.9287146365628901E-9</v>
          </cell>
          <cell r="E107">
            <v>8.8864751107379097E-10</v>
          </cell>
          <cell r="F107">
            <v>9.6369735256330706E-10</v>
          </cell>
          <cell r="G107">
            <v>1.91337258228685E-10</v>
          </cell>
          <cell r="H107">
            <v>2.7597077293991601E-10</v>
          </cell>
          <cell r="I107">
            <v>7.5692860948222299E-9</v>
          </cell>
          <cell r="J107">
            <v>4.8692393645159699E-9</v>
          </cell>
          <cell r="K107">
            <v>1.22609455796522E-8</v>
          </cell>
          <cell r="L107">
            <v>1.82969134166997E-9</v>
          </cell>
          <cell r="M107">
            <v>2.27318835464568E-9</v>
          </cell>
          <cell r="N107">
            <v>2.2417184298853799E-9</v>
          </cell>
          <cell r="O107">
            <v>2.39072984269333E-9</v>
          </cell>
          <cell r="P107">
            <v>6.5884949058357697E-9</v>
          </cell>
          <cell r="Q107">
            <v>2.0923102705572401E-9</v>
          </cell>
          <cell r="R107">
            <v>2.4067358790456902E-9</v>
          </cell>
          <cell r="S107">
            <v>2.4067358790457001E-9</v>
          </cell>
          <cell r="T107">
            <v>5.7112957158898599E-7</v>
          </cell>
          <cell r="U107">
            <v>7.0842074222433996E-10</v>
          </cell>
          <cell r="V107">
            <v>2.3971334822999999E-10</v>
          </cell>
        </row>
        <row r="108">
          <cell r="B108">
            <v>9.9952413843299992E-10</v>
          </cell>
          <cell r="C108">
            <v>1.19199716888E-9</v>
          </cell>
          <cell r="D108">
            <v>3.1313078810900002E-10</v>
          </cell>
          <cell r="E108">
            <v>5.5549515684599997E-11</v>
          </cell>
          <cell r="F108">
            <v>7.9924600161099899E-11</v>
          </cell>
          <cell r="G108">
            <v>2.1652850795599999E-11</v>
          </cell>
          <cell r="H108">
            <v>8.1055261112500105E-11</v>
          </cell>
          <cell r="I108">
            <v>4.16621556622001E-12</v>
          </cell>
          <cell r="J108">
            <v>1.9716718901899999E-11</v>
          </cell>
          <cell r="K108">
            <v>4.1727841845300002E-10</v>
          </cell>
          <cell r="L108">
            <v>3.0198870579599998E-11</v>
          </cell>
          <cell r="M108">
            <v>3.9571996026199998E-10</v>
          </cell>
          <cell r="N108">
            <v>1.4036476238700001E-10</v>
          </cell>
          <cell r="O108">
            <v>7.8746353926700099E-12</v>
          </cell>
          <cell r="P108">
            <v>2.8371055136199999E-10</v>
          </cell>
          <cell r="Q108">
            <v>1.1285629620000001E-11</v>
          </cell>
          <cell r="R108">
            <v>3.7688175598400003E-12</v>
          </cell>
          <cell r="S108">
            <v>3.76881755984001E-12</v>
          </cell>
          <cell r="T108">
            <v>1.4882192841399999E-11</v>
          </cell>
          <cell r="U108">
            <v>4.9783048631700004E-13</v>
          </cell>
          <cell r="V108">
            <v>2.33142580246E-9</v>
          </cell>
        </row>
        <row r="109">
          <cell r="B109">
            <v>1.11890862601421E-7</v>
          </cell>
          <cell r="C109">
            <v>1.55986072982575E-7</v>
          </cell>
          <cell r="D109">
            <v>5.5313346936039598E-8</v>
          </cell>
          <cell r="E109">
            <v>1.01749429181875E-7</v>
          </cell>
          <cell r="F109">
            <v>1.08724494505503E-7</v>
          </cell>
          <cell r="G109">
            <v>6.7931192020269998E-8</v>
          </cell>
          <cell r="H109">
            <v>8.1165344025774196E-8</v>
          </cell>
          <cell r="I109">
            <v>9.1657257804976497E-7</v>
          </cell>
          <cell r="J109">
            <v>3.1697177889978902E-7</v>
          </cell>
          <cell r="K109">
            <v>1.12652743857778E-6</v>
          </cell>
          <cell r="L109">
            <v>1.2218494877673401E-7</v>
          </cell>
          <cell r="M109">
            <v>1.2746094004728601E-7</v>
          </cell>
          <cell r="N109">
            <v>1.8885193587374199E-7</v>
          </cell>
          <cell r="O109">
            <v>2.6386051629361E-7</v>
          </cell>
          <cell r="P109">
            <v>5.4827016606244495E-7</v>
          </cell>
          <cell r="Q109">
            <v>2.6735876804137799E-7</v>
          </cell>
          <cell r="R109">
            <v>1.07342421215263E-7</v>
          </cell>
          <cell r="S109">
            <v>1.07342421215264E-7</v>
          </cell>
          <cell r="T109">
            <v>2.94031428437894E-7</v>
          </cell>
          <cell r="U109">
            <v>2.3577408212464302E-9</v>
          </cell>
          <cell r="V109">
            <v>1.5989544305676501E-7</v>
          </cell>
        </row>
        <row r="110">
          <cell r="B110">
            <v>1.52739607723571E-5</v>
          </cell>
          <cell r="C110">
            <v>1.88059673135003E-4</v>
          </cell>
          <cell r="D110">
            <v>3.2757700900063201E-4</v>
          </cell>
          <cell r="E110">
            <v>6.1772925140870898E-4</v>
          </cell>
          <cell r="F110">
            <v>2.7308135456141403E-4</v>
          </cell>
          <cell r="G110">
            <v>1.79797761095058E-4</v>
          </cell>
          <cell r="H110">
            <v>7.6828287713527296E-4</v>
          </cell>
          <cell r="I110">
            <v>1.1411645579594199E-4</v>
          </cell>
          <cell r="J110">
            <v>1.7832889504628599E-5</v>
          </cell>
          <cell r="K110">
            <v>2.3895597228507999E-5</v>
          </cell>
          <cell r="L110">
            <v>5.9452985368122303E-6</v>
          </cell>
          <cell r="M110">
            <v>1.0161124076629399E-5</v>
          </cell>
          <cell r="N110">
            <v>1.18767474417279E-5</v>
          </cell>
          <cell r="O110">
            <v>1.24404410962687E-5</v>
          </cell>
          <cell r="P110">
            <v>2.5880689739453401E-5</v>
          </cell>
          <cell r="Q110">
            <v>1.6625500076322201E-6</v>
          </cell>
          <cell r="R110">
            <v>1.02961418905236E-5</v>
          </cell>
          <cell r="S110">
            <v>1.02961418905236E-5</v>
          </cell>
          <cell r="T110">
            <v>1.08196469162221E-6</v>
          </cell>
          <cell r="U110">
            <v>6.72108376096842E-8</v>
          </cell>
          <cell r="V110">
            <v>2.0632615417752799E-7</v>
          </cell>
        </row>
        <row r="111">
          <cell r="B111">
            <v>1.0946893180591399E-4</v>
          </cell>
          <cell r="C111">
            <v>1.04911341824612E-3</v>
          </cell>
          <cell r="D111">
            <v>1.8073528375023801E-3</v>
          </cell>
          <cell r="E111">
            <v>3.5050658144862002E-3</v>
          </cell>
          <cell r="F111">
            <v>1.5447831808711101E-3</v>
          </cell>
          <cell r="G111">
            <v>1.03280880735687E-3</v>
          </cell>
          <cell r="H111">
            <v>4.4313708601779597E-3</v>
          </cell>
          <cell r="I111">
            <v>6.5341410040488E-4</v>
          </cell>
          <cell r="J111">
            <v>9.9039112263292099E-5</v>
          </cell>
          <cell r="K111">
            <v>1.5132922127386901E-4</v>
          </cell>
          <cell r="L111">
            <v>3.37800687937365E-5</v>
          </cell>
          <cell r="M111">
            <v>6.2947833430436405E-5</v>
          </cell>
          <cell r="N111">
            <v>6.7878900421027604E-5</v>
          </cell>
          <cell r="O111">
            <v>1.75221660393749E-4</v>
          </cell>
          <cell r="P111">
            <v>1.4298951793509601E-4</v>
          </cell>
          <cell r="Q111">
            <v>1.16678896134579E-4</v>
          </cell>
          <cell r="R111">
            <v>5.5396441434879999E-5</v>
          </cell>
          <cell r="S111">
            <v>5.5396441434879999E-5</v>
          </cell>
          <cell r="T111">
            <v>1.7751860952279799E-5</v>
          </cell>
          <cell r="U111">
            <v>7.1795866497410698E-7</v>
          </cell>
          <cell r="V111">
            <v>1.20946094627398E-5</v>
          </cell>
        </row>
        <row r="112">
          <cell r="B112">
            <v>6.4922659236433795E-4</v>
          </cell>
          <cell r="C112">
            <v>2.0785644425696101E-3</v>
          </cell>
          <cell r="D112">
            <v>2.7859504172782199E-3</v>
          </cell>
          <cell r="E112">
            <v>4.9252142432523998E-3</v>
          </cell>
          <cell r="F112">
            <v>2.3577699462270598E-3</v>
          </cell>
          <cell r="G112">
            <v>1.6066188344992999E-3</v>
          </cell>
          <cell r="H112">
            <v>5.6783107544196897E-3</v>
          </cell>
          <cell r="I112">
            <v>1.0670970389916701E-3</v>
          </cell>
          <cell r="J112">
            <v>7.5171489717313505E-4</v>
          </cell>
          <cell r="K112">
            <v>1.0211896024248199E-3</v>
          </cell>
          <cell r="L112">
            <v>2.5008401482366901E-4</v>
          </cell>
          <cell r="M112">
            <v>4.3793325184165999E-4</v>
          </cell>
          <cell r="N112">
            <v>5.1409632399214997E-4</v>
          </cell>
          <cell r="O112">
            <v>5.8291047446742299E-4</v>
          </cell>
          <cell r="P112">
            <v>1.0730161344223201E-3</v>
          </cell>
          <cell r="Q112">
            <v>2.5372005800634498E-4</v>
          </cell>
          <cell r="R112">
            <v>4.3098925709542601E-4</v>
          </cell>
          <cell r="S112">
            <v>4.3098925709542801E-4</v>
          </cell>
          <cell r="T112">
            <v>3.2389763264302701E-4</v>
          </cell>
          <cell r="U112">
            <v>4.2915553951296899E-6</v>
          </cell>
          <cell r="V112">
            <v>4.0735217937139901E-5</v>
          </cell>
        </row>
        <row r="113">
          <cell r="B113">
            <v>1.8846425861964202E-5</v>
          </cell>
          <cell r="C113">
            <v>2.56900711080358E-5</v>
          </cell>
          <cell r="D113">
            <v>1.7221821664401401E-5</v>
          </cell>
          <cell r="E113">
            <v>1.13696909621767E-5</v>
          </cell>
          <cell r="F113">
            <v>6.9689989554070301E-6</v>
          </cell>
          <cell r="G113">
            <v>1.6646719731240801E-4</v>
          </cell>
          <cell r="H113">
            <v>4.6802133798897101E-4</v>
          </cell>
          <cell r="I113">
            <v>2.3872299092623499E-5</v>
          </cell>
          <cell r="J113">
            <v>3.15989525652443E-3</v>
          </cell>
          <cell r="K113">
            <v>2.6822856029032002E-2</v>
          </cell>
          <cell r="L113">
            <v>2.8777829354581502E-4</v>
          </cell>
          <cell r="M113">
            <v>2.6440655436770302E-4</v>
          </cell>
          <cell r="N113">
            <v>3.1661788754176301E-4</v>
          </cell>
          <cell r="O113">
            <v>8.9515164827490695E-3</v>
          </cell>
          <cell r="P113">
            <v>1.5705286465449601E-2</v>
          </cell>
          <cell r="Q113">
            <v>0.71169451156609698</v>
          </cell>
          <cell r="R113">
            <v>4.1175951021386501E-4</v>
          </cell>
          <cell r="S113">
            <v>4.1175951021386501E-4</v>
          </cell>
          <cell r="T113">
            <v>7.3412308534686693E-2</v>
          </cell>
          <cell r="U113">
            <v>7.5822326762960102E-4</v>
          </cell>
          <cell r="V113">
            <v>9.0513793312426207E-6</v>
          </cell>
        </row>
        <row r="114">
          <cell r="B114">
            <v>1.0904684827404501E-3</v>
          </cell>
          <cell r="C114">
            <v>6.0285697224132502E-4</v>
          </cell>
          <cell r="D114">
            <v>3.2520877792445397E-4</v>
          </cell>
          <cell r="E114">
            <v>1.17608084528371E-4</v>
          </cell>
          <cell r="F114">
            <v>5.7025977729590599E-5</v>
          </cell>
          <cell r="G114">
            <v>3.1863774514212799E-4</v>
          </cell>
          <cell r="H114">
            <v>5.8474256436928098E-4</v>
          </cell>
          <cell r="I114">
            <v>1.01497536847174E-4</v>
          </cell>
          <cell r="J114">
            <v>5.6010257896148699E-5</v>
          </cell>
          <cell r="K114">
            <v>3.2580703061185301E-4</v>
          </cell>
          <cell r="L114">
            <v>3.04609981249283E-5</v>
          </cell>
          <cell r="M114">
            <v>1.7072108634105299E-4</v>
          </cell>
          <cell r="N114">
            <v>5.8351677511747901E-5</v>
          </cell>
          <cell r="O114">
            <v>4.9605798173275097E-5</v>
          </cell>
          <cell r="P114">
            <v>3.2459631548366E-4</v>
          </cell>
          <cell r="Q114">
            <v>8.5957439749670506E-5</v>
          </cell>
          <cell r="R114">
            <v>3.1163714778236402E-5</v>
          </cell>
          <cell r="S114">
            <v>3.1163714778236497E-5</v>
          </cell>
          <cell r="T114">
            <v>9.1820158470360598E-6</v>
          </cell>
          <cell r="U114">
            <v>1.55806937452359E-5</v>
          </cell>
          <cell r="V114">
            <v>9.8494867558395995E-5</v>
          </cell>
        </row>
        <row r="115">
          <cell r="B115">
            <v>1.3220498934009799E-4</v>
          </cell>
          <cell r="C115">
            <v>2.3888610735493202E-3</v>
          </cell>
          <cell r="D115">
            <v>1.6975919049231E-3</v>
          </cell>
          <cell r="E115">
            <v>1.7378815917905299E-4</v>
          </cell>
          <cell r="F115">
            <v>1.30747460515533E-4</v>
          </cell>
          <cell r="G115">
            <v>3.3838702307089702E-4</v>
          </cell>
          <cell r="H115">
            <v>4.8247187049231701E-4</v>
          </cell>
          <cell r="I115">
            <v>5.2888875406946999E-4</v>
          </cell>
          <cell r="J115">
            <v>6.8661508659314803E-4</v>
          </cell>
          <cell r="K115">
            <v>1.2148241093597901E-3</v>
          </cell>
          <cell r="L115">
            <v>4.7435586280217197E-4</v>
          </cell>
          <cell r="M115">
            <v>7.3455384727238603E-4</v>
          </cell>
          <cell r="N115">
            <v>5.1782695927648798E-4</v>
          </cell>
          <cell r="O115">
            <v>2.13441745430597E-4</v>
          </cell>
          <cell r="P115">
            <v>6.30941336281931E-4</v>
          </cell>
          <cell r="Q115">
            <v>6.1466949114440898E-4</v>
          </cell>
          <cell r="R115">
            <v>4.0780985947006199E-4</v>
          </cell>
          <cell r="S115">
            <v>4.0780985947006302E-4</v>
          </cell>
          <cell r="T115">
            <v>2.5127218565855801E-3</v>
          </cell>
          <cell r="U115">
            <v>2.86292475873035E-5</v>
          </cell>
          <cell r="V115">
            <v>5.2957210579137796E-6</v>
          </cell>
        </row>
        <row r="116">
          <cell r="B116">
            <v>1.88465808675112E-3</v>
          </cell>
          <cell r="C116">
            <v>3.8614117390545601E-3</v>
          </cell>
          <cell r="D116">
            <v>9.3494861544835706E-3</v>
          </cell>
          <cell r="E116">
            <v>6.2928505605343004E-3</v>
          </cell>
          <cell r="F116">
            <v>5.8458010913237197E-3</v>
          </cell>
          <cell r="G116">
            <v>3.6743748816919098E-3</v>
          </cell>
          <cell r="H116">
            <v>3.5222725677823202E-3</v>
          </cell>
          <cell r="I116">
            <v>3.4494809387046301E-3</v>
          </cell>
          <cell r="J116">
            <v>7.2359561828253703E-3</v>
          </cell>
          <cell r="K116">
            <v>8.4904844071271302E-3</v>
          </cell>
          <cell r="L116">
            <v>4.1783345150354003E-3</v>
          </cell>
          <cell r="M116">
            <v>7.00929536695783E-3</v>
          </cell>
          <cell r="N116">
            <v>7.6910829748098502E-3</v>
          </cell>
          <cell r="O116">
            <v>2.9804848118935599E-2</v>
          </cell>
          <cell r="P116">
            <v>5.7598205705822799E-3</v>
          </cell>
          <cell r="Q116">
            <v>4.2467168198911899E-3</v>
          </cell>
          <cell r="R116">
            <v>9.1497606308390805E-3</v>
          </cell>
          <cell r="S116">
            <v>9.1497606308390805E-3</v>
          </cell>
          <cell r="T116">
            <v>2.3158337335053699E-3</v>
          </cell>
          <cell r="U116">
            <v>1.6581518145475699E-5</v>
          </cell>
          <cell r="V116">
            <v>9.3171355641026997E-5</v>
          </cell>
        </row>
        <row r="117">
          <cell r="B117">
            <v>5.6084333865515804E-6</v>
          </cell>
          <cell r="C117">
            <v>1.8063171686576498E-5</v>
          </cell>
          <cell r="D117">
            <v>3.6586364932319903E-5</v>
          </cell>
          <cell r="E117">
            <v>2.5894474739554E-5</v>
          </cell>
          <cell r="F117">
            <v>2.4121786479497401E-5</v>
          </cell>
          <cell r="G117">
            <v>1.19309592254275E-5</v>
          </cell>
          <cell r="H117">
            <v>1.3541682457562601E-5</v>
          </cell>
          <cell r="I117">
            <v>1.31488596527563E-5</v>
          </cell>
          <cell r="J117">
            <v>2.74745557241701E-5</v>
          </cell>
          <cell r="K117">
            <v>3.3593733734968998E-5</v>
          </cell>
          <cell r="L117">
            <v>1.6234424122470299E-5</v>
          </cell>
          <cell r="M117">
            <v>2.7718450157704001E-5</v>
          </cell>
          <cell r="N117">
            <v>3.0193646286308799E-5</v>
          </cell>
          <cell r="O117">
            <v>2.23114748335165E-4</v>
          </cell>
          <cell r="P117">
            <v>2.17486232235888E-5</v>
          </cell>
          <cell r="Q117">
            <v>1.3050326829500401E-5</v>
          </cell>
          <cell r="R117">
            <v>3.5437060354442702E-5</v>
          </cell>
          <cell r="S117">
            <v>3.5437060354442601E-5</v>
          </cell>
          <cell r="T117">
            <v>5.0249283497734302E-6</v>
          </cell>
          <cell r="U117">
            <v>3.4650778491314201E-8</v>
          </cell>
          <cell r="V117">
            <v>3.1897515368980098E-8</v>
          </cell>
        </row>
        <row r="118">
          <cell r="B118">
            <v>0.240626506061244</v>
          </cell>
          <cell r="C118">
            <v>4.6401681099970803E-2</v>
          </cell>
          <cell r="D118">
            <v>1.0960305363634499E-2</v>
          </cell>
          <cell r="E118">
            <v>8.7274057296664997E-3</v>
          </cell>
          <cell r="F118">
            <v>1.53067325731444E-2</v>
          </cell>
          <cell r="G118">
            <v>6.0069637361832703E-3</v>
          </cell>
          <cell r="H118">
            <v>9.2892937849749398E-3</v>
          </cell>
          <cell r="I118">
            <v>1.7256748018028501E-2</v>
          </cell>
          <cell r="J118">
            <v>5.6007320938512798E-3</v>
          </cell>
          <cell r="K118">
            <v>1.60737486685603E-2</v>
          </cell>
          <cell r="L118">
            <v>3.51313178275885E-3</v>
          </cell>
          <cell r="M118">
            <v>1.07860983141567E-2</v>
          </cell>
          <cell r="N118">
            <v>3.2894485936884599E-2</v>
          </cell>
          <cell r="O118">
            <v>8.6312403709191306E-3</v>
          </cell>
          <cell r="P118">
            <v>9.3652897424366499E-2</v>
          </cell>
          <cell r="Q118">
            <v>4.4330213693547001E-3</v>
          </cell>
          <cell r="R118">
            <v>2.8249797531524098E-3</v>
          </cell>
          <cell r="S118">
            <v>2.8249797531524198E-3</v>
          </cell>
          <cell r="T118">
            <v>1.73836651831532E-2</v>
          </cell>
          <cell r="U118">
            <v>2.50150258372995E-2</v>
          </cell>
          <cell r="V118">
            <v>5.1819394862894297E-3</v>
          </cell>
        </row>
        <row r="119">
          <cell r="B119">
            <v>4.1115712416530302E-2</v>
          </cell>
          <cell r="C119">
            <v>7.9536751311474908E-3</v>
          </cell>
          <cell r="D119">
            <v>1.8983040392490001E-3</v>
          </cell>
          <cell r="E119">
            <v>1.08380136630958E-3</v>
          </cell>
          <cell r="F119">
            <v>2.2250270587862902E-3</v>
          </cell>
          <cell r="G119">
            <v>9.4937693008211401E-4</v>
          </cell>
          <cell r="H119">
            <v>1.5382397665302499E-3</v>
          </cell>
          <cell r="I119">
            <v>2.1795551431961599E-3</v>
          </cell>
          <cell r="J119">
            <v>6.9891710473587402E-4</v>
          </cell>
          <cell r="K119">
            <v>2.7599531680010301E-3</v>
          </cell>
          <cell r="L119">
            <v>3.2728100450470202E-4</v>
          </cell>
          <cell r="M119">
            <v>1.58671887809436E-3</v>
          </cell>
          <cell r="N119">
            <v>5.3322783199215096E-3</v>
          </cell>
          <cell r="O119">
            <v>2.7293928207193703E-4</v>
          </cell>
          <cell r="P119">
            <v>1.6313251670235999E-2</v>
          </cell>
          <cell r="Q119">
            <v>5.2051993722639696E-4</v>
          </cell>
          <cell r="R119">
            <v>4.9088240193533896E-4</v>
          </cell>
          <cell r="S119">
            <v>4.9088240193533896E-4</v>
          </cell>
          <cell r="T119">
            <v>1.4379490678363301E-3</v>
          </cell>
          <cell r="U119">
            <v>1.4802481556884699E-3</v>
          </cell>
          <cell r="V119">
            <v>3.7790012060312499E-3</v>
          </cell>
        </row>
        <row r="120">
          <cell r="B120">
            <v>0.357646054898278</v>
          </cell>
          <cell r="C120">
            <v>0.169727892590811</v>
          </cell>
          <cell r="D120">
            <v>5.2021404617691697E-2</v>
          </cell>
          <cell r="E120">
            <v>3.8934471268083401E-2</v>
          </cell>
          <cell r="F120">
            <v>6.21944831505633E-2</v>
          </cell>
          <cell r="G120">
            <v>3.5708672953641503E-2</v>
          </cell>
          <cell r="H120">
            <v>5.0841793572019699E-2</v>
          </cell>
          <cell r="I120">
            <v>3.7184161981443697E-2</v>
          </cell>
          <cell r="J120">
            <v>2.3965573699748301E-2</v>
          </cell>
          <cell r="K120">
            <v>8.1483341738130904E-2</v>
          </cell>
          <cell r="L120">
            <v>7.4399545275371801E-3</v>
          </cell>
          <cell r="M120">
            <v>2.6161791863222698E-2</v>
          </cell>
          <cell r="N120">
            <v>4.3736272762718298E-2</v>
          </cell>
          <cell r="O120">
            <v>1.9635223058099002E-2</v>
          </cell>
          <cell r="P120">
            <v>0.225370319324109</v>
          </cell>
          <cell r="Q120">
            <v>2.16536653370639E-2</v>
          </cell>
          <cell r="R120">
            <v>1.7168994231766301E-2</v>
          </cell>
          <cell r="S120">
            <v>1.7168994231766401E-2</v>
          </cell>
          <cell r="T120">
            <v>4.5566789678724101E-2</v>
          </cell>
          <cell r="U120">
            <v>0.12161765813971399</v>
          </cell>
          <cell r="V120">
            <v>3.8426005168540701E-2</v>
          </cell>
        </row>
        <row r="121">
          <cell r="B121">
            <v>5.3624669526973701E-2</v>
          </cell>
          <cell r="C121">
            <v>4.1410988565069799E-2</v>
          </cell>
          <cell r="D121">
            <v>2.7457674285480502E-2</v>
          </cell>
          <cell r="E121">
            <v>1.16259332753585E-2</v>
          </cell>
          <cell r="F121">
            <v>2.6735464761741701E-2</v>
          </cell>
          <cell r="G121">
            <v>7.8379204446527798E-3</v>
          </cell>
          <cell r="H121">
            <v>1.34679420555038E-2</v>
          </cell>
          <cell r="I121">
            <v>7.3893807528986801E-3</v>
          </cell>
          <cell r="J121">
            <v>7.3206236622921804E-3</v>
          </cell>
          <cell r="K121">
            <v>1.5881573944063299E-2</v>
          </cell>
          <cell r="L121">
            <v>3.4981227957675801E-3</v>
          </cell>
          <cell r="M121">
            <v>6.8176716485519404E-3</v>
          </cell>
          <cell r="N121">
            <v>1.17878746149614E-2</v>
          </cell>
          <cell r="O121">
            <v>1.36597751768648E-2</v>
          </cell>
          <cell r="P121">
            <v>4.4527794788358402E-2</v>
          </cell>
          <cell r="Q121">
            <v>1.01487524800248E-2</v>
          </cell>
          <cell r="R121">
            <v>4.7867435537118997E-3</v>
          </cell>
          <cell r="S121">
            <v>4.7867435537119196E-3</v>
          </cell>
          <cell r="T121">
            <v>9.5861292219202292E-3</v>
          </cell>
          <cell r="U121">
            <v>4.9828546844768201E-2</v>
          </cell>
          <cell r="V121">
            <v>0.67565041258360403</v>
          </cell>
        </row>
        <row r="122">
          <cell r="B122">
            <v>8.7640671672479002E-4</v>
          </cell>
          <cell r="C122">
            <v>1.2806693118066299E-3</v>
          </cell>
          <cell r="D122">
            <v>1.0303402224011099E-3</v>
          </cell>
          <cell r="E122">
            <v>1.9468287615884901E-4</v>
          </cell>
          <cell r="F122">
            <v>1.7532261087102201E-4</v>
          </cell>
          <cell r="G122">
            <v>1.0666872770045399E-3</v>
          </cell>
          <cell r="H122">
            <v>1.32780377541732E-3</v>
          </cell>
          <cell r="I122">
            <v>1.66048719596853E-3</v>
          </cell>
          <cell r="J122">
            <v>2.9297467684564998E-3</v>
          </cell>
          <cell r="K122">
            <v>1.7342055752926401E-3</v>
          </cell>
          <cell r="L122">
            <v>1.3519142268663901E-3</v>
          </cell>
          <cell r="M122">
            <v>1.3086217574843099E-3</v>
          </cell>
          <cell r="N122">
            <v>1.07527844912141E-3</v>
          </cell>
          <cell r="O122">
            <v>6.4091055778930602E-4</v>
          </cell>
          <cell r="P122">
            <v>1.9013122446813399E-3</v>
          </cell>
          <cell r="Q122">
            <v>3.2315041847901598E-3</v>
          </cell>
          <cell r="R122">
            <v>5.4876639564093097E-3</v>
          </cell>
          <cell r="S122">
            <v>5.4876639564093296E-3</v>
          </cell>
          <cell r="T122">
            <v>1.74792733450863E-3</v>
          </cell>
          <cell r="U122">
            <v>3.1675541870723001E-6</v>
          </cell>
          <cell r="V122">
            <v>2.1065767314186299E-3</v>
          </cell>
        </row>
        <row r="123">
          <cell r="B123">
            <v>1.4535611744200601E-2</v>
          </cell>
          <cell r="C123">
            <v>1.9229450169041401E-2</v>
          </cell>
          <cell r="D123">
            <v>4.3368112600819103E-3</v>
          </cell>
          <cell r="E123">
            <v>2.84086392656226E-3</v>
          </cell>
          <cell r="F123">
            <v>4.6158598009367197E-3</v>
          </cell>
          <cell r="G123">
            <v>4.52605322254028E-3</v>
          </cell>
          <cell r="H123">
            <v>5.7844543444071196E-3</v>
          </cell>
          <cell r="I123">
            <v>3.4514886087290502E-3</v>
          </cell>
          <cell r="J123">
            <v>1.5873600319641998E-2</v>
          </cell>
          <cell r="K123">
            <v>5.2947482641924497E-2</v>
          </cell>
          <cell r="L123">
            <v>3.0334280676113001E-3</v>
          </cell>
          <cell r="M123">
            <v>4.0771797757612601E-3</v>
          </cell>
          <cell r="N123">
            <v>5.7667470529491997E-3</v>
          </cell>
          <cell r="O123">
            <v>1.4332833667677501E-3</v>
          </cell>
          <cell r="P123">
            <v>4.0962333344819503E-2</v>
          </cell>
          <cell r="Q123">
            <v>2.0846614070915898E-3</v>
          </cell>
          <cell r="R123">
            <v>3.7079157077593802E-3</v>
          </cell>
          <cell r="S123">
            <v>3.7079157077593802E-3</v>
          </cell>
          <cell r="T123">
            <v>1.3368263496317001E-3</v>
          </cell>
          <cell r="U123">
            <v>1.2146404041005501E-2</v>
          </cell>
          <cell r="V123">
            <v>1.54477973395384E-3</v>
          </cell>
        </row>
        <row r="124">
          <cell r="B124">
            <v>5.6700519893351398E-2</v>
          </cell>
          <cell r="C124">
            <v>7.5949282296661202E-2</v>
          </cell>
          <cell r="D124">
            <v>4.4291695162636098E-2</v>
          </cell>
          <cell r="E124">
            <v>1.06413366651971E-2</v>
          </cell>
          <cell r="F124">
            <v>1.7976153505367898E-2</v>
          </cell>
          <cell r="G124">
            <v>1.08120372992614E-2</v>
          </cell>
          <cell r="H124">
            <v>1.47048362740355E-2</v>
          </cell>
          <cell r="I124">
            <v>1.19151453333908E-2</v>
          </cell>
          <cell r="J124">
            <v>0.12875309609659699</v>
          </cell>
          <cell r="K124">
            <v>0.104911299632202</v>
          </cell>
          <cell r="L124">
            <v>4.1794605091217199E-2</v>
          </cell>
          <cell r="M124">
            <v>7.24151515758472E-2</v>
          </cell>
          <cell r="N124">
            <v>7.9171232948198403E-2</v>
          </cell>
          <cell r="O124">
            <v>2.1947916366098399E-2</v>
          </cell>
          <cell r="P124">
            <v>9.9322587884996802E-2</v>
          </cell>
          <cell r="Q124">
            <v>6.5428152753507799E-3</v>
          </cell>
          <cell r="R124">
            <v>7.5745891607497298E-2</v>
          </cell>
          <cell r="S124">
            <v>7.5745891607497395E-2</v>
          </cell>
          <cell r="T124">
            <v>2.0189265978785498E-2</v>
          </cell>
          <cell r="U124">
            <v>2.9441747226081401E-2</v>
          </cell>
          <cell r="V124">
            <v>5.05699974144754E-3</v>
          </cell>
        </row>
        <row r="125">
          <cell r="B125">
            <v>1.48073809005072E-2</v>
          </cell>
          <cell r="C125">
            <v>3.7684563367535902E-3</v>
          </cell>
          <cell r="D125">
            <v>1.30885671614047E-3</v>
          </cell>
          <cell r="E125">
            <v>8.49969672861967E-4</v>
          </cell>
          <cell r="F125">
            <v>1.5372697127169399E-3</v>
          </cell>
          <cell r="G125">
            <v>5.7857580334563698E-4</v>
          </cell>
          <cell r="H125">
            <v>8.2868777730947703E-4</v>
          </cell>
          <cell r="I125">
            <v>2.9058190007262802E-4</v>
          </cell>
          <cell r="J125">
            <v>1.0930863295916999E-3</v>
          </cell>
          <cell r="K125">
            <v>1.31531528272625E-3</v>
          </cell>
          <cell r="L125">
            <v>9.7582138433409198E-4</v>
          </cell>
          <cell r="M125">
            <v>1.57584573059786E-3</v>
          </cell>
          <cell r="N125">
            <v>2.0642955772295301E-3</v>
          </cell>
          <cell r="O125">
            <v>1.7718604561677801E-4</v>
          </cell>
          <cell r="P125">
            <v>5.15194087609746E-3</v>
          </cell>
          <cell r="Q125">
            <v>6.0737785386151403E-4</v>
          </cell>
          <cell r="R125">
            <v>1.2842948344536799E-4</v>
          </cell>
          <cell r="S125">
            <v>1.28429483445369E-4</v>
          </cell>
          <cell r="T125">
            <v>7.0185341422322495E-4</v>
          </cell>
          <cell r="U125">
            <v>1.7268269304223499E-3</v>
          </cell>
          <cell r="V125">
            <v>8.2592417337134003E-2</v>
          </cell>
        </row>
        <row r="126">
          <cell r="B126">
            <v>4.3640384546201401E-4</v>
          </cell>
          <cell r="C126">
            <v>1.6182903425994201E-3</v>
          </cell>
          <cell r="D126">
            <v>1.55772246939226E-3</v>
          </cell>
          <cell r="E126">
            <v>6.8685984965705904E-5</v>
          </cell>
          <cell r="F126">
            <v>7.7715175616453505E-5</v>
          </cell>
          <cell r="G126">
            <v>5.9564886090533502E-5</v>
          </cell>
          <cell r="H126">
            <v>4.9619154386365698E-5</v>
          </cell>
          <cell r="I126">
            <v>7.6597037632502297E-5</v>
          </cell>
          <cell r="J126">
            <v>2.13628311488247E-4</v>
          </cell>
          <cell r="K126">
            <v>2.6997342164931698E-4</v>
          </cell>
          <cell r="L126">
            <v>3.6888396858349998E-5</v>
          </cell>
          <cell r="M126">
            <v>5.57424322215016E-5</v>
          </cell>
          <cell r="N126">
            <v>9.4177155224901295E-5</v>
          </cell>
          <cell r="O126">
            <v>5.63814784493878E-4</v>
          </cell>
          <cell r="P126">
            <v>4.6736659071911299E-4</v>
          </cell>
          <cell r="Q126">
            <v>2.0001004104855101E-4</v>
          </cell>
          <cell r="R126">
            <v>3.3593493266794803E-5</v>
          </cell>
          <cell r="S126">
            <v>3.3593493266794897E-5</v>
          </cell>
          <cell r="T126">
            <v>8.5199592517718695E-4</v>
          </cell>
          <cell r="U126">
            <v>4.5503871456084701E-3</v>
          </cell>
          <cell r="V126">
            <v>1.59233986582802E-4</v>
          </cell>
        </row>
        <row r="127">
          <cell r="B127">
            <v>2.56598517958552E-5</v>
          </cell>
          <cell r="C127">
            <v>7.0278906283682699E-4</v>
          </cell>
          <cell r="D127">
            <v>4.4305920752965399E-4</v>
          </cell>
          <cell r="E127">
            <v>8.1025116081592503E-6</v>
          </cell>
          <cell r="F127">
            <v>9.4930508661316502E-6</v>
          </cell>
          <cell r="G127">
            <v>7.9637374823292501E-6</v>
          </cell>
          <cell r="H127">
            <v>7.7318416276896201E-6</v>
          </cell>
          <cell r="I127">
            <v>7.1706078664653302E-6</v>
          </cell>
          <cell r="J127">
            <v>2.8537688557155799E-5</v>
          </cell>
          <cell r="K127">
            <v>3.9272731158092397E-5</v>
          </cell>
          <cell r="L127">
            <v>6.8724759913631701E-6</v>
          </cell>
          <cell r="M127">
            <v>1.22567828829872E-5</v>
          </cell>
          <cell r="N127">
            <v>1.2602076932610301E-5</v>
          </cell>
          <cell r="O127">
            <v>9.8652487574231494E-5</v>
          </cell>
          <cell r="P127">
            <v>6.6579454711897395E-5</v>
          </cell>
          <cell r="Q127">
            <v>9.1268529087479904E-5</v>
          </cell>
          <cell r="R127">
            <v>9.6938426385921507E-6</v>
          </cell>
          <cell r="S127">
            <v>9.6938426385921693E-6</v>
          </cell>
          <cell r="T127">
            <v>9.3271420923262701E-6</v>
          </cell>
          <cell r="U127">
            <v>5.0710939687464603E-3</v>
          </cell>
          <cell r="V127">
            <v>2.8457455962281798E-4</v>
          </cell>
        </row>
        <row r="128">
          <cell r="B128">
            <v>4.6961865990394099E-3</v>
          </cell>
          <cell r="C128">
            <v>3.9510069457153098E-3</v>
          </cell>
          <cell r="D128">
            <v>1.2890116050297E-3</v>
          </cell>
          <cell r="E128">
            <v>1.19816973926377E-3</v>
          </cell>
          <cell r="F128">
            <v>1.90964238504414E-3</v>
          </cell>
          <cell r="G128">
            <v>6.8154970479117002E-4</v>
          </cell>
          <cell r="H128">
            <v>1.1102282720144899E-3</v>
          </cell>
          <cell r="I128">
            <v>3.9709589293945798E-4</v>
          </cell>
          <cell r="J128">
            <v>4.3651645219977298E-4</v>
          </cell>
          <cell r="K128">
            <v>1.3788962523253801E-3</v>
          </cell>
          <cell r="L128">
            <v>1.8158500379523E-4</v>
          </cell>
          <cell r="M128">
            <v>6.2184905299859504E-4</v>
          </cell>
          <cell r="N128">
            <v>1.04233991725125E-3</v>
          </cell>
          <cell r="O128">
            <v>1.20514395761784E-4</v>
          </cell>
          <cell r="P128">
            <v>4.3027948339879399E-3</v>
          </cell>
          <cell r="Q128">
            <v>4.0941938068393701E-4</v>
          </cell>
          <cell r="R128">
            <v>3.9790982590792598E-4</v>
          </cell>
          <cell r="S128">
            <v>3.9790982590792598E-4</v>
          </cell>
          <cell r="T128">
            <v>1.4950258522201501E-4</v>
          </cell>
          <cell r="U128">
            <v>6.2792805393488296E-4</v>
          </cell>
          <cell r="V128">
            <v>1.0061063617771201E-2</v>
          </cell>
        </row>
        <row r="129">
          <cell r="B129">
            <v>8.6195502111505104E-3</v>
          </cell>
          <cell r="C129">
            <v>7.8861902575557905E-3</v>
          </cell>
          <cell r="D129">
            <v>5.5702518711760098E-3</v>
          </cell>
          <cell r="E129">
            <v>4.8979815221200297E-2</v>
          </cell>
          <cell r="F129">
            <v>4.8415993644779998E-2</v>
          </cell>
          <cell r="G129">
            <v>1.8017444205891301E-2</v>
          </cell>
          <cell r="H129">
            <v>1.9683711835593899E-2</v>
          </cell>
          <cell r="I129">
            <v>3.0630563033745301E-3</v>
          </cell>
          <cell r="J129">
            <v>1.24887011462232E-2</v>
          </cell>
          <cell r="K129">
            <v>1.11684149702888E-2</v>
          </cell>
          <cell r="L129">
            <v>3.8837158532219499E-3</v>
          </cell>
          <cell r="M129">
            <v>6.5277647407708597E-3</v>
          </cell>
          <cell r="N129">
            <v>7.1654778110933296E-3</v>
          </cell>
          <cell r="O129">
            <v>5.62290737218951E-3</v>
          </cell>
          <cell r="P129">
            <v>1.1643511537964699E-2</v>
          </cell>
          <cell r="Q129">
            <v>1.6858343766597901E-2</v>
          </cell>
          <cell r="R129">
            <v>6.9076222185073697E-3</v>
          </cell>
          <cell r="S129">
            <v>6.9076222185073697E-3</v>
          </cell>
          <cell r="T129">
            <v>5.7522940539109604E-4</v>
          </cell>
          <cell r="U129">
            <v>4.99276597520989E-3</v>
          </cell>
          <cell r="V129">
            <v>2.6019611283292399E-3</v>
          </cell>
        </row>
        <row r="130">
          <cell r="B130">
            <v>3.36609779159709E-4</v>
          </cell>
          <cell r="C130">
            <v>3.5107474686844501E-4</v>
          </cell>
          <cell r="D130">
            <v>4.79708025818266E-4</v>
          </cell>
          <cell r="E130">
            <v>1.1189684497528E-3</v>
          </cell>
          <cell r="F130">
            <v>1.0918042999814299E-3</v>
          </cell>
          <cell r="G130">
            <v>6.1144602789129602E-5</v>
          </cell>
          <cell r="H130">
            <v>7.6589913860256804E-5</v>
          </cell>
          <cell r="I130">
            <v>1.7708151828157799E-3</v>
          </cell>
          <cell r="J130">
            <v>8.2380234674688697E-3</v>
          </cell>
          <cell r="K130">
            <v>7.5069060538666002E-3</v>
          </cell>
          <cell r="L130">
            <v>5.03024065880215E-3</v>
          </cell>
          <cell r="M130">
            <v>4.3390724122297298E-3</v>
          </cell>
          <cell r="N130">
            <v>4.4065699529427802E-3</v>
          </cell>
          <cell r="O130">
            <v>1.32387960396945E-3</v>
          </cell>
          <cell r="P130">
            <v>4.3681031455330499E-3</v>
          </cell>
          <cell r="Q130">
            <v>2.4860660506927199E-3</v>
          </cell>
          <cell r="R130">
            <v>4.8858656175671498E-3</v>
          </cell>
          <cell r="S130">
            <v>4.8858656175671498E-3</v>
          </cell>
          <cell r="T130">
            <v>3.6593601572017402E-2</v>
          </cell>
          <cell r="U130">
            <v>4.4863204701593398E-5</v>
          </cell>
          <cell r="V130">
            <v>1.83564597554879E-4</v>
          </cell>
        </row>
        <row r="131">
          <cell r="B131">
            <v>4.8432597859398598E-5</v>
          </cell>
          <cell r="C131">
            <v>2.3215590762168501E-3</v>
          </cell>
          <cell r="D131">
            <v>4.5585224191631501E-3</v>
          </cell>
          <cell r="E131">
            <v>5.3180374349479304E-3</v>
          </cell>
          <cell r="F131">
            <v>5.1959187684598599E-3</v>
          </cell>
          <cell r="G131">
            <v>8.7225225424363494E-5</v>
          </cell>
          <cell r="H131">
            <v>1.0457168004955801E-4</v>
          </cell>
          <cell r="I131">
            <v>1.9136604500758899E-3</v>
          </cell>
          <cell r="J131">
            <v>1.88587397642383E-2</v>
          </cell>
          <cell r="K131">
            <v>2.11576640719272E-2</v>
          </cell>
          <cell r="L131">
            <v>8.9971428734370792E-3</v>
          </cell>
          <cell r="M131">
            <v>1.3993753621588801E-2</v>
          </cell>
          <cell r="N131">
            <v>1.4582814217131999E-2</v>
          </cell>
          <cell r="O131">
            <v>5.0519003609725702E-3</v>
          </cell>
          <cell r="P131">
            <v>1.2420415256605999E-2</v>
          </cell>
          <cell r="Q131">
            <v>7.6817228091249704E-3</v>
          </cell>
          <cell r="R131">
            <v>1.66234787904035E-2</v>
          </cell>
          <cell r="S131">
            <v>1.66234787904035E-2</v>
          </cell>
          <cell r="T131">
            <v>2.4361261309939802E-2</v>
          </cell>
          <cell r="U131">
            <v>8.2665801994508803E-5</v>
          </cell>
          <cell r="V131">
            <v>6.0716512214742298E-6</v>
          </cell>
        </row>
        <row r="132">
          <cell r="B132">
            <v>4.2525934886827399E-4</v>
          </cell>
          <cell r="C132">
            <v>4.4177013981379198E-3</v>
          </cell>
          <cell r="D132">
            <v>8.0393532307613397E-3</v>
          </cell>
          <cell r="E132">
            <v>8.4095280130187897E-4</v>
          </cell>
          <cell r="F132">
            <v>8.0681992461796202E-4</v>
          </cell>
          <cell r="G132">
            <v>4.09430318212092E-4</v>
          </cell>
          <cell r="H132">
            <v>4.9408685995334803E-4</v>
          </cell>
          <cell r="I132">
            <v>8.6111300589345905E-4</v>
          </cell>
          <cell r="J132">
            <v>1.6162176008146E-3</v>
          </cell>
          <cell r="K132">
            <v>1.4492948841073701E-3</v>
          </cell>
          <cell r="L132">
            <v>2.20696878734007E-3</v>
          </cell>
          <cell r="M132">
            <v>1.99290753563391E-3</v>
          </cell>
          <cell r="N132">
            <v>2.0839771822968901E-3</v>
          </cell>
          <cell r="O132">
            <v>4.54425780569099E-3</v>
          </cell>
          <cell r="P132">
            <v>9.5834311901994002E-4</v>
          </cell>
          <cell r="Q132">
            <v>4.5418507877782201E-4</v>
          </cell>
          <cell r="R132">
            <v>2.3894908081873302E-3</v>
          </cell>
          <cell r="S132">
            <v>2.3894908081873302E-3</v>
          </cell>
          <cell r="T132">
            <v>1.90171263018208E-3</v>
          </cell>
          <cell r="U132">
            <v>1.30839294627246E-5</v>
          </cell>
          <cell r="V132">
            <v>6.9056727201352E-6</v>
          </cell>
        </row>
        <row r="133">
          <cell r="B133">
            <v>4.4194144857413097E-5</v>
          </cell>
          <cell r="C133">
            <v>4.0454753274555798E-2</v>
          </cell>
          <cell r="D133">
            <v>8.8305151998102405E-2</v>
          </cell>
          <cell r="E133">
            <v>2.1050262636114001E-4</v>
          </cell>
          <cell r="F133">
            <v>2.04862703590957E-4</v>
          </cell>
          <cell r="G133">
            <v>7.2929009368409505E-4</v>
          </cell>
          <cell r="H133">
            <v>8.7652854039615296E-4</v>
          </cell>
          <cell r="I133">
            <v>2.1716551421394E-4</v>
          </cell>
          <cell r="J133">
            <v>2.9864269213563998E-4</v>
          </cell>
          <cell r="K133">
            <v>2.4798571052720401E-4</v>
          </cell>
          <cell r="L133">
            <v>2.2525702307959501E-4</v>
          </cell>
          <cell r="M133">
            <v>2.3665334549423901E-4</v>
          </cell>
          <cell r="N133">
            <v>2.49531031947237E-4</v>
          </cell>
          <cell r="O133">
            <v>7.3704203853832997E-6</v>
          </cell>
          <cell r="P133">
            <v>1.71178947030437E-4</v>
          </cell>
          <cell r="Q133">
            <v>1.3328004323353199E-4</v>
          </cell>
          <cell r="R133">
            <v>2.6124797463882299E-6</v>
          </cell>
          <cell r="S133">
            <v>2.6124797463882401E-6</v>
          </cell>
          <cell r="T133">
            <v>2.3589609221748701E-3</v>
          </cell>
          <cell r="U133">
            <v>1.2366803417393599E-5</v>
          </cell>
          <cell r="V133">
            <v>9.9205915198633699E-7</v>
          </cell>
        </row>
        <row r="134">
          <cell r="B134">
            <v>8.53981541354361E-3</v>
          </cell>
          <cell r="C134">
            <v>2.3865367896454201E-3</v>
          </cell>
          <cell r="D134">
            <v>2.8258122565272899E-3</v>
          </cell>
          <cell r="E134">
            <v>1.54476722476357E-3</v>
          </cell>
          <cell r="F134">
            <v>1.2845531852082601E-3</v>
          </cell>
          <cell r="G134">
            <v>9.2803477064927399E-4</v>
          </cell>
          <cell r="H134">
            <v>1.1241400962766399E-3</v>
          </cell>
          <cell r="I134">
            <v>2.3763527019328799E-3</v>
          </cell>
          <cell r="J134">
            <v>3.4716403063582701E-3</v>
          </cell>
          <cell r="K134">
            <v>2.8530030498825098E-3</v>
          </cell>
          <cell r="L134">
            <v>1.38485804657518E-3</v>
          </cell>
          <cell r="M134">
            <v>2.22855820501433E-3</v>
          </cell>
          <cell r="N134">
            <v>3.14312872147303E-3</v>
          </cell>
          <cell r="O134">
            <v>7.6756323689436898E-3</v>
          </cell>
          <cell r="P134">
            <v>4.0958797802387696E-3</v>
          </cell>
          <cell r="Q134">
            <v>1.1409057935692899E-3</v>
          </cell>
          <cell r="R134">
            <v>2.8599243964498098E-3</v>
          </cell>
          <cell r="S134">
            <v>2.8599243964498198E-3</v>
          </cell>
          <cell r="T134">
            <v>1.1030836524414099E-2</v>
          </cell>
          <cell r="U134">
            <v>2.0768312043669998E-5</v>
          </cell>
          <cell r="V134">
            <v>7.2704342588888699E-6</v>
          </cell>
        </row>
        <row r="135">
          <cell r="B135">
            <v>2.6358258976167699E-4</v>
          </cell>
          <cell r="C135">
            <v>1.06082841810517E-3</v>
          </cell>
          <cell r="D135">
            <v>1.0910998237931E-3</v>
          </cell>
          <cell r="E135">
            <v>6.86149754086509E-4</v>
          </cell>
          <cell r="F135">
            <v>6.8649699430410702E-4</v>
          </cell>
          <cell r="G135">
            <v>7.1951009809092701E-4</v>
          </cell>
          <cell r="H135">
            <v>8.3310532107905701E-4</v>
          </cell>
          <cell r="I135">
            <v>1.4468681419810101E-3</v>
          </cell>
          <cell r="J135">
            <v>1.8486940662318699E-4</v>
          </cell>
          <cell r="K135">
            <v>1.7576815144218201E-4</v>
          </cell>
          <cell r="L135">
            <v>1.1275241202503E-4</v>
          </cell>
          <cell r="M135">
            <v>1.2788401710895901E-4</v>
          </cell>
          <cell r="N135">
            <v>1.4491103099860801E-4</v>
          </cell>
          <cell r="O135">
            <v>1.03410332204303E-2</v>
          </cell>
          <cell r="P135">
            <v>2.3070253281087401E-4</v>
          </cell>
          <cell r="Q135">
            <v>2.1183193403486901E-4</v>
          </cell>
          <cell r="R135">
            <v>1.4341962122937899E-4</v>
          </cell>
          <cell r="S135">
            <v>1.4341962122937899E-4</v>
          </cell>
          <cell r="T135">
            <v>2.4942438737497702E-3</v>
          </cell>
          <cell r="U135">
            <v>5.3202803169035101E-5</v>
          </cell>
          <cell r="V135">
            <v>1.30266321691755E-3</v>
          </cell>
        </row>
        <row r="136">
          <cell r="B136">
            <v>1.4960155830675499E-4</v>
          </cell>
          <cell r="C136">
            <v>6.6282191227511999E-4</v>
          </cell>
          <cell r="D136">
            <v>1.1938653550007199E-3</v>
          </cell>
          <cell r="E136">
            <v>1.0408441900777699E-3</v>
          </cell>
          <cell r="F136">
            <v>9.7633186542052895E-4</v>
          </cell>
          <cell r="G136">
            <v>2.5564109694789999E-4</v>
          </cell>
          <cell r="H136">
            <v>3.0576479487317301E-4</v>
          </cell>
          <cell r="I136">
            <v>3.18936928842057E-3</v>
          </cell>
          <cell r="J136">
            <v>1.9617939705464799E-3</v>
          </cell>
          <cell r="K136">
            <v>1.1213775237672401E-3</v>
          </cell>
          <cell r="L136">
            <v>9.9799791070215109E-4</v>
          </cell>
          <cell r="M136">
            <v>8.3541995756067897E-4</v>
          </cell>
          <cell r="N136">
            <v>6.80213761210968E-4</v>
          </cell>
          <cell r="O136">
            <v>1.68380714826097E-3</v>
          </cell>
          <cell r="P136">
            <v>6.2290463151473002E-4</v>
          </cell>
          <cell r="Q136">
            <v>2.5822555188074799E-3</v>
          </cell>
          <cell r="R136">
            <v>9.70932418694744E-5</v>
          </cell>
          <cell r="S136">
            <v>9.7093241869474495E-5</v>
          </cell>
          <cell r="T136">
            <v>4.3338343501535901E-3</v>
          </cell>
          <cell r="U136">
            <v>4.1902666300105103E-5</v>
          </cell>
          <cell r="V136">
            <v>1.0842155558097401E-4</v>
          </cell>
        </row>
        <row r="137">
          <cell r="B137">
            <v>3.0303699308794999E-5</v>
          </cell>
          <cell r="C137">
            <v>4.3149265432748798E-4</v>
          </cell>
          <cell r="D137">
            <v>1.6469590935389801E-3</v>
          </cell>
          <cell r="E137">
            <v>8.8470407843702298E-4</v>
          </cell>
          <cell r="F137">
            <v>8.4283152749599604E-4</v>
          </cell>
          <cell r="G137">
            <v>2.1720555973695499E-4</v>
          </cell>
          <cell r="H137">
            <v>2.5843160810165599E-4</v>
          </cell>
          <cell r="I137">
            <v>5.1935958327963896E-3</v>
          </cell>
          <cell r="J137">
            <v>4.6305943475033903E-5</v>
          </cell>
          <cell r="K137">
            <v>7.0516115204946305E-5</v>
          </cell>
          <cell r="L137">
            <v>2.2491688371882301E-5</v>
          </cell>
          <cell r="M137">
            <v>2.4489170962318699E-5</v>
          </cell>
          <cell r="N137">
            <v>2.1492293904240999E-5</v>
          </cell>
          <cell r="O137">
            <v>2.07165589363515E-5</v>
          </cell>
          <cell r="P137">
            <v>3.7762293671244497E-5</v>
          </cell>
          <cell r="Q137">
            <v>3.0985933257110298E-4</v>
          </cell>
          <cell r="R137">
            <v>1.9464092928666602E-5</v>
          </cell>
          <cell r="S137">
            <v>1.94640929286667E-5</v>
          </cell>
          <cell r="T137">
            <v>2.4100716838055202E-3</v>
          </cell>
          <cell r="U137">
            <v>8.8019947467268398E-6</v>
          </cell>
          <cell r="V137">
            <v>2.4266902608108699E-5</v>
          </cell>
        </row>
        <row r="138">
          <cell r="B138">
            <v>2.7523979603527099E-3</v>
          </cell>
          <cell r="C138">
            <v>3.2864332707457103E-2</v>
          </cell>
          <cell r="D138">
            <v>4.1270669160376701E-2</v>
          </cell>
          <cell r="E138">
            <v>1.7195063170659601E-2</v>
          </cell>
          <cell r="F138">
            <v>1.6633478857704598E-2</v>
          </cell>
          <cell r="G138">
            <v>5.7703633663306999E-3</v>
          </cell>
          <cell r="H138">
            <v>6.9467099744618E-3</v>
          </cell>
          <cell r="I138">
            <v>1.53333405084879E-2</v>
          </cell>
          <cell r="J138">
            <v>1.2614634716876899E-2</v>
          </cell>
          <cell r="K138">
            <v>1.67888310715298E-2</v>
          </cell>
          <cell r="L138">
            <v>7.9455618422627702E-3</v>
          </cell>
          <cell r="M138">
            <v>7.6307150830147797E-3</v>
          </cell>
          <cell r="N138">
            <v>7.9956982698718808E-3</v>
          </cell>
          <cell r="O138">
            <v>1.1569284697528499E-2</v>
          </cell>
          <cell r="P138">
            <v>1.0080028698602099E-2</v>
          </cell>
          <cell r="Q138">
            <v>1.5281348986481799E-2</v>
          </cell>
          <cell r="R138">
            <v>9.0722446373195601E-3</v>
          </cell>
          <cell r="S138">
            <v>9.0722446373195601E-3</v>
          </cell>
          <cell r="T138">
            <v>6.14616381630207E-2</v>
          </cell>
          <cell r="U138">
            <v>1.2390393633699101E-4</v>
          </cell>
          <cell r="V138">
            <v>1.3907558653986001E-4</v>
          </cell>
        </row>
        <row r="139">
          <cell r="B139">
            <v>5.3292914984749497E-5</v>
          </cell>
          <cell r="C139">
            <v>1.3016700166762899E-3</v>
          </cell>
          <cell r="D139">
            <v>4.4101454799743599E-4</v>
          </cell>
          <cell r="E139">
            <v>1.69805912048654E-4</v>
          </cell>
          <cell r="F139">
            <v>1.54710973948073E-4</v>
          </cell>
          <cell r="G139">
            <v>1.4302074110098001E-4</v>
          </cell>
          <cell r="H139">
            <v>1.52776747214973E-4</v>
          </cell>
          <cell r="I139">
            <v>3.02684636446934E-4</v>
          </cell>
          <cell r="J139">
            <v>4.19567624319692E-4</v>
          </cell>
          <cell r="K139">
            <v>1.82776473926188E-3</v>
          </cell>
          <cell r="L139">
            <v>1.2334401553297099E-4</v>
          </cell>
          <cell r="M139">
            <v>4.3510606340114598E-4</v>
          </cell>
          <cell r="N139">
            <v>2.0580948192420399E-4</v>
          </cell>
          <cell r="O139">
            <v>1.7042890316509699E-3</v>
          </cell>
          <cell r="P139">
            <v>9.6921718949433599E-4</v>
          </cell>
          <cell r="Q139">
            <v>3.8031371422002499E-4</v>
          </cell>
          <cell r="R139">
            <v>1.5169185065842599E-4</v>
          </cell>
          <cell r="S139">
            <v>1.5169185065842699E-4</v>
          </cell>
          <cell r="T139">
            <v>1.3569121697856799E-3</v>
          </cell>
          <cell r="U139">
            <v>1.6135417053105101E-5</v>
          </cell>
          <cell r="V139">
            <v>7.1914509364717402E-6</v>
          </cell>
        </row>
        <row r="140">
          <cell r="B140">
            <v>7.7391153840255593E-6</v>
          </cell>
          <cell r="C140">
            <v>8.1167824764465197E-5</v>
          </cell>
          <cell r="D140">
            <v>6.0249276851774801E-5</v>
          </cell>
          <cell r="E140">
            <v>2.24671836341656E-5</v>
          </cell>
          <cell r="F140">
            <v>2.2997510643762799E-5</v>
          </cell>
          <cell r="G140">
            <v>1.20258121022864E-4</v>
          </cell>
          <cell r="H140">
            <v>1.22085882460346E-4</v>
          </cell>
          <cell r="I140">
            <v>8.7925245681687799E-5</v>
          </cell>
          <cell r="J140">
            <v>1.2765948808514399E-4</v>
          </cell>
          <cell r="K140">
            <v>2.7490565031252099E-4</v>
          </cell>
          <cell r="L140">
            <v>2.9668935543952201E-5</v>
          </cell>
          <cell r="M140">
            <v>3.8887045338731097E-5</v>
          </cell>
          <cell r="N140">
            <v>3.0466651449050099E-5</v>
          </cell>
          <cell r="O140">
            <v>2.3599667497067599E-6</v>
          </cell>
          <cell r="P140">
            <v>1.6896071231978701E-4</v>
          </cell>
          <cell r="Q140">
            <v>1.0964689490564E-5</v>
          </cell>
          <cell r="R140">
            <v>8.2993699253959595E-5</v>
          </cell>
          <cell r="S140">
            <v>8.2993699253959799E-5</v>
          </cell>
          <cell r="T140">
            <v>4.8817150702566503E-3</v>
          </cell>
          <cell r="U140">
            <v>3.2172258733394502E-6</v>
          </cell>
          <cell r="V140">
            <v>2.7845697410377499E-6</v>
          </cell>
        </row>
        <row r="141">
          <cell r="B141">
            <v>1.0000365215506399E-5</v>
          </cell>
          <cell r="C141">
            <v>1.0308235224472701E-5</v>
          </cell>
          <cell r="D141">
            <v>1.18728989322633E-5</v>
          </cell>
          <cell r="E141">
            <v>6.1988308567455897E-6</v>
          </cell>
          <cell r="F141">
            <v>5.7574081594838301E-6</v>
          </cell>
          <cell r="G141">
            <v>9.1599806739617094E-6</v>
          </cell>
          <cell r="H141">
            <v>7.3244227061987001E-6</v>
          </cell>
          <cell r="I141">
            <v>9.9273457764468902E-6</v>
          </cell>
          <cell r="J141">
            <v>1.16189935261666E-5</v>
          </cell>
          <cell r="K141">
            <v>2.87214870720668E-5</v>
          </cell>
          <cell r="L141">
            <v>6.19314847993937E-6</v>
          </cell>
          <cell r="M141">
            <v>8.7057018189532508E-6</v>
          </cell>
          <cell r="N141">
            <v>9.2110907310636403E-6</v>
          </cell>
          <cell r="O141">
            <v>7.69798570580495E-7</v>
          </cell>
          <cell r="P141">
            <v>1.1991599944111699E-5</v>
          </cell>
          <cell r="Q141">
            <v>3.5432301612228902E-6</v>
          </cell>
          <cell r="R141">
            <v>1.4372908389005E-5</v>
          </cell>
          <cell r="S141">
            <v>1.4372908389005E-5</v>
          </cell>
          <cell r="T141">
            <v>1.1017644264690499E-5</v>
          </cell>
          <cell r="U141">
            <v>6.8123674395350903E-7</v>
          </cell>
          <cell r="V141">
            <v>1.9845224535434202E-6</v>
          </cell>
        </row>
        <row r="142">
          <cell r="B142">
            <v>2.75761222642569E-5</v>
          </cell>
          <cell r="C142">
            <v>2.4280199962420398E-3</v>
          </cell>
          <cell r="D142">
            <v>7.6919425609610001E-4</v>
          </cell>
          <cell r="E142">
            <v>1.2337059530660499E-4</v>
          </cell>
          <cell r="F142">
            <v>4.98469287170518E-5</v>
          </cell>
          <cell r="G142">
            <v>1.6969731242386801E-4</v>
          </cell>
          <cell r="H142">
            <v>2.8146858651635702E-4</v>
          </cell>
          <cell r="I142">
            <v>1.1153814470769501E-4</v>
          </cell>
          <cell r="J142">
            <v>1.3237033072663399E-4</v>
          </cell>
          <cell r="K142">
            <v>6.7235385602436803E-4</v>
          </cell>
          <cell r="L142">
            <v>1.3549451638241E-4</v>
          </cell>
          <cell r="M142">
            <v>5.63499419032785E-4</v>
          </cell>
          <cell r="N142">
            <v>6.5153000748886905E-5</v>
          </cell>
          <cell r="O142">
            <v>5.8907887144913697E-6</v>
          </cell>
          <cell r="P142">
            <v>1.5945601830570999E-4</v>
          </cell>
          <cell r="Q142">
            <v>7.1595463043936703E-4</v>
          </cell>
          <cell r="R142">
            <v>7.3705015390773E-6</v>
          </cell>
          <cell r="S142">
            <v>7.3705015390773E-6</v>
          </cell>
          <cell r="T142">
            <v>1.47775754032937E-6</v>
          </cell>
          <cell r="U142">
            <v>7.1553735575872901E-6</v>
          </cell>
          <cell r="V142">
            <v>1.7497947856879199E-6</v>
          </cell>
        </row>
        <row r="143">
          <cell r="B143">
            <v>3.2498482502795903E-5</v>
          </cell>
          <cell r="C143">
            <v>2.5880470555588102E-3</v>
          </cell>
          <cell r="D143">
            <v>8.3627912108958898E-4</v>
          </cell>
          <cell r="E143">
            <v>1.2555797471430999E-4</v>
          </cell>
          <cell r="F143">
            <v>4.9649270236720098E-5</v>
          </cell>
          <cell r="G143">
            <v>1.67055965540329E-4</v>
          </cell>
          <cell r="H143">
            <v>2.8115435453907002E-4</v>
          </cell>
          <cell r="I143">
            <v>1.20712569995955E-4</v>
          </cell>
          <cell r="J143">
            <v>1.4435032833762899E-4</v>
          </cell>
          <cell r="K143">
            <v>7.14343498200954E-4</v>
          </cell>
          <cell r="L143">
            <v>1.49595826427949E-4</v>
          </cell>
          <cell r="M143">
            <v>5.9883256233951598E-4</v>
          </cell>
          <cell r="N143">
            <v>7.0810344800912995E-5</v>
          </cell>
          <cell r="O143">
            <v>8.1098978132677002E-6</v>
          </cell>
          <cell r="P143">
            <v>1.66361357976287E-4</v>
          </cell>
          <cell r="Q143">
            <v>9.75790149970564E-4</v>
          </cell>
          <cell r="R143">
            <v>6.0979628860651099E-6</v>
          </cell>
          <cell r="S143">
            <v>6.0979628860651302E-6</v>
          </cell>
          <cell r="T143">
            <v>1.1610220052531901E-6</v>
          </cell>
          <cell r="U143">
            <v>7.4594929926488098E-6</v>
          </cell>
          <cell r="V143">
            <v>1.81300662326997E-6</v>
          </cell>
        </row>
        <row r="144">
          <cell r="B144">
            <v>2.6276194728761701E-5</v>
          </cell>
          <cell r="C144">
            <v>1.1296942913681101E-3</v>
          </cell>
          <cell r="D144">
            <v>3.88593520839776E-4</v>
          </cell>
          <cell r="E144">
            <v>4.9132521427501298E-5</v>
          </cell>
          <cell r="F144">
            <v>1.92403201310627E-5</v>
          </cell>
          <cell r="G144">
            <v>6.42234940550313E-5</v>
          </cell>
          <cell r="H144">
            <v>1.09189318881042E-4</v>
          </cell>
          <cell r="I144">
            <v>5.68255332116226E-5</v>
          </cell>
          <cell r="J144">
            <v>6.8776520887602494E-5</v>
          </cell>
          <cell r="K144">
            <v>3.1261948121059197E-4</v>
          </cell>
          <cell r="L144">
            <v>7.2517876183122499E-5</v>
          </cell>
          <cell r="M144">
            <v>2.5771341926903899E-4</v>
          </cell>
          <cell r="N144">
            <v>4.1690910931073E-5</v>
          </cell>
          <cell r="O144">
            <v>7.9375622120396392E-6</v>
          </cell>
          <cell r="P144">
            <v>1.5149455839243801E-4</v>
          </cell>
          <cell r="Q144">
            <v>1.7371977739871901E-3</v>
          </cell>
          <cell r="R144">
            <v>1.36252964352462E-6</v>
          </cell>
          <cell r="S144">
            <v>1.36252964352462E-6</v>
          </cell>
          <cell r="T144">
            <v>2.8233739262875101E-7</v>
          </cell>
          <cell r="U144">
            <v>4.6562959418414199E-6</v>
          </cell>
          <cell r="V144">
            <v>2.0528902133965599E-6</v>
          </cell>
        </row>
        <row r="145">
          <cell r="B145">
            <v>3.2522581951519903E-5</v>
          </cell>
          <cell r="C145">
            <v>4.1264233017965397E-3</v>
          </cell>
          <cell r="D145">
            <v>1.0647293888047E-3</v>
          </cell>
          <cell r="E145">
            <v>1.5809233314637101E-4</v>
          </cell>
          <cell r="F145">
            <v>4.8385898280453403E-5</v>
          </cell>
          <cell r="G145">
            <v>2.2163692143224899E-4</v>
          </cell>
          <cell r="H145">
            <v>3.6544321876864498E-4</v>
          </cell>
          <cell r="I145">
            <v>1.2382905040129999E-4</v>
          </cell>
          <cell r="J145">
            <v>1.7480490318179501E-4</v>
          </cell>
          <cell r="K145">
            <v>1.13162057853957E-3</v>
          </cell>
          <cell r="L145">
            <v>1.7459468186405299E-4</v>
          </cell>
          <cell r="M145">
            <v>9.914149881881391E-4</v>
          </cell>
          <cell r="N145">
            <v>7.4047444777351496E-5</v>
          </cell>
          <cell r="O145">
            <v>1.29041479310644E-5</v>
          </cell>
          <cell r="P145">
            <v>1.7116340292651499E-4</v>
          </cell>
          <cell r="Q145">
            <v>5.1950850008415702E-3</v>
          </cell>
          <cell r="R145">
            <v>1.00130812514957E-5</v>
          </cell>
          <cell r="S145">
            <v>1.00130812514957E-5</v>
          </cell>
          <cell r="T145">
            <v>1.72155306224222E-6</v>
          </cell>
          <cell r="U145">
            <v>8.2575287423926993E-6</v>
          </cell>
          <cell r="V145">
            <v>2.2159292229306598E-6</v>
          </cell>
        </row>
        <row r="146">
          <cell r="B146">
            <v>1.5648001352756201E-5</v>
          </cell>
          <cell r="C146">
            <v>1.11934697852692E-4</v>
          </cell>
          <cell r="D146">
            <v>2.0235943989805401E-4</v>
          </cell>
          <cell r="E146">
            <v>3.0744996846169401E-5</v>
          </cell>
          <cell r="F146">
            <v>1.1415543674242001E-5</v>
          </cell>
          <cell r="G146">
            <v>3.81666819874706E-5</v>
          </cell>
          <cell r="H146">
            <v>6.6782222505662805E-5</v>
          </cell>
          <cell r="I146">
            <v>2.7689956282423299E-5</v>
          </cell>
          <cell r="J146">
            <v>3.3642282720215702E-5</v>
          </cell>
          <cell r="K146">
            <v>1.8476862176250501E-4</v>
          </cell>
          <cell r="L146">
            <v>3.5611587615944599E-5</v>
          </cell>
          <cell r="M146">
            <v>1.57129671573601E-5</v>
          </cell>
          <cell r="N146">
            <v>2.75368899318521E-5</v>
          </cell>
          <cell r="O146">
            <v>1.53378372566094E-6</v>
          </cell>
          <cell r="P146">
            <v>1.34814709809548E-4</v>
          </cell>
          <cell r="Q146">
            <v>1.7200415046981401E-4</v>
          </cell>
          <cell r="R146">
            <v>1.34590053272834E-6</v>
          </cell>
          <cell r="S146">
            <v>1.34590053272834E-6</v>
          </cell>
          <cell r="T146">
            <v>2.5762957422837099E-7</v>
          </cell>
          <cell r="U146">
            <v>3.2702837357668302E-6</v>
          </cell>
          <cell r="V146">
            <v>5.86207901803422E-8</v>
          </cell>
        </row>
        <row r="147">
          <cell r="B147">
            <v>1.52458046658861E-5</v>
          </cell>
          <cell r="C147">
            <v>1.4275907378356799E-4</v>
          </cell>
          <cell r="D147">
            <v>2.5685935897586999E-4</v>
          </cell>
          <cell r="E147">
            <v>3.9829477882566297E-5</v>
          </cell>
          <cell r="F147">
            <v>1.50239592426961E-5</v>
          </cell>
          <cell r="G147">
            <v>4.9611908384660403E-5</v>
          </cell>
          <cell r="H147">
            <v>8.5734260245084098E-5</v>
          </cell>
          <cell r="I147">
            <v>3.5562747680392801E-5</v>
          </cell>
          <cell r="J147">
            <v>4.3719683304310201E-5</v>
          </cell>
          <cell r="K147">
            <v>2.3220458368928E-4</v>
          </cell>
          <cell r="L147">
            <v>4.5219309976742701E-5</v>
          </cell>
          <cell r="M147">
            <v>1.9357819924436999E-4</v>
          </cell>
          <cell r="N147">
            <v>2.9981196607720101E-5</v>
          </cell>
          <cell r="O147">
            <v>5.0164138031321796E-6</v>
          </cell>
          <cell r="P147">
            <v>1.34681836798255E-4</v>
          </cell>
          <cell r="Q147">
            <v>3.3442825720528301E-4</v>
          </cell>
          <cell r="R147">
            <v>1.77282040800598E-6</v>
          </cell>
          <cell r="S147">
            <v>1.77282040800598E-6</v>
          </cell>
          <cell r="T147">
            <v>3.4009303322855798E-7</v>
          </cell>
          <cell r="U147">
            <v>4.0414081473989398E-6</v>
          </cell>
          <cell r="V147">
            <v>1.87612958051114E-6</v>
          </cell>
        </row>
        <row r="148">
          <cell r="B148">
            <v>4.6373012035470702E-5</v>
          </cell>
          <cell r="C148">
            <v>6.6843420978802102E-4</v>
          </cell>
          <cell r="D148">
            <v>7.0365034169448998E-4</v>
          </cell>
          <cell r="E148">
            <v>9.0061005930271496E-5</v>
          </cell>
          <cell r="F148">
            <v>7.0761455048700404E-5</v>
          </cell>
          <cell r="G148">
            <v>1.9888616786550701E-4</v>
          </cell>
          <cell r="H148">
            <v>2.6351484716787699E-4</v>
          </cell>
          <cell r="I148">
            <v>1.7183390356607901E-4</v>
          </cell>
          <cell r="J148">
            <v>2.6444455417473102E-4</v>
          </cell>
          <cell r="K148">
            <v>2.07039085442104E-4</v>
          </cell>
          <cell r="L148">
            <v>3.1474432608470101E-4</v>
          </cell>
          <cell r="M148">
            <v>9.26943419708003E-5</v>
          </cell>
          <cell r="N148">
            <v>9.67416987784615E-5</v>
          </cell>
          <cell r="O148">
            <v>8.8540619175868908E-6</v>
          </cell>
          <cell r="P148">
            <v>1.85606905785175E-4</v>
          </cell>
          <cell r="Q148">
            <v>1.07187893097031E-3</v>
          </cell>
          <cell r="R148">
            <v>8.6169419452209803E-6</v>
          </cell>
          <cell r="S148">
            <v>8.6169419452210007E-6</v>
          </cell>
          <cell r="T148">
            <v>1.8135971708957299E-6</v>
          </cell>
          <cell r="U148">
            <v>8.2200393851630904E-6</v>
          </cell>
          <cell r="V148">
            <v>1.7905612132233999E-6</v>
          </cell>
        </row>
        <row r="149">
          <cell r="B149">
            <v>5.2027513196844296E-7</v>
          </cell>
          <cell r="C149">
            <v>1.11816421429884E-7</v>
          </cell>
          <cell r="D149">
            <v>1.0455204547172699E-7</v>
          </cell>
          <cell r="E149">
            <v>7.73293616908977E-8</v>
          </cell>
          <cell r="F149">
            <v>7.8322233509304304E-8</v>
          </cell>
          <cell r="G149">
            <v>9.2889579621890903E-8</v>
          </cell>
          <cell r="H149">
            <v>3.0014497438820999E-8</v>
          </cell>
          <cell r="I149">
            <v>1.83307895817942E-7</v>
          </cell>
          <cell r="J149">
            <v>2.49659085564416E-7</v>
          </cell>
          <cell r="K149">
            <v>2.1145341229193101E-7</v>
          </cell>
          <cell r="L149">
            <v>5.0133990853487902E-8</v>
          </cell>
          <cell r="M149">
            <v>5.4325972365743199E-8</v>
          </cell>
          <cell r="N149">
            <v>9.3280158062608006E-8</v>
          </cell>
          <cell r="O149">
            <v>5.6205622963838199E-6</v>
          </cell>
          <cell r="P149">
            <v>2.48935373602475E-7</v>
          </cell>
          <cell r="Q149">
            <v>1.50126924453531E-4</v>
          </cell>
          <cell r="R149">
            <v>4.7065474189952198E-8</v>
          </cell>
          <cell r="S149">
            <v>4.7065474189952403E-8</v>
          </cell>
          <cell r="T149">
            <v>1.0486929814294901E-5</v>
          </cell>
          <cell r="U149">
            <v>3.29003758032536E-6</v>
          </cell>
          <cell r="V149">
            <v>1.4028810858436501E-8</v>
          </cell>
        </row>
        <row r="150">
          <cell r="B150">
            <v>3.3681597375321901E-6</v>
          </cell>
          <cell r="C150">
            <v>3.8071453680921601E-7</v>
          </cell>
          <cell r="D150">
            <v>1.16335194035135E-7</v>
          </cell>
          <cell r="E150">
            <v>5.64176205479691E-8</v>
          </cell>
          <cell r="F150">
            <v>1.0078900358242099E-7</v>
          </cell>
          <cell r="G150">
            <v>6.3163477131694794E-8</v>
          </cell>
          <cell r="H150">
            <v>4.6454016169605297E-8</v>
          </cell>
          <cell r="I150">
            <v>1.9414176068821601E-7</v>
          </cell>
          <cell r="J150">
            <v>2.2206708547427899E-7</v>
          </cell>
          <cell r="K150">
            <v>4.2832359688720299E-7</v>
          </cell>
          <cell r="L150">
            <v>7.33979980418677E-8</v>
          </cell>
          <cell r="M150">
            <v>1.5438816653154601E-7</v>
          </cell>
          <cell r="N150">
            <v>4.21727156486482E-7</v>
          </cell>
          <cell r="O150">
            <v>5.1114740861365101E-7</v>
          </cell>
          <cell r="P150">
            <v>1.13787623981086E-6</v>
          </cell>
          <cell r="Q150">
            <v>2.18511609074642E-5</v>
          </cell>
          <cell r="R150">
            <v>7.3443666876365406E-8</v>
          </cell>
          <cell r="S150">
            <v>7.3443666876365406E-8</v>
          </cell>
          <cell r="T150">
            <v>1.56277184980311E-6</v>
          </cell>
          <cell r="U150">
            <v>1.7565139488465201E-6</v>
          </cell>
          <cell r="V150">
            <v>1.8054471924416701E-6</v>
          </cell>
        </row>
        <row r="151">
          <cell r="B151">
            <v>4.0779143705006998E-4</v>
          </cell>
          <cell r="C151">
            <v>1.47205900693031E-2</v>
          </cell>
          <cell r="D151">
            <v>4.8451550028647903E-3</v>
          </cell>
          <cell r="E151">
            <v>5.9833910216383905E-4</v>
          </cell>
          <cell r="F151">
            <v>2.4495527498332099E-4</v>
          </cell>
          <cell r="G151">
            <v>1.02592142149026E-3</v>
          </cell>
          <cell r="H151">
            <v>1.58024908945407E-3</v>
          </cell>
          <cell r="I151">
            <v>7.0941738088187698E-4</v>
          </cell>
          <cell r="J151">
            <v>9.06552981922833E-4</v>
          </cell>
          <cell r="K151">
            <v>4.31597988665329E-3</v>
          </cell>
          <cell r="L151">
            <v>8.9157486830278797E-4</v>
          </cell>
          <cell r="M151">
            <v>3.4094000825991501E-3</v>
          </cell>
          <cell r="N151">
            <v>4.3309313224459202E-4</v>
          </cell>
          <cell r="O151">
            <v>1.76900244559416E-5</v>
          </cell>
          <cell r="P151">
            <v>7.4462640213385797E-4</v>
          </cell>
          <cell r="Q151">
            <v>1.02870188231935E-4</v>
          </cell>
          <cell r="R151">
            <v>4.7382137204071802E-5</v>
          </cell>
          <cell r="S151">
            <v>4.7382137204071897E-5</v>
          </cell>
          <cell r="T151">
            <v>4.2682116581145297E-6</v>
          </cell>
          <cell r="U151">
            <v>7.4992149924902901E-6</v>
          </cell>
          <cell r="V151">
            <v>6.2745877962952505E-8</v>
          </cell>
        </row>
        <row r="152">
          <cell r="B152">
            <v>3.6122724475254003E-5</v>
          </cell>
          <cell r="C152">
            <v>3.51658865794856E-3</v>
          </cell>
          <cell r="D152">
            <v>9.9503212743291109E-4</v>
          </cell>
          <cell r="E152">
            <v>1.3512775337577799E-4</v>
          </cell>
          <cell r="F152">
            <v>5.0574544437702795E-4</v>
          </cell>
          <cell r="G152">
            <v>1.9499961782822999E-4</v>
          </cell>
          <cell r="H152">
            <v>3.1904948747469197E-4</v>
          </cell>
          <cell r="I152">
            <v>1.2729870880822801E-4</v>
          </cell>
          <cell r="J152">
            <v>1.6932946730991E-4</v>
          </cell>
          <cell r="K152">
            <v>9.6656315429329497E-4</v>
          </cell>
          <cell r="L152">
            <v>1.7124384044226099E-4</v>
          </cell>
          <cell r="M152">
            <v>8.3341159985566096E-4</v>
          </cell>
          <cell r="N152">
            <v>7.6213680567842503E-5</v>
          </cell>
          <cell r="O152">
            <v>4.7919268110639304E-6</v>
          </cell>
          <cell r="P152">
            <v>1.7331354867221999E-4</v>
          </cell>
          <cell r="Q152">
            <v>4.2864053637616997E-3</v>
          </cell>
          <cell r="R152">
            <v>7.9693628963268797E-6</v>
          </cell>
          <cell r="S152">
            <v>7.9693628963268899E-6</v>
          </cell>
          <cell r="T152">
            <v>3.9296589954353803E-6</v>
          </cell>
          <cell r="U152">
            <v>5.9043087107970504E-6</v>
          </cell>
          <cell r="V152">
            <v>2.10514152409404E-6</v>
          </cell>
        </row>
        <row r="153">
          <cell r="B153">
            <v>3.3124385624188101E-7</v>
          </cell>
          <cell r="C153">
            <v>3.6858164331613297E-8</v>
          </cell>
          <cell r="D153">
            <v>1.79447557831874E-8</v>
          </cell>
          <cell r="E153">
            <v>1.48236781438993E-8</v>
          </cell>
          <cell r="F153">
            <v>1.68812119936103E-8</v>
          </cell>
          <cell r="G153">
            <v>4.5260085548045498E-8</v>
          </cell>
          <cell r="H153">
            <v>1.0647973758409799E-8</v>
          </cell>
          <cell r="I153">
            <v>5.8491541064663598E-9</v>
          </cell>
          <cell r="J153">
            <v>5.9684984694976295E-8</v>
          </cell>
          <cell r="K153">
            <v>1.35342489055662E-8</v>
          </cell>
          <cell r="L153">
            <v>3.1995826005544702E-9</v>
          </cell>
          <cell r="M153">
            <v>9.5225606378635995E-9</v>
          </cell>
          <cell r="N153">
            <v>3.7491506243653902E-8</v>
          </cell>
          <cell r="O153">
            <v>2.1966410998050101E-7</v>
          </cell>
          <cell r="P153">
            <v>1.00449291662653E-7</v>
          </cell>
          <cell r="Q153">
            <v>1.18568197719708E-8</v>
          </cell>
          <cell r="R153">
            <v>3.8002937281402397E-9</v>
          </cell>
          <cell r="S153">
            <v>3.8002937281402496E-9</v>
          </cell>
          <cell r="T153">
            <v>1.36619149831936E-8</v>
          </cell>
          <cell r="U153">
            <v>4.7866875770247495E-10</v>
          </cell>
          <cell r="V153">
            <v>2.7009100532561298E-9</v>
          </cell>
        </row>
        <row r="154">
          <cell r="B154">
            <v>6.00974610040198E-5</v>
          </cell>
          <cell r="C154">
            <v>3.2787202138873702E-3</v>
          </cell>
          <cell r="D154">
            <v>1.19876281626405E-3</v>
          </cell>
          <cell r="E154">
            <v>1.4631340572300599E-4</v>
          </cell>
          <cell r="F154">
            <v>4.5476328950981099E-4</v>
          </cell>
          <cell r="G154">
            <v>3.1085848023983001E-4</v>
          </cell>
          <cell r="H154">
            <v>4.3920308043526998E-4</v>
          </cell>
          <cell r="I154">
            <v>1.9590367138453099E-4</v>
          </cell>
          <cell r="J154">
            <v>2.3533445448944499E-4</v>
          </cell>
          <cell r="K154">
            <v>9.2141172416562603E-4</v>
          </cell>
          <cell r="L154">
            <v>2.2693953237543299E-4</v>
          </cell>
          <cell r="M154">
            <v>7.41883456431368E-4</v>
          </cell>
          <cell r="N154">
            <v>3.30980313877647E-3</v>
          </cell>
          <cell r="O154">
            <v>2.9163671353881902E-6</v>
          </cell>
          <cell r="P154">
            <v>2.0828994071538101E-4</v>
          </cell>
          <cell r="Q154">
            <v>3.0968596744851998E-4</v>
          </cell>
          <cell r="R154">
            <v>1.5535380806972601E-5</v>
          </cell>
          <cell r="S154">
            <v>1.5535380806972601E-5</v>
          </cell>
          <cell r="T154">
            <v>1.59291745929494E-6</v>
          </cell>
          <cell r="U154">
            <v>4.1330530822725E-6</v>
          </cell>
          <cell r="V154">
            <v>1.6990441657205E-6</v>
          </cell>
        </row>
        <row r="155">
          <cell r="B155">
            <v>1.75779615479713E-4</v>
          </cell>
          <cell r="C155">
            <v>6.5440124258429903E-3</v>
          </cell>
          <cell r="D155">
            <v>2.3060063501480301E-3</v>
          </cell>
          <cell r="E155">
            <v>2.8567617890058202E-4</v>
          </cell>
          <cell r="F155">
            <v>9.1403329914841304E-4</v>
          </cell>
          <cell r="G155">
            <v>5.8404726826616002E-4</v>
          </cell>
          <cell r="H155">
            <v>8.3863771021095497E-4</v>
          </cell>
          <cell r="I155">
            <v>3.69167925723472E-4</v>
          </cell>
          <cell r="J155">
            <v>4.43155536702237E-4</v>
          </cell>
          <cell r="K155">
            <v>1.83405471052581E-3</v>
          </cell>
          <cell r="L155">
            <v>4.3143751782531101E-4</v>
          </cell>
          <cell r="M155">
            <v>1.49388600936813E-3</v>
          </cell>
          <cell r="N155">
            <v>2.2234702234125601E-4</v>
          </cell>
          <cell r="O155">
            <v>7.45277610514715E-6</v>
          </cell>
          <cell r="P155">
            <v>3.2417242088143898E-4</v>
          </cell>
          <cell r="Q155">
            <v>6.25276723281627E-4</v>
          </cell>
          <cell r="R155">
            <v>2.92708586837795E-5</v>
          </cell>
          <cell r="S155">
            <v>2.9270858683779601E-5</v>
          </cell>
          <cell r="T155">
            <v>3.2735414489275702E-6</v>
          </cell>
          <cell r="U155">
            <v>5.5476878097768999E-6</v>
          </cell>
          <cell r="V155">
            <v>1.8375001341602801E-6</v>
          </cell>
        </row>
        <row r="156">
          <cell r="B156">
            <v>2.8991103986343098E-4</v>
          </cell>
          <cell r="C156">
            <v>1.7375960445600001E-2</v>
          </cell>
          <cell r="D156">
            <v>4.4715935971112999E-3</v>
          </cell>
          <cell r="E156">
            <v>6.5255405964827597E-4</v>
          </cell>
          <cell r="F156">
            <v>1.9103215063761699E-4</v>
          </cell>
          <cell r="G156">
            <v>9.0770493286724998E-4</v>
          </cell>
          <cell r="H156">
            <v>1.5359243953784001E-3</v>
          </cell>
          <cell r="I156">
            <v>5.1405708517077197E-4</v>
          </cell>
          <cell r="J156">
            <v>6.9135370975218597E-4</v>
          </cell>
          <cell r="K156">
            <v>4.7477773061178497E-3</v>
          </cell>
          <cell r="L156">
            <v>7.2964137879135099E-4</v>
          </cell>
          <cell r="M156">
            <v>4.1797246635399098E-3</v>
          </cell>
          <cell r="N156">
            <v>3.0727488364640302E-4</v>
          </cell>
          <cell r="O156">
            <v>3.58614301365673E-6</v>
          </cell>
          <cell r="P156">
            <v>4.5025273427052898E-4</v>
          </cell>
          <cell r="Q156">
            <v>8.5120931893341599E-5</v>
          </cell>
          <cell r="R156">
            <v>4.0212646970507597E-5</v>
          </cell>
          <cell r="S156">
            <v>4.0212646970507801E-5</v>
          </cell>
          <cell r="T156">
            <v>5.9407479125004303E-6</v>
          </cell>
          <cell r="U156">
            <v>5.6119771733730298E-6</v>
          </cell>
          <cell r="V156">
            <v>3.3365552552091599E-6</v>
          </cell>
        </row>
        <row r="157">
          <cell r="B157">
            <v>1.7018294170267301E-4</v>
          </cell>
          <cell r="C157">
            <v>8.7720385080731194E-3</v>
          </cell>
          <cell r="D157">
            <v>2.5827499330849401E-3</v>
          </cell>
          <cell r="E157">
            <v>3.52067367083704E-4</v>
          </cell>
          <cell r="F157">
            <v>1.3196219483485399E-4</v>
          </cell>
          <cell r="G157">
            <v>5.8526037394860395E-4</v>
          </cell>
          <cell r="H157">
            <v>9.1321580100747995E-4</v>
          </cell>
          <cell r="I157">
            <v>3.5283240885361299E-4</v>
          </cell>
          <cell r="J157">
            <v>4.4324302003774502E-4</v>
          </cell>
          <cell r="K157">
            <v>2.4212579089995601E-3</v>
          </cell>
          <cell r="L157">
            <v>4.5044097314015302E-4</v>
          </cell>
          <cell r="M157">
            <v>2.0678779877519701E-3</v>
          </cell>
          <cell r="N157">
            <v>2.12076564350015E-4</v>
          </cell>
          <cell r="O157">
            <v>2.5373068295384999E-6</v>
          </cell>
          <cell r="P157">
            <v>3.12448134508119E-4</v>
          </cell>
          <cell r="Q157">
            <v>1.3564830593289399E-4</v>
          </cell>
          <cell r="R157">
            <v>2.78260725717538E-5</v>
          </cell>
          <cell r="S157">
            <v>2.7826072571753698E-5</v>
          </cell>
          <cell r="T157">
            <v>6.2280127523064099E-6</v>
          </cell>
          <cell r="U157">
            <v>5.0951320917932E-6</v>
          </cell>
          <cell r="V157">
            <v>1.06490403504606E-5</v>
          </cell>
        </row>
        <row r="158">
          <cell r="B158">
            <v>2.3514239141681801E-5</v>
          </cell>
          <cell r="C158">
            <v>1.6716436963089799E-4</v>
          </cell>
          <cell r="D158">
            <v>6.4446358509226095E-4</v>
          </cell>
          <cell r="E158">
            <v>1.1006166006732599E-4</v>
          </cell>
          <cell r="F158">
            <v>1.7025550726392001E-5</v>
          </cell>
          <cell r="G158">
            <v>9.6434465253483897E-5</v>
          </cell>
          <cell r="H158">
            <v>2.0824144172198301E-4</v>
          </cell>
          <cell r="I158">
            <v>4.4988827566755897E-5</v>
          </cell>
          <cell r="J158">
            <v>7.5109643191318906E-5</v>
          </cell>
          <cell r="K158">
            <v>8.7805780293134697E-4</v>
          </cell>
          <cell r="L158">
            <v>8.9157373576567806E-5</v>
          </cell>
          <cell r="M158">
            <v>8.0310225274494898E-4</v>
          </cell>
          <cell r="N158">
            <v>3.2654315572785503E-5</v>
          </cell>
          <cell r="O158">
            <v>7.0137476346523402E-7</v>
          </cell>
          <cell r="P158">
            <v>1.3482800810826E-4</v>
          </cell>
          <cell r="Q158">
            <v>3.23909204280854E-5</v>
          </cell>
          <cell r="R158">
            <v>3.8619931204369496E-6</v>
          </cell>
          <cell r="S158">
            <v>3.8619931204369496E-6</v>
          </cell>
          <cell r="T158">
            <v>2.28900890051315E-6</v>
          </cell>
          <cell r="U158">
            <v>3.2704113175192299E-6</v>
          </cell>
          <cell r="V158">
            <v>2.3796066895425801E-5</v>
          </cell>
        </row>
        <row r="159">
          <cell r="B159">
            <v>9.4316181983729501E-5</v>
          </cell>
          <cell r="C159">
            <v>8.2592784153750504E-3</v>
          </cell>
          <cell r="D159">
            <v>2.13560390731099E-3</v>
          </cell>
          <cell r="E159">
            <v>3.20465060044885E-4</v>
          </cell>
          <cell r="F159">
            <v>1.00451769635191E-4</v>
          </cell>
          <cell r="G159">
            <v>4.3960917091354399E-4</v>
          </cell>
          <cell r="H159">
            <v>7.3555164518019701E-4</v>
          </cell>
          <cell r="I159">
            <v>2.5102751442709502E-4</v>
          </cell>
          <cell r="J159">
            <v>3.3821731219164301E-4</v>
          </cell>
          <cell r="K159">
            <v>2.2620877252600602E-3</v>
          </cell>
          <cell r="L159">
            <v>3.4996638482635199E-4</v>
          </cell>
          <cell r="M159">
            <v>1.9851687858298199E-3</v>
          </cell>
          <cell r="N159">
            <v>1.4896906946066101E-4</v>
          </cell>
          <cell r="O159">
            <v>4.2519184490714E-6</v>
          </cell>
          <cell r="P159">
            <v>2.4094553631591901E-4</v>
          </cell>
          <cell r="Q159">
            <v>3.5010661756235698E-4</v>
          </cell>
          <cell r="R159">
            <v>1.97086189991677E-5</v>
          </cell>
          <cell r="S159">
            <v>1.9708618999167799E-5</v>
          </cell>
          <cell r="T159">
            <v>8.3438702378099102E-6</v>
          </cell>
          <cell r="U159">
            <v>9.7631584927433804E-6</v>
          </cell>
          <cell r="V159">
            <v>1.1804607575677201E-5</v>
          </cell>
        </row>
        <row r="160">
          <cell r="B160">
            <v>2.6778410060271498E-5</v>
          </cell>
          <cell r="C160">
            <v>3.0340557009651999E-4</v>
          </cell>
          <cell r="D160">
            <v>5.8993459686822701E-4</v>
          </cell>
          <cell r="E160">
            <v>8.3576928500994502E-5</v>
          </cell>
          <cell r="F160">
            <v>2.9659330173209399E-5</v>
          </cell>
          <cell r="G160">
            <v>1.28330186247315E-4</v>
          </cell>
          <cell r="H160">
            <v>2.06537463384535E-4</v>
          </cell>
          <cell r="I160">
            <v>7.8289234911365095E-5</v>
          </cell>
          <cell r="J160">
            <v>9.8278917622810294E-5</v>
          </cell>
          <cell r="K160">
            <v>5.8409760438884204E-4</v>
          </cell>
          <cell r="L160">
            <v>1.0113078259079E-4</v>
          </cell>
          <cell r="M160">
            <v>5.0099327148420104E-4</v>
          </cell>
          <cell r="N160">
            <v>4.8935475925847199E-5</v>
          </cell>
          <cell r="O160">
            <v>1.1697981551185399E-6</v>
          </cell>
          <cell r="P160">
            <v>1.5039156228156499E-4</v>
          </cell>
          <cell r="Q160">
            <v>1.47924455836965E-5</v>
          </cell>
          <cell r="R160">
            <v>6.4881583355903499E-6</v>
          </cell>
          <cell r="S160">
            <v>6.4881583355903703E-6</v>
          </cell>
          <cell r="T160">
            <v>2.0339755801592598E-6</v>
          </cell>
          <cell r="U160">
            <v>2.4866381741655799E-6</v>
          </cell>
          <cell r="V160">
            <v>1.41279623428962E-5</v>
          </cell>
        </row>
        <row r="161">
          <cell r="B161">
            <v>3.2079500677445198E-5</v>
          </cell>
          <cell r="C161">
            <v>3.8614433275978299E-4</v>
          </cell>
          <cell r="D161">
            <v>7.4766594732178905E-4</v>
          </cell>
          <cell r="E161">
            <v>1.05693926440086E-4</v>
          </cell>
          <cell r="F161">
            <v>3.7626757112614798E-5</v>
          </cell>
          <cell r="G161">
            <v>1.633530897815E-4</v>
          </cell>
          <cell r="H161">
            <v>2.6195583907484598E-4</v>
          </cell>
          <cell r="I161">
            <v>9.9021341907965901E-5</v>
          </cell>
          <cell r="J161">
            <v>1.2510818549199101E-4</v>
          </cell>
          <cell r="K161">
            <v>7.3678973656984197E-4</v>
          </cell>
          <cell r="L161">
            <v>1.2832648099402901E-4</v>
          </cell>
          <cell r="M161">
            <v>6.3248259259981305E-4</v>
          </cell>
          <cell r="N161">
            <v>5.9285309974792903E-5</v>
          </cell>
          <cell r="O161">
            <v>1.3634233575037001E-6</v>
          </cell>
          <cell r="P161">
            <v>1.6068637442023299E-4</v>
          </cell>
          <cell r="Q161">
            <v>6.8112521435454102E-5</v>
          </cell>
          <cell r="R161">
            <v>8.1795120597588196E-6</v>
          </cell>
          <cell r="S161">
            <v>8.1795120597588399E-6</v>
          </cell>
          <cell r="T161">
            <v>2.6447906039046701E-6</v>
          </cell>
          <cell r="U161">
            <v>4.0505349240296001E-6</v>
          </cell>
          <cell r="V161">
            <v>1.5527391045972502E-5</v>
          </cell>
        </row>
        <row r="162">
          <cell r="B162">
            <v>1.3847483179878599E-6</v>
          </cell>
          <cell r="C162">
            <v>4.3668233248707203E-5</v>
          </cell>
          <cell r="D162">
            <v>3.96084116528952E-5</v>
          </cell>
          <cell r="E162">
            <v>7.6877982635626802E-7</v>
          </cell>
          <cell r="F162">
            <v>6.9330753583842795E-7</v>
          </cell>
          <cell r="G162">
            <v>7.8205414033679097E-7</v>
          </cell>
          <cell r="H162">
            <v>5.1733314594485897E-7</v>
          </cell>
          <cell r="I162">
            <v>9.57439489476464E-7</v>
          </cell>
          <cell r="J162">
            <v>9.1952157672422796E-7</v>
          </cell>
          <cell r="K162">
            <v>5.9543591135705804E-7</v>
          </cell>
          <cell r="L162">
            <v>2.4655283410438898E-7</v>
          </cell>
          <cell r="M162">
            <v>3.7710360526712302E-7</v>
          </cell>
          <cell r="N162">
            <v>2.1620859308802301E-7</v>
          </cell>
          <cell r="O162">
            <v>1.9337730303935E-6</v>
          </cell>
          <cell r="P162">
            <v>4.8943631265472696E-7</v>
          </cell>
          <cell r="Q162">
            <v>4.3298060544080799E-6</v>
          </cell>
          <cell r="R162">
            <v>1.4409365371630599E-7</v>
          </cell>
          <cell r="S162">
            <v>1.4409365371630599E-7</v>
          </cell>
          <cell r="T162">
            <v>1.3891020648707101E-6</v>
          </cell>
          <cell r="U162">
            <v>1.8212736406923799E-6</v>
          </cell>
          <cell r="V162">
            <v>6.7885518158220102E-7</v>
          </cell>
        </row>
        <row r="163">
          <cell r="B163">
            <v>2.1192933224346199E-5</v>
          </cell>
          <cell r="C163">
            <v>1.13136768777148E-4</v>
          </cell>
          <cell r="D163">
            <v>7.7942863584130604E-5</v>
          </cell>
          <cell r="E163">
            <v>1.9225811905037701E-5</v>
          </cell>
          <cell r="F163">
            <v>1.7662469224607301E-5</v>
          </cell>
          <cell r="G163">
            <v>1.3967744771570899E-5</v>
          </cell>
          <cell r="H163">
            <v>1.7450745944546499E-5</v>
          </cell>
          <cell r="I163">
            <v>2.8513923540861499E-5</v>
          </cell>
          <cell r="J163">
            <v>2.7178667076136001E-5</v>
          </cell>
          <cell r="K163">
            <v>5.2998248676683503E-5</v>
          </cell>
          <cell r="L163">
            <v>1.5105540152157899E-5</v>
          </cell>
          <cell r="M163">
            <v>3.3545981816338698E-5</v>
          </cell>
          <cell r="N163">
            <v>1.62103461719277E-5</v>
          </cell>
          <cell r="O163">
            <v>6.4780126218526204E-5</v>
          </cell>
          <cell r="P163">
            <v>2.2941245202591399E-5</v>
          </cell>
          <cell r="Q163">
            <v>9.7134247988924896E-5</v>
          </cell>
          <cell r="R163">
            <v>3.0034955208036401E-5</v>
          </cell>
          <cell r="S163">
            <v>3.0034955208036499E-5</v>
          </cell>
          <cell r="T163">
            <v>4.0714813644691102E-5</v>
          </cell>
          <cell r="U163">
            <v>4.3523285205156897E-6</v>
          </cell>
          <cell r="V163">
            <v>4.1746528477457003E-5</v>
          </cell>
        </row>
        <row r="164">
          <cell r="B164">
            <v>5.2384373153058202E-5</v>
          </cell>
          <cell r="C164">
            <v>9.6183959114447799E-5</v>
          </cell>
          <cell r="D164">
            <v>5.2585023334554401E-5</v>
          </cell>
          <cell r="E164">
            <v>1.04720304548453E-4</v>
          </cell>
          <cell r="F164">
            <v>1.04171819738258E-4</v>
          </cell>
          <cell r="G164">
            <v>3.2056024835260102E-5</v>
          </cell>
          <cell r="H164">
            <v>4.2290329449059799E-5</v>
          </cell>
          <cell r="I164">
            <v>3.37841055797442E-5</v>
          </cell>
          <cell r="J164">
            <v>2.3048704198728399E-5</v>
          </cell>
          <cell r="K164">
            <v>4.4263032493905502E-5</v>
          </cell>
          <cell r="L164">
            <v>1.51329221303918E-5</v>
          </cell>
          <cell r="M164">
            <v>2.5958667366038199E-5</v>
          </cell>
          <cell r="N164">
            <v>1.9557936922317601E-5</v>
          </cell>
          <cell r="O164">
            <v>4.0047176341573201E-4</v>
          </cell>
          <cell r="P164">
            <v>1.1561893699226E-4</v>
          </cell>
          <cell r="Q164">
            <v>1.1309361249905999E-5</v>
          </cell>
          <cell r="R164">
            <v>1.31250331663879E-5</v>
          </cell>
          <cell r="S164">
            <v>1.31250331663879E-5</v>
          </cell>
          <cell r="T164">
            <v>1.6061716490178999E-5</v>
          </cell>
          <cell r="U164">
            <v>1.12627202847729E-5</v>
          </cell>
          <cell r="V164">
            <v>7.8128938811943504E-5</v>
          </cell>
        </row>
        <row r="165">
          <cell r="B165">
            <v>1.7846163263408401E-6</v>
          </cell>
          <cell r="C165">
            <v>1.51834511102114E-6</v>
          </cell>
          <cell r="D165">
            <v>8.5840372566698495E-7</v>
          </cell>
          <cell r="E165">
            <v>3.4614722113146099E-7</v>
          </cell>
          <cell r="F165">
            <v>4.5591543449837997E-7</v>
          </cell>
          <cell r="G165">
            <v>1.58607042941954E-6</v>
          </cell>
          <cell r="H165">
            <v>2.20198139225125E-7</v>
          </cell>
          <cell r="I165">
            <v>2.2164024773430399E-7</v>
          </cell>
          <cell r="J165">
            <v>5.7654186785735303E-7</v>
          </cell>
          <cell r="K165">
            <v>1.22306166621198E-6</v>
          </cell>
          <cell r="L165">
            <v>2.13435460522069E-7</v>
          </cell>
          <cell r="M165">
            <v>3.39938748611201E-7</v>
          </cell>
          <cell r="N165">
            <v>6.3754401403648799E-7</v>
          </cell>
          <cell r="O165">
            <v>1.2319222570579099E-6</v>
          </cell>
          <cell r="P165">
            <v>1.2856170297006901E-6</v>
          </cell>
          <cell r="Q165">
            <v>7.1397410649271795E-7</v>
          </cell>
          <cell r="R165">
            <v>3.2345005118112098E-7</v>
          </cell>
          <cell r="S165">
            <v>3.2345005118112098E-7</v>
          </cell>
          <cell r="T165">
            <v>3.3598391751656198E-6</v>
          </cell>
          <cell r="U165">
            <v>1.9762208876009702E-6</v>
          </cell>
          <cell r="V165">
            <v>8.4008251806134998E-8</v>
          </cell>
        </row>
        <row r="166">
          <cell r="B166">
            <v>0</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row>
        <row r="167">
          <cell r="B167">
            <v>3.8373787899811301E-2</v>
          </cell>
          <cell r="C167">
            <v>1.6426119751658801E-2</v>
          </cell>
          <cell r="D167">
            <v>4.1252095697665803E-2</v>
          </cell>
          <cell r="E167">
            <v>1.4590982803862699E-2</v>
          </cell>
          <cell r="F167">
            <v>1.3968475925001601E-2</v>
          </cell>
          <cell r="G167">
            <v>9.1212096186146403E-3</v>
          </cell>
          <cell r="H167">
            <v>6.7200368914564698E-3</v>
          </cell>
          <cell r="I167">
            <v>1.4311192638375899E-2</v>
          </cell>
          <cell r="J167">
            <v>1.9217877874260401E-2</v>
          </cell>
          <cell r="K167">
            <v>2.1220448352368498E-2</v>
          </cell>
          <cell r="L167">
            <v>9.3574532956588097E-4</v>
          </cell>
          <cell r="M167">
            <v>4.0371168910868999E-4</v>
          </cell>
          <cell r="N167">
            <v>-2.5512486208753999E-4</v>
          </cell>
          <cell r="O167">
            <v>2.03087027167414E-2</v>
          </cell>
          <cell r="P167">
            <v>3.9110640227603501E-2</v>
          </cell>
          <cell r="Q167">
            <v>4.09221332653113E-2</v>
          </cell>
          <cell r="R167">
            <v>-3.2882927891388098E-3</v>
          </cell>
          <cell r="S167">
            <v>-3.2882927891387998E-3</v>
          </cell>
          <cell r="T167">
            <v>2.3256485429826401E-2</v>
          </cell>
          <cell r="U167">
            <v>2.0046903056631399E-2</v>
          </cell>
          <cell r="V167">
            <v>5.9474249329968497E-3</v>
          </cell>
        </row>
        <row r="168">
          <cell r="B168">
            <v>-1.37692962018158E-3</v>
          </cell>
          <cell r="C168">
            <v>-1.50305529414925E-3</v>
          </cell>
          <cell r="D168">
            <v>-1.79799507611615E-3</v>
          </cell>
          <cell r="E168">
            <v>-1.3269491119265E-3</v>
          </cell>
          <cell r="F168">
            <v>-1.35022049380928E-3</v>
          </cell>
          <cell r="G168">
            <v>1.38613233379743E-5</v>
          </cell>
          <cell r="H168">
            <v>1.5823821074542599E-5</v>
          </cell>
          <cell r="I168">
            <v>-1.6007953468615601E-4</v>
          </cell>
          <cell r="J168">
            <v>4.1393068854815897E-3</v>
          </cell>
          <cell r="K168">
            <v>2.2836270809513799E-2</v>
          </cell>
          <cell r="L168">
            <v>1.5624396048960301E-3</v>
          </cell>
          <cell r="M168">
            <v>1.48529342370016E-3</v>
          </cell>
          <cell r="N168">
            <v>1.56747473013872E-3</v>
          </cell>
          <cell r="O168">
            <v>5.5669920881360304E-4</v>
          </cell>
          <cell r="P168">
            <v>1.0066004416298201E-2</v>
          </cell>
          <cell r="Q168">
            <v>2.8348540627027101E-3</v>
          </cell>
          <cell r="R168">
            <v>1.61013995642182E-3</v>
          </cell>
          <cell r="S168">
            <v>1.61013995642182E-3</v>
          </cell>
          <cell r="T168">
            <v>3.22247696629291E-3</v>
          </cell>
          <cell r="U168">
            <v>2.2521604509950701E-4</v>
          </cell>
          <cell r="V168">
            <v>4.4007112319954897E-4</v>
          </cell>
        </row>
        <row r="169">
          <cell r="B169">
            <v>2.0894772559803799E-3</v>
          </cell>
          <cell r="C169">
            <v>8.8951152203076492E-3</v>
          </cell>
          <cell r="D169">
            <v>1.3590283572723801E-2</v>
          </cell>
          <cell r="E169">
            <v>1.05295467349773E-2</v>
          </cell>
          <cell r="F169">
            <v>1.0540024019467501E-2</v>
          </cell>
          <cell r="G169">
            <v>3.4890727097774501E-3</v>
          </cell>
          <cell r="H169">
            <v>4.5823446607328299E-3</v>
          </cell>
          <cell r="I169">
            <v>6.2817762371068699E-3</v>
          </cell>
          <cell r="J169">
            <v>1.5354003933229E-3</v>
          </cell>
          <cell r="K169">
            <v>9.0300792336197699E-4</v>
          </cell>
          <cell r="L169">
            <v>1.40423598384108E-3</v>
          </cell>
          <cell r="M169">
            <v>9.1941358960136003E-4</v>
          </cell>
          <cell r="N169">
            <v>6.2925704329554102E-4</v>
          </cell>
          <cell r="O169">
            <v>1.49948297489806E-3</v>
          </cell>
          <cell r="P169">
            <v>5.2574219357217798E-4</v>
          </cell>
          <cell r="Q169">
            <v>3.5188500358481301E-5</v>
          </cell>
          <cell r="R169">
            <v>3.2858403239308901E-4</v>
          </cell>
          <cell r="S169">
            <v>3.2858403239308998E-4</v>
          </cell>
          <cell r="T169">
            <v>1.4154968383210699E-3</v>
          </cell>
          <cell r="U169">
            <v>7.0163303107703296E-5</v>
          </cell>
          <cell r="V169">
            <v>4.6726272755630803E-6</v>
          </cell>
        </row>
        <row r="170">
          <cell r="B170">
            <v>1.9118201818306101E-2</v>
          </cell>
          <cell r="C170">
            <v>8.1388111543926694E-2</v>
          </cell>
          <cell r="D170">
            <v>0.131959371148891</v>
          </cell>
          <cell r="E170">
            <v>0.101711858375403</v>
          </cell>
          <cell r="F170">
            <v>0.101813065398154</v>
          </cell>
          <cell r="G170">
            <v>4.1017073062728802E-2</v>
          </cell>
          <cell r="H170">
            <v>5.3869432190903302E-2</v>
          </cell>
          <cell r="I170">
            <v>5.9386267088479397E-2</v>
          </cell>
          <cell r="J170">
            <v>2.3872619079459801E-2</v>
          </cell>
          <cell r="K170">
            <v>1.4040092912497699E-2</v>
          </cell>
          <cell r="L170">
            <v>2.1833256579643402E-2</v>
          </cell>
          <cell r="M170">
            <v>1.4295170495225299E-2</v>
          </cell>
          <cell r="N170">
            <v>9.78377611665362E-3</v>
          </cell>
          <cell r="O170">
            <v>2.5602987428067998E-2</v>
          </cell>
          <cell r="P170">
            <v>8.1743128214047008E-3</v>
          </cell>
          <cell r="Q170">
            <v>1.4602311602215101E-3</v>
          </cell>
          <cell r="R170">
            <v>5.1088702823233398E-3</v>
          </cell>
          <cell r="S170">
            <v>5.1088702823233398E-3</v>
          </cell>
          <cell r="T170">
            <v>1.2981058556713301E-2</v>
          </cell>
          <cell r="U170">
            <v>1.0265351011156201E-3</v>
          </cell>
          <cell r="V170">
            <v>1.9390186789404701E-4</v>
          </cell>
        </row>
        <row r="171">
          <cell r="B171">
            <v>1.55030910219837E-2</v>
          </cell>
          <cell r="C171">
            <v>6.5998220615631403E-2</v>
          </cell>
          <cell r="D171">
            <v>0.10718516514040501</v>
          </cell>
          <cell r="E171">
            <v>8.26046924153198E-2</v>
          </cell>
          <cell r="F171">
            <v>8.2686887108493201E-2</v>
          </cell>
          <cell r="G171">
            <v>3.3474090041934301E-2</v>
          </cell>
          <cell r="H171">
            <v>4.39629180976547E-2</v>
          </cell>
          <cell r="I171">
            <v>4.8201502616191702E-2</v>
          </cell>
          <cell r="J171">
            <v>5.2417823993075499E-2</v>
          </cell>
          <cell r="K171">
            <v>3.08282520943058E-2</v>
          </cell>
          <cell r="L171">
            <v>4.7939934733401399E-2</v>
          </cell>
          <cell r="M171">
            <v>3.13883335748023E-2</v>
          </cell>
          <cell r="N171">
            <v>2.1482529954626801E-2</v>
          </cell>
          <cell r="O171">
            <v>3.6669761821682301E-2</v>
          </cell>
          <cell r="P171">
            <v>1.7948583241348799E-2</v>
          </cell>
          <cell r="Q171">
            <v>1.6365853074895801E-3</v>
          </cell>
          <cell r="R171">
            <v>1.1217699338740899E-2</v>
          </cell>
          <cell r="S171">
            <v>1.1217699338741E-2</v>
          </cell>
          <cell r="T171">
            <v>1.6318747470693201E-2</v>
          </cell>
          <cell r="U171">
            <v>2.1835723980346898E-3</v>
          </cell>
          <cell r="V171">
            <v>2.1731966604625301E-4</v>
          </cell>
        </row>
        <row r="172">
          <cell r="B172">
            <v>1.6966862703751199E-2</v>
          </cell>
          <cell r="C172">
            <v>7.07507608489613E-2</v>
          </cell>
          <cell r="D172">
            <v>9.6972910774539706E-2</v>
          </cell>
          <cell r="E172">
            <v>8.9656316685048101E-2</v>
          </cell>
          <cell r="F172">
            <v>8.9832462324537093E-2</v>
          </cell>
          <cell r="G172">
            <v>6.4305291228469799E-2</v>
          </cell>
          <cell r="H172">
            <v>8.4403785042961199E-2</v>
          </cell>
          <cell r="I172">
            <v>3.7937550460069698E-2</v>
          </cell>
          <cell r="J172">
            <v>8.5753400470552396E-2</v>
          </cell>
          <cell r="K172">
            <v>5.8101751216910899E-2</v>
          </cell>
          <cell r="L172">
            <v>0.28665823996199402</v>
          </cell>
          <cell r="M172">
            <v>0.40226381012782197</v>
          </cell>
          <cell r="N172">
            <v>0.38432064379752401</v>
          </cell>
          <cell r="O172">
            <v>0.42194821526933501</v>
          </cell>
          <cell r="P172">
            <v>3.3705098157663899E-2</v>
          </cell>
          <cell r="Q172">
            <v>5.4764153480878503E-3</v>
          </cell>
          <cell r="R172">
            <v>0.46317330193951101</v>
          </cell>
          <cell r="S172">
            <v>0.46317330193951201</v>
          </cell>
          <cell r="T172">
            <v>0.50434904837405903</v>
          </cell>
          <cell r="U172">
            <v>0.70732922475813498</v>
          </cell>
          <cell r="V172">
            <v>0.14987762101875901</v>
          </cell>
        </row>
        <row r="173">
          <cell r="B173">
            <v>0</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row>
        <row r="174">
          <cell r="B174">
            <v>0</v>
          </cell>
          <cell r="C174">
            <v>0</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row>
        <row r="175">
          <cell r="B175">
            <v>1.5677574550000201E-2</v>
          </cell>
          <cell r="C175">
            <v>6.5654605634915E-2</v>
          </cell>
          <cell r="D175">
            <v>0.16308611079326399</v>
          </cell>
          <cell r="E175">
            <v>6.36384671503607E-2</v>
          </cell>
          <cell r="F175">
            <v>6.3690313630891102E-2</v>
          </cell>
          <cell r="G175">
            <v>2.64411298464235E-3</v>
          </cell>
          <cell r="H175">
            <v>3.4945324240890901E-3</v>
          </cell>
          <cell r="I175">
            <v>8.5868655653659504E-2</v>
          </cell>
          <cell r="J175">
            <v>0.14009712470071001</v>
          </cell>
          <cell r="K175">
            <v>0.234836223813777</v>
          </cell>
          <cell r="L175">
            <v>0.488338162635226</v>
          </cell>
          <cell r="M175">
            <v>0.32230837156694397</v>
          </cell>
          <cell r="N175">
            <v>0.31460392943249899</v>
          </cell>
          <cell r="O175">
            <v>0.297465391113024</v>
          </cell>
          <cell r="P175">
            <v>0.13662292856663799</v>
          </cell>
          <cell r="Q175">
            <v>2.1511488365284302E-2</v>
          </cell>
          <cell r="R175">
            <v>0.333059271095485</v>
          </cell>
          <cell r="S175">
            <v>0.333059271095486</v>
          </cell>
          <cell r="T175">
            <v>6.2830168609727594E-2</v>
          </cell>
          <cell r="U175">
            <v>3.7523160432135299E-3</v>
          </cell>
          <cell r="V175">
            <v>1.75365994254091E-3</v>
          </cell>
        </row>
        <row r="176">
          <cell r="B176">
            <v>6.8416599191246001E-3</v>
          </cell>
          <cell r="C176">
            <v>6.1579544640138796E-3</v>
          </cell>
          <cell r="D176">
            <v>4.1257682955284103E-4</v>
          </cell>
          <cell r="E176">
            <v>7.1718872118275499E-5</v>
          </cell>
          <cell r="F176">
            <v>7.1669195021667605E-5</v>
          </cell>
          <cell r="G176">
            <v>3.7828056299533898E-4</v>
          </cell>
          <cell r="H176">
            <v>3.6992528865454802E-4</v>
          </cell>
          <cell r="I176">
            <v>2.5293746933511603E-4</v>
          </cell>
          <cell r="J176">
            <v>1.09064739834762E-5</v>
          </cell>
          <cell r="K176">
            <v>3.8646043258471297E-5</v>
          </cell>
          <cell r="L176">
            <v>3.7989642375837803E-5</v>
          </cell>
          <cell r="M176">
            <v>5.2306425062487002E-5</v>
          </cell>
          <cell r="N176">
            <v>1.05097939659807E-4</v>
          </cell>
          <cell r="O176">
            <v>4.6494514553130002E-5</v>
          </cell>
          <cell r="P176">
            <v>6.01060058776879E-5</v>
          </cell>
          <cell r="Q176">
            <v>1.5514070429880201E-5</v>
          </cell>
          <cell r="R176">
            <v>3.6046753502252601E-4</v>
          </cell>
          <cell r="S176">
            <v>7.6413469267740401E-4</v>
          </cell>
          <cell r="T176">
            <v>5.5357603499048801E-4</v>
          </cell>
          <cell r="U176">
            <v>2.8602382327974901E-5</v>
          </cell>
          <cell r="V176">
            <v>1.2676225041033401E-5</v>
          </cell>
        </row>
        <row r="177">
          <cell r="B177">
            <v>9.8085617875942298E-3</v>
          </cell>
          <cell r="C177">
            <v>7.8664415809781493E-3</v>
          </cell>
          <cell r="D177">
            <v>4.48445981606745E-4</v>
          </cell>
          <cell r="E177">
            <v>9.0901649153739202E-5</v>
          </cell>
          <cell r="F177">
            <v>9.1140223274622706E-5</v>
          </cell>
          <cell r="G177">
            <v>1.87585185778832E-4</v>
          </cell>
          <cell r="H177">
            <v>1.8749408035536599E-4</v>
          </cell>
          <cell r="I177">
            <v>3.1909017360691E-4</v>
          </cell>
          <cell r="J177">
            <v>8.1944936609517401E-6</v>
          </cell>
          <cell r="K177">
            <v>2.85557154164066E-5</v>
          </cell>
          <cell r="L177">
            <v>2.3830632020232299E-5</v>
          </cell>
          <cell r="M177">
            <v>3.6351536901749403E-5</v>
          </cell>
          <cell r="N177">
            <v>6.1607513435438E-5</v>
          </cell>
          <cell r="O177">
            <v>4.53995004570547E-5</v>
          </cell>
          <cell r="P177">
            <v>3.6960879786593897E-5</v>
          </cell>
          <cell r="Q177">
            <v>3.8799494899978897E-6</v>
          </cell>
          <cell r="R177">
            <v>2.15541775499495E-4</v>
          </cell>
          <cell r="S177">
            <v>4.5691479087057503E-4</v>
          </cell>
          <cell r="T177">
            <v>1.8759257268544899E-4</v>
          </cell>
          <cell r="U177">
            <v>1.12857991940804E-5</v>
          </cell>
          <cell r="V177">
            <v>3.1702262217660201E-6</v>
          </cell>
        </row>
        <row r="178">
          <cell r="B178">
            <v>7.28309686749712E-2</v>
          </cell>
          <cell r="C178">
            <v>7.61937727976396E-2</v>
          </cell>
          <cell r="D178">
            <v>4.0669188983245399E-3</v>
          </cell>
          <cell r="E178">
            <v>8.8546909302365698E-4</v>
          </cell>
          <cell r="F178">
            <v>8.8621226144005704E-4</v>
          </cell>
          <cell r="G178">
            <v>4.5776163923563502E-3</v>
          </cell>
          <cell r="H178">
            <v>4.5800303616456498E-3</v>
          </cell>
          <cell r="I178">
            <v>2.9886681459578802E-3</v>
          </cell>
          <cell r="J178">
            <v>1.96875649561672E-4</v>
          </cell>
          <cell r="K178">
            <v>6.8492247646510795E-4</v>
          </cell>
          <cell r="L178">
            <v>5.3736973256998395E-4</v>
          </cell>
          <cell r="M178">
            <v>7.4883184065273702E-4</v>
          </cell>
          <cell r="N178">
            <v>1.6583048993306299E-3</v>
          </cell>
          <cell r="O178">
            <v>7.1639687399868495E-4</v>
          </cell>
          <cell r="P178">
            <v>9.838404119987031E-4</v>
          </cell>
          <cell r="Q178">
            <v>2.4853510024365E-4</v>
          </cell>
          <cell r="R178">
            <v>5.9002843890480798E-3</v>
          </cell>
          <cell r="S178">
            <v>1.25076783906568E-2</v>
          </cell>
          <cell r="T178">
            <v>5.0316107466097304E-3</v>
          </cell>
          <cell r="U178">
            <v>3.8426678866586099E-4</v>
          </cell>
          <cell r="V178">
            <v>2.5859499083645098E-4</v>
          </cell>
        </row>
        <row r="179">
          <cell r="B179">
            <v>4.08731148861965E-2</v>
          </cell>
          <cell r="C179">
            <v>3.5082533233366103E-2</v>
          </cell>
          <cell r="D179">
            <v>1.9559406591141801E-3</v>
          </cell>
          <cell r="E179">
            <v>3.7879493749067798E-4</v>
          </cell>
          <cell r="F179">
            <v>3.7978909623347898E-4</v>
          </cell>
          <cell r="G179">
            <v>7.0564123959574203E-4</v>
          </cell>
          <cell r="H179">
            <v>6.4224919278275797E-4</v>
          </cell>
          <cell r="I179">
            <v>1.32967601237896E-3</v>
          </cell>
          <cell r="J179">
            <v>1.92811615551389E-5</v>
          </cell>
          <cell r="K179">
            <v>6.7189918626761895E-5</v>
          </cell>
          <cell r="L179">
            <v>5.6072075341723103E-5</v>
          </cell>
          <cell r="M179">
            <v>8.5533028003629305E-5</v>
          </cell>
          <cell r="N179">
            <v>1.4495885514186901E-4</v>
          </cell>
          <cell r="O179">
            <v>2.4376822780900501E-4</v>
          </cell>
          <cell r="P179">
            <v>8.6966775968509995E-5</v>
          </cell>
          <cell r="Q179">
            <v>1.11408554029922E-4</v>
          </cell>
          <cell r="R179">
            <v>5.0715711882397003E-4</v>
          </cell>
          <cell r="S179">
            <v>1.07509362558127E-3</v>
          </cell>
          <cell r="T179">
            <v>9.2623832763558296E-4</v>
          </cell>
          <cell r="U179">
            <v>1.4171613736630801E-4</v>
          </cell>
          <cell r="V179">
            <v>8.5041930162181302E-5</v>
          </cell>
        </row>
        <row r="180">
          <cell r="B180">
            <v>2.84545258168175E-2</v>
          </cell>
          <cell r="C180">
            <v>3.0133956640500701E-2</v>
          </cell>
          <cell r="D180">
            <v>1.6238841283597999E-3</v>
          </cell>
          <cell r="E180">
            <v>3.4534530815274301E-4</v>
          </cell>
          <cell r="F180">
            <v>3.4564404819614498E-4</v>
          </cell>
          <cell r="G180">
            <v>1.7955768749206701E-3</v>
          </cell>
          <cell r="H180">
            <v>1.8563095528323201E-3</v>
          </cell>
          <cell r="I180">
            <v>1.04798695233956E-3</v>
          </cell>
          <cell r="J180">
            <v>1.9044632531111801E-4</v>
          </cell>
          <cell r="K180">
            <v>6.3990681274080595E-4</v>
          </cell>
          <cell r="L180">
            <v>5.9271673541817197E-4</v>
          </cell>
          <cell r="M180">
            <v>8.6731839361864501E-4</v>
          </cell>
          <cell r="N180">
            <v>1.5505395740113199E-3</v>
          </cell>
          <cell r="O180">
            <v>7.0227359882270703E-4</v>
          </cell>
          <cell r="P180">
            <v>8.9209966618462996E-4</v>
          </cell>
          <cell r="Q180">
            <v>3.1586907358370497E-4</v>
          </cell>
          <cell r="R180">
            <v>5.3500970987472602E-3</v>
          </cell>
          <cell r="S180">
            <v>1.1341367543931599E-2</v>
          </cell>
          <cell r="T180">
            <v>3.5488177957405899E-3</v>
          </cell>
          <cell r="U180">
            <v>5.4966317343450302E-4</v>
          </cell>
          <cell r="V180">
            <v>2.63665480853938E-4</v>
          </cell>
        </row>
        <row r="181">
          <cell r="B181">
            <v>1.2439681995484699E-2</v>
          </cell>
          <cell r="C181">
            <v>1.5813854342637601E-2</v>
          </cell>
          <cell r="D181">
            <v>8.7148272413930703E-4</v>
          </cell>
          <cell r="E181">
            <v>1.3742887021158401E-4</v>
          </cell>
          <cell r="F181">
            <v>1.3520390578673999E-4</v>
          </cell>
          <cell r="G181">
            <v>2.75610006443124E-4</v>
          </cell>
          <cell r="H181">
            <v>2.8430178530263899E-4</v>
          </cell>
          <cell r="I181">
            <v>4.7685544881004099E-4</v>
          </cell>
          <cell r="J181">
            <v>4.7350482917290899E-5</v>
          </cell>
          <cell r="K181">
            <v>1.99890007914769E-4</v>
          </cell>
          <cell r="L181">
            <v>1.61076424834357E-4</v>
          </cell>
          <cell r="M181">
            <v>2.0842237371708101E-4</v>
          </cell>
          <cell r="N181">
            <v>4.4008601747723202E-4</v>
          </cell>
          <cell r="O181">
            <v>2.1501080993261801E-4</v>
          </cell>
          <cell r="P181">
            <v>2.5872615850600598E-4</v>
          </cell>
          <cell r="Q181">
            <v>6.7249638333113099E-5</v>
          </cell>
          <cell r="R181">
            <v>1.5087924285052099E-3</v>
          </cell>
          <cell r="S181">
            <v>3.19840353611255E-3</v>
          </cell>
          <cell r="T181">
            <v>1.7352312973366001E-3</v>
          </cell>
          <cell r="U181">
            <v>1.5536781594964301E-4</v>
          </cell>
          <cell r="V181">
            <v>4.9882203842358697E-5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Figure ES.1"/>
      <sheetName val="Figure ES.2"/>
      <sheetName val="Figure ES.3"/>
      <sheetName val="Figure ES.4"/>
      <sheetName val="Figure 1.2"/>
      <sheetName val="Figure 2.1"/>
      <sheetName val="Figure B2.1"/>
      <sheetName val="Figure 2.3"/>
      <sheetName val="Figure 2.4"/>
      <sheetName val="Figure 2.5"/>
      <sheetName val="Figure 2.6"/>
      <sheetName val="Figure 2.7"/>
      <sheetName val="Figure 2.8"/>
      <sheetName val="Figure 2.9"/>
      <sheetName val="Figure 2.10"/>
      <sheetName val="Figure 2.11"/>
      <sheetName val="Figure 2.12"/>
      <sheetName val="Figure 2.13"/>
      <sheetName val="Figure 2.14"/>
      <sheetName val="Figure 2.15"/>
      <sheetName val="Figure 2.16"/>
      <sheetName val="Figure 3.1-top"/>
      <sheetName val="Figure 3.1-bottom"/>
      <sheetName val="Figure 3.2"/>
      <sheetName val="Figure 3.3-left"/>
      <sheetName val="Figure 3.3-right"/>
      <sheetName val="Figure 3.4"/>
      <sheetName val="Figure 3.5"/>
      <sheetName val="Figure 3.6"/>
      <sheetName val="Figure 3.7"/>
      <sheetName val="Figure 3.8"/>
      <sheetName val="Figure 3.9"/>
      <sheetName val="Figure 3.10"/>
      <sheetName val="Figure 3.11"/>
      <sheetName val="Figure 3.12"/>
      <sheetName val="Figure 3.13"/>
      <sheetName val="Figure B3.1"/>
      <sheetName val="Figure 4.1"/>
      <sheetName val="Figure 4.2"/>
      <sheetName val="Figure 4.5"/>
      <sheetName val="Figure 4.6"/>
      <sheetName val="Figure 4.7"/>
      <sheetName val="Figure 4.8"/>
      <sheetName val="Figure 4.9"/>
      <sheetName val="Figure 4.10"/>
      <sheetName val="Figure 5.1"/>
      <sheetName val="Figure 5.2"/>
      <sheetName val="Figure 5.3"/>
      <sheetName val="Figure 5.4"/>
      <sheetName val="Figure 5.5"/>
      <sheetName val="Figure 5.6"/>
      <sheetName val="Figure 5.7"/>
      <sheetName val="Figure 5.8"/>
      <sheetName val="Figure 5.9"/>
      <sheetName val="Figure 5.10"/>
      <sheetName val="Figure 5.11"/>
      <sheetName val="Figure 5.12"/>
      <sheetName val="Figure 5.13"/>
      <sheetName val="Figure 5.14"/>
      <sheetName val="Figure 5.15"/>
      <sheetName val="Figure 5.16"/>
      <sheetName val="Figure 5.17"/>
      <sheetName val="Figure 5.18"/>
      <sheetName val="Figure 5.19"/>
      <sheetName val="Figure 5.20"/>
      <sheetName val="Figure 6.1"/>
      <sheetName val="Figure 6.2"/>
      <sheetName val="Figure 6.3"/>
      <sheetName val="Figure 6.4"/>
      <sheetName val="Figure 6.5"/>
      <sheetName val="Figure 6.6"/>
      <sheetName val="Figure 6.7"/>
      <sheetName val="Figure 7.1"/>
      <sheetName val="Figure 7.2"/>
      <sheetName val="Figure 7.3"/>
      <sheetName val="Figure 7.4"/>
      <sheetName val="Figure 7.5"/>
      <sheetName val="Figure 8.1"/>
      <sheetName val="Figure 8.2"/>
      <sheetName val="Figure 8.3"/>
      <sheetName val="Figure 8.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7">
          <cell r="E7">
            <v>490</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ow r="12">
          <cell r="D12">
            <v>1.1373147E-2</v>
          </cell>
        </row>
        <row r="13">
          <cell r="D13">
            <v>8.8937666999999998E-2</v>
          </cell>
        </row>
        <row r="14">
          <cell r="D14">
            <v>6.9498998000000006E-2</v>
          </cell>
        </row>
        <row r="15">
          <cell r="D15">
            <v>0.144890781</v>
          </cell>
        </row>
        <row r="16">
          <cell r="D16">
            <v>0.68529940700000003</v>
          </cell>
        </row>
      </sheetData>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EU_A"/>
      <sheetName val="EU_B"/>
      <sheetName val="AT_A"/>
      <sheetName val="AT_B"/>
      <sheetName val="BE_A"/>
      <sheetName val="BE_B"/>
      <sheetName val="BG_A"/>
      <sheetName val="BG_B"/>
      <sheetName val="CY_A"/>
      <sheetName val="CY_B"/>
      <sheetName val="CZ_A"/>
      <sheetName val="CZ_B"/>
      <sheetName val="DE_A"/>
      <sheetName val="DE_B"/>
      <sheetName val="DK_A"/>
      <sheetName val="DK_B"/>
      <sheetName val="EE_A"/>
      <sheetName val="EE_B"/>
      <sheetName val="EL_A"/>
      <sheetName val="EL_B"/>
      <sheetName val="ES_A"/>
      <sheetName val="ES_B"/>
      <sheetName val="FI_A"/>
      <sheetName val="FI_B"/>
      <sheetName val="FR_A"/>
      <sheetName val="FR_B"/>
      <sheetName val="HR_A"/>
      <sheetName val="HR_B"/>
      <sheetName val="HU_A"/>
      <sheetName val="HU_B"/>
      <sheetName val="IE_A"/>
      <sheetName val="IE_B"/>
      <sheetName val="IT_A"/>
      <sheetName val="IT_B"/>
      <sheetName val="LT_A"/>
      <sheetName val="LT_B"/>
      <sheetName val="LU_A"/>
      <sheetName val="LU_B"/>
      <sheetName val="LV_A"/>
      <sheetName val="LV_B"/>
      <sheetName val="MT_A"/>
      <sheetName val="MT_B"/>
      <sheetName val="NL_A"/>
      <sheetName val="NL_B"/>
      <sheetName val="PL_A"/>
      <sheetName val="PL_B"/>
      <sheetName val="PT_A"/>
      <sheetName val="PT_B"/>
      <sheetName val="RO_A"/>
      <sheetName val="RO_B"/>
      <sheetName val="SE_A"/>
      <sheetName val="SE_B"/>
      <sheetName val="SI_A"/>
      <sheetName val="SI_B"/>
      <sheetName val="SK_A"/>
      <sheetName val="SK_B"/>
    </sheetNames>
    <sheetDataSet>
      <sheetData sheetId="0"/>
      <sheetData sheetId="1"/>
      <sheetData sheetId="2"/>
      <sheetData sheetId="3"/>
      <sheetData sheetId="4"/>
      <sheetData sheetId="5"/>
      <sheetData sheetId="6"/>
      <sheetData sheetId="7"/>
      <sheetData sheetId="8"/>
      <sheetData sheetId="9"/>
      <sheetData sheetId="10"/>
      <sheetData sheetId="11">
        <row r="44">
          <cell r="D44">
            <v>1564.8065042600704</v>
          </cell>
          <cell r="E44">
            <v>1308.8198380816207</v>
          </cell>
          <cell r="F44">
            <v>1024.2222632011496</v>
          </cell>
          <cell r="G44">
            <v>450.32781351453008</v>
          </cell>
        </row>
        <row r="45">
          <cell r="D45">
            <v>6409.9195558461797</v>
          </cell>
          <cell r="E45">
            <v>5823.0976255661571</v>
          </cell>
          <cell r="F45">
            <v>5985.5720942227108</v>
          </cell>
          <cell r="G45">
            <v>5371.3541387891219</v>
          </cell>
        </row>
        <row r="46">
          <cell r="D46">
            <v>5298.5598659146217</v>
          </cell>
          <cell r="E46">
            <v>4966.5368667020448</v>
          </cell>
          <cell r="F46">
            <v>5218.5799780071175</v>
          </cell>
          <cell r="G46">
            <v>4378.5394201458048</v>
          </cell>
        </row>
        <row r="47">
          <cell r="D47">
            <v>4689.3430071064868</v>
          </cell>
          <cell r="E47">
            <v>4462.7411410777249</v>
          </cell>
          <cell r="F47">
            <v>4985.3302137815999</v>
          </cell>
          <cell r="G47">
            <v>5606.8969350458383</v>
          </cell>
        </row>
        <row r="48">
          <cell r="D48">
            <v>2075.5436363662893</v>
          </cell>
          <cell r="E48">
            <v>1946.3296538490479</v>
          </cell>
          <cell r="F48">
            <v>2328.3807114479046</v>
          </cell>
          <cell r="G48">
            <v>2259.423587812023</v>
          </cell>
        </row>
        <row r="49">
          <cell r="D49">
            <v>3025.884650644588</v>
          </cell>
          <cell r="E49">
            <v>3550.6992105285226</v>
          </cell>
          <cell r="F49">
            <v>3729.839040651927</v>
          </cell>
          <cell r="G49">
            <v>3738.3408432553133</v>
          </cell>
        </row>
      </sheetData>
      <sheetData sheetId="12">
        <row r="5">
          <cell r="D5">
            <v>26822.981164016233</v>
          </cell>
          <cell r="E5">
            <v>30109.524669135197</v>
          </cell>
          <cell r="F5">
            <v>31594.407351610902</v>
          </cell>
          <cell r="G5">
            <v>31309.061655280566</v>
          </cell>
        </row>
        <row r="7">
          <cell r="D7">
            <v>4138.2738323800368</v>
          </cell>
          <cell r="E7">
            <v>3214.5886003196761</v>
          </cell>
          <cell r="F7">
            <v>1926.4490345529334</v>
          </cell>
          <cell r="G7">
            <v>3421.2644331808783</v>
          </cell>
        </row>
        <row r="8">
          <cell r="D8">
            <v>1799.699655522192</v>
          </cell>
          <cell r="E8">
            <v>2532.3212406356552</v>
          </cell>
          <cell r="F8">
            <v>2358.6567345208286</v>
          </cell>
          <cell r="G8">
            <v>2424.7621866677227</v>
          </cell>
        </row>
        <row r="12">
          <cell r="D12">
            <v>563.96620342367009</v>
          </cell>
          <cell r="E12">
            <v>794.9766596809684</v>
          </cell>
          <cell r="F12">
            <v>11267.096346877875</v>
          </cell>
          <cell r="G12">
            <v>16042.020551213849</v>
          </cell>
        </row>
        <row r="13">
          <cell r="D13">
            <v>0</v>
          </cell>
          <cell r="E13">
            <v>0</v>
          </cell>
          <cell r="F13">
            <v>0</v>
          </cell>
          <cell r="G13">
            <v>0</v>
          </cell>
        </row>
        <row r="14">
          <cell r="D14">
            <v>2264.2580677577994</v>
          </cell>
          <cell r="E14">
            <v>2264.2580677577994</v>
          </cell>
          <cell r="F14">
            <v>4207.5234904712624</v>
          </cell>
          <cell r="G14">
            <v>4737.4963638991885</v>
          </cell>
        </row>
        <row r="15">
          <cell r="D15">
            <v>0</v>
          </cell>
          <cell r="E15">
            <v>0</v>
          </cell>
          <cell r="F15">
            <v>0</v>
          </cell>
          <cell r="G15">
            <v>0</v>
          </cell>
        </row>
        <row r="17">
          <cell r="D17">
            <v>40242.944878557013</v>
          </cell>
          <cell r="E17">
            <v>31820.991388285718</v>
          </cell>
          <cell r="F17">
            <v>19388.446843052749</v>
          </cell>
          <cell r="G17">
            <v>12864.065672681449</v>
          </cell>
        </row>
        <row r="18">
          <cell r="D18">
            <v>185.89149840122761</v>
          </cell>
          <cell r="E18">
            <v>131.3372440911177</v>
          </cell>
          <cell r="F18">
            <v>122.98976777964876</v>
          </cell>
          <cell r="G18">
            <v>123.05980419962947</v>
          </cell>
        </row>
        <row r="19">
          <cell r="D19">
            <v>4329.3496187121027</v>
          </cell>
          <cell r="E19">
            <v>2880.9777862008568</v>
          </cell>
          <cell r="F19">
            <v>3443.6981323407281</v>
          </cell>
          <cell r="G19">
            <v>7155.8342284379878</v>
          </cell>
        </row>
        <row r="23">
          <cell r="D23">
            <v>4006.08</v>
          </cell>
          <cell r="E23">
            <v>4006.08</v>
          </cell>
          <cell r="F23">
            <v>4006.08</v>
          </cell>
          <cell r="G23">
            <v>4006.08</v>
          </cell>
        </row>
        <row r="25">
          <cell r="D25">
            <v>527.6919839727301</v>
          </cell>
          <cell r="E25">
            <v>647.60234676074128</v>
          </cell>
          <cell r="F25">
            <v>663.36076830698005</v>
          </cell>
          <cell r="G25">
            <v>851.55129706148546</v>
          </cell>
        </row>
        <row r="26">
          <cell r="D26">
            <v>1088.0000000000002</v>
          </cell>
          <cell r="E26">
            <v>1090</v>
          </cell>
          <cell r="F26">
            <v>1105.714280438036</v>
          </cell>
          <cell r="G26">
            <v>1119.9642510902015</v>
          </cell>
        </row>
        <row r="30">
          <cell r="D30">
            <v>281.05</v>
          </cell>
          <cell r="E30">
            <v>396.10000000000014</v>
          </cell>
          <cell r="F30">
            <v>4557.766665997262</v>
          </cell>
          <cell r="G30">
            <v>6542.6633323723381</v>
          </cell>
        </row>
        <row r="31">
          <cell r="D31">
            <v>0</v>
          </cell>
          <cell r="E31">
            <v>0</v>
          </cell>
          <cell r="F31">
            <v>0</v>
          </cell>
          <cell r="G31">
            <v>0</v>
          </cell>
        </row>
        <row r="32">
          <cell r="D32">
            <v>2075</v>
          </cell>
          <cell r="E32">
            <v>2075</v>
          </cell>
          <cell r="F32">
            <v>3844.2526546003669</v>
          </cell>
          <cell r="G32">
            <v>4326.6273712598104</v>
          </cell>
        </row>
        <row r="33">
          <cell r="D33">
            <v>0</v>
          </cell>
          <cell r="E33">
            <v>0</v>
          </cell>
          <cell r="F33">
            <v>0</v>
          </cell>
          <cell r="G33">
            <v>0</v>
          </cell>
        </row>
        <row r="35">
          <cell r="D35">
            <v>9656.4015500000005</v>
          </cell>
          <cell r="E35">
            <v>10043.422550000003</v>
          </cell>
          <cell r="F35">
            <v>9970.7425500000008</v>
          </cell>
          <cell r="G35">
            <v>9354.0625500000006</v>
          </cell>
        </row>
        <row r="36">
          <cell r="D36">
            <v>133.93011999999999</v>
          </cell>
          <cell r="E36">
            <v>71.85011999999999</v>
          </cell>
          <cell r="F36">
            <v>63.702119999999987</v>
          </cell>
          <cell r="G36">
            <v>63.702119999999987</v>
          </cell>
        </row>
        <row r="37">
          <cell r="D37">
            <v>929.38926602726997</v>
          </cell>
          <cell r="E37">
            <v>588.57516352972516</v>
          </cell>
          <cell r="F37">
            <v>817.25463184904424</v>
          </cell>
          <cell r="G37">
            <v>1105.7451686578227</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EU_A"/>
      <sheetName val="EU_B"/>
      <sheetName val="AT_A"/>
      <sheetName val="AT_B"/>
      <sheetName val="BE_A"/>
      <sheetName val="BE_B"/>
      <sheetName val="BG_A"/>
      <sheetName val="BG_B"/>
      <sheetName val="CY_A"/>
      <sheetName val="CY_B"/>
      <sheetName val="CZ_A"/>
      <sheetName val="CZ_B"/>
      <sheetName val="DE_A"/>
      <sheetName val="DE_B"/>
      <sheetName val="DK_A"/>
      <sheetName val="DK_B"/>
      <sheetName val="EE_A"/>
      <sheetName val="EE_B"/>
      <sheetName val="EL_A"/>
      <sheetName val="EL_B"/>
      <sheetName val="ES_A"/>
      <sheetName val="ES_B"/>
      <sheetName val="FI_A"/>
      <sheetName val="FI_B"/>
      <sheetName val="FR_A"/>
      <sheetName val="FR_B"/>
      <sheetName val="HR_A"/>
      <sheetName val="HR_B"/>
      <sheetName val="HU_A"/>
      <sheetName val="HU_B"/>
      <sheetName val="IE_A"/>
      <sheetName val="IE_B"/>
      <sheetName val="IT_A"/>
      <sheetName val="IT_B"/>
      <sheetName val="LT_A"/>
      <sheetName val="LT_B"/>
      <sheetName val="LU_A"/>
      <sheetName val="LU_B"/>
      <sheetName val="LV_A"/>
      <sheetName val="LV_B"/>
      <sheetName val="MT_A"/>
      <sheetName val="MT_B"/>
      <sheetName val="NL_A"/>
      <sheetName val="NL_B"/>
      <sheetName val="PL_A"/>
      <sheetName val="PL_B"/>
      <sheetName val="PT_A"/>
      <sheetName val="PT_B"/>
      <sheetName val="RO_A"/>
      <sheetName val="RO_B"/>
      <sheetName val="SE_A"/>
      <sheetName val="SE_B"/>
      <sheetName val="SI_A"/>
      <sheetName val="SI_B"/>
      <sheetName val="SK_A"/>
      <sheetName val="SK_B"/>
    </sheetNames>
    <sheetDataSet>
      <sheetData sheetId="0"/>
      <sheetData sheetId="1"/>
      <sheetData sheetId="2"/>
      <sheetData sheetId="3"/>
      <sheetData sheetId="4"/>
      <sheetData sheetId="5"/>
      <sheetData sheetId="6"/>
      <sheetData sheetId="7"/>
      <sheetData sheetId="8"/>
      <sheetData sheetId="9"/>
      <sheetData sheetId="10"/>
      <sheetData sheetId="11">
        <row r="44">
          <cell r="D44">
            <v>1564.8065042600645</v>
          </cell>
          <cell r="E44">
            <v>1311.4924061838321</v>
          </cell>
          <cell r="F44">
            <v>1390.7713958999077</v>
          </cell>
          <cell r="G44">
            <v>964.85307543111992</v>
          </cell>
          <cell r="H44">
            <v>532.62003588034804</v>
          </cell>
          <cell r="I44">
            <v>313.9047809894434</v>
          </cell>
          <cell r="J44">
            <v>171.99019368012924</v>
          </cell>
          <cell r="K44">
            <v>114.34320378846576</v>
          </cell>
        </row>
        <row r="45">
          <cell r="D45">
            <v>6409.9195558461797</v>
          </cell>
          <cell r="E45">
            <v>5824.9520306045988</v>
          </cell>
          <cell r="F45">
            <v>6090.8916303767701</v>
          </cell>
          <cell r="G45">
            <v>5661.7925610614184</v>
          </cell>
          <cell r="H45">
            <v>5378.5005499542158</v>
          </cell>
          <cell r="I45">
            <v>5159.5827593775512</v>
          </cell>
          <cell r="J45">
            <v>4900.7793909954325</v>
          </cell>
          <cell r="K45">
            <v>4724.3753575936735</v>
          </cell>
        </row>
        <row r="46">
          <cell r="D46">
            <v>5298.708032600327</v>
          </cell>
          <cell r="E46">
            <v>5099.8962911290846</v>
          </cell>
          <cell r="F46">
            <v>5400.5448284576651</v>
          </cell>
          <cell r="G46">
            <v>4789.1273258481579</v>
          </cell>
          <cell r="H46">
            <v>4614.514096601858</v>
          </cell>
          <cell r="I46">
            <v>4552.226217063595</v>
          </cell>
          <cell r="J46">
            <v>4648.5639423708099</v>
          </cell>
          <cell r="K46">
            <v>4645.2668931946146</v>
          </cell>
        </row>
        <row r="47">
          <cell r="D47">
            <v>4689.3430071064868</v>
          </cell>
          <cell r="E47">
            <v>4488.1769146741626</v>
          </cell>
          <cell r="F47">
            <v>4898.8410308231396</v>
          </cell>
          <cell r="G47">
            <v>5249.6104950747085</v>
          </cell>
          <cell r="H47">
            <v>5526.5008758299718</v>
          </cell>
          <cell r="I47">
            <v>5840.453283605264</v>
          </cell>
          <cell r="J47">
            <v>6155.2526211080713</v>
          </cell>
          <cell r="K47">
            <v>6406.1966583185595</v>
          </cell>
        </row>
        <row r="48">
          <cell r="D48">
            <v>2075.5436363662916</v>
          </cell>
          <cell r="E48">
            <v>1943.0645184203283</v>
          </cell>
          <cell r="F48">
            <v>2097.3576493832029</v>
          </cell>
          <cell r="G48">
            <v>2103.8626385373423</v>
          </cell>
          <cell r="H48">
            <v>2131.0967992801179</v>
          </cell>
          <cell r="I48">
            <v>2127.6612468075041</v>
          </cell>
          <cell r="J48">
            <v>2027.4314676725896</v>
          </cell>
          <cell r="K48">
            <v>2013.0061034186558</v>
          </cell>
        </row>
        <row r="49">
          <cell r="D49">
            <v>3025.884650644588</v>
          </cell>
          <cell r="E49">
            <v>3549.9541472829983</v>
          </cell>
          <cell r="F49">
            <v>3684.4712337272395</v>
          </cell>
          <cell r="G49">
            <v>4022.8895559761868</v>
          </cell>
          <cell r="H49">
            <v>4347.9954151184138</v>
          </cell>
          <cell r="I49">
            <v>4252.0048047926966</v>
          </cell>
          <cell r="J49">
            <v>4016.3575304591659</v>
          </cell>
          <cell r="K49">
            <v>3922.5206445193694</v>
          </cell>
        </row>
      </sheetData>
      <sheetData sheetId="12">
        <row r="5">
          <cell r="D5">
            <v>26822.981164016499</v>
          </cell>
          <cell r="E5">
            <v>30109.524669135197</v>
          </cell>
          <cell r="F5">
            <v>31594.407351610909</v>
          </cell>
          <cell r="G5">
            <v>31464.772312468769</v>
          </cell>
          <cell r="H5">
            <v>31215.839363900926</v>
          </cell>
          <cell r="I5">
            <v>38584.187850515897</v>
          </cell>
          <cell r="J5">
            <v>38216.330387064285</v>
          </cell>
          <cell r="K5">
            <v>32807.421924667098</v>
          </cell>
        </row>
        <row r="7">
          <cell r="D7">
            <v>4425.1213657281151</v>
          </cell>
          <cell r="E7">
            <v>3227.7886332142812</v>
          </cell>
          <cell r="F7">
            <v>2538.9626474946599</v>
          </cell>
          <cell r="G7">
            <v>3173.4081705554845</v>
          </cell>
          <cell r="H7">
            <v>3652.6289900667657</v>
          </cell>
          <cell r="I7">
            <v>5466.411898923946</v>
          </cell>
          <cell r="J7">
            <v>6334.3976453331406</v>
          </cell>
          <cell r="K7">
            <v>8445.0160752355914</v>
          </cell>
        </row>
        <row r="8">
          <cell r="D8">
            <v>1799.6996555221917</v>
          </cell>
          <cell r="E8">
            <v>2532.3212406356552</v>
          </cell>
          <cell r="F8">
            <v>2355.7903085578823</v>
          </cell>
          <cell r="G8">
            <v>2408.2672057043237</v>
          </cell>
          <cell r="H8">
            <v>2412.5486599564347</v>
          </cell>
          <cell r="I8">
            <v>2460.4478721599421</v>
          </cell>
          <cell r="J8">
            <v>2469.3454987407149</v>
          </cell>
          <cell r="K8">
            <v>2468.8762373396917</v>
          </cell>
        </row>
        <row r="12">
          <cell r="D12">
            <v>563.96620342367009</v>
          </cell>
          <cell r="E12">
            <v>794.9766596809684</v>
          </cell>
          <cell r="F12">
            <v>3233.652753688566</v>
          </cell>
          <cell r="G12">
            <v>3864.5306133934741</v>
          </cell>
          <cell r="H12">
            <v>6506.5248454224038</v>
          </cell>
          <cell r="I12">
            <v>8079.3324013676975</v>
          </cell>
          <cell r="J12">
            <v>9025.1326674642787</v>
          </cell>
          <cell r="K12">
            <v>9502.3614957669852</v>
          </cell>
        </row>
        <row r="13">
          <cell r="D13">
            <v>0</v>
          </cell>
          <cell r="E13">
            <v>0</v>
          </cell>
          <cell r="F13">
            <v>0</v>
          </cell>
          <cell r="G13">
            <v>0</v>
          </cell>
          <cell r="H13">
            <v>0</v>
          </cell>
          <cell r="I13">
            <v>0</v>
          </cell>
          <cell r="J13">
            <v>0</v>
          </cell>
          <cell r="K13">
            <v>0</v>
          </cell>
        </row>
        <row r="14">
          <cell r="D14">
            <v>2264.2580677577994</v>
          </cell>
          <cell r="E14">
            <v>2264.2580677577994</v>
          </cell>
          <cell r="F14">
            <v>3972.0839076099055</v>
          </cell>
          <cell r="G14">
            <v>4375.6771445306258</v>
          </cell>
          <cell r="H14">
            <v>4610.360782052775</v>
          </cell>
          <cell r="I14">
            <v>5262.737394709462</v>
          </cell>
          <cell r="J14">
            <v>6363.840480908455</v>
          </cell>
          <cell r="K14">
            <v>6372.9859209084552</v>
          </cell>
        </row>
        <row r="15">
          <cell r="D15">
            <v>0</v>
          </cell>
          <cell r="E15">
            <v>0</v>
          </cell>
          <cell r="F15">
            <v>0</v>
          </cell>
          <cell r="G15">
            <v>0</v>
          </cell>
          <cell r="H15">
            <v>0</v>
          </cell>
          <cell r="I15">
            <v>68.361574428975999</v>
          </cell>
          <cell r="J15">
            <v>2591.4657531098469</v>
          </cell>
          <cell r="K15">
            <v>2989.3160414994272</v>
          </cell>
        </row>
        <row r="17">
          <cell r="D17">
            <v>40229.257287067507</v>
          </cell>
          <cell r="E17">
            <v>32143.489238142418</v>
          </cell>
          <cell r="F17">
            <v>22007.071086226322</v>
          </cell>
          <cell r="G17">
            <v>15699.758090602434</v>
          </cell>
          <cell r="H17">
            <v>14364.679184437155</v>
          </cell>
          <cell r="I17">
            <v>4576.6539586991739</v>
          </cell>
          <cell r="J17">
            <v>1359.7534791796218</v>
          </cell>
          <cell r="K17">
            <v>1243.6320821451591</v>
          </cell>
        </row>
        <row r="18">
          <cell r="D18">
            <v>177.87192318603121</v>
          </cell>
          <cell r="E18">
            <v>131.3372440911177</v>
          </cell>
          <cell r="F18">
            <v>125.15861380323661</v>
          </cell>
          <cell r="G18">
            <v>122.98976777964876</v>
          </cell>
          <cell r="H18">
            <v>100.64922799258773</v>
          </cell>
          <cell r="I18">
            <v>98.245874811472817</v>
          </cell>
          <cell r="J18">
            <v>62.849768773005508</v>
          </cell>
          <cell r="K18">
            <v>16.065318704382271</v>
          </cell>
        </row>
        <row r="19">
          <cell r="D19">
            <v>4064.2092520682891</v>
          </cell>
          <cell r="E19">
            <v>2898.7816430620655</v>
          </cell>
          <cell r="F19">
            <v>2956.0904627133295</v>
          </cell>
          <cell r="G19">
            <v>1690.6061154333354</v>
          </cell>
          <cell r="H19">
            <v>9107.0292089882023</v>
          </cell>
          <cell r="I19">
            <v>14534.224346182084</v>
          </cell>
          <cell r="J19">
            <v>16199.262161090137</v>
          </cell>
          <cell r="K19">
            <v>21406.66548730584</v>
          </cell>
        </row>
        <row r="23">
          <cell r="D23">
            <v>4006.08</v>
          </cell>
          <cell r="E23">
            <v>4006.08</v>
          </cell>
          <cell r="F23">
            <v>4006.08</v>
          </cell>
          <cell r="G23">
            <v>4006.08</v>
          </cell>
          <cell r="H23">
            <v>4006.08</v>
          </cell>
          <cell r="I23">
            <v>5206.08</v>
          </cell>
          <cell r="J23">
            <v>5206.08</v>
          </cell>
          <cell r="K23">
            <v>4447.68</v>
          </cell>
        </row>
        <row r="25">
          <cell r="D25">
            <v>527.71737877484657</v>
          </cell>
          <cell r="E25">
            <v>645.74488236674006</v>
          </cell>
          <cell r="F25">
            <v>744.9352136228008</v>
          </cell>
          <cell r="G25">
            <v>771.22411156162445</v>
          </cell>
          <cell r="H25">
            <v>896.09943377609989</v>
          </cell>
          <cell r="I25">
            <v>1076.0345635893809</v>
          </cell>
          <cell r="J25">
            <v>1238.7265148613149</v>
          </cell>
          <cell r="K25">
            <v>1543.8614019411211</v>
          </cell>
        </row>
        <row r="26">
          <cell r="D26">
            <v>1088.0000000000002</v>
          </cell>
          <cell r="E26">
            <v>1090</v>
          </cell>
          <cell r="F26">
            <v>1105.0879081016769</v>
          </cell>
          <cell r="G26">
            <v>1116.3626101561376</v>
          </cell>
          <cell r="H26">
            <v>1116.3626101561376</v>
          </cell>
          <cell r="I26">
            <v>1126.8289114720083</v>
          </cell>
          <cell r="J26">
            <v>1130.7872351795957</v>
          </cell>
          <cell r="K26">
            <v>1131.3137251686019</v>
          </cell>
        </row>
        <row r="30">
          <cell r="D30">
            <v>281.05</v>
          </cell>
          <cell r="E30">
            <v>396.10000000000014</v>
          </cell>
          <cell r="F30">
            <v>1372.1767250444027</v>
          </cell>
          <cell r="G30">
            <v>1629.060259793333</v>
          </cell>
          <cell r="H30">
            <v>2681.6223856387073</v>
          </cell>
          <cell r="I30">
            <v>3309.8098873589252</v>
          </cell>
          <cell r="J30">
            <v>3670.7201120503883</v>
          </cell>
          <cell r="K30">
            <v>3846.4538872799581</v>
          </cell>
        </row>
        <row r="31">
          <cell r="D31">
            <v>0</v>
          </cell>
          <cell r="E31">
            <v>0</v>
          </cell>
          <cell r="F31">
            <v>0</v>
          </cell>
          <cell r="G31">
            <v>0</v>
          </cell>
          <cell r="H31">
            <v>0</v>
          </cell>
          <cell r="I31">
            <v>0</v>
          </cell>
          <cell r="J31">
            <v>0</v>
          </cell>
          <cell r="K31">
            <v>0</v>
          </cell>
        </row>
        <row r="32">
          <cell r="D32">
            <v>2075</v>
          </cell>
          <cell r="E32">
            <v>2075</v>
          </cell>
          <cell r="F32">
            <v>3628.3425739995241</v>
          </cell>
          <cell r="G32">
            <v>3995.2843890304193</v>
          </cell>
          <cell r="H32">
            <v>4206.2566580105995</v>
          </cell>
          <cell r="I32">
            <v>4788.1483337929276</v>
          </cell>
          <cell r="J32">
            <v>5732.886588909786</v>
          </cell>
          <cell r="K32">
            <v>5732.886588909786</v>
          </cell>
        </row>
        <row r="33">
          <cell r="D33">
            <v>0</v>
          </cell>
          <cell r="E33">
            <v>0</v>
          </cell>
          <cell r="F33">
            <v>0</v>
          </cell>
          <cell r="G33">
            <v>0</v>
          </cell>
          <cell r="H33">
            <v>0</v>
          </cell>
          <cell r="I33">
            <v>11.969068554251068</v>
          </cell>
          <cell r="J33">
            <v>453.38759908852768</v>
          </cell>
          <cell r="K33">
            <v>522.93844072382876</v>
          </cell>
        </row>
        <row r="35">
          <cell r="D35">
            <v>9656.4015500000005</v>
          </cell>
          <cell r="E35">
            <v>10043.422550000003</v>
          </cell>
          <cell r="F35">
            <v>9970.7425500000008</v>
          </cell>
          <cell r="G35">
            <v>9354.0625500000006</v>
          </cell>
          <cell r="H35">
            <v>5533.9675500000003</v>
          </cell>
          <cell r="I35">
            <v>2803.0445500000001</v>
          </cell>
          <cell r="J35">
            <v>1892.0527500000001</v>
          </cell>
          <cell r="K35">
            <v>1788.8687500000001</v>
          </cell>
        </row>
        <row r="36">
          <cell r="D36">
            <v>133.93011999999999</v>
          </cell>
          <cell r="E36">
            <v>71.85011999999999</v>
          </cell>
          <cell r="F36">
            <v>63.702119999999987</v>
          </cell>
          <cell r="G36">
            <v>63.702119999999987</v>
          </cell>
          <cell r="H36">
            <v>44.702120000000001</v>
          </cell>
          <cell r="I36">
            <v>41.204299999999996</v>
          </cell>
          <cell r="J36">
            <v>41.204299999999996</v>
          </cell>
          <cell r="K36">
            <v>24.104299999999999</v>
          </cell>
        </row>
        <row r="37">
          <cell r="D37">
            <v>929.36387122515339</v>
          </cell>
          <cell r="E37">
            <v>590.43262792372616</v>
          </cell>
          <cell r="F37">
            <v>807.06856322273904</v>
          </cell>
          <cell r="G37">
            <v>475.63079690764778</v>
          </cell>
          <cell r="H37">
            <v>1231.6816818122829</v>
          </cell>
          <cell r="I37">
            <v>1837.6945512113639</v>
          </cell>
          <cell r="J37">
            <v>2571.3754267239383</v>
          </cell>
          <cell r="K37">
            <v>3422.8673719977669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
      <sheetName val="BE"/>
      <sheetName val="BG"/>
      <sheetName val="CY"/>
      <sheetName val="CZ"/>
      <sheetName val="DE"/>
      <sheetName val="DK"/>
      <sheetName val="EE"/>
      <sheetName val="ES"/>
      <sheetName val="FI"/>
      <sheetName val="FR"/>
      <sheetName val="GR"/>
      <sheetName val="HR"/>
      <sheetName val="HU"/>
      <sheetName val="IE"/>
      <sheetName val="IT"/>
      <sheetName val="LT"/>
      <sheetName val="LU"/>
      <sheetName val="LV"/>
      <sheetName val="MT"/>
      <sheetName val="NL"/>
      <sheetName val="PL"/>
      <sheetName val="PT"/>
      <sheetName val="RO"/>
      <sheetName val="SE"/>
      <sheetName val="SI"/>
      <sheetName val="SK"/>
      <sheetName val="GB"/>
    </sheetNames>
    <sheetDataSet>
      <sheetData sheetId="0">
        <row r="8">
          <cell r="B8" t="str">
            <v>0</v>
          </cell>
        </row>
      </sheetData>
      <sheetData sheetId="1">
        <row r="8">
          <cell r="B8">
            <v>0</v>
          </cell>
        </row>
      </sheetData>
      <sheetData sheetId="2">
        <row r="8">
          <cell r="B8" t="str">
            <v>5648</v>
          </cell>
        </row>
      </sheetData>
      <sheetData sheetId="3">
        <row r="8">
          <cell r="B8">
            <v>0</v>
          </cell>
        </row>
      </sheetData>
      <sheetData sheetId="4">
        <row r="8">
          <cell r="B8" t="str">
            <v>8500</v>
          </cell>
          <cell r="C8" t="str">
            <v>8334</v>
          </cell>
          <cell r="D8" t="str">
            <v>7929</v>
          </cell>
          <cell r="E8" t="str">
            <v>8542</v>
          </cell>
          <cell r="F8" t="str">
            <v>8450</v>
          </cell>
        </row>
        <row r="9">
          <cell r="B9" t="str">
            <v>380</v>
          </cell>
          <cell r="C9" t="str">
            <v>380</v>
          </cell>
          <cell r="D9" t="str">
            <v>380</v>
          </cell>
          <cell r="E9" t="str">
            <v>380</v>
          </cell>
          <cell r="F9" t="str">
            <v>380</v>
          </cell>
        </row>
        <row r="10">
          <cell r="B10" t="str">
            <v>1720</v>
          </cell>
          <cell r="C10" t="str">
            <v>1226</v>
          </cell>
          <cell r="D10" t="str">
            <v>1226</v>
          </cell>
          <cell r="E10" t="str">
            <v>1226</v>
          </cell>
          <cell r="F10" t="str">
            <v>1226</v>
          </cell>
        </row>
        <row r="11">
          <cell r="B11" t="str">
            <v>900</v>
          </cell>
          <cell r="C11" t="str">
            <v>1200</v>
          </cell>
          <cell r="D11" t="str">
            <v>1200</v>
          </cell>
          <cell r="E11" t="str">
            <v>1200</v>
          </cell>
          <cell r="F11" t="str">
            <v>1200</v>
          </cell>
        </row>
        <row r="12">
          <cell r="B12" t="str">
            <v>0</v>
          </cell>
          <cell r="C12" t="str">
            <v>0</v>
          </cell>
          <cell r="D12" t="str">
            <v>0</v>
          </cell>
          <cell r="E12" t="str">
            <v>0</v>
          </cell>
          <cell r="F12" t="str">
            <v>0</v>
          </cell>
        </row>
        <row r="13">
          <cell r="B13">
            <v>0</v>
          </cell>
          <cell r="C13">
            <v>0</v>
          </cell>
          <cell r="D13">
            <v>0</v>
          </cell>
          <cell r="E13">
            <v>0</v>
          </cell>
          <cell r="F13">
            <v>0</v>
          </cell>
        </row>
        <row r="14">
          <cell r="B14">
            <v>0</v>
          </cell>
          <cell r="C14">
            <v>0</v>
          </cell>
          <cell r="D14">
            <v>0</v>
          </cell>
          <cell r="E14">
            <v>0</v>
          </cell>
          <cell r="F14">
            <v>0</v>
          </cell>
        </row>
      </sheetData>
      <sheetData sheetId="5">
        <row r="8">
          <cell r="B8" t="str">
            <v>21160</v>
          </cell>
        </row>
      </sheetData>
      <sheetData sheetId="6">
        <row r="8">
          <cell r="B8">
            <v>0</v>
          </cell>
        </row>
      </sheetData>
      <sheetData sheetId="7">
        <row r="8">
          <cell r="B8" t="str">
            <v>0</v>
          </cell>
        </row>
      </sheetData>
      <sheetData sheetId="8">
        <row r="8">
          <cell r="B8" t="str">
            <v>1198</v>
          </cell>
        </row>
      </sheetData>
      <sheetData sheetId="9">
        <row r="8">
          <cell r="B8">
            <v>0</v>
          </cell>
        </row>
      </sheetData>
      <sheetData sheetId="10">
        <row r="8">
          <cell r="B8">
            <v>0</v>
          </cell>
        </row>
      </sheetData>
      <sheetData sheetId="11">
        <row r="8">
          <cell r="B8" t="str">
            <v>4459</v>
          </cell>
        </row>
      </sheetData>
      <sheetData sheetId="12">
        <row r="8">
          <cell r="B8">
            <v>0</v>
          </cell>
        </row>
      </sheetData>
      <sheetData sheetId="13">
        <row r="8">
          <cell r="B8" t="str">
            <v>1099</v>
          </cell>
        </row>
      </sheetData>
      <sheetData sheetId="14">
        <row r="8">
          <cell r="B8">
            <v>0</v>
          </cell>
        </row>
      </sheetData>
      <sheetData sheetId="15">
        <row r="8">
          <cell r="B8" t="str">
            <v>0</v>
          </cell>
        </row>
      </sheetData>
      <sheetData sheetId="16">
        <row r="8">
          <cell r="B8">
            <v>0</v>
          </cell>
        </row>
      </sheetData>
      <sheetData sheetId="17">
        <row r="8">
          <cell r="B8">
            <v>0</v>
          </cell>
        </row>
      </sheetData>
      <sheetData sheetId="18">
        <row r="8">
          <cell r="B8">
            <v>0</v>
          </cell>
        </row>
      </sheetData>
      <sheetData sheetId="19"/>
      <sheetData sheetId="20">
        <row r="8">
          <cell r="B8" t="str">
            <v>0</v>
          </cell>
        </row>
      </sheetData>
      <sheetData sheetId="21">
        <row r="8">
          <cell r="B8" t="str">
            <v>8427</v>
          </cell>
        </row>
      </sheetData>
      <sheetData sheetId="22">
        <row r="8">
          <cell r="B8" t="str">
            <v>0</v>
          </cell>
        </row>
      </sheetData>
      <sheetData sheetId="23">
        <row r="8">
          <cell r="B8" t="str">
            <v>4524</v>
          </cell>
        </row>
      </sheetData>
      <sheetData sheetId="24">
        <row r="8">
          <cell r="B8">
            <v>0</v>
          </cell>
        </row>
      </sheetData>
      <sheetData sheetId="25">
        <row r="8">
          <cell r="B8" t="str">
            <v>1228</v>
          </cell>
        </row>
      </sheetData>
      <sheetData sheetId="26">
        <row r="8">
          <cell r="B8" t="str">
            <v>568</v>
          </cell>
        </row>
      </sheetData>
      <sheetData sheetId="27">
        <row r="8">
          <cell r="B8">
            <v>0</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Exec. summary &amp; Intro.&gt;&gt;"/>
      <sheetName val="Figure 1.1"/>
      <sheetName val="Figures ES.1 &amp; 1.2"/>
      <sheetName val="Figures ES.2 &amp; 1.3"/>
      <sheetName val="Figure 1.4"/>
      <sheetName val="Figure 1.5"/>
      <sheetName val="Figure 1.6"/>
      <sheetName val="Figure 1.7"/>
      <sheetName val="Figure 1.8"/>
      <sheetName val="Figure 1.9"/>
      <sheetName val="Figure 1.10"/>
      <sheetName val="Figure 1.11"/>
      <sheetName val="Figure 1.12"/>
      <sheetName val="Figure 1.13"/>
      <sheetName val="Figure 1.14"/>
      <sheetName val="Onshore wind&gt;&gt;"/>
      <sheetName val="Figure 2.1"/>
      <sheetName val="Figure 2.2"/>
      <sheetName val="Figure 2.3"/>
      <sheetName val="Figure 2.4"/>
      <sheetName val="Figure 2.5"/>
      <sheetName val="Figure 2.6"/>
      <sheetName val="Figure 2.7"/>
      <sheetName val="Figure 2.8"/>
      <sheetName val="Figure 2.9"/>
      <sheetName val="Table 2.1"/>
      <sheetName val="Table 2.2"/>
      <sheetName val="Table 2.3"/>
      <sheetName val="Solar pv&gt;&gt;"/>
      <sheetName val="Figure 3.1"/>
      <sheetName val="Figure 3.2"/>
      <sheetName val="Figure 3.3"/>
      <sheetName val="Figure 3.4"/>
      <sheetName val="Figure 3.5"/>
      <sheetName val="Figure 3.6"/>
      <sheetName val="Figure 3.7"/>
      <sheetName val="Table 3.1"/>
      <sheetName val="Table 3.2"/>
      <sheetName val="Table 3.3"/>
      <sheetName val="Offshore wind&gt;&gt;"/>
      <sheetName val="Figure 4.1"/>
      <sheetName val="Figure 4.2"/>
      <sheetName val="Figure 4.3"/>
      <sheetName val="Figure 4.4"/>
      <sheetName val="Figure 4.5"/>
      <sheetName val="Figure 4.6"/>
      <sheetName val="Table 4.1"/>
      <sheetName val="Table 4.2"/>
      <sheetName val="Table 4.3"/>
      <sheetName val="Hydro&gt;&gt;"/>
      <sheetName val="Figure 5.1"/>
      <sheetName val="Figure 5.2"/>
      <sheetName val="Figure 5.3"/>
      <sheetName val="Figure 5.4"/>
      <sheetName val="Figure 5.5"/>
      <sheetName val="Figure 5.6"/>
      <sheetName val="Figure 5.7"/>
      <sheetName val="Figure 5.8 "/>
      <sheetName val="Table 5.1"/>
      <sheetName val="Table 5.2"/>
      <sheetName val="Table 5.3"/>
      <sheetName val="Table 5.4"/>
      <sheetName val="Table 5.5"/>
      <sheetName val="Geothermal&gt;&gt; "/>
      <sheetName val="Figure 6.1"/>
      <sheetName val="Figure 6.2"/>
      <sheetName val="Figure 6.3"/>
      <sheetName val="Figure 6.4"/>
      <sheetName val="Bioenergy&gt;&gt;"/>
      <sheetName val="Figure 7.1"/>
      <sheetName val="Figure 7.2"/>
      <sheetName val="Figure 7.3"/>
      <sheetName val="Figure 7.4"/>
      <sheetName val="Figure 7.5"/>
      <sheetName val="Figure 7.6"/>
      <sheetName val="Figure 7.7"/>
      <sheetName val="Table 7.1"/>
      <sheetName val="CSP&gt;&gt;"/>
      <sheetName val="Figure 8.1"/>
      <sheetName val="Figure 8.2"/>
      <sheetName val="Figure 8.3"/>
      <sheetName val="Figure 8.4"/>
      <sheetName val="Figure 8.5"/>
      <sheetName val="Figure 8.6"/>
      <sheetName val="Table 8.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0">
          <cell r="H10">
            <v>1642</v>
          </cell>
        </row>
      </sheetData>
      <sheetData sheetId="18"/>
      <sheetData sheetId="19"/>
      <sheetData sheetId="20"/>
      <sheetData sheetId="21">
        <row r="8">
          <cell r="AD8">
            <v>2555</v>
          </cell>
        </row>
        <row r="10">
          <cell r="AD10">
            <v>2271</v>
          </cell>
          <cell r="AE10">
            <v>2063</v>
          </cell>
          <cell r="AF10">
            <v>2038</v>
          </cell>
          <cell r="AG10">
            <v>2011</v>
          </cell>
          <cell r="AH10">
            <v>1973</v>
          </cell>
          <cell r="AI10">
            <v>1936</v>
          </cell>
          <cell r="AJ10">
            <v>1935</v>
          </cell>
          <cell r="AK10">
            <v>1904</v>
          </cell>
          <cell r="AL10">
            <v>1762</v>
          </cell>
        </row>
      </sheetData>
      <sheetData sheetId="22"/>
      <sheetData sheetId="23"/>
      <sheetData sheetId="24"/>
      <sheetData sheetId="25"/>
      <sheetData sheetId="26"/>
      <sheetData sheetId="27"/>
      <sheetData sheetId="28"/>
      <sheetData sheetId="29"/>
      <sheetData sheetId="30">
        <row r="9">
          <cell r="H9">
            <v>1800.941</v>
          </cell>
        </row>
      </sheetData>
      <sheetData sheetId="31"/>
      <sheetData sheetId="32"/>
      <sheetData sheetId="33">
        <row r="8">
          <cell r="F8">
            <v>5592.165</v>
          </cell>
        </row>
        <row r="10">
          <cell r="F10">
            <v>2958.7849999999999</v>
          </cell>
          <cell r="G10">
            <v>2341.3380000000002</v>
          </cell>
          <cell r="H10">
            <v>2007.0119999999999</v>
          </cell>
          <cell r="I10">
            <v>1600.047</v>
          </cell>
          <cell r="J10">
            <v>1279.682</v>
          </cell>
          <cell r="K10">
            <v>1161.7639999999999</v>
          </cell>
          <cell r="L10">
            <v>1114.0820000000001</v>
          </cell>
          <cell r="M10">
            <v>1113.0229999999999</v>
          </cell>
          <cell r="N10">
            <v>898.72</v>
          </cell>
        </row>
      </sheetData>
      <sheetData sheetId="34"/>
      <sheetData sheetId="35"/>
      <sheetData sheetId="36"/>
      <sheetData sheetId="37">
        <row r="9">
          <cell r="F9">
            <v>9797</v>
          </cell>
        </row>
        <row r="10">
          <cell r="F10">
            <v>3634</v>
          </cell>
          <cell r="G10">
            <v>2712</v>
          </cell>
          <cell r="H10">
            <v>2414</v>
          </cell>
          <cell r="I10">
            <v>2229</v>
          </cell>
          <cell r="J10">
            <v>1750</v>
          </cell>
          <cell r="K10">
            <v>1704</v>
          </cell>
          <cell r="L10">
            <v>1645</v>
          </cell>
          <cell r="M10">
            <v>1746</v>
          </cell>
          <cell r="N10">
            <v>1646</v>
          </cell>
        </row>
      </sheetData>
      <sheetData sheetId="38"/>
      <sheetData sheetId="39"/>
      <sheetData sheetId="40"/>
      <sheetData sheetId="41">
        <row r="9">
          <cell r="H9">
            <v>5260</v>
          </cell>
        </row>
      </sheetData>
      <sheetData sheetId="42"/>
      <sheetData sheetId="43"/>
      <sheetData sheetId="44"/>
      <sheetData sheetId="45"/>
      <sheetData sheetId="46"/>
      <sheetData sheetId="47">
        <row r="11">
          <cell r="D11">
            <v>4658</v>
          </cell>
          <cell r="G11">
            <v>4094</v>
          </cell>
        </row>
      </sheetData>
      <sheetData sheetId="48"/>
      <sheetData sheetId="49"/>
      <sheetData sheetId="50"/>
      <sheetData sheetId="51">
        <row r="9">
          <cell r="H9">
            <v>1452.0698270019807</v>
          </cell>
        </row>
      </sheetData>
      <sheetData sheetId="52"/>
      <sheetData sheetId="53"/>
      <sheetData sheetId="54"/>
      <sheetData sheetId="55">
        <row r="23">
          <cell r="E23">
            <v>1842.692924470706</v>
          </cell>
        </row>
      </sheetData>
      <sheetData sheetId="56"/>
      <sheetData sheetId="57"/>
      <sheetData sheetId="58"/>
      <sheetData sheetId="59"/>
      <sheetData sheetId="60"/>
      <sheetData sheetId="61"/>
      <sheetData sheetId="62"/>
      <sheetData sheetId="63"/>
      <sheetData sheetId="64"/>
      <sheetData sheetId="65">
        <row r="9">
          <cell r="H9">
            <v>3495.8034981637634</v>
          </cell>
        </row>
      </sheetData>
      <sheetData sheetId="66"/>
      <sheetData sheetId="67"/>
      <sheetData sheetId="68"/>
      <sheetData sheetId="69"/>
      <sheetData sheetId="70">
        <row r="9">
          <cell r="H9">
            <v>2591.8135321197242</v>
          </cell>
        </row>
      </sheetData>
      <sheetData sheetId="71"/>
      <sheetData sheetId="72"/>
      <sheetData sheetId="73"/>
      <sheetData sheetId="74"/>
      <sheetData sheetId="75"/>
      <sheetData sheetId="76"/>
      <sheetData sheetId="77"/>
      <sheetData sheetId="78"/>
      <sheetData sheetId="79">
        <row r="8">
          <cell r="H8">
            <v>7361.027</v>
          </cell>
        </row>
      </sheetData>
      <sheetData sheetId="80"/>
      <sheetData sheetId="81"/>
      <sheetData sheetId="82"/>
      <sheetData sheetId="83"/>
      <sheetData sheetId="84"/>
      <sheetData sheetId="8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sheetName val="ENTSO-E"/>
    </sheetNames>
    <sheetDataSet>
      <sheetData sheetId="0" refreshError="1"/>
      <sheetData sheetId="1" refreshError="1">
        <row r="3">
          <cell r="I3">
            <v>8400</v>
          </cell>
        </row>
        <row r="448">
          <cell r="I448">
            <v>1500</v>
          </cell>
        </row>
        <row r="450">
          <cell r="I450">
            <v>7200</v>
          </cell>
        </row>
        <row r="452">
          <cell r="I452">
            <v>600</v>
          </cell>
        </row>
        <row r="455">
          <cell r="I455">
            <v>0</v>
          </cell>
        </row>
        <row r="472">
          <cell r="I472">
            <v>1500</v>
          </cell>
        </row>
        <row r="474">
          <cell r="I474">
            <v>7800</v>
          </cell>
        </row>
        <row r="476">
          <cell r="I476">
            <v>600</v>
          </cell>
        </row>
        <row r="479">
          <cell r="I479">
            <v>0</v>
          </cell>
        </row>
        <row r="496">
          <cell r="I496">
            <v>1500</v>
          </cell>
        </row>
        <row r="498">
          <cell r="I498">
            <v>7800</v>
          </cell>
        </row>
        <row r="500">
          <cell r="I500">
            <v>600</v>
          </cell>
        </row>
        <row r="503">
          <cell r="I503">
            <v>0</v>
          </cell>
        </row>
        <row r="6604">
          <cell r="I6604">
            <v>1200</v>
          </cell>
        </row>
        <row r="6824">
          <cell r="I6824">
            <v>8480</v>
          </cell>
        </row>
        <row r="7154">
          <cell r="I7154">
            <v>1570</v>
          </cell>
        </row>
        <row r="7594">
          <cell r="I7594">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ata2"/>
      <sheetName val="Data3"/>
      <sheetName val="Data4"/>
      <sheetName val="Data5"/>
      <sheetName val="Data6"/>
      <sheetName val="Data7"/>
      <sheetName val="Data8"/>
      <sheetName val="Data9"/>
      <sheetName val="Data10"/>
      <sheetName val="Data11"/>
      <sheetName val="Data12"/>
      <sheetName val="Data13"/>
    </sheetNames>
    <sheetDataSet>
      <sheetData sheetId="0"/>
      <sheetData sheetId="1"/>
      <sheetData sheetId="2"/>
      <sheetData sheetId="3"/>
      <sheetData sheetId="4"/>
      <sheetData sheetId="5"/>
      <sheetData sheetId="6"/>
      <sheetData sheetId="7">
        <row r="12">
          <cell r="B12">
            <v>0</v>
          </cell>
        </row>
      </sheetData>
      <sheetData sheetId="8">
        <row r="12">
          <cell r="B12">
            <v>0</v>
          </cell>
        </row>
      </sheetData>
      <sheetData sheetId="9"/>
      <sheetData sheetId="10"/>
      <sheetData sheetId="11">
        <row r="12">
          <cell r="W12">
            <v>0</v>
          </cell>
        </row>
        <row r="16">
          <cell r="W16">
            <v>3970</v>
          </cell>
          <cell r="X16">
            <v>4040</v>
          </cell>
          <cell r="Y16">
            <v>4290</v>
          </cell>
          <cell r="Z16">
            <v>4290</v>
          </cell>
          <cell r="AA16">
            <v>4290</v>
          </cell>
          <cell r="AB16">
            <v>4290</v>
          </cell>
          <cell r="AC16">
            <v>4290</v>
          </cell>
          <cell r="AD16">
            <v>4290</v>
          </cell>
          <cell r="AE16">
            <v>4290</v>
          </cell>
        </row>
      </sheetData>
      <sheetData sheetId="12">
        <row r="12">
          <cell r="W12">
            <v>0</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ata2"/>
      <sheetName val="Data3"/>
      <sheetName val="Data4"/>
      <sheetName val="Data5"/>
      <sheetName val="Data6"/>
      <sheetName val="Data7"/>
      <sheetName val="Data8"/>
      <sheetName val="Data9"/>
      <sheetName val="Data10"/>
      <sheetName val="Data11"/>
      <sheetName val="Data12"/>
      <sheetName val="Data13"/>
      <sheetName val="Data14"/>
      <sheetName val="Data15"/>
      <sheetName val="Data16"/>
      <sheetName val="Data17"/>
      <sheetName val="Data18"/>
      <sheetName val="Data19"/>
      <sheetName val="Data20"/>
      <sheetName val="Data21"/>
      <sheetName val="Data22"/>
      <sheetName val="Data23"/>
      <sheetName val="Data24"/>
      <sheetName val="Data25"/>
    </sheetNames>
    <sheetDataSet>
      <sheetData sheetId="0">
        <row r="12">
          <cell r="B12">
            <v>10947</v>
          </cell>
        </row>
        <row r="16">
          <cell r="W16">
            <v>2197</v>
          </cell>
          <cell r="X16">
            <v>2212</v>
          </cell>
          <cell r="Y16">
            <v>2252</v>
          </cell>
          <cell r="Z16">
            <v>2252</v>
          </cell>
          <cell r="AA16">
            <v>2260</v>
          </cell>
          <cell r="AB16">
            <v>2262</v>
          </cell>
          <cell r="AC16">
            <v>2264.6999999999998</v>
          </cell>
          <cell r="AD16">
            <v>2264.0189999999998</v>
          </cell>
          <cell r="AE16">
            <v>2265.21</v>
          </cell>
        </row>
      </sheetData>
      <sheetData sheetId="1">
        <row r="12">
          <cell r="B12">
            <v>7028</v>
          </cell>
        </row>
      </sheetData>
      <sheetData sheetId="2">
        <row r="14">
          <cell r="B14">
            <v>0</v>
          </cell>
        </row>
      </sheetData>
      <sheetData sheetId="3">
        <row r="12">
          <cell r="B12">
            <v>3919</v>
          </cell>
        </row>
      </sheetData>
      <sheetData sheetId="4">
        <row r="12">
          <cell r="B12">
            <v>0</v>
          </cell>
        </row>
      </sheetData>
      <sheetData sheetId="5">
        <row r="12">
          <cell r="B12">
            <v>0</v>
          </cell>
        </row>
        <row r="16">
          <cell r="W16">
            <v>0</v>
          </cell>
          <cell r="X16">
            <v>0</v>
          </cell>
          <cell r="Y16">
            <v>0</v>
          </cell>
          <cell r="Z16">
            <v>0</v>
          </cell>
          <cell r="AA16">
            <v>0</v>
          </cell>
          <cell r="AB16">
            <v>0</v>
          </cell>
          <cell r="AC16">
            <v>0</v>
          </cell>
          <cell r="AD16">
            <v>0</v>
          </cell>
          <cell r="AE16">
            <v>0</v>
          </cell>
        </row>
      </sheetData>
      <sheetData sheetId="6">
        <row r="14">
          <cell r="B14">
            <v>0</v>
          </cell>
        </row>
      </sheetData>
      <sheetData sheetId="7">
        <row r="12">
          <cell r="B12">
            <v>0</v>
          </cell>
        </row>
        <row r="16">
          <cell r="W16">
            <v>213</v>
          </cell>
          <cell r="X16">
            <v>258</v>
          </cell>
          <cell r="Y16">
            <v>262</v>
          </cell>
          <cell r="Z16">
            <v>278</v>
          </cell>
          <cell r="AA16">
            <v>281</v>
          </cell>
          <cell r="AB16">
            <v>282</v>
          </cell>
          <cell r="AC16">
            <v>308.20499999999998</v>
          </cell>
          <cell r="AD16">
            <v>316.2</v>
          </cell>
          <cell r="AE16">
            <v>339.41399999999999</v>
          </cell>
        </row>
      </sheetData>
      <sheetData sheetId="8">
        <row r="12">
          <cell r="B12">
            <v>0</v>
          </cell>
        </row>
        <row r="16">
          <cell r="W16">
            <v>0</v>
          </cell>
          <cell r="X16">
            <v>0</v>
          </cell>
          <cell r="Y16">
            <v>0</v>
          </cell>
          <cell r="Z16">
            <v>0</v>
          </cell>
          <cell r="AA16">
            <v>0</v>
          </cell>
          <cell r="AB16">
            <v>0</v>
          </cell>
          <cell r="AC16">
            <v>0</v>
          </cell>
          <cell r="AD16">
            <v>0</v>
          </cell>
          <cell r="AE16">
            <v>0</v>
          </cell>
        </row>
      </sheetData>
      <sheetData sheetId="9">
        <row r="12">
          <cell r="B12">
            <v>0</v>
          </cell>
        </row>
      </sheetData>
      <sheetData sheetId="10">
        <row r="12">
          <cell r="B12">
            <v>0</v>
          </cell>
        </row>
        <row r="16">
          <cell r="W16">
            <v>0</v>
          </cell>
          <cell r="X16">
            <v>0</v>
          </cell>
          <cell r="Y16">
            <v>0</v>
          </cell>
          <cell r="Z16">
            <v>0</v>
          </cell>
          <cell r="AA16">
            <v>0</v>
          </cell>
          <cell r="AB16">
            <v>0</v>
          </cell>
          <cell r="AC16">
            <v>0</v>
          </cell>
          <cell r="AD16">
            <v>0</v>
          </cell>
          <cell r="AE16">
            <v>0</v>
          </cell>
        </row>
      </sheetData>
      <sheetData sheetId="11">
        <row r="12">
          <cell r="B12">
            <v>0</v>
          </cell>
        </row>
        <row r="16">
          <cell r="W16">
            <v>1913</v>
          </cell>
          <cell r="X16">
            <v>2022</v>
          </cell>
          <cell r="Y16">
            <v>2063.5</v>
          </cell>
          <cell r="Z16">
            <v>2067.4</v>
          </cell>
          <cell r="AA16">
            <v>2074.9</v>
          </cell>
          <cell r="AB16">
            <v>2067.9</v>
          </cell>
        </row>
      </sheetData>
      <sheetData sheetId="12">
        <row r="12">
          <cell r="B12">
            <v>0</v>
          </cell>
        </row>
        <row r="16">
          <cell r="AC16">
            <v>150.69999999999999</v>
          </cell>
          <cell r="AD16">
            <v>174.11199999999999</v>
          </cell>
          <cell r="AE16">
            <v>180.95</v>
          </cell>
        </row>
      </sheetData>
      <sheetData sheetId="13">
        <row r="12">
          <cell r="B12">
            <v>0</v>
          </cell>
        </row>
        <row r="16">
          <cell r="AC16">
            <v>592.6</v>
          </cell>
          <cell r="AD16">
            <v>588.57899999999995</v>
          </cell>
          <cell r="AE16">
            <v>598.69299999999998</v>
          </cell>
        </row>
      </sheetData>
      <sheetData sheetId="14">
        <row r="12">
          <cell r="B12">
            <v>0</v>
          </cell>
        </row>
        <row r="16">
          <cell r="AC16">
            <v>1326.2</v>
          </cell>
          <cell r="AD16">
            <v>1312.3810000000001</v>
          </cell>
          <cell r="AE16">
            <v>1306.7809999999999</v>
          </cell>
        </row>
      </sheetData>
      <sheetData sheetId="15">
        <row r="12">
          <cell r="B12">
            <v>0</v>
          </cell>
        </row>
        <row r="16">
          <cell r="AC16">
            <v>0</v>
          </cell>
          <cell r="AD16">
            <v>0</v>
          </cell>
          <cell r="AE16">
            <v>0</v>
          </cell>
        </row>
      </sheetData>
      <sheetData sheetId="16">
        <row r="12">
          <cell r="B12">
            <v>0</v>
          </cell>
        </row>
        <row r="16">
          <cell r="W16">
            <v>0</v>
          </cell>
          <cell r="X16">
            <v>0</v>
          </cell>
          <cell r="Y16">
            <v>0</v>
          </cell>
          <cell r="Z16">
            <v>0</v>
          </cell>
          <cell r="AA16">
            <v>0</v>
          </cell>
          <cell r="AB16">
            <v>0</v>
          </cell>
          <cell r="AC16">
            <v>0</v>
          </cell>
          <cell r="AD16">
            <v>0</v>
          </cell>
          <cell r="AE16">
            <v>0</v>
          </cell>
        </row>
      </sheetData>
      <sheetData sheetId="17">
        <row r="12">
          <cell r="B12">
            <v>400</v>
          </cell>
        </row>
        <row r="16">
          <cell r="W16">
            <v>306</v>
          </cell>
          <cell r="X16">
            <v>330</v>
          </cell>
          <cell r="Y16">
            <v>306</v>
          </cell>
          <cell r="Z16">
            <v>355</v>
          </cell>
          <cell r="AA16">
            <v>380</v>
          </cell>
          <cell r="AB16">
            <v>376</v>
          </cell>
          <cell r="AC16">
            <v>402</v>
          </cell>
          <cell r="AD16">
            <v>385</v>
          </cell>
          <cell r="AE16">
            <v>434</v>
          </cell>
        </row>
      </sheetData>
      <sheetData sheetId="18">
        <row r="12">
          <cell r="W12">
            <v>0</v>
          </cell>
        </row>
        <row r="16">
          <cell r="W16">
            <v>0</v>
          </cell>
          <cell r="X16">
            <v>0</v>
          </cell>
          <cell r="Y16">
            <v>0</v>
          </cell>
          <cell r="Z16">
            <v>0</v>
          </cell>
          <cell r="AA16">
            <v>0</v>
          </cell>
          <cell r="AB16">
            <v>0</v>
          </cell>
          <cell r="AC16">
            <v>0</v>
          </cell>
          <cell r="AD16">
            <v>0</v>
          </cell>
          <cell r="AE16">
            <v>0</v>
          </cell>
        </row>
      </sheetData>
      <sheetData sheetId="19">
        <row r="12">
          <cell r="W12">
            <v>0</v>
          </cell>
        </row>
        <row r="16">
          <cell r="W16">
            <v>0</v>
          </cell>
          <cell r="X16">
            <v>0</v>
          </cell>
          <cell r="Y16">
            <v>0</v>
          </cell>
          <cell r="Z16">
            <v>0</v>
          </cell>
          <cell r="AA16">
            <v>0</v>
          </cell>
          <cell r="AB16">
            <v>0</v>
          </cell>
          <cell r="AC16">
            <v>0</v>
          </cell>
          <cell r="AD16">
            <v>0</v>
          </cell>
          <cell r="AE16">
            <v>0</v>
          </cell>
        </row>
      </sheetData>
      <sheetData sheetId="20">
        <row r="12">
          <cell r="W12">
            <v>7.3419999999999996</v>
          </cell>
        </row>
        <row r="16">
          <cell r="W16">
            <v>0</v>
          </cell>
          <cell r="X16">
            <v>0</v>
          </cell>
          <cell r="Y16">
            <v>0</v>
          </cell>
          <cell r="Z16">
            <v>0</v>
          </cell>
          <cell r="AA16">
            <v>0</v>
          </cell>
          <cell r="AB16">
            <v>0</v>
          </cell>
          <cell r="AC16">
            <v>0</v>
          </cell>
          <cell r="AD16">
            <v>0</v>
          </cell>
          <cell r="AE16">
            <v>0</v>
          </cell>
        </row>
      </sheetData>
      <sheetData sheetId="21">
        <row r="12">
          <cell r="W12">
            <v>372.19799999999998</v>
          </cell>
        </row>
        <row r="16">
          <cell r="W16">
            <v>177</v>
          </cell>
          <cell r="X16">
            <v>300</v>
          </cell>
          <cell r="Y16">
            <v>361</v>
          </cell>
          <cell r="Z16">
            <v>367</v>
          </cell>
          <cell r="AA16">
            <v>368</v>
          </cell>
          <cell r="AB16">
            <v>369</v>
          </cell>
          <cell r="AC16">
            <v>372</v>
          </cell>
          <cell r="AD16">
            <v>369</v>
          </cell>
          <cell r="AE16">
            <v>368</v>
          </cell>
        </row>
      </sheetData>
      <sheetData sheetId="22">
        <row r="12">
          <cell r="W12">
            <v>913.13</v>
          </cell>
        </row>
        <row r="16">
          <cell r="W16">
            <v>44</v>
          </cell>
          <cell r="X16">
            <v>46</v>
          </cell>
          <cell r="Y16">
            <v>47</v>
          </cell>
          <cell r="Z16">
            <v>47</v>
          </cell>
          <cell r="AA16">
            <v>48</v>
          </cell>
          <cell r="AB16">
            <v>58</v>
          </cell>
          <cell r="AC16">
            <v>58</v>
          </cell>
          <cell r="AD16">
            <v>58</v>
          </cell>
          <cell r="AE16">
            <v>58</v>
          </cell>
        </row>
      </sheetData>
      <sheetData sheetId="23"/>
      <sheetData sheetId="2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ata2"/>
      <sheetName val="Data3"/>
      <sheetName val="Data4"/>
      <sheetName val="Data5"/>
      <sheetName val="Data6"/>
      <sheetName val="Data7"/>
      <sheetName val="Data8"/>
      <sheetName val="Data9"/>
      <sheetName val="Data10"/>
      <sheetName val="Data11"/>
      <sheetName val="Data12"/>
      <sheetName val="Data13"/>
      <sheetName val="Data14"/>
      <sheetName val="Data15"/>
      <sheetName val="Data16"/>
      <sheetName val="Data17"/>
      <sheetName val="Data18"/>
      <sheetName val="Data19"/>
      <sheetName val="Data20"/>
      <sheetName val="Data21"/>
      <sheetName val="Data22"/>
      <sheetName val="Data23"/>
      <sheetName val="Data24"/>
      <sheetName val="Data25"/>
      <sheetName val="Data26"/>
      <sheetName val="Data27"/>
      <sheetName val="Data28"/>
      <sheetName val="Data29"/>
      <sheetName val="Data30"/>
      <sheetName val="Data31"/>
      <sheetName val="Data32"/>
      <sheetName val="Data33"/>
      <sheetName val="Data34"/>
      <sheetName val="Data35"/>
      <sheetName val="Data36"/>
      <sheetName val="Data37"/>
      <sheetName val="Data38"/>
      <sheetName val="Data39"/>
      <sheetName val="Data40"/>
      <sheetName val="Data41"/>
      <sheetName val="Data42"/>
      <sheetName val="Data43"/>
      <sheetName val="Data44"/>
      <sheetName val="Data45"/>
      <sheetName val="Data46"/>
      <sheetName val="Data47"/>
      <sheetName val="Data48"/>
      <sheetName val="Data49"/>
      <sheetName val="Data50"/>
      <sheetName val="Data51"/>
      <sheetName val="Data52"/>
      <sheetName val="Data53"/>
      <sheetName val="Data54"/>
      <sheetName val="Data55"/>
      <sheetName val="Data56"/>
      <sheetName val="Data57"/>
      <sheetName val="Data58"/>
      <sheetName val="Data59"/>
      <sheetName val="Data60"/>
      <sheetName val="Data61"/>
      <sheetName val="Data62"/>
      <sheetName val="Data63"/>
      <sheetName val="Data64"/>
      <sheetName val="Data65"/>
      <sheetName val="Data66"/>
      <sheetName val="Data67"/>
      <sheetName val="Data68"/>
      <sheetName val="Data69"/>
      <sheetName val="Data70"/>
    </sheetNames>
    <sheetDataSet>
      <sheetData sheetId="0"/>
      <sheetData sheetId="1">
        <row r="12">
          <cell r="W12">
            <v>5431.5429999999997</v>
          </cell>
        </row>
        <row r="16">
          <cell r="W16">
            <v>46685</v>
          </cell>
          <cell r="X16">
            <v>43978</v>
          </cell>
          <cell r="Y16">
            <v>41113</v>
          </cell>
          <cell r="Z16">
            <v>40727</v>
          </cell>
          <cell r="AA16">
            <v>41141</v>
          </cell>
          <cell r="AB16">
            <v>41974</v>
          </cell>
          <cell r="AC16">
            <v>41443.796999999999</v>
          </cell>
          <cell r="AD16">
            <v>41201.476000000002</v>
          </cell>
          <cell r="AE16">
            <v>37335.603000000003</v>
          </cell>
        </row>
      </sheetData>
      <sheetData sheetId="2"/>
      <sheetData sheetId="3"/>
      <sheetData sheetId="4"/>
      <sheetData sheetId="5"/>
      <sheetData sheetId="6"/>
      <sheetData sheetId="7"/>
      <sheetData sheetId="8"/>
      <sheetData sheetId="9"/>
      <sheetData sheetId="10"/>
      <sheetData sheetId="11"/>
      <sheetData sheetId="12">
        <row r="12">
          <cell r="W12">
            <v>1903.7170000000001</v>
          </cell>
        </row>
      </sheetData>
      <sheetData sheetId="13"/>
      <sheetData sheetId="14"/>
      <sheetData sheetId="15"/>
      <sheetData sheetId="16"/>
      <sheetData sheetId="17">
        <row r="12">
          <cell r="W12">
            <v>0</v>
          </cell>
        </row>
        <row r="16">
          <cell r="W16">
            <v>0</v>
          </cell>
          <cell r="X16">
            <v>0</v>
          </cell>
          <cell r="Y16">
            <v>0</v>
          </cell>
          <cell r="Z16">
            <v>0</v>
          </cell>
          <cell r="AA16">
            <v>0</v>
          </cell>
          <cell r="AB16">
            <v>0</v>
          </cell>
          <cell r="AC16">
            <v>0</v>
          </cell>
          <cell r="AD16">
            <v>0</v>
          </cell>
          <cell r="AE16">
            <v>0</v>
          </cell>
        </row>
      </sheetData>
      <sheetData sheetId="18"/>
      <sheetData sheetId="19"/>
      <sheetData sheetId="20">
        <row r="12">
          <cell r="W12">
            <v>0</v>
          </cell>
        </row>
        <row r="16">
          <cell r="W16">
            <v>0</v>
          </cell>
          <cell r="X16">
            <v>0</v>
          </cell>
          <cell r="Y16">
            <v>0</v>
          </cell>
          <cell r="Z16">
            <v>0</v>
          </cell>
          <cell r="AA16">
            <v>0</v>
          </cell>
          <cell r="AB16">
            <v>0</v>
          </cell>
          <cell r="AC16">
            <v>0</v>
          </cell>
          <cell r="AD16">
            <v>0</v>
          </cell>
          <cell r="AE16">
            <v>0</v>
          </cell>
        </row>
      </sheetData>
      <sheetData sheetId="21">
        <row r="12">
          <cell r="W12">
            <v>12436.517</v>
          </cell>
        </row>
        <row r="16">
          <cell r="W16">
            <v>1397</v>
          </cell>
          <cell r="X16">
            <v>1479</v>
          </cell>
          <cell r="Y16">
            <v>2025</v>
          </cell>
          <cell r="Z16">
            <v>1806</v>
          </cell>
          <cell r="AA16">
            <v>2264</v>
          </cell>
          <cell r="AB16">
            <v>3710</v>
          </cell>
          <cell r="AC16">
            <v>3679.422</v>
          </cell>
          <cell r="AD16">
            <v>3750.4650000000001</v>
          </cell>
          <cell r="AE16">
            <v>5790.61</v>
          </cell>
        </row>
      </sheetData>
      <sheetData sheetId="22">
        <row r="12">
          <cell r="W12">
            <v>1015.216</v>
          </cell>
        </row>
        <row r="16">
          <cell r="W16">
            <v>174</v>
          </cell>
          <cell r="X16">
            <v>113</v>
          </cell>
          <cell r="Y16">
            <v>79</v>
          </cell>
          <cell r="Z16">
            <v>105</v>
          </cell>
          <cell r="AA16">
            <v>94</v>
          </cell>
          <cell r="AB16">
            <v>92</v>
          </cell>
          <cell r="AC16">
            <v>119.377</v>
          </cell>
          <cell r="AD16">
            <v>107.84099999999999</v>
          </cell>
          <cell r="AE16">
            <v>118.032</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ow r="12">
          <cell r="W12">
            <v>3711.06</v>
          </cell>
        </row>
        <row r="16">
          <cell r="W16">
            <v>1684.5709999999999</v>
          </cell>
          <cell r="X16">
            <v>1817.337</v>
          </cell>
          <cell r="Y16">
            <v>1683.2719999999999</v>
          </cell>
          <cell r="Z16">
            <v>1992.2180000000001</v>
          </cell>
          <cell r="AA16">
            <v>2091.4949999999999</v>
          </cell>
          <cell r="AB16">
            <v>2067.7440000000001</v>
          </cell>
          <cell r="AC16">
            <v>2213.3969999999999</v>
          </cell>
          <cell r="AD16">
            <v>2120.884</v>
          </cell>
          <cell r="AE16">
            <v>2398.7339999999999</v>
          </cell>
        </row>
      </sheetData>
      <sheetData sheetId="54">
        <row r="12">
          <cell r="W12">
            <v>0</v>
          </cell>
        </row>
        <row r="16">
          <cell r="W16">
            <v>0</v>
          </cell>
          <cell r="X16">
            <v>0</v>
          </cell>
          <cell r="Y16">
            <v>0</v>
          </cell>
          <cell r="Z16">
            <v>0</v>
          </cell>
          <cell r="AA16">
            <v>0</v>
          </cell>
          <cell r="AB16">
            <v>0</v>
          </cell>
          <cell r="AC16">
            <v>0</v>
          </cell>
          <cell r="AD16">
            <v>0</v>
          </cell>
          <cell r="AE16">
            <v>0</v>
          </cell>
        </row>
      </sheetData>
      <sheetData sheetId="55">
        <row r="12">
          <cell r="W12">
            <v>0</v>
          </cell>
        </row>
        <row r="16">
          <cell r="W16">
            <v>0</v>
          </cell>
          <cell r="X16">
            <v>0</v>
          </cell>
          <cell r="Y16">
            <v>0</v>
          </cell>
          <cell r="Z16">
            <v>0</v>
          </cell>
          <cell r="AA16">
            <v>0</v>
          </cell>
          <cell r="AB16">
            <v>0</v>
          </cell>
          <cell r="AC16">
            <v>0</v>
          </cell>
          <cell r="AD16">
            <v>0</v>
          </cell>
          <cell r="AE16">
            <v>0</v>
          </cell>
        </row>
      </sheetData>
      <sheetData sheetId="56">
        <row r="12">
          <cell r="W12">
            <v>0</v>
          </cell>
        </row>
        <row r="16">
          <cell r="W16">
            <v>0</v>
          </cell>
          <cell r="X16">
            <v>0</v>
          </cell>
          <cell r="Y16">
            <v>0</v>
          </cell>
          <cell r="Z16">
            <v>0</v>
          </cell>
          <cell r="AA16">
            <v>0</v>
          </cell>
          <cell r="AB16">
            <v>0</v>
          </cell>
          <cell r="AC16">
            <v>0</v>
          </cell>
          <cell r="AD16">
            <v>0</v>
          </cell>
          <cell r="AE16">
            <v>0</v>
          </cell>
        </row>
      </sheetData>
      <sheetData sheetId="57">
        <row r="12">
          <cell r="W12">
            <v>0</v>
          </cell>
        </row>
        <row r="16">
          <cell r="W16">
            <v>0</v>
          </cell>
          <cell r="X16">
            <v>0</v>
          </cell>
          <cell r="Y16">
            <v>0</v>
          </cell>
          <cell r="Z16">
            <v>0</v>
          </cell>
          <cell r="AA16">
            <v>0</v>
          </cell>
          <cell r="AB16">
            <v>0</v>
          </cell>
          <cell r="AC16">
            <v>0</v>
          </cell>
          <cell r="AD16">
            <v>0</v>
          </cell>
          <cell r="AE16">
            <v>0</v>
          </cell>
        </row>
      </sheetData>
      <sheetData sheetId="58">
        <row r="12">
          <cell r="W12">
            <v>0</v>
          </cell>
        </row>
        <row r="16">
          <cell r="W16">
            <v>0</v>
          </cell>
          <cell r="X16">
            <v>0</v>
          </cell>
          <cell r="Y16">
            <v>0</v>
          </cell>
          <cell r="Z16">
            <v>0</v>
          </cell>
          <cell r="AA16">
            <v>0</v>
          </cell>
          <cell r="AB16">
            <v>0</v>
          </cell>
          <cell r="AC16">
            <v>0</v>
          </cell>
          <cell r="AD16">
            <v>0</v>
          </cell>
          <cell r="AE16">
            <v>0</v>
          </cell>
        </row>
      </sheetData>
      <sheetData sheetId="59">
        <row r="12">
          <cell r="W12">
            <v>0</v>
          </cell>
        </row>
        <row r="16">
          <cell r="W16">
            <v>0</v>
          </cell>
          <cell r="X16">
            <v>0</v>
          </cell>
          <cell r="Y16">
            <v>0</v>
          </cell>
          <cell r="Z16">
            <v>0</v>
          </cell>
          <cell r="AA16">
            <v>0</v>
          </cell>
          <cell r="AB16">
            <v>0</v>
          </cell>
          <cell r="AC16">
            <v>0</v>
          </cell>
          <cell r="AD16">
            <v>0</v>
          </cell>
          <cell r="AE16">
            <v>0</v>
          </cell>
        </row>
      </sheetData>
      <sheetData sheetId="60">
        <row r="12">
          <cell r="W12">
            <v>0</v>
          </cell>
        </row>
        <row r="16">
          <cell r="W16">
            <v>0</v>
          </cell>
          <cell r="X16">
            <v>0</v>
          </cell>
          <cell r="Y16">
            <v>0</v>
          </cell>
          <cell r="Z16">
            <v>0</v>
          </cell>
          <cell r="AA16">
            <v>0</v>
          </cell>
          <cell r="AB16">
            <v>0</v>
          </cell>
          <cell r="AC16">
            <v>0</v>
          </cell>
          <cell r="AD16">
            <v>0</v>
          </cell>
          <cell r="AE16">
            <v>0</v>
          </cell>
        </row>
      </sheetData>
      <sheetData sheetId="61">
        <row r="12">
          <cell r="W12">
            <v>11.920999999999999</v>
          </cell>
        </row>
        <row r="16">
          <cell r="W16">
            <v>0</v>
          </cell>
          <cell r="X16">
            <v>0</v>
          </cell>
          <cell r="Y16">
            <v>0</v>
          </cell>
          <cell r="Z16">
            <v>0</v>
          </cell>
          <cell r="AA16">
            <v>0</v>
          </cell>
          <cell r="AB16">
            <v>0</v>
          </cell>
          <cell r="AC16">
            <v>0</v>
          </cell>
          <cell r="AD16">
            <v>0</v>
          </cell>
          <cell r="AE16">
            <v>0</v>
          </cell>
        </row>
      </sheetData>
      <sheetData sheetId="62">
        <row r="12">
          <cell r="W12">
            <v>625.11500000000001</v>
          </cell>
        </row>
        <row r="16">
          <cell r="W16">
            <v>928.71400000000006</v>
          </cell>
          <cell r="X16">
            <v>1467.684</v>
          </cell>
          <cell r="Y16">
            <v>2293.5920000000001</v>
          </cell>
          <cell r="Z16">
            <v>2583.3629999999998</v>
          </cell>
          <cell r="AA16">
            <v>2610.9639999999999</v>
          </cell>
          <cell r="AB16">
            <v>2589.0230000000001</v>
          </cell>
          <cell r="AC16">
            <v>2639.2629999999999</v>
          </cell>
          <cell r="AD16">
            <v>2607.2049999999999</v>
          </cell>
          <cell r="AE16">
            <v>2528.078</v>
          </cell>
        </row>
      </sheetData>
      <sheetData sheetId="63"/>
      <sheetData sheetId="64">
        <row r="12">
          <cell r="W12">
            <v>211.58</v>
          </cell>
        </row>
        <row r="16">
          <cell r="W16">
            <v>90.19</v>
          </cell>
          <cell r="X16">
            <v>86.685000000000002</v>
          </cell>
          <cell r="Y16">
            <v>83.841999999999999</v>
          </cell>
          <cell r="Z16">
            <v>87.944999999999993</v>
          </cell>
          <cell r="AA16">
            <v>86.650999999999996</v>
          </cell>
          <cell r="AB16">
            <v>98.563000000000002</v>
          </cell>
          <cell r="AC16">
            <v>114.318</v>
          </cell>
          <cell r="AD16">
            <v>100.18899999999999</v>
          </cell>
          <cell r="AE16">
            <v>104.849</v>
          </cell>
        </row>
      </sheetData>
      <sheetData sheetId="65"/>
      <sheetData sheetId="66">
        <row r="12">
          <cell r="W12">
            <v>563.452</v>
          </cell>
        </row>
        <row r="16">
          <cell r="W16">
            <v>66.495000000000005</v>
          </cell>
          <cell r="X16">
            <v>64.858000000000004</v>
          </cell>
          <cell r="Y16">
            <v>64.875</v>
          </cell>
          <cell r="Z16">
            <v>69.116</v>
          </cell>
          <cell r="AA16">
            <v>77.521000000000001</v>
          </cell>
          <cell r="AB16">
            <v>81.298000000000002</v>
          </cell>
          <cell r="AC16">
            <v>91.876999999999995</v>
          </cell>
          <cell r="AD16">
            <v>80.61</v>
          </cell>
          <cell r="AE16">
            <v>84.665999999999997</v>
          </cell>
        </row>
      </sheetData>
      <sheetData sheetId="67">
        <row r="12">
          <cell r="W12">
            <v>0</v>
          </cell>
        </row>
        <row r="16">
          <cell r="W16">
            <v>28283</v>
          </cell>
          <cell r="X16">
            <v>30324</v>
          </cell>
          <cell r="Y16">
            <v>30745</v>
          </cell>
          <cell r="Z16">
            <v>30325</v>
          </cell>
          <cell r="AA16">
            <v>26841</v>
          </cell>
          <cell r="AB16">
            <v>24104</v>
          </cell>
          <cell r="AC16">
            <v>28339.599999999999</v>
          </cell>
          <cell r="AD16">
            <v>29921.311000000002</v>
          </cell>
          <cell r="AE16">
            <v>30246.208999999999</v>
          </cell>
        </row>
      </sheetData>
      <sheetData sheetId="68"/>
      <sheetData sheetId="6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ata2"/>
      <sheetName val="Data3"/>
      <sheetName val="Data4"/>
      <sheetName val="Data5"/>
      <sheetName val="Data6"/>
      <sheetName val="Data7"/>
      <sheetName val="Data8"/>
      <sheetName val="Data9"/>
      <sheetName val="Data10"/>
      <sheetName val="Data11"/>
      <sheetName val="Data12"/>
      <sheetName val="Data13"/>
      <sheetName val="Data14"/>
      <sheetName val="Data15"/>
      <sheetName val="Data16"/>
      <sheetName val="Data17"/>
      <sheetName val="Data18"/>
      <sheetName val="Data19"/>
      <sheetName val="Data20"/>
      <sheetName val="Data21"/>
      <sheetName val="Data22"/>
    </sheetNames>
    <sheetDataSet>
      <sheetData sheetId="0">
        <row r="14">
          <cell r="B14">
            <v>32507</v>
          </cell>
        </row>
        <row r="18">
          <cell r="W18">
            <v>2664.0160000000001</v>
          </cell>
          <cell r="X18">
            <v>2860.143</v>
          </cell>
          <cell r="Y18">
            <v>3639.5070000000001</v>
          </cell>
          <cell r="Z18">
            <v>2960.7489999999998</v>
          </cell>
          <cell r="AA18">
            <v>3070.7689999999998</v>
          </cell>
          <cell r="AB18">
            <v>3202.0360000000001</v>
          </cell>
          <cell r="AC18">
            <v>3039.9189999999999</v>
          </cell>
          <cell r="AD18">
            <v>2679.4180000000001</v>
          </cell>
          <cell r="AE18">
            <v>3174.6860000000001</v>
          </cell>
        </row>
      </sheetData>
      <sheetData sheetId="1"/>
      <sheetData sheetId="2"/>
      <sheetData sheetId="3"/>
      <sheetData sheetId="4"/>
      <sheetData sheetId="5"/>
      <sheetData sheetId="6">
        <row r="14">
          <cell r="B14">
            <v>0</v>
          </cell>
        </row>
        <row r="18">
          <cell r="W18">
            <v>0</v>
          </cell>
          <cell r="X18">
            <v>0</v>
          </cell>
          <cell r="Y18">
            <v>0</v>
          </cell>
          <cell r="Z18">
            <v>0</v>
          </cell>
          <cell r="AA18">
            <v>0</v>
          </cell>
          <cell r="AB18">
            <v>0</v>
          </cell>
          <cell r="AC18">
            <v>0</v>
          </cell>
          <cell r="AD18">
            <v>0</v>
          </cell>
          <cell r="AE18">
            <v>0</v>
          </cell>
        </row>
      </sheetData>
      <sheetData sheetId="7">
        <row r="16">
          <cell r="B16">
            <v>0</v>
          </cell>
        </row>
      </sheetData>
      <sheetData sheetId="8">
        <row r="14">
          <cell r="B14">
            <v>0</v>
          </cell>
        </row>
        <row r="18">
          <cell r="W18">
            <v>397.00299999999999</v>
          </cell>
          <cell r="X18">
            <v>415.81700000000001</v>
          </cell>
          <cell r="Y18">
            <v>480.51900000000001</v>
          </cell>
          <cell r="Z18">
            <v>476.54399999999998</v>
          </cell>
          <cell r="AA18">
            <v>572.61199999999997</v>
          </cell>
          <cell r="AB18">
            <v>496.95699999999999</v>
          </cell>
          <cell r="AC18">
            <v>591.03800000000001</v>
          </cell>
          <cell r="AD18">
            <v>609.33000000000004</v>
          </cell>
          <cell r="AE18">
            <v>700.01400000000001</v>
          </cell>
        </row>
      </sheetData>
      <sheetData sheetId="9">
        <row r="14">
          <cell r="B14">
            <v>0</v>
          </cell>
        </row>
        <row r="18">
          <cell r="W18">
            <v>0</v>
          </cell>
          <cell r="X18">
            <v>0</v>
          </cell>
          <cell r="Y18">
            <v>0</v>
          </cell>
          <cell r="Z18">
            <v>0</v>
          </cell>
          <cell r="AA18">
            <v>0</v>
          </cell>
          <cell r="AB18">
            <v>0</v>
          </cell>
          <cell r="AC18">
            <v>0</v>
          </cell>
          <cell r="AD18">
            <v>0</v>
          </cell>
          <cell r="AE18">
            <v>0</v>
          </cell>
        </row>
      </sheetData>
      <sheetData sheetId="10">
        <row r="14">
          <cell r="B14">
            <v>0</v>
          </cell>
        </row>
        <row r="18">
          <cell r="W18">
            <v>0</v>
          </cell>
          <cell r="X18">
            <v>0</v>
          </cell>
          <cell r="Y18">
            <v>0</v>
          </cell>
          <cell r="Z18">
            <v>0</v>
          </cell>
          <cell r="AA18">
            <v>0</v>
          </cell>
          <cell r="AB18">
            <v>0</v>
          </cell>
          <cell r="AC18">
            <v>0</v>
          </cell>
          <cell r="AD18">
            <v>0</v>
          </cell>
          <cell r="AE18">
            <v>0</v>
          </cell>
        </row>
      </sheetData>
      <sheetData sheetId="11">
        <row r="16">
          <cell r="B16">
            <v>0</v>
          </cell>
        </row>
        <row r="18">
          <cell r="W18">
            <v>2182.018</v>
          </cell>
          <cell r="X18">
            <v>2148.6239999999998</v>
          </cell>
          <cell r="Y18">
            <v>2032.654</v>
          </cell>
          <cell r="Z18">
            <v>2122.8690000000001</v>
          </cell>
          <cell r="AA18">
            <v>2263.846</v>
          </cell>
          <cell r="AB18">
            <v>2131.4549999999999</v>
          </cell>
        </row>
      </sheetData>
      <sheetData sheetId="12">
        <row r="14">
          <cell r="B14">
            <v>0</v>
          </cell>
        </row>
        <row r="18">
          <cell r="AC18">
            <v>153.06700000000001</v>
          </cell>
          <cell r="AD18">
            <v>180.91900000000001</v>
          </cell>
          <cell r="AE18">
            <v>183.94499999999999</v>
          </cell>
        </row>
      </sheetData>
      <sheetData sheetId="13">
        <row r="14">
          <cell r="B14">
            <v>0</v>
          </cell>
        </row>
        <row r="18">
          <cell r="AC18">
            <v>605.59</v>
          </cell>
          <cell r="AD18">
            <v>649.38900000000001</v>
          </cell>
          <cell r="AE18">
            <v>642.16300000000001</v>
          </cell>
        </row>
      </sheetData>
      <sheetData sheetId="14">
        <row r="14">
          <cell r="B14">
            <v>0</v>
          </cell>
        </row>
        <row r="18">
          <cell r="AC18">
            <v>1434.71</v>
          </cell>
          <cell r="AD18">
            <v>1528.5730000000001</v>
          </cell>
          <cell r="AE18">
            <v>1485.4659999999999</v>
          </cell>
        </row>
      </sheetData>
      <sheetData sheetId="15">
        <row r="14">
          <cell r="B14">
            <v>0</v>
          </cell>
        </row>
        <row r="18">
          <cell r="AC18">
            <v>0</v>
          </cell>
          <cell r="AD18">
            <v>0</v>
          </cell>
          <cell r="AE18">
            <v>0</v>
          </cell>
        </row>
      </sheetData>
      <sheetData sheetId="16">
        <row r="14">
          <cell r="B14">
            <v>0</v>
          </cell>
        </row>
        <row r="18">
          <cell r="W18">
            <v>0</v>
          </cell>
          <cell r="X18">
            <v>0</v>
          </cell>
          <cell r="Y18">
            <v>0</v>
          </cell>
          <cell r="Z18">
            <v>0</v>
          </cell>
          <cell r="AA18">
            <v>0</v>
          </cell>
          <cell r="AB18">
            <v>0</v>
          </cell>
          <cell r="AC18">
            <v>0</v>
          </cell>
          <cell r="AD18">
            <v>0</v>
          </cell>
          <cell r="AE18">
            <v>0</v>
          </cell>
        </row>
      </sheetData>
      <sheetData sheetId="17"/>
      <sheetData sheetId="18">
        <row r="14">
          <cell r="B14">
            <v>0</v>
          </cell>
        </row>
      </sheetData>
      <sheetData sheetId="19"/>
      <sheetData sheetId="20"/>
      <sheetData sheetId="2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city"/>
      <sheetName val="generation"/>
      <sheetName val="CUF_sources"/>
      <sheetName val="CUF"/>
      <sheetName val="euref_det"/>
      <sheetName val="euref_agg"/>
      <sheetName val="stanford_det"/>
      <sheetName val="stanford_agg"/>
      <sheetName val="euref_fuel"/>
      <sheetName val="stanford_fuel"/>
      <sheetName val="gfcf_lifespan_sources"/>
      <sheetName val="gfcf_lifespan"/>
      <sheetName val="gfcf_capex_sources"/>
      <sheetName val="gfcf_capex"/>
      <sheetName val="gfcf_concordance_det"/>
      <sheetName val="gfcf_euref_det"/>
      <sheetName val="gfcf_stanford_det"/>
      <sheetName val="euref_fuel_EU"/>
      <sheetName val="stanford_fuel_EU"/>
      <sheetName val="euref_generation"/>
      <sheetName val="euref_generation_EXIOBASE"/>
      <sheetName val="euref_capacity"/>
      <sheetName val="euref_capacity_EXIOBASE"/>
      <sheetName val="euref_CUF"/>
      <sheetName val="stanford_capacity_EXIOBASE"/>
      <sheetName val="stanford_generation_EXIOBASE"/>
      <sheetName val="euref_fuel_demand"/>
      <sheetName val="euref_fuel_changes"/>
      <sheetName val="euref_fuel_demand_EU"/>
      <sheetName val="euref_fuel_changes_EU"/>
      <sheetName val="euref_fuel_subst_EU"/>
      <sheetName val="stanford_fuel_demand"/>
      <sheetName val="stanford_fuel_changes"/>
      <sheetName val="stanford_fuel_demand_EU"/>
      <sheetName val="stanford_fuel_changes_EU"/>
      <sheetName val="stanford_fuel_subst_EU"/>
      <sheetName val="EUST"/>
      <sheetName val="shares_i24.d"/>
      <sheetName val="shares_i40.2"/>
    </sheetNames>
    <sheetDataSet>
      <sheetData sheetId="0" refreshError="1"/>
      <sheetData sheetId="1" refreshError="1"/>
      <sheetData sheetId="2" refreshError="1"/>
      <sheetData sheetId="3" refreshError="1"/>
      <sheetData sheetId="4" refreshError="1">
        <row r="2">
          <cell r="D2">
            <v>4193.8964184914348</v>
          </cell>
        </row>
        <row r="14">
          <cell r="D14">
            <v>11.388000000000147</v>
          </cell>
        </row>
        <row r="72">
          <cell r="D72">
            <v>6797.1584984219689</v>
          </cell>
        </row>
        <row r="116">
          <cell r="D116">
            <v>4861.3780211733238</v>
          </cell>
        </row>
        <row r="143">
          <cell r="D143">
            <v>398.70958474308679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decarb_CZ"/>
    </sheetNames>
    <sheetDataSet>
      <sheetData sheetId="0">
        <row r="2">
          <cell r="B2">
            <v>2.2606877255640101</v>
          </cell>
        </row>
        <row r="3">
          <cell r="B3">
            <v>27.431000448081999</v>
          </cell>
        </row>
        <row r="4">
          <cell r="B4">
            <v>177.868399769934</v>
          </cell>
        </row>
        <row r="5">
          <cell r="B5">
            <v>896.79049396425603</v>
          </cell>
        </row>
        <row r="6">
          <cell r="B6">
            <v>178.289135511376</v>
          </cell>
        </row>
        <row r="7">
          <cell r="B7">
            <v>2344.70679882788</v>
          </cell>
        </row>
        <row r="8">
          <cell r="B8">
            <v>612.11938289500404</v>
          </cell>
        </row>
        <row r="9">
          <cell r="B9">
            <v>35117.670422402698</v>
          </cell>
        </row>
        <row r="10">
          <cell r="B10">
            <v>2857.8017298236</v>
          </cell>
        </row>
        <row r="11">
          <cell r="B11">
            <v>102.987242586044</v>
          </cell>
        </row>
        <row r="12">
          <cell r="B12">
            <v>1705.85788789408</v>
          </cell>
        </row>
        <row r="13">
          <cell r="B13">
            <v>108.06680701051999</v>
          </cell>
        </row>
        <row r="14">
          <cell r="B14">
            <v>21.322554890018601</v>
          </cell>
        </row>
        <row r="15">
          <cell r="B15">
            <v>0</v>
          </cell>
        </row>
        <row r="16">
          <cell r="B16">
            <v>8.0865215949541902</v>
          </cell>
        </row>
        <row r="17">
          <cell r="B17">
            <v>337.32365507763399</v>
          </cell>
        </row>
        <row r="18">
          <cell r="B18">
            <v>73.433125828821801</v>
          </cell>
        </row>
        <row r="19">
          <cell r="B19">
            <v>38.830533656220702</v>
          </cell>
        </row>
        <row r="20">
          <cell r="B20">
            <v>0</v>
          </cell>
        </row>
        <row r="21">
          <cell r="B21">
            <v>0</v>
          </cell>
        </row>
        <row r="22">
          <cell r="B22">
            <v>0</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2015el_repl"/>
    </sheetNames>
    <sheetDataSet>
      <sheetData sheetId="0">
        <row r="14">
          <cell r="A14">
            <v>1.18865242804129</v>
          </cell>
        </row>
        <row r="20">
          <cell r="A20">
            <v>336.14938003843002</v>
          </cell>
        </row>
        <row r="38">
          <cell r="A38">
            <v>117.30740872226301</v>
          </cell>
        </row>
        <row r="52">
          <cell r="A52">
            <v>106.312481668085</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2015fuel_CZ"/>
    </sheetNames>
    <sheetDataSet>
      <sheetData sheetId="0">
        <row r="2">
          <cell r="C2">
            <v>0</v>
          </cell>
        </row>
        <row r="3">
          <cell r="C3">
            <v>2459.3578090000001</v>
          </cell>
        </row>
        <row r="4">
          <cell r="C4">
            <v>397.54854660000001</v>
          </cell>
        </row>
        <row r="5">
          <cell r="C5">
            <v>2209.150603</v>
          </cell>
        </row>
        <row r="6">
          <cell r="C6">
            <v>7849.10905</v>
          </cell>
        </row>
        <row r="7">
          <cell r="C7">
            <v>1519.823247</v>
          </cell>
        </row>
        <row r="8">
          <cell r="C8">
            <v>610.25160589999996</v>
          </cell>
        </row>
        <row r="9">
          <cell r="C9">
            <v>87.609030309999994</v>
          </cell>
        </row>
        <row r="10">
          <cell r="C10">
            <v>90.707964079999996</v>
          </cell>
        </row>
        <row r="11">
          <cell r="C11">
            <v>38.917766090000001</v>
          </cell>
        </row>
        <row r="12">
          <cell r="C12">
            <v>93.98397971</v>
          </cell>
        </row>
        <row r="13">
          <cell r="C13">
            <v>20.42211154</v>
          </cell>
        </row>
        <row r="14">
          <cell r="C14">
            <v>26.286215290000001</v>
          </cell>
        </row>
        <row r="15">
          <cell r="C15">
            <v>125.8717551</v>
          </cell>
        </row>
        <row r="16">
          <cell r="C16">
            <v>0</v>
          </cell>
        </row>
        <row r="17">
          <cell r="C17">
            <v>0</v>
          </cell>
        </row>
        <row r="18">
          <cell r="C18">
            <v>530.48695459999999</v>
          </cell>
        </row>
        <row r="19">
          <cell r="C19">
            <v>92.581594899999999</v>
          </cell>
        </row>
        <row r="20">
          <cell r="C20">
            <v>0</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UST"/>
      <sheetName val="shares_i24.d"/>
      <sheetName val="shares_i40.2"/>
    </sheetNames>
    <sheetDataSet>
      <sheetData sheetId="0"/>
      <sheetData sheetId="1">
        <row r="3">
          <cell r="F3">
            <v>3.6196709362468714E-3</v>
          </cell>
        </row>
      </sheetData>
      <sheetData sheetId="2">
        <row r="2">
          <cell r="F2">
            <v>0.69187817491407266</v>
          </cell>
        </row>
        <row r="3">
          <cell r="F3">
            <v>0.30812182508592728</v>
          </cell>
        </row>
      </sheetData>
    </sheetDataSet>
  </externalBook>
</externalLink>
</file>

<file path=xl/theme/theme1.xml><?xml version="1.0" encoding="utf-8"?>
<a:theme xmlns:a="http://schemas.openxmlformats.org/drawingml/2006/main" name="Motiv Office">
  <a:themeElements>
    <a:clrScheme name="Kancelář">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celář">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hyperlink" Target="https://materialeconomics.com/publications/industrial-transformation-2050" TargetMode="External"/><Relationship Id="rId13" Type="http://schemas.openxmlformats.org/officeDocument/2006/relationships/hyperlink" Target="https://materialeconomics.com/publications/industrial-transformation-2050" TargetMode="External"/><Relationship Id="rId18" Type="http://schemas.openxmlformats.org/officeDocument/2006/relationships/hyperlink" Target="https://data.bloomberglp.com/bnef/sites/14/2017/06/BNEF_2017_04_12_EV-Price-Parity-Report.pdf" TargetMode="External"/><Relationship Id="rId3" Type="http://schemas.openxmlformats.org/officeDocument/2006/relationships/hyperlink" Target="https://materialeconomics.com/publications/industrial-transformation-2050" TargetMode="External"/><Relationship Id="rId21" Type="http://schemas.openxmlformats.org/officeDocument/2006/relationships/vmlDrawing" Target="../drawings/vmlDrawing6.vml"/><Relationship Id="rId7" Type="http://schemas.openxmlformats.org/officeDocument/2006/relationships/hyperlink" Target="https://materialeconomics.com/publications/industrial-transformation-2050" TargetMode="External"/><Relationship Id="rId12" Type="http://schemas.openxmlformats.org/officeDocument/2006/relationships/hyperlink" Target="https://materialeconomics.com/publications/industrial-transformation-2050" TargetMode="External"/><Relationship Id="rId17" Type="http://schemas.openxmlformats.org/officeDocument/2006/relationships/hyperlink" Target="https://www.ft.com/content/a7e58ce7-4fab-424a-b1fa-f833ce948cb7" TargetMode="External"/><Relationship Id="rId2" Type="http://schemas.openxmlformats.org/officeDocument/2006/relationships/hyperlink" Target="https://materialeconomics.com/publications/industrial-transformation-2050" TargetMode="External"/><Relationship Id="rId16" Type="http://schemas.openxmlformats.org/officeDocument/2006/relationships/hyperlink" Target="https://www.ft.com/content/a7e58ce7-4fab-424a-b1fa-f833ce948cb7" TargetMode="External"/><Relationship Id="rId20" Type="http://schemas.openxmlformats.org/officeDocument/2006/relationships/printerSettings" Target="../printerSettings/printerSettings6.bin"/><Relationship Id="rId1" Type="http://schemas.openxmlformats.org/officeDocument/2006/relationships/hyperlink" Target="https://materialeconomics.com/publications/industrial-transformation-2050" TargetMode="External"/><Relationship Id="rId6" Type="http://schemas.openxmlformats.org/officeDocument/2006/relationships/hyperlink" Target="https://www.researchgate.net/publication/330875028_Techno-economic_analysis_of_calcium_looping_processes_for_low_CO_2_emission_cement_plants" TargetMode="External"/><Relationship Id="rId11" Type="http://schemas.openxmlformats.org/officeDocument/2006/relationships/hyperlink" Target="https://materialeconomics.com/publications/industrial-transformation-2050" TargetMode="External"/><Relationship Id="rId5" Type="http://schemas.openxmlformats.org/officeDocument/2006/relationships/hyperlink" Target="https://www.researchgate.net/publication/330875028_Techno-economic_analysis_of_calcium_looping_processes_for_low_CO_2_emission_cement_plants" TargetMode="External"/><Relationship Id="rId15" Type="http://schemas.openxmlformats.org/officeDocument/2006/relationships/hyperlink" Target="https://materialeconomics.com/publications/industrial-transformation-2050" TargetMode="External"/><Relationship Id="rId10" Type="http://schemas.openxmlformats.org/officeDocument/2006/relationships/hyperlink" Target="https://materialeconomics.com/publications/industrial-transformation-2050" TargetMode="External"/><Relationship Id="rId19" Type="http://schemas.openxmlformats.org/officeDocument/2006/relationships/hyperlink" Target="https://www.researchgate.net/figure/Cost-breakdown-for-base-case-scenario_fig4_326255004" TargetMode="External"/><Relationship Id="rId4" Type="http://schemas.openxmlformats.org/officeDocument/2006/relationships/hyperlink" Target="https://materialeconomics.com/publications/industrial-transformation-2050" TargetMode="External"/><Relationship Id="rId9" Type="http://schemas.openxmlformats.org/officeDocument/2006/relationships/hyperlink" Target="https://materialeconomics.com/publications/industrial-transformation-2050" TargetMode="External"/><Relationship Id="rId14" Type="http://schemas.openxmlformats.org/officeDocument/2006/relationships/hyperlink" Target="https://materialeconomics.com/publications/industrial-transformation-2050" TargetMode="External"/><Relationship Id="rId22"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8" Type="http://schemas.openxmlformats.org/officeDocument/2006/relationships/hyperlink" Target="https://setis.ec.europa.eu/system/files/ETRI_2014.pdf" TargetMode="External"/><Relationship Id="rId13" Type="http://schemas.openxmlformats.org/officeDocument/2006/relationships/hyperlink" Target="https://www.irena.org/publications/2018/Jan/Renewable-power-generation-costs-in-2017" TargetMode="External"/><Relationship Id="rId18" Type="http://schemas.openxmlformats.org/officeDocument/2006/relationships/hyperlink" Target="https://www.irena.org/publications/2012/Jun/Renewable-Energy-Cost-Analysis---Biomass-for-Power-Generation" TargetMode="External"/><Relationship Id="rId26" Type="http://schemas.openxmlformats.org/officeDocument/2006/relationships/hyperlink" Target="https://materialeconomics.com/publications/industrial-transformation-2050" TargetMode="External"/><Relationship Id="rId39" Type="http://schemas.openxmlformats.org/officeDocument/2006/relationships/vmlDrawing" Target="../drawings/vmlDrawing8.vml"/><Relationship Id="rId3" Type="http://schemas.openxmlformats.org/officeDocument/2006/relationships/hyperlink" Target="https://irena.org/costs/Charts/CSP" TargetMode="External"/><Relationship Id="rId21" Type="http://schemas.openxmlformats.org/officeDocument/2006/relationships/hyperlink" Target="https://www.ft.com/content/a7e58ce7-4fab-424a-b1fa-f833ce948cb7" TargetMode="External"/><Relationship Id="rId34" Type="http://schemas.openxmlformats.org/officeDocument/2006/relationships/hyperlink" Target="https://materialeconomics.com/publications/industrial-transformation-2050" TargetMode="External"/><Relationship Id="rId7" Type="http://schemas.openxmlformats.org/officeDocument/2006/relationships/hyperlink" Target="https://setis.ec.europa.eu/system/files/ETRI_2014.pdf" TargetMode="External"/><Relationship Id="rId12" Type="http://schemas.openxmlformats.org/officeDocument/2006/relationships/hyperlink" Target="https://www.irena.org/publications/2018/Jan/Renewable-power-generation-costs-in-2017" TargetMode="External"/><Relationship Id="rId17" Type="http://schemas.openxmlformats.org/officeDocument/2006/relationships/hyperlink" Target="https://www.researchgate.net/publication/305126646_Cost_Analysis_of_Wave_Energy_in_the_Pacific/link/5783231108ae01f736e8f561/download" TargetMode="External"/><Relationship Id="rId25" Type="http://schemas.openxmlformats.org/officeDocument/2006/relationships/hyperlink" Target="https://materialeconomics.com/publications/industrial-transformation-2050" TargetMode="External"/><Relationship Id="rId33" Type="http://schemas.openxmlformats.org/officeDocument/2006/relationships/hyperlink" Target="https://materialeconomics.com/publications/industrial-transformation-2050" TargetMode="External"/><Relationship Id="rId38" Type="http://schemas.openxmlformats.org/officeDocument/2006/relationships/printerSettings" Target="../printerSettings/printerSettings13.bin"/><Relationship Id="rId2" Type="http://schemas.openxmlformats.org/officeDocument/2006/relationships/hyperlink" Target="https://irena.org/costs/Charts/CSP" TargetMode="External"/><Relationship Id="rId16" Type="http://schemas.openxmlformats.org/officeDocument/2006/relationships/hyperlink" Target="https://www.cleantech.com/core-cleantech-driving-wind-costs-down/" TargetMode="External"/><Relationship Id="rId20" Type="http://schemas.openxmlformats.org/officeDocument/2006/relationships/hyperlink" Target="https://www.ft.com/content/a7e58ce7-4fab-424a-b1fa-f833ce948cb7" TargetMode="External"/><Relationship Id="rId29" Type="http://schemas.openxmlformats.org/officeDocument/2006/relationships/hyperlink" Target="https://materialeconomics.com/publications/industrial-transformation-2050" TargetMode="External"/><Relationship Id="rId1" Type="http://schemas.openxmlformats.org/officeDocument/2006/relationships/hyperlink" Target="https://irena.org/costs/Charts/Hydropower" TargetMode="External"/><Relationship Id="rId6" Type="http://schemas.openxmlformats.org/officeDocument/2006/relationships/hyperlink" Target="https://setis.ec.europa.eu/system/files/ETRI_2014.pdf" TargetMode="External"/><Relationship Id="rId11" Type="http://schemas.openxmlformats.org/officeDocument/2006/relationships/hyperlink" Target="https://www.researchgate.net/publication/282579414_Evaluation_and_comparison_of_the_levelized_cost_of_tidal_wave_and_offshore_wind_energy/link/566ab2dc08ae1a797e3890a7/download" TargetMode="External"/><Relationship Id="rId24" Type="http://schemas.openxmlformats.org/officeDocument/2006/relationships/hyperlink" Target="https://materialeconomics.com/publications/industrial-transformation-2050" TargetMode="External"/><Relationship Id="rId32" Type="http://schemas.openxmlformats.org/officeDocument/2006/relationships/hyperlink" Target="https://materialeconomics.com/publications/industrial-transformation-2050" TargetMode="External"/><Relationship Id="rId37" Type="http://schemas.openxmlformats.org/officeDocument/2006/relationships/hyperlink" Target="https://materialeconomics.com/publications/industrial-transformation-2050" TargetMode="External"/><Relationship Id="rId40" Type="http://schemas.openxmlformats.org/officeDocument/2006/relationships/comments" Target="../comments8.xml"/><Relationship Id="rId5" Type="http://schemas.openxmlformats.org/officeDocument/2006/relationships/hyperlink" Target="https://www.sciencedirect.com/science/article/pii/S2214166915000181" TargetMode="External"/><Relationship Id="rId15" Type="http://schemas.openxmlformats.org/officeDocument/2006/relationships/hyperlink" Target="https://www.nrel.gov/docs/fy12osti/53347.pdf" TargetMode="External"/><Relationship Id="rId23" Type="http://schemas.openxmlformats.org/officeDocument/2006/relationships/hyperlink" Target="https://materialeconomics.com/publications/industrial-transformation-2050" TargetMode="External"/><Relationship Id="rId28" Type="http://schemas.openxmlformats.org/officeDocument/2006/relationships/hyperlink" Target="https://www.researchgate.net/publication/330875028_Techno-economic_analysis_of_calcium_looping_processes_for_low_CO_2_emission_cement_plants" TargetMode="External"/><Relationship Id="rId36" Type="http://schemas.openxmlformats.org/officeDocument/2006/relationships/hyperlink" Target="https://materialeconomics.com/publications/industrial-transformation-2050" TargetMode="External"/><Relationship Id="rId10" Type="http://schemas.openxmlformats.org/officeDocument/2006/relationships/hyperlink" Target="https://www.sciencedirect.com/science/article/abs/pii/S036054421630370X?via%3Dihub" TargetMode="External"/><Relationship Id="rId19" Type="http://schemas.openxmlformats.org/officeDocument/2006/relationships/hyperlink" Target="https://www.irena.org/publications/2012/Jun/Renewable-Energy-Cost-Analysis---Biomass-for-Power-Generation" TargetMode="External"/><Relationship Id="rId31" Type="http://schemas.openxmlformats.org/officeDocument/2006/relationships/hyperlink" Target="https://materialeconomics.com/publications/industrial-transformation-2050" TargetMode="External"/><Relationship Id="rId4" Type="http://schemas.openxmlformats.org/officeDocument/2006/relationships/hyperlink" Target="https://irena.org/costs/Charts/Geothermal" TargetMode="External"/><Relationship Id="rId9" Type="http://schemas.openxmlformats.org/officeDocument/2006/relationships/hyperlink" Target="https://core.ac.uk/download/pdf/80690304.pdf" TargetMode="External"/><Relationship Id="rId14" Type="http://schemas.openxmlformats.org/officeDocument/2006/relationships/hyperlink" Target="https://www.nrel.gov/docs/fy12osti/53347.pdf" TargetMode="External"/><Relationship Id="rId22" Type="http://schemas.openxmlformats.org/officeDocument/2006/relationships/hyperlink" Target="https://data.bloomberglp.com/bnef/sites/14/2017/06/BNEF_2017_04_12_EV-Price-Parity-Report.pdf" TargetMode="External"/><Relationship Id="rId27" Type="http://schemas.openxmlformats.org/officeDocument/2006/relationships/hyperlink" Target="https://www.researchgate.net/publication/330875028_Techno-economic_analysis_of_calcium_looping_processes_for_low_CO_2_emission_cement_plants" TargetMode="External"/><Relationship Id="rId30" Type="http://schemas.openxmlformats.org/officeDocument/2006/relationships/hyperlink" Target="https://materialeconomics.com/publications/industrial-transformation-2050" TargetMode="External"/><Relationship Id="rId35" Type="http://schemas.openxmlformats.org/officeDocument/2006/relationships/hyperlink" Target="https://materialeconomics.com/publications/industrial-transformation-2050"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printerSettings" Target="../printerSettings/printerSettings25.bin"/><Relationship Id="rId1" Type="http://schemas.openxmlformats.org/officeDocument/2006/relationships/hyperlink" Target="https://setis.ec.europa.eu/system/files/ETRI_2014.pdf" TargetMode="External"/><Relationship Id="rId4" Type="http://schemas.openxmlformats.org/officeDocument/2006/relationships/comments" Target="../comments19.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39"/>
  <sheetViews>
    <sheetView zoomScale="75" zoomScaleNormal="75" workbookViewId="0">
      <pane xSplit="3" ySplit="1" topLeftCell="D2" activePane="bottomRight" state="frozen"/>
      <selection pane="topRight" activeCell="E1" sqref="E1"/>
      <selection pane="bottomLeft" activeCell="A2" sqref="A2"/>
      <selection pane="bottomRight" activeCell="C2" sqref="C2"/>
    </sheetView>
  </sheetViews>
  <sheetFormatPr defaultColWidth="9" defaultRowHeight="15" x14ac:dyDescent="0.25"/>
  <cols>
    <col min="1" max="1" width="65.75" style="2" bestFit="1" customWidth="1"/>
    <col min="2" max="2" width="19.625" style="2" bestFit="1" customWidth="1"/>
    <col min="3" max="3" width="79.625" style="2" bestFit="1" customWidth="1"/>
    <col min="4" max="4" width="43.75" style="22" bestFit="1" customWidth="1"/>
    <col min="5" max="5" width="64.25" style="22" bestFit="1" customWidth="1"/>
    <col min="6" max="16384" width="9" style="2"/>
  </cols>
  <sheetData>
    <row r="1" spans="1:5" x14ac:dyDescent="0.25">
      <c r="A1" s="58" t="s">
        <v>368</v>
      </c>
      <c r="B1" s="58" t="s">
        <v>915</v>
      </c>
      <c r="C1" s="58" t="s">
        <v>762</v>
      </c>
      <c r="D1" s="21" t="s">
        <v>369</v>
      </c>
      <c r="E1" s="21" t="s">
        <v>759</v>
      </c>
    </row>
    <row r="2" spans="1:5" s="20" customFormat="1" ht="14.45" customHeight="1" x14ac:dyDescent="0.25">
      <c r="A2" s="24" t="s">
        <v>914</v>
      </c>
      <c r="B2" s="2" t="s">
        <v>758</v>
      </c>
      <c r="C2" s="2" t="s">
        <v>753</v>
      </c>
      <c r="D2" s="14" t="s">
        <v>760</v>
      </c>
      <c r="E2" s="14" t="s">
        <v>761</v>
      </c>
    </row>
    <row r="3" spans="1:5" s="20" customFormat="1" ht="14.45" customHeight="1" x14ac:dyDescent="0.25">
      <c r="A3" s="2"/>
      <c r="B3" s="2" t="s">
        <v>758</v>
      </c>
      <c r="C3" s="2" t="s">
        <v>752</v>
      </c>
      <c r="D3" s="14" t="s">
        <v>760</v>
      </c>
      <c r="E3" s="14" t="s">
        <v>761</v>
      </c>
    </row>
    <row r="4" spans="1:5" s="20" customFormat="1" ht="14.45" customHeight="1" x14ac:dyDescent="0.25">
      <c r="A4" s="2"/>
      <c r="B4" s="2" t="s">
        <v>758</v>
      </c>
      <c r="C4" s="2" t="s">
        <v>754</v>
      </c>
      <c r="D4" s="14" t="s">
        <v>760</v>
      </c>
      <c r="E4" s="14" t="s">
        <v>761</v>
      </c>
    </row>
    <row r="5" spans="1:5" s="20" customFormat="1" ht="14.45" customHeight="1" x14ac:dyDescent="0.25">
      <c r="A5" s="2"/>
      <c r="B5" s="2" t="s">
        <v>758</v>
      </c>
      <c r="C5" s="2" t="s">
        <v>751</v>
      </c>
      <c r="D5" s="14" t="s">
        <v>760</v>
      </c>
      <c r="E5" s="14" t="s">
        <v>761</v>
      </c>
    </row>
    <row r="6" spans="1:5" s="20" customFormat="1" ht="14.45" customHeight="1" x14ac:dyDescent="0.25">
      <c r="A6" s="2"/>
      <c r="B6" s="2" t="s">
        <v>758</v>
      </c>
      <c r="C6" s="2" t="s">
        <v>755</v>
      </c>
      <c r="D6" s="14" t="s">
        <v>760</v>
      </c>
      <c r="E6" s="14" t="s">
        <v>761</v>
      </c>
    </row>
    <row r="7" spans="1:5" s="20" customFormat="1" ht="14.45" customHeight="1" x14ac:dyDescent="0.25">
      <c r="A7" s="2"/>
      <c r="B7" s="2" t="s">
        <v>765</v>
      </c>
      <c r="C7" s="2" t="s">
        <v>757</v>
      </c>
      <c r="D7" s="14" t="s">
        <v>760</v>
      </c>
      <c r="E7" s="14" t="s">
        <v>761</v>
      </c>
    </row>
    <row r="8" spans="1:5" s="20" customFormat="1" ht="14.45" customHeight="1" x14ac:dyDescent="0.25">
      <c r="A8" s="2"/>
      <c r="B8" s="2" t="s">
        <v>765</v>
      </c>
      <c r="C8" s="2" t="s">
        <v>756</v>
      </c>
      <c r="D8" s="14" t="s">
        <v>760</v>
      </c>
      <c r="E8" s="14" t="s">
        <v>761</v>
      </c>
    </row>
    <row r="9" spans="1:5" s="115" customFormat="1" ht="14.45" customHeight="1" x14ac:dyDescent="0.25">
      <c r="A9" s="2"/>
      <c r="B9" s="2" t="s">
        <v>758</v>
      </c>
      <c r="C9" s="2" t="s">
        <v>753</v>
      </c>
      <c r="D9" s="14" t="s">
        <v>767</v>
      </c>
      <c r="E9" s="14" t="s">
        <v>766</v>
      </c>
    </row>
    <row r="10" spans="1:5" s="115" customFormat="1" ht="14.45" customHeight="1" x14ac:dyDescent="0.25">
      <c r="A10" s="2"/>
      <c r="B10" s="2" t="s">
        <v>758</v>
      </c>
      <c r="C10" s="2" t="s">
        <v>774</v>
      </c>
      <c r="D10" s="14" t="s">
        <v>767</v>
      </c>
      <c r="E10" s="14" t="s">
        <v>766</v>
      </c>
    </row>
    <row r="11" spans="1:5" s="115" customFormat="1" ht="14.45" customHeight="1" x14ac:dyDescent="0.25">
      <c r="A11" s="2"/>
      <c r="B11" s="2" t="s">
        <v>758</v>
      </c>
      <c r="C11" s="2" t="s">
        <v>763</v>
      </c>
      <c r="D11" s="14" t="s">
        <v>767</v>
      </c>
      <c r="E11" s="14" t="s">
        <v>766</v>
      </c>
    </row>
    <row r="12" spans="1:5" s="115" customFormat="1" ht="14.45" customHeight="1" x14ac:dyDescent="0.25">
      <c r="A12" s="2"/>
      <c r="B12" s="2" t="s">
        <v>758</v>
      </c>
      <c r="C12" s="2" t="s">
        <v>764</v>
      </c>
      <c r="D12" s="14" t="s">
        <v>767</v>
      </c>
      <c r="E12" s="14" t="s">
        <v>766</v>
      </c>
    </row>
    <row r="13" spans="1:5" s="115" customFormat="1" ht="14.45" customHeight="1" x14ac:dyDescent="0.25">
      <c r="A13" s="2"/>
      <c r="B13" s="2" t="s">
        <v>758</v>
      </c>
      <c r="C13" s="2" t="s">
        <v>769</v>
      </c>
      <c r="D13" s="22" t="s">
        <v>771</v>
      </c>
      <c r="E13" s="22" t="s">
        <v>768</v>
      </c>
    </row>
    <row r="14" spans="1:5" s="115" customFormat="1" ht="14.45" customHeight="1" x14ac:dyDescent="0.25">
      <c r="A14" s="2"/>
      <c r="B14" s="2" t="s">
        <v>758</v>
      </c>
      <c r="C14" s="2" t="s">
        <v>770</v>
      </c>
      <c r="D14" s="22" t="s">
        <v>771</v>
      </c>
      <c r="E14" s="22" t="s">
        <v>768</v>
      </c>
    </row>
    <row r="15" spans="1:5" s="115" customFormat="1" ht="14.45" customHeight="1" x14ac:dyDescent="0.25">
      <c r="A15" s="2"/>
      <c r="B15" s="2" t="s">
        <v>758</v>
      </c>
      <c r="C15" s="2" t="s">
        <v>763</v>
      </c>
      <c r="D15" s="22" t="s">
        <v>771</v>
      </c>
      <c r="E15" s="22" t="s">
        <v>768</v>
      </c>
    </row>
    <row r="16" spans="1:5" s="115" customFormat="1" ht="14.45" customHeight="1" x14ac:dyDescent="0.25">
      <c r="A16" s="2"/>
      <c r="B16" s="2" t="s">
        <v>758</v>
      </c>
      <c r="C16" s="2" t="s">
        <v>764</v>
      </c>
      <c r="D16" s="22" t="s">
        <v>771</v>
      </c>
      <c r="E16" s="22" t="s">
        <v>768</v>
      </c>
    </row>
    <row r="17" spans="1:5" s="115" customFormat="1" ht="14.45" customHeight="1" x14ac:dyDescent="0.25">
      <c r="A17" s="2"/>
      <c r="B17" s="2" t="s">
        <v>758</v>
      </c>
      <c r="C17" s="2" t="s">
        <v>781</v>
      </c>
      <c r="D17" s="22" t="s">
        <v>776</v>
      </c>
      <c r="E17" s="22" t="s">
        <v>775</v>
      </c>
    </row>
    <row r="18" spans="1:5" s="115" customFormat="1" ht="14.45" customHeight="1" x14ac:dyDescent="0.25">
      <c r="A18" s="2"/>
      <c r="B18" s="2" t="s">
        <v>758</v>
      </c>
      <c r="C18" s="2" t="s">
        <v>784</v>
      </c>
      <c r="D18" s="22" t="s">
        <v>776</v>
      </c>
      <c r="E18" s="22" t="s">
        <v>775</v>
      </c>
    </row>
    <row r="19" spans="1:5" s="115" customFormat="1" ht="14.45" customHeight="1" x14ac:dyDescent="0.25">
      <c r="A19" s="2"/>
      <c r="B19" s="2" t="s">
        <v>758</v>
      </c>
      <c r="C19" s="2" t="s">
        <v>782</v>
      </c>
      <c r="D19" s="22" t="s">
        <v>776</v>
      </c>
      <c r="E19" s="22" t="s">
        <v>775</v>
      </c>
    </row>
    <row r="20" spans="1:5" s="115" customFormat="1" ht="14.45" customHeight="1" x14ac:dyDescent="0.25">
      <c r="A20" s="2"/>
      <c r="B20" s="2" t="s">
        <v>758</v>
      </c>
      <c r="C20" s="2" t="s">
        <v>783</v>
      </c>
      <c r="D20" s="22" t="s">
        <v>776</v>
      </c>
      <c r="E20" s="22" t="s">
        <v>775</v>
      </c>
    </row>
    <row r="21" spans="1:5" s="115" customFormat="1" ht="14.45" customHeight="1" x14ac:dyDescent="0.25">
      <c r="A21" s="2"/>
      <c r="B21" s="2" t="s">
        <v>765</v>
      </c>
      <c r="C21" s="2" t="s">
        <v>757</v>
      </c>
      <c r="D21" s="22" t="s">
        <v>776</v>
      </c>
      <c r="E21" s="22" t="s">
        <v>775</v>
      </c>
    </row>
    <row r="22" spans="1:5" s="155" customFormat="1" ht="14.45" customHeight="1" x14ac:dyDescent="0.25">
      <c r="A22" s="54"/>
      <c r="B22" s="54" t="s">
        <v>758</v>
      </c>
      <c r="C22" s="54" t="s">
        <v>749</v>
      </c>
      <c r="D22" s="74" t="s">
        <v>772</v>
      </c>
      <c r="E22" s="74" t="s">
        <v>750</v>
      </c>
    </row>
    <row r="23" spans="1:5" s="155" customFormat="1" ht="14.45" customHeight="1" x14ac:dyDescent="0.25">
      <c r="A23" s="54"/>
      <c r="B23" s="54" t="s">
        <v>758</v>
      </c>
      <c r="C23" s="54" t="s">
        <v>763</v>
      </c>
      <c r="D23" s="74" t="s">
        <v>772</v>
      </c>
      <c r="E23" s="74" t="s">
        <v>750</v>
      </c>
    </row>
    <row r="24" spans="1:5" s="155" customFormat="1" ht="14.45" customHeight="1" x14ac:dyDescent="0.25">
      <c r="A24" s="54"/>
      <c r="B24" s="54" t="s">
        <v>758</v>
      </c>
      <c r="C24" s="54" t="s">
        <v>773</v>
      </c>
      <c r="D24" s="74" t="s">
        <v>772</v>
      </c>
      <c r="E24" s="74" t="s">
        <v>750</v>
      </c>
    </row>
    <row r="25" spans="1:5" s="54" customFormat="1" x14ac:dyDescent="0.25">
      <c r="B25" s="54" t="s">
        <v>765</v>
      </c>
      <c r="C25" s="54" t="s">
        <v>757</v>
      </c>
      <c r="D25" s="74" t="s">
        <v>772</v>
      </c>
      <c r="E25" s="74" t="s">
        <v>750</v>
      </c>
    </row>
    <row r="26" spans="1:5" ht="14.45" customHeight="1" x14ac:dyDescent="0.25">
      <c r="B26" s="2" t="s">
        <v>758</v>
      </c>
      <c r="C26" s="2" t="s">
        <v>789</v>
      </c>
      <c r="D26" s="22" t="s">
        <v>778</v>
      </c>
      <c r="E26" s="22" t="s">
        <v>777</v>
      </c>
    </row>
    <row r="27" spans="1:5" ht="14.45" customHeight="1" x14ac:dyDescent="0.25">
      <c r="B27" s="2" t="s">
        <v>758</v>
      </c>
      <c r="C27" s="2" t="s">
        <v>786</v>
      </c>
      <c r="D27" s="22" t="s">
        <v>778</v>
      </c>
      <c r="E27" s="22" t="s">
        <v>777</v>
      </c>
    </row>
    <row r="28" spans="1:5" ht="14.45" customHeight="1" x14ac:dyDescent="0.25">
      <c r="B28" s="2" t="s">
        <v>758</v>
      </c>
      <c r="C28" s="2" t="s">
        <v>787</v>
      </c>
      <c r="D28" s="22" t="s">
        <v>778</v>
      </c>
      <c r="E28" s="22" t="s">
        <v>777</v>
      </c>
    </row>
    <row r="29" spans="1:5" ht="14.45" customHeight="1" x14ac:dyDescent="0.25">
      <c r="B29" s="2" t="s">
        <v>758</v>
      </c>
      <c r="C29" s="2" t="s">
        <v>788</v>
      </c>
      <c r="D29" s="22" t="s">
        <v>778</v>
      </c>
      <c r="E29" s="22" t="s">
        <v>777</v>
      </c>
    </row>
    <row r="30" spans="1:5" ht="14.45" customHeight="1" x14ac:dyDescent="0.25">
      <c r="B30" s="2" t="s">
        <v>765</v>
      </c>
      <c r="C30" s="2" t="s">
        <v>785</v>
      </c>
      <c r="D30" s="22" t="s">
        <v>778</v>
      </c>
      <c r="E30" s="22" t="s">
        <v>777</v>
      </c>
    </row>
    <row r="31" spans="1:5" ht="14.45" customHeight="1" x14ac:dyDescent="0.25">
      <c r="B31" s="2" t="s">
        <v>758</v>
      </c>
      <c r="C31" s="2" t="s">
        <v>789</v>
      </c>
      <c r="D31" s="22" t="s">
        <v>780</v>
      </c>
      <c r="E31" s="22" t="s">
        <v>779</v>
      </c>
    </row>
    <row r="32" spans="1:5" ht="14.45" customHeight="1" x14ac:dyDescent="0.25">
      <c r="B32" s="2" t="s">
        <v>758</v>
      </c>
      <c r="C32" s="2" t="s">
        <v>790</v>
      </c>
      <c r="D32" s="22" t="s">
        <v>780</v>
      </c>
      <c r="E32" s="22" t="s">
        <v>779</v>
      </c>
    </row>
    <row r="33" spans="1:5" ht="14.45" customHeight="1" x14ac:dyDescent="0.25">
      <c r="B33" s="2" t="s">
        <v>758</v>
      </c>
      <c r="C33" s="2" t="s">
        <v>792</v>
      </c>
      <c r="D33" s="22" t="s">
        <v>780</v>
      </c>
      <c r="E33" s="22" t="s">
        <v>779</v>
      </c>
    </row>
    <row r="34" spans="1:5" ht="14.45" customHeight="1" x14ac:dyDescent="0.25">
      <c r="B34" s="2" t="s">
        <v>758</v>
      </c>
      <c r="C34" s="2" t="s">
        <v>793</v>
      </c>
      <c r="D34" s="22" t="s">
        <v>780</v>
      </c>
      <c r="E34" s="22" t="s">
        <v>779</v>
      </c>
    </row>
    <row r="35" spans="1:5" ht="14.45" customHeight="1" x14ac:dyDescent="0.25">
      <c r="B35" s="2" t="s">
        <v>765</v>
      </c>
      <c r="C35" s="2" t="s">
        <v>791</v>
      </c>
      <c r="D35" s="22" t="s">
        <v>780</v>
      </c>
      <c r="E35" s="22" t="s">
        <v>779</v>
      </c>
    </row>
    <row r="36" spans="1:5" ht="14.45" customHeight="1" x14ac:dyDescent="0.25">
      <c r="A36" s="24"/>
      <c r="B36" s="2" t="s">
        <v>758</v>
      </c>
      <c r="C36" s="14" t="s">
        <v>900</v>
      </c>
      <c r="D36" s="14" t="s">
        <v>894</v>
      </c>
      <c r="E36" s="14" t="s">
        <v>895</v>
      </c>
    </row>
    <row r="37" spans="1:5" ht="14.45" customHeight="1" x14ac:dyDescent="0.25">
      <c r="A37" s="24"/>
      <c r="B37" s="2" t="s">
        <v>758</v>
      </c>
      <c r="C37" s="14" t="s">
        <v>901</v>
      </c>
      <c r="D37" s="14" t="s">
        <v>894</v>
      </c>
      <c r="E37" s="14" t="s">
        <v>895</v>
      </c>
    </row>
    <row r="38" spans="1:5" ht="14.45" customHeight="1" x14ac:dyDescent="0.25">
      <c r="A38" s="24"/>
      <c r="B38" s="2" t="s">
        <v>758</v>
      </c>
      <c r="C38" s="14" t="s">
        <v>902</v>
      </c>
      <c r="D38" s="14" t="s">
        <v>894</v>
      </c>
      <c r="E38" s="14" t="s">
        <v>895</v>
      </c>
    </row>
    <row r="39" spans="1:5" ht="14.45" customHeight="1" x14ac:dyDescent="0.25">
      <c r="A39" s="24"/>
      <c r="B39" s="2" t="s">
        <v>758</v>
      </c>
      <c r="C39" s="14" t="s">
        <v>903</v>
      </c>
      <c r="D39" s="14" t="s">
        <v>894</v>
      </c>
      <c r="E39" s="14" t="s">
        <v>895</v>
      </c>
    </row>
    <row r="40" spans="1:5" ht="14.45" customHeight="1" x14ac:dyDescent="0.25">
      <c r="A40" s="24"/>
      <c r="B40" s="2" t="s">
        <v>765</v>
      </c>
      <c r="C40" s="14"/>
      <c r="D40" s="14" t="s">
        <v>894</v>
      </c>
      <c r="E40" s="14" t="s">
        <v>895</v>
      </c>
    </row>
    <row r="41" spans="1:5" x14ac:dyDescent="0.25">
      <c r="B41" s="2" t="s">
        <v>758</v>
      </c>
      <c r="C41" s="14" t="s">
        <v>789</v>
      </c>
      <c r="D41" s="14" t="s">
        <v>906</v>
      </c>
      <c r="E41" s="14" t="s">
        <v>968</v>
      </c>
    </row>
    <row r="42" spans="1:5" x14ac:dyDescent="0.25">
      <c r="B42" s="2" t="s">
        <v>758</v>
      </c>
      <c r="C42" s="14" t="s">
        <v>790</v>
      </c>
      <c r="D42" s="14" t="s">
        <v>906</v>
      </c>
      <c r="E42" s="14" t="s">
        <v>968</v>
      </c>
    </row>
    <row r="43" spans="1:5" x14ac:dyDescent="0.25">
      <c r="B43" s="2" t="s">
        <v>758</v>
      </c>
      <c r="C43" s="14" t="s">
        <v>908</v>
      </c>
      <c r="D43" s="14" t="s">
        <v>906</v>
      </c>
      <c r="E43" s="14" t="s">
        <v>968</v>
      </c>
    </row>
    <row r="44" spans="1:5" x14ac:dyDescent="0.25">
      <c r="B44" s="2" t="s">
        <v>765</v>
      </c>
      <c r="C44" s="14" t="s">
        <v>907</v>
      </c>
      <c r="D44" s="14" t="s">
        <v>906</v>
      </c>
      <c r="E44" s="14" t="s">
        <v>968</v>
      </c>
    </row>
    <row r="45" spans="1:5" s="20" customFormat="1" ht="14.45" customHeight="1" x14ac:dyDescent="0.25">
      <c r="A45" s="24" t="s">
        <v>917</v>
      </c>
      <c r="B45" s="24"/>
      <c r="C45" s="2" t="s">
        <v>795</v>
      </c>
      <c r="D45" s="14" t="s">
        <v>794</v>
      </c>
      <c r="E45" s="14" t="s">
        <v>761</v>
      </c>
    </row>
    <row r="46" spans="1:5" s="20" customFormat="1" ht="14.45" customHeight="1" x14ac:dyDescent="0.25">
      <c r="A46" s="2"/>
      <c r="B46" s="2"/>
      <c r="C46" s="2" t="s">
        <v>745</v>
      </c>
      <c r="D46" s="14" t="s">
        <v>794</v>
      </c>
      <c r="E46" s="14" t="s">
        <v>761</v>
      </c>
    </row>
    <row r="47" spans="1:5" s="20" customFormat="1" ht="14.45" customHeight="1" x14ac:dyDescent="0.25">
      <c r="A47" s="2"/>
      <c r="B47" s="24"/>
      <c r="C47" s="2" t="s">
        <v>743</v>
      </c>
      <c r="D47" s="14" t="s">
        <v>794</v>
      </c>
      <c r="E47" s="14" t="s">
        <v>761</v>
      </c>
    </row>
    <row r="48" spans="1:5" s="20" customFormat="1" ht="14.45" customHeight="1" x14ac:dyDescent="0.25">
      <c r="A48" s="2"/>
      <c r="B48" s="24"/>
      <c r="C48" s="2" t="s">
        <v>742</v>
      </c>
      <c r="D48" s="14" t="s">
        <v>794</v>
      </c>
      <c r="E48" s="14" t="s">
        <v>761</v>
      </c>
    </row>
    <row r="49" spans="1:5" s="115" customFormat="1" ht="14.45" customHeight="1" x14ac:dyDescent="0.25">
      <c r="A49" s="2"/>
      <c r="B49" s="24"/>
      <c r="C49" s="2" t="s">
        <v>795</v>
      </c>
      <c r="D49" s="14" t="s">
        <v>806</v>
      </c>
      <c r="E49" s="14" t="s">
        <v>796</v>
      </c>
    </row>
    <row r="50" spans="1:5" s="115" customFormat="1" ht="14.45" customHeight="1" x14ac:dyDescent="0.25">
      <c r="A50" s="2"/>
      <c r="B50" s="2"/>
      <c r="C50" s="2" t="s">
        <v>802</v>
      </c>
      <c r="D50" s="14" t="s">
        <v>806</v>
      </c>
      <c r="E50" s="14" t="s">
        <v>796</v>
      </c>
    </row>
    <row r="51" spans="1:5" s="115" customFormat="1" ht="14.45" customHeight="1" x14ac:dyDescent="0.25">
      <c r="A51" s="2"/>
      <c r="B51" s="2"/>
      <c r="C51" s="2" t="s">
        <v>803</v>
      </c>
      <c r="D51" s="14" t="s">
        <v>806</v>
      </c>
      <c r="E51" s="14" t="s">
        <v>796</v>
      </c>
    </row>
    <row r="52" spans="1:5" s="115" customFormat="1" ht="14.45" customHeight="1" x14ac:dyDescent="0.25">
      <c r="A52" s="2"/>
      <c r="B52" s="2"/>
      <c r="C52" s="2" t="s">
        <v>804</v>
      </c>
      <c r="D52" s="14" t="s">
        <v>806</v>
      </c>
      <c r="E52" s="14" t="s">
        <v>796</v>
      </c>
    </row>
    <row r="53" spans="1:5" s="115" customFormat="1" ht="14.45" customHeight="1" x14ac:dyDescent="0.25">
      <c r="A53" s="2"/>
      <c r="B53" s="2"/>
      <c r="C53" s="2" t="s">
        <v>805</v>
      </c>
      <c r="D53" s="14" t="s">
        <v>806</v>
      </c>
      <c r="E53" s="14" t="s">
        <v>796</v>
      </c>
    </row>
    <row r="54" spans="1:5" s="115" customFormat="1" ht="14.45" customHeight="1" x14ac:dyDescent="0.25">
      <c r="A54" s="2"/>
      <c r="B54" s="24"/>
      <c r="C54" s="2" t="s">
        <v>795</v>
      </c>
      <c r="D54" s="14" t="s">
        <v>810</v>
      </c>
      <c r="E54" s="14" t="s">
        <v>797</v>
      </c>
    </row>
    <row r="55" spans="1:5" s="115" customFormat="1" ht="14.45" customHeight="1" x14ac:dyDescent="0.25">
      <c r="A55" s="2"/>
      <c r="B55" s="2"/>
      <c r="C55" s="2" t="s">
        <v>809</v>
      </c>
      <c r="D55" s="14" t="s">
        <v>810</v>
      </c>
      <c r="E55" s="14" t="s">
        <v>797</v>
      </c>
    </row>
    <row r="56" spans="1:5" s="115" customFormat="1" ht="14.45" customHeight="1" x14ac:dyDescent="0.25">
      <c r="A56" s="2"/>
      <c r="B56" s="24"/>
      <c r="C56" s="2" t="s">
        <v>814</v>
      </c>
      <c r="D56" s="14" t="s">
        <v>810</v>
      </c>
      <c r="E56" s="14" t="s">
        <v>797</v>
      </c>
    </row>
    <row r="57" spans="1:5" s="115" customFormat="1" ht="14.45" customHeight="1" x14ac:dyDescent="0.25">
      <c r="A57" s="2"/>
      <c r="B57" s="2"/>
      <c r="C57" s="2" t="s">
        <v>813</v>
      </c>
      <c r="D57" s="14" t="s">
        <v>810</v>
      </c>
      <c r="E57" s="14" t="s">
        <v>797</v>
      </c>
    </row>
    <row r="58" spans="1:5" s="115" customFormat="1" ht="14.45" customHeight="1" x14ac:dyDescent="0.25">
      <c r="A58" s="2"/>
      <c r="B58" s="2"/>
      <c r="C58" s="2" t="s">
        <v>811</v>
      </c>
      <c r="D58" s="14" t="s">
        <v>810</v>
      </c>
      <c r="E58" s="14" t="s">
        <v>797</v>
      </c>
    </row>
    <row r="59" spans="1:5" s="115" customFormat="1" ht="14.45" customHeight="1" x14ac:dyDescent="0.25">
      <c r="A59" s="2"/>
      <c r="B59" s="2"/>
      <c r="C59" s="2" t="s">
        <v>812</v>
      </c>
      <c r="D59" s="14" t="s">
        <v>810</v>
      </c>
      <c r="E59" s="14" t="s">
        <v>797</v>
      </c>
    </row>
    <row r="60" spans="1:5" s="115" customFormat="1" ht="14.45" customHeight="1" x14ac:dyDescent="0.25">
      <c r="A60" s="2"/>
      <c r="B60" s="24"/>
      <c r="C60" s="2" t="s">
        <v>795</v>
      </c>
      <c r="D60" s="22" t="s">
        <v>808</v>
      </c>
      <c r="E60" s="22" t="s">
        <v>798</v>
      </c>
    </row>
    <row r="61" spans="1:5" s="115" customFormat="1" ht="14.45" customHeight="1" x14ac:dyDescent="0.25">
      <c r="A61" s="2"/>
      <c r="B61" s="2"/>
      <c r="C61" s="2" t="s">
        <v>799</v>
      </c>
      <c r="D61" s="22" t="s">
        <v>808</v>
      </c>
      <c r="E61" s="22" t="s">
        <v>798</v>
      </c>
    </row>
    <row r="62" spans="1:5" s="115" customFormat="1" ht="14.45" customHeight="1" x14ac:dyDescent="0.25">
      <c r="A62" s="2"/>
      <c r="B62" s="24"/>
      <c r="C62" s="2" t="s">
        <v>800</v>
      </c>
      <c r="D62" s="22" t="s">
        <v>808</v>
      </c>
      <c r="E62" s="22" t="s">
        <v>798</v>
      </c>
    </row>
    <row r="63" spans="1:5" s="115" customFormat="1" ht="14.45" customHeight="1" x14ac:dyDescent="0.25">
      <c r="A63" s="2"/>
      <c r="B63" s="24"/>
      <c r="C63" s="2" t="s">
        <v>807</v>
      </c>
      <c r="D63" s="22" t="s">
        <v>808</v>
      </c>
      <c r="E63" s="22" t="s">
        <v>798</v>
      </c>
    </row>
    <row r="64" spans="1:5" s="115" customFormat="1" ht="14.45" customHeight="1" x14ac:dyDescent="0.25">
      <c r="A64" s="2"/>
      <c r="B64" s="2"/>
      <c r="C64" s="2" t="s">
        <v>801</v>
      </c>
      <c r="D64" s="22" t="s">
        <v>808</v>
      </c>
      <c r="E64" s="22" t="s">
        <v>798</v>
      </c>
    </row>
    <row r="65" spans="1:5" s="115" customFormat="1" ht="14.45" customHeight="1" x14ac:dyDescent="0.25">
      <c r="A65" s="2"/>
      <c r="B65" s="24"/>
      <c r="C65" s="2" t="s">
        <v>821</v>
      </c>
      <c r="D65" s="22" t="s">
        <v>822</v>
      </c>
      <c r="E65" s="22" t="s">
        <v>750</v>
      </c>
    </row>
    <row r="66" spans="1:5" s="115" customFormat="1" ht="14.45" customHeight="1" x14ac:dyDescent="0.25">
      <c r="A66" s="2"/>
      <c r="B66" s="2"/>
      <c r="C66" s="2" t="s">
        <v>799</v>
      </c>
      <c r="D66" s="22" t="s">
        <v>822</v>
      </c>
      <c r="E66" s="22" t="s">
        <v>750</v>
      </c>
    </row>
    <row r="67" spans="1:5" s="115" customFormat="1" ht="14.45" customHeight="1" x14ac:dyDescent="0.25">
      <c r="A67" s="2"/>
      <c r="B67" s="2"/>
      <c r="C67" s="2" t="s">
        <v>823</v>
      </c>
      <c r="D67" s="22" t="s">
        <v>822</v>
      </c>
      <c r="E67" s="22" t="s">
        <v>750</v>
      </c>
    </row>
    <row r="68" spans="1:5" s="115" customFormat="1" ht="14.45" customHeight="1" x14ac:dyDescent="0.25">
      <c r="A68" s="2"/>
      <c r="B68" s="24"/>
      <c r="C68" s="2" t="s">
        <v>745</v>
      </c>
      <c r="D68" s="22" t="s">
        <v>822</v>
      </c>
      <c r="E68" s="22" t="s">
        <v>750</v>
      </c>
    </row>
    <row r="69" spans="1:5" s="115" customFormat="1" ht="14.45" customHeight="1" x14ac:dyDescent="0.25">
      <c r="A69" s="2"/>
      <c r="B69" s="2"/>
      <c r="C69" s="2" t="s">
        <v>824</v>
      </c>
      <c r="D69" s="22" t="s">
        <v>822</v>
      </c>
      <c r="E69" s="22" t="s">
        <v>750</v>
      </c>
    </row>
    <row r="70" spans="1:5" s="115" customFormat="1" ht="14.45" customHeight="1" x14ac:dyDescent="0.25">
      <c r="A70" s="2"/>
      <c r="B70" s="24"/>
      <c r="C70" s="2" t="s">
        <v>825</v>
      </c>
      <c r="D70" s="22" t="s">
        <v>822</v>
      </c>
      <c r="E70" s="22" t="s">
        <v>750</v>
      </c>
    </row>
    <row r="71" spans="1:5" s="115" customFormat="1" ht="14.45" customHeight="1" x14ac:dyDescent="0.25">
      <c r="A71" s="2"/>
      <c r="B71" s="24"/>
      <c r="C71" s="2" t="s">
        <v>826</v>
      </c>
      <c r="D71" s="22" t="s">
        <v>822</v>
      </c>
      <c r="E71" s="22" t="s">
        <v>750</v>
      </c>
    </row>
    <row r="72" spans="1:5" s="155" customFormat="1" ht="14.45" customHeight="1" x14ac:dyDescent="0.25">
      <c r="A72" s="54"/>
      <c r="B72" s="70"/>
      <c r="C72" s="54" t="s">
        <v>904</v>
      </c>
      <c r="D72" s="74" t="s">
        <v>996</v>
      </c>
      <c r="E72" s="74" t="s">
        <v>750</v>
      </c>
    </row>
    <row r="73" spans="1:5" s="155" customFormat="1" ht="14.45" customHeight="1" x14ac:dyDescent="0.25">
      <c r="A73" s="54"/>
      <c r="B73" s="70"/>
      <c r="C73" s="54" t="s">
        <v>970</v>
      </c>
      <c r="D73" s="74" t="s">
        <v>996</v>
      </c>
      <c r="E73" s="74" t="s">
        <v>750</v>
      </c>
    </row>
    <row r="74" spans="1:5" s="155" customFormat="1" ht="14.45" customHeight="1" x14ac:dyDescent="0.25">
      <c r="A74" s="54"/>
      <c r="B74" s="70"/>
      <c r="C74" s="54" t="s">
        <v>742</v>
      </c>
      <c r="D74" s="74" t="s">
        <v>996</v>
      </c>
      <c r="E74" s="74" t="s">
        <v>750</v>
      </c>
    </row>
    <row r="75" spans="1:5" s="115" customFormat="1" ht="14.45" customHeight="1" x14ac:dyDescent="0.25">
      <c r="A75" s="24"/>
      <c r="B75" s="24"/>
      <c r="C75" s="2" t="s">
        <v>904</v>
      </c>
      <c r="D75" s="14" t="s">
        <v>894</v>
      </c>
      <c r="E75" s="14" t="s">
        <v>895</v>
      </c>
    </row>
    <row r="76" spans="1:5" s="115" customFormat="1" ht="14.45" customHeight="1" x14ac:dyDescent="0.25">
      <c r="A76" s="24"/>
      <c r="B76" s="24"/>
      <c r="C76" s="2" t="s">
        <v>905</v>
      </c>
      <c r="D76" s="14" t="s">
        <v>894</v>
      </c>
      <c r="E76" s="14" t="s">
        <v>895</v>
      </c>
    </row>
    <row r="77" spans="1:5" s="115" customFormat="1" ht="14.45" customHeight="1" x14ac:dyDescent="0.25">
      <c r="A77" s="2"/>
      <c r="B77" s="2"/>
      <c r="C77" s="2" t="s">
        <v>913</v>
      </c>
      <c r="D77" s="14" t="s">
        <v>909</v>
      </c>
      <c r="E77" s="14" t="s">
        <v>896</v>
      </c>
    </row>
    <row r="78" spans="1:5" ht="14.45" customHeight="1" x14ac:dyDescent="0.25">
      <c r="C78" s="2" t="s">
        <v>912</v>
      </c>
      <c r="D78" s="14" t="s">
        <v>909</v>
      </c>
      <c r="E78" s="14" t="s">
        <v>896</v>
      </c>
    </row>
    <row r="79" spans="1:5" ht="14.45" customHeight="1" x14ac:dyDescent="0.25">
      <c r="C79" s="2" t="s">
        <v>911</v>
      </c>
      <c r="D79" s="14" t="s">
        <v>909</v>
      </c>
      <c r="E79" s="14" t="s">
        <v>896</v>
      </c>
    </row>
    <row r="80" spans="1:5" ht="14.45" customHeight="1" x14ac:dyDescent="0.25">
      <c r="C80" s="2" t="s">
        <v>910</v>
      </c>
      <c r="D80" s="14" t="s">
        <v>909</v>
      </c>
      <c r="E80" s="14" t="s">
        <v>896</v>
      </c>
    </row>
    <row r="81" spans="1:5" ht="14.45" customHeight="1" x14ac:dyDescent="0.25">
      <c r="A81" s="18" t="s">
        <v>919</v>
      </c>
      <c r="B81" s="1" t="s">
        <v>918</v>
      </c>
      <c r="C81" s="1" t="s">
        <v>874</v>
      </c>
      <c r="D81" s="14" t="s">
        <v>880</v>
      </c>
      <c r="E81" s="14" t="s">
        <v>761</v>
      </c>
    </row>
    <row r="82" spans="1:5" ht="14.45" customHeight="1" x14ac:dyDescent="0.25">
      <c r="A82" s="1"/>
      <c r="B82" s="1" t="s">
        <v>918</v>
      </c>
      <c r="C82" s="1" t="s">
        <v>873</v>
      </c>
      <c r="D82" s="14" t="s">
        <v>880</v>
      </c>
      <c r="E82" s="14" t="s">
        <v>761</v>
      </c>
    </row>
    <row r="83" spans="1:5" ht="14.45" customHeight="1" x14ac:dyDescent="0.25">
      <c r="A83" s="1"/>
      <c r="B83" s="1" t="s">
        <v>918</v>
      </c>
      <c r="C83" s="1" t="s">
        <v>875</v>
      </c>
      <c r="D83" s="14" t="s">
        <v>880</v>
      </c>
      <c r="E83" s="14" t="s">
        <v>761</v>
      </c>
    </row>
    <row r="84" spans="1:5" ht="14.45" customHeight="1" x14ac:dyDescent="0.25">
      <c r="A84" s="1"/>
      <c r="B84" s="1" t="s">
        <v>918</v>
      </c>
      <c r="C84" s="1" t="s">
        <v>876</v>
      </c>
      <c r="D84" s="14" t="s">
        <v>880</v>
      </c>
      <c r="E84" s="14" t="s">
        <v>761</v>
      </c>
    </row>
    <row r="85" spans="1:5" ht="14.45" customHeight="1" x14ac:dyDescent="0.25">
      <c r="A85" s="1"/>
      <c r="B85" s="1" t="s">
        <v>918</v>
      </c>
      <c r="C85" s="1" t="s">
        <v>747</v>
      </c>
      <c r="D85" s="14" t="s">
        <v>880</v>
      </c>
      <c r="E85" s="14" t="s">
        <v>761</v>
      </c>
    </row>
    <row r="86" spans="1:5" s="54" customFormat="1" ht="14.45" customHeight="1" x14ac:dyDescent="0.25">
      <c r="B86" s="54" t="s">
        <v>918</v>
      </c>
      <c r="C86" s="54" t="s">
        <v>817</v>
      </c>
      <c r="D86" s="74" t="s">
        <v>816</v>
      </c>
      <c r="E86" s="74" t="s">
        <v>750</v>
      </c>
    </row>
    <row r="87" spans="1:5" ht="14.45" customHeight="1" x14ac:dyDescent="0.25">
      <c r="A87" s="1"/>
      <c r="B87" s="1" t="s">
        <v>918</v>
      </c>
      <c r="C87" s="1" t="s">
        <v>818</v>
      </c>
      <c r="D87" s="22" t="s">
        <v>816</v>
      </c>
      <c r="E87" s="22" t="s">
        <v>750</v>
      </c>
    </row>
    <row r="88" spans="1:5" s="54" customFormat="1" ht="14.45" customHeight="1" x14ac:dyDescent="0.25">
      <c r="B88" s="54" t="s">
        <v>918</v>
      </c>
      <c r="C88" s="54" t="s">
        <v>819</v>
      </c>
      <c r="D88" s="74" t="s">
        <v>816</v>
      </c>
      <c r="E88" s="74" t="s">
        <v>750</v>
      </c>
    </row>
    <row r="89" spans="1:5" s="54" customFormat="1" ht="14.45" customHeight="1" x14ac:dyDescent="0.25">
      <c r="B89" s="54" t="s">
        <v>918</v>
      </c>
      <c r="C89" s="54" t="s">
        <v>820</v>
      </c>
      <c r="D89" s="74" t="s">
        <v>816</v>
      </c>
      <c r="E89" s="74" t="s">
        <v>750</v>
      </c>
    </row>
    <row r="90" spans="1:5" ht="14.45" customHeight="1" x14ac:dyDescent="0.25">
      <c r="B90" s="122" t="s">
        <v>920</v>
      </c>
      <c r="C90" s="122" t="s">
        <v>815</v>
      </c>
      <c r="D90" s="129" t="s">
        <v>816</v>
      </c>
      <c r="E90" s="129" t="s">
        <v>750</v>
      </c>
    </row>
    <row r="91" spans="1:5" ht="14.45" customHeight="1" x14ac:dyDescent="0.25">
      <c r="B91" s="122" t="s">
        <v>920</v>
      </c>
      <c r="C91" s="122" t="s">
        <v>988</v>
      </c>
      <c r="D91" s="129" t="s">
        <v>816</v>
      </c>
      <c r="E91" s="129" t="s">
        <v>750</v>
      </c>
    </row>
    <row r="92" spans="1:5" ht="14.45" customHeight="1" x14ac:dyDescent="0.25">
      <c r="A92" s="1"/>
      <c r="B92" s="1" t="s">
        <v>918</v>
      </c>
      <c r="C92" s="2" t="s">
        <v>869</v>
      </c>
      <c r="D92" s="22" t="s">
        <v>868</v>
      </c>
      <c r="E92" s="22" t="s">
        <v>866</v>
      </c>
    </row>
    <row r="93" spans="1:5" ht="14.45" customHeight="1" x14ac:dyDescent="0.25">
      <c r="A93" s="1"/>
      <c r="B93" s="1" t="s">
        <v>918</v>
      </c>
      <c r="C93" s="2" t="s">
        <v>870</v>
      </c>
      <c r="D93" s="22" t="s">
        <v>868</v>
      </c>
      <c r="E93" s="22" t="s">
        <v>866</v>
      </c>
    </row>
    <row r="94" spans="1:5" ht="14.45" customHeight="1" x14ac:dyDescent="0.25">
      <c r="A94" s="1"/>
      <c r="B94" s="1" t="s">
        <v>918</v>
      </c>
      <c r="C94" s="2" t="s">
        <v>871</v>
      </c>
      <c r="D94" s="22" t="s">
        <v>868</v>
      </c>
      <c r="E94" s="22" t="s">
        <v>866</v>
      </c>
    </row>
    <row r="95" spans="1:5" ht="14.45" customHeight="1" x14ac:dyDescent="0.25">
      <c r="B95" s="2" t="s">
        <v>920</v>
      </c>
      <c r="C95" s="2" t="s">
        <v>867</v>
      </c>
      <c r="D95" s="22" t="s">
        <v>868</v>
      </c>
      <c r="E95" s="22" t="s">
        <v>866</v>
      </c>
    </row>
    <row r="96" spans="1:5" ht="14.45" customHeight="1" x14ac:dyDescent="0.25">
      <c r="A96" s="1"/>
      <c r="B96" s="1" t="s">
        <v>918</v>
      </c>
      <c r="C96" s="2" t="s">
        <v>881</v>
      </c>
      <c r="D96" s="22" t="s">
        <v>879</v>
      </c>
      <c r="E96" s="22" t="s">
        <v>872</v>
      </c>
    </row>
    <row r="97" spans="1:5" ht="14.45" customHeight="1" x14ac:dyDescent="0.25">
      <c r="A97" s="1"/>
      <c r="B97" s="1" t="s">
        <v>918</v>
      </c>
      <c r="C97" s="2" t="s">
        <v>882</v>
      </c>
      <c r="D97" s="22" t="s">
        <v>879</v>
      </c>
      <c r="E97" s="22" t="s">
        <v>872</v>
      </c>
    </row>
    <row r="98" spans="1:5" ht="14.45" customHeight="1" x14ac:dyDescent="0.25">
      <c r="A98" s="1"/>
      <c r="B98" s="1" t="s">
        <v>918</v>
      </c>
      <c r="C98" s="2" t="s">
        <v>883</v>
      </c>
      <c r="D98" s="22" t="s">
        <v>879</v>
      </c>
      <c r="E98" s="22" t="s">
        <v>872</v>
      </c>
    </row>
    <row r="99" spans="1:5" ht="14.45" customHeight="1" x14ac:dyDescent="0.25">
      <c r="A99" s="1"/>
      <c r="B99" s="1" t="s">
        <v>918</v>
      </c>
      <c r="C99" s="2" t="s">
        <v>884</v>
      </c>
      <c r="D99" s="22" t="s">
        <v>879</v>
      </c>
      <c r="E99" s="22" t="s">
        <v>872</v>
      </c>
    </row>
    <row r="100" spans="1:5" ht="14.45" customHeight="1" x14ac:dyDescent="0.25">
      <c r="A100" s="1"/>
      <c r="B100" s="1" t="s">
        <v>918</v>
      </c>
      <c r="C100" s="2" t="s">
        <v>885</v>
      </c>
      <c r="D100" s="22" t="s">
        <v>878</v>
      </c>
      <c r="E100" s="14" t="s">
        <v>877</v>
      </c>
    </row>
    <row r="101" spans="1:5" ht="14.45" customHeight="1" x14ac:dyDescent="0.25">
      <c r="B101" s="1" t="s">
        <v>918</v>
      </c>
      <c r="C101" s="2" t="s">
        <v>886</v>
      </c>
      <c r="D101" s="22" t="s">
        <v>878</v>
      </c>
      <c r="E101" s="14" t="s">
        <v>877</v>
      </c>
    </row>
    <row r="102" spans="1:5" ht="14.45" customHeight="1" x14ac:dyDescent="0.25">
      <c r="B102" s="1" t="s">
        <v>918</v>
      </c>
      <c r="C102" s="2" t="s">
        <v>887</v>
      </c>
      <c r="D102" s="22" t="s">
        <v>878</v>
      </c>
      <c r="E102" s="14" t="s">
        <v>877</v>
      </c>
    </row>
    <row r="103" spans="1:5" ht="14.45" customHeight="1" x14ac:dyDescent="0.25">
      <c r="B103" s="1" t="s">
        <v>918</v>
      </c>
      <c r="C103" s="2" t="s">
        <v>888</v>
      </c>
      <c r="D103" s="22" t="s">
        <v>878</v>
      </c>
      <c r="E103" s="14" t="s">
        <v>877</v>
      </c>
    </row>
    <row r="104" spans="1:5" ht="14.45" customHeight="1" x14ac:dyDescent="0.25">
      <c r="B104" s="1" t="s">
        <v>918</v>
      </c>
      <c r="C104" s="2" t="s">
        <v>890</v>
      </c>
      <c r="D104" s="22" t="s">
        <v>878</v>
      </c>
      <c r="E104" s="14" t="s">
        <v>877</v>
      </c>
    </row>
    <row r="105" spans="1:5" ht="14.45" customHeight="1" x14ac:dyDescent="0.25">
      <c r="B105" s="2" t="s">
        <v>920</v>
      </c>
      <c r="C105" s="2" t="s">
        <v>889</v>
      </c>
      <c r="D105" s="22" t="s">
        <v>878</v>
      </c>
      <c r="E105" s="14" t="s">
        <v>877</v>
      </c>
    </row>
    <row r="106" spans="1:5" ht="14.45" customHeight="1" x14ac:dyDescent="0.25">
      <c r="A106" s="1"/>
      <c r="B106" s="1" t="s">
        <v>918</v>
      </c>
      <c r="C106" s="1" t="s">
        <v>874</v>
      </c>
      <c r="D106" s="14" t="s">
        <v>891</v>
      </c>
      <c r="E106" s="14" t="s">
        <v>796</v>
      </c>
    </row>
    <row r="107" spans="1:5" ht="14.45" customHeight="1" x14ac:dyDescent="0.25">
      <c r="B107" s="1" t="s">
        <v>918</v>
      </c>
      <c r="C107" s="2" t="s">
        <v>892</v>
      </c>
      <c r="D107" s="14" t="s">
        <v>891</v>
      </c>
      <c r="E107" s="14" t="s">
        <v>796</v>
      </c>
    </row>
    <row r="108" spans="1:5" ht="14.45" customHeight="1" x14ac:dyDescent="0.25">
      <c r="B108" s="1" t="s">
        <v>918</v>
      </c>
      <c r="C108" s="2" t="s">
        <v>893</v>
      </c>
      <c r="D108" s="14" t="s">
        <v>891</v>
      </c>
      <c r="E108" s="14" t="s">
        <v>796</v>
      </c>
    </row>
    <row r="109" spans="1:5" ht="14.45" customHeight="1" x14ac:dyDescent="0.25">
      <c r="A109" s="18"/>
      <c r="B109" s="1" t="s">
        <v>918</v>
      </c>
      <c r="C109" s="2" t="s">
        <v>897</v>
      </c>
      <c r="D109" s="14" t="s">
        <v>894</v>
      </c>
      <c r="E109" s="14" t="s">
        <v>895</v>
      </c>
    </row>
    <row r="110" spans="1:5" ht="14.45" customHeight="1" x14ac:dyDescent="0.25">
      <c r="A110" s="24"/>
      <c r="B110" s="1" t="s">
        <v>918</v>
      </c>
      <c r="C110" s="2" t="s">
        <v>898</v>
      </c>
      <c r="D110" s="14" t="s">
        <v>894</v>
      </c>
      <c r="E110" s="14" t="s">
        <v>895</v>
      </c>
    </row>
    <row r="111" spans="1:5" ht="14.45" customHeight="1" x14ac:dyDescent="0.25">
      <c r="A111" s="24"/>
      <c r="B111" s="1" t="s">
        <v>918</v>
      </c>
      <c r="C111" s="2" t="s">
        <v>899</v>
      </c>
      <c r="D111" s="14" t="s">
        <v>894</v>
      </c>
      <c r="E111" s="14" t="s">
        <v>895</v>
      </c>
    </row>
    <row r="112" spans="1:5" s="54" customFormat="1" ht="14.45" customHeight="1" x14ac:dyDescent="0.25">
      <c r="A112" s="70" t="s">
        <v>143</v>
      </c>
      <c r="B112" s="54" t="s">
        <v>986</v>
      </c>
      <c r="C112" s="54" t="s">
        <v>827</v>
      </c>
      <c r="D112" s="74" t="s">
        <v>830</v>
      </c>
      <c r="E112" s="74" t="s">
        <v>750</v>
      </c>
    </row>
    <row r="113" spans="1:5" s="155" customFormat="1" ht="14.45" customHeight="1" x14ac:dyDescent="0.25">
      <c r="A113" s="54"/>
      <c r="B113" s="54" t="s">
        <v>986</v>
      </c>
      <c r="C113" s="54" t="s">
        <v>828</v>
      </c>
      <c r="D113" s="74" t="s">
        <v>830</v>
      </c>
      <c r="E113" s="74" t="s">
        <v>750</v>
      </c>
    </row>
    <row r="114" spans="1:5" s="155" customFormat="1" ht="14.45" customHeight="1" x14ac:dyDescent="0.25">
      <c r="A114" s="54"/>
      <c r="B114" s="54" t="s">
        <v>986</v>
      </c>
      <c r="C114" s="54" t="s">
        <v>829</v>
      </c>
      <c r="D114" s="74" t="s">
        <v>830</v>
      </c>
      <c r="E114" s="74" t="s">
        <v>750</v>
      </c>
    </row>
    <row r="115" spans="1:5" ht="14.45" customHeight="1" x14ac:dyDescent="0.25">
      <c r="A115" s="24" t="s">
        <v>943</v>
      </c>
      <c r="B115" s="24"/>
      <c r="C115" s="2" t="s">
        <v>841</v>
      </c>
      <c r="D115" s="14" t="s">
        <v>846</v>
      </c>
      <c r="E115" s="14" t="s">
        <v>840</v>
      </c>
    </row>
    <row r="116" spans="1:5" ht="14.45" customHeight="1" x14ac:dyDescent="0.25">
      <c r="B116" s="24"/>
      <c r="C116" s="2" t="s">
        <v>838</v>
      </c>
      <c r="D116" s="14" t="s">
        <v>846</v>
      </c>
      <c r="E116" s="14" t="s">
        <v>840</v>
      </c>
    </row>
    <row r="117" spans="1:5" s="115" customFormat="1" ht="14.45" customHeight="1" x14ac:dyDescent="0.25">
      <c r="A117" s="2"/>
      <c r="B117" s="24"/>
      <c r="C117" s="2" t="s">
        <v>839</v>
      </c>
      <c r="D117" s="14" t="s">
        <v>846</v>
      </c>
      <c r="E117" s="14" t="s">
        <v>840</v>
      </c>
    </row>
    <row r="118" spans="1:5" s="115" customFormat="1" ht="14.45" customHeight="1" x14ac:dyDescent="0.25">
      <c r="A118" s="2"/>
      <c r="B118" s="2"/>
      <c r="C118" s="2" t="s">
        <v>852</v>
      </c>
      <c r="D118" s="14" t="s">
        <v>847</v>
      </c>
      <c r="E118" s="14" t="s">
        <v>848</v>
      </c>
    </row>
    <row r="119" spans="1:5" s="115" customFormat="1" ht="14.45" customHeight="1" x14ac:dyDescent="0.25">
      <c r="A119" s="49"/>
      <c r="B119" s="120"/>
      <c r="C119" s="120" t="s">
        <v>849</v>
      </c>
      <c r="D119" s="14" t="s">
        <v>847</v>
      </c>
      <c r="E119" s="14" t="s">
        <v>848</v>
      </c>
    </row>
    <row r="120" spans="1:5" s="115" customFormat="1" ht="14.45" customHeight="1" x14ac:dyDescent="0.25">
      <c r="A120" s="49"/>
      <c r="B120" s="2"/>
      <c r="C120" s="2" t="s">
        <v>850</v>
      </c>
      <c r="D120" s="14" t="s">
        <v>847</v>
      </c>
      <c r="E120" s="14" t="s">
        <v>848</v>
      </c>
    </row>
    <row r="121" spans="1:5" s="115" customFormat="1" ht="14.45" customHeight="1" x14ac:dyDescent="0.25">
      <c r="A121" s="2"/>
      <c r="B121" s="2"/>
      <c r="C121" s="2" t="s">
        <v>851</v>
      </c>
      <c r="D121" s="14" t="s">
        <v>847</v>
      </c>
      <c r="E121" s="14" t="s">
        <v>848</v>
      </c>
    </row>
    <row r="122" spans="1:5" s="115" customFormat="1" ht="14.45" customHeight="1" x14ac:dyDescent="0.25">
      <c r="A122" s="2"/>
      <c r="B122" s="2"/>
      <c r="C122" s="2" t="s">
        <v>855</v>
      </c>
      <c r="D122" s="22" t="s">
        <v>853</v>
      </c>
      <c r="E122" s="22" t="s">
        <v>854</v>
      </c>
    </row>
    <row r="123" spans="1:5" s="115" customFormat="1" ht="14.45" customHeight="1" x14ac:dyDescent="0.25">
      <c r="A123" s="2"/>
      <c r="B123" s="2"/>
      <c r="C123" s="2" t="s">
        <v>856</v>
      </c>
      <c r="D123" s="22" t="s">
        <v>853</v>
      </c>
      <c r="E123" s="22" t="s">
        <v>854</v>
      </c>
    </row>
    <row r="124" spans="1:5" s="115" customFormat="1" ht="14.45" customHeight="1" x14ac:dyDescent="0.25">
      <c r="A124" s="2"/>
      <c r="B124" s="2"/>
      <c r="C124" s="2" t="s">
        <v>857</v>
      </c>
      <c r="D124" s="22" t="s">
        <v>853</v>
      </c>
      <c r="E124" s="22" t="s">
        <v>854</v>
      </c>
    </row>
    <row r="125" spans="1:5" s="115" customFormat="1" ht="14.45" customHeight="1" x14ac:dyDescent="0.25">
      <c r="A125" s="2"/>
      <c r="B125" s="2"/>
      <c r="C125" s="2" t="s">
        <v>858</v>
      </c>
      <c r="D125" s="22" t="s">
        <v>853</v>
      </c>
      <c r="E125" s="22" t="s">
        <v>854</v>
      </c>
    </row>
    <row r="126" spans="1:5" s="115" customFormat="1" ht="14.45" customHeight="1" x14ac:dyDescent="0.25">
      <c r="A126" s="2"/>
      <c r="B126" s="2"/>
      <c r="C126" s="2" t="s">
        <v>865</v>
      </c>
      <c r="D126" s="22" t="s">
        <v>859</v>
      </c>
      <c r="E126" s="22" t="s">
        <v>860</v>
      </c>
    </row>
    <row r="127" spans="1:5" s="115" customFormat="1" ht="14.45" customHeight="1" x14ac:dyDescent="0.25">
      <c r="A127" s="2"/>
      <c r="B127" s="2"/>
      <c r="C127" s="2" t="s">
        <v>861</v>
      </c>
      <c r="D127" s="22" t="s">
        <v>859</v>
      </c>
      <c r="E127" s="22" t="s">
        <v>860</v>
      </c>
    </row>
    <row r="128" spans="1:5" s="115" customFormat="1" ht="14.45" customHeight="1" x14ac:dyDescent="0.25">
      <c r="A128" s="2"/>
      <c r="B128" s="2"/>
      <c r="C128" s="2" t="s">
        <v>862</v>
      </c>
      <c r="D128" s="22" t="s">
        <v>859</v>
      </c>
      <c r="E128" s="22" t="s">
        <v>860</v>
      </c>
    </row>
    <row r="129" spans="1:5" s="115" customFormat="1" ht="14.45" customHeight="1" x14ac:dyDescent="0.25">
      <c r="A129" s="2"/>
      <c r="B129" s="2"/>
      <c r="C129" s="2" t="s">
        <v>863</v>
      </c>
      <c r="D129" s="22" t="s">
        <v>859</v>
      </c>
      <c r="E129" s="22" t="s">
        <v>860</v>
      </c>
    </row>
    <row r="130" spans="1:5" s="115" customFormat="1" ht="14.45" customHeight="1" x14ac:dyDescent="0.25">
      <c r="A130" s="2"/>
      <c r="B130" s="2"/>
      <c r="C130" s="2" t="s">
        <v>864</v>
      </c>
      <c r="D130" s="22" t="s">
        <v>859</v>
      </c>
      <c r="E130" s="22" t="s">
        <v>860</v>
      </c>
    </row>
    <row r="131" spans="1:5" s="115" customFormat="1" ht="14.45" customHeight="1" x14ac:dyDescent="0.25">
      <c r="A131" s="2"/>
      <c r="B131" s="2"/>
      <c r="C131" s="2" t="s">
        <v>935</v>
      </c>
      <c r="D131" s="22" t="s">
        <v>934</v>
      </c>
      <c r="E131" s="2" t="s">
        <v>933</v>
      </c>
    </row>
    <row r="132" spans="1:5" s="115" customFormat="1" ht="14.45" customHeight="1" x14ac:dyDescent="0.25">
      <c r="A132" s="2"/>
      <c r="B132" s="2"/>
      <c r="C132" s="2" t="s">
        <v>936</v>
      </c>
      <c r="D132" s="22" t="s">
        <v>934</v>
      </c>
      <c r="E132" s="2" t="s">
        <v>933</v>
      </c>
    </row>
    <row r="133" spans="1:5" s="115" customFormat="1" ht="14.45" customHeight="1" x14ac:dyDescent="0.25">
      <c r="A133" s="2"/>
      <c r="B133" s="2"/>
      <c r="C133" s="2" t="s">
        <v>937</v>
      </c>
      <c r="D133" s="22" t="s">
        <v>934</v>
      </c>
      <c r="E133" s="2" t="s">
        <v>933</v>
      </c>
    </row>
    <row r="134" spans="1:5" s="115" customFormat="1" ht="14.45" customHeight="1" x14ac:dyDescent="0.25">
      <c r="A134" s="2"/>
      <c r="B134" s="2"/>
      <c r="C134" s="2" t="s">
        <v>938</v>
      </c>
      <c r="D134" s="22" t="s">
        <v>934</v>
      </c>
      <c r="E134" s="2" t="s">
        <v>933</v>
      </c>
    </row>
    <row r="135" spans="1:5" s="115" customFormat="1" ht="14.45" customHeight="1" x14ac:dyDescent="0.25">
      <c r="A135" s="2"/>
      <c r="B135" s="2"/>
      <c r="C135" s="2" t="s">
        <v>939</v>
      </c>
      <c r="D135" s="22" t="s">
        <v>934</v>
      </c>
      <c r="E135" s="2" t="s">
        <v>933</v>
      </c>
    </row>
    <row r="136" spans="1:5" ht="14.45" customHeight="1" x14ac:dyDescent="0.25">
      <c r="A136" s="24" t="s">
        <v>916</v>
      </c>
      <c r="B136" s="24"/>
      <c r="C136" s="2" t="s">
        <v>842</v>
      </c>
      <c r="D136" s="14" t="s">
        <v>846</v>
      </c>
      <c r="E136" s="14" t="s">
        <v>840</v>
      </c>
    </row>
    <row r="137" spans="1:5" ht="14.45" customHeight="1" x14ac:dyDescent="0.25">
      <c r="B137" s="24"/>
      <c r="C137" s="2" t="s">
        <v>843</v>
      </c>
      <c r="D137" s="14" t="s">
        <v>846</v>
      </c>
      <c r="E137" s="14" t="s">
        <v>840</v>
      </c>
    </row>
    <row r="138" spans="1:5" s="115" customFormat="1" ht="14.45" customHeight="1" x14ac:dyDescent="0.25">
      <c r="A138" s="2"/>
      <c r="B138" s="24"/>
      <c r="C138" s="2" t="s">
        <v>844</v>
      </c>
      <c r="D138" s="14" t="s">
        <v>846</v>
      </c>
      <c r="E138" s="14" t="s">
        <v>840</v>
      </c>
    </row>
    <row r="139" spans="1:5" s="115" customFormat="1" ht="14.45" customHeight="1" x14ac:dyDescent="0.25">
      <c r="A139" s="2"/>
      <c r="B139" s="24"/>
      <c r="C139" s="2" t="s">
        <v>845</v>
      </c>
      <c r="D139" s="14" t="s">
        <v>846</v>
      </c>
      <c r="E139" s="14" t="s">
        <v>840</v>
      </c>
    </row>
  </sheetData>
  <pageMargins left="0.7" right="0.7" top="0.78740157499999996" bottom="0.78740157499999996"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107"/>
  <sheetViews>
    <sheetView zoomScale="75" zoomScaleNormal="75" workbookViewId="0">
      <pane xSplit="4" ySplit="1" topLeftCell="E2" activePane="bottomRight" state="frozen"/>
      <selection pane="topRight" activeCell="E1" sqref="E1"/>
      <selection pane="bottomLeft" activeCell="A2" sqref="A2"/>
      <selection pane="bottomRight" activeCell="N2" sqref="N2"/>
    </sheetView>
  </sheetViews>
  <sheetFormatPr defaultColWidth="9" defaultRowHeight="15" x14ac:dyDescent="0.25"/>
  <cols>
    <col min="1" max="1" width="65.75" style="2" customWidth="1"/>
    <col min="2" max="2" width="12.25" style="2" customWidth="1"/>
    <col min="3" max="3" width="68.625" style="2" bestFit="1" customWidth="1"/>
    <col min="4" max="4" width="14.625" style="2" bestFit="1" customWidth="1"/>
    <col min="5" max="5" width="21.125" style="2" customWidth="1"/>
    <col min="6" max="6" width="50" style="2" bestFit="1" customWidth="1"/>
    <col min="7" max="7" width="21.125" style="2" bestFit="1" customWidth="1"/>
    <col min="8" max="8" width="21.125" style="2" customWidth="1"/>
    <col min="9" max="9" width="50" style="2" customWidth="1"/>
    <col min="10" max="11" width="21.125" style="2" customWidth="1"/>
    <col min="12" max="12" width="50" style="2" customWidth="1"/>
    <col min="13" max="13" width="19" style="2" customWidth="1"/>
    <col min="14" max="14" width="44.375" style="2" customWidth="1"/>
    <col min="15" max="15" width="19" style="2" customWidth="1"/>
    <col min="16" max="16" width="44.375" style="2" customWidth="1"/>
    <col min="17" max="17" width="13" style="2" bestFit="1" customWidth="1"/>
    <col min="18" max="24" width="13" style="2" customWidth="1"/>
    <col min="25" max="25" width="44.375" style="2" customWidth="1"/>
    <col min="26" max="16384" width="9" style="2"/>
  </cols>
  <sheetData>
    <row r="1" spans="1:25" x14ac:dyDescent="0.25">
      <c r="A1" s="58" t="s">
        <v>0</v>
      </c>
      <c r="B1" s="58" t="s">
        <v>1</v>
      </c>
      <c r="C1" s="58" t="s">
        <v>728</v>
      </c>
      <c r="D1" s="58" t="s">
        <v>729</v>
      </c>
      <c r="E1" s="58" t="s">
        <v>941</v>
      </c>
      <c r="F1" s="24" t="s">
        <v>1017</v>
      </c>
      <c r="G1" s="121" t="s">
        <v>1095</v>
      </c>
      <c r="H1" s="121" t="s">
        <v>1096</v>
      </c>
      <c r="I1" s="24" t="s">
        <v>1097</v>
      </c>
      <c r="J1" s="121" t="s">
        <v>1093</v>
      </c>
      <c r="K1" s="121" t="s">
        <v>1094</v>
      </c>
      <c r="L1" s="24" t="s">
        <v>1098</v>
      </c>
      <c r="M1" s="58" t="s">
        <v>1010</v>
      </c>
      <c r="N1" s="58" t="s">
        <v>1011</v>
      </c>
      <c r="O1" s="58" t="s">
        <v>1012</v>
      </c>
      <c r="P1" s="58" t="s">
        <v>1013</v>
      </c>
      <c r="Q1" s="58" t="s">
        <v>1005</v>
      </c>
      <c r="R1" s="58" t="s">
        <v>1108</v>
      </c>
      <c r="S1" s="58" t="s">
        <v>1109</v>
      </c>
      <c r="T1" s="58" t="s">
        <v>1006</v>
      </c>
      <c r="U1" s="58" t="s">
        <v>1110</v>
      </c>
      <c r="V1" s="58" t="s">
        <v>1111</v>
      </c>
      <c r="W1" s="58" t="s">
        <v>1112</v>
      </c>
      <c r="X1" s="58" t="s">
        <v>1009</v>
      </c>
      <c r="Y1" s="58" t="s">
        <v>1007</v>
      </c>
    </row>
    <row r="2" spans="1:25" s="20" customFormat="1" ht="14.45" customHeight="1" x14ac:dyDescent="0.25">
      <c r="A2" s="2" t="s">
        <v>165</v>
      </c>
      <c r="B2" s="2" t="s">
        <v>164</v>
      </c>
      <c r="C2" s="2" t="s">
        <v>749</v>
      </c>
      <c r="D2" s="2" t="s">
        <v>730</v>
      </c>
      <c r="E2" s="40">
        <v>1</v>
      </c>
      <c r="F2" s="158" t="s">
        <v>1020</v>
      </c>
      <c r="G2" s="159">
        <v>0.78</v>
      </c>
      <c r="H2" s="159">
        <v>0.44</v>
      </c>
      <c r="I2" s="158" t="s">
        <v>1021</v>
      </c>
      <c r="J2" s="159">
        <v>0.89</v>
      </c>
      <c r="K2" s="159">
        <v>0.54</v>
      </c>
      <c r="L2" s="158" t="s">
        <v>1021</v>
      </c>
      <c r="M2" s="156">
        <v>9</v>
      </c>
      <c r="N2" s="158" t="s">
        <v>1003</v>
      </c>
      <c r="O2" s="163">
        <v>9</v>
      </c>
      <c r="P2" s="164" t="s">
        <v>1003</v>
      </c>
      <c r="Q2" s="179">
        <f>opex_sources!F73/opex_sources!F73</f>
        <v>1</v>
      </c>
      <c r="R2" s="423">
        <f>$Q2</f>
        <v>1</v>
      </c>
      <c r="S2" s="423">
        <f t="shared" ref="S2:X2" si="0">$Q2</f>
        <v>1</v>
      </c>
      <c r="T2" s="423">
        <f t="shared" si="0"/>
        <v>1</v>
      </c>
      <c r="U2" s="423">
        <f t="shared" si="0"/>
        <v>1</v>
      </c>
      <c r="V2" s="423">
        <f t="shared" si="0"/>
        <v>1</v>
      </c>
      <c r="W2" s="423">
        <f t="shared" si="0"/>
        <v>1</v>
      </c>
      <c r="X2" s="423">
        <f t="shared" si="0"/>
        <v>1</v>
      </c>
      <c r="Y2" s="2"/>
    </row>
    <row r="3" spans="1:25" s="20" customFormat="1" ht="14.45" customHeight="1" x14ac:dyDescent="0.25">
      <c r="A3" s="2"/>
      <c r="B3" s="2"/>
      <c r="C3" s="2" t="s">
        <v>763</v>
      </c>
      <c r="D3" s="2" t="s">
        <v>731</v>
      </c>
      <c r="E3" s="40">
        <v>0</v>
      </c>
      <c r="F3" s="158" t="s">
        <v>1020</v>
      </c>
      <c r="G3" s="159">
        <v>0.22</v>
      </c>
      <c r="H3" s="159">
        <v>0.36</v>
      </c>
      <c r="I3" s="158" t="s">
        <v>1021</v>
      </c>
      <c r="J3" s="159">
        <v>0.11</v>
      </c>
      <c r="K3" s="159">
        <v>0.46</v>
      </c>
      <c r="L3" s="158" t="s">
        <v>1021</v>
      </c>
      <c r="M3" s="156" t="s">
        <v>997</v>
      </c>
      <c r="N3" s="158" t="s">
        <v>894</v>
      </c>
      <c r="O3" s="163" t="s">
        <v>1014</v>
      </c>
      <c r="P3" s="164" t="s">
        <v>1015</v>
      </c>
      <c r="Q3" s="179">
        <f>opex_sources!F82/opex_sources!F73</f>
        <v>1.1813186813186813</v>
      </c>
      <c r="R3" s="423">
        <f t="shared" ref="R3:X4" si="1">$Q3</f>
        <v>1.1813186813186813</v>
      </c>
      <c r="S3" s="423">
        <f t="shared" si="1"/>
        <v>1.1813186813186813</v>
      </c>
      <c r="T3" s="423">
        <f t="shared" si="1"/>
        <v>1.1813186813186813</v>
      </c>
      <c r="U3" s="423">
        <f t="shared" si="1"/>
        <v>1.1813186813186813</v>
      </c>
      <c r="V3" s="423">
        <f t="shared" si="1"/>
        <v>1.1813186813186813</v>
      </c>
      <c r="W3" s="423">
        <f t="shared" si="1"/>
        <v>1.1813186813186813</v>
      </c>
      <c r="X3" s="423">
        <f t="shared" si="1"/>
        <v>1.1813186813186813</v>
      </c>
      <c r="Y3" s="2"/>
    </row>
    <row r="4" spans="1:25" s="20" customFormat="1" ht="14.45" customHeight="1" x14ac:dyDescent="0.25">
      <c r="A4" s="2"/>
      <c r="B4" s="2"/>
      <c r="C4" s="2" t="s">
        <v>773</v>
      </c>
      <c r="D4" s="2" t="s">
        <v>746</v>
      </c>
      <c r="E4" s="40">
        <v>0</v>
      </c>
      <c r="F4" s="158" t="s">
        <v>1020</v>
      </c>
      <c r="G4" s="159">
        <v>0</v>
      </c>
      <c r="H4" s="159">
        <v>0.2</v>
      </c>
      <c r="I4" s="158" t="s">
        <v>1021</v>
      </c>
      <c r="J4" s="159">
        <v>0</v>
      </c>
      <c r="K4" s="159">
        <v>0</v>
      </c>
      <c r="L4" s="158" t="s">
        <v>1021</v>
      </c>
      <c r="M4" s="156" t="s">
        <v>997</v>
      </c>
      <c r="N4" s="158" t="s">
        <v>894</v>
      </c>
      <c r="O4" s="163" t="s">
        <v>1001</v>
      </c>
      <c r="P4" s="164" t="s">
        <v>1016</v>
      </c>
      <c r="Q4" s="179">
        <f>opex_sources!F91/opex_sources!F73</f>
        <v>1.1025641025641026</v>
      </c>
      <c r="R4" s="423">
        <f t="shared" si="1"/>
        <v>1.1025641025641026</v>
      </c>
      <c r="S4" s="423">
        <f t="shared" si="1"/>
        <v>1.1025641025641026</v>
      </c>
      <c r="T4" s="423">
        <f t="shared" si="1"/>
        <v>1.1025641025641026</v>
      </c>
      <c r="U4" s="423">
        <f t="shared" si="1"/>
        <v>1.1025641025641026</v>
      </c>
      <c r="V4" s="423">
        <f t="shared" si="1"/>
        <v>1.1025641025641026</v>
      </c>
      <c r="W4" s="423">
        <f t="shared" si="1"/>
        <v>1.1025641025641026</v>
      </c>
      <c r="X4" s="423">
        <f t="shared" si="1"/>
        <v>1.1025641025641026</v>
      </c>
      <c r="Y4" s="2"/>
    </row>
    <row r="5" spans="1:25" s="29" customFormat="1" ht="14.45" customHeight="1" x14ac:dyDescent="0.25">
      <c r="A5" s="24"/>
      <c r="B5" s="24"/>
      <c r="C5" s="24" t="s">
        <v>1105</v>
      </c>
      <c r="D5" s="24"/>
      <c r="E5" s="384">
        <v>1</v>
      </c>
      <c r="F5" s="380"/>
      <c r="G5" s="386">
        <v>1</v>
      </c>
      <c r="H5" s="386">
        <v>1</v>
      </c>
      <c r="I5" s="380"/>
      <c r="J5" s="386">
        <v>1</v>
      </c>
      <c r="K5" s="386">
        <v>1</v>
      </c>
      <c r="L5" s="380"/>
      <c r="M5" s="381"/>
      <c r="N5" s="380"/>
      <c r="O5" s="381"/>
      <c r="P5" s="380"/>
      <c r="Q5" s="382"/>
      <c r="R5" s="382"/>
      <c r="S5" s="382"/>
      <c r="T5" s="382"/>
      <c r="U5" s="382"/>
      <c r="V5" s="382"/>
      <c r="W5" s="382"/>
      <c r="X5" s="382"/>
      <c r="Y5" s="24"/>
    </row>
    <row r="6" spans="1:25" s="20" customFormat="1" ht="14.45" customHeight="1" x14ac:dyDescent="0.25">
      <c r="A6" s="2" t="s">
        <v>167</v>
      </c>
      <c r="B6" s="2" t="s">
        <v>166</v>
      </c>
      <c r="C6" s="2" t="s">
        <v>757</v>
      </c>
      <c r="D6" s="2" t="s">
        <v>166</v>
      </c>
      <c r="E6" s="424"/>
      <c r="F6" s="158"/>
      <c r="G6" s="424"/>
      <c r="H6" s="424"/>
      <c r="I6" s="158"/>
      <c r="J6" s="424"/>
      <c r="K6" s="424"/>
      <c r="L6" s="158"/>
      <c r="M6" s="156"/>
      <c r="N6" s="158"/>
      <c r="O6" s="156"/>
      <c r="P6" s="158"/>
      <c r="Q6" s="179">
        <v>1</v>
      </c>
      <c r="R6" s="423">
        <f>$Q6</f>
        <v>1</v>
      </c>
      <c r="S6" s="423">
        <f t="shared" ref="S6:X6" si="2">$Q6</f>
        <v>1</v>
      </c>
      <c r="T6" s="423">
        <f t="shared" si="2"/>
        <v>1</v>
      </c>
      <c r="U6" s="423">
        <f t="shared" si="2"/>
        <v>1</v>
      </c>
      <c r="V6" s="423">
        <f t="shared" si="2"/>
        <v>1</v>
      </c>
      <c r="W6" s="423">
        <f t="shared" si="2"/>
        <v>1</v>
      </c>
      <c r="X6" s="423">
        <f t="shared" si="2"/>
        <v>1</v>
      </c>
      <c r="Y6" s="2"/>
    </row>
    <row r="7" spans="1:25" s="29" customFormat="1" ht="14.45" customHeight="1" x14ac:dyDescent="0.25">
      <c r="A7" s="24"/>
      <c r="B7" s="24"/>
      <c r="C7" s="24" t="s">
        <v>1101</v>
      </c>
      <c r="D7" s="24"/>
      <c r="E7" s="384">
        <v>1</v>
      </c>
      <c r="F7" s="380"/>
      <c r="G7" s="386">
        <v>1</v>
      </c>
      <c r="H7" s="386">
        <v>1</v>
      </c>
      <c r="I7" s="380"/>
      <c r="J7" s="379">
        <v>1</v>
      </c>
      <c r="K7" s="379">
        <v>1</v>
      </c>
      <c r="L7" s="380"/>
      <c r="M7" s="381"/>
      <c r="N7" s="380"/>
      <c r="O7" s="381"/>
      <c r="P7" s="380"/>
      <c r="Q7" s="382"/>
      <c r="R7" s="382"/>
      <c r="S7" s="382"/>
      <c r="T7" s="382"/>
      <c r="U7" s="382"/>
      <c r="V7" s="382"/>
      <c r="W7" s="382"/>
      <c r="X7" s="382"/>
      <c r="Y7" s="24"/>
    </row>
    <row r="8" spans="1:25" s="20" customFormat="1" ht="14.45" customHeight="1" x14ac:dyDescent="0.25">
      <c r="A8" s="2" t="s">
        <v>159</v>
      </c>
      <c r="B8" s="2" t="s">
        <v>158</v>
      </c>
      <c r="C8" s="2" t="s">
        <v>904</v>
      </c>
      <c r="D8" s="2" t="s">
        <v>735</v>
      </c>
      <c r="E8" s="161">
        <v>1</v>
      </c>
      <c r="F8" s="20" t="s">
        <v>1023</v>
      </c>
      <c r="G8" s="166">
        <f>$E8+(H8-$E8)/3</f>
        <v>0.66666666666666674</v>
      </c>
      <c r="H8" s="166">
        <v>0</v>
      </c>
      <c r="I8" s="20" t="s">
        <v>1024</v>
      </c>
      <c r="J8" s="166">
        <f>$E8+(K8-$E8)/3</f>
        <v>0.66666666666666674</v>
      </c>
      <c r="K8" s="166">
        <v>0</v>
      </c>
      <c r="L8" s="20" t="s">
        <v>1024</v>
      </c>
      <c r="M8" s="163">
        <v>9</v>
      </c>
      <c r="N8" s="164" t="s">
        <v>894</v>
      </c>
      <c r="O8" s="156"/>
      <c r="P8" s="158"/>
      <c r="Q8" s="179">
        <f>opex_sources!F125/opex_sources!F125</f>
        <v>1</v>
      </c>
      <c r="R8" s="423">
        <f>$Q8</f>
        <v>1</v>
      </c>
      <c r="S8" s="423">
        <f t="shared" ref="S8:X8" si="3">$Q8</f>
        <v>1</v>
      </c>
      <c r="T8" s="423">
        <f t="shared" si="3"/>
        <v>1</v>
      </c>
      <c r="U8" s="423">
        <f t="shared" si="3"/>
        <v>1</v>
      </c>
      <c r="V8" s="423">
        <f t="shared" si="3"/>
        <v>1</v>
      </c>
      <c r="W8" s="423">
        <f t="shared" si="3"/>
        <v>1</v>
      </c>
      <c r="X8" s="423">
        <f t="shared" si="3"/>
        <v>1</v>
      </c>
      <c r="Y8" s="2"/>
    </row>
    <row r="9" spans="1:25" s="20" customFormat="1" ht="14.45" customHeight="1" x14ac:dyDescent="0.25">
      <c r="A9" s="2"/>
      <c r="B9" s="2"/>
      <c r="C9" s="2" t="s">
        <v>1027</v>
      </c>
      <c r="D9" s="2" t="s">
        <v>736</v>
      </c>
      <c r="E9" s="162">
        <v>0</v>
      </c>
      <c r="F9" s="20" t="s">
        <v>1023</v>
      </c>
      <c r="G9" s="166">
        <f t="shared" ref="G9:G10" si="4">$E9+(H9-$E9)/3</f>
        <v>0.33333333333333331</v>
      </c>
      <c r="H9" s="166">
        <v>1</v>
      </c>
      <c r="I9" s="20" t="s">
        <v>1024</v>
      </c>
      <c r="J9" s="166">
        <f t="shared" ref="J9:J10" si="5">$E9+(K9-$E9)/3</f>
        <v>3.3333333333333333E-2</v>
      </c>
      <c r="K9" s="166">
        <v>0.1</v>
      </c>
      <c r="L9" s="20" t="s">
        <v>1024</v>
      </c>
      <c r="M9" s="163" t="s">
        <v>1001</v>
      </c>
      <c r="N9" s="165" t="s">
        <v>1002</v>
      </c>
      <c r="O9" s="156"/>
      <c r="P9" s="157"/>
      <c r="Q9" s="179">
        <f>opex_sources!F131/opex_sources!F125</f>
        <v>1.7254901960784315</v>
      </c>
      <c r="R9" s="423">
        <f t="shared" ref="R9:X10" si="6">$Q9</f>
        <v>1.7254901960784315</v>
      </c>
      <c r="S9" s="423">
        <f t="shared" si="6"/>
        <v>1.7254901960784315</v>
      </c>
      <c r="T9" s="423">
        <f t="shared" si="6"/>
        <v>1.7254901960784315</v>
      </c>
      <c r="U9" s="423">
        <f t="shared" si="6"/>
        <v>1.7254901960784315</v>
      </c>
      <c r="V9" s="423">
        <f t="shared" si="6"/>
        <v>1.7254901960784315</v>
      </c>
      <c r="W9" s="423">
        <f t="shared" si="6"/>
        <v>1.7254901960784315</v>
      </c>
      <c r="X9" s="423">
        <f t="shared" si="6"/>
        <v>1.7254901960784315</v>
      </c>
      <c r="Y9" s="2"/>
    </row>
    <row r="10" spans="1:25" s="20" customFormat="1" ht="14.45" customHeight="1" x14ac:dyDescent="0.25">
      <c r="A10" s="2"/>
      <c r="B10" s="2"/>
      <c r="C10" s="2" t="s">
        <v>742</v>
      </c>
      <c r="D10" s="2" t="s">
        <v>744</v>
      </c>
      <c r="E10" s="162">
        <v>0</v>
      </c>
      <c r="F10" s="20" t="s">
        <v>1023</v>
      </c>
      <c r="G10" s="166">
        <f t="shared" si="4"/>
        <v>0</v>
      </c>
      <c r="H10" s="166">
        <v>0</v>
      </c>
      <c r="I10" s="20" t="s">
        <v>1024</v>
      </c>
      <c r="J10" s="166">
        <f t="shared" si="5"/>
        <v>0.3</v>
      </c>
      <c r="K10" s="166">
        <v>0.9</v>
      </c>
      <c r="L10" s="20" t="s">
        <v>1024</v>
      </c>
      <c r="M10" s="163" t="s">
        <v>1001</v>
      </c>
      <c r="N10" s="165" t="s">
        <v>1002</v>
      </c>
      <c r="O10" s="156"/>
      <c r="P10" s="157"/>
      <c r="Q10" s="179">
        <f>opex_sources!F137/opex_sources!F125</f>
        <v>2.1372549019607843</v>
      </c>
      <c r="R10" s="423">
        <f t="shared" si="6"/>
        <v>2.1372549019607843</v>
      </c>
      <c r="S10" s="423">
        <f t="shared" si="6"/>
        <v>2.1372549019607843</v>
      </c>
      <c r="T10" s="423">
        <f t="shared" si="6"/>
        <v>2.1372549019607843</v>
      </c>
      <c r="U10" s="423">
        <f t="shared" si="6"/>
        <v>2.1372549019607843</v>
      </c>
      <c r="V10" s="423">
        <f t="shared" si="6"/>
        <v>2.1372549019607843</v>
      </c>
      <c r="W10" s="423">
        <f t="shared" si="6"/>
        <v>2.1372549019607843</v>
      </c>
      <c r="X10" s="423">
        <f t="shared" si="6"/>
        <v>2.1372549019607843</v>
      </c>
      <c r="Y10" s="2"/>
    </row>
    <row r="11" spans="1:25" s="29" customFormat="1" ht="14.45" customHeight="1" x14ac:dyDescent="0.25">
      <c r="A11" s="24"/>
      <c r="B11" s="24"/>
      <c r="C11" s="24" t="s">
        <v>1106</v>
      </c>
      <c r="D11" s="24"/>
      <c r="E11" s="385">
        <v>1</v>
      </c>
      <c r="G11" s="386">
        <v>1</v>
      </c>
      <c r="H11" s="386">
        <v>1</v>
      </c>
      <c r="J11" s="386">
        <v>1</v>
      </c>
      <c r="K11" s="386">
        <v>1</v>
      </c>
      <c r="M11" s="381"/>
      <c r="N11" s="383"/>
      <c r="O11" s="381"/>
      <c r="P11" s="383"/>
      <c r="Q11" s="382"/>
      <c r="R11" s="382"/>
      <c r="S11" s="382"/>
      <c r="T11" s="382"/>
      <c r="U11" s="382"/>
      <c r="V11" s="382"/>
      <c r="W11" s="382"/>
      <c r="X11" s="382"/>
      <c r="Y11" s="24"/>
    </row>
    <row r="12" spans="1:25" s="20" customFormat="1" ht="14.45" customHeight="1" x14ac:dyDescent="0.25">
      <c r="A12" s="2" t="s">
        <v>161</v>
      </c>
      <c r="B12" s="2" t="s">
        <v>160</v>
      </c>
      <c r="C12" s="2"/>
      <c r="D12" s="2" t="s">
        <v>160</v>
      </c>
      <c r="E12" s="426"/>
      <c r="G12" s="425"/>
      <c r="H12" s="425"/>
      <c r="J12" s="425"/>
      <c r="K12" s="425"/>
      <c r="M12" s="156"/>
      <c r="N12" s="157"/>
      <c r="O12" s="156"/>
      <c r="P12" s="157"/>
      <c r="Q12" s="179">
        <v>1</v>
      </c>
      <c r="R12" s="423">
        <f>$Q12</f>
        <v>1</v>
      </c>
      <c r="S12" s="423">
        <f t="shared" ref="S12:X12" si="7">$Q12</f>
        <v>1</v>
      </c>
      <c r="T12" s="423">
        <f t="shared" si="7"/>
        <v>1</v>
      </c>
      <c r="U12" s="423">
        <f t="shared" si="7"/>
        <v>1</v>
      </c>
      <c r="V12" s="423">
        <f t="shared" si="7"/>
        <v>1</v>
      </c>
      <c r="W12" s="423">
        <f t="shared" si="7"/>
        <v>1</v>
      </c>
      <c r="X12" s="423">
        <f t="shared" si="7"/>
        <v>1</v>
      </c>
      <c r="Y12" s="2"/>
    </row>
    <row r="13" spans="1:25" s="29" customFormat="1" ht="14.45" customHeight="1" x14ac:dyDescent="0.25">
      <c r="A13" s="24"/>
      <c r="B13" s="24"/>
      <c r="C13" s="24" t="s">
        <v>1102</v>
      </c>
      <c r="D13" s="24"/>
      <c r="E13" s="385">
        <v>1</v>
      </c>
      <c r="G13" s="386">
        <v>1</v>
      </c>
      <c r="H13" s="386">
        <v>1</v>
      </c>
      <c r="J13" s="386">
        <v>1</v>
      </c>
      <c r="K13" s="386">
        <v>1</v>
      </c>
      <c r="M13" s="381"/>
      <c r="N13" s="383"/>
      <c r="O13" s="381"/>
      <c r="P13" s="383"/>
      <c r="Q13" s="382"/>
      <c r="R13" s="382"/>
      <c r="S13" s="382"/>
      <c r="T13" s="382"/>
      <c r="U13" s="382"/>
      <c r="V13" s="382"/>
      <c r="W13" s="382"/>
      <c r="X13" s="382"/>
      <c r="Y13" s="24"/>
    </row>
    <row r="14" spans="1:25" ht="14.45" customHeight="1" x14ac:dyDescent="0.25">
      <c r="A14" s="1" t="s">
        <v>139</v>
      </c>
      <c r="B14" s="1" t="s">
        <v>138</v>
      </c>
      <c r="C14" s="2" t="s">
        <v>817</v>
      </c>
      <c r="D14" s="2" t="s">
        <v>737</v>
      </c>
      <c r="E14" s="40">
        <v>1</v>
      </c>
      <c r="F14" s="20" t="s">
        <v>1025</v>
      </c>
      <c r="G14" s="166">
        <f>(1-$G$15)*($E14+(H14-$E14)/3)</f>
        <v>0.63333333333333341</v>
      </c>
      <c r="H14" s="167">
        <v>0</v>
      </c>
      <c r="I14" s="20" t="s">
        <v>1025</v>
      </c>
      <c r="J14" s="166">
        <f>$E14+(K14-$E14)/3</f>
        <v>0.66666666666666674</v>
      </c>
      <c r="K14" s="167">
        <v>0</v>
      </c>
      <c r="L14" s="20" t="s">
        <v>1025</v>
      </c>
      <c r="M14" s="163">
        <v>9</v>
      </c>
      <c r="N14" s="164" t="s">
        <v>1003</v>
      </c>
      <c r="O14" s="156"/>
      <c r="P14" s="158"/>
      <c r="Q14" s="179">
        <f>opex_sources!F145/opex_sources!F145</f>
        <v>1</v>
      </c>
      <c r="R14" s="423">
        <f>$Q14</f>
        <v>1</v>
      </c>
      <c r="S14" s="423">
        <f t="shared" ref="S14:X14" si="8">$Q14</f>
        <v>1</v>
      </c>
      <c r="T14" s="423">
        <f t="shared" si="8"/>
        <v>1</v>
      </c>
      <c r="U14" s="423">
        <f t="shared" si="8"/>
        <v>1</v>
      </c>
      <c r="V14" s="423">
        <f t="shared" si="8"/>
        <v>1</v>
      </c>
      <c r="W14" s="423">
        <f t="shared" si="8"/>
        <v>1</v>
      </c>
      <c r="X14" s="423">
        <f t="shared" si="8"/>
        <v>1</v>
      </c>
    </row>
    <row r="15" spans="1:25" ht="14.45" customHeight="1" x14ac:dyDescent="0.25">
      <c r="A15" s="1"/>
      <c r="B15" s="1"/>
      <c r="C15" s="2" t="s">
        <v>1026</v>
      </c>
      <c r="D15" s="2" t="s">
        <v>738</v>
      </c>
      <c r="E15" s="40">
        <v>0</v>
      </c>
      <c r="F15" s="20" t="s">
        <v>1025</v>
      </c>
      <c r="G15" s="167">
        <v>0.05</v>
      </c>
      <c r="H15" s="167">
        <v>0</v>
      </c>
      <c r="I15" s="20" t="s">
        <v>1025</v>
      </c>
      <c r="J15" s="166">
        <f t="shared" ref="J15:J16" si="9">$E15+(K15-$E15)/3</f>
        <v>0.20333333333333334</v>
      </c>
      <c r="K15" s="167">
        <v>0.61</v>
      </c>
      <c r="L15" s="20" t="s">
        <v>1025</v>
      </c>
      <c r="M15" s="163" t="s">
        <v>999</v>
      </c>
      <c r="N15" s="164" t="s">
        <v>894</v>
      </c>
      <c r="O15" s="156"/>
      <c r="P15" s="158"/>
      <c r="Q15" s="179">
        <f>opex_sources!F153/opex_sources!F145</f>
        <v>1.3309178743961352</v>
      </c>
      <c r="R15" s="423">
        <f t="shared" ref="R15:X16" si="10">$Q15</f>
        <v>1.3309178743961352</v>
      </c>
      <c r="S15" s="423">
        <f t="shared" si="10"/>
        <v>1.3309178743961352</v>
      </c>
      <c r="T15" s="423">
        <f t="shared" si="10"/>
        <v>1.3309178743961352</v>
      </c>
      <c r="U15" s="423">
        <f t="shared" si="10"/>
        <v>1.3309178743961352</v>
      </c>
      <c r="V15" s="423">
        <f t="shared" si="10"/>
        <v>1.3309178743961352</v>
      </c>
      <c r="W15" s="423">
        <f t="shared" si="10"/>
        <v>1.3309178743961352</v>
      </c>
      <c r="X15" s="423">
        <f t="shared" si="10"/>
        <v>1.3309178743961352</v>
      </c>
    </row>
    <row r="16" spans="1:25" ht="14.45" customHeight="1" x14ac:dyDescent="0.25">
      <c r="A16" s="1"/>
      <c r="B16" s="1"/>
      <c r="C16" s="2" t="s">
        <v>820</v>
      </c>
      <c r="D16" s="2" t="s">
        <v>748</v>
      </c>
      <c r="E16" s="40">
        <v>0</v>
      </c>
      <c r="F16" s="20" t="s">
        <v>1025</v>
      </c>
      <c r="G16" s="166">
        <f>(1-$G$15)*($E16+(H16-$E16)/3)</f>
        <v>0.31666666666666665</v>
      </c>
      <c r="H16" s="167">
        <v>1</v>
      </c>
      <c r="I16" s="20" t="s">
        <v>1025</v>
      </c>
      <c r="J16" s="166">
        <f t="shared" si="9"/>
        <v>0.13</v>
      </c>
      <c r="K16" s="167">
        <v>0.39</v>
      </c>
      <c r="L16" s="20" t="s">
        <v>1025</v>
      </c>
      <c r="M16" s="163" t="s">
        <v>998</v>
      </c>
      <c r="N16" s="164" t="s">
        <v>894</v>
      </c>
      <c r="O16" s="156"/>
      <c r="P16" s="158"/>
      <c r="Q16" s="179">
        <f>opex_sources!F161/opex_sources!F145</f>
        <v>1.4669887278582932</v>
      </c>
      <c r="R16" s="423">
        <f t="shared" si="10"/>
        <v>1.4669887278582932</v>
      </c>
      <c r="S16" s="423">
        <f t="shared" si="10"/>
        <v>1.4669887278582932</v>
      </c>
      <c r="T16" s="423">
        <f t="shared" si="10"/>
        <v>1.4669887278582932</v>
      </c>
      <c r="U16" s="423">
        <f t="shared" si="10"/>
        <v>1.4669887278582932</v>
      </c>
      <c r="V16" s="423">
        <f t="shared" si="10"/>
        <v>1.4669887278582932</v>
      </c>
      <c r="W16" s="423">
        <f t="shared" si="10"/>
        <v>1.4669887278582932</v>
      </c>
      <c r="X16" s="423">
        <f t="shared" si="10"/>
        <v>1.4669887278582932</v>
      </c>
    </row>
    <row r="17" spans="1:25" s="24" customFormat="1" ht="14.45" customHeight="1" x14ac:dyDescent="0.25">
      <c r="A17" s="18"/>
      <c r="B17" s="18"/>
      <c r="C17" s="18" t="s">
        <v>1103</v>
      </c>
      <c r="E17" s="384">
        <v>1</v>
      </c>
      <c r="F17" s="29"/>
      <c r="G17" s="386">
        <v>1</v>
      </c>
      <c r="H17" s="386">
        <v>1</v>
      </c>
      <c r="I17" s="29"/>
      <c r="J17" s="386">
        <v>1</v>
      </c>
      <c r="K17" s="386">
        <v>1</v>
      </c>
      <c r="L17" s="29"/>
      <c r="M17" s="381"/>
      <c r="N17" s="380"/>
      <c r="O17" s="381"/>
      <c r="P17" s="380"/>
      <c r="Q17" s="382"/>
      <c r="R17" s="382"/>
      <c r="S17" s="382"/>
      <c r="T17" s="382"/>
      <c r="U17" s="382"/>
      <c r="V17" s="382"/>
      <c r="W17" s="382"/>
      <c r="X17" s="382"/>
    </row>
    <row r="18" spans="1:25" ht="14.45" customHeight="1" x14ac:dyDescent="0.25">
      <c r="A18" s="2" t="s">
        <v>141</v>
      </c>
      <c r="B18" s="2" t="s">
        <v>140</v>
      </c>
      <c r="C18" s="2" t="s">
        <v>1022</v>
      </c>
      <c r="D18" s="2" t="s">
        <v>140</v>
      </c>
      <c r="E18" s="424"/>
      <c r="F18" s="158"/>
      <c r="G18" s="424"/>
      <c r="H18" s="424"/>
      <c r="I18" s="158"/>
      <c r="J18" s="424"/>
      <c r="K18" s="424"/>
      <c r="L18" s="158"/>
      <c r="M18" s="156"/>
      <c r="N18" s="158"/>
      <c r="O18" s="156"/>
      <c r="P18" s="158"/>
      <c r="Q18" s="179">
        <v>1</v>
      </c>
      <c r="R18" s="423">
        <f>$Q18</f>
        <v>1</v>
      </c>
      <c r="S18" s="423">
        <f t="shared" ref="S18:X18" si="11">$Q18</f>
        <v>1</v>
      </c>
      <c r="T18" s="423">
        <f t="shared" si="11"/>
        <v>1</v>
      </c>
      <c r="U18" s="423">
        <f t="shared" si="11"/>
        <v>1</v>
      </c>
      <c r="V18" s="423">
        <f t="shared" si="11"/>
        <v>1</v>
      </c>
      <c r="W18" s="423">
        <f t="shared" si="11"/>
        <v>1</v>
      </c>
      <c r="X18" s="423">
        <f t="shared" si="11"/>
        <v>1</v>
      </c>
    </row>
    <row r="19" spans="1:25" s="24" customFormat="1" ht="14.45" customHeight="1" x14ac:dyDescent="0.25">
      <c r="C19" s="24" t="s">
        <v>1104</v>
      </c>
      <c r="E19" s="384">
        <v>1</v>
      </c>
      <c r="F19" s="380"/>
      <c r="G19" s="386">
        <v>1</v>
      </c>
      <c r="H19" s="386">
        <v>1</v>
      </c>
      <c r="I19" s="380"/>
      <c r="J19" s="386">
        <v>1</v>
      </c>
      <c r="K19" s="386">
        <v>1</v>
      </c>
      <c r="L19" s="380"/>
      <c r="M19" s="381"/>
      <c r="N19" s="380"/>
      <c r="O19" s="381"/>
      <c r="P19" s="380"/>
      <c r="Q19" s="382"/>
      <c r="R19" s="382"/>
      <c r="S19" s="382"/>
      <c r="T19" s="382"/>
      <c r="U19" s="382"/>
      <c r="V19" s="382"/>
      <c r="W19" s="382"/>
      <c r="X19" s="382"/>
    </row>
    <row r="20" spans="1:25" s="20" customFormat="1" ht="14.45" customHeight="1" x14ac:dyDescent="0.25">
      <c r="A20" s="2" t="s">
        <v>143</v>
      </c>
      <c r="B20" s="2" t="s">
        <v>142</v>
      </c>
      <c r="C20" s="2" t="s">
        <v>827</v>
      </c>
      <c r="D20" s="2" t="s">
        <v>739</v>
      </c>
      <c r="E20" s="40">
        <v>1</v>
      </c>
      <c r="F20" s="20" t="s">
        <v>1028</v>
      </c>
      <c r="G20" s="166">
        <f>$E20+(H20-$E20)/3</f>
        <v>0.66666666666666674</v>
      </c>
      <c r="H20" s="160">
        <v>0</v>
      </c>
      <c r="I20" s="20" t="s">
        <v>1028</v>
      </c>
      <c r="J20" s="166">
        <f>$E20+(K20-$E20)/3</f>
        <v>0.69</v>
      </c>
      <c r="K20" s="160">
        <v>7.0000000000000007E-2</v>
      </c>
      <c r="L20" s="20" t="s">
        <v>1028</v>
      </c>
      <c r="M20" s="163">
        <v>9</v>
      </c>
      <c r="N20" s="164" t="s">
        <v>1003</v>
      </c>
      <c r="O20" s="156"/>
      <c r="P20" s="158"/>
      <c r="Q20" s="179">
        <f>opex_sources!F167/opex_sources!F167</f>
        <v>1</v>
      </c>
      <c r="R20" s="423">
        <f>$Q20</f>
        <v>1</v>
      </c>
      <c r="S20" s="423">
        <f t="shared" ref="S20:X20" si="12">$Q20</f>
        <v>1</v>
      </c>
      <c r="T20" s="423">
        <f t="shared" si="12"/>
        <v>1</v>
      </c>
      <c r="U20" s="423">
        <f t="shared" si="12"/>
        <v>1</v>
      </c>
      <c r="V20" s="423">
        <f t="shared" si="12"/>
        <v>1</v>
      </c>
      <c r="W20" s="423">
        <f t="shared" si="12"/>
        <v>1</v>
      </c>
      <c r="X20" s="423">
        <f t="shared" si="12"/>
        <v>1</v>
      </c>
      <c r="Y20" s="2"/>
    </row>
    <row r="21" spans="1:25" s="20" customFormat="1" ht="14.45" customHeight="1" x14ac:dyDescent="0.25">
      <c r="A21" s="2"/>
      <c r="B21" s="2"/>
      <c r="C21" s="2" t="s">
        <v>828</v>
      </c>
      <c r="D21" s="2" t="s">
        <v>740</v>
      </c>
      <c r="E21" s="168">
        <v>0</v>
      </c>
      <c r="F21" s="20" t="s">
        <v>1028</v>
      </c>
      <c r="G21" s="166">
        <f t="shared" ref="G21:G22" si="13">$E21+(H21-$E21)/3</f>
        <v>0</v>
      </c>
      <c r="H21" s="160">
        <v>0</v>
      </c>
      <c r="I21" s="20" t="s">
        <v>1028</v>
      </c>
      <c r="J21" s="166">
        <f t="shared" ref="J21:J22" si="14">$E21+(K21-$E21)/3</f>
        <v>0.21</v>
      </c>
      <c r="K21" s="160">
        <v>0.63</v>
      </c>
      <c r="L21" s="20" t="s">
        <v>1028</v>
      </c>
      <c r="M21" s="163" t="s">
        <v>1000</v>
      </c>
      <c r="N21" s="165" t="s">
        <v>1008</v>
      </c>
      <c r="O21" s="156"/>
      <c r="P21" s="157"/>
      <c r="Q21" s="179">
        <f>opex_sources!F173/opex_sources!F167</f>
        <v>1.3229665071770336</v>
      </c>
      <c r="R21" s="423">
        <f t="shared" ref="R21:X22" si="15">$Q21</f>
        <v>1.3229665071770336</v>
      </c>
      <c r="S21" s="423">
        <f t="shared" si="15"/>
        <v>1.3229665071770336</v>
      </c>
      <c r="T21" s="423">
        <f t="shared" si="15"/>
        <v>1.3229665071770336</v>
      </c>
      <c r="U21" s="423">
        <f t="shared" si="15"/>
        <v>1.3229665071770336</v>
      </c>
      <c r="V21" s="423">
        <f t="shared" si="15"/>
        <v>1.3229665071770336</v>
      </c>
      <c r="W21" s="423">
        <f t="shared" si="15"/>
        <v>1.3229665071770336</v>
      </c>
      <c r="X21" s="423">
        <f t="shared" si="15"/>
        <v>1.3229665071770336</v>
      </c>
      <c r="Y21" s="2"/>
    </row>
    <row r="22" spans="1:25" s="20" customFormat="1" ht="14.45" customHeight="1" x14ac:dyDescent="0.25">
      <c r="A22" s="2"/>
      <c r="B22" s="2"/>
      <c r="C22" s="2" t="s">
        <v>829</v>
      </c>
      <c r="D22" s="2" t="s">
        <v>926</v>
      </c>
      <c r="E22" s="40">
        <v>0</v>
      </c>
      <c r="F22" s="20" t="s">
        <v>1028</v>
      </c>
      <c r="G22" s="166">
        <f t="shared" si="13"/>
        <v>0.33333333333333331</v>
      </c>
      <c r="H22" s="160">
        <v>1</v>
      </c>
      <c r="I22" s="20" t="s">
        <v>1028</v>
      </c>
      <c r="J22" s="166">
        <f t="shared" si="14"/>
        <v>9.9999999999999992E-2</v>
      </c>
      <c r="K22" s="160">
        <v>0.3</v>
      </c>
      <c r="L22" s="20" t="s">
        <v>1028</v>
      </c>
      <c r="M22" s="163" t="s">
        <v>999</v>
      </c>
      <c r="N22" s="164" t="s">
        <v>894</v>
      </c>
      <c r="O22" s="156"/>
      <c r="P22" s="158"/>
      <c r="Q22" s="179">
        <f>opex_sources!F179/opex_sources!F167</f>
        <v>1.7894736842105263</v>
      </c>
      <c r="R22" s="423">
        <f t="shared" si="15"/>
        <v>1.7894736842105263</v>
      </c>
      <c r="S22" s="423">
        <f t="shared" si="15"/>
        <v>1.7894736842105263</v>
      </c>
      <c r="T22" s="423">
        <f t="shared" si="15"/>
        <v>1.7894736842105263</v>
      </c>
      <c r="U22" s="423">
        <f t="shared" si="15"/>
        <v>1.7894736842105263</v>
      </c>
      <c r="V22" s="423">
        <f t="shared" si="15"/>
        <v>1.7894736842105263</v>
      </c>
      <c r="W22" s="423">
        <f t="shared" si="15"/>
        <v>1.7894736842105263</v>
      </c>
      <c r="X22" s="423">
        <f t="shared" si="15"/>
        <v>1.7894736842105263</v>
      </c>
      <c r="Y22" s="2"/>
    </row>
    <row r="23" spans="1:25" s="29" customFormat="1" ht="14.45" customHeight="1" x14ac:dyDescent="0.25">
      <c r="A23" s="24"/>
      <c r="B23" s="24"/>
      <c r="C23" s="24" t="s">
        <v>1099</v>
      </c>
      <c r="D23" s="24"/>
      <c r="E23" s="384">
        <v>1</v>
      </c>
      <c r="G23" s="386">
        <v>1</v>
      </c>
      <c r="H23" s="386">
        <v>1</v>
      </c>
      <c r="J23" s="386">
        <v>1</v>
      </c>
      <c r="K23" s="386">
        <v>1</v>
      </c>
      <c r="M23" s="381"/>
      <c r="N23" s="380"/>
      <c r="O23" s="381"/>
      <c r="P23" s="380"/>
      <c r="Q23" s="382"/>
      <c r="R23" s="382"/>
      <c r="S23" s="382"/>
      <c r="T23" s="382"/>
      <c r="U23" s="382"/>
      <c r="V23" s="382"/>
      <c r="W23" s="382"/>
      <c r="X23" s="382"/>
      <c r="Y23" s="24"/>
    </row>
    <row r="24" spans="1:25" ht="14.45" customHeight="1" x14ac:dyDescent="0.25">
      <c r="A24" s="2" t="s">
        <v>732</v>
      </c>
      <c r="B24" s="2" t="s">
        <v>202</v>
      </c>
      <c r="C24" s="2" t="s">
        <v>741</v>
      </c>
      <c r="D24" s="2" t="s">
        <v>733</v>
      </c>
      <c r="E24" s="40">
        <v>0.99</v>
      </c>
      <c r="F24" s="2" t="s">
        <v>1174</v>
      </c>
      <c r="G24" s="41">
        <v>0.1</v>
      </c>
      <c r="H24" s="41">
        <v>0</v>
      </c>
      <c r="I24" s="2" t="s">
        <v>1018</v>
      </c>
      <c r="J24" s="41">
        <v>0.5</v>
      </c>
      <c r="K24" s="41">
        <v>0</v>
      </c>
      <c r="L24" s="2" t="s">
        <v>1019</v>
      </c>
      <c r="M24" s="163">
        <v>9</v>
      </c>
      <c r="N24" s="164" t="s">
        <v>1003</v>
      </c>
      <c r="O24" s="156"/>
      <c r="P24" s="158"/>
      <c r="Q24" s="179">
        <f>opex_sources!F50/opex_sources!F50</f>
        <v>1</v>
      </c>
      <c r="R24" s="357">
        <f>Q24+(T24-Q24)/3</f>
        <v>1</v>
      </c>
      <c r="S24" s="357">
        <f>Q24+2*(T24-Q24)/3</f>
        <v>1</v>
      </c>
      <c r="T24" s="179">
        <f>opex_sources!G50/opex_sources!G50</f>
        <v>1</v>
      </c>
      <c r="U24" s="423">
        <f>$T24</f>
        <v>1</v>
      </c>
      <c r="V24" s="423">
        <f t="shared" ref="V24:X24" si="16">$T24</f>
        <v>1</v>
      </c>
      <c r="W24" s="423">
        <f t="shared" si="16"/>
        <v>1</v>
      </c>
      <c r="X24" s="423">
        <f t="shared" si="16"/>
        <v>1</v>
      </c>
    </row>
    <row r="25" spans="1:25" ht="14.45" customHeight="1" x14ac:dyDescent="0.25">
      <c r="C25" s="2" t="s">
        <v>940</v>
      </c>
      <c r="D25" s="2" t="s">
        <v>734</v>
      </c>
      <c r="E25" s="40">
        <v>0.01</v>
      </c>
      <c r="F25" s="2" t="s">
        <v>1174</v>
      </c>
      <c r="G25" s="41">
        <v>0.9</v>
      </c>
      <c r="H25" s="41">
        <v>1</v>
      </c>
      <c r="I25" s="2" t="s">
        <v>1018</v>
      </c>
      <c r="J25" s="41">
        <v>0.5</v>
      </c>
      <c r="K25" s="41">
        <v>1</v>
      </c>
      <c r="L25" s="2" t="s">
        <v>1019</v>
      </c>
      <c r="M25" s="163" t="s">
        <v>1000</v>
      </c>
      <c r="N25" s="164" t="s">
        <v>1004</v>
      </c>
      <c r="O25" s="156"/>
      <c r="P25" s="158"/>
      <c r="Q25" s="179">
        <f>opex_sources!F64/opex_sources!F50</f>
        <v>1.4499999999999997</v>
      </c>
      <c r="R25" s="357">
        <f>Q25+(T25-Q25)/3</f>
        <v>1.3275862068965516</v>
      </c>
      <c r="S25" s="357">
        <f>Q25+2*(T25-Q25)/3</f>
        <v>1.2051724137931032</v>
      </c>
      <c r="T25" s="179">
        <f>opex_sources!G64/opex_sources!G50</f>
        <v>1.0827586206896551</v>
      </c>
      <c r="U25" s="423">
        <f>$T25</f>
        <v>1.0827586206896551</v>
      </c>
      <c r="V25" s="423">
        <f t="shared" ref="V25:X25" si="17">$T25</f>
        <v>1.0827586206896551</v>
      </c>
      <c r="W25" s="423">
        <f t="shared" si="17"/>
        <v>1.0827586206896551</v>
      </c>
      <c r="X25" s="423">
        <f t="shared" si="17"/>
        <v>1.0827586206896551</v>
      </c>
    </row>
    <row r="26" spans="1:25" s="24" customFormat="1" ht="14.45" customHeight="1" x14ac:dyDescent="0.25">
      <c r="A26" s="2"/>
      <c r="B26" s="2"/>
      <c r="C26" s="24" t="s">
        <v>1100</v>
      </c>
      <c r="E26" s="384">
        <v>1</v>
      </c>
      <c r="G26" s="386">
        <v>1</v>
      </c>
      <c r="H26" s="386">
        <v>1</v>
      </c>
      <c r="J26" s="386">
        <v>1</v>
      </c>
      <c r="K26" s="386">
        <v>1</v>
      </c>
      <c r="M26" s="381"/>
      <c r="N26" s="380"/>
      <c r="O26" s="381"/>
      <c r="P26" s="380"/>
      <c r="Q26" s="382"/>
      <c r="R26" s="382"/>
      <c r="S26" s="382"/>
      <c r="T26" s="382"/>
      <c r="U26" s="382"/>
      <c r="V26" s="382"/>
      <c r="W26" s="382"/>
      <c r="X26" s="382"/>
    </row>
    <row r="27" spans="1:25" ht="14.45" customHeight="1" x14ac:dyDescent="0.25">
      <c r="A27" s="49"/>
      <c r="B27" s="56"/>
      <c r="C27" s="56"/>
      <c r="D27" s="56"/>
      <c r="E27" s="56"/>
      <c r="M27" s="56"/>
      <c r="N27" s="56"/>
      <c r="O27" s="56"/>
      <c r="P27" s="56"/>
      <c r="Q27" s="56"/>
      <c r="R27" s="56"/>
      <c r="S27" s="56"/>
      <c r="T27" s="56"/>
      <c r="U27" s="56"/>
      <c r="V27" s="56"/>
      <c r="W27" s="56"/>
      <c r="X27" s="56"/>
      <c r="Y27" s="56"/>
    </row>
    <row r="28" spans="1:25" ht="14.45" customHeight="1" x14ac:dyDescent="0.25">
      <c r="A28" s="49"/>
      <c r="B28" s="49"/>
      <c r="C28" s="49"/>
      <c r="D28" s="49"/>
      <c r="E28" s="49"/>
      <c r="M28" s="49"/>
      <c r="N28" s="49"/>
      <c r="O28" s="49"/>
      <c r="P28" s="49"/>
      <c r="Q28" s="49"/>
      <c r="R28" s="49"/>
      <c r="S28" s="49"/>
      <c r="T28" s="49"/>
      <c r="U28" s="49"/>
      <c r="V28" s="49"/>
      <c r="W28" s="49"/>
      <c r="X28" s="49"/>
      <c r="Y28" s="49"/>
    </row>
    <row r="29" spans="1:25" ht="14.45" customHeight="1" x14ac:dyDescent="0.25">
      <c r="A29" s="49"/>
    </row>
    <row r="30" spans="1:25" ht="14.45" customHeight="1" x14ac:dyDescent="0.25"/>
    <row r="31" spans="1:25" ht="14.45" customHeight="1" x14ac:dyDescent="0.25"/>
    <row r="32" spans="1:25" ht="14.45" customHeight="1" x14ac:dyDescent="0.25"/>
    <row r="33" ht="14.45" customHeight="1" x14ac:dyDescent="0.25"/>
    <row r="34" ht="14.45" customHeight="1" x14ac:dyDescent="0.25"/>
    <row r="35" ht="14.45" customHeight="1" x14ac:dyDescent="0.25"/>
    <row r="36" ht="14.45" customHeight="1" x14ac:dyDescent="0.25"/>
    <row r="37" ht="14.45" customHeight="1" x14ac:dyDescent="0.25"/>
    <row r="38" ht="14.45" customHeight="1" x14ac:dyDescent="0.25"/>
    <row r="39" ht="14.45" customHeight="1" x14ac:dyDescent="0.25"/>
    <row r="41" ht="14.45" customHeight="1" x14ac:dyDescent="0.25"/>
    <row r="42" ht="14.45" customHeight="1" x14ac:dyDescent="0.25"/>
    <row r="43" ht="14.45" customHeight="1" x14ac:dyDescent="0.25"/>
    <row r="44" ht="14.45" customHeight="1" x14ac:dyDescent="0.25"/>
    <row r="45" ht="14.45" customHeight="1" x14ac:dyDescent="0.25"/>
    <row r="46" ht="14.45" customHeight="1" x14ac:dyDescent="0.25"/>
    <row r="47" ht="14.45" customHeight="1" x14ac:dyDescent="0.25"/>
    <row r="48" ht="14.45" customHeight="1" x14ac:dyDescent="0.25"/>
    <row r="49" ht="14.45" customHeight="1" x14ac:dyDescent="0.25"/>
    <row r="50" ht="14.45" customHeight="1" x14ac:dyDescent="0.25"/>
    <row r="51" ht="14.45" customHeight="1" x14ac:dyDescent="0.25"/>
    <row r="52" ht="14.45" customHeight="1" x14ac:dyDescent="0.25"/>
    <row r="53" ht="14.45" customHeight="1" x14ac:dyDescent="0.25"/>
    <row r="54" ht="14.45" customHeight="1" x14ac:dyDescent="0.25"/>
    <row r="55" ht="14.45" customHeight="1" x14ac:dyDescent="0.25"/>
    <row r="56" ht="14.45" customHeight="1" x14ac:dyDescent="0.25"/>
    <row r="105" ht="14.45" customHeight="1" x14ac:dyDescent="0.25"/>
    <row r="106" ht="14.45" customHeight="1" x14ac:dyDescent="0.25"/>
    <row r="107" ht="14.45" customHeight="1" x14ac:dyDescent="0.25"/>
  </sheetData>
  <pageMargins left="0.7" right="0.7" top="0.78740157499999996" bottom="0.78740157499999996"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
  <sheetViews>
    <sheetView zoomScale="75" zoomScaleNormal="75" workbookViewId="0">
      <pane xSplit="2" ySplit="1" topLeftCell="C2" activePane="bottomRight" state="frozen"/>
      <selection activeCell="C2" sqref="C2"/>
      <selection pane="topRight" activeCell="C2" sqref="C2"/>
      <selection pane="bottomLeft" activeCell="C2" sqref="C2"/>
      <selection pane="bottomRight" activeCell="C2" sqref="C2"/>
    </sheetView>
  </sheetViews>
  <sheetFormatPr defaultColWidth="9" defaultRowHeight="15" x14ac:dyDescent="0.25"/>
  <cols>
    <col min="1" max="1" width="15.75" style="1" customWidth="1"/>
    <col min="2" max="2" width="44.375" style="1" customWidth="1"/>
    <col min="3" max="10" width="15.75" style="22" customWidth="1"/>
    <col min="11" max="11" width="44.375" style="57" customWidth="1"/>
    <col min="12" max="12" width="44.375" style="22" customWidth="1"/>
    <col min="13" max="13" width="44.375" style="1" customWidth="1"/>
    <col min="14" max="16384" width="9" style="1"/>
  </cols>
  <sheetData>
    <row r="1" spans="1:13" x14ac:dyDescent="0.25">
      <c r="A1" s="18" t="s">
        <v>368</v>
      </c>
      <c r="B1" s="18" t="s">
        <v>358</v>
      </c>
      <c r="C1" s="21" t="s">
        <v>418</v>
      </c>
      <c r="D1" s="21" t="s">
        <v>419</v>
      </c>
      <c r="E1" s="21" t="s">
        <v>420</v>
      </c>
      <c r="F1" s="21" t="s">
        <v>421</v>
      </c>
      <c r="G1" s="21" t="s">
        <v>422</v>
      </c>
      <c r="H1" s="21" t="s">
        <v>423</v>
      </c>
      <c r="I1" s="21" t="s">
        <v>424</v>
      </c>
      <c r="J1" s="21" t="s">
        <v>425</v>
      </c>
      <c r="K1" s="48" t="s">
        <v>369</v>
      </c>
      <c r="L1" s="21" t="s">
        <v>347</v>
      </c>
      <c r="M1" s="21" t="s">
        <v>426</v>
      </c>
    </row>
    <row r="2" spans="1:13" s="11" customFormat="1" ht="14.45" customHeight="1" x14ac:dyDescent="0.2">
      <c r="A2" s="49" t="s">
        <v>427</v>
      </c>
      <c r="B2" s="49" t="s">
        <v>428</v>
      </c>
      <c r="C2" s="45">
        <v>40</v>
      </c>
      <c r="D2" s="45">
        <f>$C2</f>
        <v>40</v>
      </c>
      <c r="E2" s="45">
        <f t="shared" ref="E2:J3" si="0">$C2</f>
        <v>40</v>
      </c>
      <c r="F2" s="45">
        <f t="shared" si="0"/>
        <v>40</v>
      </c>
      <c r="G2" s="45">
        <f t="shared" si="0"/>
        <v>40</v>
      </c>
      <c r="H2" s="45">
        <f t="shared" si="0"/>
        <v>40</v>
      </c>
      <c r="I2" s="45">
        <f t="shared" si="0"/>
        <v>40</v>
      </c>
      <c r="J2" s="45">
        <f t="shared" si="0"/>
        <v>40</v>
      </c>
      <c r="K2" s="50" t="s">
        <v>348</v>
      </c>
      <c r="L2" s="45" t="s">
        <v>429</v>
      </c>
      <c r="M2" s="51"/>
    </row>
    <row r="3" spans="1:13" s="11" customFormat="1" ht="14.45" customHeight="1" x14ac:dyDescent="0.2">
      <c r="A3" s="49" t="s">
        <v>427</v>
      </c>
      <c r="B3" s="20" t="s">
        <v>430</v>
      </c>
      <c r="C3" s="14">
        <v>35</v>
      </c>
      <c r="D3" s="14">
        <f>$C3</f>
        <v>35</v>
      </c>
      <c r="E3" s="14">
        <f t="shared" si="0"/>
        <v>35</v>
      </c>
      <c r="F3" s="14">
        <f t="shared" si="0"/>
        <v>35</v>
      </c>
      <c r="G3" s="14">
        <f t="shared" si="0"/>
        <v>35</v>
      </c>
      <c r="H3" s="14">
        <f t="shared" si="0"/>
        <v>35</v>
      </c>
      <c r="I3" s="14">
        <f t="shared" si="0"/>
        <v>35</v>
      </c>
      <c r="J3" s="14">
        <f t="shared" si="0"/>
        <v>35</v>
      </c>
      <c r="K3" s="16" t="s">
        <v>348</v>
      </c>
      <c r="L3" s="14" t="s">
        <v>431</v>
      </c>
    </row>
    <row r="4" spans="1:13" s="11" customFormat="1" ht="14.45" customHeight="1" x14ac:dyDescent="0.2">
      <c r="A4" s="20" t="s">
        <v>432</v>
      </c>
      <c r="B4" s="20" t="s">
        <v>433</v>
      </c>
      <c r="C4" s="14">
        <v>30</v>
      </c>
      <c r="D4" s="52"/>
      <c r="E4" s="52"/>
      <c r="F4" s="52"/>
      <c r="G4" s="52"/>
      <c r="H4" s="52"/>
      <c r="I4" s="52"/>
      <c r="J4" s="52"/>
      <c r="K4" s="16" t="s">
        <v>348</v>
      </c>
      <c r="L4" s="14" t="s">
        <v>434</v>
      </c>
    </row>
    <row r="5" spans="1:13" s="11" customFormat="1" ht="14.45" customHeight="1" x14ac:dyDescent="0.2">
      <c r="A5" s="20" t="s">
        <v>432</v>
      </c>
      <c r="B5" s="20" t="s">
        <v>435</v>
      </c>
      <c r="C5" s="45">
        <v>30</v>
      </c>
      <c r="D5" s="45">
        <f t="shared" ref="D5:J8" si="1">$C5</f>
        <v>30</v>
      </c>
      <c r="E5" s="45">
        <f t="shared" si="1"/>
        <v>30</v>
      </c>
      <c r="F5" s="45">
        <f t="shared" si="1"/>
        <v>30</v>
      </c>
      <c r="G5" s="45">
        <f t="shared" si="1"/>
        <v>30</v>
      </c>
      <c r="H5" s="45">
        <f t="shared" si="1"/>
        <v>30</v>
      </c>
      <c r="I5" s="45">
        <f t="shared" si="1"/>
        <v>30</v>
      </c>
      <c r="J5" s="45">
        <f t="shared" si="1"/>
        <v>30</v>
      </c>
      <c r="K5" s="50" t="s">
        <v>348</v>
      </c>
      <c r="L5" s="45" t="s">
        <v>436</v>
      </c>
      <c r="M5" s="51"/>
    </row>
    <row r="6" spans="1:13" s="11" customFormat="1" ht="14.45" customHeight="1" x14ac:dyDescent="0.2">
      <c r="A6" s="20" t="s">
        <v>432</v>
      </c>
      <c r="B6" s="20" t="s">
        <v>430</v>
      </c>
      <c r="C6" s="14">
        <v>35</v>
      </c>
      <c r="D6" s="14">
        <f>$C6</f>
        <v>35</v>
      </c>
      <c r="E6" s="14">
        <f t="shared" si="1"/>
        <v>35</v>
      </c>
      <c r="F6" s="14">
        <f t="shared" si="1"/>
        <v>35</v>
      </c>
      <c r="G6" s="14">
        <f t="shared" si="1"/>
        <v>35</v>
      </c>
      <c r="H6" s="14">
        <f t="shared" si="1"/>
        <v>35</v>
      </c>
      <c r="I6" s="14">
        <f t="shared" si="1"/>
        <v>35</v>
      </c>
      <c r="J6" s="14">
        <f t="shared" si="1"/>
        <v>35</v>
      </c>
      <c r="K6" s="16" t="s">
        <v>348</v>
      </c>
      <c r="L6" s="14" t="s">
        <v>431</v>
      </c>
    </row>
    <row r="7" spans="1:13" s="11" customFormat="1" ht="14.45" customHeight="1" x14ac:dyDescent="0.2">
      <c r="A7" s="20" t="s">
        <v>437</v>
      </c>
      <c r="B7" s="20" t="s">
        <v>438</v>
      </c>
      <c r="C7" s="45">
        <v>60</v>
      </c>
      <c r="D7" s="45">
        <f t="shared" si="1"/>
        <v>60</v>
      </c>
      <c r="E7" s="45">
        <f t="shared" si="1"/>
        <v>60</v>
      </c>
      <c r="F7" s="45">
        <f t="shared" si="1"/>
        <v>60</v>
      </c>
      <c r="G7" s="45">
        <f t="shared" si="1"/>
        <v>60</v>
      </c>
      <c r="H7" s="45">
        <f t="shared" si="1"/>
        <v>60</v>
      </c>
      <c r="I7" s="45">
        <f t="shared" si="1"/>
        <v>60</v>
      </c>
      <c r="J7" s="45">
        <f t="shared" si="1"/>
        <v>60</v>
      </c>
      <c r="K7" s="50" t="s">
        <v>348</v>
      </c>
      <c r="L7" s="45" t="s">
        <v>439</v>
      </c>
      <c r="M7" s="51"/>
    </row>
    <row r="8" spans="1:13" ht="14.45" customHeight="1" x14ac:dyDescent="0.25">
      <c r="A8" s="2" t="s">
        <v>440</v>
      </c>
      <c r="B8" s="53" t="s">
        <v>441</v>
      </c>
      <c r="C8" s="45">
        <v>60</v>
      </c>
      <c r="D8" s="45">
        <f t="shared" si="1"/>
        <v>60</v>
      </c>
      <c r="E8" s="45">
        <f t="shared" si="1"/>
        <v>60</v>
      </c>
      <c r="F8" s="45">
        <f t="shared" si="1"/>
        <v>60</v>
      </c>
      <c r="G8" s="45">
        <f t="shared" si="1"/>
        <v>60</v>
      </c>
      <c r="H8" s="45">
        <f t="shared" si="1"/>
        <v>60</v>
      </c>
      <c r="I8" s="45">
        <f t="shared" si="1"/>
        <v>60</v>
      </c>
      <c r="J8" s="45">
        <f t="shared" si="1"/>
        <v>60</v>
      </c>
      <c r="K8" s="50" t="s">
        <v>348</v>
      </c>
      <c r="L8" s="45" t="s">
        <v>442</v>
      </c>
      <c r="M8" s="54"/>
    </row>
    <row r="9" spans="1:13" ht="14.45" customHeight="1" x14ac:dyDescent="0.25">
      <c r="A9" s="2" t="s">
        <v>362</v>
      </c>
      <c r="B9" s="2" t="s">
        <v>361</v>
      </c>
      <c r="C9" s="45">
        <v>20</v>
      </c>
      <c r="D9" s="45">
        <v>22</v>
      </c>
      <c r="E9" s="45">
        <f>(D9+F9)/2</f>
        <v>23.5</v>
      </c>
      <c r="F9" s="45">
        <v>25</v>
      </c>
      <c r="G9" s="45">
        <f>(F9+H9)/2</f>
        <v>25</v>
      </c>
      <c r="H9" s="45">
        <v>25</v>
      </c>
      <c r="I9" s="45">
        <f>(H9+J9)/2</f>
        <v>25</v>
      </c>
      <c r="J9" s="45">
        <v>25</v>
      </c>
      <c r="K9" s="50" t="s">
        <v>348</v>
      </c>
      <c r="L9" s="45" t="s">
        <v>443</v>
      </c>
      <c r="M9" s="54"/>
    </row>
    <row r="10" spans="1:13" s="11" customFormat="1" ht="14.45" customHeight="1" x14ac:dyDescent="0.25">
      <c r="A10" s="2" t="s">
        <v>362</v>
      </c>
      <c r="B10" s="20" t="s">
        <v>444</v>
      </c>
      <c r="C10" s="45">
        <v>20</v>
      </c>
      <c r="D10" s="45">
        <v>25</v>
      </c>
      <c r="E10" s="45">
        <f>(D10+F10)/2</f>
        <v>27.5</v>
      </c>
      <c r="F10" s="45">
        <v>30</v>
      </c>
      <c r="G10" s="45">
        <f>(F10+H10)/2</f>
        <v>30</v>
      </c>
      <c r="H10" s="45">
        <v>30</v>
      </c>
      <c r="I10" s="45">
        <f>(H10+J10)/2</f>
        <v>30</v>
      </c>
      <c r="J10" s="45">
        <v>30</v>
      </c>
      <c r="K10" s="50" t="s">
        <v>348</v>
      </c>
      <c r="L10" s="45" t="s">
        <v>445</v>
      </c>
      <c r="M10" s="51"/>
    </row>
    <row r="11" spans="1:13" s="11" customFormat="1" ht="14.45" customHeight="1" x14ac:dyDescent="0.2">
      <c r="A11" s="49" t="s">
        <v>446</v>
      </c>
      <c r="B11" s="20" t="s">
        <v>433</v>
      </c>
      <c r="C11" s="14">
        <v>30</v>
      </c>
      <c r="D11" s="52"/>
      <c r="E11" s="52"/>
      <c r="F11" s="52"/>
      <c r="G11" s="52"/>
      <c r="H11" s="52"/>
      <c r="I11" s="52"/>
      <c r="J11" s="52"/>
      <c r="K11" s="16" t="s">
        <v>348</v>
      </c>
      <c r="L11" s="14" t="s">
        <v>434</v>
      </c>
    </row>
    <row r="12" spans="1:13" s="11" customFormat="1" ht="14.45" customHeight="1" x14ac:dyDescent="0.2">
      <c r="A12" s="49" t="s">
        <v>446</v>
      </c>
      <c r="B12" s="20" t="s">
        <v>430</v>
      </c>
      <c r="C12" s="45">
        <v>35</v>
      </c>
      <c r="D12" s="45">
        <f>$C12</f>
        <v>35</v>
      </c>
      <c r="E12" s="45">
        <f t="shared" ref="E12:J16" si="2">$C12</f>
        <v>35</v>
      </c>
      <c r="F12" s="45">
        <f t="shared" si="2"/>
        <v>35</v>
      </c>
      <c r="G12" s="45">
        <f t="shared" si="2"/>
        <v>35</v>
      </c>
      <c r="H12" s="45">
        <f t="shared" si="2"/>
        <v>35</v>
      </c>
      <c r="I12" s="45">
        <f t="shared" si="2"/>
        <v>35</v>
      </c>
      <c r="J12" s="45">
        <f t="shared" si="2"/>
        <v>35</v>
      </c>
      <c r="K12" s="50" t="s">
        <v>348</v>
      </c>
      <c r="L12" s="45" t="s">
        <v>431</v>
      </c>
      <c r="M12" s="51"/>
    </row>
    <row r="13" spans="1:13" ht="14.45" customHeight="1" x14ac:dyDescent="0.25">
      <c r="A13" s="2" t="s">
        <v>355</v>
      </c>
      <c r="B13" s="2" t="s">
        <v>357</v>
      </c>
      <c r="C13" s="45">
        <v>25</v>
      </c>
      <c r="D13" s="45">
        <f>$C13</f>
        <v>25</v>
      </c>
      <c r="E13" s="45">
        <f t="shared" si="2"/>
        <v>25</v>
      </c>
      <c r="F13" s="45">
        <f t="shared" si="2"/>
        <v>25</v>
      </c>
      <c r="G13" s="45">
        <f t="shared" si="2"/>
        <v>25</v>
      </c>
      <c r="H13" s="45">
        <f t="shared" si="2"/>
        <v>25</v>
      </c>
      <c r="I13" s="45">
        <f t="shared" si="2"/>
        <v>25</v>
      </c>
      <c r="J13" s="45">
        <f t="shared" si="2"/>
        <v>25</v>
      </c>
      <c r="K13" s="50" t="s">
        <v>348</v>
      </c>
      <c r="L13" s="45" t="s">
        <v>447</v>
      </c>
      <c r="M13" s="54"/>
    </row>
    <row r="14" spans="1:13" ht="14.45" customHeight="1" x14ac:dyDescent="0.25">
      <c r="A14" s="2" t="s">
        <v>355</v>
      </c>
      <c r="B14" s="2" t="s">
        <v>448</v>
      </c>
      <c r="C14" s="14">
        <v>25</v>
      </c>
      <c r="D14" s="14">
        <f>$C14</f>
        <v>25</v>
      </c>
      <c r="E14" s="14">
        <f t="shared" si="2"/>
        <v>25</v>
      </c>
      <c r="F14" s="14">
        <f t="shared" si="2"/>
        <v>25</v>
      </c>
      <c r="G14" s="14">
        <f t="shared" si="2"/>
        <v>25</v>
      </c>
      <c r="H14" s="14">
        <f t="shared" si="2"/>
        <v>25</v>
      </c>
      <c r="I14" s="14">
        <f t="shared" si="2"/>
        <v>25</v>
      </c>
      <c r="J14" s="14">
        <f t="shared" si="2"/>
        <v>25</v>
      </c>
      <c r="K14" s="16" t="s">
        <v>348</v>
      </c>
      <c r="L14" s="14" t="s">
        <v>449</v>
      </c>
    </row>
    <row r="15" spans="1:13" ht="14.45" customHeight="1" x14ac:dyDescent="0.25">
      <c r="A15" s="2" t="s">
        <v>355</v>
      </c>
      <c r="B15" s="2" t="s">
        <v>450</v>
      </c>
      <c r="C15" s="14">
        <v>25</v>
      </c>
      <c r="D15" s="14">
        <f t="shared" ref="D15:J22" si="3">$C15</f>
        <v>25</v>
      </c>
      <c r="E15" s="14">
        <f t="shared" si="2"/>
        <v>25</v>
      </c>
      <c r="F15" s="14">
        <f t="shared" si="2"/>
        <v>25</v>
      </c>
      <c r="G15" s="14">
        <f t="shared" si="2"/>
        <v>25</v>
      </c>
      <c r="H15" s="14">
        <f t="shared" si="2"/>
        <v>25</v>
      </c>
      <c r="I15" s="14">
        <f t="shared" si="2"/>
        <v>25</v>
      </c>
      <c r="J15" s="14">
        <f t="shared" si="2"/>
        <v>25</v>
      </c>
      <c r="K15" s="16" t="s">
        <v>348</v>
      </c>
      <c r="L15" s="14" t="s">
        <v>451</v>
      </c>
    </row>
    <row r="16" spans="1:13" ht="14.45" customHeight="1" x14ac:dyDescent="0.25">
      <c r="A16" s="2" t="s">
        <v>355</v>
      </c>
      <c r="B16" s="2" t="s">
        <v>452</v>
      </c>
      <c r="C16" s="14">
        <v>20</v>
      </c>
      <c r="D16" s="14">
        <f t="shared" si="3"/>
        <v>20</v>
      </c>
      <c r="E16" s="14">
        <f t="shared" si="2"/>
        <v>20</v>
      </c>
      <c r="F16" s="14">
        <f t="shared" si="2"/>
        <v>20</v>
      </c>
      <c r="G16" s="14">
        <f t="shared" si="2"/>
        <v>20</v>
      </c>
      <c r="H16" s="14">
        <f t="shared" si="2"/>
        <v>20</v>
      </c>
      <c r="I16" s="14">
        <f t="shared" si="2"/>
        <v>20</v>
      </c>
      <c r="J16" s="14">
        <f t="shared" si="2"/>
        <v>20</v>
      </c>
      <c r="K16" s="16" t="s">
        <v>348</v>
      </c>
      <c r="L16" s="14" t="s">
        <v>453</v>
      </c>
    </row>
    <row r="17" spans="1:13" ht="14.45" customHeight="1" x14ac:dyDescent="0.25">
      <c r="A17" s="2" t="s">
        <v>360</v>
      </c>
      <c r="B17" s="2" t="s">
        <v>454</v>
      </c>
      <c r="C17" s="45">
        <v>25</v>
      </c>
      <c r="D17" s="45">
        <f t="shared" si="3"/>
        <v>25</v>
      </c>
      <c r="E17" s="45">
        <f t="shared" si="3"/>
        <v>25</v>
      </c>
      <c r="F17" s="45">
        <f t="shared" si="3"/>
        <v>25</v>
      </c>
      <c r="G17" s="45">
        <f t="shared" si="3"/>
        <v>25</v>
      </c>
      <c r="H17" s="45">
        <f t="shared" si="3"/>
        <v>25</v>
      </c>
      <c r="I17" s="45">
        <f t="shared" si="3"/>
        <v>25</v>
      </c>
      <c r="J17" s="45">
        <f t="shared" si="3"/>
        <v>25</v>
      </c>
      <c r="K17" s="50" t="s">
        <v>348</v>
      </c>
      <c r="L17" s="55" t="s">
        <v>455</v>
      </c>
      <c r="M17" s="54"/>
    </row>
    <row r="18" spans="1:13" ht="14.45" customHeight="1" x14ac:dyDescent="0.25">
      <c r="A18" s="49" t="s">
        <v>360</v>
      </c>
      <c r="B18" s="2" t="s">
        <v>359</v>
      </c>
      <c r="C18" s="45">
        <v>25</v>
      </c>
      <c r="D18" s="45">
        <f t="shared" si="3"/>
        <v>25</v>
      </c>
      <c r="E18" s="45">
        <f t="shared" si="3"/>
        <v>25</v>
      </c>
      <c r="F18" s="45">
        <f t="shared" si="3"/>
        <v>25</v>
      </c>
      <c r="G18" s="45">
        <f t="shared" si="3"/>
        <v>25</v>
      </c>
      <c r="H18" s="45">
        <f t="shared" si="3"/>
        <v>25</v>
      </c>
      <c r="I18" s="45">
        <f t="shared" si="3"/>
        <v>25</v>
      </c>
      <c r="J18" s="45">
        <f t="shared" si="3"/>
        <v>25</v>
      </c>
      <c r="K18" s="50" t="s">
        <v>348</v>
      </c>
      <c r="L18" s="45" t="s">
        <v>456</v>
      </c>
      <c r="M18" s="54"/>
    </row>
    <row r="19" spans="1:13" ht="14.45" customHeight="1" x14ac:dyDescent="0.25">
      <c r="A19" s="49" t="s">
        <v>457</v>
      </c>
      <c r="B19" s="12" t="s">
        <v>458</v>
      </c>
      <c r="C19" s="45">
        <v>30</v>
      </c>
      <c r="D19" s="45">
        <f t="shared" si="3"/>
        <v>30</v>
      </c>
      <c r="E19" s="45">
        <f t="shared" si="3"/>
        <v>30</v>
      </c>
      <c r="F19" s="45">
        <f t="shared" si="3"/>
        <v>30</v>
      </c>
      <c r="G19" s="45">
        <f t="shared" si="3"/>
        <v>30</v>
      </c>
      <c r="H19" s="45">
        <f t="shared" si="3"/>
        <v>30</v>
      </c>
      <c r="I19" s="45">
        <f t="shared" si="3"/>
        <v>30</v>
      </c>
      <c r="J19" s="45">
        <f t="shared" si="3"/>
        <v>30</v>
      </c>
      <c r="K19" s="50" t="s">
        <v>348</v>
      </c>
      <c r="L19" s="45" t="s">
        <v>459</v>
      </c>
      <c r="M19" s="54"/>
    </row>
    <row r="20" spans="1:13" ht="14.45" customHeight="1" x14ac:dyDescent="0.25">
      <c r="A20" s="49" t="s">
        <v>460</v>
      </c>
      <c r="B20" s="56" t="s">
        <v>461</v>
      </c>
      <c r="C20" s="45">
        <v>20</v>
      </c>
      <c r="D20" s="45">
        <f t="shared" si="3"/>
        <v>20</v>
      </c>
      <c r="E20" s="45">
        <f t="shared" si="3"/>
        <v>20</v>
      </c>
      <c r="F20" s="45">
        <f t="shared" si="3"/>
        <v>20</v>
      </c>
      <c r="G20" s="45">
        <f t="shared" si="3"/>
        <v>20</v>
      </c>
      <c r="H20" s="45">
        <f t="shared" si="3"/>
        <v>20</v>
      </c>
      <c r="I20" s="45">
        <f t="shared" si="3"/>
        <v>20</v>
      </c>
      <c r="J20" s="45">
        <f t="shared" si="3"/>
        <v>20</v>
      </c>
      <c r="K20" s="50" t="s">
        <v>348</v>
      </c>
      <c r="L20" s="45" t="s">
        <v>462</v>
      </c>
      <c r="M20" s="54" t="s">
        <v>463</v>
      </c>
    </row>
    <row r="21" spans="1:13" ht="14.45" customHeight="1" x14ac:dyDescent="0.25">
      <c r="A21" s="49" t="s">
        <v>460</v>
      </c>
      <c r="B21" s="49" t="s">
        <v>464</v>
      </c>
      <c r="C21" s="14">
        <v>20</v>
      </c>
      <c r="D21" s="14">
        <f t="shared" si="3"/>
        <v>20</v>
      </c>
      <c r="E21" s="14">
        <f t="shared" si="3"/>
        <v>20</v>
      </c>
      <c r="F21" s="14">
        <f t="shared" si="3"/>
        <v>20</v>
      </c>
      <c r="G21" s="14">
        <f t="shared" si="3"/>
        <v>20</v>
      </c>
      <c r="H21" s="14">
        <f t="shared" si="3"/>
        <v>20</v>
      </c>
      <c r="I21" s="14">
        <f t="shared" si="3"/>
        <v>20</v>
      </c>
      <c r="J21" s="14">
        <f t="shared" si="3"/>
        <v>20</v>
      </c>
      <c r="K21" s="16" t="s">
        <v>348</v>
      </c>
      <c r="L21" s="14" t="s">
        <v>465</v>
      </c>
    </row>
    <row r="22" spans="1:13" ht="14.45" customHeight="1" x14ac:dyDescent="0.25">
      <c r="A22" s="49" t="s">
        <v>466</v>
      </c>
      <c r="B22" s="2" t="s">
        <v>467</v>
      </c>
      <c r="C22" s="45">
        <v>30</v>
      </c>
      <c r="D22" s="45">
        <f t="shared" si="3"/>
        <v>30</v>
      </c>
      <c r="E22" s="45">
        <f t="shared" si="3"/>
        <v>30</v>
      </c>
      <c r="F22" s="45">
        <f t="shared" si="3"/>
        <v>30</v>
      </c>
      <c r="G22" s="45">
        <f t="shared" si="3"/>
        <v>30</v>
      </c>
      <c r="H22" s="45">
        <f t="shared" si="3"/>
        <v>30</v>
      </c>
      <c r="I22" s="45">
        <f t="shared" si="3"/>
        <v>30</v>
      </c>
      <c r="J22" s="45">
        <f t="shared" si="3"/>
        <v>30</v>
      </c>
      <c r="K22" s="50" t="s">
        <v>348</v>
      </c>
      <c r="L22" s="45" t="s">
        <v>468</v>
      </c>
      <c r="M22" s="54"/>
    </row>
    <row r="23" spans="1:13" ht="14.45" customHeight="1" x14ac:dyDescent="0.25"/>
    <row r="24" spans="1:13" ht="14.45" customHeight="1" x14ac:dyDescent="0.25"/>
    <row r="25" spans="1:13" ht="14.45" customHeight="1" x14ac:dyDescent="0.25"/>
    <row r="26" spans="1:13" ht="14.45" customHeight="1" x14ac:dyDescent="0.25"/>
    <row r="27" spans="1:13" ht="14.45" customHeight="1" x14ac:dyDescent="0.25"/>
    <row r="28" spans="1:13" ht="14.45" customHeight="1" x14ac:dyDescent="0.25"/>
    <row r="29" spans="1:13" ht="14.45" customHeight="1" x14ac:dyDescent="0.25"/>
    <row r="30" spans="1:13" ht="14.45" customHeight="1" x14ac:dyDescent="0.25"/>
    <row r="31" spans="1:13" ht="14.45" customHeight="1" x14ac:dyDescent="0.25"/>
    <row r="32" spans="1:13" ht="14.45" customHeight="1" x14ac:dyDescent="0.25"/>
    <row r="34" ht="14.45" customHeight="1" x14ac:dyDescent="0.25"/>
    <row r="35" ht="14.45" customHeight="1" x14ac:dyDescent="0.25"/>
    <row r="36" ht="14.45" customHeight="1" x14ac:dyDescent="0.25"/>
    <row r="37" ht="14.45" customHeight="1" x14ac:dyDescent="0.25"/>
    <row r="38" ht="14.45" customHeight="1" x14ac:dyDescent="0.25"/>
    <row r="39" ht="14.45" customHeight="1" x14ac:dyDescent="0.25"/>
    <row r="40" ht="14.45" customHeight="1" x14ac:dyDescent="0.25"/>
    <row r="41" ht="14.45" customHeight="1" x14ac:dyDescent="0.25"/>
    <row r="42" ht="14.45" customHeight="1" x14ac:dyDescent="0.25"/>
    <row r="43" ht="14.45" customHeight="1" x14ac:dyDescent="0.25"/>
    <row r="44" ht="14.45" customHeight="1" x14ac:dyDescent="0.25"/>
    <row r="45" ht="14.45" customHeight="1" x14ac:dyDescent="0.25"/>
    <row r="46" ht="14.45" customHeight="1" x14ac:dyDescent="0.25"/>
    <row r="47" ht="14.45" customHeight="1" x14ac:dyDescent="0.25"/>
    <row r="48" ht="14.45" customHeight="1" x14ac:dyDescent="0.25"/>
    <row r="49" ht="14.45" customHeight="1" x14ac:dyDescent="0.25"/>
    <row r="98" ht="14.45" customHeight="1" x14ac:dyDescent="0.25"/>
    <row r="99" ht="14.45" customHeight="1" x14ac:dyDescent="0.25"/>
    <row r="100" ht="14.45" customHeight="1" x14ac:dyDescent="0.25"/>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99"/>
  <sheetViews>
    <sheetView zoomScale="75" zoomScaleNormal="75" workbookViewId="0">
      <pane xSplit="2" ySplit="1" topLeftCell="C2" activePane="bottomRight" state="frozen"/>
      <selection activeCell="C2" sqref="C2"/>
      <selection pane="topRight" activeCell="C2" sqref="C2"/>
      <selection pane="bottomLeft" activeCell="C2" sqref="C2"/>
      <selection pane="bottomRight" activeCell="C2" sqref="C2"/>
    </sheetView>
  </sheetViews>
  <sheetFormatPr defaultColWidth="9" defaultRowHeight="15" x14ac:dyDescent="0.25"/>
  <cols>
    <col min="1" max="1" width="48.625" style="2" customWidth="1"/>
    <col min="2" max="2" width="12.25" style="2" customWidth="1"/>
    <col min="3" max="5" width="15.75" style="22" customWidth="1"/>
    <col min="6" max="10" width="15.75" style="2" customWidth="1"/>
    <col min="11" max="16384" width="9" style="2"/>
  </cols>
  <sheetData>
    <row r="1" spans="1:10" x14ac:dyDescent="0.25">
      <c r="A1" s="58" t="s">
        <v>0</v>
      </c>
      <c r="B1" s="58" t="s">
        <v>1</v>
      </c>
      <c r="C1" s="21" t="s">
        <v>418</v>
      </c>
      <c r="D1" s="21" t="s">
        <v>419</v>
      </c>
      <c r="E1" s="21" t="s">
        <v>420</v>
      </c>
      <c r="F1" s="21" t="s">
        <v>421</v>
      </c>
      <c r="G1" s="21" t="s">
        <v>422</v>
      </c>
      <c r="H1" s="21" t="s">
        <v>423</v>
      </c>
      <c r="I1" s="21" t="s">
        <v>424</v>
      </c>
      <c r="J1" s="21" t="s">
        <v>425</v>
      </c>
    </row>
    <row r="2" spans="1:10" s="20" customFormat="1" ht="14.45" customHeight="1" x14ac:dyDescent="0.25">
      <c r="A2" s="2" t="s">
        <v>2</v>
      </c>
      <c r="B2" s="2" t="s">
        <v>3</v>
      </c>
      <c r="C2" s="14">
        <f>lifespan_sources!C2</f>
        <v>40</v>
      </c>
      <c r="D2" s="14">
        <f>lifespan_sources!D2</f>
        <v>40</v>
      </c>
      <c r="E2" s="14">
        <f>lifespan_sources!E2</f>
        <v>40</v>
      </c>
      <c r="F2" s="14">
        <f>lifespan_sources!F2</f>
        <v>40</v>
      </c>
      <c r="G2" s="14">
        <f>lifespan_sources!G2</f>
        <v>40</v>
      </c>
      <c r="H2" s="14">
        <f>lifespan_sources!H2</f>
        <v>40</v>
      </c>
      <c r="I2" s="14">
        <f>lifespan_sources!I2</f>
        <v>40</v>
      </c>
      <c r="J2" s="14">
        <f>lifespan_sources!J2</f>
        <v>40</v>
      </c>
    </row>
    <row r="3" spans="1:10" s="20" customFormat="1" ht="14.45" customHeight="1" x14ac:dyDescent="0.25">
      <c r="A3" s="2" t="s">
        <v>4</v>
      </c>
      <c r="B3" s="2" t="s">
        <v>5</v>
      </c>
      <c r="C3" s="14">
        <f>lifespan_sources!C5</f>
        <v>30</v>
      </c>
      <c r="D3" s="14">
        <f>lifespan_sources!D5</f>
        <v>30</v>
      </c>
      <c r="E3" s="14">
        <f>lifespan_sources!E5</f>
        <v>30</v>
      </c>
      <c r="F3" s="14">
        <f>lifespan_sources!F5</f>
        <v>30</v>
      </c>
      <c r="G3" s="14">
        <f>lifespan_sources!G5</f>
        <v>30</v>
      </c>
      <c r="H3" s="14">
        <f>lifespan_sources!H5</f>
        <v>30</v>
      </c>
      <c r="I3" s="14">
        <f>lifespan_sources!I5</f>
        <v>30</v>
      </c>
      <c r="J3" s="14">
        <f>lifespan_sources!J5</f>
        <v>30</v>
      </c>
    </row>
    <row r="4" spans="1:10" s="20" customFormat="1" ht="14.45" customHeight="1" x14ac:dyDescent="0.25">
      <c r="A4" s="2" t="s">
        <v>6</v>
      </c>
      <c r="B4" s="2" t="s">
        <v>7</v>
      </c>
      <c r="C4" s="14">
        <f>lifespan_sources!C7</f>
        <v>60</v>
      </c>
      <c r="D4" s="14">
        <f>lifespan_sources!D7</f>
        <v>60</v>
      </c>
      <c r="E4" s="14">
        <f>lifespan_sources!E7</f>
        <v>60</v>
      </c>
      <c r="F4" s="14">
        <f>lifespan_sources!F7</f>
        <v>60</v>
      </c>
      <c r="G4" s="14">
        <f>lifespan_sources!G7</f>
        <v>60</v>
      </c>
      <c r="H4" s="14">
        <f>lifespan_sources!H7</f>
        <v>60</v>
      </c>
      <c r="I4" s="14">
        <f>lifespan_sources!I7</f>
        <v>60</v>
      </c>
      <c r="J4" s="14">
        <f>lifespan_sources!J7</f>
        <v>60</v>
      </c>
    </row>
    <row r="5" spans="1:10" s="20" customFormat="1" ht="14.45" customHeight="1" x14ac:dyDescent="0.25">
      <c r="A5" s="2" t="s">
        <v>8</v>
      </c>
      <c r="B5" s="2" t="s">
        <v>9</v>
      </c>
      <c r="C5" s="14">
        <f>lifespan_sources!C8</f>
        <v>60</v>
      </c>
      <c r="D5" s="14">
        <f>lifespan_sources!D8</f>
        <v>60</v>
      </c>
      <c r="E5" s="14">
        <f>lifespan_sources!E8</f>
        <v>60</v>
      </c>
      <c r="F5" s="14">
        <f>lifespan_sources!F8</f>
        <v>60</v>
      </c>
      <c r="G5" s="14">
        <f>lifespan_sources!G8</f>
        <v>60</v>
      </c>
      <c r="H5" s="14">
        <f>lifespan_sources!H8</f>
        <v>60</v>
      </c>
      <c r="I5" s="14">
        <f>lifespan_sources!I8</f>
        <v>60</v>
      </c>
      <c r="J5" s="14">
        <f>lifespan_sources!J8</f>
        <v>60</v>
      </c>
    </row>
    <row r="6" spans="1:10" s="20" customFormat="1" ht="14.45" customHeight="1" x14ac:dyDescent="0.25">
      <c r="A6" s="2" t="s">
        <v>342</v>
      </c>
      <c r="B6" s="2" t="s">
        <v>336</v>
      </c>
      <c r="C6" s="14">
        <f>lifespan_sources!C9</f>
        <v>20</v>
      </c>
      <c r="D6" s="14">
        <f>lifespan_sources!D9</f>
        <v>22</v>
      </c>
      <c r="E6" s="14">
        <f>lifespan_sources!E9</f>
        <v>23.5</v>
      </c>
      <c r="F6" s="14">
        <f>lifespan_sources!F9</f>
        <v>25</v>
      </c>
      <c r="G6" s="14">
        <f>lifespan_sources!G9</f>
        <v>25</v>
      </c>
      <c r="H6" s="14">
        <f>lifespan_sources!H9</f>
        <v>25</v>
      </c>
      <c r="I6" s="14">
        <f>lifespan_sources!I9</f>
        <v>25</v>
      </c>
      <c r="J6" s="14">
        <f>lifespan_sources!J9</f>
        <v>25</v>
      </c>
    </row>
    <row r="7" spans="1:10" s="20" customFormat="1" ht="14.45" customHeight="1" x14ac:dyDescent="0.25">
      <c r="A7" s="2" t="s">
        <v>343</v>
      </c>
      <c r="B7" s="2" t="s">
        <v>337</v>
      </c>
      <c r="C7" s="14">
        <f>lifespan_sources!C10</f>
        <v>20</v>
      </c>
      <c r="D7" s="14">
        <f>lifespan_sources!D10</f>
        <v>25</v>
      </c>
      <c r="E7" s="14">
        <f>lifespan_sources!E10</f>
        <v>27.5</v>
      </c>
      <c r="F7" s="14">
        <f>lifespan_sources!F10</f>
        <v>30</v>
      </c>
      <c r="G7" s="14">
        <f>lifespan_sources!G10</f>
        <v>30</v>
      </c>
      <c r="H7" s="14">
        <f>lifespan_sources!H10</f>
        <v>30</v>
      </c>
      <c r="I7" s="14">
        <f>lifespan_sources!I10</f>
        <v>30</v>
      </c>
      <c r="J7" s="14">
        <f>lifespan_sources!J10</f>
        <v>30</v>
      </c>
    </row>
    <row r="8" spans="1:10" ht="14.45" customHeight="1" x14ac:dyDescent="0.25">
      <c r="A8" s="1" t="s">
        <v>10</v>
      </c>
      <c r="B8" s="1" t="s">
        <v>11</v>
      </c>
      <c r="C8" s="14">
        <f>lifespan_sources!C12</f>
        <v>35</v>
      </c>
      <c r="D8" s="14">
        <f>lifespan_sources!D12</f>
        <v>35</v>
      </c>
      <c r="E8" s="14">
        <f>lifespan_sources!E12</f>
        <v>35</v>
      </c>
      <c r="F8" s="14">
        <f>lifespan_sources!F12</f>
        <v>35</v>
      </c>
      <c r="G8" s="14">
        <f>lifespan_sources!G12</f>
        <v>35</v>
      </c>
      <c r="H8" s="14">
        <f>lifespan_sources!H12</f>
        <v>35</v>
      </c>
      <c r="I8" s="14">
        <f>lifespan_sources!I12</f>
        <v>35</v>
      </c>
      <c r="J8" s="14">
        <f>lifespan_sources!J12</f>
        <v>35</v>
      </c>
    </row>
    <row r="9" spans="1:10" ht="14.45" customHeight="1" x14ac:dyDescent="0.25">
      <c r="A9" s="2" t="s">
        <v>12</v>
      </c>
      <c r="B9" s="2" t="s">
        <v>13</v>
      </c>
      <c r="C9" s="14">
        <f>lifespan_sources!C13</f>
        <v>25</v>
      </c>
      <c r="D9" s="14">
        <f>lifespan_sources!D13</f>
        <v>25</v>
      </c>
      <c r="E9" s="14">
        <f>lifespan_sources!E13</f>
        <v>25</v>
      </c>
      <c r="F9" s="14">
        <f>lifespan_sources!F13</f>
        <v>25</v>
      </c>
      <c r="G9" s="14">
        <f>lifespan_sources!G13</f>
        <v>25</v>
      </c>
      <c r="H9" s="14">
        <f>lifespan_sources!H13</f>
        <v>25</v>
      </c>
      <c r="I9" s="14">
        <f>lifespan_sources!I13</f>
        <v>25</v>
      </c>
      <c r="J9" s="14">
        <f>lifespan_sources!J13</f>
        <v>25</v>
      </c>
    </row>
    <row r="10" spans="1:10" s="20" customFormat="1" ht="14.45" customHeight="1" x14ac:dyDescent="0.25">
      <c r="A10" s="2" t="s">
        <v>340</v>
      </c>
      <c r="B10" s="2" t="s">
        <v>338</v>
      </c>
      <c r="C10" s="14">
        <f>lifespan_sources!C17</f>
        <v>25</v>
      </c>
      <c r="D10" s="14">
        <f>lifespan_sources!D17</f>
        <v>25</v>
      </c>
      <c r="E10" s="14">
        <f>lifespan_sources!E17</f>
        <v>25</v>
      </c>
      <c r="F10" s="14">
        <f>lifespan_sources!F17</f>
        <v>25</v>
      </c>
      <c r="G10" s="14">
        <f>lifespan_sources!G17</f>
        <v>25</v>
      </c>
      <c r="H10" s="14">
        <f>lifespan_sources!H17</f>
        <v>25</v>
      </c>
      <c r="I10" s="14">
        <f>lifespan_sources!I17</f>
        <v>25</v>
      </c>
      <c r="J10" s="14">
        <f>lifespan_sources!J17</f>
        <v>25</v>
      </c>
    </row>
    <row r="11" spans="1:10" s="20" customFormat="1" ht="14.45" customHeight="1" x14ac:dyDescent="0.25">
      <c r="A11" s="2" t="s">
        <v>341</v>
      </c>
      <c r="B11" s="2" t="s">
        <v>339</v>
      </c>
      <c r="C11" s="14">
        <f>lifespan_sources!C18</f>
        <v>25</v>
      </c>
      <c r="D11" s="14">
        <f>lifespan_sources!D18</f>
        <v>25</v>
      </c>
      <c r="E11" s="14">
        <f>lifespan_sources!E18</f>
        <v>25</v>
      </c>
      <c r="F11" s="14">
        <f>lifespan_sources!F18</f>
        <v>25</v>
      </c>
      <c r="G11" s="14">
        <f>lifespan_sources!G18</f>
        <v>25</v>
      </c>
      <c r="H11" s="14">
        <f>lifespan_sources!H18</f>
        <v>25</v>
      </c>
      <c r="I11" s="14">
        <f>lifespan_sources!I18</f>
        <v>25</v>
      </c>
      <c r="J11" s="14">
        <f>lifespan_sources!J18</f>
        <v>25</v>
      </c>
    </row>
    <row r="12" spans="1:10" s="20" customFormat="1" ht="14.45" customHeight="1" x14ac:dyDescent="0.25">
      <c r="A12" s="2" t="s">
        <v>14</v>
      </c>
      <c r="B12" s="2" t="s">
        <v>15</v>
      </c>
      <c r="C12" s="14">
        <f>lifespan_sources!C19</f>
        <v>30</v>
      </c>
      <c r="D12" s="14">
        <f>lifespan_sources!D19</f>
        <v>30</v>
      </c>
      <c r="E12" s="14">
        <f>lifespan_sources!E19</f>
        <v>30</v>
      </c>
      <c r="F12" s="14">
        <f>lifespan_sources!F19</f>
        <v>30</v>
      </c>
      <c r="G12" s="14">
        <f>lifespan_sources!G19</f>
        <v>30</v>
      </c>
      <c r="H12" s="14">
        <f>lifespan_sources!H19</f>
        <v>30</v>
      </c>
      <c r="I12" s="14">
        <f>lifespan_sources!I19</f>
        <v>30</v>
      </c>
      <c r="J12" s="14">
        <f>lifespan_sources!J19</f>
        <v>30</v>
      </c>
    </row>
    <row r="13" spans="1:10" ht="14.45" customHeight="1" x14ac:dyDescent="0.25">
      <c r="A13" s="2" t="s">
        <v>16</v>
      </c>
      <c r="B13" s="2" t="s">
        <v>17</v>
      </c>
      <c r="C13" s="14">
        <f>lifespan_sources!C20</f>
        <v>20</v>
      </c>
      <c r="D13" s="14">
        <f>lifespan_sources!D20</f>
        <v>20</v>
      </c>
      <c r="E13" s="14">
        <f>lifespan_sources!E20</f>
        <v>20</v>
      </c>
      <c r="F13" s="14">
        <f>lifespan_sources!F20</f>
        <v>20</v>
      </c>
      <c r="G13" s="14">
        <f>lifespan_sources!G20</f>
        <v>20</v>
      </c>
      <c r="H13" s="14">
        <f>lifespan_sources!H20</f>
        <v>20</v>
      </c>
      <c r="I13" s="14">
        <f>lifespan_sources!I20</f>
        <v>20</v>
      </c>
      <c r="J13" s="14">
        <f>lifespan_sources!J20</f>
        <v>20</v>
      </c>
    </row>
    <row r="14" spans="1:10" ht="14.45" customHeight="1" x14ac:dyDescent="0.25">
      <c r="A14" s="2" t="s">
        <v>18</v>
      </c>
      <c r="B14" s="2" t="s">
        <v>19</v>
      </c>
      <c r="C14" s="14">
        <f>lifespan_sources!C22</f>
        <v>30</v>
      </c>
      <c r="D14" s="14">
        <f>lifespan_sources!D22</f>
        <v>30</v>
      </c>
      <c r="E14" s="14">
        <f>lifespan_sources!E22</f>
        <v>30</v>
      </c>
      <c r="F14" s="14">
        <f>lifespan_sources!F22</f>
        <v>30</v>
      </c>
      <c r="G14" s="14">
        <f>lifespan_sources!G22</f>
        <v>30</v>
      </c>
      <c r="H14" s="14">
        <f>lifespan_sources!H22</f>
        <v>30</v>
      </c>
      <c r="I14" s="14">
        <f>lifespan_sources!I22</f>
        <v>30</v>
      </c>
      <c r="J14" s="14">
        <f>lifespan_sources!J22</f>
        <v>30</v>
      </c>
    </row>
    <row r="15" spans="1:10" ht="14.45" customHeight="1" x14ac:dyDescent="0.25">
      <c r="C15" s="14"/>
      <c r="D15" s="14"/>
      <c r="E15" s="14"/>
    </row>
    <row r="16" spans="1:10" ht="14.45" customHeight="1" x14ac:dyDescent="0.25">
      <c r="C16" s="14"/>
      <c r="D16" s="14"/>
      <c r="E16" s="14"/>
    </row>
    <row r="17" spans="1:5" ht="14.45" customHeight="1" x14ac:dyDescent="0.25">
      <c r="A17" s="49"/>
      <c r="C17" s="14"/>
      <c r="D17" s="14"/>
      <c r="E17" s="14"/>
    </row>
    <row r="18" spans="1:5" ht="14.45" customHeight="1" x14ac:dyDescent="0.25">
      <c r="A18" s="49"/>
      <c r="B18" s="12"/>
      <c r="C18" s="14"/>
      <c r="D18" s="14"/>
      <c r="E18" s="14"/>
    </row>
    <row r="19" spans="1:5" ht="14.45" customHeight="1" x14ac:dyDescent="0.25">
      <c r="A19" s="49"/>
      <c r="B19" s="56"/>
      <c r="C19" s="14"/>
      <c r="D19" s="14"/>
      <c r="E19" s="14"/>
    </row>
    <row r="20" spans="1:5" ht="14.45" customHeight="1" x14ac:dyDescent="0.25">
      <c r="A20" s="49"/>
      <c r="B20" s="49"/>
      <c r="C20" s="14"/>
      <c r="D20" s="14"/>
      <c r="E20" s="14"/>
    </row>
    <row r="21" spans="1:5" ht="14.45" customHeight="1" x14ac:dyDescent="0.25">
      <c r="A21" s="49"/>
      <c r="C21" s="14"/>
      <c r="D21" s="14"/>
      <c r="E21" s="14"/>
    </row>
    <row r="22" spans="1:5" ht="14.45" customHeight="1" x14ac:dyDescent="0.25"/>
    <row r="23" spans="1:5" ht="14.45" customHeight="1" x14ac:dyDescent="0.25"/>
    <row r="24" spans="1:5" ht="14.45" customHeight="1" x14ac:dyDescent="0.25"/>
    <row r="25" spans="1:5" ht="14.45" customHeight="1" x14ac:dyDescent="0.25"/>
    <row r="26" spans="1:5" ht="14.45" customHeight="1" x14ac:dyDescent="0.25"/>
    <row r="27" spans="1:5" ht="14.45" customHeight="1" x14ac:dyDescent="0.25"/>
    <row r="28" spans="1:5" ht="14.45" customHeight="1" x14ac:dyDescent="0.25"/>
    <row r="29" spans="1:5" ht="14.45" customHeight="1" x14ac:dyDescent="0.25"/>
    <row r="30" spans="1:5" ht="14.45" customHeight="1" x14ac:dyDescent="0.25"/>
    <row r="31" spans="1:5" ht="14.45" customHeight="1" x14ac:dyDescent="0.25"/>
    <row r="33" ht="14.45" customHeight="1" x14ac:dyDescent="0.25"/>
    <row r="34" ht="14.45" customHeight="1" x14ac:dyDescent="0.25"/>
    <row r="35" ht="14.45" customHeight="1" x14ac:dyDescent="0.25"/>
    <row r="36" ht="14.45" customHeight="1" x14ac:dyDescent="0.25"/>
    <row r="37" ht="14.45" customHeight="1" x14ac:dyDescent="0.25"/>
    <row r="38" ht="14.45" customHeight="1" x14ac:dyDescent="0.25"/>
    <row r="39" ht="14.45" customHeight="1" x14ac:dyDescent="0.25"/>
    <row r="40" ht="14.45" customHeight="1" x14ac:dyDescent="0.25"/>
    <row r="41" ht="14.45" customHeight="1" x14ac:dyDescent="0.25"/>
    <row r="42" ht="14.45" customHeight="1" x14ac:dyDescent="0.25"/>
    <row r="43" ht="14.45" customHeight="1" x14ac:dyDescent="0.25"/>
    <row r="44" ht="14.45" customHeight="1" x14ac:dyDescent="0.25"/>
    <row r="45" ht="14.45" customHeight="1" x14ac:dyDescent="0.25"/>
    <row r="46" ht="14.45" customHeight="1" x14ac:dyDescent="0.25"/>
    <row r="47" ht="14.45" customHeight="1" x14ac:dyDescent="0.25"/>
    <row r="48" ht="14.45" customHeight="1" x14ac:dyDescent="0.25"/>
    <row r="97" ht="14.45" customHeight="1" x14ac:dyDescent="0.25"/>
    <row r="98" ht="14.45" customHeight="1" x14ac:dyDescent="0.25"/>
    <row r="99" ht="14.45" customHeight="1" x14ac:dyDescent="0.25"/>
  </sheetData>
  <pageMargins left="0.7" right="0.7" top="0.78740157499999996" bottom="0.78740157499999996"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69"/>
  <sheetViews>
    <sheetView zoomScale="75" zoomScaleNormal="75" workbookViewId="0">
      <pane xSplit="5" ySplit="1" topLeftCell="F2" activePane="bottomRight" state="frozen"/>
      <selection pane="topRight" activeCell="E1" sqref="E1"/>
      <selection pane="bottomLeft" activeCell="A2" sqref="A2"/>
      <selection pane="bottomRight" activeCell="G2" sqref="G2"/>
    </sheetView>
  </sheetViews>
  <sheetFormatPr defaultColWidth="9" defaultRowHeight="15" x14ac:dyDescent="0.25"/>
  <cols>
    <col min="1" max="1" width="20.25" style="2" bestFit="1" customWidth="1"/>
    <col min="2" max="2" width="31.625" style="2" customWidth="1"/>
    <col min="3" max="3" width="12" style="2" customWidth="1"/>
    <col min="4" max="4" width="31.625" style="2" customWidth="1"/>
    <col min="5" max="5" width="31.625" style="15" bestFit="1" customWidth="1"/>
    <col min="6" max="8" width="10.5" style="183" customWidth="1"/>
    <col min="9" max="9" width="44.375" style="22" customWidth="1"/>
    <col min="10" max="12" width="44.375" style="20" customWidth="1"/>
    <col min="13" max="16384" width="9" style="2"/>
  </cols>
  <sheetData>
    <row r="1" spans="1:12" x14ac:dyDescent="0.25">
      <c r="A1" s="24" t="s">
        <v>368</v>
      </c>
      <c r="B1" s="24" t="s">
        <v>0</v>
      </c>
      <c r="C1" s="18" t="s">
        <v>1</v>
      </c>
      <c r="D1" s="24" t="s">
        <v>762</v>
      </c>
      <c r="E1" s="19" t="s">
        <v>366</v>
      </c>
      <c r="F1" s="21" t="s">
        <v>1075</v>
      </c>
      <c r="G1" s="21" t="s">
        <v>1076</v>
      </c>
      <c r="H1" s="21" t="s">
        <v>1078</v>
      </c>
      <c r="I1" s="21" t="s">
        <v>426</v>
      </c>
      <c r="J1" s="29" t="s">
        <v>1034</v>
      </c>
      <c r="K1" s="29" t="s">
        <v>1029</v>
      </c>
      <c r="L1" s="29" t="s">
        <v>347</v>
      </c>
    </row>
    <row r="2" spans="1:12" ht="15" customHeight="1" x14ac:dyDescent="0.25">
      <c r="A2" s="361" t="s">
        <v>921</v>
      </c>
      <c r="B2" s="2" t="s">
        <v>342</v>
      </c>
      <c r="C2" s="2" t="s">
        <v>336</v>
      </c>
      <c r="D2" s="2" t="s">
        <v>361</v>
      </c>
      <c r="E2" s="12" t="s">
        <v>1084</v>
      </c>
      <c r="F2" s="366">
        <v>1</v>
      </c>
      <c r="G2" s="458">
        <f>[1]E_CZ_decarb_skill_levels!$J$23/[1]E_CZ_decarb_skill_levels!$J$19</f>
        <v>0.7777777777777779</v>
      </c>
      <c r="H2" s="458">
        <f>[1]E_CZ_decarb_skill_levels!$J$27/[1]E_CZ_decarb_skill_levels!$J$19</f>
        <v>0.66666666666666663</v>
      </c>
    </row>
    <row r="3" spans="1:12" x14ac:dyDescent="0.25">
      <c r="A3" s="361" t="s">
        <v>921</v>
      </c>
      <c r="B3" s="2" t="s">
        <v>342</v>
      </c>
      <c r="C3" s="2" t="s">
        <v>336</v>
      </c>
      <c r="D3" s="2" t="s">
        <v>361</v>
      </c>
      <c r="E3" s="12" t="s">
        <v>1085</v>
      </c>
      <c r="F3" s="366">
        <v>1</v>
      </c>
      <c r="G3" s="458">
        <f>[1]E_CZ_decarb_skill_levels!$J$24/[1]E_CZ_decarb_skill_levels!$J$20</f>
        <v>0.96923076923076923</v>
      </c>
      <c r="H3" s="458">
        <f>[1]E_CZ_decarb_skill_levels!$J$28/[1]E_CZ_decarb_skill_levels!$J$20</f>
        <v>0.86153846153846159</v>
      </c>
    </row>
    <row r="4" spans="1:12" x14ac:dyDescent="0.25">
      <c r="A4" s="361" t="s">
        <v>921</v>
      </c>
      <c r="B4" s="2" t="s">
        <v>342</v>
      </c>
      <c r="C4" s="2" t="s">
        <v>336</v>
      </c>
      <c r="D4" s="2" t="s">
        <v>361</v>
      </c>
      <c r="E4" s="12" t="s">
        <v>1086</v>
      </c>
      <c r="F4" s="366">
        <v>1</v>
      </c>
      <c r="G4" s="458">
        <f>[1]E_CZ_decarb_skill_levels!$J$25/[1]E_CZ_decarb_skill_levels!$J$21</f>
        <v>1.1538461538461537</v>
      </c>
      <c r="H4" s="458">
        <f>[1]E_CZ_decarb_skill_levels!$J$29/[1]E_CZ_decarb_skill_levels!$J$21</f>
        <v>1.4615384615384615</v>
      </c>
    </row>
    <row r="5" spans="1:12" ht="15" customHeight="1" x14ac:dyDescent="0.25">
      <c r="A5" s="361" t="s">
        <v>921</v>
      </c>
      <c r="B5" s="2" t="s">
        <v>342</v>
      </c>
      <c r="C5" s="2" t="s">
        <v>336</v>
      </c>
      <c r="D5" s="2" t="s">
        <v>361</v>
      </c>
      <c r="E5" s="12" t="s">
        <v>1088</v>
      </c>
      <c r="F5" s="366">
        <v>1</v>
      </c>
      <c r="G5" s="458">
        <v>0.95</v>
      </c>
      <c r="H5" s="458">
        <v>0.8</v>
      </c>
    </row>
    <row r="6" spans="1:12" x14ac:dyDescent="0.25">
      <c r="A6" s="361" t="s">
        <v>921</v>
      </c>
      <c r="B6" s="2" t="s">
        <v>342</v>
      </c>
      <c r="C6" s="2" t="s">
        <v>336</v>
      </c>
      <c r="D6" s="2" t="s">
        <v>361</v>
      </c>
      <c r="E6" s="12" t="s">
        <v>1087</v>
      </c>
      <c r="F6" s="366">
        <v>1</v>
      </c>
      <c r="G6" s="458">
        <v>1.05</v>
      </c>
      <c r="H6" s="458">
        <v>1.2</v>
      </c>
    </row>
    <row r="7" spans="1:12" x14ac:dyDescent="0.25">
      <c r="A7" s="361" t="s">
        <v>921</v>
      </c>
      <c r="B7" s="2" t="s">
        <v>342</v>
      </c>
      <c r="C7" s="2" t="s">
        <v>336</v>
      </c>
      <c r="D7" s="2" t="s">
        <v>361</v>
      </c>
      <c r="E7" s="12" t="s">
        <v>1089</v>
      </c>
      <c r="F7" s="366">
        <f>F5+F6</f>
        <v>2</v>
      </c>
      <c r="G7" s="364">
        <f>G5+G6</f>
        <v>2</v>
      </c>
      <c r="H7" s="364">
        <f>H5+H6</f>
        <v>2</v>
      </c>
    </row>
    <row r="8" spans="1:12" ht="14.45" customHeight="1" x14ac:dyDescent="0.25">
      <c r="A8" s="132" t="s">
        <v>921</v>
      </c>
      <c r="B8" s="2" t="s">
        <v>12</v>
      </c>
      <c r="C8" s="2" t="s">
        <v>13</v>
      </c>
      <c r="D8" s="2" t="s">
        <v>514</v>
      </c>
      <c r="E8" s="12" t="s">
        <v>1084</v>
      </c>
      <c r="F8" s="366">
        <v>1</v>
      </c>
      <c r="G8" s="458">
        <f>[1]E_CZ_decarb_skill_levels!$J$23/[1]E_CZ_decarb_skill_levels!$J$19</f>
        <v>0.7777777777777779</v>
      </c>
      <c r="H8" s="458">
        <f>[1]E_CZ_decarb_skill_levels!$J$27/[1]E_CZ_decarb_skill_levels!$J$19</f>
        <v>0.66666666666666663</v>
      </c>
      <c r="I8" s="20"/>
      <c r="J8" s="16"/>
      <c r="K8" s="14"/>
      <c r="L8" s="14"/>
    </row>
    <row r="9" spans="1:12" ht="14.45" customHeight="1" x14ac:dyDescent="0.25">
      <c r="A9" s="132" t="s">
        <v>921</v>
      </c>
      <c r="B9" s="2" t="s">
        <v>12</v>
      </c>
      <c r="C9" s="2" t="s">
        <v>13</v>
      </c>
      <c r="D9" s="2" t="s">
        <v>514</v>
      </c>
      <c r="E9" s="12" t="s">
        <v>1085</v>
      </c>
      <c r="F9" s="366">
        <v>1</v>
      </c>
      <c r="G9" s="458">
        <f>[1]E_CZ_decarb_skill_levels!$J$24/[1]E_CZ_decarb_skill_levels!$J$20</f>
        <v>0.96923076923076923</v>
      </c>
      <c r="H9" s="458">
        <f>[1]E_CZ_decarb_skill_levels!$J$28/[1]E_CZ_decarb_skill_levels!$J$20</f>
        <v>0.86153846153846159</v>
      </c>
      <c r="J9" s="12"/>
      <c r="K9" s="12"/>
      <c r="L9" s="12"/>
    </row>
    <row r="10" spans="1:12" ht="14.45" customHeight="1" x14ac:dyDescent="0.25">
      <c r="A10" s="132" t="s">
        <v>921</v>
      </c>
      <c r="B10" s="2" t="s">
        <v>12</v>
      </c>
      <c r="C10" s="2" t="s">
        <v>13</v>
      </c>
      <c r="D10" s="2" t="s">
        <v>514</v>
      </c>
      <c r="E10" s="12" t="s">
        <v>1086</v>
      </c>
      <c r="F10" s="366">
        <v>1</v>
      </c>
      <c r="G10" s="458">
        <f>[1]E_CZ_decarb_skill_levels!$J$25/[1]E_CZ_decarb_skill_levels!$J$21</f>
        <v>1.1538461538461537</v>
      </c>
      <c r="H10" s="458">
        <f>[1]E_CZ_decarb_skill_levels!$J$29/[1]E_CZ_decarb_skill_levels!$J$21</f>
        <v>1.4615384615384615</v>
      </c>
      <c r="J10" s="12"/>
      <c r="K10" s="12"/>
      <c r="L10" s="12"/>
    </row>
    <row r="11" spans="1:12" ht="14.45" customHeight="1" x14ac:dyDescent="0.25">
      <c r="A11" s="132" t="s">
        <v>921</v>
      </c>
      <c r="B11" s="2" t="s">
        <v>12</v>
      </c>
      <c r="C11" s="2" t="s">
        <v>13</v>
      </c>
      <c r="D11" s="2" t="s">
        <v>514</v>
      </c>
      <c r="E11" s="12" t="s">
        <v>1088</v>
      </c>
      <c r="F11" s="366">
        <v>1</v>
      </c>
      <c r="G11" s="458">
        <v>0.95</v>
      </c>
      <c r="H11" s="458">
        <v>0.8</v>
      </c>
    </row>
    <row r="12" spans="1:12" ht="14.45" customHeight="1" x14ac:dyDescent="0.25">
      <c r="A12" s="132" t="s">
        <v>921</v>
      </c>
      <c r="B12" s="2" t="s">
        <v>12</v>
      </c>
      <c r="C12" s="2" t="s">
        <v>13</v>
      </c>
      <c r="D12" s="2" t="s">
        <v>514</v>
      </c>
      <c r="E12" s="12" t="s">
        <v>1087</v>
      </c>
      <c r="F12" s="366">
        <v>1</v>
      </c>
      <c r="G12" s="458">
        <v>1.05</v>
      </c>
      <c r="H12" s="458">
        <v>1.2</v>
      </c>
    </row>
    <row r="13" spans="1:12" ht="14.45" customHeight="1" x14ac:dyDescent="0.25">
      <c r="A13" s="132" t="s">
        <v>921</v>
      </c>
      <c r="B13" s="2" t="s">
        <v>12</v>
      </c>
      <c r="C13" s="2" t="s">
        <v>13</v>
      </c>
      <c r="D13" s="2" t="s">
        <v>514</v>
      </c>
      <c r="E13" s="12" t="s">
        <v>1089</v>
      </c>
      <c r="F13" s="366">
        <f t="shared" ref="F13:H13" si="0">F11+F12</f>
        <v>2</v>
      </c>
      <c r="G13" s="364">
        <f t="shared" si="0"/>
        <v>2</v>
      </c>
      <c r="H13" s="364">
        <f t="shared" si="0"/>
        <v>2</v>
      </c>
    </row>
    <row r="14" spans="1:12" ht="14.45" customHeight="1" x14ac:dyDescent="0.25">
      <c r="A14" s="132" t="s">
        <v>921</v>
      </c>
      <c r="B14" s="2" t="s">
        <v>340</v>
      </c>
      <c r="C14" s="2" t="s">
        <v>338</v>
      </c>
      <c r="D14" s="2" t="s">
        <v>924</v>
      </c>
      <c r="E14" s="12" t="s">
        <v>1084</v>
      </c>
      <c r="F14" s="366">
        <v>1</v>
      </c>
      <c r="G14" s="458">
        <f>[1]E_CZ_decarb_skill_levels!$J$23/[1]E_CZ_decarb_skill_levels!$J$19</f>
        <v>0.7777777777777779</v>
      </c>
      <c r="H14" s="458">
        <f>[1]E_CZ_decarb_skill_levels!$J$27/[1]E_CZ_decarb_skill_levels!$J$19</f>
        <v>0.66666666666666663</v>
      </c>
      <c r="I14" s="12"/>
      <c r="J14" s="460"/>
      <c r="K14" s="460"/>
      <c r="L14" s="460"/>
    </row>
    <row r="15" spans="1:12" ht="14.45" customHeight="1" x14ac:dyDescent="0.25">
      <c r="A15" s="132" t="s">
        <v>921</v>
      </c>
      <c r="B15" s="2" t="s">
        <v>340</v>
      </c>
      <c r="C15" s="2" t="s">
        <v>338</v>
      </c>
      <c r="D15" s="2" t="s">
        <v>924</v>
      </c>
      <c r="E15" s="12" t="s">
        <v>1085</v>
      </c>
      <c r="F15" s="366">
        <v>1</v>
      </c>
      <c r="G15" s="458">
        <f>[1]E_CZ_decarb_skill_levels!$J$24/[1]E_CZ_decarb_skill_levels!$J$20</f>
        <v>0.96923076923076923</v>
      </c>
      <c r="H15" s="458">
        <f>[1]E_CZ_decarb_skill_levels!$J$28/[1]E_CZ_decarb_skill_levels!$J$20</f>
        <v>0.86153846153846159</v>
      </c>
      <c r="J15" s="22"/>
      <c r="K15" s="22"/>
      <c r="L15" s="22"/>
    </row>
    <row r="16" spans="1:12" ht="14.45" customHeight="1" x14ac:dyDescent="0.25">
      <c r="A16" s="132" t="s">
        <v>921</v>
      </c>
      <c r="B16" s="2" t="s">
        <v>340</v>
      </c>
      <c r="C16" s="2" t="s">
        <v>338</v>
      </c>
      <c r="D16" s="2" t="s">
        <v>924</v>
      </c>
      <c r="E16" s="12" t="s">
        <v>1086</v>
      </c>
      <c r="F16" s="366">
        <v>1</v>
      </c>
      <c r="G16" s="458">
        <f>[1]E_CZ_decarb_skill_levels!$J$25/[1]E_CZ_decarb_skill_levels!$J$21</f>
        <v>1.1538461538461537</v>
      </c>
      <c r="H16" s="458">
        <f>[1]E_CZ_decarb_skill_levels!$J$29/[1]E_CZ_decarb_skill_levels!$J$21</f>
        <v>1.4615384615384615</v>
      </c>
      <c r="J16" s="22"/>
      <c r="K16" s="22"/>
      <c r="L16" s="22"/>
    </row>
    <row r="17" spans="1:12" ht="14.45" customHeight="1" x14ac:dyDescent="0.25">
      <c r="A17" s="132" t="s">
        <v>921</v>
      </c>
      <c r="B17" s="2" t="s">
        <v>340</v>
      </c>
      <c r="C17" s="2" t="s">
        <v>338</v>
      </c>
      <c r="D17" s="2" t="s">
        <v>924</v>
      </c>
      <c r="E17" s="12" t="s">
        <v>1088</v>
      </c>
      <c r="F17" s="366">
        <v>1</v>
      </c>
      <c r="G17" s="458">
        <v>0.95</v>
      </c>
      <c r="H17" s="458">
        <v>0.8</v>
      </c>
      <c r="J17" s="22"/>
      <c r="K17" s="22"/>
      <c r="L17" s="22"/>
    </row>
    <row r="18" spans="1:12" ht="14.45" customHeight="1" x14ac:dyDescent="0.25">
      <c r="A18" s="132" t="s">
        <v>921</v>
      </c>
      <c r="B18" s="2" t="s">
        <v>340</v>
      </c>
      <c r="C18" s="2" t="s">
        <v>338</v>
      </c>
      <c r="D18" s="2" t="s">
        <v>924</v>
      </c>
      <c r="E18" s="12" t="s">
        <v>1087</v>
      </c>
      <c r="F18" s="366">
        <v>1</v>
      </c>
      <c r="G18" s="458">
        <v>1.05</v>
      </c>
      <c r="H18" s="458">
        <v>1.2</v>
      </c>
      <c r="J18" s="22"/>
      <c r="K18" s="22"/>
      <c r="L18" s="22"/>
    </row>
    <row r="19" spans="1:12" ht="14.45" customHeight="1" x14ac:dyDescent="0.25">
      <c r="A19" s="132" t="s">
        <v>921</v>
      </c>
      <c r="B19" s="2" t="s">
        <v>340</v>
      </c>
      <c r="C19" s="2" t="s">
        <v>338</v>
      </c>
      <c r="D19" s="2" t="s">
        <v>924</v>
      </c>
      <c r="E19" s="12" t="s">
        <v>1089</v>
      </c>
      <c r="F19" s="366">
        <f t="shared" ref="F19:H19" si="1">F17+F18</f>
        <v>2</v>
      </c>
      <c r="G19" s="364">
        <f t="shared" si="1"/>
        <v>2</v>
      </c>
      <c r="H19" s="364">
        <f t="shared" si="1"/>
        <v>2</v>
      </c>
      <c r="J19" s="22"/>
      <c r="K19" s="22"/>
      <c r="L19" s="22"/>
    </row>
    <row r="20" spans="1:12" s="24" customFormat="1" ht="14.45" customHeight="1" x14ac:dyDescent="0.25">
      <c r="A20" s="132" t="s">
        <v>921</v>
      </c>
      <c r="B20" s="2" t="s">
        <v>341</v>
      </c>
      <c r="C20" s="2" t="s">
        <v>339</v>
      </c>
      <c r="D20" s="2" t="s">
        <v>925</v>
      </c>
      <c r="E20" s="12" t="s">
        <v>1084</v>
      </c>
      <c r="F20" s="366">
        <v>1</v>
      </c>
      <c r="G20" s="458">
        <f>[1]E_CZ_decarb_skill_levels!$J$23/[1]E_CZ_decarb_skill_levels!$J$19</f>
        <v>0.7777777777777779</v>
      </c>
      <c r="H20" s="458">
        <f>[1]E_CZ_decarb_skill_levels!$J$27/[1]E_CZ_decarb_skill_levels!$J$19</f>
        <v>0.66666666666666663</v>
      </c>
      <c r="I20" s="21"/>
      <c r="J20" s="460"/>
      <c r="K20" s="460"/>
      <c r="L20" s="460"/>
    </row>
    <row r="21" spans="1:12" s="24" customFormat="1" ht="14.45" customHeight="1" x14ac:dyDescent="0.25">
      <c r="A21" s="132" t="s">
        <v>921</v>
      </c>
      <c r="B21" s="2" t="s">
        <v>341</v>
      </c>
      <c r="C21" s="2" t="s">
        <v>339</v>
      </c>
      <c r="D21" s="2" t="s">
        <v>925</v>
      </c>
      <c r="E21" s="12" t="s">
        <v>1085</v>
      </c>
      <c r="F21" s="366">
        <v>1</v>
      </c>
      <c r="G21" s="458">
        <f>[1]E_CZ_decarb_skill_levels!$J$24/[1]E_CZ_decarb_skill_levels!$J$20</f>
        <v>0.96923076923076923</v>
      </c>
      <c r="H21" s="458">
        <f>[1]E_CZ_decarb_skill_levels!$J$28/[1]E_CZ_decarb_skill_levels!$J$20</f>
        <v>0.86153846153846159</v>
      </c>
      <c r="I21" s="21"/>
      <c r="J21" s="460"/>
      <c r="K21" s="460"/>
      <c r="L21" s="460"/>
    </row>
    <row r="22" spans="1:12" s="24" customFormat="1" ht="14.45" customHeight="1" x14ac:dyDescent="0.25">
      <c r="A22" s="132" t="s">
        <v>921</v>
      </c>
      <c r="B22" s="2" t="s">
        <v>341</v>
      </c>
      <c r="C22" s="2" t="s">
        <v>339</v>
      </c>
      <c r="D22" s="2" t="s">
        <v>925</v>
      </c>
      <c r="E22" s="12" t="s">
        <v>1086</v>
      </c>
      <c r="F22" s="366">
        <v>1</v>
      </c>
      <c r="G22" s="458">
        <f>[1]E_CZ_decarb_skill_levels!$J$25/[1]E_CZ_decarb_skill_levels!$J$21</f>
        <v>1.1538461538461537</v>
      </c>
      <c r="H22" s="458">
        <f>[1]E_CZ_decarb_skill_levels!$J$29/[1]E_CZ_decarb_skill_levels!$J$21</f>
        <v>1.4615384615384615</v>
      </c>
      <c r="I22" s="21"/>
      <c r="J22" s="460"/>
      <c r="K22" s="460"/>
      <c r="L22" s="460"/>
    </row>
    <row r="23" spans="1:12" s="24" customFormat="1" ht="14.45" customHeight="1" x14ac:dyDescent="0.25">
      <c r="A23" s="132" t="s">
        <v>921</v>
      </c>
      <c r="B23" s="2" t="s">
        <v>341</v>
      </c>
      <c r="C23" s="2" t="s">
        <v>339</v>
      </c>
      <c r="D23" s="2" t="s">
        <v>925</v>
      </c>
      <c r="E23" s="12" t="s">
        <v>1088</v>
      </c>
      <c r="F23" s="366">
        <v>1</v>
      </c>
      <c r="G23" s="458">
        <v>0.95</v>
      </c>
      <c r="H23" s="458">
        <v>0.8</v>
      </c>
      <c r="I23" s="21"/>
      <c r="J23" s="460"/>
      <c r="K23" s="460"/>
      <c r="L23" s="460"/>
    </row>
    <row r="24" spans="1:12" s="24" customFormat="1" ht="14.45" customHeight="1" x14ac:dyDescent="0.25">
      <c r="A24" s="132" t="s">
        <v>921</v>
      </c>
      <c r="B24" s="2" t="s">
        <v>341</v>
      </c>
      <c r="C24" s="2" t="s">
        <v>339</v>
      </c>
      <c r="D24" s="2" t="s">
        <v>925</v>
      </c>
      <c r="E24" s="12" t="s">
        <v>1087</v>
      </c>
      <c r="F24" s="366">
        <v>1</v>
      </c>
      <c r="G24" s="458">
        <v>1.05</v>
      </c>
      <c r="H24" s="458">
        <v>1.2</v>
      </c>
      <c r="I24" s="21"/>
      <c r="J24" s="460"/>
      <c r="K24" s="460"/>
      <c r="L24" s="460"/>
    </row>
    <row r="25" spans="1:12" s="24" customFormat="1" ht="14.45" customHeight="1" x14ac:dyDescent="0.25">
      <c r="A25" s="132" t="s">
        <v>921</v>
      </c>
      <c r="B25" s="2" t="s">
        <v>341</v>
      </c>
      <c r="C25" s="2" t="s">
        <v>339</v>
      </c>
      <c r="D25" s="2" t="s">
        <v>925</v>
      </c>
      <c r="E25" s="12" t="s">
        <v>1089</v>
      </c>
      <c r="F25" s="366">
        <f t="shared" ref="F25:H25" si="2">F23+F24</f>
        <v>2</v>
      </c>
      <c r="G25" s="364">
        <f t="shared" si="2"/>
        <v>2</v>
      </c>
      <c r="H25" s="364">
        <f t="shared" si="2"/>
        <v>2</v>
      </c>
      <c r="I25" s="21"/>
      <c r="J25" s="460"/>
      <c r="K25" s="460"/>
      <c r="L25" s="460"/>
    </row>
    <row r="26" spans="1:12" ht="15" customHeight="1" x14ac:dyDescent="0.25">
      <c r="A26" s="2" t="s">
        <v>944</v>
      </c>
      <c r="B26" s="2" t="s">
        <v>203</v>
      </c>
      <c r="C26" s="2" t="s">
        <v>733</v>
      </c>
      <c r="D26" s="2" t="s">
        <v>741</v>
      </c>
      <c r="E26" s="12" t="s">
        <v>1084</v>
      </c>
      <c r="F26" s="366">
        <v>1</v>
      </c>
      <c r="G26" s="357">
        <f>[1]E_CZ_decarb_skill_levels!$I$23/[1]E_CZ_decarb_skill_levels!$I$19</f>
        <v>0.78504072261940416</v>
      </c>
      <c r="H26" s="357">
        <f>[1]E_CZ_decarb_skill_levels!$I$27/[1]E_CZ_decarb_skill_levels!$I$19</f>
        <v>0.78504072261940416</v>
      </c>
      <c r="J26" s="71"/>
      <c r="K26" s="22"/>
      <c r="L26" s="22"/>
    </row>
    <row r="27" spans="1:12" x14ac:dyDescent="0.25">
      <c r="A27" s="2" t="s">
        <v>944</v>
      </c>
      <c r="B27" s="2" t="s">
        <v>203</v>
      </c>
      <c r="C27" s="2" t="s">
        <v>733</v>
      </c>
      <c r="D27" s="2" t="s">
        <v>741</v>
      </c>
      <c r="E27" s="12" t="s">
        <v>1085</v>
      </c>
      <c r="F27" s="366">
        <v>1</v>
      </c>
      <c r="G27" s="357">
        <f>[1]E_CZ_decarb_skill_levels!$I$24/[1]E_CZ_decarb_skill_levels!$I$20</f>
        <v>0.93591080273322658</v>
      </c>
      <c r="H27" s="357">
        <f>[1]E_CZ_decarb_skill_levels!$I$28/[1]E_CZ_decarb_skill_levels!$I$20</f>
        <v>0.86163216759566885</v>
      </c>
      <c r="J27" s="71"/>
      <c r="K27" s="22"/>
      <c r="L27" s="22"/>
    </row>
    <row r="28" spans="1:12" x14ac:dyDescent="0.25">
      <c r="A28" s="2" t="s">
        <v>944</v>
      </c>
      <c r="B28" s="2" t="s">
        <v>203</v>
      </c>
      <c r="C28" s="2" t="s">
        <v>733</v>
      </c>
      <c r="D28" s="2" t="s">
        <v>741</v>
      </c>
      <c r="E28" s="12" t="s">
        <v>1086</v>
      </c>
      <c r="F28" s="366">
        <v>1</v>
      </c>
      <c r="G28" s="357">
        <f>[1]E_CZ_decarb_skill_levels!$I$25/[1]E_CZ_decarb_skill_levels!$I$21</f>
        <v>1.2621397850903708</v>
      </c>
      <c r="H28" s="357">
        <f>[1]E_CZ_decarb_skill_levels!$I$29/[1]E_CZ_decarb_skill_levels!$I$21</f>
        <v>1.4724964159387661</v>
      </c>
      <c r="J28" s="71"/>
      <c r="K28" s="22"/>
      <c r="L28" s="22"/>
    </row>
    <row r="29" spans="1:12" ht="15" customHeight="1" x14ac:dyDescent="0.25">
      <c r="A29" s="2" t="s">
        <v>944</v>
      </c>
      <c r="B29" s="2" t="s">
        <v>203</v>
      </c>
      <c r="C29" s="2" t="s">
        <v>733</v>
      </c>
      <c r="D29" s="2" t="s">
        <v>741</v>
      </c>
      <c r="E29" s="12" t="s">
        <v>1088</v>
      </c>
      <c r="F29" s="366">
        <v>1</v>
      </c>
      <c r="G29" s="458">
        <v>0.95</v>
      </c>
      <c r="H29" s="458">
        <v>0.8</v>
      </c>
      <c r="J29" s="71"/>
      <c r="K29" s="22"/>
      <c r="L29" s="22"/>
    </row>
    <row r="30" spans="1:12" x14ac:dyDescent="0.25">
      <c r="A30" s="2" t="s">
        <v>944</v>
      </c>
      <c r="B30" s="2" t="s">
        <v>203</v>
      </c>
      <c r="C30" s="2" t="s">
        <v>733</v>
      </c>
      <c r="D30" s="2" t="s">
        <v>741</v>
      </c>
      <c r="E30" s="12" t="s">
        <v>1087</v>
      </c>
      <c r="F30" s="366">
        <v>1</v>
      </c>
      <c r="G30" s="458">
        <v>1.05</v>
      </c>
      <c r="H30" s="458">
        <v>1.2</v>
      </c>
      <c r="J30" s="71"/>
      <c r="K30" s="22"/>
      <c r="L30" s="22"/>
    </row>
    <row r="31" spans="1:12" x14ac:dyDescent="0.25">
      <c r="A31" s="2" t="s">
        <v>944</v>
      </c>
      <c r="B31" s="2" t="s">
        <v>203</v>
      </c>
      <c r="C31" s="2" t="s">
        <v>733</v>
      </c>
      <c r="D31" s="2" t="s">
        <v>741</v>
      </c>
      <c r="E31" s="12" t="s">
        <v>1089</v>
      </c>
      <c r="F31" s="366">
        <f t="shared" ref="F31:H31" si="3">F29+F30</f>
        <v>2</v>
      </c>
      <c r="G31" s="364">
        <f t="shared" si="3"/>
        <v>2</v>
      </c>
      <c r="H31" s="364">
        <f t="shared" si="3"/>
        <v>2</v>
      </c>
      <c r="J31" s="71"/>
      <c r="K31" s="22"/>
      <c r="L31" s="22"/>
    </row>
    <row r="32" spans="1:12" ht="15" customHeight="1" x14ac:dyDescent="0.25">
      <c r="A32" s="2" t="s">
        <v>944</v>
      </c>
      <c r="B32" s="2" t="s">
        <v>203</v>
      </c>
      <c r="C32" s="2" t="s">
        <v>734</v>
      </c>
      <c r="D32" s="2" t="s">
        <v>940</v>
      </c>
      <c r="E32" s="12" t="s">
        <v>1084</v>
      </c>
      <c r="F32" s="366">
        <v>1</v>
      </c>
      <c r="G32" s="357">
        <f>[1]E_CZ_decarb_skill_levels!$I$23/[1]E_CZ_decarb_skill_levels!$I$19</f>
        <v>0.78504072261940416</v>
      </c>
      <c r="H32" s="357">
        <f>[1]E_CZ_decarb_skill_levels!$I$27/[1]E_CZ_decarb_skill_levels!$I$19</f>
        <v>0.78504072261940416</v>
      </c>
      <c r="K32" s="22"/>
      <c r="L32" s="22"/>
    </row>
    <row r="33" spans="1:12" x14ac:dyDescent="0.25">
      <c r="A33" s="2" t="s">
        <v>944</v>
      </c>
      <c r="B33" s="2" t="s">
        <v>203</v>
      </c>
      <c r="C33" s="2" t="s">
        <v>734</v>
      </c>
      <c r="D33" s="2" t="s">
        <v>940</v>
      </c>
      <c r="E33" s="12" t="s">
        <v>1085</v>
      </c>
      <c r="F33" s="366">
        <v>1</v>
      </c>
      <c r="G33" s="357">
        <f>[1]E_CZ_decarb_skill_levels!$I$24/[1]E_CZ_decarb_skill_levels!$I$20</f>
        <v>0.93591080273322658</v>
      </c>
      <c r="H33" s="357">
        <f>[1]E_CZ_decarb_skill_levels!$I$28/[1]E_CZ_decarb_skill_levels!$I$20</f>
        <v>0.86163216759566885</v>
      </c>
      <c r="K33" s="22"/>
      <c r="L33" s="22"/>
    </row>
    <row r="34" spans="1:12" x14ac:dyDescent="0.25">
      <c r="A34" s="2" t="s">
        <v>944</v>
      </c>
      <c r="B34" s="2" t="s">
        <v>203</v>
      </c>
      <c r="C34" s="2" t="s">
        <v>734</v>
      </c>
      <c r="D34" s="2" t="s">
        <v>940</v>
      </c>
      <c r="E34" s="12" t="s">
        <v>1086</v>
      </c>
      <c r="F34" s="366">
        <v>1</v>
      </c>
      <c r="G34" s="357">
        <f>[1]E_CZ_decarb_skill_levels!$I$25/[1]E_CZ_decarb_skill_levels!$I$21</f>
        <v>1.2621397850903708</v>
      </c>
      <c r="H34" s="357">
        <f>[1]E_CZ_decarb_skill_levels!$I$29/[1]E_CZ_decarb_skill_levels!$I$21</f>
        <v>1.4724964159387661</v>
      </c>
      <c r="K34" s="22"/>
      <c r="L34" s="22"/>
    </row>
    <row r="35" spans="1:12" ht="15" customHeight="1" x14ac:dyDescent="0.25">
      <c r="A35" s="2" t="s">
        <v>944</v>
      </c>
      <c r="B35" s="2" t="s">
        <v>203</v>
      </c>
      <c r="C35" s="2" t="s">
        <v>734</v>
      </c>
      <c r="D35" s="2" t="s">
        <v>940</v>
      </c>
      <c r="E35" s="12" t="s">
        <v>1088</v>
      </c>
      <c r="F35" s="366">
        <v>1</v>
      </c>
      <c r="G35" s="458">
        <v>0.95</v>
      </c>
      <c r="H35" s="458">
        <v>0.8</v>
      </c>
      <c r="J35" s="71"/>
      <c r="K35" s="22"/>
      <c r="L35" s="22"/>
    </row>
    <row r="36" spans="1:12" x14ac:dyDescent="0.25">
      <c r="A36" s="2" t="s">
        <v>944</v>
      </c>
      <c r="B36" s="2" t="s">
        <v>203</v>
      </c>
      <c r="C36" s="2" t="s">
        <v>734</v>
      </c>
      <c r="D36" s="2" t="s">
        <v>940</v>
      </c>
      <c r="E36" s="12" t="s">
        <v>1087</v>
      </c>
      <c r="F36" s="366">
        <v>1</v>
      </c>
      <c r="G36" s="458">
        <v>1.05</v>
      </c>
      <c r="H36" s="458">
        <v>1.2</v>
      </c>
      <c r="J36" s="71"/>
      <c r="K36" s="22"/>
      <c r="L36" s="22"/>
    </row>
    <row r="37" spans="1:12" x14ac:dyDescent="0.25">
      <c r="A37" s="2" t="s">
        <v>944</v>
      </c>
      <c r="B37" s="2" t="s">
        <v>203</v>
      </c>
      <c r="C37" s="2" t="s">
        <v>734</v>
      </c>
      <c r="D37" s="2" t="s">
        <v>940</v>
      </c>
      <c r="E37" s="12" t="s">
        <v>1089</v>
      </c>
      <c r="F37" s="366">
        <f t="shared" ref="F37:H37" si="4">F35+F36</f>
        <v>2</v>
      </c>
      <c r="G37" s="364">
        <f t="shared" si="4"/>
        <v>2</v>
      </c>
      <c r="H37" s="364">
        <f t="shared" si="4"/>
        <v>2</v>
      </c>
      <c r="J37" s="71"/>
      <c r="K37" s="22"/>
      <c r="L37" s="22"/>
    </row>
    <row r="38" spans="1:12" ht="15" customHeight="1" x14ac:dyDescent="0.25">
      <c r="A38" s="2" t="s">
        <v>919</v>
      </c>
      <c r="B38" s="1" t="s">
        <v>139</v>
      </c>
      <c r="C38" s="2" t="s">
        <v>737</v>
      </c>
      <c r="D38" s="2" t="s">
        <v>817</v>
      </c>
      <c r="E38" s="12" t="s">
        <v>1084</v>
      </c>
      <c r="F38" s="366">
        <v>1</v>
      </c>
      <c r="G38" s="357">
        <f>[1]E_CZ_decarb_skill_levels!$B$23/[1]E_CZ_decarb_skill_levels!$B$19</f>
        <v>0.71995410517288583</v>
      </c>
      <c r="H38" s="357">
        <f>[1]E_CZ_decarb_skill_levels!$B$27/[1]E_CZ_decarb_skill_levels!$B$19</f>
        <v>0.51425293226634694</v>
      </c>
      <c r="J38" s="139"/>
      <c r="K38" s="22"/>
      <c r="L38" s="22"/>
    </row>
    <row r="39" spans="1:12" x14ac:dyDescent="0.25">
      <c r="A39" s="2" t="s">
        <v>919</v>
      </c>
      <c r="B39" s="1" t="s">
        <v>139</v>
      </c>
      <c r="C39" s="2" t="s">
        <v>737</v>
      </c>
      <c r="D39" s="2" t="s">
        <v>817</v>
      </c>
      <c r="E39" s="12" t="s">
        <v>1085</v>
      </c>
      <c r="F39" s="366">
        <v>1</v>
      </c>
      <c r="G39" s="357">
        <f>[1]E_CZ_decarb_skill_levels!$B$24/[1]E_CZ_decarb_skill_levels!$B$20</f>
        <v>0.94883630591391932</v>
      </c>
      <c r="H39" s="357">
        <f>[1]E_CZ_decarb_skill_levels!$B$28/[1]E_CZ_decarb_skill_levels!$B$20</f>
        <v>0.85847094344592689</v>
      </c>
      <c r="J39" s="139"/>
      <c r="K39" s="22"/>
      <c r="L39" s="22"/>
    </row>
    <row r="40" spans="1:12" x14ac:dyDescent="0.25">
      <c r="A40" s="2" t="s">
        <v>919</v>
      </c>
      <c r="B40" s="1" t="s">
        <v>139</v>
      </c>
      <c r="C40" s="2" t="s">
        <v>737</v>
      </c>
      <c r="D40" s="2" t="s">
        <v>817</v>
      </c>
      <c r="E40" s="12" t="s">
        <v>1086</v>
      </c>
      <c r="F40" s="366">
        <v>1</v>
      </c>
      <c r="G40" s="357">
        <f>[1]E_CZ_decarb_skill_levels!$B$25/[1]E_CZ_decarb_skill_levels!$B$21</f>
        <v>1.2562795143989813</v>
      </c>
      <c r="H40" s="357">
        <f>[1]E_CZ_decarb_skill_levels!$B$29/[1]E_CZ_decarb_skill_levels!$B$21</f>
        <v>1.5912873849053766</v>
      </c>
      <c r="J40" s="139"/>
      <c r="K40" s="22"/>
      <c r="L40" s="22"/>
    </row>
    <row r="41" spans="1:12" ht="15" customHeight="1" x14ac:dyDescent="0.25">
      <c r="A41" s="2" t="s">
        <v>919</v>
      </c>
      <c r="B41" s="1" t="s">
        <v>139</v>
      </c>
      <c r="C41" s="2" t="s">
        <v>737</v>
      </c>
      <c r="D41" s="2" t="s">
        <v>817</v>
      </c>
      <c r="E41" s="12" t="s">
        <v>1088</v>
      </c>
      <c r="F41" s="366">
        <v>1</v>
      </c>
      <c r="G41" s="458">
        <v>0.95</v>
      </c>
      <c r="H41" s="458">
        <v>0.8</v>
      </c>
      <c r="J41" s="139"/>
      <c r="K41" s="22"/>
      <c r="L41" s="22"/>
    </row>
    <row r="42" spans="1:12" x14ac:dyDescent="0.25">
      <c r="A42" s="2" t="s">
        <v>919</v>
      </c>
      <c r="B42" s="1" t="s">
        <v>139</v>
      </c>
      <c r="C42" s="2" t="s">
        <v>737</v>
      </c>
      <c r="D42" s="2" t="s">
        <v>817</v>
      </c>
      <c r="E42" s="12" t="s">
        <v>1087</v>
      </c>
      <c r="F42" s="366">
        <v>1</v>
      </c>
      <c r="G42" s="458">
        <v>1.05</v>
      </c>
      <c r="H42" s="458">
        <v>1.2</v>
      </c>
      <c r="J42" s="139"/>
      <c r="K42" s="22"/>
      <c r="L42" s="22"/>
    </row>
    <row r="43" spans="1:12" x14ac:dyDescent="0.25">
      <c r="A43" s="2" t="s">
        <v>919</v>
      </c>
      <c r="B43" s="1" t="s">
        <v>139</v>
      </c>
      <c r="C43" s="2" t="s">
        <v>737</v>
      </c>
      <c r="D43" s="2" t="s">
        <v>817</v>
      </c>
      <c r="E43" s="12" t="s">
        <v>1089</v>
      </c>
      <c r="F43" s="366">
        <f t="shared" ref="F43" si="5">F41+F42</f>
        <v>2</v>
      </c>
      <c r="G43" s="364">
        <f>G41+G42</f>
        <v>2</v>
      </c>
      <c r="H43" s="364">
        <f t="shared" ref="H43" si="6">H41+H42</f>
        <v>2</v>
      </c>
      <c r="J43" s="139"/>
      <c r="K43" s="22"/>
      <c r="L43" s="22"/>
    </row>
    <row r="44" spans="1:12" ht="15" customHeight="1" x14ac:dyDescent="0.25">
      <c r="A44" s="2" t="s">
        <v>919</v>
      </c>
      <c r="B44" s="1" t="s">
        <v>139</v>
      </c>
      <c r="C44" s="2" t="s">
        <v>738</v>
      </c>
      <c r="D44" s="2" t="s">
        <v>819</v>
      </c>
      <c r="E44" s="12" t="s">
        <v>1084</v>
      </c>
      <c r="F44" s="366">
        <v>1</v>
      </c>
      <c r="G44" s="357">
        <f>[1]E_CZ_decarb_skill_levels!$B$23/[1]E_CZ_decarb_skill_levels!$B$19</f>
        <v>0.71995410517288583</v>
      </c>
      <c r="H44" s="357">
        <f>[1]E_CZ_decarb_skill_levels!$B$27/[1]E_CZ_decarb_skill_levels!$B$19</f>
        <v>0.51425293226634694</v>
      </c>
      <c r="J44" s="139"/>
      <c r="K44" s="22"/>
      <c r="L44" s="22"/>
    </row>
    <row r="45" spans="1:12" x14ac:dyDescent="0.25">
      <c r="A45" s="2" t="s">
        <v>919</v>
      </c>
      <c r="B45" s="1" t="s">
        <v>139</v>
      </c>
      <c r="C45" s="2" t="s">
        <v>738</v>
      </c>
      <c r="D45" s="2" t="s">
        <v>819</v>
      </c>
      <c r="E45" s="12" t="s">
        <v>1085</v>
      </c>
      <c r="F45" s="366">
        <v>1</v>
      </c>
      <c r="G45" s="357">
        <f>[1]E_CZ_decarb_skill_levels!$B$24/[1]E_CZ_decarb_skill_levels!$B$20</f>
        <v>0.94883630591391932</v>
      </c>
      <c r="H45" s="357">
        <f>[1]E_CZ_decarb_skill_levels!$B$28/[1]E_CZ_decarb_skill_levels!$B$20</f>
        <v>0.85847094344592689</v>
      </c>
      <c r="J45" s="139"/>
      <c r="K45" s="22"/>
      <c r="L45" s="22"/>
    </row>
    <row r="46" spans="1:12" x14ac:dyDescent="0.25">
      <c r="A46" s="2" t="s">
        <v>919</v>
      </c>
      <c r="B46" s="1" t="s">
        <v>139</v>
      </c>
      <c r="C46" s="2" t="s">
        <v>738</v>
      </c>
      <c r="D46" s="2" t="s">
        <v>819</v>
      </c>
      <c r="E46" s="12" t="s">
        <v>1086</v>
      </c>
      <c r="F46" s="366">
        <v>1</v>
      </c>
      <c r="G46" s="357">
        <f>[1]E_CZ_decarb_skill_levels!$B$25/[1]E_CZ_decarb_skill_levels!$B$21</f>
        <v>1.2562795143989813</v>
      </c>
      <c r="H46" s="357">
        <f>[1]E_CZ_decarb_skill_levels!$B$29/[1]E_CZ_decarb_skill_levels!$B$21</f>
        <v>1.5912873849053766</v>
      </c>
      <c r="J46" s="139"/>
      <c r="K46" s="22"/>
      <c r="L46" s="22"/>
    </row>
    <row r="47" spans="1:12" ht="15" customHeight="1" x14ac:dyDescent="0.25">
      <c r="A47" s="2" t="s">
        <v>919</v>
      </c>
      <c r="B47" s="1" t="s">
        <v>139</v>
      </c>
      <c r="C47" s="2" t="s">
        <v>738</v>
      </c>
      <c r="D47" s="2" t="s">
        <v>819</v>
      </c>
      <c r="E47" s="12" t="s">
        <v>1088</v>
      </c>
      <c r="F47" s="366">
        <v>1</v>
      </c>
      <c r="G47" s="458">
        <v>0.95</v>
      </c>
      <c r="H47" s="458">
        <v>0.8</v>
      </c>
      <c r="J47" s="139"/>
      <c r="K47" s="22"/>
      <c r="L47" s="22"/>
    </row>
    <row r="48" spans="1:12" x14ac:dyDescent="0.25">
      <c r="A48" s="2" t="s">
        <v>919</v>
      </c>
      <c r="B48" s="1" t="s">
        <v>139</v>
      </c>
      <c r="C48" s="2" t="s">
        <v>738</v>
      </c>
      <c r="D48" s="2" t="s">
        <v>819</v>
      </c>
      <c r="E48" s="12" t="s">
        <v>1087</v>
      </c>
      <c r="F48" s="366">
        <v>1</v>
      </c>
      <c r="G48" s="458">
        <v>1.05</v>
      </c>
      <c r="H48" s="458">
        <v>1.2</v>
      </c>
      <c r="J48" s="139"/>
      <c r="K48" s="22"/>
      <c r="L48" s="22"/>
    </row>
    <row r="49" spans="1:12" x14ac:dyDescent="0.25">
      <c r="A49" s="2" t="s">
        <v>919</v>
      </c>
      <c r="B49" s="1" t="s">
        <v>139</v>
      </c>
      <c r="C49" s="2" t="s">
        <v>738</v>
      </c>
      <c r="D49" s="2" t="s">
        <v>819</v>
      </c>
      <c r="E49" s="12" t="s">
        <v>1089</v>
      </c>
      <c r="F49" s="366">
        <f t="shared" ref="F49" si="7">F47+F48</f>
        <v>2</v>
      </c>
      <c r="G49" s="364">
        <f t="shared" ref="G49" si="8">G47+G48</f>
        <v>2</v>
      </c>
      <c r="H49" s="364">
        <f t="shared" ref="H49" si="9">H47+H48</f>
        <v>2</v>
      </c>
      <c r="J49" s="139"/>
      <c r="K49" s="22"/>
      <c r="L49" s="22"/>
    </row>
    <row r="50" spans="1:12" ht="15" customHeight="1" x14ac:dyDescent="0.25">
      <c r="A50" s="2" t="s">
        <v>919</v>
      </c>
      <c r="B50" s="1" t="s">
        <v>139</v>
      </c>
      <c r="C50" s="2" t="s">
        <v>748</v>
      </c>
      <c r="D50" s="2" t="s">
        <v>820</v>
      </c>
      <c r="E50" s="12" t="s">
        <v>1084</v>
      </c>
      <c r="F50" s="366">
        <v>1</v>
      </c>
      <c r="G50" s="357">
        <f>[1]E_CZ_decarb_skill_levels!$B$23/[1]E_CZ_decarb_skill_levels!$B$19</f>
        <v>0.71995410517288583</v>
      </c>
      <c r="H50" s="357">
        <f>[1]E_CZ_decarb_skill_levels!$B$27/[1]E_CZ_decarb_skill_levels!$B$19</f>
        <v>0.51425293226634694</v>
      </c>
      <c r="J50" s="139"/>
      <c r="K50" s="22"/>
      <c r="L50" s="22"/>
    </row>
    <row r="51" spans="1:12" x14ac:dyDescent="0.25">
      <c r="A51" s="2" t="s">
        <v>919</v>
      </c>
      <c r="B51" s="1" t="s">
        <v>139</v>
      </c>
      <c r="C51" s="2" t="s">
        <v>748</v>
      </c>
      <c r="D51" s="2" t="s">
        <v>820</v>
      </c>
      <c r="E51" s="12" t="s">
        <v>1085</v>
      </c>
      <c r="F51" s="366">
        <v>1</v>
      </c>
      <c r="G51" s="357">
        <f>[1]E_CZ_decarb_skill_levels!$B$24/[1]E_CZ_decarb_skill_levels!$B$20</f>
        <v>0.94883630591391932</v>
      </c>
      <c r="H51" s="357">
        <f>[1]E_CZ_decarb_skill_levels!$B$28/[1]E_CZ_decarb_skill_levels!$B$20</f>
        <v>0.85847094344592689</v>
      </c>
      <c r="K51" s="22"/>
      <c r="L51" s="22"/>
    </row>
    <row r="52" spans="1:12" x14ac:dyDescent="0.25">
      <c r="A52" s="2" t="s">
        <v>919</v>
      </c>
      <c r="B52" s="1" t="s">
        <v>139</v>
      </c>
      <c r="C52" s="2" t="s">
        <v>748</v>
      </c>
      <c r="D52" s="2" t="s">
        <v>820</v>
      </c>
      <c r="E52" s="12" t="s">
        <v>1086</v>
      </c>
      <c r="F52" s="366">
        <v>1</v>
      </c>
      <c r="G52" s="357">
        <f>[1]E_CZ_decarb_skill_levels!$B$25/[1]E_CZ_decarb_skill_levels!$B$21</f>
        <v>1.2562795143989813</v>
      </c>
      <c r="H52" s="357">
        <f>[1]E_CZ_decarb_skill_levels!$B$29/[1]E_CZ_decarb_skill_levels!$B$21</f>
        <v>1.5912873849053766</v>
      </c>
      <c r="K52" s="22"/>
      <c r="L52" s="22"/>
    </row>
    <row r="53" spans="1:12" ht="15" customHeight="1" x14ac:dyDescent="0.25">
      <c r="A53" s="2" t="s">
        <v>919</v>
      </c>
      <c r="B53" s="1" t="s">
        <v>139</v>
      </c>
      <c r="C53" s="2" t="s">
        <v>748</v>
      </c>
      <c r="D53" s="2" t="s">
        <v>820</v>
      </c>
      <c r="E53" s="12" t="s">
        <v>1088</v>
      </c>
      <c r="F53" s="366">
        <v>1</v>
      </c>
      <c r="G53" s="458">
        <v>0.95</v>
      </c>
      <c r="H53" s="458">
        <v>0.8</v>
      </c>
      <c r="K53" s="22"/>
      <c r="L53" s="22"/>
    </row>
    <row r="54" spans="1:12" x14ac:dyDescent="0.25">
      <c r="A54" s="2" t="s">
        <v>919</v>
      </c>
      <c r="B54" s="1" t="s">
        <v>139</v>
      </c>
      <c r="C54" s="2" t="s">
        <v>748</v>
      </c>
      <c r="D54" s="2" t="s">
        <v>820</v>
      </c>
      <c r="E54" s="12" t="s">
        <v>1087</v>
      </c>
      <c r="F54" s="366">
        <v>1</v>
      </c>
      <c r="G54" s="458">
        <v>1.05</v>
      </c>
      <c r="H54" s="458">
        <v>1.2</v>
      </c>
      <c r="K54" s="22"/>
      <c r="L54" s="22"/>
    </row>
    <row r="55" spans="1:12" x14ac:dyDescent="0.25">
      <c r="A55" s="2" t="s">
        <v>919</v>
      </c>
      <c r="B55" s="1" t="s">
        <v>139</v>
      </c>
      <c r="C55" s="2" t="s">
        <v>748</v>
      </c>
      <c r="D55" s="2" t="s">
        <v>820</v>
      </c>
      <c r="E55" s="12" t="s">
        <v>1089</v>
      </c>
      <c r="F55" s="366">
        <f t="shared" ref="F55" si="10">F53+F54</f>
        <v>2</v>
      </c>
      <c r="G55" s="364">
        <f t="shared" ref="G55" si="11">G53+G54</f>
        <v>2</v>
      </c>
      <c r="H55" s="364">
        <f t="shared" ref="H55" si="12">H53+H54</f>
        <v>2</v>
      </c>
      <c r="K55" s="22"/>
      <c r="L55" s="22"/>
    </row>
    <row r="56" spans="1:12" x14ac:dyDescent="0.25">
      <c r="A56" s="2" t="s">
        <v>919</v>
      </c>
      <c r="B56" s="2" t="s">
        <v>141</v>
      </c>
      <c r="C56" s="2" t="s">
        <v>140</v>
      </c>
      <c r="D56" s="2" t="s">
        <v>1022</v>
      </c>
      <c r="E56" s="12" t="s">
        <v>1084</v>
      </c>
      <c r="F56" s="366">
        <v>1</v>
      </c>
      <c r="G56" s="357">
        <f>[1]E_CZ_decarb_skill_levels!$C$23/[1]E_CZ_decarb_skill_levels!$C$19</f>
        <v>0.85475306192485601</v>
      </c>
      <c r="H56" s="357">
        <f>[1]E_CZ_decarb_skill_levels!$C$27/[1]E_CZ_decarb_skill_levels!$C$19</f>
        <v>0.61053790137489705</v>
      </c>
      <c r="J56" s="139"/>
      <c r="K56" s="22"/>
      <c r="L56" s="22"/>
    </row>
    <row r="57" spans="1:12" x14ac:dyDescent="0.25">
      <c r="A57" s="2" t="s">
        <v>919</v>
      </c>
      <c r="B57" s="2" t="s">
        <v>141</v>
      </c>
      <c r="C57" s="2" t="s">
        <v>140</v>
      </c>
      <c r="D57" s="2" t="s">
        <v>1022</v>
      </c>
      <c r="E57" s="12" t="s">
        <v>1085</v>
      </c>
      <c r="F57" s="366">
        <v>1</v>
      </c>
      <c r="G57" s="357">
        <f>[1]E_CZ_decarb_skill_levels!$C$24/[1]E_CZ_decarb_skill_levels!$C$20</f>
        <v>0.96953760940537637</v>
      </c>
      <c r="H57" s="357">
        <f>[1]E_CZ_decarb_skill_levels!$C$28/[1]E_CZ_decarb_skill_levels!$C$20</f>
        <v>0.87720069422391189</v>
      </c>
      <c r="K57" s="22"/>
      <c r="L57" s="22"/>
    </row>
    <row r="58" spans="1:12" x14ac:dyDescent="0.25">
      <c r="A58" s="2" t="s">
        <v>919</v>
      </c>
      <c r="B58" s="2" t="s">
        <v>141</v>
      </c>
      <c r="C58" s="2" t="s">
        <v>140</v>
      </c>
      <c r="D58" s="2" t="s">
        <v>1022</v>
      </c>
      <c r="E58" s="12" t="s">
        <v>1086</v>
      </c>
      <c r="F58" s="366">
        <v>1</v>
      </c>
      <c r="G58" s="357">
        <f>[1]E_CZ_decarb_skill_levels!$C$25/[1]E_CZ_decarb_skill_levels!$C$21</f>
        <v>1.1181066698964897</v>
      </c>
      <c r="H58" s="357">
        <f>[1]E_CZ_decarb_skill_levels!$C$29/[1]E_CZ_decarb_skill_levels!$C$21</f>
        <v>1.4162684485355534</v>
      </c>
      <c r="K58" s="22"/>
      <c r="L58" s="22"/>
    </row>
    <row r="59" spans="1:12" x14ac:dyDescent="0.25">
      <c r="A59" s="2" t="s">
        <v>919</v>
      </c>
      <c r="B59" s="2" t="s">
        <v>141</v>
      </c>
      <c r="C59" s="2" t="s">
        <v>140</v>
      </c>
      <c r="D59" s="2" t="s">
        <v>1022</v>
      </c>
      <c r="E59" s="12" t="s">
        <v>1088</v>
      </c>
      <c r="F59" s="366">
        <v>1</v>
      </c>
      <c r="G59" s="458">
        <v>0.95</v>
      </c>
      <c r="H59" s="458">
        <v>0.8</v>
      </c>
      <c r="K59" s="22"/>
      <c r="L59" s="22"/>
    </row>
    <row r="60" spans="1:12" x14ac:dyDescent="0.25">
      <c r="A60" s="2" t="s">
        <v>919</v>
      </c>
      <c r="B60" s="2" t="s">
        <v>141</v>
      </c>
      <c r="C60" s="2" t="s">
        <v>140</v>
      </c>
      <c r="D60" s="2" t="s">
        <v>1022</v>
      </c>
      <c r="E60" s="12" t="s">
        <v>1087</v>
      </c>
      <c r="F60" s="366">
        <v>1</v>
      </c>
      <c r="G60" s="458">
        <v>1.05</v>
      </c>
      <c r="H60" s="458">
        <v>1.2</v>
      </c>
      <c r="K60" s="22"/>
      <c r="L60" s="22"/>
    </row>
    <row r="61" spans="1:12" x14ac:dyDescent="0.25">
      <c r="A61" s="2" t="s">
        <v>919</v>
      </c>
      <c r="B61" s="2" t="s">
        <v>141</v>
      </c>
      <c r="C61" s="2" t="s">
        <v>140</v>
      </c>
      <c r="D61" s="2" t="s">
        <v>1022</v>
      </c>
      <c r="E61" s="12" t="s">
        <v>1089</v>
      </c>
      <c r="F61" s="366">
        <f t="shared" ref="F61" si="13">F59+F60</f>
        <v>2</v>
      </c>
      <c r="G61" s="364">
        <f t="shared" ref="G61" si="14">G59+G60</f>
        <v>2</v>
      </c>
      <c r="H61" s="364">
        <f t="shared" ref="H61" si="15">H59+H60</f>
        <v>2</v>
      </c>
      <c r="K61" s="22"/>
      <c r="L61" s="22"/>
    </row>
    <row r="62" spans="1:12" ht="15" customHeight="1" x14ac:dyDescent="0.25">
      <c r="A62" s="2" t="s">
        <v>919</v>
      </c>
      <c r="B62" s="2" t="s">
        <v>143</v>
      </c>
      <c r="C62" s="2" t="s">
        <v>739</v>
      </c>
      <c r="D62" s="2" t="s">
        <v>827</v>
      </c>
      <c r="E62" s="12" t="s">
        <v>1084</v>
      </c>
      <c r="F62" s="366">
        <v>1</v>
      </c>
      <c r="G62" s="357">
        <f>[1]E_CZ_decarb_skill_levels!$D$23/[1]E_CZ_decarb_skill_levels!$D$19</f>
        <v>0.76252038448475634</v>
      </c>
      <c r="H62" s="357">
        <f>[1]E_CZ_decarb_skill_levels!$D$27/[1]E_CZ_decarb_skill_levels!$D$19</f>
        <v>0.54465741748911167</v>
      </c>
      <c r="J62" s="139"/>
      <c r="K62" s="22"/>
      <c r="L62" s="22"/>
    </row>
    <row r="63" spans="1:12" x14ac:dyDescent="0.25">
      <c r="A63" s="2" t="s">
        <v>919</v>
      </c>
      <c r="B63" s="2" t="s">
        <v>143</v>
      </c>
      <c r="C63" s="2" t="s">
        <v>739</v>
      </c>
      <c r="D63" s="2" t="s">
        <v>827</v>
      </c>
      <c r="E63" s="12" t="s">
        <v>1085</v>
      </c>
      <c r="F63" s="366">
        <v>1</v>
      </c>
      <c r="G63" s="357">
        <f>[1]E_CZ_decarb_skill_levels!$D$24/[1]E_CZ_decarb_skill_levels!$D$20</f>
        <v>0.98108331323363296</v>
      </c>
      <c r="H63" s="357">
        <f>[1]E_CZ_decarb_skill_levels!$D$28/[1]E_CZ_decarb_skill_levels!$D$20</f>
        <v>0.88764680721138212</v>
      </c>
      <c r="J63" s="139"/>
      <c r="K63" s="22"/>
      <c r="L63" s="22"/>
    </row>
    <row r="64" spans="1:12" x14ac:dyDescent="0.25">
      <c r="A64" s="2" t="s">
        <v>919</v>
      </c>
      <c r="B64" s="2" t="s">
        <v>143</v>
      </c>
      <c r="C64" s="2" t="s">
        <v>739</v>
      </c>
      <c r="D64" s="2" t="s">
        <v>827</v>
      </c>
      <c r="E64" s="12" t="s">
        <v>1086</v>
      </c>
      <c r="F64" s="366">
        <v>1</v>
      </c>
      <c r="G64" s="357">
        <f>[1]E_CZ_decarb_skill_levels!$D$25/[1]E_CZ_decarb_skill_levels!$D$21</f>
        <v>1.1275996407754494</v>
      </c>
      <c r="H64" s="357">
        <f>[1]E_CZ_decarb_skill_levels!$D$29/[1]E_CZ_decarb_skill_levels!$D$21</f>
        <v>1.4282928783155691</v>
      </c>
      <c r="J64" s="139"/>
      <c r="K64" s="22"/>
      <c r="L64" s="22"/>
    </row>
    <row r="65" spans="1:12" ht="15" customHeight="1" x14ac:dyDescent="0.25">
      <c r="A65" s="2" t="s">
        <v>919</v>
      </c>
      <c r="B65" s="2" t="s">
        <v>143</v>
      </c>
      <c r="C65" s="2" t="s">
        <v>739</v>
      </c>
      <c r="D65" s="2" t="s">
        <v>827</v>
      </c>
      <c r="E65" s="12" t="s">
        <v>1088</v>
      </c>
      <c r="F65" s="366">
        <v>1</v>
      </c>
      <c r="G65" s="458">
        <v>0.95</v>
      </c>
      <c r="H65" s="458">
        <v>0.8</v>
      </c>
      <c r="J65" s="139"/>
      <c r="K65" s="22"/>
      <c r="L65" s="22"/>
    </row>
    <row r="66" spans="1:12" x14ac:dyDescent="0.25">
      <c r="A66" s="2" t="s">
        <v>919</v>
      </c>
      <c r="B66" s="2" t="s">
        <v>143</v>
      </c>
      <c r="C66" s="2" t="s">
        <v>739</v>
      </c>
      <c r="D66" s="2" t="s">
        <v>827</v>
      </c>
      <c r="E66" s="12" t="s">
        <v>1087</v>
      </c>
      <c r="F66" s="366">
        <v>1</v>
      </c>
      <c r="G66" s="458">
        <v>1.05</v>
      </c>
      <c r="H66" s="458">
        <v>1.2</v>
      </c>
      <c r="J66" s="139"/>
      <c r="K66" s="22"/>
      <c r="L66" s="22"/>
    </row>
    <row r="67" spans="1:12" x14ac:dyDescent="0.25">
      <c r="A67" s="2" t="s">
        <v>919</v>
      </c>
      <c r="B67" s="2" t="s">
        <v>143</v>
      </c>
      <c r="C67" s="2" t="s">
        <v>739</v>
      </c>
      <c r="D67" s="2" t="s">
        <v>827</v>
      </c>
      <c r="E67" s="12" t="s">
        <v>1089</v>
      </c>
      <c r="F67" s="366">
        <f t="shared" ref="F67" si="16">F65+F66</f>
        <v>2</v>
      </c>
      <c r="G67" s="364">
        <f t="shared" ref="G67" si="17">G65+G66</f>
        <v>2</v>
      </c>
      <c r="H67" s="364">
        <f t="shared" ref="H67" si="18">H65+H66</f>
        <v>2</v>
      </c>
      <c r="J67" s="139"/>
      <c r="K67" s="22"/>
      <c r="L67" s="22"/>
    </row>
    <row r="68" spans="1:12" ht="15" customHeight="1" x14ac:dyDescent="0.25">
      <c r="A68" s="2" t="s">
        <v>919</v>
      </c>
      <c r="B68" s="2" t="s">
        <v>143</v>
      </c>
      <c r="C68" s="2" t="s">
        <v>740</v>
      </c>
      <c r="D68" s="2" t="s">
        <v>828</v>
      </c>
      <c r="E68" s="12" t="s">
        <v>1084</v>
      </c>
      <c r="F68" s="366">
        <v>1</v>
      </c>
      <c r="G68" s="357">
        <f>[1]E_CZ_decarb_skill_levels!$D$23/[1]E_CZ_decarb_skill_levels!$D$19</f>
        <v>0.76252038448475634</v>
      </c>
      <c r="H68" s="357">
        <f>[1]E_CZ_decarb_skill_levels!$D$27/[1]E_CZ_decarb_skill_levels!$D$19</f>
        <v>0.54465741748911167</v>
      </c>
      <c r="J68" s="139"/>
      <c r="K68" s="22"/>
      <c r="L68" s="22"/>
    </row>
    <row r="69" spans="1:12" x14ac:dyDescent="0.25">
      <c r="A69" s="2" t="s">
        <v>919</v>
      </c>
      <c r="B69" s="2" t="s">
        <v>143</v>
      </c>
      <c r="C69" s="2" t="s">
        <v>740</v>
      </c>
      <c r="D69" s="2" t="s">
        <v>828</v>
      </c>
      <c r="E69" s="12" t="s">
        <v>1085</v>
      </c>
      <c r="F69" s="366">
        <v>1</v>
      </c>
      <c r="G69" s="357">
        <f>[1]E_CZ_decarb_skill_levels!$D$24/[1]E_CZ_decarb_skill_levels!$D$20</f>
        <v>0.98108331323363296</v>
      </c>
      <c r="H69" s="357">
        <f>[1]E_CZ_decarb_skill_levels!$D$28/[1]E_CZ_decarb_skill_levels!$D$20</f>
        <v>0.88764680721138212</v>
      </c>
      <c r="J69" s="139"/>
      <c r="K69" s="22"/>
      <c r="L69" s="22"/>
    </row>
    <row r="70" spans="1:12" x14ac:dyDescent="0.25">
      <c r="A70" s="2" t="s">
        <v>919</v>
      </c>
      <c r="B70" s="2" t="s">
        <v>143</v>
      </c>
      <c r="C70" s="2" t="s">
        <v>740</v>
      </c>
      <c r="D70" s="2" t="s">
        <v>828</v>
      </c>
      <c r="E70" s="12" t="s">
        <v>1086</v>
      </c>
      <c r="F70" s="366">
        <v>1</v>
      </c>
      <c r="G70" s="357">
        <f>[1]E_CZ_decarb_skill_levels!$D$25/[1]E_CZ_decarb_skill_levels!$D$21</f>
        <v>1.1275996407754494</v>
      </c>
      <c r="H70" s="357">
        <f>[1]E_CZ_decarb_skill_levels!$D$29/[1]E_CZ_decarb_skill_levels!$D$21</f>
        <v>1.4282928783155691</v>
      </c>
      <c r="J70" s="139"/>
      <c r="K70" s="22"/>
      <c r="L70" s="22"/>
    </row>
    <row r="71" spans="1:12" ht="15" customHeight="1" x14ac:dyDescent="0.25">
      <c r="A71" s="2" t="s">
        <v>919</v>
      </c>
      <c r="B71" s="2" t="s">
        <v>143</v>
      </c>
      <c r="C71" s="2" t="s">
        <v>740</v>
      </c>
      <c r="D71" s="2" t="s">
        <v>828</v>
      </c>
      <c r="E71" s="12" t="s">
        <v>1088</v>
      </c>
      <c r="F71" s="366">
        <v>1</v>
      </c>
      <c r="G71" s="458">
        <v>0.95</v>
      </c>
      <c r="H71" s="458">
        <v>0.8</v>
      </c>
      <c r="J71" s="139"/>
      <c r="K71" s="22"/>
      <c r="L71" s="22"/>
    </row>
    <row r="72" spans="1:12" x14ac:dyDescent="0.25">
      <c r="A72" s="2" t="s">
        <v>919</v>
      </c>
      <c r="B72" s="2" t="s">
        <v>143</v>
      </c>
      <c r="C72" s="2" t="s">
        <v>740</v>
      </c>
      <c r="D72" s="2" t="s">
        <v>828</v>
      </c>
      <c r="E72" s="12" t="s">
        <v>1087</v>
      </c>
      <c r="F72" s="366">
        <v>1</v>
      </c>
      <c r="G72" s="458">
        <v>1.05</v>
      </c>
      <c r="H72" s="458">
        <v>1.2</v>
      </c>
      <c r="J72" s="139"/>
      <c r="K72" s="22"/>
      <c r="L72" s="22"/>
    </row>
    <row r="73" spans="1:12" x14ac:dyDescent="0.25">
      <c r="A73" s="2" t="s">
        <v>919</v>
      </c>
      <c r="B73" s="2" t="s">
        <v>143</v>
      </c>
      <c r="C73" s="2" t="s">
        <v>740</v>
      </c>
      <c r="D73" s="2" t="s">
        <v>828</v>
      </c>
      <c r="E73" s="12" t="s">
        <v>1089</v>
      </c>
      <c r="F73" s="366">
        <f t="shared" ref="F73" si="19">F71+F72</f>
        <v>2</v>
      </c>
      <c r="G73" s="364">
        <f t="shared" ref="G73" si="20">G71+G72</f>
        <v>2</v>
      </c>
      <c r="H73" s="364">
        <f t="shared" ref="H73" si="21">H71+H72</f>
        <v>2</v>
      </c>
      <c r="J73" s="139"/>
      <c r="K73" s="22"/>
      <c r="L73" s="22"/>
    </row>
    <row r="74" spans="1:12" ht="15" customHeight="1" x14ac:dyDescent="0.25">
      <c r="A74" s="2" t="s">
        <v>919</v>
      </c>
      <c r="B74" s="2" t="s">
        <v>143</v>
      </c>
      <c r="C74" s="2" t="s">
        <v>926</v>
      </c>
      <c r="D74" s="2" t="s">
        <v>829</v>
      </c>
      <c r="E74" s="12" t="s">
        <v>1084</v>
      </c>
      <c r="F74" s="366">
        <v>1</v>
      </c>
      <c r="G74" s="357">
        <f>[1]E_CZ_decarb_skill_levels!$D$23/[1]E_CZ_decarb_skill_levels!$D$19</f>
        <v>0.76252038448475634</v>
      </c>
      <c r="H74" s="357">
        <f>[1]E_CZ_decarb_skill_levels!$D$27/[1]E_CZ_decarb_skill_levels!$D$19</f>
        <v>0.54465741748911167</v>
      </c>
      <c r="J74" s="139"/>
      <c r="K74" s="22"/>
      <c r="L74" s="22"/>
    </row>
    <row r="75" spans="1:12" x14ac:dyDescent="0.25">
      <c r="A75" s="2" t="s">
        <v>919</v>
      </c>
      <c r="B75" s="2" t="s">
        <v>143</v>
      </c>
      <c r="C75" s="2" t="s">
        <v>926</v>
      </c>
      <c r="D75" s="2" t="s">
        <v>829</v>
      </c>
      <c r="E75" s="12" t="s">
        <v>1085</v>
      </c>
      <c r="F75" s="366">
        <v>1</v>
      </c>
      <c r="G75" s="357">
        <f>[1]E_CZ_decarb_skill_levels!$D$24/[1]E_CZ_decarb_skill_levels!$D$20</f>
        <v>0.98108331323363296</v>
      </c>
      <c r="H75" s="357">
        <f>[1]E_CZ_decarb_skill_levels!$D$28/[1]E_CZ_decarb_skill_levels!$D$20</f>
        <v>0.88764680721138212</v>
      </c>
      <c r="K75" s="22"/>
      <c r="L75" s="22"/>
    </row>
    <row r="76" spans="1:12" x14ac:dyDescent="0.25">
      <c r="A76" s="2" t="s">
        <v>919</v>
      </c>
      <c r="B76" s="2" t="s">
        <v>143</v>
      </c>
      <c r="C76" s="2" t="s">
        <v>926</v>
      </c>
      <c r="D76" s="2" t="s">
        <v>829</v>
      </c>
      <c r="E76" s="12" t="s">
        <v>1086</v>
      </c>
      <c r="F76" s="366">
        <v>1</v>
      </c>
      <c r="G76" s="357">
        <f>[1]E_CZ_decarb_skill_levels!$D$25/[1]E_CZ_decarb_skill_levels!$D$21</f>
        <v>1.1275996407754494</v>
      </c>
      <c r="H76" s="357">
        <f>[1]E_CZ_decarb_skill_levels!$D$29/[1]E_CZ_decarb_skill_levels!$D$21</f>
        <v>1.4282928783155691</v>
      </c>
      <c r="K76" s="22"/>
      <c r="L76" s="22"/>
    </row>
    <row r="77" spans="1:12" ht="15" customHeight="1" x14ac:dyDescent="0.25">
      <c r="A77" s="2" t="s">
        <v>919</v>
      </c>
      <c r="B77" s="2" t="s">
        <v>143</v>
      </c>
      <c r="C77" s="2" t="s">
        <v>926</v>
      </c>
      <c r="D77" s="2" t="s">
        <v>829</v>
      </c>
      <c r="E77" s="12" t="s">
        <v>1088</v>
      </c>
      <c r="F77" s="366">
        <v>1</v>
      </c>
      <c r="G77" s="458">
        <v>0.95</v>
      </c>
      <c r="H77" s="458">
        <v>0.8</v>
      </c>
      <c r="K77" s="22"/>
      <c r="L77" s="22"/>
    </row>
    <row r="78" spans="1:12" x14ac:dyDescent="0.25">
      <c r="A78" s="2" t="s">
        <v>919</v>
      </c>
      <c r="B78" s="2" t="s">
        <v>143</v>
      </c>
      <c r="C78" s="2" t="s">
        <v>926</v>
      </c>
      <c r="D78" s="2" t="s">
        <v>829</v>
      </c>
      <c r="E78" s="12" t="s">
        <v>1087</v>
      </c>
      <c r="F78" s="366">
        <v>1</v>
      </c>
      <c r="G78" s="458">
        <v>1.05</v>
      </c>
      <c r="H78" s="458">
        <v>1.2</v>
      </c>
      <c r="K78" s="22"/>
      <c r="L78" s="22"/>
    </row>
    <row r="79" spans="1:12" x14ac:dyDescent="0.25">
      <c r="A79" s="2" t="s">
        <v>919</v>
      </c>
      <c r="B79" s="2" t="s">
        <v>143</v>
      </c>
      <c r="C79" s="2" t="s">
        <v>926</v>
      </c>
      <c r="D79" s="2" t="s">
        <v>829</v>
      </c>
      <c r="E79" s="12" t="s">
        <v>1089</v>
      </c>
      <c r="F79" s="366">
        <f t="shared" ref="F79" si="22">F77+F78</f>
        <v>2</v>
      </c>
      <c r="G79" s="364">
        <f t="shared" ref="G79" si="23">G77+G78</f>
        <v>2</v>
      </c>
      <c r="H79" s="364">
        <f t="shared" ref="H79" si="24">H77+H78</f>
        <v>2</v>
      </c>
      <c r="K79" s="22"/>
      <c r="L79" s="22"/>
    </row>
    <row r="80" spans="1:12" ht="15" customHeight="1" x14ac:dyDescent="0.25">
      <c r="A80" s="2" t="s">
        <v>917</v>
      </c>
      <c r="B80" s="2" t="s">
        <v>159</v>
      </c>
      <c r="C80" s="2" t="s">
        <v>735</v>
      </c>
      <c r="D80" s="2" t="s">
        <v>904</v>
      </c>
      <c r="E80" s="12" t="s">
        <v>1084</v>
      </c>
      <c r="F80" s="366">
        <v>1</v>
      </c>
      <c r="G80" s="357">
        <f>[1]E_CZ_decarb_skill_levels!$E$23/[1]E_CZ_decarb_skill_levels!$E$19</f>
        <v>0.82201256035301884</v>
      </c>
      <c r="H80" s="357">
        <f>[1]E_CZ_decarb_skill_levels!$E$27/[1]E_CZ_decarb_skill_levels!$E$19</f>
        <v>0.58715182882358485</v>
      </c>
      <c r="J80" s="139"/>
      <c r="K80" s="22"/>
      <c r="L80" s="22"/>
    </row>
    <row r="81" spans="1:12" x14ac:dyDescent="0.25">
      <c r="A81" s="2" t="s">
        <v>917</v>
      </c>
      <c r="B81" s="2" t="s">
        <v>159</v>
      </c>
      <c r="C81" s="2" t="s">
        <v>735</v>
      </c>
      <c r="D81" s="2" t="s">
        <v>904</v>
      </c>
      <c r="E81" s="12" t="s">
        <v>1085</v>
      </c>
      <c r="F81" s="366">
        <v>1</v>
      </c>
      <c r="G81" s="357">
        <f>[1]E_CZ_decarb_skill_levels!$E$24/[1]E_CZ_decarb_skill_levels!$E$20</f>
        <v>0.95160897637131348</v>
      </c>
      <c r="H81" s="357">
        <f>[1]E_CZ_decarb_skill_levels!$E$28/[1]E_CZ_decarb_skill_levels!$E$20</f>
        <v>0.86097955005023596</v>
      </c>
      <c r="J81" s="139"/>
      <c r="K81" s="22"/>
      <c r="L81" s="22"/>
    </row>
    <row r="82" spans="1:12" x14ac:dyDescent="0.25">
      <c r="A82" s="2" t="s">
        <v>917</v>
      </c>
      <c r="B82" s="2" t="s">
        <v>159</v>
      </c>
      <c r="C82" s="2" t="s">
        <v>735</v>
      </c>
      <c r="D82" s="2" t="s">
        <v>904</v>
      </c>
      <c r="E82" s="12" t="s">
        <v>1086</v>
      </c>
      <c r="F82" s="366">
        <v>1</v>
      </c>
      <c r="G82" s="357">
        <f>[1]E_CZ_decarb_skill_levels!$E$25/[1]E_CZ_decarb_skill_levels!$E$21</f>
        <v>1.1866782542748189</v>
      </c>
      <c r="H82" s="357">
        <f>[1]E_CZ_decarb_skill_levels!$E$29/[1]E_CZ_decarb_skill_levels!$E$21</f>
        <v>1.503125788748104</v>
      </c>
      <c r="J82" s="139"/>
      <c r="K82" s="22"/>
      <c r="L82" s="22"/>
    </row>
    <row r="83" spans="1:12" ht="15" customHeight="1" x14ac:dyDescent="0.25">
      <c r="A83" s="2" t="s">
        <v>917</v>
      </c>
      <c r="B83" s="2" t="s">
        <v>159</v>
      </c>
      <c r="C83" s="2" t="s">
        <v>735</v>
      </c>
      <c r="D83" s="2" t="s">
        <v>904</v>
      </c>
      <c r="E83" s="12" t="s">
        <v>1088</v>
      </c>
      <c r="F83" s="366">
        <v>1</v>
      </c>
      <c r="G83" s="458">
        <v>0.95</v>
      </c>
      <c r="H83" s="458">
        <v>0.8</v>
      </c>
      <c r="J83" s="139"/>
      <c r="K83" s="22"/>
      <c r="L83" s="22"/>
    </row>
    <row r="84" spans="1:12" x14ac:dyDescent="0.25">
      <c r="A84" s="2" t="s">
        <v>917</v>
      </c>
      <c r="B84" s="2" t="s">
        <v>159</v>
      </c>
      <c r="C84" s="2" t="s">
        <v>735</v>
      </c>
      <c r="D84" s="2" t="s">
        <v>904</v>
      </c>
      <c r="E84" s="12" t="s">
        <v>1087</v>
      </c>
      <c r="F84" s="366">
        <v>1</v>
      </c>
      <c r="G84" s="458">
        <v>1.05</v>
      </c>
      <c r="H84" s="458">
        <v>1.2</v>
      </c>
      <c r="J84" s="139"/>
      <c r="K84" s="22"/>
      <c r="L84" s="22"/>
    </row>
    <row r="85" spans="1:12" x14ac:dyDescent="0.25">
      <c r="A85" s="2" t="s">
        <v>917</v>
      </c>
      <c r="B85" s="2" t="s">
        <v>159</v>
      </c>
      <c r="C85" s="2" t="s">
        <v>735</v>
      </c>
      <c r="D85" s="2" t="s">
        <v>904</v>
      </c>
      <c r="E85" s="12" t="s">
        <v>1089</v>
      </c>
      <c r="F85" s="366">
        <f t="shared" ref="F85" si="25">F83+F84</f>
        <v>2</v>
      </c>
      <c r="G85" s="364">
        <f t="shared" ref="G85" si="26">G83+G84</f>
        <v>2</v>
      </c>
      <c r="H85" s="364">
        <f t="shared" ref="H85" si="27">H83+H84</f>
        <v>2</v>
      </c>
      <c r="J85" s="139"/>
      <c r="K85" s="22"/>
      <c r="L85" s="22"/>
    </row>
    <row r="86" spans="1:12" ht="15" customHeight="1" x14ac:dyDescent="0.25">
      <c r="A86" s="2" t="s">
        <v>917</v>
      </c>
      <c r="B86" s="2" t="s">
        <v>159</v>
      </c>
      <c r="C86" s="2" t="s">
        <v>736</v>
      </c>
      <c r="D86" s="2" t="s">
        <v>970</v>
      </c>
      <c r="E86" s="12" t="s">
        <v>1084</v>
      </c>
      <c r="F86" s="366">
        <v>1</v>
      </c>
      <c r="G86" s="357">
        <f>[1]E_CZ_decarb_skill_levels!$E$23/[1]E_CZ_decarb_skill_levels!$E$19</f>
        <v>0.82201256035301884</v>
      </c>
      <c r="H86" s="357">
        <f>[1]E_CZ_decarb_skill_levels!$E$27/[1]E_CZ_decarb_skill_levels!$E$19</f>
        <v>0.58715182882358485</v>
      </c>
      <c r="J86" s="139"/>
      <c r="K86" s="22"/>
      <c r="L86" s="22"/>
    </row>
    <row r="87" spans="1:12" x14ac:dyDescent="0.25">
      <c r="A87" s="2" t="s">
        <v>917</v>
      </c>
      <c r="B87" s="2" t="s">
        <v>159</v>
      </c>
      <c r="C87" s="2" t="s">
        <v>736</v>
      </c>
      <c r="D87" s="2" t="s">
        <v>970</v>
      </c>
      <c r="E87" s="12" t="s">
        <v>1085</v>
      </c>
      <c r="F87" s="366">
        <v>1</v>
      </c>
      <c r="G87" s="357">
        <f>[1]E_CZ_decarb_skill_levels!$E$24/[1]E_CZ_decarb_skill_levels!$E$20</f>
        <v>0.95160897637131348</v>
      </c>
      <c r="H87" s="357">
        <f>[1]E_CZ_decarb_skill_levels!$E$28/[1]E_CZ_decarb_skill_levels!$E$20</f>
        <v>0.86097955005023596</v>
      </c>
      <c r="J87" s="139"/>
      <c r="K87" s="22"/>
      <c r="L87" s="22"/>
    </row>
    <row r="88" spans="1:12" x14ac:dyDescent="0.25">
      <c r="A88" s="2" t="s">
        <v>917</v>
      </c>
      <c r="B88" s="2" t="s">
        <v>159</v>
      </c>
      <c r="C88" s="2" t="s">
        <v>736</v>
      </c>
      <c r="D88" s="2" t="s">
        <v>970</v>
      </c>
      <c r="E88" s="12" t="s">
        <v>1086</v>
      </c>
      <c r="F88" s="366">
        <v>1</v>
      </c>
      <c r="G88" s="357">
        <f>[1]E_CZ_decarb_skill_levels!$E$25/[1]E_CZ_decarb_skill_levels!$E$21</f>
        <v>1.1866782542748189</v>
      </c>
      <c r="H88" s="357">
        <f>[1]E_CZ_decarb_skill_levels!$E$29/[1]E_CZ_decarb_skill_levels!$E$21</f>
        <v>1.503125788748104</v>
      </c>
      <c r="J88" s="139"/>
      <c r="K88" s="22"/>
      <c r="L88" s="22"/>
    </row>
    <row r="89" spans="1:12" ht="15" customHeight="1" x14ac:dyDescent="0.25">
      <c r="A89" s="2" t="s">
        <v>917</v>
      </c>
      <c r="B89" s="2" t="s">
        <v>159</v>
      </c>
      <c r="C89" s="2" t="s">
        <v>736</v>
      </c>
      <c r="D89" s="2" t="s">
        <v>970</v>
      </c>
      <c r="E89" s="12" t="s">
        <v>1088</v>
      </c>
      <c r="F89" s="366">
        <v>1</v>
      </c>
      <c r="G89" s="458">
        <v>0.95</v>
      </c>
      <c r="H89" s="458">
        <v>0.8</v>
      </c>
      <c r="J89" s="139"/>
      <c r="K89" s="22"/>
      <c r="L89" s="22"/>
    </row>
    <row r="90" spans="1:12" x14ac:dyDescent="0.25">
      <c r="A90" s="2" t="s">
        <v>917</v>
      </c>
      <c r="B90" s="2" t="s">
        <v>159</v>
      </c>
      <c r="C90" s="2" t="s">
        <v>736</v>
      </c>
      <c r="D90" s="2" t="s">
        <v>970</v>
      </c>
      <c r="E90" s="12" t="s">
        <v>1087</v>
      </c>
      <c r="F90" s="366">
        <v>1</v>
      </c>
      <c r="G90" s="458">
        <v>1.05</v>
      </c>
      <c r="H90" s="458">
        <v>1.2</v>
      </c>
      <c r="J90" s="139"/>
      <c r="K90" s="22"/>
      <c r="L90" s="22"/>
    </row>
    <row r="91" spans="1:12" x14ac:dyDescent="0.25">
      <c r="A91" s="2" t="s">
        <v>917</v>
      </c>
      <c r="B91" s="2" t="s">
        <v>159</v>
      </c>
      <c r="C91" s="2" t="s">
        <v>736</v>
      </c>
      <c r="D91" s="2" t="s">
        <v>970</v>
      </c>
      <c r="E91" s="12" t="s">
        <v>1089</v>
      </c>
      <c r="F91" s="366">
        <f t="shared" ref="F91" si="28">F89+F90</f>
        <v>2</v>
      </c>
      <c r="G91" s="364">
        <f t="shared" ref="G91" si="29">G89+G90</f>
        <v>2</v>
      </c>
      <c r="H91" s="364">
        <f t="shared" ref="H91" si="30">H89+H90</f>
        <v>2</v>
      </c>
      <c r="J91" s="139"/>
      <c r="K91" s="22"/>
      <c r="L91" s="22"/>
    </row>
    <row r="92" spans="1:12" ht="15" customHeight="1" x14ac:dyDescent="0.25">
      <c r="A92" s="2" t="s">
        <v>917</v>
      </c>
      <c r="B92" s="2" t="s">
        <v>159</v>
      </c>
      <c r="C92" s="2" t="s">
        <v>744</v>
      </c>
      <c r="D92" s="2" t="s">
        <v>742</v>
      </c>
      <c r="E92" s="12" t="s">
        <v>1084</v>
      </c>
      <c r="F92" s="366">
        <v>1</v>
      </c>
      <c r="G92" s="357">
        <f>[1]E_CZ_decarb_skill_levels!$E$23/[1]E_CZ_decarb_skill_levels!$E$19</f>
        <v>0.82201256035301884</v>
      </c>
      <c r="H92" s="357">
        <f>[1]E_CZ_decarb_skill_levels!$E$27/[1]E_CZ_decarb_skill_levels!$E$19</f>
        <v>0.58715182882358485</v>
      </c>
      <c r="J92" s="139"/>
      <c r="K92" s="22"/>
      <c r="L92" s="22"/>
    </row>
    <row r="93" spans="1:12" x14ac:dyDescent="0.25">
      <c r="A93" s="2" t="s">
        <v>917</v>
      </c>
      <c r="B93" s="2" t="s">
        <v>159</v>
      </c>
      <c r="C93" s="2" t="s">
        <v>744</v>
      </c>
      <c r="D93" s="2" t="s">
        <v>742</v>
      </c>
      <c r="E93" s="12" t="s">
        <v>1085</v>
      </c>
      <c r="F93" s="366">
        <v>1</v>
      </c>
      <c r="G93" s="357">
        <f>[1]E_CZ_decarb_skill_levels!$E$24/[1]E_CZ_decarb_skill_levels!$E$20</f>
        <v>0.95160897637131348</v>
      </c>
      <c r="H93" s="357">
        <f>[1]E_CZ_decarb_skill_levels!$E$28/[1]E_CZ_decarb_skill_levels!$E$20</f>
        <v>0.86097955005023596</v>
      </c>
      <c r="K93" s="22"/>
      <c r="L93" s="22"/>
    </row>
    <row r="94" spans="1:12" x14ac:dyDescent="0.25">
      <c r="A94" s="2" t="s">
        <v>917</v>
      </c>
      <c r="B94" s="2" t="s">
        <v>159</v>
      </c>
      <c r="C94" s="2" t="s">
        <v>744</v>
      </c>
      <c r="D94" s="2" t="s">
        <v>742</v>
      </c>
      <c r="E94" s="12" t="s">
        <v>1086</v>
      </c>
      <c r="F94" s="366">
        <v>1</v>
      </c>
      <c r="G94" s="357">
        <f>[1]E_CZ_decarb_skill_levels!$E$25/[1]E_CZ_decarb_skill_levels!$E$21</f>
        <v>1.1866782542748189</v>
      </c>
      <c r="H94" s="357">
        <f>[1]E_CZ_decarb_skill_levels!$E$29/[1]E_CZ_decarb_skill_levels!$E$21</f>
        <v>1.503125788748104</v>
      </c>
      <c r="K94" s="22"/>
      <c r="L94" s="22"/>
    </row>
    <row r="95" spans="1:12" ht="15" customHeight="1" x14ac:dyDescent="0.25">
      <c r="A95" s="2" t="s">
        <v>917</v>
      </c>
      <c r="B95" s="2" t="s">
        <v>159</v>
      </c>
      <c r="C95" s="2" t="s">
        <v>744</v>
      </c>
      <c r="D95" s="2" t="s">
        <v>742</v>
      </c>
      <c r="E95" s="12" t="s">
        <v>1088</v>
      </c>
      <c r="F95" s="366">
        <v>1</v>
      </c>
      <c r="G95" s="458">
        <v>0.95</v>
      </c>
      <c r="H95" s="458">
        <v>0.8</v>
      </c>
      <c r="K95" s="22"/>
      <c r="L95" s="22"/>
    </row>
    <row r="96" spans="1:12" x14ac:dyDescent="0.25">
      <c r="A96" s="2" t="s">
        <v>917</v>
      </c>
      <c r="B96" s="2" t="s">
        <v>159</v>
      </c>
      <c r="C96" s="2" t="s">
        <v>744</v>
      </c>
      <c r="D96" s="2" t="s">
        <v>742</v>
      </c>
      <c r="E96" s="12" t="s">
        <v>1087</v>
      </c>
      <c r="F96" s="366">
        <v>1</v>
      </c>
      <c r="G96" s="458">
        <v>1.05</v>
      </c>
      <c r="H96" s="458">
        <v>1.2</v>
      </c>
      <c r="K96" s="22"/>
      <c r="L96" s="22"/>
    </row>
    <row r="97" spans="1:12" x14ac:dyDescent="0.25">
      <c r="A97" s="2" t="s">
        <v>917</v>
      </c>
      <c r="B97" s="2" t="s">
        <v>159</v>
      </c>
      <c r="C97" s="2" t="s">
        <v>744</v>
      </c>
      <c r="D97" s="2" t="s">
        <v>742</v>
      </c>
      <c r="E97" s="12" t="s">
        <v>1089</v>
      </c>
      <c r="F97" s="366">
        <f t="shared" ref="F97" si="31">F95+F96</f>
        <v>2</v>
      </c>
      <c r="G97" s="364">
        <f t="shared" ref="G97" si="32">G95+G96</f>
        <v>2</v>
      </c>
      <c r="H97" s="364">
        <f t="shared" ref="H97" si="33">H95+H96</f>
        <v>2</v>
      </c>
      <c r="K97" s="22"/>
      <c r="L97" s="22"/>
    </row>
    <row r="98" spans="1:12" x14ac:dyDescent="0.25">
      <c r="A98" s="2" t="s">
        <v>917</v>
      </c>
      <c r="B98" s="2" t="s">
        <v>161</v>
      </c>
      <c r="C98" s="2" t="s">
        <v>160</v>
      </c>
      <c r="E98" s="12" t="s">
        <v>1084</v>
      </c>
      <c r="F98" s="366">
        <v>1</v>
      </c>
      <c r="G98" s="357">
        <f>[1]E_CZ_decarb_skill_levels!$F$23/[1]E_CZ_decarb_skill_levels!$F$19</f>
        <v>0.82105883146080794</v>
      </c>
      <c r="H98" s="357">
        <f>[1]E_CZ_decarb_skill_levels!$F$27/[1]E_CZ_decarb_skill_levels!$F$19</f>
        <v>0.5864705939005771</v>
      </c>
      <c r="J98" s="139"/>
      <c r="K98" s="22"/>
      <c r="L98" s="22"/>
    </row>
    <row r="99" spans="1:12" x14ac:dyDescent="0.25">
      <c r="A99" s="2" t="s">
        <v>917</v>
      </c>
      <c r="B99" s="2" t="s">
        <v>161</v>
      </c>
      <c r="C99" s="2" t="s">
        <v>160</v>
      </c>
      <c r="E99" s="12" t="s">
        <v>1085</v>
      </c>
      <c r="F99" s="366">
        <v>1</v>
      </c>
      <c r="G99" s="357">
        <f>[1]E_CZ_decarb_skill_levels!$F$24/[1]E_CZ_decarb_skill_levels!$F$20</f>
        <v>0.95030308883592129</v>
      </c>
      <c r="H99" s="357">
        <f>[1]E_CZ_decarb_skill_levels!$F$28/[1]E_CZ_decarb_skill_levels!$F$20</f>
        <v>0.85979803275630962</v>
      </c>
      <c r="J99" s="139"/>
      <c r="K99" s="22"/>
      <c r="L99" s="22"/>
    </row>
    <row r="100" spans="1:12" x14ac:dyDescent="0.25">
      <c r="A100" s="2" t="s">
        <v>917</v>
      </c>
      <c r="B100" s="2" t="s">
        <v>161</v>
      </c>
      <c r="C100" s="2" t="s">
        <v>160</v>
      </c>
      <c r="E100" s="12" t="s">
        <v>1086</v>
      </c>
      <c r="F100" s="366">
        <v>1</v>
      </c>
      <c r="G100" s="357">
        <f>[1]E_CZ_decarb_skill_levels!$F$25/[1]E_CZ_decarb_skill_levels!$F$21</f>
        <v>1.1914319563230311</v>
      </c>
      <c r="H100" s="357">
        <f>[1]E_CZ_decarb_skill_levels!$F$29/[1]E_CZ_decarb_skill_levels!$F$21</f>
        <v>1.5091471446758395</v>
      </c>
      <c r="J100" s="139"/>
      <c r="K100" s="22"/>
      <c r="L100" s="22"/>
    </row>
    <row r="101" spans="1:12" x14ac:dyDescent="0.25">
      <c r="A101" s="2" t="s">
        <v>917</v>
      </c>
      <c r="B101" s="2" t="s">
        <v>161</v>
      </c>
      <c r="C101" s="2" t="s">
        <v>160</v>
      </c>
      <c r="E101" s="12" t="s">
        <v>1088</v>
      </c>
      <c r="F101" s="366">
        <v>1</v>
      </c>
      <c r="G101" s="458">
        <v>0.95</v>
      </c>
      <c r="H101" s="458">
        <v>0.8</v>
      </c>
      <c r="J101" s="139"/>
      <c r="K101" s="22"/>
      <c r="L101" s="22"/>
    </row>
    <row r="102" spans="1:12" x14ac:dyDescent="0.25">
      <c r="A102" s="2" t="s">
        <v>917</v>
      </c>
      <c r="B102" s="2" t="s">
        <v>161</v>
      </c>
      <c r="C102" s="2" t="s">
        <v>160</v>
      </c>
      <c r="E102" s="12" t="s">
        <v>1087</v>
      </c>
      <c r="F102" s="366">
        <v>1</v>
      </c>
      <c r="G102" s="458">
        <v>1.05</v>
      </c>
      <c r="H102" s="458">
        <v>1.2</v>
      </c>
      <c r="J102" s="139"/>
      <c r="K102" s="22"/>
      <c r="L102" s="22"/>
    </row>
    <row r="103" spans="1:12" x14ac:dyDescent="0.25">
      <c r="A103" s="2" t="s">
        <v>917</v>
      </c>
      <c r="B103" s="2" t="s">
        <v>161</v>
      </c>
      <c r="C103" s="2" t="s">
        <v>160</v>
      </c>
      <c r="E103" s="12" t="s">
        <v>1089</v>
      </c>
      <c r="F103" s="366">
        <f t="shared" ref="F103" si="34">F101+F102</f>
        <v>2</v>
      </c>
      <c r="G103" s="364">
        <f t="shared" ref="G103" si="35">G101+G102</f>
        <v>2</v>
      </c>
      <c r="H103" s="364">
        <f t="shared" ref="H103" si="36">H101+H102</f>
        <v>2</v>
      </c>
      <c r="J103" s="139"/>
      <c r="K103" s="22"/>
      <c r="L103" s="22"/>
    </row>
    <row r="104" spans="1:12" ht="15" customHeight="1" x14ac:dyDescent="0.25">
      <c r="A104" s="2" t="s">
        <v>914</v>
      </c>
      <c r="B104" s="2" t="s">
        <v>165</v>
      </c>
      <c r="C104" s="2" t="s">
        <v>730</v>
      </c>
      <c r="D104" s="2" t="s">
        <v>749</v>
      </c>
      <c r="E104" s="12" t="s">
        <v>1084</v>
      </c>
      <c r="F104" s="366">
        <v>1</v>
      </c>
      <c r="G104" s="357">
        <f>[1]E_CZ_decarb_skill_levels!$G$23/[1]E_CZ_decarb_skill_levels!$G$19</f>
        <v>0.69984004846523984</v>
      </c>
      <c r="H104" s="357">
        <f>[1]E_CZ_decarb_skill_levels!$G$27/[1]E_CZ_decarb_skill_levels!$G$19</f>
        <v>0.69984004846523984</v>
      </c>
      <c r="J104" s="139"/>
    </row>
    <row r="105" spans="1:12" x14ac:dyDescent="0.25">
      <c r="A105" s="2" t="s">
        <v>914</v>
      </c>
      <c r="B105" s="2" t="s">
        <v>165</v>
      </c>
      <c r="C105" s="2" t="s">
        <v>730</v>
      </c>
      <c r="D105" s="2" t="s">
        <v>749</v>
      </c>
      <c r="E105" s="12" t="s">
        <v>1085</v>
      </c>
      <c r="F105" s="366">
        <v>1</v>
      </c>
      <c r="G105" s="357">
        <f>[1]E_CZ_decarb_skill_levels!$G$24/[1]E_CZ_decarb_skill_levels!$G$20</f>
        <v>0.97443699115248561</v>
      </c>
      <c r="H105" s="357">
        <f>[1]E_CZ_decarb_skill_levels!$G$28/[1]E_CZ_decarb_skill_levels!$G$20</f>
        <v>0.8545062845491026</v>
      </c>
      <c r="J105" s="139"/>
    </row>
    <row r="106" spans="1:12" x14ac:dyDescent="0.25">
      <c r="A106" s="2" t="s">
        <v>914</v>
      </c>
      <c r="B106" s="2" t="s">
        <v>165</v>
      </c>
      <c r="C106" s="2" t="s">
        <v>730</v>
      </c>
      <c r="D106" s="2" t="s">
        <v>749</v>
      </c>
      <c r="E106" s="12" t="s">
        <v>1086</v>
      </c>
      <c r="F106" s="366">
        <v>1</v>
      </c>
      <c r="G106" s="357">
        <f>[1]E_CZ_decarb_skill_levels!$G$25/[1]E_CZ_decarb_skill_levels!$G$21</f>
        <v>1.147213271818234</v>
      </c>
      <c r="H106" s="357">
        <f>[1]E_CZ_decarb_skill_levels!$G$29/[1]E_CZ_decarb_skill_levels!$G$21</f>
        <v>1.4531368109697629</v>
      </c>
      <c r="J106" s="139"/>
    </row>
    <row r="107" spans="1:12" ht="15" customHeight="1" x14ac:dyDescent="0.25">
      <c r="A107" s="2" t="s">
        <v>914</v>
      </c>
      <c r="B107" s="2" t="s">
        <v>165</v>
      </c>
      <c r="C107" s="2" t="s">
        <v>730</v>
      </c>
      <c r="D107" s="2" t="s">
        <v>749</v>
      </c>
      <c r="E107" s="12" t="s">
        <v>1088</v>
      </c>
      <c r="F107" s="366">
        <v>1</v>
      </c>
      <c r="G107" s="458">
        <v>0.95</v>
      </c>
      <c r="H107" s="458">
        <v>0.8</v>
      </c>
      <c r="J107" s="139"/>
    </row>
    <row r="108" spans="1:12" x14ac:dyDescent="0.25">
      <c r="A108" s="2" t="s">
        <v>914</v>
      </c>
      <c r="B108" s="2" t="s">
        <v>165</v>
      </c>
      <c r="C108" s="2" t="s">
        <v>730</v>
      </c>
      <c r="D108" s="2" t="s">
        <v>749</v>
      </c>
      <c r="E108" s="12" t="s">
        <v>1087</v>
      </c>
      <c r="F108" s="366">
        <v>1</v>
      </c>
      <c r="G108" s="458">
        <v>1.05</v>
      </c>
      <c r="H108" s="458">
        <v>1.2</v>
      </c>
      <c r="J108" s="139"/>
    </row>
    <row r="109" spans="1:12" x14ac:dyDescent="0.25">
      <c r="A109" s="2" t="s">
        <v>914</v>
      </c>
      <c r="B109" s="2" t="s">
        <v>165</v>
      </c>
      <c r="C109" s="2" t="s">
        <v>730</v>
      </c>
      <c r="D109" s="2" t="s">
        <v>749</v>
      </c>
      <c r="E109" s="12" t="s">
        <v>1089</v>
      </c>
      <c r="F109" s="366">
        <f t="shared" ref="F109:H109" si="37">F107+F108</f>
        <v>2</v>
      </c>
      <c r="G109" s="364">
        <f t="shared" si="37"/>
        <v>2</v>
      </c>
      <c r="H109" s="364">
        <f t="shared" si="37"/>
        <v>2</v>
      </c>
      <c r="J109" s="139"/>
    </row>
    <row r="110" spans="1:12" ht="15" customHeight="1" x14ac:dyDescent="0.25">
      <c r="A110" s="2" t="s">
        <v>914</v>
      </c>
      <c r="B110" s="2" t="s">
        <v>165</v>
      </c>
      <c r="C110" s="2" t="s">
        <v>731</v>
      </c>
      <c r="D110" s="2" t="s">
        <v>763</v>
      </c>
      <c r="E110" s="12" t="s">
        <v>1084</v>
      </c>
      <c r="F110" s="366">
        <v>1</v>
      </c>
      <c r="G110" s="357">
        <f>[1]E_CZ_decarb_skill_levels!$G$23/[1]E_CZ_decarb_skill_levels!$G$19</f>
        <v>0.69984004846523984</v>
      </c>
      <c r="H110" s="357">
        <f>[1]E_CZ_decarb_skill_levels!$G$27/[1]E_CZ_decarb_skill_levels!$G$19</f>
        <v>0.69984004846523984</v>
      </c>
      <c r="J110" s="139"/>
    </row>
    <row r="111" spans="1:12" x14ac:dyDescent="0.25">
      <c r="A111" s="2" t="s">
        <v>914</v>
      </c>
      <c r="B111" s="2" t="s">
        <v>165</v>
      </c>
      <c r="C111" s="2" t="s">
        <v>731</v>
      </c>
      <c r="D111" s="2" t="s">
        <v>763</v>
      </c>
      <c r="E111" s="12" t="s">
        <v>1085</v>
      </c>
      <c r="F111" s="366">
        <v>1</v>
      </c>
      <c r="G111" s="357">
        <f>[1]E_CZ_decarb_skill_levels!$G$24/[1]E_CZ_decarb_skill_levels!$G$20</f>
        <v>0.97443699115248561</v>
      </c>
      <c r="H111" s="357">
        <f>[1]E_CZ_decarb_skill_levels!$G$28/[1]E_CZ_decarb_skill_levels!$G$20</f>
        <v>0.8545062845491026</v>
      </c>
      <c r="J111" s="139"/>
    </row>
    <row r="112" spans="1:12" x14ac:dyDescent="0.25">
      <c r="A112" s="2" t="s">
        <v>914</v>
      </c>
      <c r="B112" s="2" t="s">
        <v>165</v>
      </c>
      <c r="C112" s="2" t="s">
        <v>731</v>
      </c>
      <c r="D112" s="2" t="s">
        <v>763</v>
      </c>
      <c r="E112" s="12" t="s">
        <v>1086</v>
      </c>
      <c r="F112" s="366">
        <v>1</v>
      </c>
      <c r="G112" s="357">
        <f>[1]E_CZ_decarb_skill_levels!$G$25/[1]E_CZ_decarb_skill_levels!$G$21</f>
        <v>1.147213271818234</v>
      </c>
      <c r="H112" s="357">
        <f>[1]E_CZ_decarb_skill_levels!$G$29/[1]E_CZ_decarb_skill_levels!$G$21</f>
        <v>1.4531368109697629</v>
      </c>
      <c r="J112" s="139"/>
    </row>
    <row r="113" spans="1:12" ht="15" customHeight="1" x14ac:dyDescent="0.25">
      <c r="A113" s="2" t="s">
        <v>914</v>
      </c>
      <c r="B113" s="2" t="s">
        <v>165</v>
      </c>
      <c r="C113" s="2" t="s">
        <v>731</v>
      </c>
      <c r="D113" s="2" t="s">
        <v>763</v>
      </c>
      <c r="E113" s="12" t="s">
        <v>1088</v>
      </c>
      <c r="F113" s="366">
        <v>1</v>
      </c>
      <c r="G113" s="458">
        <v>0.95</v>
      </c>
      <c r="H113" s="458">
        <v>0.8</v>
      </c>
      <c r="J113" s="139"/>
    </row>
    <row r="114" spans="1:12" x14ac:dyDescent="0.25">
      <c r="A114" s="2" t="s">
        <v>914</v>
      </c>
      <c r="B114" s="2" t="s">
        <v>165</v>
      </c>
      <c r="C114" s="2" t="s">
        <v>731</v>
      </c>
      <c r="D114" s="2" t="s">
        <v>763</v>
      </c>
      <c r="E114" s="12" t="s">
        <v>1087</v>
      </c>
      <c r="F114" s="366">
        <v>1</v>
      </c>
      <c r="G114" s="458">
        <v>1.05</v>
      </c>
      <c r="H114" s="458">
        <v>1.2</v>
      </c>
      <c r="J114" s="139"/>
    </row>
    <row r="115" spans="1:12" x14ac:dyDescent="0.25">
      <c r="A115" s="2" t="s">
        <v>914</v>
      </c>
      <c r="B115" s="2" t="s">
        <v>165</v>
      </c>
      <c r="C115" s="2" t="s">
        <v>731</v>
      </c>
      <c r="D115" s="2" t="s">
        <v>763</v>
      </c>
      <c r="E115" s="12" t="s">
        <v>1089</v>
      </c>
      <c r="F115" s="366">
        <f t="shared" ref="F115:H115" si="38">F113+F114</f>
        <v>2</v>
      </c>
      <c r="G115" s="364">
        <f t="shared" si="38"/>
        <v>2</v>
      </c>
      <c r="H115" s="364">
        <f t="shared" si="38"/>
        <v>2</v>
      </c>
      <c r="J115" s="139"/>
    </row>
    <row r="116" spans="1:12" ht="15" customHeight="1" x14ac:dyDescent="0.25">
      <c r="A116" s="2" t="s">
        <v>914</v>
      </c>
      <c r="B116" s="2" t="s">
        <v>165</v>
      </c>
      <c r="C116" s="2" t="s">
        <v>746</v>
      </c>
      <c r="D116" s="2" t="s">
        <v>773</v>
      </c>
      <c r="E116" s="12" t="s">
        <v>1084</v>
      </c>
      <c r="F116" s="366">
        <v>1</v>
      </c>
      <c r="G116" s="357">
        <f>[1]E_CZ_decarb_skill_levels!$G$23/[1]E_CZ_decarb_skill_levels!$G$19</f>
        <v>0.69984004846523984</v>
      </c>
      <c r="H116" s="357">
        <f>[1]E_CZ_decarb_skill_levels!$G$27/[1]E_CZ_decarb_skill_levels!$G$19</f>
        <v>0.69984004846523984</v>
      </c>
      <c r="J116" s="139"/>
    </row>
    <row r="117" spans="1:12" x14ac:dyDescent="0.25">
      <c r="A117" s="2" t="s">
        <v>914</v>
      </c>
      <c r="B117" s="2" t="s">
        <v>165</v>
      </c>
      <c r="C117" s="2" t="s">
        <v>746</v>
      </c>
      <c r="D117" s="2" t="s">
        <v>773</v>
      </c>
      <c r="E117" s="12" t="s">
        <v>1085</v>
      </c>
      <c r="F117" s="366">
        <v>1</v>
      </c>
      <c r="G117" s="357">
        <f>[1]E_CZ_decarb_skill_levels!$G$24/[1]E_CZ_decarb_skill_levels!$G$20</f>
        <v>0.97443699115248561</v>
      </c>
      <c r="H117" s="357">
        <f>[1]E_CZ_decarb_skill_levels!$G$28/[1]E_CZ_decarb_skill_levels!$G$20</f>
        <v>0.8545062845491026</v>
      </c>
      <c r="J117" s="139"/>
    </row>
    <row r="118" spans="1:12" x14ac:dyDescent="0.25">
      <c r="A118" s="2" t="s">
        <v>914</v>
      </c>
      <c r="B118" s="2" t="s">
        <v>165</v>
      </c>
      <c r="C118" s="2" t="s">
        <v>746</v>
      </c>
      <c r="D118" s="2" t="s">
        <v>773</v>
      </c>
      <c r="E118" s="12" t="s">
        <v>1086</v>
      </c>
      <c r="F118" s="366">
        <v>1</v>
      </c>
      <c r="G118" s="357">
        <f>[1]E_CZ_decarb_skill_levels!$G$25/[1]E_CZ_decarb_skill_levels!$G$21</f>
        <v>1.147213271818234</v>
      </c>
      <c r="H118" s="357">
        <f>[1]E_CZ_decarb_skill_levels!$G$29/[1]E_CZ_decarb_skill_levels!$G$21</f>
        <v>1.4531368109697629</v>
      </c>
      <c r="J118" s="139"/>
    </row>
    <row r="119" spans="1:12" ht="15" customHeight="1" x14ac:dyDescent="0.25">
      <c r="A119" s="2" t="s">
        <v>914</v>
      </c>
      <c r="B119" s="2" t="s">
        <v>165</v>
      </c>
      <c r="C119" s="2" t="s">
        <v>746</v>
      </c>
      <c r="D119" s="2" t="s">
        <v>773</v>
      </c>
      <c r="E119" s="12" t="s">
        <v>1088</v>
      </c>
      <c r="F119" s="366">
        <v>1</v>
      </c>
      <c r="G119" s="458">
        <v>0.95</v>
      </c>
      <c r="H119" s="458">
        <v>0.8</v>
      </c>
      <c r="J119" s="139"/>
    </row>
    <row r="120" spans="1:12" x14ac:dyDescent="0.25">
      <c r="A120" s="2" t="s">
        <v>914</v>
      </c>
      <c r="B120" s="2" t="s">
        <v>165</v>
      </c>
      <c r="C120" s="2" t="s">
        <v>746</v>
      </c>
      <c r="D120" s="2" t="s">
        <v>773</v>
      </c>
      <c r="E120" s="12" t="s">
        <v>1087</v>
      </c>
      <c r="F120" s="366">
        <v>1</v>
      </c>
      <c r="G120" s="458">
        <v>1.05</v>
      </c>
      <c r="H120" s="458">
        <v>1.2</v>
      </c>
      <c r="J120" s="139"/>
    </row>
    <row r="121" spans="1:12" x14ac:dyDescent="0.25">
      <c r="A121" s="2" t="s">
        <v>914</v>
      </c>
      <c r="B121" s="2" t="s">
        <v>165</v>
      </c>
      <c r="C121" s="2" t="s">
        <v>746</v>
      </c>
      <c r="D121" s="2" t="s">
        <v>773</v>
      </c>
      <c r="E121" s="12" t="s">
        <v>1089</v>
      </c>
      <c r="F121" s="366">
        <f t="shared" ref="F121:H121" si="39">F119+F120</f>
        <v>2</v>
      </c>
      <c r="G121" s="364">
        <f t="shared" si="39"/>
        <v>2</v>
      </c>
      <c r="H121" s="364">
        <f t="shared" si="39"/>
        <v>2</v>
      </c>
      <c r="J121" s="139"/>
    </row>
    <row r="122" spans="1:12" ht="15" customHeight="1" x14ac:dyDescent="0.25">
      <c r="A122" s="2" t="s">
        <v>914</v>
      </c>
      <c r="B122" s="2" t="s">
        <v>167</v>
      </c>
      <c r="C122" s="2" t="s">
        <v>166</v>
      </c>
      <c r="D122" s="2" t="s">
        <v>757</v>
      </c>
      <c r="E122" s="12" t="s">
        <v>1084</v>
      </c>
      <c r="F122" s="366">
        <v>1</v>
      </c>
      <c r="G122" s="357">
        <f>[1]E_CZ_decarb_skill_levels!$H$23/[1]E_CZ_decarb_skill_levels!$H$19</f>
        <v>0.71044447669505917</v>
      </c>
      <c r="H122" s="357">
        <f>[1]E_CZ_decarb_skill_levels!$H$27/[1]E_CZ_decarb_skill_levels!$H$19</f>
        <v>0.71044447669505917</v>
      </c>
      <c r="K122" s="22"/>
      <c r="L122" s="22"/>
    </row>
    <row r="123" spans="1:12" x14ac:dyDescent="0.25">
      <c r="A123" s="2" t="s">
        <v>914</v>
      </c>
      <c r="B123" s="2" t="s">
        <v>167</v>
      </c>
      <c r="C123" s="2" t="s">
        <v>166</v>
      </c>
      <c r="D123" s="2" t="s">
        <v>757</v>
      </c>
      <c r="E123" s="12" t="s">
        <v>1085</v>
      </c>
      <c r="F123" s="366">
        <v>1</v>
      </c>
      <c r="G123" s="357">
        <f>[1]E_CZ_decarb_skill_levels!$H$24/[1]E_CZ_decarb_skill_levels!$H$20</f>
        <v>0.98581502932307541</v>
      </c>
      <c r="H123" s="357">
        <f>[1]E_CZ_decarb_skill_levels!$H$28/[1]E_CZ_decarb_skill_levels!$H$20</f>
        <v>0.86448394879100443</v>
      </c>
      <c r="K123" s="22"/>
      <c r="L123" s="22"/>
    </row>
    <row r="124" spans="1:12" x14ac:dyDescent="0.25">
      <c r="A124" s="2" t="s">
        <v>914</v>
      </c>
      <c r="B124" s="2" t="s">
        <v>167</v>
      </c>
      <c r="C124" s="2" t="s">
        <v>166</v>
      </c>
      <c r="D124" s="2" t="s">
        <v>757</v>
      </c>
      <c r="E124" s="12" t="s">
        <v>1086</v>
      </c>
      <c r="F124" s="366">
        <v>1</v>
      </c>
      <c r="G124" s="357">
        <f>[1]E_CZ_decarb_skill_levels!$H$25/[1]E_CZ_decarb_skill_levels!$H$21</f>
        <v>1.1100067703275316</v>
      </c>
      <c r="H124" s="357">
        <f>[1]E_CZ_decarb_skill_levels!$I$29/[1]E_CZ_decarb_skill_levels!$I$21</f>
        <v>1.4724964159387661</v>
      </c>
      <c r="K124" s="22"/>
      <c r="L124" s="22"/>
    </row>
    <row r="125" spans="1:12" ht="15" customHeight="1" x14ac:dyDescent="0.25">
      <c r="A125" s="2" t="s">
        <v>914</v>
      </c>
      <c r="B125" s="2" t="s">
        <v>167</v>
      </c>
      <c r="C125" s="2" t="s">
        <v>166</v>
      </c>
      <c r="D125" s="2" t="s">
        <v>757</v>
      </c>
      <c r="E125" s="12" t="s">
        <v>1088</v>
      </c>
      <c r="F125" s="366">
        <v>1</v>
      </c>
      <c r="G125" s="458">
        <v>0.95</v>
      </c>
      <c r="H125" s="458">
        <v>0.8</v>
      </c>
      <c r="K125" s="22"/>
      <c r="L125" s="22"/>
    </row>
    <row r="126" spans="1:12" x14ac:dyDescent="0.25">
      <c r="A126" s="2" t="s">
        <v>914</v>
      </c>
      <c r="B126" s="2" t="s">
        <v>167</v>
      </c>
      <c r="C126" s="2" t="s">
        <v>166</v>
      </c>
      <c r="D126" s="2" t="s">
        <v>757</v>
      </c>
      <c r="E126" s="12" t="s">
        <v>1087</v>
      </c>
      <c r="F126" s="366">
        <v>1</v>
      </c>
      <c r="G126" s="458">
        <v>1.05</v>
      </c>
      <c r="H126" s="458">
        <v>1.2</v>
      </c>
      <c r="K126" s="22"/>
      <c r="L126" s="22"/>
    </row>
    <row r="127" spans="1:12" x14ac:dyDescent="0.25">
      <c r="A127" s="2" t="s">
        <v>914</v>
      </c>
      <c r="B127" s="2" t="s">
        <v>167</v>
      </c>
      <c r="C127" s="2" t="s">
        <v>166</v>
      </c>
      <c r="D127" s="2" t="s">
        <v>757</v>
      </c>
      <c r="E127" s="12" t="s">
        <v>1089</v>
      </c>
      <c r="F127" s="366">
        <f t="shared" ref="F127:H127" si="40">F125+F126</f>
        <v>2</v>
      </c>
      <c r="G127" s="364">
        <f t="shared" si="40"/>
        <v>2</v>
      </c>
      <c r="H127" s="364">
        <f t="shared" si="40"/>
        <v>2</v>
      </c>
      <c r="K127" s="22"/>
      <c r="L127" s="22"/>
    </row>
    <row r="128" spans="1:12" ht="15" customHeight="1" x14ac:dyDescent="0.25">
      <c r="A128" s="53" t="s">
        <v>1204</v>
      </c>
      <c r="B128" s="461"/>
      <c r="C128" s="53"/>
      <c r="D128" s="53"/>
      <c r="E128" s="12" t="s">
        <v>1084</v>
      </c>
      <c r="F128" s="366">
        <v>1</v>
      </c>
      <c r="G128" s="458">
        <f>[1]E_CZ_decarb_skill_levels!$J$23/[1]E_CZ_decarb_skill_levels!$J$19</f>
        <v>0.7777777777777779</v>
      </c>
      <c r="H128" s="458">
        <f>[1]E_CZ_decarb_skill_levels!$J$27/[1]E_CZ_decarb_skill_levels!$J$19</f>
        <v>0.66666666666666663</v>
      </c>
    </row>
    <row r="129" spans="1:8" ht="15" customHeight="1" x14ac:dyDescent="0.25">
      <c r="A129" s="53" t="s">
        <v>1204</v>
      </c>
      <c r="B129" s="461"/>
      <c r="C129" s="53"/>
      <c r="D129" s="53"/>
      <c r="E129" s="12" t="s">
        <v>1085</v>
      </c>
      <c r="F129" s="366">
        <v>1</v>
      </c>
      <c r="G129" s="458">
        <f>[1]E_CZ_decarb_skill_levels!$J$24/[1]E_CZ_decarb_skill_levels!$J$20</f>
        <v>0.96923076923076923</v>
      </c>
      <c r="H129" s="458">
        <f>[1]E_CZ_decarb_skill_levels!$J$28/[1]E_CZ_decarb_skill_levels!$J$20</f>
        <v>0.86153846153846159</v>
      </c>
    </row>
    <row r="130" spans="1:8" ht="15" customHeight="1" x14ac:dyDescent="0.25">
      <c r="A130" s="53" t="s">
        <v>1204</v>
      </c>
      <c r="B130" s="461"/>
      <c r="C130" s="53"/>
      <c r="D130" s="53"/>
      <c r="E130" s="12" t="s">
        <v>1086</v>
      </c>
      <c r="F130" s="366">
        <v>1</v>
      </c>
      <c r="G130" s="458">
        <f>[1]E_CZ_decarb_skill_levels!$J$25/[1]E_CZ_decarb_skill_levels!$J$21</f>
        <v>1.1538461538461537</v>
      </c>
      <c r="H130" s="458">
        <f>[1]E_CZ_decarb_skill_levels!$J$29/[1]E_CZ_decarb_skill_levels!$J$21</f>
        <v>1.4615384615384615</v>
      </c>
    </row>
    <row r="131" spans="1:8" ht="15" customHeight="1" x14ac:dyDescent="0.25">
      <c r="A131" s="53" t="s">
        <v>1204</v>
      </c>
      <c r="B131" s="461"/>
      <c r="C131" s="53"/>
      <c r="D131" s="53"/>
      <c r="E131" s="12" t="s">
        <v>1088</v>
      </c>
      <c r="F131" s="366">
        <v>1</v>
      </c>
      <c r="G131" s="458">
        <v>0.95</v>
      </c>
      <c r="H131" s="458">
        <v>0.8</v>
      </c>
    </row>
    <row r="132" spans="1:8" ht="15" customHeight="1" x14ac:dyDescent="0.25">
      <c r="A132" s="53" t="s">
        <v>1204</v>
      </c>
      <c r="B132" s="461"/>
      <c r="C132" s="53"/>
      <c r="D132" s="53"/>
      <c r="E132" s="12" t="s">
        <v>1087</v>
      </c>
      <c r="F132" s="366">
        <v>1</v>
      </c>
      <c r="G132" s="458">
        <v>1.05</v>
      </c>
      <c r="H132" s="458">
        <v>1.2</v>
      </c>
    </row>
    <row r="133" spans="1:8" ht="15" customHeight="1" x14ac:dyDescent="0.25">
      <c r="A133" s="53" t="s">
        <v>1204</v>
      </c>
      <c r="B133" s="461"/>
      <c r="C133" s="53"/>
      <c r="D133" s="53"/>
      <c r="E133" s="12" t="s">
        <v>1089</v>
      </c>
      <c r="F133" s="366">
        <f t="shared" ref="F133:H133" si="41">F131+F132</f>
        <v>2</v>
      </c>
      <c r="G133" s="364">
        <f t="shared" si="41"/>
        <v>2</v>
      </c>
      <c r="H133" s="364">
        <f t="shared" si="41"/>
        <v>2</v>
      </c>
    </row>
    <row r="134" spans="1:8" ht="15" customHeight="1" x14ac:dyDescent="0.25"/>
    <row r="135" spans="1:8" ht="15" customHeight="1" x14ac:dyDescent="0.25"/>
    <row r="136" spans="1:8" ht="15" customHeight="1" x14ac:dyDescent="0.25"/>
    <row r="137" spans="1:8" ht="15" customHeight="1" x14ac:dyDescent="0.25"/>
    <row r="138" spans="1:8" ht="15" customHeight="1" x14ac:dyDescent="0.25"/>
    <row r="139" spans="1:8" ht="15" customHeight="1" x14ac:dyDescent="0.25"/>
    <row r="140" spans="1:8" ht="15" customHeight="1" x14ac:dyDescent="0.25"/>
    <row r="141" spans="1:8" ht="15" customHeight="1" x14ac:dyDescent="0.25"/>
    <row r="142" spans="1:8" ht="15" customHeight="1" x14ac:dyDescent="0.25"/>
    <row r="143" spans="1:8" ht="15" customHeight="1" x14ac:dyDescent="0.25"/>
    <row r="144" spans="1:8" ht="15" customHeight="1" x14ac:dyDescent="0.25"/>
    <row r="145" ht="15"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sheetData>
  <conditionalFormatting sqref="F7:H7 F13:H13 F19:H19 F25:H25 F31:H31 F37:H37 F109:H109 F115:H115 F121:H121 F127:H127">
    <cfRule type="cellIs" dxfId="48" priority="14" operator="equal">
      <formula>2</formula>
    </cfRule>
  </conditionalFormatting>
  <conditionalFormatting sqref="F61:H61">
    <cfRule type="cellIs" dxfId="47" priority="10" operator="equal">
      <formula>2</formula>
    </cfRule>
  </conditionalFormatting>
  <conditionalFormatting sqref="F67:H67 F73:H73 F79:H79">
    <cfRule type="cellIs" dxfId="46" priority="9" operator="equal">
      <formula>2</formula>
    </cfRule>
  </conditionalFormatting>
  <conditionalFormatting sqref="F43:H43 F49:H49 F55:H55">
    <cfRule type="cellIs" dxfId="45" priority="11" operator="equal">
      <formula>2</formula>
    </cfRule>
  </conditionalFormatting>
  <conditionalFormatting sqref="F103:H103">
    <cfRule type="cellIs" dxfId="44" priority="7" operator="equal">
      <formula>2</formula>
    </cfRule>
  </conditionalFormatting>
  <conditionalFormatting sqref="F85:H85 F91:H91 F97:H97">
    <cfRule type="cellIs" dxfId="43" priority="8" operator="equal">
      <formula>2</formula>
    </cfRule>
  </conditionalFormatting>
  <conditionalFormatting sqref="F133:H133">
    <cfRule type="cellIs" dxfId="42" priority="6" operator="equal">
      <formula>2</formula>
    </cfRule>
  </conditionalFormatting>
  <pageMargins left="0.7" right="0.7" top="0.78740157499999996" bottom="0.78740157499999996" header="0.3" footer="0.3"/>
  <pageSetup paperSize="9" orientation="portrait" verticalDpi="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1002"/>
  <sheetViews>
    <sheetView zoomScale="75" zoomScaleNormal="75" workbookViewId="0">
      <pane xSplit="5" ySplit="1" topLeftCell="F915" activePane="bottomRight" state="frozen"/>
      <selection pane="topRight" activeCell="E1" sqref="E1"/>
      <selection pane="bottomLeft" activeCell="A2" sqref="A2"/>
      <selection pane="bottomRight" activeCell="L915" sqref="L915"/>
    </sheetView>
  </sheetViews>
  <sheetFormatPr defaultColWidth="9" defaultRowHeight="15" x14ac:dyDescent="0.25"/>
  <cols>
    <col min="1" max="1" width="20.25" style="2" bestFit="1" customWidth="1"/>
    <col min="2" max="2" width="31.625" style="2" customWidth="1"/>
    <col min="3" max="3" width="12" style="2" customWidth="1"/>
    <col min="4" max="4" width="31.625" style="2" customWidth="1"/>
    <col min="5" max="5" width="79.25" style="15" bestFit="1" customWidth="1"/>
    <col min="6" max="15" width="13.5" style="183" customWidth="1"/>
    <col min="16" max="16384" width="9" style="2"/>
  </cols>
  <sheetData>
    <row r="1" spans="1:15" x14ac:dyDescent="0.25">
      <c r="A1" s="24" t="s">
        <v>368</v>
      </c>
      <c r="B1" s="24" t="s">
        <v>0</v>
      </c>
      <c r="C1" s="18" t="s">
        <v>1</v>
      </c>
      <c r="D1" s="24" t="s">
        <v>762</v>
      </c>
      <c r="E1" s="19" t="s">
        <v>366</v>
      </c>
      <c r="F1" s="21" t="s">
        <v>1090</v>
      </c>
      <c r="G1" s="21" t="s">
        <v>1075</v>
      </c>
      <c r="H1" s="21" t="s">
        <v>1091</v>
      </c>
      <c r="I1" s="21" t="s">
        <v>1092</v>
      </c>
      <c r="J1" s="21" t="s">
        <v>1076</v>
      </c>
      <c r="K1" s="21" t="s">
        <v>1080</v>
      </c>
      <c r="L1" s="21" t="s">
        <v>1081</v>
      </c>
      <c r="M1" s="21" t="s">
        <v>1078</v>
      </c>
      <c r="N1" s="21" t="s">
        <v>1083</v>
      </c>
      <c r="O1" s="21" t="s">
        <v>1082</v>
      </c>
    </row>
    <row r="2" spans="1:15" x14ac:dyDescent="0.25">
      <c r="A2" s="361" t="s">
        <v>921</v>
      </c>
      <c r="B2" s="5" t="s">
        <v>2</v>
      </c>
      <c r="C2" s="2" t="s">
        <v>3</v>
      </c>
      <c r="E2" s="241" t="s">
        <v>372</v>
      </c>
      <c r="F2" s="362">
        <f>opex_det!BV$169</f>
        <v>1.5354003933229E-3</v>
      </c>
      <c r="G2" s="458">
        <f>labcap_sources!$F$131*labcap_sources!$F$128</f>
        <v>1</v>
      </c>
      <c r="H2" s="362">
        <f t="shared" ref="H2:H5" si="0">$F2*G2</f>
        <v>1.5354003933229E-3</v>
      </c>
      <c r="I2" s="368">
        <f>H2/H6*$F6</f>
        <v>1.5354003933229E-3</v>
      </c>
      <c r="J2" s="458">
        <f>labcap_sources!$G$131*labcap_sources!$G$128</f>
        <v>0.73888888888888893</v>
      </c>
      <c r="K2" s="362">
        <f>$H2*J2</f>
        <v>1.1344902906219206E-3</v>
      </c>
      <c r="L2" s="368">
        <f>K2/K6*$F6</f>
        <v>1.0877083147424404E-3</v>
      </c>
      <c r="M2" s="458">
        <f>labcap_sources!$H$131*labcap_sources!$H$128</f>
        <v>0.53333333333333333</v>
      </c>
      <c r="N2" s="362">
        <f>$H2*M2</f>
        <v>8.1888020977221329E-4</v>
      </c>
      <c r="O2" s="368">
        <f>N2/N6*$F6</f>
        <v>7.381678593816009E-4</v>
      </c>
    </row>
    <row r="3" spans="1:15" x14ac:dyDescent="0.25">
      <c r="A3" s="361" t="s">
        <v>921</v>
      </c>
      <c r="B3" s="5" t="s">
        <v>2</v>
      </c>
      <c r="C3" s="2" t="s">
        <v>3</v>
      </c>
      <c r="E3" s="241" t="s">
        <v>373</v>
      </c>
      <c r="F3" s="362">
        <f>opex_det!BV$170</f>
        <v>2.3872619079459801E-2</v>
      </c>
      <c r="G3" s="458">
        <f>labcap_sources!$F$131*labcap_sources!$F$129</f>
        <v>1</v>
      </c>
      <c r="H3" s="362">
        <f t="shared" si="0"/>
        <v>2.3872619079459801E-2</v>
      </c>
      <c r="I3" s="368">
        <f>H3/H6*$F6</f>
        <v>2.3872619079459801E-2</v>
      </c>
      <c r="J3" s="458">
        <f>labcap_sources!$G$131*labcap_sources!$G$129</f>
        <v>0.92076923076923067</v>
      </c>
      <c r="K3" s="362">
        <f t="shared" ref="K3:K5" si="1">$H3*J3</f>
        <v>2.1981173106241061E-2</v>
      </c>
      <c r="L3" s="368">
        <f>K3/K6*$F6</f>
        <v>2.1074754850783691E-2</v>
      </c>
      <c r="M3" s="458">
        <f>labcap_sources!$H$131*labcap_sources!$H$129</f>
        <v>0.68923076923076931</v>
      </c>
      <c r="N3" s="362">
        <f t="shared" ref="N3:N5" si="2">$H3*M3</f>
        <v>1.645374361168922E-2</v>
      </c>
      <c r="O3" s="368">
        <f>N3/N6*$F6</f>
        <v>1.4831991976009351E-2</v>
      </c>
    </row>
    <row r="4" spans="1:15" x14ac:dyDescent="0.25">
      <c r="A4" s="361" t="s">
        <v>921</v>
      </c>
      <c r="B4" s="5" t="s">
        <v>2</v>
      </c>
      <c r="C4" s="2" t="s">
        <v>3</v>
      </c>
      <c r="E4" s="241" t="s">
        <v>374</v>
      </c>
      <c r="F4" s="362">
        <f>opex_det!BV$171</f>
        <v>5.2417823993075499E-2</v>
      </c>
      <c r="G4" s="458">
        <f>labcap_sources!$F$131*labcap_sources!$F$130</f>
        <v>1</v>
      </c>
      <c r="H4" s="362">
        <f t="shared" si="0"/>
        <v>5.2417823993075499E-2</v>
      </c>
      <c r="I4" s="368">
        <f>H4/H6*$F6</f>
        <v>5.2417823993075499E-2</v>
      </c>
      <c r="J4" s="458">
        <f>labcap_sources!$G$131*labcap_sources!$G$130</f>
        <v>1.096153846153846</v>
      </c>
      <c r="K4" s="362">
        <f t="shared" si="1"/>
        <v>5.745799937702506E-2</v>
      </c>
      <c r="L4" s="368">
        <f>K4/K6*$F6</f>
        <v>5.5088654515143838E-2</v>
      </c>
      <c r="M4" s="458">
        <f>labcap_sources!$H$131*labcap_sources!$H$130</f>
        <v>1.1692307692307693</v>
      </c>
      <c r="N4" s="362">
        <f t="shared" si="2"/>
        <v>6.1288532668826744E-2</v>
      </c>
      <c r="O4" s="368">
        <f>N4/N6*$F6</f>
        <v>5.5247671667839962E-2</v>
      </c>
    </row>
    <row r="5" spans="1:15" x14ac:dyDescent="0.25">
      <c r="A5" s="361" t="s">
        <v>921</v>
      </c>
      <c r="B5" s="5" t="s">
        <v>2</v>
      </c>
      <c r="C5" s="2" t="s">
        <v>3</v>
      </c>
      <c r="E5" s="240" t="s">
        <v>375</v>
      </c>
      <c r="F5" s="362">
        <f>opex_det!BV$172</f>
        <v>8.5753400470552396E-2</v>
      </c>
      <c r="G5" s="458">
        <f>labcap_sources!$F$132</f>
        <v>1</v>
      </c>
      <c r="H5" s="362">
        <f t="shared" si="0"/>
        <v>8.5753400470552396E-2</v>
      </c>
      <c r="I5" s="368">
        <f>H5/H6*$F6</f>
        <v>8.5753400470552396E-2</v>
      </c>
      <c r="J5" s="458">
        <f>labcap_sources!$G$132</f>
        <v>1.05</v>
      </c>
      <c r="K5" s="362">
        <f t="shared" si="1"/>
        <v>9.0041070494080014E-2</v>
      </c>
      <c r="L5" s="368">
        <f>K5/K6*$F6</f>
        <v>8.6328126255740628E-2</v>
      </c>
      <c r="M5" s="458">
        <f>labcap_sources!$H$132</f>
        <v>1.2</v>
      </c>
      <c r="N5" s="362">
        <f t="shared" si="2"/>
        <v>0.10290408056466287</v>
      </c>
      <c r="O5" s="368">
        <f>N5/N6*$F6</f>
        <v>9.2761412433179688E-2</v>
      </c>
    </row>
    <row r="6" spans="1:15" x14ac:dyDescent="0.25">
      <c r="A6" s="361" t="s">
        <v>921</v>
      </c>
      <c r="B6" s="5" t="s">
        <v>2</v>
      </c>
      <c r="C6" s="2" t="s">
        <v>3</v>
      </c>
      <c r="E6" s="19" t="s">
        <v>1077</v>
      </c>
      <c r="F6" s="363">
        <f>SUM(F2:F5)</f>
        <v>0.1635792439364106</v>
      </c>
      <c r="G6" s="458"/>
      <c r="H6" s="363">
        <f>SUM(H2:H5)</f>
        <v>0.1635792439364106</v>
      </c>
      <c r="I6" s="363">
        <f>SUM(I2:I5)</f>
        <v>0.1635792439364106</v>
      </c>
      <c r="J6" s="458"/>
      <c r="K6" s="363">
        <f>SUM(K2:K5)</f>
        <v>0.17061473326796806</v>
      </c>
      <c r="L6" s="363">
        <f>SUM(L2:L5)</f>
        <v>0.1635792439364106</v>
      </c>
      <c r="M6" s="458"/>
      <c r="N6" s="363">
        <f>SUM(N2:N5)</f>
        <v>0.18146523705495105</v>
      </c>
      <c r="O6" s="363">
        <f>SUM(O2:O5)</f>
        <v>0.1635792439364106</v>
      </c>
    </row>
    <row r="7" spans="1:15" x14ac:dyDescent="0.25">
      <c r="A7" s="361" t="s">
        <v>921</v>
      </c>
      <c r="B7" s="5" t="s">
        <v>2</v>
      </c>
      <c r="C7" s="2" t="s">
        <v>3</v>
      </c>
      <c r="E7" s="367" t="s">
        <v>1068</v>
      </c>
      <c r="F7" s="359">
        <f>opex_det!BV$176</f>
        <v>1.09064739834762E-5</v>
      </c>
      <c r="G7" s="458">
        <f>labcap_sources!$F$128</f>
        <v>1</v>
      </c>
      <c r="H7" s="369">
        <f t="shared" ref="H7:H16" si="3">$F7*G7</f>
        <v>1.09064739834762E-5</v>
      </c>
      <c r="I7" s="357"/>
      <c r="J7" s="458">
        <f>labcap_sources!$G$128</f>
        <v>0.7777777777777779</v>
      </c>
      <c r="K7" s="369">
        <f>$H7*J7</f>
        <v>8.4828130982592677E-6</v>
      </c>
      <c r="L7" s="360"/>
      <c r="M7" s="458">
        <f>labcap_sources!$H$128</f>
        <v>0.66666666666666663</v>
      </c>
      <c r="N7" s="369">
        <f>$H7*M7</f>
        <v>7.2709826556507998E-6</v>
      </c>
      <c r="O7" s="360"/>
    </row>
    <row r="8" spans="1:15" x14ac:dyDescent="0.25">
      <c r="A8" s="361" t="s">
        <v>921</v>
      </c>
      <c r="B8" s="5" t="s">
        <v>2</v>
      </c>
      <c r="C8" s="2" t="s">
        <v>3</v>
      </c>
      <c r="E8" s="367" t="s">
        <v>1069</v>
      </c>
      <c r="F8" s="359">
        <f>opex_det!BV$177</f>
        <v>8.1944936609517401E-6</v>
      </c>
      <c r="G8" s="458">
        <f>labcap_sources!$F$128</f>
        <v>1</v>
      </c>
      <c r="H8" s="369">
        <f t="shared" si="3"/>
        <v>8.1944936609517401E-6</v>
      </c>
      <c r="I8" s="357"/>
      <c r="J8" s="458">
        <f>labcap_sources!$G$128</f>
        <v>0.7777777777777779</v>
      </c>
      <c r="K8" s="369">
        <f t="shared" ref="K8:K12" si="4">$H8*J8</f>
        <v>6.3734950696291319E-6</v>
      </c>
      <c r="L8" s="360"/>
      <c r="M8" s="458">
        <f>labcap_sources!$H$128</f>
        <v>0.66666666666666663</v>
      </c>
      <c r="N8" s="369">
        <f t="shared" ref="N8" si="5">$H8*M8</f>
        <v>5.4629957739678265E-6</v>
      </c>
      <c r="O8" s="360"/>
    </row>
    <row r="9" spans="1:15" x14ac:dyDescent="0.25">
      <c r="A9" s="361" t="s">
        <v>921</v>
      </c>
      <c r="B9" s="5" t="s">
        <v>2</v>
      </c>
      <c r="C9" s="2" t="s">
        <v>3</v>
      </c>
      <c r="E9" s="367" t="s">
        <v>1070</v>
      </c>
      <c r="F9" s="359">
        <f>opex_det!BV$178</f>
        <v>1.96875649561672E-4</v>
      </c>
      <c r="G9" s="458">
        <f>labcap_sources!$F$129</f>
        <v>1</v>
      </c>
      <c r="H9" s="369">
        <f t="shared" si="3"/>
        <v>1.96875649561672E-4</v>
      </c>
      <c r="I9" s="357"/>
      <c r="J9" s="458">
        <f>labcap_sources!$G$129</f>
        <v>0.96923076923076923</v>
      </c>
      <c r="K9" s="369">
        <f t="shared" si="4"/>
        <v>1.9081793726746671E-4</v>
      </c>
      <c r="L9" s="360"/>
      <c r="M9" s="458">
        <f>labcap_sources!$H$129</f>
        <v>0.86153846153846159</v>
      </c>
      <c r="N9" s="369">
        <f>$H9*M9</f>
        <v>1.6961594423774821E-4</v>
      </c>
      <c r="O9" s="360"/>
    </row>
    <row r="10" spans="1:15" x14ac:dyDescent="0.25">
      <c r="A10" s="361" t="s">
        <v>921</v>
      </c>
      <c r="B10" s="5" t="s">
        <v>2</v>
      </c>
      <c r="C10" s="2" t="s">
        <v>3</v>
      </c>
      <c r="E10" s="367" t="s">
        <v>1071</v>
      </c>
      <c r="F10" s="359">
        <f>opex_det!BV$179</f>
        <v>1.92811615551389E-5</v>
      </c>
      <c r="G10" s="458">
        <f>labcap_sources!$F$129</f>
        <v>1</v>
      </c>
      <c r="H10" s="369">
        <f t="shared" si="3"/>
        <v>1.92811615551389E-5</v>
      </c>
      <c r="I10" s="357"/>
      <c r="J10" s="458">
        <f>labcap_sources!$G$129</f>
        <v>0.96923076923076923</v>
      </c>
      <c r="K10" s="369">
        <f t="shared" si="4"/>
        <v>1.8687895045750009E-5</v>
      </c>
      <c r="L10" s="360"/>
      <c r="M10" s="458">
        <f>labcap_sources!$H$129</f>
        <v>0.86153846153846159</v>
      </c>
      <c r="N10" s="369">
        <f t="shared" ref="N10:N12" si="6">$H10*M10</f>
        <v>1.6611462262888897E-5</v>
      </c>
      <c r="O10" s="360"/>
    </row>
    <row r="11" spans="1:15" x14ac:dyDescent="0.25">
      <c r="A11" s="361" t="s">
        <v>921</v>
      </c>
      <c r="B11" s="5" t="s">
        <v>2</v>
      </c>
      <c r="C11" s="2" t="s">
        <v>3</v>
      </c>
      <c r="E11" s="367" t="s">
        <v>1072</v>
      </c>
      <c r="F11" s="359">
        <f>opex_det!BV$180</f>
        <v>1.9044632531111801E-4</v>
      </c>
      <c r="G11" s="458">
        <f>labcap_sources!$F$130</f>
        <v>1</v>
      </c>
      <c r="H11" s="369">
        <f t="shared" si="3"/>
        <v>1.9044632531111801E-4</v>
      </c>
      <c r="I11" s="357"/>
      <c r="J11" s="458">
        <f>labcap_sources!$G$130</f>
        <v>1.1538461538461537</v>
      </c>
      <c r="K11" s="369">
        <f t="shared" si="4"/>
        <v>2.1974575997436692E-4</v>
      </c>
      <c r="L11" s="360"/>
      <c r="M11" s="458">
        <f>labcap_sources!$H$130</f>
        <v>1.4615384615384615</v>
      </c>
      <c r="N11" s="369">
        <f t="shared" si="6"/>
        <v>2.7834462930086476E-4</v>
      </c>
      <c r="O11" s="360"/>
    </row>
    <row r="12" spans="1:15" x14ac:dyDescent="0.25">
      <c r="A12" s="361" t="s">
        <v>921</v>
      </c>
      <c r="B12" s="5" t="s">
        <v>2</v>
      </c>
      <c r="C12" s="2" t="s">
        <v>3</v>
      </c>
      <c r="E12" s="367" t="s">
        <v>1073</v>
      </c>
      <c r="F12" s="359">
        <f>opex_det!BV$181</f>
        <v>4.7350482917290899E-5</v>
      </c>
      <c r="G12" s="458">
        <f>labcap_sources!$F$130</f>
        <v>1</v>
      </c>
      <c r="H12" s="369">
        <f t="shared" si="3"/>
        <v>4.7350482917290899E-5</v>
      </c>
      <c r="I12" s="357"/>
      <c r="J12" s="458">
        <f>labcap_sources!$G$130</f>
        <v>1.1538461538461537</v>
      </c>
      <c r="K12" s="369">
        <f t="shared" si="4"/>
        <v>5.4635172596874111E-5</v>
      </c>
      <c r="L12" s="360"/>
      <c r="M12" s="458">
        <f>labcap_sources!$H$130</f>
        <v>1.4615384615384615</v>
      </c>
      <c r="N12" s="369">
        <f t="shared" si="6"/>
        <v>6.9204551956040535E-5</v>
      </c>
      <c r="O12" s="360"/>
    </row>
    <row r="13" spans="1:15" x14ac:dyDescent="0.25">
      <c r="A13" s="361" t="s">
        <v>921</v>
      </c>
      <c r="B13" s="5" t="s">
        <v>4</v>
      </c>
      <c r="C13" s="2" t="s">
        <v>5</v>
      </c>
      <c r="E13" s="241" t="s">
        <v>372</v>
      </c>
      <c r="F13" s="362">
        <f>opex_det!BW$169</f>
        <v>9.0300792336197699E-4</v>
      </c>
      <c r="G13" s="458">
        <f>labcap_sources!$F$131*labcap_sources!$F$128</f>
        <v>1</v>
      </c>
      <c r="H13" s="362">
        <f t="shared" si="3"/>
        <v>9.0300792336197699E-4</v>
      </c>
      <c r="I13" s="368">
        <f>H13/H17*$F17</f>
        <v>9.0300792336197699E-4</v>
      </c>
      <c r="J13" s="458">
        <f>labcap_sources!$G$131*labcap_sources!$G$128</f>
        <v>0.73888888888888893</v>
      </c>
      <c r="K13" s="362">
        <f>$H13*J13</f>
        <v>6.6722252115079415E-4</v>
      </c>
      <c r="L13" s="368">
        <f>K13/K17*$F17</f>
        <v>6.3939251298932281E-4</v>
      </c>
      <c r="M13" s="458">
        <f>labcap_sources!$H$131*labcap_sources!$H$128</f>
        <v>0.53333333333333333</v>
      </c>
      <c r="N13" s="362">
        <f>$H13*M13</f>
        <v>4.816042257930544E-4</v>
      </c>
      <c r="O13" s="368">
        <f>N13/N17*$F17</f>
        <v>4.3153187781459274E-4</v>
      </c>
    </row>
    <row r="14" spans="1:15" x14ac:dyDescent="0.25">
      <c r="A14" s="361" t="s">
        <v>921</v>
      </c>
      <c r="B14" s="5" t="s">
        <v>4</v>
      </c>
      <c r="C14" s="2" t="s">
        <v>5</v>
      </c>
      <c r="E14" s="241" t="s">
        <v>373</v>
      </c>
      <c r="F14" s="362">
        <f>opex_det!BW$170</f>
        <v>1.4040092912497699E-2</v>
      </c>
      <c r="G14" s="458">
        <f>labcap_sources!$F$131*labcap_sources!$F$129</f>
        <v>1</v>
      </c>
      <c r="H14" s="362">
        <f t="shared" si="3"/>
        <v>1.4040092912497699E-2</v>
      </c>
      <c r="I14" s="368">
        <f>H14/H17*$F17</f>
        <v>1.4040092912497699E-2</v>
      </c>
      <c r="J14" s="458">
        <f>labcap_sources!$G$131*labcap_sources!$G$129</f>
        <v>0.92076923076923067</v>
      </c>
      <c r="K14" s="362">
        <f t="shared" ref="K14:K16" si="7">$H14*J14</f>
        <v>1.2927685550969034E-2</v>
      </c>
      <c r="L14" s="368">
        <f>K14/K17*$F17</f>
        <v>1.2388468748496783E-2</v>
      </c>
      <c r="M14" s="458">
        <f>labcap_sources!$H$131*labcap_sources!$H$129</f>
        <v>0.68923076923076931</v>
      </c>
      <c r="N14" s="362">
        <f t="shared" ref="N14:N16" si="8">$H14*M14</f>
        <v>9.6768640381522612E-3</v>
      </c>
      <c r="O14" s="368">
        <f>N14/N17*$F17</f>
        <v>8.6707613556836274E-3</v>
      </c>
    </row>
    <row r="15" spans="1:15" x14ac:dyDescent="0.25">
      <c r="A15" s="361" t="s">
        <v>921</v>
      </c>
      <c r="B15" s="5" t="s">
        <v>4</v>
      </c>
      <c r="C15" s="2" t="s">
        <v>5</v>
      </c>
      <c r="E15" s="241" t="s">
        <v>374</v>
      </c>
      <c r="F15" s="362">
        <f>opex_det!BW$171</f>
        <v>3.08282520943058E-2</v>
      </c>
      <c r="G15" s="458">
        <f>labcap_sources!$F$131*labcap_sources!$F$130</f>
        <v>1</v>
      </c>
      <c r="H15" s="362">
        <f t="shared" si="3"/>
        <v>3.08282520943058E-2</v>
      </c>
      <c r="I15" s="368">
        <f>H15/H17*$F17</f>
        <v>3.0828252094305796E-2</v>
      </c>
      <c r="J15" s="458">
        <f>labcap_sources!$G$131*labcap_sources!$G$130</f>
        <v>1.096153846153846</v>
      </c>
      <c r="K15" s="362">
        <f t="shared" si="7"/>
        <v>3.3792507103373663E-2</v>
      </c>
      <c r="L15" s="368">
        <f>K15/K17*$F17</f>
        <v>3.2383013690499306E-2</v>
      </c>
      <c r="M15" s="458">
        <f>labcap_sources!$H$131*labcap_sources!$H$130</f>
        <v>1.1692307692307693</v>
      </c>
      <c r="N15" s="362">
        <f t="shared" si="8"/>
        <v>3.6045340910265247E-2</v>
      </c>
      <c r="O15" s="368">
        <f>N15/N17*$F17</f>
        <v>3.2297710062365183E-2</v>
      </c>
    </row>
    <row r="16" spans="1:15" x14ac:dyDescent="0.25">
      <c r="A16" s="361" t="s">
        <v>921</v>
      </c>
      <c r="B16" s="5" t="s">
        <v>4</v>
      </c>
      <c r="C16" s="2" t="s">
        <v>5</v>
      </c>
      <c r="E16" s="240" t="s">
        <v>375</v>
      </c>
      <c r="F16" s="362">
        <f>opex_det!BW$172</f>
        <v>5.8101751216910899E-2</v>
      </c>
      <c r="G16" s="458">
        <f>labcap_sources!$F$132</f>
        <v>1</v>
      </c>
      <c r="H16" s="362">
        <f t="shared" si="3"/>
        <v>5.8101751216910899E-2</v>
      </c>
      <c r="I16" s="368">
        <f>H16/H17*$F17</f>
        <v>5.8101751216910899E-2</v>
      </c>
      <c r="J16" s="458">
        <f>labcap_sources!$G$132</f>
        <v>1.05</v>
      </c>
      <c r="K16" s="362">
        <f t="shared" si="7"/>
        <v>6.1006838777756443E-2</v>
      </c>
      <c r="L16" s="368">
        <f>K16/K17*$F17</f>
        <v>5.8462229195090969E-2</v>
      </c>
      <c r="M16" s="458">
        <f>labcap_sources!$H$132</f>
        <v>1.2</v>
      </c>
      <c r="N16" s="362">
        <f t="shared" si="8"/>
        <v>6.9722101460293076E-2</v>
      </c>
      <c r="O16" s="368">
        <f>N16/N17*$F17</f>
        <v>6.2473100851212979E-2</v>
      </c>
    </row>
    <row r="17" spans="1:15" x14ac:dyDescent="0.25">
      <c r="A17" s="361" t="s">
        <v>921</v>
      </c>
      <c r="B17" s="5" t="s">
        <v>4</v>
      </c>
      <c r="C17" s="2" t="s">
        <v>5</v>
      </c>
      <c r="E17" s="19" t="s">
        <v>1077</v>
      </c>
      <c r="F17" s="363">
        <f>SUM(F13:F16)</f>
        <v>0.10387310414707637</v>
      </c>
      <c r="G17" s="458"/>
      <c r="H17" s="363">
        <f>SUM(H13:H16)</f>
        <v>0.10387310414707637</v>
      </c>
      <c r="I17" s="363">
        <f>SUM(I13:I16)</f>
        <v>0.10387310414707637</v>
      </c>
      <c r="J17" s="458"/>
      <c r="K17" s="363">
        <f>SUM(K13:K16)</f>
        <v>0.10839425395324993</v>
      </c>
      <c r="L17" s="363">
        <f>SUM(L13:L16)</f>
        <v>0.10387310414707637</v>
      </c>
      <c r="M17" s="458"/>
      <c r="N17" s="363">
        <f>SUM(N13:N16)</f>
        <v>0.11592591063450364</v>
      </c>
      <c r="O17" s="363">
        <f>SUM(O13:O16)</f>
        <v>0.10387310414707637</v>
      </c>
    </row>
    <row r="18" spans="1:15" x14ac:dyDescent="0.25">
      <c r="A18" s="361" t="s">
        <v>921</v>
      </c>
      <c r="B18" s="5" t="s">
        <v>4</v>
      </c>
      <c r="C18" s="2" t="s">
        <v>5</v>
      </c>
      <c r="E18" s="367" t="s">
        <v>1068</v>
      </c>
      <c r="F18" s="359">
        <f>opex_det!BW$176</f>
        <v>3.8646043258471297E-5</v>
      </c>
      <c r="G18" s="458">
        <f>labcap_sources!$F$128</f>
        <v>1</v>
      </c>
      <c r="H18" s="369">
        <f t="shared" ref="H18:H27" si="9">$F18*G18</f>
        <v>3.8646043258471297E-5</v>
      </c>
      <c r="I18" s="357"/>
      <c r="J18" s="458">
        <f>labcap_sources!$G$128</f>
        <v>0.7777777777777779</v>
      </c>
      <c r="K18" s="369">
        <f>$H18*J18</f>
        <v>3.0058033645477679E-5</v>
      </c>
      <c r="L18" s="360"/>
      <c r="M18" s="458">
        <f>labcap_sources!$H$128</f>
        <v>0.66666666666666663</v>
      </c>
      <c r="N18" s="369">
        <f>$H18*M18</f>
        <v>2.5764028838980865E-5</v>
      </c>
      <c r="O18" s="360"/>
    </row>
    <row r="19" spans="1:15" x14ac:dyDescent="0.25">
      <c r="A19" s="361" t="s">
        <v>921</v>
      </c>
      <c r="B19" s="5" t="s">
        <v>4</v>
      </c>
      <c r="C19" s="2" t="s">
        <v>5</v>
      </c>
      <c r="E19" s="367" t="s">
        <v>1069</v>
      </c>
      <c r="F19" s="359">
        <f>opex_det!BW$177</f>
        <v>2.85557154164066E-5</v>
      </c>
      <c r="G19" s="458">
        <f>labcap_sources!$F$128</f>
        <v>1</v>
      </c>
      <c r="H19" s="369">
        <f t="shared" si="9"/>
        <v>2.85557154164066E-5</v>
      </c>
      <c r="I19" s="357"/>
      <c r="J19" s="458">
        <f>labcap_sources!$G$128</f>
        <v>0.7777777777777779</v>
      </c>
      <c r="K19" s="369">
        <f t="shared" ref="K19:K23" si="10">$H19*J19</f>
        <v>2.2210000879427359E-5</v>
      </c>
      <c r="L19" s="360"/>
      <c r="M19" s="458">
        <f>labcap_sources!$H$128</f>
        <v>0.66666666666666663</v>
      </c>
      <c r="N19" s="369">
        <f t="shared" ref="N19" si="11">$H19*M19</f>
        <v>1.9037143610937731E-5</v>
      </c>
      <c r="O19" s="360"/>
    </row>
    <row r="20" spans="1:15" x14ac:dyDescent="0.25">
      <c r="A20" s="361" t="s">
        <v>921</v>
      </c>
      <c r="B20" s="5" t="s">
        <v>4</v>
      </c>
      <c r="C20" s="2" t="s">
        <v>5</v>
      </c>
      <c r="E20" s="367" t="s">
        <v>1070</v>
      </c>
      <c r="F20" s="359">
        <f>opex_det!BW$178</f>
        <v>6.8492247646510795E-4</v>
      </c>
      <c r="G20" s="458">
        <f>labcap_sources!$F$129</f>
        <v>1</v>
      </c>
      <c r="H20" s="369">
        <f t="shared" si="9"/>
        <v>6.8492247646510795E-4</v>
      </c>
      <c r="I20" s="357"/>
      <c r="J20" s="458">
        <f>labcap_sources!$G$129</f>
        <v>0.96923076923076923</v>
      </c>
      <c r="K20" s="369">
        <f t="shared" si="10"/>
        <v>6.6384793872771998E-4</v>
      </c>
      <c r="L20" s="360"/>
      <c r="M20" s="458">
        <f>labcap_sources!$H$129</f>
        <v>0.86153846153846159</v>
      </c>
      <c r="N20" s="369">
        <f>$H20*M20</f>
        <v>5.9008705664686232E-4</v>
      </c>
      <c r="O20" s="360"/>
    </row>
    <row r="21" spans="1:15" x14ac:dyDescent="0.25">
      <c r="A21" s="361" t="s">
        <v>921</v>
      </c>
      <c r="B21" s="5" t="s">
        <v>4</v>
      </c>
      <c r="C21" s="2" t="s">
        <v>5</v>
      </c>
      <c r="E21" s="367" t="s">
        <v>1071</v>
      </c>
      <c r="F21" s="359">
        <f>opex_det!BW$179</f>
        <v>6.7189918626761895E-5</v>
      </c>
      <c r="G21" s="458">
        <f>labcap_sources!$F$129</f>
        <v>1</v>
      </c>
      <c r="H21" s="369">
        <f t="shared" si="9"/>
        <v>6.7189918626761895E-5</v>
      </c>
      <c r="I21" s="357"/>
      <c r="J21" s="458">
        <f>labcap_sources!$G$129</f>
        <v>0.96923076923076923</v>
      </c>
      <c r="K21" s="369">
        <f t="shared" si="10"/>
        <v>6.5122536515169224E-5</v>
      </c>
      <c r="L21" s="360"/>
      <c r="M21" s="458">
        <f>labcap_sources!$H$129</f>
        <v>0.86153846153846159</v>
      </c>
      <c r="N21" s="369">
        <f t="shared" ref="N21:N23" si="12">$H21*M21</f>
        <v>5.7886699124594867E-5</v>
      </c>
      <c r="O21" s="360"/>
    </row>
    <row r="22" spans="1:15" x14ac:dyDescent="0.25">
      <c r="A22" s="361" t="s">
        <v>921</v>
      </c>
      <c r="B22" s="5" t="s">
        <v>4</v>
      </c>
      <c r="C22" s="2" t="s">
        <v>5</v>
      </c>
      <c r="E22" s="367" t="s">
        <v>1072</v>
      </c>
      <c r="F22" s="359">
        <f>opex_det!BW$180</f>
        <v>6.3990681274080595E-4</v>
      </c>
      <c r="G22" s="458">
        <f>labcap_sources!$F$130</f>
        <v>1</v>
      </c>
      <c r="H22" s="369">
        <f t="shared" si="9"/>
        <v>6.3990681274080595E-4</v>
      </c>
      <c r="I22" s="357"/>
      <c r="J22" s="458">
        <f>labcap_sources!$G$130</f>
        <v>1.1538461538461537</v>
      </c>
      <c r="K22" s="369">
        <f t="shared" si="10"/>
        <v>7.3835401470092991E-4</v>
      </c>
      <c r="L22" s="360"/>
      <c r="M22" s="458">
        <f>labcap_sources!$H$130</f>
        <v>1.4615384615384615</v>
      </c>
      <c r="N22" s="369">
        <f t="shared" si="12"/>
        <v>9.3524841862117783E-4</v>
      </c>
      <c r="O22" s="360"/>
    </row>
    <row r="23" spans="1:15" x14ac:dyDescent="0.25">
      <c r="A23" s="361" t="s">
        <v>921</v>
      </c>
      <c r="B23" s="5" t="s">
        <v>4</v>
      </c>
      <c r="C23" s="2" t="s">
        <v>5</v>
      </c>
      <c r="E23" s="367" t="s">
        <v>1073</v>
      </c>
      <c r="F23" s="359">
        <f>opex_det!BW$181</f>
        <v>1.99890007914769E-4</v>
      </c>
      <c r="G23" s="458">
        <f>labcap_sources!$F$130</f>
        <v>1</v>
      </c>
      <c r="H23" s="369">
        <f t="shared" si="9"/>
        <v>1.99890007914769E-4</v>
      </c>
      <c r="I23" s="357"/>
      <c r="J23" s="458">
        <f>labcap_sources!$G$130</f>
        <v>1.1538461538461537</v>
      </c>
      <c r="K23" s="369">
        <f t="shared" si="10"/>
        <v>2.3064231682473345E-4</v>
      </c>
      <c r="L23" s="360"/>
      <c r="M23" s="458">
        <f>labcap_sources!$H$130</f>
        <v>1.4615384615384615</v>
      </c>
      <c r="N23" s="369">
        <f t="shared" si="12"/>
        <v>2.9214693464466236E-4</v>
      </c>
      <c r="O23" s="360"/>
    </row>
    <row r="24" spans="1:15" x14ac:dyDescent="0.25">
      <c r="A24" s="361" t="s">
        <v>921</v>
      </c>
      <c r="B24" s="5" t="s">
        <v>6</v>
      </c>
      <c r="C24" s="2" t="s">
        <v>7</v>
      </c>
      <c r="E24" s="241" t="s">
        <v>372</v>
      </c>
      <c r="F24" s="362">
        <f>opex_det!BX$169</f>
        <v>1.40423598384108E-3</v>
      </c>
      <c r="G24" s="458">
        <f>labcap_sources!$F$131*labcap_sources!$F$128</f>
        <v>1</v>
      </c>
      <c r="H24" s="362">
        <f t="shared" si="9"/>
        <v>1.40423598384108E-3</v>
      </c>
      <c r="I24" s="368">
        <f>H24/H28*$F28</f>
        <v>1.4042359838410802E-3</v>
      </c>
      <c r="J24" s="458">
        <f>labcap_sources!$G$131*labcap_sources!$G$128</f>
        <v>0.73888888888888893</v>
      </c>
      <c r="K24" s="362">
        <f>$H24*J24</f>
        <v>1.0375743658381314E-3</v>
      </c>
      <c r="L24" s="368">
        <f>K24/K28*$F28</f>
        <v>9.9092417415211809E-4</v>
      </c>
      <c r="M24" s="458">
        <f>labcap_sources!$H$131*labcap_sources!$H$128</f>
        <v>0.53333333333333333</v>
      </c>
      <c r="N24" s="362">
        <f>$H24*M24</f>
        <v>7.4892585804857599E-4</v>
      </c>
      <c r="O24" s="368">
        <f>N24/N28*$F28</f>
        <v>6.4446062134990449E-4</v>
      </c>
    </row>
    <row r="25" spans="1:15" x14ac:dyDescent="0.25">
      <c r="A25" s="361" t="s">
        <v>921</v>
      </c>
      <c r="B25" s="5" t="s">
        <v>6</v>
      </c>
      <c r="C25" s="2" t="s">
        <v>7</v>
      </c>
      <c r="E25" s="241" t="s">
        <v>373</v>
      </c>
      <c r="F25" s="362">
        <f>opex_det!BX$170</f>
        <v>2.1833256579643402E-2</v>
      </c>
      <c r="G25" s="458">
        <f>labcap_sources!$F$131*labcap_sources!$F$129</f>
        <v>1</v>
      </c>
      <c r="H25" s="362">
        <f t="shared" si="9"/>
        <v>2.1833256579643402E-2</v>
      </c>
      <c r="I25" s="368">
        <f>H25/H28*$F28</f>
        <v>2.1833256579643402E-2</v>
      </c>
      <c r="J25" s="458">
        <f>labcap_sources!$G$131*labcap_sources!$G$129</f>
        <v>0.92076923076923067</v>
      </c>
      <c r="K25" s="362">
        <f t="shared" ref="K25:K27" si="13">$H25*J25</f>
        <v>2.01033908660255E-2</v>
      </c>
      <c r="L25" s="368">
        <f>K25/K28*$F28</f>
        <v>1.9199525978537288E-2</v>
      </c>
      <c r="M25" s="458">
        <f>labcap_sources!$H$131*labcap_sources!$H$129</f>
        <v>0.68923076923076931</v>
      </c>
      <c r="N25" s="362">
        <f t="shared" ref="N25:N27" si="14">$H25*M25</f>
        <v>1.5048152227200377E-2</v>
      </c>
      <c r="O25" s="368">
        <f>N25/N28*$F28</f>
        <v>1.2949134323895233E-2</v>
      </c>
    </row>
    <row r="26" spans="1:15" x14ac:dyDescent="0.25">
      <c r="A26" s="361" t="s">
        <v>921</v>
      </c>
      <c r="B26" s="5" t="s">
        <v>6</v>
      </c>
      <c r="C26" s="2" t="s">
        <v>7</v>
      </c>
      <c r="E26" s="241" t="s">
        <v>374</v>
      </c>
      <c r="F26" s="362">
        <f>opex_det!BX$171</f>
        <v>4.7939934733401399E-2</v>
      </c>
      <c r="G26" s="458">
        <f>labcap_sources!$F$131*labcap_sources!$F$130</f>
        <v>1</v>
      </c>
      <c r="H26" s="362">
        <f t="shared" si="9"/>
        <v>4.7939934733401399E-2</v>
      </c>
      <c r="I26" s="368">
        <f>H26/H28*$F28</f>
        <v>4.7939934733401399E-2</v>
      </c>
      <c r="J26" s="458">
        <f>labcap_sources!$G$131*labcap_sources!$G$130</f>
        <v>1.096153846153846</v>
      </c>
      <c r="K26" s="362">
        <f t="shared" si="13"/>
        <v>5.25495438423823E-2</v>
      </c>
      <c r="L26" s="368">
        <f>K26/K28*$F28</f>
        <v>5.0186873392944725E-2</v>
      </c>
      <c r="M26" s="458">
        <f>labcap_sources!$H$131*labcap_sources!$H$130</f>
        <v>1.1692307692307693</v>
      </c>
      <c r="N26" s="362">
        <f t="shared" si="14"/>
        <v>5.6052846765207789E-2</v>
      </c>
      <c r="O26" s="368">
        <f>N26/N28*$F28</f>
        <v>4.8234217134473373E-2</v>
      </c>
    </row>
    <row r="27" spans="1:15" x14ac:dyDescent="0.25">
      <c r="A27" s="361" t="s">
        <v>921</v>
      </c>
      <c r="B27" s="5" t="s">
        <v>6</v>
      </c>
      <c r="C27" s="2" t="s">
        <v>7</v>
      </c>
      <c r="E27" s="240" t="s">
        <v>375</v>
      </c>
      <c r="F27" s="362">
        <f>opex_det!BX$172</f>
        <v>0.28665823996199402</v>
      </c>
      <c r="G27" s="458">
        <f>labcap_sources!$F$132</f>
        <v>1</v>
      </c>
      <c r="H27" s="362">
        <f t="shared" si="9"/>
        <v>0.28665823996199402</v>
      </c>
      <c r="I27" s="368">
        <f>H27/H28*$F28</f>
        <v>0.28665823996199402</v>
      </c>
      <c r="J27" s="458">
        <f>labcap_sources!$G$132</f>
        <v>1.05</v>
      </c>
      <c r="K27" s="362">
        <f t="shared" si="13"/>
        <v>0.30099115196009374</v>
      </c>
      <c r="L27" s="368">
        <f>K27/K28*$F28</f>
        <v>0.28745834371324575</v>
      </c>
      <c r="M27" s="458">
        <f>labcap_sources!$H$132</f>
        <v>1.2</v>
      </c>
      <c r="N27" s="362">
        <f t="shared" si="14"/>
        <v>0.34398988795439284</v>
      </c>
      <c r="O27" s="368">
        <f>N27/N28*$F28</f>
        <v>0.29600785517916134</v>
      </c>
    </row>
    <row r="28" spans="1:15" x14ac:dyDescent="0.25">
      <c r="A28" s="361" t="s">
        <v>921</v>
      </c>
      <c r="B28" s="5" t="s">
        <v>6</v>
      </c>
      <c r="C28" s="2" t="s">
        <v>7</v>
      </c>
      <c r="E28" s="19" t="s">
        <v>1077</v>
      </c>
      <c r="F28" s="363">
        <f>SUM(F24:F27)</f>
        <v>0.35783566725887989</v>
      </c>
      <c r="G28" s="458"/>
      <c r="H28" s="363">
        <f>SUM(H24:H27)</f>
        <v>0.35783566725887989</v>
      </c>
      <c r="I28" s="363">
        <f>SUM(I24:I27)</f>
        <v>0.35783566725887989</v>
      </c>
      <c r="J28" s="458"/>
      <c r="K28" s="363">
        <f>SUM(K24:K27)</f>
        <v>0.37468166103433964</v>
      </c>
      <c r="L28" s="363">
        <f>SUM(L24:L27)</f>
        <v>0.35783566725887989</v>
      </c>
      <c r="M28" s="458"/>
      <c r="N28" s="363">
        <f>SUM(N24:N27)</f>
        <v>0.41583981280484961</v>
      </c>
      <c r="O28" s="363">
        <f>SUM(O24:O27)</f>
        <v>0.35783566725887983</v>
      </c>
    </row>
    <row r="29" spans="1:15" x14ac:dyDescent="0.25">
      <c r="A29" s="361" t="s">
        <v>921</v>
      </c>
      <c r="B29" s="5" t="s">
        <v>6</v>
      </c>
      <c r="C29" s="2" t="s">
        <v>7</v>
      </c>
      <c r="E29" s="367" t="s">
        <v>1068</v>
      </c>
      <c r="F29" s="359">
        <f>opex_det!BX$176</f>
        <v>3.7989642375837803E-5</v>
      </c>
      <c r="G29" s="458">
        <f>labcap_sources!$F$128</f>
        <v>1</v>
      </c>
      <c r="H29" s="369">
        <f t="shared" ref="H29:H38" si="15">$F29*G29</f>
        <v>3.7989642375837803E-5</v>
      </c>
      <c r="I29" s="357"/>
      <c r="J29" s="458">
        <f>labcap_sources!$G$128</f>
        <v>0.7777777777777779</v>
      </c>
      <c r="K29" s="369">
        <f>$H29*J29</f>
        <v>2.9547499625651629E-5</v>
      </c>
      <c r="L29" s="360"/>
      <c r="M29" s="458">
        <f>labcap_sources!$H$128</f>
        <v>0.66666666666666663</v>
      </c>
      <c r="N29" s="369">
        <f>$H29*M29</f>
        <v>2.5326428250558534E-5</v>
      </c>
      <c r="O29" s="360"/>
    </row>
    <row r="30" spans="1:15" x14ac:dyDescent="0.25">
      <c r="A30" s="361" t="s">
        <v>921</v>
      </c>
      <c r="B30" s="5" t="s">
        <v>6</v>
      </c>
      <c r="C30" s="2" t="s">
        <v>7</v>
      </c>
      <c r="E30" s="367" t="s">
        <v>1069</v>
      </c>
      <c r="F30" s="359">
        <f>opex_det!BX$177</f>
        <v>2.3830632020232299E-5</v>
      </c>
      <c r="G30" s="458">
        <f>labcap_sources!$F$128</f>
        <v>1</v>
      </c>
      <c r="H30" s="369">
        <f t="shared" si="15"/>
        <v>2.3830632020232299E-5</v>
      </c>
      <c r="I30" s="357"/>
      <c r="J30" s="458">
        <f>labcap_sources!$G$128</f>
        <v>0.7777777777777779</v>
      </c>
      <c r="K30" s="369">
        <f t="shared" ref="K30:K34" si="16">$H30*J30</f>
        <v>1.8534936015736235E-5</v>
      </c>
      <c r="L30" s="360"/>
      <c r="M30" s="458">
        <f>labcap_sources!$H$128</f>
        <v>0.66666666666666663</v>
      </c>
      <c r="N30" s="369">
        <f t="shared" ref="N30" si="17">$H30*M30</f>
        <v>1.58870880134882E-5</v>
      </c>
      <c r="O30" s="360"/>
    </row>
    <row r="31" spans="1:15" x14ac:dyDescent="0.25">
      <c r="A31" s="361" t="s">
        <v>921</v>
      </c>
      <c r="B31" s="5" t="s">
        <v>6</v>
      </c>
      <c r="C31" s="2" t="s">
        <v>7</v>
      </c>
      <c r="E31" s="367" t="s">
        <v>1070</v>
      </c>
      <c r="F31" s="359">
        <f>opex_det!BX$178</f>
        <v>5.3736973256998395E-4</v>
      </c>
      <c r="G31" s="458">
        <f>labcap_sources!$F$129</f>
        <v>1</v>
      </c>
      <c r="H31" s="369">
        <f t="shared" si="15"/>
        <v>5.3736973256998395E-4</v>
      </c>
      <c r="I31" s="357"/>
      <c r="J31" s="458">
        <f>labcap_sources!$G$129</f>
        <v>0.96923076923076923</v>
      </c>
      <c r="K31" s="369">
        <f t="shared" si="16"/>
        <v>5.2083527926013833E-4</v>
      </c>
      <c r="L31" s="360"/>
      <c r="M31" s="458">
        <f>labcap_sources!$H$129</f>
        <v>0.86153846153846159</v>
      </c>
      <c r="N31" s="369">
        <f>$H31*M31</f>
        <v>4.6296469267567849E-4</v>
      </c>
      <c r="O31" s="360"/>
    </row>
    <row r="32" spans="1:15" x14ac:dyDescent="0.25">
      <c r="A32" s="361" t="s">
        <v>921</v>
      </c>
      <c r="B32" s="5" t="s">
        <v>6</v>
      </c>
      <c r="C32" s="2" t="s">
        <v>7</v>
      </c>
      <c r="E32" s="367" t="s">
        <v>1071</v>
      </c>
      <c r="F32" s="359">
        <f>opex_det!BX$179</f>
        <v>5.6072075341723103E-5</v>
      </c>
      <c r="G32" s="458">
        <f>labcap_sources!$F$129</f>
        <v>1</v>
      </c>
      <c r="H32" s="369">
        <f t="shared" si="15"/>
        <v>5.6072075341723103E-5</v>
      </c>
      <c r="I32" s="357"/>
      <c r="J32" s="458">
        <f>labcap_sources!$G$129</f>
        <v>0.96923076923076923</v>
      </c>
      <c r="K32" s="369">
        <f t="shared" si="16"/>
        <v>5.434678071582393E-5</v>
      </c>
      <c r="L32" s="360"/>
      <c r="M32" s="458">
        <f>labcap_sources!$H$129</f>
        <v>0.86153846153846159</v>
      </c>
      <c r="N32" s="369">
        <f t="shared" ref="N32:N34" si="18">$H32*M32</f>
        <v>4.8308249525176833E-5</v>
      </c>
      <c r="O32" s="360"/>
    </row>
    <row r="33" spans="1:15" x14ac:dyDescent="0.25">
      <c r="A33" s="361" t="s">
        <v>921</v>
      </c>
      <c r="B33" s="5" t="s">
        <v>6</v>
      </c>
      <c r="C33" s="2" t="s">
        <v>7</v>
      </c>
      <c r="E33" s="367" t="s">
        <v>1072</v>
      </c>
      <c r="F33" s="359">
        <f>opex_det!BX$180</f>
        <v>5.9271673541817197E-4</v>
      </c>
      <c r="G33" s="458">
        <f>labcap_sources!$F$130</f>
        <v>1</v>
      </c>
      <c r="H33" s="369">
        <f t="shared" si="15"/>
        <v>5.9271673541817197E-4</v>
      </c>
      <c r="I33" s="357"/>
      <c r="J33" s="458">
        <f>labcap_sources!$G$130</f>
        <v>1.1538461538461537</v>
      </c>
      <c r="K33" s="369">
        <f t="shared" si="16"/>
        <v>6.8390392548250609E-4</v>
      </c>
      <c r="L33" s="360"/>
      <c r="M33" s="458">
        <f>labcap_sources!$H$130</f>
        <v>1.4615384615384615</v>
      </c>
      <c r="N33" s="369">
        <f t="shared" si="18"/>
        <v>8.6627830561117434E-4</v>
      </c>
      <c r="O33" s="360"/>
    </row>
    <row r="34" spans="1:15" x14ac:dyDescent="0.25">
      <c r="A34" s="361" t="s">
        <v>921</v>
      </c>
      <c r="B34" s="5" t="s">
        <v>6</v>
      </c>
      <c r="C34" s="2" t="s">
        <v>7</v>
      </c>
      <c r="E34" s="367" t="s">
        <v>1073</v>
      </c>
      <c r="F34" s="359">
        <f>opex_det!BX$181</f>
        <v>1.61076424834357E-4</v>
      </c>
      <c r="G34" s="458">
        <f>labcap_sources!$F$130</f>
        <v>1</v>
      </c>
      <c r="H34" s="369">
        <f t="shared" si="15"/>
        <v>1.61076424834357E-4</v>
      </c>
      <c r="I34" s="357"/>
      <c r="J34" s="458">
        <f>labcap_sources!$G$130</f>
        <v>1.1538461538461537</v>
      </c>
      <c r="K34" s="369">
        <f t="shared" si="16"/>
        <v>1.8585741327041192E-4</v>
      </c>
      <c r="L34" s="360"/>
      <c r="M34" s="458">
        <f>labcap_sources!$H$130</f>
        <v>1.4615384615384615</v>
      </c>
      <c r="N34" s="369">
        <f t="shared" si="18"/>
        <v>2.3541939014252175E-4</v>
      </c>
      <c r="O34" s="360"/>
    </row>
    <row r="35" spans="1:15" x14ac:dyDescent="0.25">
      <c r="A35" s="361" t="s">
        <v>921</v>
      </c>
      <c r="B35" s="5" t="s">
        <v>8</v>
      </c>
      <c r="C35" s="2" t="s">
        <v>9</v>
      </c>
      <c r="E35" s="241" t="s">
        <v>372</v>
      </c>
      <c r="F35" s="362">
        <f>opex_det!BY$169</f>
        <v>9.1941358960136003E-4</v>
      </c>
      <c r="G35" s="458">
        <f>labcap_sources!$F$131*labcap_sources!$F$128</f>
        <v>1</v>
      </c>
      <c r="H35" s="362">
        <f t="shared" si="15"/>
        <v>9.1941358960136003E-4</v>
      </c>
      <c r="I35" s="368">
        <f>H35/H39*$F39</f>
        <v>9.1941358960136003E-4</v>
      </c>
      <c r="J35" s="458">
        <f>labcap_sources!$G$131*labcap_sources!$G$128</f>
        <v>0.73888888888888893</v>
      </c>
      <c r="K35" s="362">
        <f>$H35*J35</f>
        <v>6.793444856498938E-4</v>
      </c>
      <c r="L35" s="368">
        <f>K35/K39*$F39</f>
        <v>6.4793607538107866E-4</v>
      </c>
      <c r="M35" s="458">
        <f>labcap_sources!$H$131*labcap_sources!$H$128</f>
        <v>0.53333333333333333</v>
      </c>
      <c r="N35" s="362">
        <f>$H35*M35</f>
        <v>4.9035391445405871E-4</v>
      </c>
      <c r="O35" s="368">
        <f>N35/N39*$F39</f>
        <v>4.1547802581631219E-4</v>
      </c>
    </row>
    <row r="36" spans="1:15" x14ac:dyDescent="0.25">
      <c r="A36" s="361" t="s">
        <v>921</v>
      </c>
      <c r="B36" s="5" t="s">
        <v>8</v>
      </c>
      <c r="C36" s="2" t="s">
        <v>9</v>
      </c>
      <c r="E36" s="241" t="s">
        <v>373</v>
      </c>
      <c r="F36" s="362">
        <f>opex_det!BY$170</f>
        <v>1.4295170495225299E-2</v>
      </c>
      <c r="G36" s="458">
        <f>labcap_sources!$F$131*labcap_sources!$F$129</f>
        <v>1</v>
      </c>
      <c r="H36" s="362">
        <f t="shared" si="15"/>
        <v>1.4295170495225299E-2</v>
      </c>
      <c r="I36" s="368">
        <f>H36/H39*$F39</f>
        <v>1.4295170495225299E-2</v>
      </c>
      <c r="J36" s="458">
        <f>labcap_sources!$G$131*labcap_sources!$G$129</f>
        <v>0.92076923076923067</v>
      </c>
      <c r="K36" s="362">
        <f t="shared" ref="K36:K38" si="19">$H36*J36</f>
        <v>1.31625531406036E-2</v>
      </c>
      <c r="L36" s="368">
        <f>K36/K39*$F39</f>
        <v>1.2554003460790322E-2</v>
      </c>
      <c r="M36" s="458">
        <f>labcap_sources!$H$131*labcap_sources!$H$129</f>
        <v>0.68923076923076931</v>
      </c>
      <c r="N36" s="362">
        <f t="shared" ref="N36:N38" si="20">$H36*M36</f>
        <v>9.8526713567091313E-3</v>
      </c>
      <c r="O36" s="368">
        <f>N36/N39*$F39</f>
        <v>8.3481916298354802E-3</v>
      </c>
    </row>
    <row r="37" spans="1:15" x14ac:dyDescent="0.25">
      <c r="A37" s="361" t="s">
        <v>921</v>
      </c>
      <c r="B37" s="5" t="s">
        <v>8</v>
      </c>
      <c r="C37" s="2" t="s">
        <v>9</v>
      </c>
      <c r="E37" s="241" t="s">
        <v>374</v>
      </c>
      <c r="F37" s="362">
        <f>opex_det!BY$171</f>
        <v>3.13883335748023E-2</v>
      </c>
      <c r="G37" s="458">
        <f>labcap_sources!$F$131*labcap_sources!$F$130</f>
        <v>1</v>
      </c>
      <c r="H37" s="362">
        <f t="shared" si="15"/>
        <v>3.13883335748023E-2</v>
      </c>
      <c r="I37" s="368">
        <f>H37/H39*$F39</f>
        <v>3.13883335748023E-2</v>
      </c>
      <c r="J37" s="458">
        <f>labcap_sources!$G$131*labcap_sources!$G$130</f>
        <v>1.096153846153846</v>
      </c>
      <c r="K37" s="362">
        <f t="shared" si="19"/>
        <v>3.4406442572379438E-2</v>
      </c>
      <c r="L37" s="368">
        <f>K37/K39*$F39</f>
        <v>3.2815715500870327E-2</v>
      </c>
      <c r="M37" s="458">
        <f>labcap_sources!$H$131*labcap_sources!$H$130</f>
        <v>1.1692307692307693</v>
      </c>
      <c r="N37" s="362">
        <f t="shared" si="20"/>
        <v>3.6700205410538075E-2</v>
      </c>
      <c r="O37" s="368">
        <f>N37/N39*$F39</f>
        <v>3.109617042213313E-2</v>
      </c>
    </row>
    <row r="38" spans="1:15" x14ac:dyDescent="0.25">
      <c r="A38" s="361" t="s">
        <v>921</v>
      </c>
      <c r="B38" s="5" t="s">
        <v>8</v>
      </c>
      <c r="C38" s="2" t="s">
        <v>9</v>
      </c>
      <c r="E38" s="240" t="s">
        <v>375</v>
      </c>
      <c r="F38" s="362">
        <f>opex_det!BY$172</f>
        <v>0.40226381012782197</v>
      </c>
      <c r="G38" s="458">
        <f>labcap_sources!$F$132</f>
        <v>1</v>
      </c>
      <c r="H38" s="362">
        <f t="shared" si="15"/>
        <v>0.40226381012782197</v>
      </c>
      <c r="I38" s="368">
        <f>H38/H39*$F39</f>
        <v>0.40226381012782197</v>
      </c>
      <c r="J38" s="458">
        <f>labcap_sources!$G$132</f>
        <v>1.05</v>
      </c>
      <c r="K38" s="362">
        <f t="shared" si="19"/>
        <v>0.42237700063421307</v>
      </c>
      <c r="L38" s="368">
        <f>K38/K39*$F39</f>
        <v>0.40284907275040921</v>
      </c>
      <c r="M38" s="458">
        <f>labcap_sources!$H$132</f>
        <v>1.2</v>
      </c>
      <c r="N38" s="362">
        <f t="shared" si="20"/>
        <v>0.48271657215338637</v>
      </c>
      <c r="O38" s="368">
        <f>N38/N39*$F39</f>
        <v>0.40900688770966609</v>
      </c>
    </row>
    <row r="39" spans="1:15" x14ac:dyDescent="0.25">
      <c r="A39" s="361" t="s">
        <v>921</v>
      </c>
      <c r="B39" s="5" t="s">
        <v>8</v>
      </c>
      <c r="C39" s="2" t="s">
        <v>9</v>
      </c>
      <c r="E39" s="19" t="s">
        <v>1077</v>
      </c>
      <c r="F39" s="363">
        <f>SUM(F35:F38)</f>
        <v>0.44886672778745096</v>
      </c>
      <c r="G39" s="458"/>
      <c r="H39" s="363">
        <f>SUM(H35:H38)</f>
        <v>0.44886672778745096</v>
      </c>
      <c r="I39" s="363">
        <f>SUM(I35:I38)</f>
        <v>0.44886672778745096</v>
      </c>
      <c r="J39" s="458"/>
      <c r="K39" s="363">
        <f>SUM(K35:K38)</f>
        <v>0.47062534083284602</v>
      </c>
      <c r="L39" s="363">
        <f>SUM(L35:L38)</f>
        <v>0.44886672778745096</v>
      </c>
      <c r="M39" s="458"/>
      <c r="N39" s="363">
        <f>SUM(N35:N38)</f>
        <v>0.52975980283508761</v>
      </c>
      <c r="O39" s="363">
        <f>SUM(O35:O38)</f>
        <v>0.44886672778745101</v>
      </c>
    </row>
    <row r="40" spans="1:15" x14ac:dyDescent="0.25">
      <c r="A40" s="361" t="s">
        <v>921</v>
      </c>
      <c r="B40" s="5" t="s">
        <v>8</v>
      </c>
      <c r="C40" s="2" t="s">
        <v>9</v>
      </c>
      <c r="E40" s="367" t="s">
        <v>1068</v>
      </c>
      <c r="F40" s="359">
        <f>opex_det!BY$176</f>
        <v>5.2306425062487002E-5</v>
      </c>
      <c r="G40" s="458">
        <f>labcap_sources!$F$128</f>
        <v>1</v>
      </c>
      <c r="H40" s="369">
        <f t="shared" ref="H40:H45" si="21">$F40*G40</f>
        <v>5.2306425062487002E-5</v>
      </c>
      <c r="I40" s="357"/>
      <c r="J40" s="458">
        <f>labcap_sources!$G$128</f>
        <v>0.7777777777777779</v>
      </c>
      <c r="K40" s="369">
        <f>$H40*J40</f>
        <v>4.068277504860101E-5</v>
      </c>
      <c r="L40" s="360"/>
      <c r="M40" s="458">
        <f>labcap_sources!$H$128</f>
        <v>0.66666666666666663</v>
      </c>
      <c r="N40" s="369">
        <f>$H40*M40</f>
        <v>3.4870950041657997E-5</v>
      </c>
      <c r="O40" s="360"/>
    </row>
    <row r="41" spans="1:15" x14ac:dyDescent="0.25">
      <c r="A41" s="361" t="s">
        <v>921</v>
      </c>
      <c r="B41" s="5" t="s">
        <v>8</v>
      </c>
      <c r="C41" s="2" t="s">
        <v>9</v>
      </c>
      <c r="E41" s="367" t="s">
        <v>1069</v>
      </c>
      <c r="F41" s="359">
        <f>opex_det!BY$177</f>
        <v>3.6351536901749403E-5</v>
      </c>
      <c r="G41" s="458">
        <f>labcap_sources!$F$128</f>
        <v>1</v>
      </c>
      <c r="H41" s="369">
        <f t="shared" si="21"/>
        <v>3.6351536901749403E-5</v>
      </c>
      <c r="I41" s="357"/>
      <c r="J41" s="458">
        <f>labcap_sources!$G$128</f>
        <v>0.7777777777777779</v>
      </c>
      <c r="K41" s="369">
        <f t="shared" ref="K41:K45" si="22">$H41*J41</f>
        <v>2.8273417590249542E-5</v>
      </c>
      <c r="L41" s="360"/>
      <c r="M41" s="458">
        <f>labcap_sources!$H$128</f>
        <v>0.66666666666666663</v>
      </c>
      <c r="N41" s="369">
        <f t="shared" ref="N41" si="23">$H41*M41</f>
        <v>2.4234357934499601E-5</v>
      </c>
      <c r="O41" s="360"/>
    </row>
    <row r="42" spans="1:15" x14ac:dyDescent="0.25">
      <c r="A42" s="361" t="s">
        <v>921</v>
      </c>
      <c r="B42" s="5" t="s">
        <v>8</v>
      </c>
      <c r="C42" s="2" t="s">
        <v>9</v>
      </c>
      <c r="E42" s="367" t="s">
        <v>1070</v>
      </c>
      <c r="F42" s="359">
        <f>opex_det!BY$178</f>
        <v>7.4883184065273702E-4</v>
      </c>
      <c r="G42" s="458">
        <f>labcap_sources!$F$129</f>
        <v>1</v>
      </c>
      <c r="H42" s="369">
        <f t="shared" si="21"/>
        <v>7.4883184065273702E-4</v>
      </c>
      <c r="I42" s="357"/>
      <c r="J42" s="458">
        <f>labcap_sources!$G$129</f>
        <v>0.96923076923076923</v>
      </c>
      <c r="K42" s="369">
        <f t="shared" si="22"/>
        <v>7.2579086094034509E-4</v>
      </c>
      <c r="L42" s="360"/>
      <c r="M42" s="458">
        <f>labcap_sources!$H$129</f>
        <v>0.86153846153846159</v>
      </c>
      <c r="N42" s="369">
        <f>$H42*M42</f>
        <v>6.4514743194697352E-4</v>
      </c>
      <c r="O42" s="360"/>
    </row>
    <row r="43" spans="1:15" x14ac:dyDescent="0.25">
      <c r="A43" s="361" t="s">
        <v>921</v>
      </c>
      <c r="B43" s="5" t="s">
        <v>8</v>
      </c>
      <c r="C43" s="2" t="s">
        <v>9</v>
      </c>
      <c r="E43" s="367" t="s">
        <v>1071</v>
      </c>
      <c r="F43" s="359">
        <f>opex_det!BY$179</f>
        <v>8.5533028003629305E-5</v>
      </c>
      <c r="G43" s="458">
        <f>labcap_sources!$F$129</f>
        <v>1</v>
      </c>
      <c r="H43" s="369">
        <f t="shared" si="21"/>
        <v>8.5533028003629305E-5</v>
      </c>
      <c r="I43" s="357"/>
      <c r="J43" s="458">
        <f>labcap_sources!$G$129</f>
        <v>0.96923076923076923</v>
      </c>
      <c r="K43" s="369">
        <f t="shared" si="22"/>
        <v>8.2901242526594562E-5</v>
      </c>
      <c r="L43" s="360"/>
      <c r="M43" s="458">
        <f>labcap_sources!$H$129</f>
        <v>0.86153846153846159</v>
      </c>
      <c r="N43" s="369">
        <f t="shared" ref="N43:N45" si="24">$H43*M43</f>
        <v>7.368999335697295E-5</v>
      </c>
      <c r="O43" s="360"/>
    </row>
    <row r="44" spans="1:15" x14ac:dyDescent="0.25">
      <c r="A44" s="361" t="s">
        <v>921</v>
      </c>
      <c r="B44" s="5" t="s">
        <v>8</v>
      </c>
      <c r="C44" s="2" t="s">
        <v>9</v>
      </c>
      <c r="E44" s="367" t="s">
        <v>1072</v>
      </c>
      <c r="F44" s="359">
        <f>opex_det!BY$180</f>
        <v>8.6731839361864501E-4</v>
      </c>
      <c r="G44" s="458">
        <f>labcap_sources!$F$130</f>
        <v>1</v>
      </c>
      <c r="H44" s="369">
        <f t="shared" si="21"/>
        <v>8.6731839361864501E-4</v>
      </c>
      <c r="I44" s="357"/>
      <c r="J44" s="458">
        <f>labcap_sources!$G$130</f>
        <v>1.1538461538461537</v>
      </c>
      <c r="K44" s="369">
        <f t="shared" si="22"/>
        <v>1.0007519926368981E-3</v>
      </c>
      <c r="L44" s="360"/>
      <c r="M44" s="458">
        <f>labcap_sources!$H$130</f>
        <v>1.4615384615384615</v>
      </c>
      <c r="N44" s="369">
        <f t="shared" si="24"/>
        <v>1.2676191906734041E-3</v>
      </c>
      <c r="O44" s="360"/>
    </row>
    <row r="45" spans="1:15" x14ac:dyDescent="0.25">
      <c r="A45" s="361" t="s">
        <v>921</v>
      </c>
      <c r="B45" s="5" t="s">
        <v>8</v>
      </c>
      <c r="C45" s="2" t="s">
        <v>9</v>
      </c>
      <c r="E45" s="367" t="s">
        <v>1073</v>
      </c>
      <c r="F45" s="359">
        <f>opex_det!BY$181</f>
        <v>2.0842237371708101E-4</v>
      </c>
      <c r="G45" s="458">
        <f>labcap_sources!$F$130</f>
        <v>1</v>
      </c>
      <c r="H45" s="369">
        <f t="shared" si="21"/>
        <v>2.0842237371708101E-4</v>
      </c>
      <c r="I45" s="357"/>
      <c r="J45" s="458">
        <f>labcap_sources!$G$130</f>
        <v>1.1538461538461537</v>
      </c>
      <c r="K45" s="369">
        <f t="shared" si="22"/>
        <v>2.4048735428893961E-4</v>
      </c>
      <c r="L45" s="360"/>
      <c r="M45" s="458">
        <f>labcap_sources!$H$130</f>
        <v>1.4615384615384615</v>
      </c>
      <c r="N45" s="369">
        <f t="shared" si="24"/>
        <v>3.0461731543265686E-4</v>
      </c>
      <c r="O45" s="360"/>
    </row>
    <row r="46" spans="1:15" ht="15" customHeight="1" x14ac:dyDescent="0.25">
      <c r="A46" s="361" t="s">
        <v>921</v>
      </c>
      <c r="B46" s="2" t="s">
        <v>342</v>
      </c>
      <c r="C46" s="2" t="s">
        <v>336</v>
      </c>
      <c r="D46" s="2" t="s">
        <v>361</v>
      </c>
      <c r="E46" s="241" t="s">
        <v>372</v>
      </c>
      <c r="F46" s="362">
        <f>opex_det!BZ$169</f>
        <v>6.2925704329554102E-4</v>
      </c>
      <c r="G46" s="366">
        <f>labcap_sources!$F$5*labcap_sources!$F$2</f>
        <v>1</v>
      </c>
      <c r="H46" s="362">
        <f>$F46*G46</f>
        <v>6.2925704329554102E-4</v>
      </c>
      <c r="I46" s="368">
        <f>H46/H$50*$F$50</f>
        <v>6.2925704329554102E-4</v>
      </c>
      <c r="J46" s="357">
        <f>labcap_sources!G$5*labcap_sources!G2</f>
        <v>0.73888888888888893</v>
      </c>
      <c r="K46" s="362">
        <f>$H46*J46</f>
        <v>4.649510375461498E-4</v>
      </c>
      <c r="L46" s="368">
        <f>K46/K$50*$F$50</f>
        <v>4.4328585580935277E-4</v>
      </c>
      <c r="M46" s="357">
        <f>labcap_sources!H$5*labcap_sources!H2</f>
        <v>0.53333333333333333</v>
      </c>
      <c r="N46" s="362">
        <f>$H46*M46</f>
        <v>3.3560375642428851E-4</v>
      </c>
      <c r="O46" s="368">
        <f>N46/N$50*$F$50</f>
        <v>2.8311492928792715E-4</v>
      </c>
    </row>
    <row r="47" spans="1:15" ht="15" customHeight="1" x14ac:dyDescent="0.25">
      <c r="A47" s="361" t="s">
        <v>921</v>
      </c>
      <c r="B47" s="2" t="s">
        <v>342</v>
      </c>
      <c r="C47" s="2" t="s">
        <v>336</v>
      </c>
      <c r="D47" s="2" t="s">
        <v>361</v>
      </c>
      <c r="E47" s="241" t="s">
        <v>373</v>
      </c>
      <c r="F47" s="362">
        <f>opex_det!BZ$170</f>
        <v>9.78377611665362E-3</v>
      </c>
      <c r="G47" s="366">
        <f>labcap_sources!$F$5*labcap_sources!$F$3</f>
        <v>1</v>
      </c>
      <c r="H47" s="362">
        <f t="shared" ref="H47:H49" si="25">$F47*G47</f>
        <v>9.78377611665362E-3</v>
      </c>
      <c r="I47" s="368">
        <f t="shared" ref="I47:I49" si="26">H47/H$50*$F$50</f>
        <v>9.78377611665362E-3</v>
      </c>
      <c r="J47" s="357">
        <f>labcap_sources!G$5*labcap_sources!G3</f>
        <v>0.92076923076923067</v>
      </c>
      <c r="K47" s="362">
        <f t="shared" ref="K47:K49" si="27">$H47*J47</f>
        <v>9.0086000089495254E-3</v>
      </c>
      <c r="L47" s="368">
        <f t="shared" ref="L47:L49" si="28">K47/K$50*$F$50</f>
        <v>8.5888290209804319E-3</v>
      </c>
      <c r="M47" s="357">
        <f>labcap_sources!H$5*labcap_sources!H3</f>
        <v>0.68923076923076931</v>
      </c>
      <c r="N47" s="362">
        <f t="shared" ref="N47:N49" si="29">$H47*M47</f>
        <v>6.7432795388628038E-3</v>
      </c>
      <c r="O47" s="368">
        <f t="shared" ref="O47:O49" si="30">N47/N$50*$F$50</f>
        <v>5.6886225891948942E-3</v>
      </c>
    </row>
    <row r="48" spans="1:15" ht="15" customHeight="1" x14ac:dyDescent="0.25">
      <c r="A48" s="361" t="s">
        <v>921</v>
      </c>
      <c r="B48" s="2" t="s">
        <v>342</v>
      </c>
      <c r="C48" s="2" t="s">
        <v>336</v>
      </c>
      <c r="D48" s="2" t="s">
        <v>361</v>
      </c>
      <c r="E48" s="241" t="s">
        <v>374</v>
      </c>
      <c r="F48" s="362">
        <f>opex_det!BZ$171</f>
        <v>2.1482529954626801E-2</v>
      </c>
      <c r="G48" s="366">
        <f>labcap_sources!$F$5*labcap_sources!$F$4</f>
        <v>1</v>
      </c>
      <c r="H48" s="362">
        <f t="shared" si="25"/>
        <v>2.1482529954626801E-2</v>
      </c>
      <c r="I48" s="368">
        <f t="shared" si="26"/>
        <v>2.1482529954626801E-2</v>
      </c>
      <c r="J48" s="357">
        <f>labcap_sources!G$5*labcap_sources!G4</f>
        <v>1.096153846153846</v>
      </c>
      <c r="K48" s="362">
        <f t="shared" si="27"/>
        <v>2.3548157834879378E-2</v>
      </c>
      <c r="L48" s="368">
        <f t="shared" si="28"/>
        <v>2.2450891503886829E-2</v>
      </c>
      <c r="M48" s="357">
        <f>labcap_sources!H$5*labcap_sources!H4</f>
        <v>1.1692307692307693</v>
      </c>
      <c r="N48" s="362">
        <f t="shared" si="29"/>
        <v>2.5118035023871339E-2</v>
      </c>
      <c r="O48" s="368">
        <f t="shared" si="30"/>
        <v>2.118954443598221E-2</v>
      </c>
    </row>
    <row r="49" spans="1:15" ht="15" customHeight="1" x14ac:dyDescent="0.25">
      <c r="A49" s="361" t="s">
        <v>921</v>
      </c>
      <c r="B49" s="2" t="s">
        <v>342</v>
      </c>
      <c r="C49" s="2" t="s">
        <v>336</v>
      </c>
      <c r="D49" s="2" t="s">
        <v>361</v>
      </c>
      <c r="E49" s="240" t="s">
        <v>375</v>
      </c>
      <c r="F49" s="362">
        <f>opex_det!BZ$172</f>
        <v>0.38432064379752401</v>
      </c>
      <c r="G49" s="366">
        <f>labcap_sources!$F$6</f>
        <v>1</v>
      </c>
      <c r="H49" s="362">
        <f t="shared" si="25"/>
        <v>0.38432064379752401</v>
      </c>
      <c r="I49" s="368">
        <f t="shared" si="26"/>
        <v>0.38432064379752401</v>
      </c>
      <c r="J49" s="357">
        <f>labcap_sources!G6</f>
        <v>1.05</v>
      </c>
      <c r="K49" s="362">
        <f t="shared" si="27"/>
        <v>0.40353667598740023</v>
      </c>
      <c r="L49" s="368">
        <f t="shared" si="28"/>
        <v>0.38473320053142335</v>
      </c>
      <c r="M49" s="357">
        <f>labcap_sources!H6</f>
        <v>1.2</v>
      </c>
      <c r="N49" s="362">
        <f t="shared" si="29"/>
        <v>0.46118477255702878</v>
      </c>
      <c r="O49" s="368">
        <f t="shared" si="30"/>
        <v>0.38905492495763494</v>
      </c>
    </row>
    <row r="50" spans="1:15" s="24" customFormat="1" ht="15" customHeight="1" x14ac:dyDescent="0.25">
      <c r="A50" s="361" t="s">
        <v>921</v>
      </c>
      <c r="B50" s="2" t="s">
        <v>342</v>
      </c>
      <c r="C50" s="2" t="s">
        <v>336</v>
      </c>
      <c r="D50" s="2" t="s">
        <v>361</v>
      </c>
      <c r="E50" s="19" t="s">
        <v>1077</v>
      </c>
      <c r="F50" s="363">
        <f>SUM(F46:F49)</f>
        <v>0.41621620691209998</v>
      </c>
      <c r="G50" s="366"/>
      <c r="H50" s="363">
        <f>SUM(H46:H49)</f>
        <v>0.41621620691209998</v>
      </c>
      <c r="I50" s="363">
        <f>SUM(I46:I49)</f>
        <v>0.41621620691209998</v>
      </c>
      <c r="J50" s="357"/>
      <c r="K50" s="363">
        <f>SUM(K46:K49)</f>
        <v>0.4365583848687753</v>
      </c>
      <c r="L50" s="363">
        <f>SUM(L46:L49)</f>
        <v>0.41621620691209993</v>
      </c>
      <c r="M50" s="357"/>
      <c r="N50" s="363">
        <f>SUM(N46:N49)</f>
        <v>0.49338169087618722</v>
      </c>
      <c r="O50" s="363">
        <f>SUM(O46:O49)</f>
        <v>0.41621620691209998</v>
      </c>
    </row>
    <row r="51" spans="1:15" ht="15" customHeight="1" x14ac:dyDescent="0.25">
      <c r="A51" s="132" t="s">
        <v>921</v>
      </c>
      <c r="B51" s="2" t="s">
        <v>342</v>
      </c>
      <c r="C51" s="2" t="s">
        <v>336</v>
      </c>
      <c r="D51" s="2" t="s">
        <v>361</v>
      </c>
      <c r="E51" s="367" t="s">
        <v>1068</v>
      </c>
      <c r="F51" s="359">
        <f>opex_det!BZ$176</f>
        <v>1.05097939659807E-4</v>
      </c>
      <c r="G51" s="366">
        <f>labcap_sources!$F$2</f>
        <v>1</v>
      </c>
      <c r="H51" s="369">
        <f t="shared" ref="H51:H79" si="31">$F51*G51</f>
        <v>1.05097939659807E-4</v>
      </c>
      <c r="I51" s="365"/>
      <c r="J51" s="357">
        <f>labcap_sources!G2</f>
        <v>0.7777777777777779</v>
      </c>
      <c r="K51" s="369">
        <f>$H51*J51</f>
        <v>8.1742841957627672E-5</v>
      </c>
      <c r="L51" s="359"/>
      <c r="M51" s="357">
        <f>labcap_sources!H2</f>
        <v>0.66666666666666663</v>
      </c>
      <c r="N51" s="369">
        <f>$H51*M51</f>
        <v>7.0065293106537997E-5</v>
      </c>
      <c r="O51" s="359"/>
    </row>
    <row r="52" spans="1:15" ht="15" customHeight="1" x14ac:dyDescent="0.25">
      <c r="A52" s="132" t="s">
        <v>921</v>
      </c>
      <c r="B52" s="2" t="s">
        <v>342</v>
      </c>
      <c r="C52" s="2" t="s">
        <v>336</v>
      </c>
      <c r="D52" s="2" t="s">
        <v>361</v>
      </c>
      <c r="E52" s="367" t="s">
        <v>1069</v>
      </c>
      <c r="F52" s="359">
        <f>opex_det!BZ$177</f>
        <v>6.1607513435438E-5</v>
      </c>
      <c r="G52" s="366">
        <f>labcap_sources!$F$2</f>
        <v>1</v>
      </c>
      <c r="H52" s="369">
        <f t="shared" si="31"/>
        <v>6.1607513435438E-5</v>
      </c>
      <c r="I52" s="365"/>
      <c r="J52" s="357">
        <f>labcap_sources!G2</f>
        <v>0.7777777777777779</v>
      </c>
      <c r="K52" s="369">
        <f t="shared" ref="K52:K56" si="32">$H52*J52</f>
        <v>4.7916954894229565E-5</v>
      </c>
      <c r="L52" s="359"/>
      <c r="M52" s="357">
        <f>labcap_sources!H2</f>
        <v>0.66666666666666663</v>
      </c>
      <c r="N52" s="369">
        <f t="shared" ref="N52:N56" si="33">$H52*M52</f>
        <v>4.1071675623625331E-5</v>
      </c>
      <c r="O52" s="359"/>
    </row>
    <row r="53" spans="1:15" ht="15" customHeight="1" x14ac:dyDescent="0.25">
      <c r="A53" s="132" t="s">
        <v>921</v>
      </c>
      <c r="B53" s="2" t="s">
        <v>342</v>
      </c>
      <c r="C53" s="2" t="s">
        <v>336</v>
      </c>
      <c r="D53" s="2" t="s">
        <v>361</v>
      </c>
      <c r="E53" s="367" t="s">
        <v>1070</v>
      </c>
      <c r="F53" s="359">
        <f>opex_det!BZ$178</f>
        <v>1.6583048993306299E-3</v>
      </c>
      <c r="G53" s="366">
        <f>labcap_sources!$F$3</f>
        <v>1</v>
      </c>
      <c r="H53" s="369">
        <f t="shared" si="31"/>
        <v>1.6583048993306299E-3</v>
      </c>
      <c r="I53" s="365"/>
      <c r="J53" s="357">
        <f>labcap_sources!G3</f>
        <v>0.96923076923076923</v>
      </c>
      <c r="K53" s="369">
        <f t="shared" si="32"/>
        <v>1.6072801331973798E-3</v>
      </c>
      <c r="L53" s="359"/>
      <c r="M53" s="357">
        <f>labcap_sources!H3</f>
        <v>0.86153846153846159</v>
      </c>
      <c r="N53" s="369">
        <f t="shared" si="33"/>
        <v>1.4286934517310044E-3</v>
      </c>
      <c r="O53" s="359"/>
    </row>
    <row r="54" spans="1:15" ht="15" customHeight="1" x14ac:dyDescent="0.25">
      <c r="A54" s="132" t="s">
        <v>921</v>
      </c>
      <c r="B54" s="2" t="s">
        <v>342</v>
      </c>
      <c r="C54" s="2" t="s">
        <v>336</v>
      </c>
      <c r="D54" s="2" t="s">
        <v>361</v>
      </c>
      <c r="E54" s="367" t="s">
        <v>1071</v>
      </c>
      <c r="F54" s="359">
        <f>opex_det!BZ$179</f>
        <v>1.4495885514186901E-4</v>
      </c>
      <c r="G54" s="366">
        <f>labcap_sources!$F$3</f>
        <v>1</v>
      </c>
      <c r="H54" s="369">
        <f t="shared" si="31"/>
        <v>1.4495885514186901E-4</v>
      </c>
      <c r="I54" s="365"/>
      <c r="J54" s="357">
        <f>labcap_sources!G3</f>
        <v>0.96923076923076923</v>
      </c>
      <c r="K54" s="369">
        <f t="shared" si="32"/>
        <v>1.4049858267596533E-4</v>
      </c>
      <c r="L54" s="359"/>
      <c r="M54" s="357">
        <f>labcap_sources!H3</f>
        <v>0.86153846153846159</v>
      </c>
      <c r="N54" s="369">
        <f t="shared" si="33"/>
        <v>1.2488762904530254E-4</v>
      </c>
      <c r="O54" s="359"/>
    </row>
    <row r="55" spans="1:15" ht="15" customHeight="1" x14ac:dyDescent="0.25">
      <c r="A55" s="132" t="s">
        <v>921</v>
      </c>
      <c r="B55" s="2" t="s">
        <v>342</v>
      </c>
      <c r="C55" s="2" t="s">
        <v>336</v>
      </c>
      <c r="D55" s="2" t="s">
        <v>361</v>
      </c>
      <c r="E55" s="367" t="s">
        <v>1072</v>
      </c>
      <c r="F55" s="359">
        <f>opex_det!BZ$180</f>
        <v>1.5505395740113199E-3</v>
      </c>
      <c r="G55" s="366">
        <f>labcap_sources!$F$4</f>
        <v>1</v>
      </c>
      <c r="H55" s="369">
        <f t="shared" si="31"/>
        <v>1.5505395740113199E-3</v>
      </c>
      <c r="I55" s="365"/>
      <c r="J55" s="357">
        <f>labcap_sources!G4</f>
        <v>1.1538461538461537</v>
      </c>
      <c r="K55" s="369">
        <f t="shared" si="32"/>
        <v>1.789084123859215E-3</v>
      </c>
      <c r="L55" s="359"/>
      <c r="M55" s="357">
        <f>labcap_sources!H4</f>
        <v>1.4615384615384615</v>
      </c>
      <c r="N55" s="369">
        <f t="shared" si="33"/>
        <v>2.2661732235550059E-3</v>
      </c>
      <c r="O55" s="359"/>
    </row>
    <row r="56" spans="1:15" ht="15" customHeight="1" x14ac:dyDescent="0.25">
      <c r="A56" s="132" t="s">
        <v>921</v>
      </c>
      <c r="B56" s="2" t="s">
        <v>342</v>
      </c>
      <c r="C56" s="2" t="s">
        <v>336</v>
      </c>
      <c r="D56" s="2" t="s">
        <v>361</v>
      </c>
      <c r="E56" s="367" t="s">
        <v>1073</v>
      </c>
      <c r="F56" s="359">
        <f>opex_det!BZ$181</f>
        <v>4.4008601747723202E-4</v>
      </c>
      <c r="G56" s="366">
        <f>labcap_sources!$F$4</f>
        <v>1</v>
      </c>
      <c r="H56" s="369">
        <f t="shared" si="31"/>
        <v>4.4008601747723202E-4</v>
      </c>
      <c r="I56" s="365"/>
      <c r="J56" s="357">
        <f>labcap_sources!G4</f>
        <v>1.1538461538461537</v>
      </c>
      <c r="K56" s="369">
        <f t="shared" si="32"/>
        <v>5.0779155862757535E-4</v>
      </c>
      <c r="L56" s="359"/>
      <c r="M56" s="357">
        <f>labcap_sources!H4</f>
        <v>1.4615384615384615</v>
      </c>
      <c r="N56" s="369">
        <f t="shared" si="33"/>
        <v>6.4320264092826212E-4</v>
      </c>
      <c r="O56" s="359"/>
    </row>
    <row r="57" spans="1:15" ht="15" customHeight="1" x14ac:dyDescent="0.25">
      <c r="A57" s="132" t="s">
        <v>921</v>
      </c>
      <c r="B57" s="2" t="s">
        <v>343</v>
      </c>
      <c r="C57" s="2" t="s">
        <v>337</v>
      </c>
      <c r="D57" s="2" t="s">
        <v>444</v>
      </c>
      <c r="E57" s="241" t="s">
        <v>372</v>
      </c>
      <c r="F57" s="362">
        <f>opex_det!CA$169</f>
        <v>1.49948297489806E-3</v>
      </c>
      <c r="G57" s="458">
        <f>labcap_sources!$F$131*labcap_sources!$F$128</f>
        <v>1</v>
      </c>
      <c r="H57" s="362">
        <f t="shared" si="31"/>
        <v>1.49948297489806E-3</v>
      </c>
      <c r="I57" s="368">
        <f>H57/H61*$F61</f>
        <v>1.49948297489806E-3</v>
      </c>
      <c r="J57" s="458">
        <f>labcap_sources!$G$131*labcap_sources!$G$128</f>
        <v>0.73888888888888893</v>
      </c>
      <c r="K57" s="362">
        <f>$H57*J57</f>
        <v>1.1079513092302332E-3</v>
      </c>
      <c r="L57" s="368">
        <f>K57/K61*$F61</f>
        <v>1.0595185529648232E-3</v>
      </c>
      <c r="M57" s="458">
        <f>labcap_sources!$H$131*labcap_sources!$H$128</f>
        <v>0.53333333333333333</v>
      </c>
      <c r="N57" s="362">
        <f>$H57*M57</f>
        <v>7.9972425327896532E-4</v>
      </c>
      <c r="O57" s="368">
        <f>N57/N61*$F61</f>
        <v>6.8428788004228709E-4</v>
      </c>
    </row>
    <row r="58" spans="1:15" ht="15" customHeight="1" x14ac:dyDescent="0.25">
      <c r="A58" s="132" t="s">
        <v>921</v>
      </c>
      <c r="B58" s="2" t="s">
        <v>343</v>
      </c>
      <c r="C58" s="2" t="s">
        <v>337</v>
      </c>
      <c r="D58" s="2" t="s">
        <v>444</v>
      </c>
      <c r="E58" s="241" t="s">
        <v>373</v>
      </c>
      <c r="F58" s="362">
        <f>opex_det!CA$170</f>
        <v>2.5602987428067998E-2</v>
      </c>
      <c r="G58" s="458">
        <f>labcap_sources!$F$131*labcap_sources!$F$129</f>
        <v>1</v>
      </c>
      <c r="H58" s="362">
        <f t="shared" si="31"/>
        <v>2.5602987428067998E-2</v>
      </c>
      <c r="I58" s="368">
        <f>H58/H61*$F61</f>
        <v>2.5602987428067998E-2</v>
      </c>
      <c r="J58" s="458">
        <f>labcap_sources!$G$131*labcap_sources!$G$129</f>
        <v>0.92076923076923067</v>
      </c>
      <c r="K58" s="362">
        <f t="shared" ref="K58:K60" si="34">$H58*J58</f>
        <v>2.3574443039536454E-2</v>
      </c>
      <c r="L58" s="368">
        <f>K58/K61*$F61</f>
        <v>2.2543914672166293E-2</v>
      </c>
      <c r="M58" s="458">
        <f>labcap_sources!$H$131*labcap_sources!$H$129</f>
        <v>0.68923076923076931</v>
      </c>
      <c r="N58" s="362">
        <f t="shared" ref="N58:N60" si="35">$H58*M58</f>
        <v>1.7646366719653021E-2</v>
      </c>
      <c r="O58" s="368">
        <f>N58/N61*$F61</f>
        <v>1.5099198034235407E-2</v>
      </c>
    </row>
    <row r="59" spans="1:15" ht="15" customHeight="1" x14ac:dyDescent="0.25">
      <c r="A59" s="132" t="s">
        <v>921</v>
      </c>
      <c r="B59" s="2" t="s">
        <v>343</v>
      </c>
      <c r="C59" s="2" t="s">
        <v>337</v>
      </c>
      <c r="D59" s="2" t="s">
        <v>444</v>
      </c>
      <c r="E59" s="241" t="s">
        <v>374</v>
      </c>
      <c r="F59" s="362">
        <f>opex_det!CA$171</f>
        <v>3.6669761821682301E-2</v>
      </c>
      <c r="G59" s="458">
        <f>labcap_sources!$F$131*labcap_sources!$F$130</f>
        <v>1</v>
      </c>
      <c r="H59" s="362">
        <f t="shared" si="31"/>
        <v>3.6669761821682301E-2</v>
      </c>
      <c r="I59" s="368">
        <f>H59/H61*$F61</f>
        <v>3.6669761821682301E-2</v>
      </c>
      <c r="J59" s="458">
        <f>labcap_sources!$G$131*labcap_sources!$G$130</f>
        <v>1.096153846153846</v>
      </c>
      <c r="K59" s="362">
        <f t="shared" si="34"/>
        <v>4.019570045838252E-2</v>
      </c>
      <c r="L59" s="368">
        <f>K59/K61*$F61</f>
        <v>3.8438593853606873E-2</v>
      </c>
      <c r="M59" s="458">
        <f>labcap_sources!$H$131*labcap_sources!$H$130</f>
        <v>1.1692307692307693</v>
      </c>
      <c r="N59" s="362">
        <f t="shared" si="35"/>
        <v>4.2875413822274694E-2</v>
      </c>
      <c r="O59" s="368">
        <f>N59/N61*$F61</f>
        <v>3.6686552783770393E-2</v>
      </c>
    </row>
    <row r="60" spans="1:15" ht="15" customHeight="1" x14ac:dyDescent="0.25">
      <c r="A60" s="132" t="s">
        <v>921</v>
      </c>
      <c r="B60" s="2" t="s">
        <v>343</v>
      </c>
      <c r="C60" s="2" t="s">
        <v>337</v>
      </c>
      <c r="D60" s="2" t="s">
        <v>444</v>
      </c>
      <c r="E60" s="240" t="s">
        <v>375</v>
      </c>
      <c r="F60" s="362">
        <f>opex_det!CA$172</f>
        <v>0.42194821526933501</v>
      </c>
      <c r="G60" s="458">
        <f>labcap_sources!$F$132</f>
        <v>1</v>
      </c>
      <c r="H60" s="362">
        <f t="shared" si="31"/>
        <v>0.42194821526933501</v>
      </c>
      <c r="I60" s="368">
        <f>H60/H61*$F61</f>
        <v>0.42194821526933501</v>
      </c>
      <c r="J60" s="458">
        <f>labcap_sources!$G$132</f>
        <v>1.05</v>
      </c>
      <c r="K60" s="362">
        <f t="shared" si="34"/>
        <v>0.44304562603280179</v>
      </c>
      <c r="L60" s="368">
        <f>K60/K61*$F61</f>
        <v>0.42367842041524539</v>
      </c>
      <c r="M60" s="458">
        <f>labcap_sources!$H$132</f>
        <v>1.2</v>
      </c>
      <c r="N60" s="362">
        <f t="shared" si="35"/>
        <v>0.50633785832320199</v>
      </c>
      <c r="O60" s="368">
        <f>N60/N61*$F61</f>
        <v>0.43325040879593524</v>
      </c>
    </row>
    <row r="61" spans="1:15" ht="15" customHeight="1" x14ac:dyDescent="0.25">
      <c r="A61" s="132" t="s">
        <v>921</v>
      </c>
      <c r="B61" s="2" t="s">
        <v>343</v>
      </c>
      <c r="C61" s="2" t="s">
        <v>337</v>
      </c>
      <c r="D61" s="2" t="s">
        <v>444</v>
      </c>
      <c r="E61" s="19" t="s">
        <v>1077</v>
      </c>
      <c r="F61" s="363">
        <f>SUM(F57:F60)</f>
        <v>0.48572044749398335</v>
      </c>
      <c r="G61" s="458"/>
      <c r="H61" s="363">
        <f>SUM(H57:H60)</f>
        <v>0.48572044749398335</v>
      </c>
      <c r="I61" s="363">
        <f>SUM(I57:I60)</f>
        <v>0.48572044749398335</v>
      </c>
      <c r="J61" s="458"/>
      <c r="K61" s="363">
        <f>SUM(K57:K60)</f>
        <v>0.50792372083995097</v>
      </c>
      <c r="L61" s="363">
        <f>SUM(L57:L60)</f>
        <v>0.48572044749398335</v>
      </c>
      <c r="M61" s="458"/>
      <c r="N61" s="363">
        <f>SUM(N57:N60)</f>
        <v>0.5676593631184087</v>
      </c>
      <c r="O61" s="363">
        <f>SUM(O57:O60)</f>
        <v>0.48572044749398335</v>
      </c>
    </row>
    <row r="62" spans="1:15" ht="15" customHeight="1" x14ac:dyDescent="0.25">
      <c r="A62" s="132" t="s">
        <v>921</v>
      </c>
      <c r="B62" s="2" t="s">
        <v>343</v>
      </c>
      <c r="C62" s="2" t="s">
        <v>337</v>
      </c>
      <c r="D62" s="2" t="s">
        <v>444</v>
      </c>
      <c r="E62" s="367" t="s">
        <v>1068</v>
      </c>
      <c r="F62" s="359">
        <f>opex_det!CA$176</f>
        <v>4.6494514553130002E-5</v>
      </c>
      <c r="G62" s="458">
        <f>labcap_sources!$F$128</f>
        <v>1</v>
      </c>
      <c r="H62" s="369">
        <f t="shared" ref="H62:H71" si="36">$F62*G62</f>
        <v>4.6494514553130002E-5</v>
      </c>
      <c r="I62" s="357"/>
      <c r="J62" s="458">
        <f>labcap_sources!$G$128</f>
        <v>0.7777777777777779</v>
      </c>
      <c r="K62" s="369">
        <f>$H62*J62</f>
        <v>3.6162400207990009E-5</v>
      </c>
      <c r="L62" s="360"/>
      <c r="M62" s="458">
        <f>labcap_sources!$H$128</f>
        <v>0.66666666666666663</v>
      </c>
      <c r="N62" s="369">
        <f>$H62*M62</f>
        <v>3.0996343035420002E-5</v>
      </c>
      <c r="O62" s="360"/>
    </row>
    <row r="63" spans="1:15" ht="15" customHeight="1" x14ac:dyDescent="0.25">
      <c r="A63" s="132" t="s">
        <v>921</v>
      </c>
      <c r="B63" s="2" t="s">
        <v>343</v>
      </c>
      <c r="C63" s="2" t="s">
        <v>337</v>
      </c>
      <c r="D63" s="2" t="s">
        <v>444</v>
      </c>
      <c r="E63" s="367" t="s">
        <v>1069</v>
      </c>
      <c r="F63" s="359">
        <f>opex_det!CA$177</f>
        <v>4.53995004570547E-5</v>
      </c>
      <c r="G63" s="458">
        <f>labcap_sources!$F$128</f>
        <v>1</v>
      </c>
      <c r="H63" s="369">
        <f t="shared" si="36"/>
        <v>4.53995004570547E-5</v>
      </c>
      <c r="I63" s="357"/>
      <c r="J63" s="458">
        <f>labcap_sources!$G$128</f>
        <v>0.7777777777777779</v>
      </c>
      <c r="K63" s="369">
        <f t="shared" ref="K63:K67" si="37">$H63*J63</f>
        <v>3.5310722577709214E-5</v>
      </c>
      <c r="L63" s="360"/>
      <c r="M63" s="458">
        <f>labcap_sources!$H$128</f>
        <v>0.66666666666666663</v>
      </c>
      <c r="N63" s="369">
        <f t="shared" ref="N63" si="38">$H63*M63</f>
        <v>3.0266333638036467E-5</v>
      </c>
      <c r="O63" s="360"/>
    </row>
    <row r="64" spans="1:15" ht="15" customHeight="1" x14ac:dyDescent="0.25">
      <c r="A64" s="132" t="s">
        <v>921</v>
      </c>
      <c r="B64" s="2" t="s">
        <v>343</v>
      </c>
      <c r="C64" s="2" t="s">
        <v>337</v>
      </c>
      <c r="D64" s="2" t="s">
        <v>444</v>
      </c>
      <c r="E64" s="367" t="s">
        <v>1070</v>
      </c>
      <c r="F64" s="359">
        <f>opex_det!CA$178</f>
        <v>7.1639687399868495E-4</v>
      </c>
      <c r="G64" s="458">
        <f>labcap_sources!$F$129</f>
        <v>1</v>
      </c>
      <c r="H64" s="369">
        <f t="shared" si="36"/>
        <v>7.1639687399868495E-4</v>
      </c>
      <c r="I64" s="357"/>
      <c r="J64" s="458">
        <f>labcap_sources!$G$129</f>
        <v>0.96923076923076923</v>
      </c>
      <c r="K64" s="369">
        <f t="shared" si="37"/>
        <v>6.9435389326026392E-4</v>
      </c>
      <c r="L64" s="360"/>
      <c r="M64" s="458">
        <f>labcap_sources!$H$129</f>
        <v>0.86153846153846159</v>
      </c>
      <c r="N64" s="369">
        <f>$H64*M64</f>
        <v>6.1720346067579014E-4</v>
      </c>
      <c r="O64" s="360"/>
    </row>
    <row r="65" spans="1:15" ht="15" customHeight="1" x14ac:dyDescent="0.25">
      <c r="A65" s="132" t="s">
        <v>921</v>
      </c>
      <c r="B65" s="2" t="s">
        <v>343</v>
      </c>
      <c r="C65" s="2" t="s">
        <v>337</v>
      </c>
      <c r="D65" s="2" t="s">
        <v>444</v>
      </c>
      <c r="E65" s="367" t="s">
        <v>1071</v>
      </c>
      <c r="F65" s="359">
        <f>opex_det!CA$179</f>
        <v>2.4376822780900501E-4</v>
      </c>
      <c r="G65" s="458">
        <f>labcap_sources!$F$129</f>
        <v>1</v>
      </c>
      <c r="H65" s="369">
        <f t="shared" si="36"/>
        <v>2.4376822780900501E-4</v>
      </c>
      <c r="I65" s="357"/>
      <c r="J65" s="458">
        <f>labcap_sources!$G$129</f>
        <v>0.96923076923076923</v>
      </c>
      <c r="K65" s="369">
        <f t="shared" si="37"/>
        <v>2.3626766695334332E-4</v>
      </c>
      <c r="L65" s="360"/>
      <c r="M65" s="458">
        <f>labcap_sources!$H$129</f>
        <v>0.86153846153846159</v>
      </c>
      <c r="N65" s="369">
        <f t="shared" ref="N65:N67" si="39">$H65*M65</f>
        <v>2.100157039585274E-4</v>
      </c>
      <c r="O65" s="360"/>
    </row>
    <row r="66" spans="1:15" ht="15" customHeight="1" x14ac:dyDescent="0.25">
      <c r="A66" s="132" t="s">
        <v>921</v>
      </c>
      <c r="B66" s="2" t="s">
        <v>343</v>
      </c>
      <c r="C66" s="2" t="s">
        <v>337</v>
      </c>
      <c r="D66" s="2" t="s">
        <v>444</v>
      </c>
      <c r="E66" s="367" t="s">
        <v>1072</v>
      </c>
      <c r="F66" s="359">
        <f>opex_det!CA$180</f>
        <v>7.0227359882270703E-4</v>
      </c>
      <c r="G66" s="458">
        <f>labcap_sources!$F$130</f>
        <v>1</v>
      </c>
      <c r="H66" s="369">
        <f t="shared" si="36"/>
        <v>7.0227359882270703E-4</v>
      </c>
      <c r="I66" s="357"/>
      <c r="J66" s="458">
        <f>labcap_sources!$G$130</f>
        <v>1.1538461538461537</v>
      </c>
      <c r="K66" s="369">
        <f t="shared" si="37"/>
        <v>8.1031569094927721E-4</v>
      </c>
      <c r="L66" s="360"/>
      <c r="M66" s="458">
        <f>labcap_sources!$H$130</f>
        <v>1.4615384615384615</v>
      </c>
      <c r="N66" s="369">
        <f t="shared" si="39"/>
        <v>1.0263998752024178E-3</v>
      </c>
      <c r="O66" s="360"/>
    </row>
    <row r="67" spans="1:15" ht="15" customHeight="1" x14ac:dyDescent="0.25">
      <c r="A67" s="132" t="s">
        <v>921</v>
      </c>
      <c r="B67" s="2" t="s">
        <v>343</v>
      </c>
      <c r="C67" s="2" t="s">
        <v>337</v>
      </c>
      <c r="D67" s="2" t="s">
        <v>444</v>
      </c>
      <c r="E67" s="367" t="s">
        <v>1073</v>
      </c>
      <c r="F67" s="359">
        <f>opex_det!CA$181</f>
        <v>2.1501080993261801E-4</v>
      </c>
      <c r="G67" s="458">
        <f>labcap_sources!$F$130</f>
        <v>1</v>
      </c>
      <c r="H67" s="369">
        <f t="shared" si="36"/>
        <v>2.1501080993261801E-4</v>
      </c>
      <c r="I67" s="357"/>
      <c r="J67" s="458">
        <f>labcap_sources!$G$130</f>
        <v>1.1538461538461537</v>
      </c>
      <c r="K67" s="369">
        <f t="shared" si="37"/>
        <v>2.480893960760977E-4</v>
      </c>
      <c r="L67" s="360"/>
      <c r="M67" s="458">
        <f>labcap_sources!$H$130</f>
        <v>1.4615384615384615</v>
      </c>
      <c r="N67" s="369">
        <f t="shared" si="39"/>
        <v>3.1424656836305704E-4</v>
      </c>
      <c r="O67" s="360"/>
    </row>
    <row r="68" spans="1:15" ht="15" customHeight="1" x14ac:dyDescent="0.25">
      <c r="A68" s="132" t="s">
        <v>921</v>
      </c>
      <c r="B68" s="1" t="s">
        <v>10</v>
      </c>
      <c r="C68" s="2" t="s">
        <v>11</v>
      </c>
      <c r="E68" s="241" t="s">
        <v>372</v>
      </c>
      <c r="F68" s="362">
        <f>opex_det!CB$169</f>
        <v>5.2574219357217798E-4</v>
      </c>
      <c r="G68" s="458">
        <f>labcap_sources!$F$131*labcap_sources!$F$128</f>
        <v>1</v>
      </c>
      <c r="H68" s="362">
        <f t="shared" si="36"/>
        <v>5.2574219357217798E-4</v>
      </c>
      <c r="I68" s="368">
        <f>H68/H72*$F72</f>
        <v>5.2574219357217798E-4</v>
      </c>
      <c r="J68" s="458">
        <f>labcap_sources!$G$131*labcap_sources!$G$128</f>
        <v>0.73888888888888893</v>
      </c>
      <c r="K68" s="362">
        <f>$H68*J68</f>
        <v>3.8846506525055377E-4</v>
      </c>
      <c r="L68" s="368">
        <f>K68/K72*$F72</f>
        <v>3.722667819643591E-4</v>
      </c>
      <c r="M68" s="458">
        <f>labcap_sources!$H$131*labcap_sources!$H$128</f>
        <v>0.53333333333333333</v>
      </c>
      <c r="N68" s="362">
        <f>$H68*M68</f>
        <v>2.8039583657182826E-4</v>
      </c>
      <c r="O68" s="368">
        <f>N68/N72*$F72</f>
        <v>2.5128146276093256E-4</v>
      </c>
    </row>
    <row r="69" spans="1:15" ht="15" customHeight="1" x14ac:dyDescent="0.25">
      <c r="A69" s="132" t="s">
        <v>921</v>
      </c>
      <c r="B69" s="1" t="s">
        <v>10</v>
      </c>
      <c r="C69" s="2" t="s">
        <v>11</v>
      </c>
      <c r="E69" s="241" t="s">
        <v>373</v>
      </c>
      <c r="F69" s="362">
        <f>opex_det!CB$170</f>
        <v>8.1743128214047008E-3</v>
      </c>
      <c r="G69" s="458">
        <f>labcap_sources!$F$131*labcap_sources!$F$129</f>
        <v>1</v>
      </c>
      <c r="H69" s="362">
        <f t="shared" si="36"/>
        <v>8.1743128214047008E-3</v>
      </c>
      <c r="I69" s="368">
        <f>H69/H72*$F72</f>
        <v>8.1743128214047008E-3</v>
      </c>
      <c r="J69" s="458">
        <f>labcap_sources!$G$131*labcap_sources!$G$129</f>
        <v>0.92076923076923067</v>
      </c>
      <c r="K69" s="362">
        <f t="shared" ref="K69:K71" si="40">$H69*J69</f>
        <v>7.5266557286318659E-3</v>
      </c>
      <c r="L69" s="368">
        <f>K69/K72*$F72</f>
        <v>7.2128079399989206E-3</v>
      </c>
      <c r="M69" s="458">
        <f>labcap_sources!$H$131*labcap_sources!$H$129</f>
        <v>0.68923076923076931</v>
      </c>
      <c r="N69" s="362">
        <f t="shared" ref="N69:N71" si="41">$H69*M69</f>
        <v>5.633987913829702E-3</v>
      </c>
      <c r="O69" s="368">
        <f>N69/N72*$F72</f>
        <v>5.048993385470193E-3</v>
      </c>
    </row>
    <row r="70" spans="1:15" ht="15" customHeight="1" x14ac:dyDescent="0.25">
      <c r="A70" s="132" t="s">
        <v>921</v>
      </c>
      <c r="B70" s="1" t="s">
        <v>10</v>
      </c>
      <c r="C70" s="2" t="s">
        <v>11</v>
      </c>
      <c r="E70" s="241" t="s">
        <v>374</v>
      </c>
      <c r="F70" s="362">
        <f>opex_det!CB$171</f>
        <v>1.7948583241348799E-2</v>
      </c>
      <c r="G70" s="458">
        <f>labcap_sources!$F$131*labcap_sources!$F$130</f>
        <v>1</v>
      </c>
      <c r="H70" s="362">
        <f t="shared" si="36"/>
        <v>1.7948583241348799E-2</v>
      </c>
      <c r="I70" s="368">
        <f>H70/H72*$F72</f>
        <v>1.7948583241348799E-2</v>
      </c>
      <c r="J70" s="458">
        <f>labcap_sources!$G$131*labcap_sources!$G$130</f>
        <v>1.096153846153846</v>
      </c>
      <c r="K70" s="362">
        <f t="shared" si="40"/>
        <v>1.9674408553016949E-2</v>
      </c>
      <c r="L70" s="368">
        <f>K70/K72*$F72</f>
        <v>1.8854021672089705E-2</v>
      </c>
      <c r="M70" s="458">
        <f>labcap_sources!$H$131*labcap_sources!$H$130</f>
        <v>1.1692307692307693</v>
      </c>
      <c r="N70" s="362">
        <f t="shared" si="41"/>
        <v>2.0986035789884751E-2</v>
      </c>
      <c r="O70" s="368">
        <f>N70/N72*$F72</f>
        <v>1.880699027242742E-2</v>
      </c>
    </row>
    <row r="71" spans="1:15" ht="15" customHeight="1" x14ac:dyDescent="0.25">
      <c r="A71" s="132" t="s">
        <v>921</v>
      </c>
      <c r="B71" s="1" t="s">
        <v>10</v>
      </c>
      <c r="C71" s="2" t="s">
        <v>11</v>
      </c>
      <c r="E71" s="240" t="s">
        <v>375</v>
      </c>
      <c r="F71" s="362">
        <f>opex_det!CB$172</f>
        <v>3.3705098157663899E-2</v>
      </c>
      <c r="G71" s="458">
        <f>labcap_sources!$F$132</f>
        <v>1</v>
      </c>
      <c r="H71" s="362">
        <f t="shared" si="36"/>
        <v>3.3705098157663899E-2</v>
      </c>
      <c r="I71" s="368">
        <f>H71/H72*$F72</f>
        <v>3.3705098157663899E-2</v>
      </c>
      <c r="J71" s="458">
        <f>labcap_sources!$G$132</f>
        <v>1.05</v>
      </c>
      <c r="K71" s="362">
        <f t="shared" si="40"/>
        <v>3.5390353065547095E-2</v>
      </c>
      <c r="L71" s="368">
        <f>K71/K72*$F72</f>
        <v>3.391464001993659E-2</v>
      </c>
      <c r="M71" s="458">
        <f>labcap_sources!$H$132</f>
        <v>1.2</v>
      </c>
      <c r="N71" s="362">
        <f t="shared" si="41"/>
        <v>4.0446117789196677E-2</v>
      </c>
      <c r="O71" s="368">
        <f>N71/N72*$F72</f>
        <v>3.6246471293331035E-2</v>
      </c>
    </row>
    <row r="72" spans="1:15" ht="15" customHeight="1" x14ac:dyDescent="0.25">
      <c r="A72" s="132" t="s">
        <v>921</v>
      </c>
      <c r="B72" s="1" t="s">
        <v>10</v>
      </c>
      <c r="C72" s="2" t="s">
        <v>11</v>
      </c>
      <c r="E72" s="19" t="s">
        <v>1077</v>
      </c>
      <c r="F72" s="363">
        <f>SUM(F68:F71)</f>
        <v>6.0353736413989577E-2</v>
      </c>
      <c r="G72" s="458"/>
      <c r="H72" s="363">
        <f>SUM(H68:H71)</f>
        <v>6.0353736413989577E-2</v>
      </c>
      <c r="I72" s="363">
        <f>SUM(I68:I71)</f>
        <v>6.0353736413989577E-2</v>
      </c>
      <c r="J72" s="458"/>
      <c r="K72" s="363">
        <f>SUM(K68:K71)</f>
        <v>6.2979882412446467E-2</v>
      </c>
      <c r="L72" s="363">
        <f>SUM(L68:L71)</f>
        <v>6.0353736413989577E-2</v>
      </c>
      <c r="M72" s="458"/>
      <c r="N72" s="363">
        <f>SUM(N68:N71)</f>
        <v>6.7346537329482953E-2</v>
      </c>
      <c r="O72" s="363">
        <f>SUM(O68:O71)</f>
        <v>6.0353736413989584E-2</v>
      </c>
    </row>
    <row r="73" spans="1:15" ht="15" customHeight="1" x14ac:dyDescent="0.25">
      <c r="A73" s="132" t="s">
        <v>921</v>
      </c>
      <c r="B73" s="1" t="s">
        <v>10</v>
      </c>
      <c r="C73" s="2" t="s">
        <v>11</v>
      </c>
      <c r="E73" s="367" t="s">
        <v>1068</v>
      </c>
      <c r="F73" s="359">
        <f>opex_det!CB$176</f>
        <v>6.01060058776879E-5</v>
      </c>
      <c r="G73" s="458">
        <f>labcap_sources!$F$128</f>
        <v>1</v>
      </c>
      <c r="H73" s="369">
        <f t="shared" ref="H73:H78" si="42">$F73*G73</f>
        <v>6.01060058776879E-5</v>
      </c>
      <c r="I73" s="357"/>
      <c r="J73" s="458">
        <f>labcap_sources!$G$128</f>
        <v>0.7777777777777779</v>
      </c>
      <c r="K73" s="369">
        <f>$H73*J73</f>
        <v>4.674911568264615E-5</v>
      </c>
      <c r="L73" s="360"/>
      <c r="M73" s="458">
        <f>labcap_sources!$H$128</f>
        <v>0.66666666666666663</v>
      </c>
      <c r="N73" s="369">
        <f>$H73*M73</f>
        <v>4.0070670585125265E-5</v>
      </c>
      <c r="O73" s="360"/>
    </row>
    <row r="74" spans="1:15" ht="15" customHeight="1" x14ac:dyDescent="0.25">
      <c r="A74" s="132" t="s">
        <v>921</v>
      </c>
      <c r="B74" s="1" t="s">
        <v>10</v>
      </c>
      <c r="C74" s="2" t="s">
        <v>11</v>
      </c>
      <c r="E74" s="367" t="s">
        <v>1069</v>
      </c>
      <c r="F74" s="359">
        <f>opex_det!CB$177</f>
        <v>3.6960879786593897E-5</v>
      </c>
      <c r="G74" s="458">
        <f>labcap_sources!$F$128</f>
        <v>1</v>
      </c>
      <c r="H74" s="369">
        <f t="shared" si="42"/>
        <v>3.6960879786593897E-5</v>
      </c>
      <c r="I74" s="357"/>
      <c r="J74" s="458">
        <f>labcap_sources!$G$128</f>
        <v>0.7777777777777779</v>
      </c>
      <c r="K74" s="369">
        <f t="shared" ref="K74:K78" si="43">$H74*J74</f>
        <v>2.874735094512859E-5</v>
      </c>
      <c r="L74" s="360"/>
      <c r="M74" s="458">
        <f>labcap_sources!$H$128</f>
        <v>0.66666666666666663</v>
      </c>
      <c r="N74" s="369">
        <f t="shared" ref="N74" si="44">$H74*M74</f>
        <v>2.464058652439593E-5</v>
      </c>
      <c r="O74" s="360"/>
    </row>
    <row r="75" spans="1:15" ht="15" customHeight="1" x14ac:dyDescent="0.25">
      <c r="A75" s="132" t="s">
        <v>921</v>
      </c>
      <c r="B75" s="1" t="s">
        <v>10</v>
      </c>
      <c r="C75" s="2" t="s">
        <v>11</v>
      </c>
      <c r="E75" s="367" t="s">
        <v>1070</v>
      </c>
      <c r="F75" s="359">
        <f>opex_det!CB$178</f>
        <v>9.838404119987031E-4</v>
      </c>
      <c r="G75" s="458">
        <f>labcap_sources!$F$129</f>
        <v>1</v>
      </c>
      <c r="H75" s="369">
        <f t="shared" si="42"/>
        <v>9.838404119987031E-4</v>
      </c>
      <c r="I75" s="357"/>
      <c r="J75" s="458">
        <f>labcap_sources!$G$129</f>
        <v>0.96923076923076923</v>
      </c>
      <c r="K75" s="369">
        <f t="shared" si="43"/>
        <v>9.5356839932181988E-4</v>
      </c>
      <c r="L75" s="360"/>
      <c r="M75" s="458">
        <f>labcap_sources!$H$129</f>
        <v>0.86153846153846159</v>
      </c>
      <c r="N75" s="369">
        <f>$H75*M75</f>
        <v>8.4761635495272892E-4</v>
      </c>
      <c r="O75" s="360"/>
    </row>
    <row r="76" spans="1:15" ht="15" customHeight="1" x14ac:dyDescent="0.25">
      <c r="A76" s="132" t="s">
        <v>921</v>
      </c>
      <c r="B76" s="1" t="s">
        <v>10</v>
      </c>
      <c r="C76" s="2" t="s">
        <v>11</v>
      </c>
      <c r="E76" s="367" t="s">
        <v>1071</v>
      </c>
      <c r="F76" s="359">
        <f>opex_det!CB$179</f>
        <v>8.6966775968509995E-5</v>
      </c>
      <c r="G76" s="458">
        <f>labcap_sources!$F$129</f>
        <v>1</v>
      </c>
      <c r="H76" s="369">
        <f t="shared" si="42"/>
        <v>8.6966775968509995E-5</v>
      </c>
      <c r="I76" s="357"/>
      <c r="J76" s="458">
        <f>labcap_sources!$G$129</f>
        <v>0.96923076923076923</v>
      </c>
      <c r="K76" s="369">
        <f t="shared" si="43"/>
        <v>8.4290875169478914E-5</v>
      </c>
      <c r="L76" s="360"/>
      <c r="M76" s="458">
        <f>labcap_sources!$H$129</f>
        <v>0.86153846153846159</v>
      </c>
      <c r="N76" s="369">
        <f t="shared" ref="N76:N78" si="45">$H76*M76</f>
        <v>7.492522237287015E-5</v>
      </c>
      <c r="O76" s="360"/>
    </row>
    <row r="77" spans="1:15" ht="15" customHeight="1" x14ac:dyDescent="0.25">
      <c r="A77" s="132" t="s">
        <v>921</v>
      </c>
      <c r="B77" s="1" t="s">
        <v>10</v>
      </c>
      <c r="C77" s="2" t="s">
        <v>11</v>
      </c>
      <c r="E77" s="367" t="s">
        <v>1072</v>
      </c>
      <c r="F77" s="359">
        <f>opex_det!CB$180</f>
        <v>8.9209966618462996E-4</v>
      </c>
      <c r="G77" s="458">
        <f>labcap_sources!$F$130</f>
        <v>1</v>
      </c>
      <c r="H77" s="369">
        <f t="shared" si="42"/>
        <v>8.9209966618462996E-4</v>
      </c>
      <c r="I77" s="357"/>
      <c r="J77" s="458">
        <f>labcap_sources!$G$130</f>
        <v>1.1538461538461537</v>
      </c>
      <c r="K77" s="369">
        <f t="shared" si="43"/>
        <v>1.0293457686745729E-3</v>
      </c>
      <c r="L77" s="360"/>
      <c r="M77" s="458">
        <f>labcap_sources!$H$130</f>
        <v>1.4615384615384615</v>
      </c>
      <c r="N77" s="369">
        <f t="shared" si="45"/>
        <v>1.3038379736544591E-3</v>
      </c>
      <c r="O77" s="360"/>
    </row>
    <row r="78" spans="1:15" ht="15" customHeight="1" x14ac:dyDescent="0.25">
      <c r="A78" s="132" t="s">
        <v>921</v>
      </c>
      <c r="B78" s="1" t="s">
        <v>10</v>
      </c>
      <c r="C78" s="2" t="s">
        <v>11</v>
      </c>
      <c r="E78" s="367" t="s">
        <v>1073</v>
      </c>
      <c r="F78" s="359">
        <f>opex_det!CB$181</f>
        <v>2.5872615850600598E-4</v>
      </c>
      <c r="G78" s="458">
        <f>labcap_sources!$F$130</f>
        <v>1</v>
      </c>
      <c r="H78" s="369">
        <f t="shared" si="42"/>
        <v>2.5872615850600598E-4</v>
      </c>
      <c r="I78" s="357"/>
      <c r="J78" s="458">
        <f>labcap_sources!$G$130</f>
        <v>1.1538461538461537</v>
      </c>
      <c r="K78" s="369">
        <f t="shared" si="43"/>
        <v>2.9853018289154536E-4</v>
      </c>
      <c r="L78" s="360"/>
      <c r="M78" s="458">
        <f>labcap_sources!$H$130</f>
        <v>1.4615384615384615</v>
      </c>
      <c r="N78" s="369">
        <f t="shared" si="45"/>
        <v>3.7813823166262412E-4</v>
      </c>
      <c r="O78" s="360"/>
    </row>
    <row r="79" spans="1:15" ht="15" customHeight="1" x14ac:dyDescent="0.25">
      <c r="A79" s="132" t="s">
        <v>921</v>
      </c>
      <c r="B79" s="2" t="s">
        <v>12</v>
      </c>
      <c r="C79" s="2" t="s">
        <v>13</v>
      </c>
      <c r="D79" s="2" t="s">
        <v>514</v>
      </c>
      <c r="E79" s="241" t="s">
        <v>372</v>
      </c>
      <c r="F79" s="362">
        <f>opex_det!CC$169</f>
        <v>3.5188500358481301E-5</v>
      </c>
      <c r="G79" s="366">
        <f>labcap_sources!$F$11*labcap_sources!$F$8</f>
        <v>1</v>
      </c>
      <c r="H79" s="362">
        <f t="shared" si="31"/>
        <v>3.5188500358481301E-5</v>
      </c>
      <c r="I79" s="368">
        <f>H79/H$83*$F$83</f>
        <v>3.5188500358481301E-5</v>
      </c>
      <c r="J79" s="357">
        <f>labcap_sources!G$11*labcap_sources!G8</f>
        <v>0.73888888888888893</v>
      </c>
      <c r="K79" s="362">
        <f>$H79*J79</f>
        <v>2.6000391931544519E-5</v>
      </c>
      <c r="L79" s="368">
        <f>K79/K$83*$F$83</f>
        <v>2.5107043095620448E-5</v>
      </c>
      <c r="M79" s="357">
        <f>labcap_sources!H$11*labcap_sources!H8</f>
        <v>0.53333333333333333</v>
      </c>
      <c r="N79" s="362">
        <f>$H79*M79</f>
        <v>1.8767200191190026E-5</v>
      </c>
      <c r="O79" s="368">
        <f>N79/N$83*$F$83</f>
        <v>1.6987207274705492E-5</v>
      </c>
    </row>
    <row r="80" spans="1:15" ht="15" customHeight="1" x14ac:dyDescent="0.25">
      <c r="A80" s="132" t="s">
        <v>921</v>
      </c>
      <c r="B80" s="2" t="s">
        <v>12</v>
      </c>
      <c r="C80" s="2" t="s">
        <v>13</v>
      </c>
      <c r="D80" s="2" t="s">
        <v>514</v>
      </c>
      <c r="E80" s="241" t="s">
        <v>373</v>
      </c>
      <c r="F80" s="362">
        <f>opex_det!CC$170</f>
        <v>1.4602311602215101E-3</v>
      </c>
      <c r="G80" s="366">
        <f>labcap_sources!$F$11*labcap_sources!$F$9</f>
        <v>1</v>
      </c>
      <c r="H80" s="362">
        <f t="shared" ref="H80:H82" si="46">$F80*G80</f>
        <v>1.4602311602215101E-3</v>
      </c>
      <c r="I80" s="368">
        <f t="shared" ref="I80:I82" si="47">H80/H$83*$F$83</f>
        <v>1.4602311602215101E-3</v>
      </c>
      <c r="J80" s="357">
        <f>labcap_sources!G$11*labcap_sources!G9</f>
        <v>0.92076923076923067</v>
      </c>
      <c r="K80" s="362">
        <f t="shared" ref="K80:K82" si="48">$H80*J80</f>
        <v>1.344535922142421E-3</v>
      </c>
      <c r="L80" s="368">
        <f t="shared" ref="L80:L82" si="49">K80/K$83*$F$83</f>
        <v>1.2983389415712641E-3</v>
      </c>
      <c r="M80" s="357">
        <f>labcap_sources!H$11*labcap_sources!H9</f>
        <v>0.68923076923076931</v>
      </c>
      <c r="N80" s="362">
        <f t="shared" ref="N80:N82" si="50">$H80*M80</f>
        <v>1.0064362458142102E-3</v>
      </c>
      <c r="O80" s="368">
        <f t="shared" ref="O80:O82" si="51">N80/N$83*$F$83</f>
        <v>9.1097984474253896E-4</v>
      </c>
    </row>
    <row r="81" spans="1:15" ht="15" customHeight="1" x14ac:dyDescent="0.25">
      <c r="A81" s="132" t="s">
        <v>921</v>
      </c>
      <c r="B81" s="2" t="s">
        <v>12</v>
      </c>
      <c r="C81" s="2" t="s">
        <v>13</v>
      </c>
      <c r="D81" s="2" t="s">
        <v>514</v>
      </c>
      <c r="E81" s="241" t="s">
        <v>374</v>
      </c>
      <c r="F81" s="362">
        <f>opex_det!CC$171</f>
        <v>1.6365853074895801E-3</v>
      </c>
      <c r="G81" s="366">
        <f>labcap_sources!$F$11*labcap_sources!$F$10</f>
        <v>1</v>
      </c>
      <c r="H81" s="362">
        <f t="shared" si="46"/>
        <v>1.6365853074895801E-3</v>
      </c>
      <c r="I81" s="368">
        <f t="shared" si="47"/>
        <v>1.6365853074895801E-3</v>
      </c>
      <c r="J81" s="357">
        <f>labcap_sources!G$11*labcap_sources!G10</f>
        <v>1.096153846153846</v>
      </c>
      <c r="K81" s="362">
        <f t="shared" si="48"/>
        <v>1.793949279363578E-3</v>
      </c>
      <c r="L81" s="368">
        <f t="shared" si="49"/>
        <v>1.7323108815792E-3</v>
      </c>
      <c r="M81" s="357">
        <f>labcap_sources!H$11*labcap_sources!H10</f>
        <v>1.1692307692307693</v>
      </c>
      <c r="N81" s="362">
        <f t="shared" si="50"/>
        <v>1.9135458979878169E-3</v>
      </c>
      <c r="O81" s="368">
        <f t="shared" si="51"/>
        <v>1.7320538209018971E-3</v>
      </c>
    </row>
    <row r="82" spans="1:15" ht="15" customHeight="1" x14ac:dyDescent="0.25">
      <c r="A82" s="132" t="s">
        <v>921</v>
      </c>
      <c r="B82" s="2" t="s">
        <v>12</v>
      </c>
      <c r="C82" s="2" t="s">
        <v>13</v>
      </c>
      <c r="D82" s="2" t="s">
        <v>514</v>
      </c>
      <c r="E82" s="240" t="s">
        <v>375</v>
      </c>
      <c r="F82" s="362">
        <f>opex_det!CC$172</f>
        <v>5.4764153480878503E-3</v>
      </c>
      <c r="G82" s="366">
        <f>labcap_sources!$F$12</f>
        <v>1</v>
      </c>
      <c r="H82" s="362">
        <f t="shared" si="46"/>
        <v>5.4764153480878503E-3</v>
      </c>
      <c r="I82" s="368">
        <f t="shared" si="47"/>
        <v>5.4764153480878503E-3</v>
      </c>
      <c r="J82" s="357">
        <f>labcap_sources!G12</f>
        <v>1.05</v>
      </c>
      <c r="K82" s="362">
        <f t="shared" si="48"/>
        <v>5.7502361154922431E-3</v>
      </c>
      <c r="L82" s="368">
        <f t="shared" si="49"/>
        <v>5.5526634499113367E-3</v>
      </c>
      <c r="M82" s="357">
        <f>labcap_sources!H12</f>
        <v>1.2</v>
      </c>
      <c r="N82" s="362">
        <f t="shared" si="50"/>
        <v>6.5716984177054205E-3</v>
      </c>
      <c r="O82" s="368">
        <f t="shared" si="51"/>
        <v>5.9483994432382795E-3</v>
      </c>
    </row>
    <row r="83" spans="1:15" ht="15" customHeight="1" x14ac:dyDescent="0.25">
      <c r="A83" s="132" t="s">
        <v>921</v>
      </c>
      <c r="B83" s="2" t="s">
        <v>12</v>
      </c>
      <c r="C83" s="2" t="s">
        <v>13</v>
      </c>
      <c r="D83" s="2" t="s">
        <v>514</v>
      </c>
      <c r="E83" s="19" t="s">
        <v>1077</v>
      </c>
      <c r="F83" s="363">
        <f>SUM(F79:F82)</f>
        <v>8.6084203161574217E-3</v>
      </c>
      <c r="G83" s="366"/>
      <c r="H83" s="363">
        <f>SUM(H79:H82)</f>
        <v>8.6084203161574217E-3</v>
      </c>
      <c r="I83" s="363">
        <f>SUM(I79:I82)</f>
        <v>8.6084203161574217E-3</v>
      </c>
      <c r="J83" s="357"/>
      <c r="K83" s="363">
        <f>SUM(K79:K82)</f>
        <v>8.9147217089297869E-3</v>
      </c>
      <c r="L83" s="363">
        <f>SUM(L79:L82)</f>
        <v>8.6084203161574217E-3</v>
      </c>
      <c r="M83" s="357"/>
      <c r="N83" s="363">
        <f>SUM(N79:N82)</f>
        <v>9.5104477616986382E-3</v>
      </c>
      <c r="O83" s="363">
        <f>SUM(O79:O82)</f>
        <v>8.6084203161574217E-3</v>
      </c>
    </row>
    <row r="84" spans="1:15" ht="15" customHeight="1" x14ac:dyDescent="0.25">
      <c r="A84" s="132" t="s">
        <v>921</v>
      </c>
      <c r="B84" s="2" t="s">
        <v>12</v>
      </c>
      <c r="C84" s="2" t="s">
        <v>13</v>
      </c>
      <c r="D84" s="2" t="s">
        <v>514</v>
      </c>
      <c r="E84" s="367" t="s">
        <v>1068</v>
      </c>
      <c r="F84" s="359">
        <f>opex_det!CC$176</f>
        <v>1.5514070429880201E-5</v>
      </c>
      <c r="G84" s="366">
        <f>labcap_sources!$F$8</f>
        <v>1</v>
      </c>
      <c r="H84" s="369">
        <f t="shared" ref="H84:H90" si="52">$F84*G84</f>
        <v>1.5514070429880201E-5</v>
      </c>
      <c r="I84" s="357"/>
      <c r="J84" s="357">
        <f>labcap_sources!G8</f>
        <v>0.7777777777777779</v>
      </c>
      <c r="K84" s="369">
        <f>$H84*J84</f>
        <v>1.2066499223240157E-5</v>
      </c>
      <c r="L84" s="360"/>
      <c r="M84" s="357">
        <f>labcap_sources!H8</f>
        <v>0.66666666666666663</v>
      </c>
      <c r="N84" s="369">
        <f>$H84*M84</f>
        <v>1.0342713619920133E-5</v>
      </c>
      <c r="O84" s="360"/>
    </row>
    <row r="85" spans="1:15" ht="15" customHeight="1" x14ac:dyDescent="0.25">
      <c r="A85" s="132" t="s">
        <v>921</v>
      </c>
      <c r="B85" s="2" t="s">
        <v>12</v>
      </c>
      <c r="C85" s="2" t="s">
        <v>13</v>
      </c>
      <c r="D85" s="2" t="s">
        <v>514</v>
      </c>
      <c r="E85" s="367" t="s">
        <v>1069</v>
      </c>
      <c r="F85" s="359">
        <f>opex_det!CC$177</f>
        <v>3.8799494899978897E-6</v>
      </c>
      <c r="G85" s="366">
        <f>labcap_sources!$F$8</f>
        <v>1</v>
      </c>
      <c r="H85" s="369">
        <f t="shared" si="52"/>
        <v>3.8799494899978897E-6</v>
      </c>
      <c r="I85" s="357"/>
      <c r="J85" s="357">
        <f>labcap_sources!G8</f>
        <v>0.7777777777777779</v>
      </c>
      <c r="K85" s="369">
        <f t="shared" ref="K85:K89" si="53">$H85*J85</f>
        <v>3.0177384922205811E-6</v>
      </c>
      <c r="L85" s="360"/>
      <c r="M85" s="357">
        <f>labcap_sources!H8</f>
        <v>0.66666666666666663</v>
      </c>
      <c r="N85" s="369">
        <f t="shared" ref="N85:N89" si="54">$H85*M85</f>
        <v>2.5866329933319265E-6</v>
      </c>
      <c r="O85" s="360"/>
    </row>
    <row r="86" spans="1:15" ht="15" customHeight="1" x14ac:dyDescent="0.25">
      <c r="A86" s="132" t="s">
        <v>921</v>
      </c>
      <c r="B86" s="2" t="s">
        <v>12</v>
      </c>
      <c r="C86" s="2" t="s">
        <v>13</v>
      </c>
      <c r="D86" s="2" t="s">
        <v>514</v>
      </c>
      <c r="E86" s="367" t="s">
        <v>1070</v>
      </c>
      <c r="F86" s="359">
        <f>opex_det!CC$178</f>
        <v>2.4853510024365E-4</v>
      </c>
      <c r="G86" s="366">
        <f>labcap_sources!$F$9</f>
        <v>1</v>
      </c>
      <c r="H86" s="369">
        <f t="shared" si="52"/>
        <v>2.4853510024365E-4</v>
      </c>
      <c r="I86" s="357"/>
      <c r="J86" s="357">
        <f>labcap_sources!G9</f>
        <v>0.96923076923076923</v>
      </c>
      <c r="K86" s="369">
        <f t="shared" si="53"/>
        <v>2.4088786638999923E-4</v>
      </c>
      <c r="L86" s="360"/>
      <c r="M86" s="357">
        <f>labcap_sources!H9</f>
        <v>0.86153846153846159</v>
      </c>
      <c r="N86" s="369">
        <f t="shared" si="54"/>
        <v>2.1412254790222155E-4</v>
      </c>
      <c r="O86" s="360"/>
    </row>
    <row r="87" spans="1:15" ht="15" customHeight="1" x14ac:dyDescent="0.25">
      <c r="A87" s="132" t="s">
        <v>921</v>
      </c>
      <c r="B87" s="2" t="s">
        <v>12</v>
      </c>
      <c r="C87" s="2" t="s">
        <v>13</v>
      </c>
      <c r="D87" s="2" t="s">
        <v>514</v>
      </c>
      <c r="E87" s="367" t="s">
        <v>1071</v>
      </c>
      <c r="F87" s="359">
        <f>opex_det!CC$179</f>
        <v>1.11408554029922E-4</v>
      </c>
      <c r="G87" s="366">
        <f>labcap_sources!$F$9</f>
        <v>1</v>
      </c>
      <c r="H87" s="369">
        <f t="shared" si="52"/>
        <v>1.11408554029922E-4</v>
      </c>
      <c r="I87" s="357"/>
      <c r="J87" s="357">
        <f>labcap_sources!G9</f>
        <v>0.96923076923076923</v>
      </c>
      <c r="K87" s="369">
        <f t="shared" si="53"/>
        <v>1.0798059852130902E-4</v>
      </c>
      <c r="L87" s="360"/>
      <c r="M87" s="357">
        <f>labcap_sources!H9</f>
        <v>0.86153846153846159</v>
      </c>
      <c r="N87" s="369">
        <f t="shared" si="54"/>
        <v>9.5982754241163575E-5</v>
      </c>
      <c r="O87" s="360"/>
    </row>
    <row r="88" spans="1:15" ht="15" customHeight="1" x14ac:dyDescent="0.25">
      <c r="A88" s="132" t="s">
        <v>921</v>
      </c>
      <c r="B88" s="2" t="s">
        <v>12</v>
      </c>
      <c r="C88" s="2" t="s">
        <v>13</v>
      </c>
      <c r="D88" s="2" t="s">
        <v>514</v>
      </c>
      <c r="E88" s="367" t="s">
        <v>1072</v>
      </c>
      <c r="F88" s="359">
        <f>opex_det!CC$180</f>
        <v>3.1586907358370497E-4</v>
      </c>
      <c r="G88" s="366">
        <f>labcap_sources!$F$10</f>
        <v>1</v>
      </c>
      <c r="H88" s="369">
        <f t="shared" si="52"/>
        <v>3.1586907358370497E-4</v>
      </c>
      <c r="I88" s="357"/>
      <c r="J88" s="357">
        <f>labcap_sources!G10</f>
        <v>1.1538461538461537</v>
      </c>
      <c r="K88" s="369">
        <f t="shared" si="53"/>
        <v>3.6446431567350573E-4</v>
      </c>
      <c r="L88" s="360"/>
      <c r="M88" s="357">
        <f>labcap_sources!H10</f>
        <v>1.4615384615384615</v>
      </c>
      <c r="N88" s="369">
        <f t="shared" si="54"/>
        <v>4.6165479985310723E-4</v>
      </c>
      <c r="O88" s="360"/>
    </row>
    <row r="89" spans="1:15" ht="15" customHeight="1" x14ac:dyDescent="0.25">
      <c r="A89" s="132" t="s">
        <v>921</v>
      </c>
      <c r="B89" s="2" t="s">
        <v>12</v>
      </c>
      <c r="C89" s="2" t="s">
        <v>13</v>
      </c>
      <c r="D89" s="2" t="s">
        <v>514</v>
      </c>
      <c r="E89" s="367" t="s">
        <v>1073</v>
      </c>
      <c r="F89" s="359">
        <f>opex_det!CC$181</f>
        <v>6.7249638333113099E-5</v>
      </c>
      <c r="G89" s="366">
        <f>labcap_sources!$F$10</f>
        <v>1</v>
      </c>
      <c r="H89" s="369">
        <f t="shared" si="52"/>
        <v>6.7249638333113099E-5</v>
      </c>
      <c r="I89" s="357"/>
      <c r="J89" s="357">
        <f>labcap_sources!G10</f>
        <v>1.1538461538461537</v>
      </c>
      <c r="K89" s="369">
        <f t="shared" si="53"/>
        <v>7.759573653820741E-5</v>
      </c>
      <c r="L89" s="360"/>
      <c r="M89" s="357">
        <f>labcap_sources!H10</f>
        <v>1.4615384615384615</v>
      </c>
      <c r="N89" s="369">
        <f t="shared" si="54"/>
        <v>9.8287932948396057E-5</v>
      </c>
      <c r="O89" s="360"/>
    </row>
    <row r="90" spans="1:15" ht="15" customHeight="1" x14ac:dyDescent="0.25">
      <c r="A90" s="132" t="s">
        <v>921</v>
      </c>
      <c r="B90" s="2" t="s">
        <v>340</v>
      </c>
      <c r="C90" s="2" t="s">
        <v>338</v>
      </c>
      <c r="D90" s="2" t="s">
        <v>924</v>
      </c>
      <c r="E90" s="241" t="s">
        <v>372</v>
      </c>
      <c r="F90" s="362">
        <f>opex_det!CD$169</f>
        <v>3.2858403239308901E-4</v>
      </c>
      <c r="G90" s="366">
        <f>labcap_sources!$F$17*labcap_sources!$F$14</f>
        <v>1</v>
      </c>
      <c r="H90" s="362">
        <f t="shared" si="52"/>
        <v>3.2858403239308901E-4</v>
      </c>
      <c r="I90" s="368">
        <f>H90/H$94*$F$94</f>
        <v>3.2858403239308901E-4</v>
      </c>
      <c r="J90" s="357">
        <f>labcap_sources!G$17*labcap_sources!G14</f>
        <v>0.73888888888888893</v>
      </c>
      <c r="K90" s="362">
        <f>$H90*J90</f>
        <v>2.4278709060156022E-4</v>
      </c>
      <c r="L90" s="368">
        <f>K90/K$94*$F$94</f>
        <v>2.3133816339939716E-4</v>
      </c>
      <c r="M90" s="357">
        <f>labcap_sources!H$17*labcap_sources!H14</f>
        <v>0.53333333333333333</v>
      </c>
      <c r="N90" s="362">
        <f>$H90*M90</f>
        <v>1.7524481727631413E-4</v>
      </c>
      <c r="O90" s="368">
        <f>N90/N$94*$F$94</f>
        <v>1.4684673951913572E-4</v>
      </c>
    </row>
    <row r="91" spans="1:15" ht="15" customHeight="1" x14ac:dyDescent="0.25">
      <c r="A91" s="132" t="s">
        <v>921</v>
      </c>
      <c r="B91" s="2" t="s">
        <v>340</v>
      </c>
      <c r="C91" s="2" t="s">
        <v>338</v>
      </c>
      <c r="D91" s="2" t="s">
        <v>924</v>
      </c>
      <c r="E91" s="241" t="s">
        <v>373</v>
      </c>
      <c r="F91" s="362">
        <f>opex_det!CD$170</f>
        <v>5.1088702823233398E-3</v>
      </c>
      <c r="G91" s="366">
        <f>labcap_sources!$F$17*labcap_sources!$F$15</f>
        <v>1</v>
      </c>
      <c r="H91" s="362">
        <f t="shared" ref="H91:H93" si="55">$F91*G91</f>
        <v>5.1088702823233398E-3</v>
      </c>
      <c r="I91" s="368">
        <f t="shared" ref="I91:I93" si="56">H91/H$94*$F$94</f>
        <v>5.1088702823233398E-3</v>
      </c>
      <c r="J91" s="357">
        <f>labcap_sources!G$17*labcap_sources!G15</f>
        <v>0.92076923076923067</v>
      </c>
      <c r="K91" s="362">
        <f t="shared" ref="K91:K93" si="57">$H91*J91</f>
        <v>4.7040905599546436E-3</v>
      </c>
      <c r="L91" s="368">
        <f t="shared" ref="L91:L93" si="58">K91/K$94*$F$94</f>
        <v>4.4822633193058068E-3</v>
      </c>
      <c r="M91" s="357">
        <f>labcap_sources!H$17*labcap_sources!H15</f>
        <v>0.68923076923076931</v>
      </c>
      <c r="N91" s="362">
        <f t="shared" ref="N91:N93" si="59">$H91*M91</f>
        <v>3.521190594585933E-3</v>
      </c>
      <c r="O91" s="368">
        <f t="shared" ref="O91:O93" si="60">N91/N$94*$F$94</f>
        <v>2.9505885884493909E-3</v>
      </c>
    </row>
    <row r="92" spans="1:15" ht="15" customHeight="1" x14ac:dyDescent="0.25">
      <c r="A92" s="132" t="s">
        <v>921</v>
      </c>
      <c r="B92" s="2" t="s">
        <v>340</v>
      </c>
      <c r="C92" s="2" t="s">
        <v>338</v>
      </c>
      <c r="D92" s="2" t="s">
        <v>924</v>
      </c>
      <c r="E92" s="241" t="s">
        <v>374</v>
      </c>
      <c r="F92" s="362">
        <f>opex_det!CD$171</f>
        <v>1.1217699338740899E-2</v>
      </c>
      <c r="G92" s="366">
        <f>labcap_sources!$F$17*labcap_sources!$F$16</f>
        <v>1</v>
      </c>
      <c r="H92" s="362">
        <f t="shared" si="55"/>
        <v>1.1217699338740899E-2</v>
      </c>
      <c r="I92" s="368">
        <f t="shared" si="56"/>
        <v>1.1217699338740899E-2</v>
      </c>
      <c r="J92" s="357">
        <f>labcap_sources!G$17*labcap_sources!G16</f>
        <v>1.096153846153846</v>
      </c>
      <c r="K92" s="362">
        <f t="shared" si="57"/>
        <v>1.2296324275158293E-2</v>
      </c>
      <c r="L92" s="368">
        <f t="shared" si="58"/>
        <v>1.1716475811503722E-2</v>
      </c>
      <c r="M92" s="357">
        <f>labcap_sources!H$17*labcap_sources!H16</f>
        <v>1.1692307692307693</v>
      </c>
      <c r="N92" s="362">
        <f t="shared" si="59"/>
        <v>1.3116079226835513E-2</v>
      </c>
      <c r="O92" s="368">
        <f t="shared" si="60"/>
        <v>1.0990644400619226E-2</v>
      </c>
    </row>
    <row r="93" spans="1:15" ht="15" customHeight="1" x14ac:dyDescent="0.25">
      <c r="A93" s="132" t="s">
        <v>921</v>
      </c>
      <c r="B93" s="2" t="s">
        <v>340</v>
      </c>
      <c r="C93" s="2" t="s">
        <v>338</v>
      </c>
      <c r="D93" s="2" t="s">
        <v>924</v>
      </c>
      <c r="E93" s="240" t="s">
        <v>375</v>
      </c>
      <c r="F93" s="362">
        <f>opex_det!CD$172</f>
        <v>0.46317330193951101</v>
      </c>
      <c r="G93" s="366">
        <f>labcap_sources!$F$18</f>
        <v>1</v>
      </c>
      <c r="H93" s="362">
        <f t="shared" si="55"/>
        <v>0.46317330193951101</v>
      </c>
      <c r="I93" s="368">
        <f t="shared" si="56"/>
        <v>0.46317330193951101</v>
      </c>
      <c r="J93" s="357">
        <f>labcap_sources!G18</f>
        <v>1.05</v>
      </c>
      <c r="K93" s="362">
        <f t="shared" si="57"/>
        <v>0.48633196703648657</v>
      </c>
      <c r="L93" s="368">
        <f t="shared" si="58"/>
        <v>0.46339837829875935</v>
      </c>
      <c r="M93" s="357">
        <f>labcap_sources!H18</f>
        <v>1.2</v>
      </c>
      <c r="N93" s="362">
        <f t="shared" si="59"/>
        <v>0.55580796232741314</v>
      </c>
      <c r="O93" s="368">
        <f t="shared" si="60"/>
        <v>0.46574037586438055</v>
      </c>
    </row>
    <row r="94" spans="1:15" ht="15" customHeight="1" x14ac:dyDescent="0.25">
      <c r="A94" s="132" t="s">
        <v>921</v>
      </c>
      <c r="B94" s="2" t="s">
        <v>340</v>
      </c>
      <c r="C94" s="2" t="s">
        <v>338</v>
      </c>
      <c r="D94" s="2" t="s">
        <v>924</v>
      </c>
      <c r="E94" s="19" t="s">
        <v>1077</v>
      </c>
      <c r="F94" s="363">
        <f>SUM(F90:F93)</f>
        <v>0.47982845559296833</v>
      </c>
      <c r="G94" s="366"/>
      <c r="H94" s="363">
        <f>SUM(H90:H93)</f>
        <v>0.47982845559296833</v>
      </c>
      <c r="I94" s="363">
        <f>SUM(I90:I93)</f>
        <v>0.47982845559296833</v>
      </c>
      <c r="J94" s="357"/>
      <c r="K94" s="363">
        <f>SUM(K90:K93)</f>
        <v>0.50357516896220111</v>
      </c>
      <c r="L94" s="363">
        <f>SUM(L90:L93)</f>
        <v>0.47982845559296827</v>
      </c>
      <c r="M94" s="357"/>
      <c r="N94" s="363">
        <f>SUM(N90:N93)</f>
        <v>0.57262047696611096</v>
      </c>
      <c r="O94" s="363">
        <f>SUM(O90:O93)</f>
        <v>0.47982845559296833</v>
      </c>
    </row>
    <row r="95" spans="1:15" ht="15" customHeight="1" x14ac:dyDescent="0.25">
      <c r="A95" s="132" t="s">
        <v>921</v>
      </c>
      <c r="B95" s="2" t="s">
        <v>340</v>
      </c>
      <c r="C95" s="2" t="s">
        <v>338</v>
      </c>
      <c r="D95" s="2" t="s">
        <v>924</v>
      </c>
      <c r="E95" s="367" t="s">
        <v>1068</v>
      </c>
      <c r="F95" s="359">
        <f>opex_det!CD$176</f>
        <v>3.6046753502252601E-4</v>
      </c>
      <c r="G95" s="366">
        <f>labcap_sources!$F$14</f>
        <v>1</v>
      </c>
      <c r="H95" s="369">
        <f t="shared" ref="H95:H101" si="61">$F95*G95</f>
        <v>3.6046753502252601E-4</v>
      </c>
      <c r="I95" s="357"/>
      <c r="J95" s="357">
        <f>labcap_sources!G14</f>
        <v>0.7777777777777779</v>
      </c>
      <c r="K95" s="369">
        <f>$H95*J95</f>
        <v>2.8036363835085362E-4</v>
      </c>
      <c r="L95" s="360"/>
      <c r="M95" s="357">
        <f>labcap_sources!H14</f>
        <v>0.66666666666666663</v>
      </c>
      <c r="N95" s="369">
        <f>$H95*M95</f>
        <v>2.4031169001501734E-4</v>
      </c>
      <c r="O95" s="360"/>
    </row>
    <row r="96" spans="1:15" ht="15" customHeight="1" x14ac:dyDescent="0.25">
      <c r="A96" s="132" t="s">
        <v>921</v>
      </c>
      <c r="B96" s="2" t="s">
        <v>340</v>
      </c>
      <c r="C96" s="2" t="s">
        <v>338</v>
      </c>
      <c r="D96" s="2" t="s">
        <v>924</v>
      </c>
      <c r="E96" s="367" t="s">
        <v>1069</v>
      </c>
      <c r="F96" s="359">
        <f>opex_det!CD$177</f>
        <v>2.15541775499495E-4</v>
      </c>
      <c r="G96" s="366">
        <f>labcap_sources!$F$14</f>
        <v>1</v>
      </c>
      <c r="H96" s="369">
        <f t="shared" si="61"/>
        <v>2.15541775499495E-4</v>
      </c>
      <c r="I96" s="357"/>
      <c r="J96" s="357">
        <f>labcap_sources!G14</f>
        <v>0.7777777777777779</v>
      </c>
      <c r="K96" s="369">
        <f t="shared" ref="K96:K100" si="62">$H96*J96</f>
        <v>1.6764360316627391E-4</v>
      </c>
      <c r="L96" s="360"/>
      <c r="M96" s="357">
        <f>labcap_sources!H14</f>
        <v>0.66666666666666663</v>
      </c>
      <c r="N96" s="369">
        <f t="shared" ref="N96:N100" si="63">$H96*M96</f>
        <v>1.4369451699966333E-4</v>
      </c>
      <c r="O96" s="360"/>
    </row>
    <row r="97" spans="1:15" ht="15" customHeight="1" x14ac:dyDescent="0.25">
      <c r="A97" s="132" t="s">
        <v>921</v>
      </c>
      <c r="B97" s="2" t="s">
        <v>340</v>
      </c>
      <c r="C97" s="2" t="s">
        <v>338</v>
      </c>
      <c r="D97" s="2" t="s">
        <v>924</v>
      </c>
      <c r="E97" s="367" t="s">
        <v>1070</v>
      </c>
      <c r="F97" s="359">
        <f>opex_det!CD$178</f>
        <v>5.9002843890480798E-3</v>
      </c>
      <c r="G97" s="366">
        <f>labcap_sources!$F$15</f>
        <v>1</v>
      </c>
      <c r="H97" s="369">
        <f t="shared" si="61"/>
        <v>5.9002843890480798E-3</v>
      </c>
      <c r="I97" s="357"/>
      <c r="J97" s="357">
        <f>labcap_sources!G15</f>
        <v>0.96923076923076923</v>
      </c>
      <c r="K97" s="369">
        <f t="shared" si="62"/>
        <v>5.7187371770773699E-3</v>
      </c>
      <c r="L97" s="360"/>
      <c r="M97" s="357">
        <f>labcap_sources!H15</f>
        <v>0.86153846153846159</v>
      </c>
      <c r="N97" s="369">
        <f t="shared" si="63"/>
        <v>5.0833219351798841E-3</v>
      </c>
      <c r="O97" s="360"/>
    </row>
    <row r="98" spans="1:15" ht="15" customHeight="1" x14ac:dyDescent="0.25">
      <c r="A98" s="132" t="s">
        <v>921</v>
      </c>
      <c r="B98" s="2" t="s">
        <v>340</v>
      </c>
      <c r="C98" s="2" t="s">
        <v>338</v>
      </c>
      <c r="D98" s="2" t="s">
        <v>924</v>
      </c>
      <c r="E98" s="367" t="s">
        <v>1071</v>
      </c>
      <c r="F98" s="359">
        <f>opex_det!CD$179</f>
        <v>5.0715711882397003E-4</v>
      </c>
      <c r="G98" s="366">
        <f>labcap_sources!$F$15</f>
        <v>1</v>
      </c>
      <c r="H98" s="369">
        <f t="shared" si="61"/>
        <v>5.0715711882397003E-4</v>
      </c>
      <c r="I98" s="357"/>
      <c r="J98" s="357">
        <f>labcap_sources!G15</f>
        <v>0.96923076923076923</v>
      </c>
      <c r="K98" s="369">
        <f t="shared" si="62"/>
        <v>4.915522843986171E-4</v>
      </c>
      <c r="L98" s="360"/>
      <c r="M98" s="357">
        <f>labcap_sources!H15</f>
        <v>0.86153846153846159</v>
      </c>
      <c r="N98" s="369">
        <f t="shared" si="63"/>
        <v>4.3693536390988189E-4</v>
      </c>
      <c r="O98" s="360"/>
    </row>
    <row r="99" spans="1:15" ht="15" customHeight="1" x14ac:dyDescent="0.25">
      <c r="A99" s="132" t="s">
        <v>921</v>
      </c>
      <c r="B99" s="2" t="s">
        <v>340</v>
      </c>
      <c r="C99" s="2" t="s">
        <v>338</v>
      </c>
      <c r="D99" s="2" t="s">
        <v>924</v>
      </c>
      <c r="E99" s="367" t="s">
        <v>1072</v>
      </c>
      <c r="F99" s="359">
        <f>opex_det!CD$180</f>
        <v>5.3500970987472602E-3</v>
      </c>
      <c r="G99" s="366">
        <f>labcap_sources!$F$16</f>
        <v>1</v>
      </c>
      <c r="H99" s="369">
        <f t="shared" si="61"/>
        <v>5.3500970987472602E-3</v>
      </c>
      <c r="I99" s="357"/>
      <c r="J99" s="357">
        <f>labcap_sources!G16</f>
        <v>1.1538461538461537</v>
      </c>
      <c r="K99" s="369">
        <f t="shared" si="62"/>
        <v>6.1731889600929917E-3</v>
      </c>
      <c r="L99" s="360"/>
      <c r="M99" s="357">
        <f>labcap_sources!H16</f>
        <v>1.4615384615384615</v>
      </c>
      <c r="N99" s="369">
        <f t="shared" si="63"/>
        <v>7.8193726827844572E-3</v>
      </c>
      <c r="O99" s="360"/>
    </row>
    <row r="100" spans="1:15" ht="15" customHeight="1" x14ac:dyDescent="0.25">
      <c r="A100" s="132" t="s">
        <v>921</v>
      </c>
      <c r="B100" s="2" t="s">
        <v>340</v>
      </c>
      <c r="C100" s="2" t="s">
        <v>338</v>
      </c>
      <c r="D100" s="2" t="s">
        <v>924</v>
      </c>
      <c r="E100" s="367" t="s">
        <v>1073</v>
      </c>
      <c r="F100" s="359">
        <f>opex_det!CD$181</f>
        <v>1.5087924285052099E-3</v>
      </c>
      <c r="G100" s="366">
        <f>labcap_sources!$F$16</f>
        <v>1</v>
      </c>
      <c r="H100" s="369">
        <f t="shared" si="61"/>
        <v>1.5087924285052099E-3</v>
      </c>
      <c r="I100" s="357"/>
      <c r="J100" s="357">
        <f>labcap_sources!G16</f>
        <v>1.1538461538461537</v>
      </c>
      <c r="K100" s="369">
        <f t="shared" si="62"/>
        <v>1.7409143405829343E-3</v>
      </c>
      <c r="L100" s="360"/>
      <c r="M100" s="357">
        <f>labcap_sources!H16</f>
        <v>1.4615384615384615</v>
      </c>
      <c r="N100" s="369">
        <f t="shared" si="63"/>
        <v>2.2051581647383836E-3</v>
      </c>
      <c r="O100" s="360"/>
    </row>
    <row r="101" spans="1:15" s="24" customFormat="1" ht="15" customHeight="1" x14ac:dyDescent="0.25">
      <c r="A101" s="132" t="s">
        <v>921</v>
      </c>
      <c r="B101" s="2" t="s">
        <v>341</v>
      </c>
      <c r="C101" s="2" t="s">
        <v>339</v>
      </c>
      <c r="D101" s="2" t="s">
        <v>925</v>
      </c>
      <c r="E101" s="241" t="s">
        <v>372</v>
      </c>
      <c r="F101" s="362">
        <f>opex_det!CE$169</f>
        <v>3.2858403239308998E-4</v>
      </c>
      <c r="G101" s="366">
        <f>labcap_sources!$F$23*labcap_sources!$F$20</f>
        <v>1</v>
      </c>
      <c r="H101" s="362">
        <f t="shared" si="61"/>
        <v>3.2858403239308998E-4</v>
      </c>
      <c r="I101" s="368">
        <f>H101/H$105*$F$105</f>
        <v>3.2858403239308998E-4</v>
      </c>
      <c r="J101" s="357">
        <f>labcap_sources!$G$23*labcap_sources!$G$20</f>
        <v>0.73888888888888893</v>
      </c>
      <c r="K101" s="362">
        <f>$H101*J101</f>
        <v>2.4278709060156095E-4</v>
      </c>
      <c r="L101" s="368">
        <f>K101/K$105*$F$105</f>
        <v>2.3133816339939789E-4</v>
      </c>
      <c r="M101" s="357">
        <f>labcap_sources!$H$23*labcap_sources!$H$20</f>
        <v>0.53333333333333333</v>
      </c>
      <c r="N101" s="362">
        <f>$H101*M101</f>
        <v>1.7524481727631465E-4</v>
      </c>
      <c r="O101" s="368">
        <f>N101/N$105*$F$105</f>
        <v>1.4684673951913615E-4</v>
      </c>
    </row>
    <row r="102" spans="1:15" s="24" customFormat="1" ht="15" customHeight="1" x14ac:dyDescent="0.25">
      <c r="A102" s="132" t="s">
        <v>921</v>
      </c>
      <c r="B102" s="2" t="s">
        <v>341</v>
      </c>
      <c r="C102" s="2" t="s">
        <v>339</v>
      </c>
      <c r="D102" s="2" t="s">
        <v>925</v>
      </c>
      <c r="E102" s="241" t="s">
        <v>373</v>
      </c>
      <c r="F102" s="362">
        <f>opex_det!CE$170</f>
        <v>5.1088702823233398E-3</v>
      </c>
      <c r="G102" s="366">
        <f>labcap_sources!$F$23*labcap_sources!$F$21</f>
        <v>1</v>
      </c>
      <c r="H102" s="362">
        <f t="shared" ref="H102:H104" si="64">$F102*G102</f>
        <v>5.1088702823233398E-3</v>
      </c>
      <c r="I102" s="368">
        <f t="shared" ref="I102:I104" si="65">H102/H$105*$F$105</f>
        <v>5.1088702823233398E-3</v>
      </c>
      <c r="J102" s="357">
        <f>labcap_sources!$G$23*labcap_sources!$G$21</f>
        <v>0.92076923076923067</v>
      </c>
      <c r="K102" s="362">
        <f t="shared" ref="K102:K104" si="66">$H102*J102</f>
        <v>4.7040905599546436E-3</v>
      </c>
      <c r="L102" s="368">
        <f t="shared" ref="L102:L104" si="67">K102/K$105*$F$105</f>
        <v>4.4822633193058077E-3</v>
      </c>
      <c r="M102" s="357">
        <f>labcap_sources!$H$23*labcap_sources!$H$21</f>
        <v>0.68923076923076931</v>
      </c>
      <c r="N102" s="362">
        <f t="shared" ref="N102:N104" si="68">$H102*M102</f>
        <v>3.521190594585933E-3</v>
      </c>
      <c r="O102" s="368">
        <f t="shared" ref="O102:O104" si="69">N102/N$105*$F$105</f>
        <v>2.9505885884493904E-3</v>
      </c>
    </row>
    <row r="103" spans="1:15" s="24" customFormat="1" ht="15" customHeight="1" x14ac:dyDescent="0.25">
      <c r="A103" s="132" t="s">
        <v>921</v>
      </c>
      <c r="B103" s="2" t="s">
        <v>341</v>
      </c>
      <c r="C103" s="2" t="s">
        <v>339</v>
      </c>
      <c r="D103" s="2" t="s">
        <v>925</v>
      </c>
      <c r="E103" s="241" t="s">
        <v>374</v>
      </c>
      <c r="F103" s="362">
        <f>opex_det!CE$171</f>
        <v>1.1217699338741E-2</v>
      </c>
      <c r="G103" s="366">
        <f>labcap_sources!$F$23*labcap_sources!$F$22</f>
        <v>1</v>
      </c>
      <c r="H103" s="362">
        <f t="shared" si="64"/>
        <v>1.1217699338741E-2</v>
      </c>
      <c r="I103" s="368">
        <f t="shared" si="65"/>
        <v>1.1217699338741E-2</v>
      </c>
      <c r="J103" s="357">
        <f>labcap_sources!$G$23*labcap_sources!$G$22</f>
        <v>1.096153846153846</v>
      </c>
      <c r="K103" s="362">
        <f t="shared" si="66"/>
        <v>1.2296324275158402E-2</v>
      </c>
      <c r="L103" s="368">
        <f t="shared" si="67"/>
        <v>1.1716475811503828E-2</v>
      </c>
      <c r="M103" s="357">
        <f>labcap_sources!$H$23*labcap_sources!$H$22</f>
        <v>1.1692307692307693</v>
      </c>
      <c r="N103" s="362">
        <f t="shared" si="68"/>
        <v>1.3116079226835631E-2</v>
      </c>
      <c r="O103" s="368">
        <f t="shared" si="69"/>
        <v>1.0990644400619325E-2</v>
      </c>
    </row>
    <row r="104" spans="1:15" s="24" customFormat="1" ht="15" customHeight="1" x14ac:dyDescent="0.25">
      <c r="A104" s="132" t="s">
        <v>921</v>
      </c>
      <c r="B104" s="2" t="s">
        <v>341</v>
      </c>
      <c r="C104" s="2" t="s">
        <v>339</v>
      </c>
      <c r="D104" s="2" t="s">
        <v>925</v>
      </c>
      <c r="E104" s="240" t="s">
        <v>375</v>
      </c>
      <c r="F104" s="362">
        <f>opex_det!CE$172</f>
        <v>0.46317330193951201</v>
      </c>
      <c r="G104" s="366">
        <f>labcap_sources!$F$24</f>
        <v>1</v>
      </c>
      <c r="H104" s="362">
        <f t="shared" si="64"/>
        <v>0.46317330193951201</v>
      </c>
      <c r="I104" s="368">
        <f t="shared" si="65"/>
        <v>0.46317330193951201</v>
      </c>
      <c r="J104" s="357">
        <f>labcap_sources!$G$24</f>
        <v>1.05</v>
      </c>
      <c r="K104" s="362">
        <f t="shared" si="66"/>
        <v>0.48633196703648762</v>
      </c>
      <c r="L104" s="368">
        <f t="shared" si="67"/>
        <v>0.46339837829876046</v>
      </c>
      <c r="M104" s="357">
        <f>labcap_sources!$H$24</f>
        <v>1.2</v>
      </c>
      <c r="N104" s="362">
        <f t="shared" si="68"/>
        <v>0.55580796232741436</v>
      </c>
      <c r="O104" s="368">
        <f t="shared" si="69"/>
        <v>0.4657403758643815</v>
      </c>
    </row>
    <row r="105" spans="1:15" s="24" customFormat="1" ht="15" customHeight="1" x14ac:dyDescent="0.25">
      <c r="A105" s="132" t="s">
        <v>921</v>
      </c>
      <c r="B105" s="2" t="s">
        <v>341</v>
      </c>
      <c r="C105" s="2" t="s">
        <v>339</v>
      </c>
      <c r="D105" s="2" t="s">
        <v>925</v>
      </c>
      <c r="E105" s="19" t="s">
        <v>1077</v>
      </c>
      <c r="F105" s="363">
        <f>SUM(F101:F104)</f>
        <v>0.47982845559296944</v>
      </c>
      <c r="G105" s="366"/>
      <c r="H105" s="363">
        <f>SUM(H101:H104)</f>
        <v>0.47982845559296944</v>
      </c>
      <c r="I105" s="363">
        <f>SUM(I101:I104)</f>
        <v>0.47982845559296944</v>
      </c>
      <c r="J105" s="357"/>
      <c r="K105" s="363">
        <f>SUM(K101:K104)</f>
        <v>0.50357516896220222</v>
      </c>
      <c r="L105" s="363">
        <f>SUM(L101:L104)</f>
        <v>0.47982845559296949</v>
      </c>
      <c r="M105" s="357"/>
      <c r="N105" s="363">
        <f>SUM(N101:N104)</f>
        <v>0.57262047696611229</v>
      </c>
      <c r="O105" s="363">
        <f>SUM(O101:O104)</f>
        <v>0.47982845559296933</v>
      </c>
    </row>
    <row r="106" spans="1:15" s="24" customFormat="1" ht="15" customHeight="1" x14ac:dyDescent="0.25">
      <c r="A106" s="132" t="s">
        <v>921</v>
      </c>
      <c r="B106" s="2" t="s">
        <v>341</v>
      </c>
      <c r="C106" s="2" t="s">
        <v>339</v>
      </c>
      <c r="D106" s="2" t="s">
        <v>925</v>
      </c>
      <c r="E106" s="367" t="s">
        <v>1068</v>
      </c>
      <c r="F106" s="359">
        <f>opex_det!CE$176</f>
        <v>7.6413469267740401E-4</v>
      </c>
      <c r="G106" s="366">
        <f>labcap_sources!$F$20</f>
        <v>1</v>
      </c>
      <c r="H106" s="369">
        <f t="shared" ref="H106:H145" si="70">$F106*G106</f>
        <v>7.6413469267740401E-4</v>
      </c>
      <c r="I106" s="357"/>
      <c r="J106" s="357">
        <f>labcap_sources!$G$20</f>
        <v>0.7777777777777779</v>
      </c>
      <c r="K106" s="369">
        <f>$H106*J106</f>
        <v>5.9432698319353652E-4</v>
      </c>
      <c r="L106" s="360"/>
      <c r="M106" s="357">
        <f>labcap_sources!$H$20</f>
        <v>0.66666666666666663</v>
      </c>
      <c r="N106" s="369">
        <f>$H106*M106</f>
        <v>5.094231284516026E-4</v>
      </c>
      <c r="O106" s="360"/>
    </row>
    <row r="107" spans="1:15" s="24" customFormat="1" ht="15" customHeight="1" x14ac:dyDescent="0.25">
      <c r="A107" s="132" t="s">
        <v>921</v>
      </c>
      <c r="B107" s="2" t="s">
        <v>341</v>
      </c>
      <c r="C107" s="2" t="s">
        <v>339</v>
      </c>
      <c r="D107" s="2" t="s">
        <v>925</v>
      </c>
      <c r="E107" s="367" t="s">
        <v>1069</v>
      </c>
      <c r="F107" s="359">
        <f>opex_det!CE$177</f>
        <v>4.5691479087057503E-4</v>
      </c>
      <c r="G107" s="366">
        <f>labcap_sources!$F$20</f>
        <v>1</v>
      </c>
      <c r="H107" s="369">
        <f t="shared" si="70"/>
        <v>4.5691479087057503E-4</v>
      </c>
      <c r="I107" s="357"/>
      <c r="J107" s="357">
        <f>labcap_sources!$G$20</f>
        <v>0.7777777777777779</v>
      </c>
      <c r="K107" s="369">
        <f t="shared" ref="K107:K111" si="71">$H107*J107</f>
        <v>3.5537817067711399E-4</v>
      </c>
      <c r="L107" s="360"/>
      <c r="M107" s="357">
        <f>labcap_sources!$H$20</f>
        <v>0.66666666666666663</v>
      </c>
      <c r="N107" s="369">
        <f t="shared" ref="N107:N111" si="72">$H107*M107</f>
        <v>3.0460986058038333E-4</v>
      </c>
      <c r="O107" s="360"/>
    </row>
    <row r="108" spans="1:15" s="24" customFormat="1" ht="15" customHeight="1" x14ac:dyDescent="0.25">
      <c r="A108" s="132" t="s">
        <v>921</v>
      </c>
      <c r="B108" s="2" t="s">
        <v>341</v>
      </c>
      <c r="C108" s="2" t="s">
        <v>339</v>
      </c>
      <c r="D108" s="2" t="s">
        <v>925</v>
      </c>
      <c r="E108" s="367" t="s">
        <v>1070</v>
      </c>
      <c r="F108" s="359">
        <f>opex_det!CE$178</f>
        <v>1.25076783906568E-2</v>
      </c>
      <c r="G108" s="366">
        <f>labcap_sources!$F$21</f>
        <v>1</v>
      </c>
      <c r="H108" s="369">
        <f t="shared" si="70"/>
        <v>1.25076783906568E-2</v>
      </c>
      <c r="I108" s="357"/>
      <c r="J108" s="357">
        <f>labcap_sources!$G$21</f>
        <v>0.96923076923076923</v>
      </c>
      <c r="K108" s="369">
        <f t="shared" si="71"/>
        <v>1.212282674786736E-2</v>
      </c>
      <c r="L108" s="360"/>
      <c r="M108" s="357">
        <f>labcap_sources!$H$21</f>
        <v>0.86153846153846159</v>
      </c>
      <c r="N108" s="369">
        <f t="shared" si="72"/>
        <v>1.0775845998104321E-2</v>
      </c>
      <c r="O108" s="360"/>
    </row>
    <row r="109" spans="1:15" s="24" customFormat="1" ht="15" customHeight="1" x14ac:dyDescent="0.25">
      <c r="A109" s="132" t="s">
        <v>921</v>
      </c>
      <c r="B109" s="2" t="s">
        <v>341</v>
      </c>
      <c r="C109" s="2" t="s">
        <v>339</v>
      </c>
      <c r="D109" s="2" t="s">
        <v>925</v>
      </c>
      <c r="E109" s="367" t="s">
        <v>1071</v>
      </c>
      <c r="F109" s="359">
        <f>opex_det!CE$179</f>
        <v>1.07509362558127E-3</v>
      </c>
      <c r="G109" s="366">
        <f>labcap_sources!$F$21</f>
        <v>1</v>
      </c>
      <c r="H109" s="369">
        <f t="shared" si="70"/>
        <v>1.07509362558127E-3</v>
      </c>
      <c r="I109" s="357"/>
      <c r="J109" s="357">
        <f>labcap_sources!$G$21</f>
        <v>0.96923076923076923</v>
      </c>
      <c r="K109" s="369">
        <f t="shared" si="71"/>
        <v>1.042013821717231E-3</v>
      </c>
      <c r="L109" s="360"/>
      <c r="M109" s="357">
        <f>labcap_sources!$H$21</f>
        <v>0.86153846153846159</v>
      </c>
      <c r="N109" s="369">
        <f t="shared" si="72"/>
        <v>9.2623450819309422E-4</v>
      </c>
      <c r="O109" s="360"/>
    </row>
    <row r="110" spans="1:15" s="24" customFormat="1" ht="15" customHeight="1" x14ac:dyDescent="0.25">
      <c r="A110" s="132" t="s">
        <v>921</v>
      </c>
      <c r="B110" s="2" t="s">
        <v>341</v>
      </c>
      <c r="C110" s="2" t="s">
        <v>339</v>
      </c>
      <c r="D110" s="2" t="s">
        <v>925</v>
      </c>
      <c r="E110" s="367" t="s">
        <v>1072</v>
      </c>
      <c r="F110" s="359">
        <f>opex_det!CE$180</f>
        <v>1.1341367543931599E-2</v>
      </c>
      <c r="G110" s="366">
        <f>labcap_sources!$F$22</f>
        <v>1</v>
      </c>
      <c r="H110" s="369">
        <f t="shared" si="70"/>
        <v>1.1341367543931599E-2</v>
      </c>
      <c r="I110" s="357"/>
      <c r="J110" s="357">
        <f>labcap_sources!$G$22</f>
        <v>1.1538461538461537</v>
      </c>
      <c r="K110" s="369">
        <f t="shared" si="71"/>
        <v>1.3086193319921075E-2</v>
      </c>
      <c r="L110" s="360"/>
      <c r="M110" s="357">
        <f>labcap_sources!$H$22</f>
        <v>1.4615384615384615</v>
      </c>
      <c r="N110" s="369">
        <f t="shared" si="72"/>
        <v>1.6575844871900027E-2</v>
      </c>
      <c r="O110" s="360"/>
    </row>
    <row r="111" spans="1:15" s="24" customFormat="1" ht="15" customHeight="1" x14ac:dyDescent="0.25">
      <c r="A111" s="132" t="s">
        <v>921</v>
      </c>
      <c r="B111" s="2" t="s">
        <v>341</v>
      </c>
      <c r="C111" s="2" t="s">
        <v>339</v>
      </c>
      <c r="D111" s="2" t="s">
        <v>925</v>
      </c>
      <c r="E111" s="367" t="s">
        <v>1073</v>
      </c>
      <c r="F111" s="359">
        <f>opex_det!CE$181</f>
        <v>3.19840353611255E-3</v>
      </c>
      <c r="G111" s="366">
        <f>labcap_sources!$F$22</f>
        <v>1</v>
      </c>
      <c r="H111" s="369">
        <f t="shared" si="70"/>
        <v>3.19840353611255E-3</v>
      </c>
      <c r="I111" s="357"/>
      <c r="J111" s="357">
        <f>labcap_sources!$G$22</f>
        <v>1.1538461538461537</v>
      </c>
      <c r="K111" s="369">
        <f t="shared" si="71"/>
        <v>3.6904656185914033E-3</v>
      </c>
      <c r="L111" s="360"/>
      <c r="M111" s="357">
        <f>labcap_sources!$H$22</f>
        <v>1.4615384615384615</v>
      </c>
      <c r="N111" s="369">
        <f t="shared" si="72"/>
        <v>4.6745897835491117E-3</v>
      </c>
      <c r="O111" s="360"/>
    </row>
    <row r="112" spans="1:15" s="24" customFormat="1" ht="15" customHeight="1" x14ac:dyDescent="0.25">
      <c r="A112" s="132" t="s">
        <v>921</v>
      </c>
      <c r="B112" s="5" t="s">
        <v>14</v>
      </c>
      <c r="C112" s="2" t="s">
        <v>15</v>
      </c>
      <c r="D112" s="2"/>
      <c r="E112" s="241" t="s">
        <v>372</v>
      </c>
      <c r="F112" s="362">
        <f>opex_det!CF$169</f>
        <v>1.4154968383210699E-3</v>
      </c>
      <c r="G112" s="458">
        <f>labcap_sources!$F$131*labcap_sources!$F$128</f>
        <v>1</v>
      </c>
      <c r="H112" s="362">
        <f t="shared" si="70"/>
        <v>1.4154968383210699E-3</v>
      </c>
      <c r="I112" s="368">
        <f>H112/H116*$F116</f>
        <v>1.4154968383210699E-3</v>
      </c>
      <c r="J112" s="458">
        <f>labcap_sources!$G$131*labcap_sources!$G$128</f>
        <v>0.73888888888888893</v>
      </c>
      <c r="K112" s="362">
        <f>$H112*J112</f>
        <v>1.0458948860927906E-3</v>
      </c>
      <c r="L112" s="368">
        <f>K112/K116*$F116</f>
        <v>9.9851594269155151E-4</v>
      </c>
      <c r="M112" s="458">
        <f>labcap_sources!$H$131*labcap_sources!$H$128</f>
        <v>0.53333333333333333</v>
      </c>
      <c r="N112" s="362">
        <f>$H112*M112</f>
        <v>7.5493164710457058E-4</v>
      </c>
      <c r="O112" s="368">
        <f>N112/N116*$F116</f>
        <v>6.3712350275910558E-4</v>
      </c>
    </row>
    <row r="113" spans="1:15" s="24" customFormat="1" ht="15" customHeight="1" x14ac:dyDescent="0.25">
      <c r="A113" s="132" t="s">
        <v>921</v>
      </c>
      <c r="B113" s="5" t="s">
        <v>14</v>
      </c>
      <c r="C113" s="2" t="s">
        <v>15</v>
      </c>
      <c r="D113" s="2"/>
      <c r="E113" s="241" t="s">
        <v>373</v>
      </c>
      <c r="F113" s="362">
        <f>opex_det!CF$170</f>
        <v>1.2981058556713301E-2</v>
      </c>
      <c r="G113" s="458">
        <f>labcap_sources!$F$131*labcap_sources!$F$129</f>
        <v>1</v>
      </c>
      <c r="H113" s="362">
        <f t="shared" si="70"/>
        <v>1.2981058556713301E-2</v>
      </c>
      <c r="I113" s="368">
        <f>H113/H116*$F116</f>
        <v>1.2981058556713301E-2</v>
      </c>
      <c r="J113" s="458">
        <f>labcap_sources!$G$131*labcap_sources!$G$129</f>
        <v>0.92076923076923067</v>
      </c>
      <c r="K113" s="362">
        <f t="shared" ref="K113:K115" si="73">$H113*J113</f>
        <v>1.1952559301835246E-2</v>
      </c>
      <c r="L113" s="368">
        <f>K113/K116*$F116</f>
        <v>1.1411109450428893E-2</v>
      </c>
      <c r="M113" s="458">
        <f>labcap_sources!$H$131*labcap_sources!$H$129</f>
        <v>0.68923076923076931</v>
      </c>
      <c r="N113" s="362">
        <f t="shared" ref="N113:N115" si="74">$H113*M113</f>
        <v>8.9469449744731689E-3</v>
      </c>
      <c r="O113" s="368">
        <f>N113/N116*$F116</f>
        <v>7.5507616391391448E-3</v>
      </c>
    </row>
    <row r="114" spans="1:15" s="24" customFormat="1" ht="15" customHeight="1" x14ac:dyDescent="0.25">
      <c r="A114" s="132" t="s">
        <v>921</v>
      </c>
      <c r="B114" s="5" t="s">
        <v>14</v>
      </c>
      <c r="C114" s="2" t="s">
        <v>15</v>
      </c>
      <c r="D114" s="2"/>
      <c r="E114" s="241" t="s">
        <v>374</v>
      </c>
      <c r="F114" s="362">
        <f>opex_det!CF$171</f>
        <v>1.6318747470693201E-2</v>
      </c>
      <c r="G114" s="458">
        <f>labcap_sources!$F$131*labcap_sources!$F$130</f>
        <v>1</v>
      </c>
      <c r="H114" s="362">
        <f t="shared" si="70"/>
        <v>1.6318747470693201E-2</v>
      </c>
      <c r="I114" s="368">
        <f>H114/H116*$F116</f>
        <v>1.6318747470693201E-2</v>
      </c>
      <c r="J114" s="458">
        <f>labcap_sources!$G$131*labcap_sources!$G$130</f>
        <v>1.096153846153846</v>
      </c>
      <c r="K114" s="362">
        <f t="shared" si="73"/>
        <v>1.7887857804413699E-2</v>
      </c>
      <c r="L114" s="368">
        <f>K114/K116*$F116</f>
        <v>1.7077539469603963E-2</v>
      </c>
      <c r="M114" s="458">
        <f>labcap_sources!$H$131*labcap_sources!$H$130</f>
        <v>1.1692307692307693</v>
      </c>
      <c r="N114" s="362">
        <f t="shared" si="74"/>
        <v>1.9080381658041282E-2</v>
      </c>
      <c r="O114" s="368">
        <f>N114/N116*$F116</f>
        <v>1.6102861288934633E-2</v>
      </c>
    </row>
    <row r="115" spans="1:15" s="24" customFormat="1" ht="15" customHeight="1" x14ac:dyDescent="0.25">
      <c r="A115" s="132" t="s">
        <v>921</v>
      </c>
      <c r="B115" s="5" t="s">
        <v>14</v>
      </c>
      <c r="C115" s="2" t="s">
        <v>15</v>
      </c>
      <c r="D115" s="2"/>
      <c r="E115" s="240" t="s">
        <v>375</v>
      </c>
      <c r="F115" s="362">
        <f>opex_det!CF$172</f>
        <v>0.50434904837405903</v>
      </c>
      <c r="G115" s="458">
        <f>labcap_sources!$F$132</f>
        <v>1</v>
      </c>
      <c r="H115" s="362">
        <f t="shared" si="70"/>
        <v>0.50434904837405903</v>
      </c>
      <c r="I115" s="368">
        <f>H115/H116*$F116</f>
        <v>0.50434904837405903</v>
      </c>
      <c r="J115" s="458">
        <f>labcap_sources!$G$132</f>
        <v>1.05</v>
      </c>
      <c r="K115" s="362">
        <f t="shared" si="73"/>
        <v>0.52956650079276202</v>
      </c>
      <c r="L115" s="368">
        <f>K115/K116*$F116</f>
        <v>0.50557718637706217</v>
      </c>
      <c r="M115" s="458">
        <f>labcap_sources!$H$132</f>
        <v>1.2</v>
      </c>
      <c r="N115" s="362">
        <f t="shared" si="74"/>
        <v>0.60521885804887077</v>
      </c>
      <c r="O115" s="368">
        <f>N115/N116*$F116</f>
        <v>0.51077360480895373</v>
      </c>
    </row>
    <row r="116" spans="1:15" s="24" customFormat="1" ht="15" customHeight="1" x14ac:dyDescent="0.25">
      <c r="A116" s="132" t="s">
        <v>921</v>
      </c>
      <c r="B116" s="5" t="s">
        <v>14</v>
      </c>
      <c r="C116" s="2" t="s">
        <v>15</v>
      </c>
      <c r="D116" s="2"/>
      <c r="E116" s="19" t="s">
        <v>1077</v>
      </c>
      <c r="F116" s="363">
        <f>SUM(F112:F115)</f>
        <v>0.53506435123978657</v>
      </c>
      <c r="G116" s="458"/>
      <c r="H116" s="363">
        <f>SUM(H112:H115)</f>
        <v>0.53506435123978657</v>
      </c>
      <c r="I116" s="363">
        <f>SUM(I112:I115)</f>
        <v>0.53506435123978657</v>
      </c>
      <c r="J116" s="458"/>
      <c r="K116" s="363">
        <f>SUM(K112:K115)</f>
        <v>0.56045281278510373</v>
      </c>
      <c r="L116" s="363">
        <f>SUM(L112:L115)</f>
        <v>0.53506435123978657</v>
      </c>
      <c r="M116" s="458"/>
      <c r="N116" s="363">
        <f>SUM(N112:N115)</f>
        <v>0.63400111632848977</v>
      </c>
      <c r="O116" s="363">
        <f>SUM(O112:O115)</f>
        <v>0.53506435123978657</v>
      </c>
    </row>
    <row r="117" spans="1:15" s="24" customFormat="1" ht="15" customHeight="1" x14ac:dyDescent="0.25">
      <c r="A117" s="132" t="s">
        <v>921</v>
      </c>
      <c r="B117" s="5" t="s">
        <v>14</v>
      </c>
      <c r="C117" s="2" t="s">
        <v>15</v>
      </c>
      <c r="D117" s="2"/>
      <c r="E117" s="367" t="s">
        <v>1068</v>
      </c>
      <c r="F117" s="359">
        <f>opex_det!CF$176</f>
        <v>5.5357603499048801E-4</v>
      </c>
      <c r="G117" s="458">
        <f>labcap_sources!$F$128</f>
        <v>1</v>
      </c>
      <c r="H117" s="369">
        <f t="shared" ref="H117:H126" si="75">$F117*G117</f>
        <v>5.5357603499048801E-4</v>
      </c>
      <c r="I117" s="357"/>
      <c r="J117" s="458">
        <f>labcap_sources!$G$128</f>
        <v>0.7777777777777779</v>
      </c>
      <c r="K117" s="369">
        <f>$H117*J117</f>
        <v>4.3055913832593519E-4</v>
      </c>
      <c r="L117" s="360"/>
      <c r="M117" s="458">
        <f>labcap_sources!$H$128</f>
        <v>0.66666666666666663</v>
      </c>
      <c r="N117" s="369">
        <f>$H117*M117</f>
        <v>3.6905068999365867E-4</v>
      </c>
      <c r="O117" s="360"/>
    </row>
    <row r="118" spans="1:15" s="24" customFormat="1" ht="15" customHeight="1" x14ac:dyDescent="0.25">
      <c r="A118" s="132" t="s">
        <v>921</v>
      </c>
      <c r="B118" s="5" t="s">
        <v>14</v>
      </c>
      <c r="C118" s="2" t="s">
        <v>15</v>
      </c>
      <c r="D118" s="2"/>
      <c r="E118" s="367" t="s">
        <v>1069</v>
      </c>
      <c r="F118" s="359">
        <f>opex_det!CF$177</f>
        <v>1.8759257268544899E-4</v>
      </c>
      <c r="G118" s="458">
        <f>labcap_sources!$F$128</f>
        <v>1</v>
      </c>
      <c r="H118" s="369">
        <f t="shared" si="75"/>
        <v>1.8759257268544899E-4</v>
      </c>
      <c r="I118" s="357"/>
      <c r="J118" s="458">
        <f>labcap_sources!$G$128</f>
        <v>0.7777777777777779</v>
      </c>
      <c r="K118" s="369">
        <f t="shared" ref="K118:K122" si="76">$H118*J118</f>
        <v>1.459053343109048E-4</v>
      </c>
      <c r="L118" s="360"/>
      <c r="M118" s="458">
        <f>labcap_sources!$H$128</f>
        <v>0.66666666666666663</v>
      </c>
      <c r="N118" s="369">
        <f t="shared" ref="N118" si="77">$H118*M118</f>
        <v>1.2506171512363266E-4</v>
      </c>
      <c r="O118" s="360"/>
    </row>
    <row r="119" spans="1:15" s="24" customFormat="1" ht="15" customHeight="1" x14ac:dyDescent="0.25">
      <c r="A119" s="132" t="s">
        <v>921</v>
      </c>
      <c r="B119" s="5" t="s">
        <v>14</v>
      </c>
      <c r="C119" s="2" t="s">
        <v>15</v>
      </c>
      <c r="D119" s="2"/>
      <c r="E119" s="367" t="s">
        <v>1070</v>
      </c>
      <c r="F119" s="359">
        <f>opex_det!CF$178</f>
        <v>5.0316107466097304E-3</v>
      </c>
      <c r="G119" s="458">
        <f>labcap_sources!$F$129</f>
        <v>1</v>
      </c>
      <c r="H119" s="369">
        <f t="shared" si="75"/>
        <v>5.0316107466097304E-3</v>
      </c>
      <c r="I119" s="357"/>
      <c r="J119" s="458">
        <f>labcap_sources!$G$129</f>
        <v>0.96923076923076923</v>
      </c>
      <c r="K119" s="369">
        <f t="shared" si="76"/>
        <v>4.8767919544063544E-3</v>
      </c>
      <c r="L119" s="360"/>
      <c r="M119" s="458">
        <f>labcap_sources!$H$129</f>
        <v>0.86153846153846159</v>
      </c>
      <c r="N119" s="369">
        <f>$H119*M119</f>
        <v>4.3349261816945373E-3</v>
      </c>
      <c r="O119" s="360"/>
    </row>
    <row r="120" spans="1:15" s="24" customFormat="1" ht="15" customHeight="1" x14ac:dyDescent="0.25">
      <c r="A120" s="132" t="s">
        <v>921</v>
      </c>
      <c r="B120" s="5" t="s">
        <v>14</v>
      </c>
      <c r="C120" s="2" t="s">
        <v>15</v>
      </c>
      <c r="D120" s="2"/>
      <c r="E120" s="367" t="s">
        <v>1071</v>
      </c>
      <c r="F120" s="359">
        <f>opex_det!CF$179</f>
        <v>9.2623832763558296E-4</v>
      </c>
      <c r="G120" s="458">
        <f>labcap_sources!$F$129</f>
        <v>1</v>
      </c>
      <c r="H120" s="369">
        <f t="shared" si="75"/>
        <v>9.2623832763558296E-4</v>
      </c>
      <c r="I120" s="357"/>
      <c r="J120" s="458">
        <f>labcap_sources!$G$129</f>
        <v>0.96923076923076923</v>
      </c>
      <c r="K120" s="369">
        <f t="shared" si="76"/>
        <v>8.9773868678525738E-4</v>
      </c>
      <c r="L120" s="360"/>
      <c r="M120" s="458">
        <f>labcap_sources!$H$129</f>
        <v>0.86153846153846159</v>
      </c>
      <c r="N120" s="369">
        <f t="shared" ref="N120:N122" si="78">$H120*M120</f>
        <v>7.979899438091177E-4</v>
      </c>
      <c r="O120" s="360"/>
    </row>
    <row r="121" spans="1:15" s="24" customFormat="1" ht="15" customHeight="1" x14ac:dyDescent="0.25">
      <c r="A121" s="132" t="s">
        <v>921</v>
      </c>
      <c r="B121" s="5" t="s">
        <v>14</v>
      </c>
      <c r="C121" s="2" t="s">
        <v>15</v>
      </c>
      <c r="D121" s="2"/>
      <c r="E121" s="367" t="s">
        <v>1072</v>
      </c>
      <c r="F121" s="359">
        <f>opex_det!CF$180</f>
        <v>3.5488177957405899E-3</v>
      </c>
      <c r="G121" s="458">
        <f>labcap_sources!$F$130</f>
        <v>1</v>
      </c>
      <c r="H121" s="369">
        <f t="shared" si="75"/>
        <v>3.5488177957405899E-3</v>
      </c>
      <c r="I121" s="357"/>
      <c r="J121" s="458">
        <f>labcap_sources!$G$130</f>
        <v>1.1538461538461537</v>
      </c>
      <c r="K121" s="369">
        <f t="shared" si="76"/>
        <v>4.094789764316065E-3</v>
      </c>
      <c r="L121" s="360"/>
      <c r="M121" s="458">
        <f>labcap_sources!$H$130</f>
        <v>1.4615384615384615</v>
      </c>
      <c r="N121" s="369">
        <f t="shared" si="78"/>
        <v>5.1867337014670153E-3</v>
      </c>
      <c r="O121" s="360"/>
    </row>
    <row r="122" spans="1:15" s="24" customFormat="1" ht="15" customHeight="1" x14ac:dyDescent="0.25">
      <c r="A122" s="132" t="s">
        <v>921</v>
      </c>
      <c r="B122" s="5" t="s">
        <v>14</v>
      </c>
      <c r="C122" s="2" t="s">
        <v>15</v>
      </c>
      <c r="D122" s="2"/>
      <c r="E122" s="367" t="s">
        <v>1073</v>
      </c>
      <c r="F122" s="359">
        <f>opex_det!CF$181</f>
        <v>1.7352312973366001E-3</v>
      </c>
      <c r="G122" s="458">
        <f>labcap_sources!$F$130</f>
        <v>1</v>
      </c>
      <c r="H122" s="369">
        <f t="shared" si="75"/>
        <v>1.7352312973366001E-3</v>
      </c>
      <c r="I122" s="357"/>
      <c r="J122" s="458">
        <f>labcap_sources!$G$130</f>
        <v>1.1538461538461537</v>
      </c>
      <c r="K122" s="369">
        <f t="shared" si="76"/>
        <v>2.0021899584653077E-3</v>
      </c>
      <c r="L122" s="360"/>
      <c r="M122" s="458">
        <f>labcap_sources!$H$130</f>
        <v>1.4615384615384615</v>
      </c>
      <c r="N122" s="369">
        <f t="shared" si="78"/>
        <v>2.536107280722723E-3</v>
      </c>
      <c r="O122" s="360"/>
    </row>
    <row r="123" spans="1:15" s="24" customFormat="1" ht="15" customHeight="1" x14ac:dyDescent="0.25">
      <c r="A123" s="132" t="s">
        <v>921</v>
      </c>
      <c r="B123" s="5" t="s">
        <v>16</v>
      </c>
      <c r="C123" s="2" t="s">
        <v>17</v>
      </c>
      <c r="D123" s="2"/>
      <c r="E123" s="241" t="s">
        <v>372</v>
      </c>
      <c r="F123" s="362">
        <f>opex_det!CG$169</f>
        <v>7.0163303107703296E-5</v>
      </c>
      <c r="G123" s="458">
        <f>labcap_sources!$F$131*labcap_sources!$F$128</f>
        <v>1</v>
      </c>
      <c r="H123" s="362">
        <f t="shared" si="75"/>
        <v>7.0163303107703296E-5</v>
      </c>
      <c r="I123" s="368">
        <f>H123/H127*$F127</f>
        <v>7.0163303107703296E-5</v>
      </c>
      <c r="J123" s="458">
        <f>labcap_sources!$G$131*labcap_sources!$G$128</f>
        <v>0.73888888888888893</v>
      </c>
      <c r="K123" s="362">
        <f>$H123*J123</f>
        <v>5.1842885074025215E-5</v>
      </c>
      <c r="L123" s="368">
        <f>K123/K127*$F127</f>
        <v>4.9377730541781032E-5</v>
      </c>
      <c r="M123" s="458">
        <f>labcap_sources!$H$131*labcap_sources!$H$128</f>
        <v>0.53333333333333333</v>
      </c>
      <c r="N123" s="362">
        <f>$H123*M123</f>
        <v>3.7420428324108424E-5</v>
      </c>
      <c r="O123" s="368">
        <f>N123/N127*$F127</f>
        <v>3.1207049312776757E-5</v>
      </c>
    </row>
    <row r="124" spans="1:15" s="24" customFormat="1" ht="15" customHeight="1" x14ac:dyDescent="0.25">
      <c r="A124" s="132" t="s">
        <v>921</v>
      </c>
      <c r="B124" s="5" t="s">
        <v>16</v>
      </c>
      <c r="C124" s="2" t="s">
        <v>17</v>
      </c>
      <c r="D124" s="2"/>
      <c r="E124" s="241" t="s">
        <v>373</v>
      </c>
      <c r="F124" s="362">
        <f>opex_det!CG$170</f>
        <v>1.0265351011156201E-3</v>
      </c>
      <c r="G124" s="458">
        <f>labcap_sources!$F$131*labcap_sources!$F$129</f>
        <v>1</v>
      </c>
      <c r="H124" s="362">
        <f t="shared" si="75"/>
        <v>1.0265351011156201E-3</v>
      </c>
      <c r="I124" s="368">
        <f>H124/H127*$F127</f>
        <v>1.0265351011156201E-3</v>
      </c>
      <c r="J124" s="458">
        <f>labcap_sources!$G$131*labcap_sources!$G$129</f>
        <v>0.92076923076923067</v>
      </c>
      <c r="K124" s="362">
        <f t="shared" ref="K124:K126" si="79">$H124*J124</f>
        <v>9.4520193541184391E-4</v>
      </c>
      <c r="L124" s="368">
        <f>K124/K127*$F127</f>
        <v>9.002571212557754E-4</v>
      </c>
      <c r="M124" s="458">
        <f>labcap_sources!$H$131*labcap_sources!$H$129</f>
        <v>0.68923076923076931</v>
      </c>
      <c r="N124" s="362">
        <f t="shared" ref="N124:N126" si="80">$H124*M124</f>
        <v>7.0751957738430442E-4</v>
      </c>
      <c r="O124" s="368">
        <f>N124/N127*$F127</f>
        <v>5.9004130444338058E-4</v>
      </c>
    </row>
    <row r="125" spans="1:15" s="24" customFormat="1" ht="15" customHeight="1" x14ac:dyDescent="0.25">
      <c r="A125" s="132" t="s">
        <v>921</v>
      </c>
      <c r="B125" s="5" t="s">
        <v>16</v>
      </c>
      <c r="C125" s="2" t="s">
        <v>17</v>
      </c>
      <c r="D125" s="2"/>
      <c r="E125" s="241" t="s">
        <v>374</v>
      </c>
      <c r="F125" s="362">
        <f>opex_det!CG$171</f>
        <v>2.1835723980346898E-3</v>
      </c>
      <c r="G125" s="458">
        <f>labcap_sources!$F$131*labcap_sources!$F$130</f>
        <v>1</v>
      </c>
      <c r="H125" s="362">
        <f t="shared" si="75"/>
        <v>2.1835723980346898E-3</v>
      </c>
      <c r="I125" s="368">
        <f>H125/H127*$F127</f>
        <v>2.1835723980346898E-3</v>
      </c>
      <c r="J125" s="458">
        <f>labcap_sources!$G$131*labcap_sources!$G$130</f>
        <v>1.096153846153846</v>
      </c>
      <c r="K125" s="362">
        <f t="shared" si="79"/>
        <v>2.3935312824611022E-3</v>
      </c>
      <c r="L125" s="368">
        <f>K125/K127*$F127</f>
        <v>2.2797176997370284E-3</v>
      </c>
      <c r="M125" s="458">
        <f>labcap_sources!$H$131*labcap_sources!$H$130</f>
        <v>1.1692307692307693</v>
      </c>
      <c r="N125" s="362">
        <f t="shared" si="80"/>
        <v>2.553100034625176E-3</v>
      </c>
      <c r="O125" s="368">
        <f>N125/N127*$F127</f>
        <v>2.1291770898749654E-3</v>
      </c>
    </row>
    <row r="126" spans="1:15" s="24" customFormat="1" ht="15" customHeight="1" x14ac:dyDescent="0.25">
      <c r="A126" s="132" t="s">
        <v>921</v>
      </c>
      <c r="B126" s="5" t="s">
        <v>16</v>
      </c>
      <c r="C126" s="2" t="s">
        <v>17</v>
      </c>
      <c r="D126" s="2"/>
      <c r="E126" s="240" t="s">
        <v>375</v>
      </c>
      <c r="F126" s="362">
        <f>opex_det!CG$172</f>
        <v>0.70732922475813498</v>
      </c>
      <c r="G126" s="458">
        <f>labcap_sources!$F$132</f>
        <v>1</v>
      </c>
      <c r="H126" s="362">
        <f t="shared" si="75"/>
        <v>0.70732922475813498</v>
      </c>
      <c r="I126" s="368">
        <f>H126/H127*$F127</f>
        <v>0.70732922475813498</v>
      </c>
      <c r="J126" s="458">
        <f>labcap_sources!$G$132</f>
        <v>1.05</v>
      </c>
      <c r="K126" s="362">
        <f t="shared" si="79"/>
        <v>0.74269568599604174</v>
      </c>
      <c r="L126" s="368">
        <f>K126/K127*$F127</f>
        <v>0.70738014300885832</v>
      </c>
      <c r="M126" s="458">
        <f>labcap_sources!$H$132</f>
        <v>1.2</v>
      </c>
      <c r="N126" s="362">
        <f t="shared" si="80"/>
        <v>0.84879506970976193</v>
      </c>
      <c r="O126" s="368">
        <f>N126/N127*$F127</f>
        <v>0.70785907011676186</v>
      </c>
    </row>
    <row r="127" spans="1:15" s="24" customFormat="1" ht="15" customHeight="1" x14ac:dyDescent="0.25">
      <c r="A127" s="132" t="s">
        <v>921</v>
      </c>
      <c r="B127" s="5" t="s">
        <v>16</v>
      </c>
      <c r="C127" s="2" t="s">
        <v>17</v>
      </c>
      <c r="D127" s="2"/>
      <c r="E127" s="19" t="s">
        <v>1077</v>
      </c>
      <c r="F127" s="363">
        <f>SUM(F123:F126)</f>
        <v>0.71060949556039299</v>
      </c>
      <c r="G127" s="458"/>
      <c r="H127" s="363">
        <f>SUM(H123:H126)</f>
        <v>0.71060949556039299</v>
      </c>
      <c r="I127" s="363">
        <f>SUM(I123:I126)</f>
        <v>0.71060949556039299</v>
      </c>
      <c r="J127" s="458"/>
      <c r="K127" s="363">
        <f>SUM(K123:K126)</f>
        <v>0.74608626209898876</v>
      </c>
      <c r="L127" s="363">
        <f>SUM(L123:L126)</f>
        <v>0.71060949556039288</v>
      </c>
      <c r="M127" s="458"/>
      <c r="N127" s="363">
        <f>SUM(N123:N126)</f>
        <v>0.85209310975009556</v>
      </c>
      <c r="O127" s="363">
        <f>SUM(O123:O126)</f>
        <v>0.71060949556039299</v>
      </c>
    </row>
    <row r="128" spans="1:15" s="24" customFormat="1" ht="15" customHeight="1" x14ac:dyDescent="0.25">
      <c r="A128" s="132" t="s">
        <v>921</v>
      </c>
      <c r="B128" s="5" t="s">
        <v>16</v>
      </c>
      <c r="C128" s="2" t="s">
        <v>17</v>
      </c>
      <c r="D128" s="2"/>
      <c r="E128" s="367" t="s">
        <v>1068</v>
      </c>
      <c r="F128" s="359">
        <f>opex_det!CG$176</f>
        <v>2.8602382327974901E-5</v>
      </c>
      <c r="G128" s="458">
        <f>labcap_sources!$F$128</f>
        <v>1</v>
      </c>
      <c r="H128" s="369">
        <f t="shared" ref="H128:H137" si="81">$F128*G128</f>
        <v>2.8602382327974901E-5</v>
      </c>
      <c r="I128" s="357"/>
      <c r="J128" s="458">
        <f>labcap_sources!$G$128</f>
        <v>0.7777777777777779</v>
      </c>
      <c r="K128" s="369">
        <f>$H128*J128</f>
        <v>2.2246297366202703E-5</v>
      </c>
      <c r="L128" s="360"/>
      <c r="M128" s="458">
        <f>labcap_sources!$H$128</f>
        <v>0.66666666666666663</v>
      </c>
      <c r="N128" s="369">
        <f>$H128*M128</f>
        <v>1.9068254885316599E-5</v>
      </c>
      <c r="O128" s="360"/>
    </row>
    <row r="129" spans="1:15" s="24" customFormat="1" ht="15" customHeight="1" x14ac:dyDescent="0.25">
      <c r="A129" s="132" t="s">
        <v>921</v>
      </c>
      <c r="B129" s="5" t="s">
        <v>16</v>
      </c>
      <c r="C129" s="2" t="s">
        <v>17</v>
      </c>
      <c r="D129" s="2"/>
      <c r="E129" s="367" t="s">
        <v>1069</v>
      </c>
      <c r="F129" s="359">
        <f>opex_det!CG$177</f>
        <v>1.12857991940804E-5</v>
      </c>
      <c r="G129" s="458">
        <f>labcap_sources!$F$128</f>
        <v>1</v>
      </c>
      <c r="H129" s="369">
        <f t="shared" si="81"/>
        <v>1.12857991940804E-5</v>
      </c>
      <c r="I129" s="357"/>
      <c r="J129" s="458">
        <f>labcap_sources!$G$128</f>
        <v>0.7777777777777779</v>
      </c>
      <c r="K129" s="369">
        <f t="shared" ref="K129:K133" si="82">$H129*J129</f>
        <v>8.7778438176180902E-6</v>
      </c>
      <c r="L129" s="360"/>
      <c r="M129" s="458">
        <f>labcap_sources!$H$128</f>
        <v>0.66666666666666663</v>
      </c>
      <c r="N129" s="369">
        <f t="shared" ref="N129" si="83">$H129*M129</f>
        <v>7.5238661293869335E-6</v>
      </c>
      <c r="O129" s="360"/>
    </row>
    <row r="130" spans="1:15" s="24" customFormat="1" ht="15" customHeight="1" x14ac:dyDescent="0.25">
      <c r="A130" s="132" t="s">
        <v>921</v>
      </c>
      <c r="B130" s="5" t="s">
        <v>16</v>
      </c>
      <c r="C130" s="2" t="s">
        <v>17</v>
      </c>
      <c r="D130" s="2"/>
      <c r="E130" s="367" t="s">
        <v>1070</v>
      </c>
      <c r="F130" s="359">
        <f>opex_det!CG$178</f>
        <v>3.8426678866586099E-4</v>
      </c>
      <c r="G130" s="458">
        <f>labcap_sources!$F$129</f>
        <v>1</v>
      </c>
      <c r="H130" s="369">
        <f t="shared" si="81"/>
        <v>3.8426678866586099E-4</v>
      </c>
      <c r="I130" s="357"/>
      <c r="J130" s="458">
        <f>labcap_sources!$G$129</f>
        <v>0.96923076923076923</v>
      </c>
      <c r="K130" s="369">
        <f t="shared" si="82"/>
        <v>3.7244319516844989E-4</v>
      </c>
      <c r="L130" s="360"/>
      <c r="M130" s="458">
        <f>labcap_sources!$H$129</f>
        <v>0.86153846153846159</v>
      </c>
      <c r="N130" s="369">
        <f>$H130*M130</f>
        <v>3.3106061792751102E-4</v>
      </c>
      <c r="O130" s="360"/>
    </row>
    <row r="131" spans="1:15" s="24" customFormat="1" ht="15" customHeight="1" x14ac:dyDescent="0.25">
      <c r="A131" s="132" t="s">
        <v>921</v>
      </c>
      <c r="B131" s="5" t="s">
        <v>16</v>
      </c>
      <c r="C131" s="2" t="s">
        <v>17</v>
      </c>
      <c r="D131" s="2"/>
      <c r="E131" s="367" t="s">
        <v>1071</v>
      </c>
      <c r="F131" s="359">
        <f>opex_det!CG$179</f>
        <v>1.4171613736630801E-4</v>
      </c>
      <c r="G131" s="458">
        <f>labcap_sources!$F$129</f>
        <v>1</v>
      </c>
      <c r="H131" s="369">
        <f t="shared" si="81"/>
        <v>1.4171613736630801E-4</v>
      </c>
      <c r="I131" s="357"/>
      <c r="J131" s="458">
        <f>labcap_sources!$G$129</f>
        <v>0.96923076923076923</v>
      </c>
      <c r="K131" s="369">
        <f t="shared" si="82"/>
        <v>1.3735564083196006E-4</v>
      </c>
      <c r="L131" s="360"/>
      <c r="M131" s="458">
        <f>labcap_sources!$H$129</f>
        <v>0.86153846153846159</v>
      </c>
      <c r="N131" s="369">
        <f t="shared" ref="N131:N133" si="84">$H131*M131</f>
        <v>1.2209390296174228E-4</v>
      </c>
      <c r="O131" s="360"/>
    </row>
    <row r="132" spans="1:15" s="24" customFormat="1" ht="15" customHeight="1" x14ac:dyDescent="0.25">
      <c r="A132" s="132" t="s">
        <v>921</v>
      </c>
      <c r="B132" s="5" t="s">
        <v>16</v>
      </c>
      <c r="C132" s="2" t="s">
        <v>17</v>
      </c>
      <c r="D132" s="2"/>
      <c r="E132" s="367" t="s">
        <v>1072</v>
      </c>
      <c r="F132" s="359">
        <f>opex_det!CG$180</f>
        <v>5.4966317343450302E-4</v>
      </c>
      <c r="G132" s="458">
        <f>labcap_sources!$F$130</f>
        <v>1</v>
      </c>
      <c r="H132" s="369">
        <f t="shared" si="81"/>
        <v>5.4966317343450302E-4</v>
      </c>
      <c r="I132" s="357"/>
      <c r="J132" s="458">
        <f>labcap_sources!$G$130</f>
        <v>1.1538461538461537</v>
      </c>
      <c r="K132" s="369">
        <f t="shared" si="82"/>
        <v>6.3422673857827265E-4</v>
      </c>
      <c r="L132" s="360"/>
      <c r="M132" s="458">
        <f>labcap_sources!$H$130</f>
        <v>1.4615384615384615</v>
      </c>
      <c r="N132" s="369">
        <f t="shared" si="84"/>
        <v>8.0335386886581201E-4</v>
      </c>
      <c r="O132" s="360"/>
    </row>
    <row r="133" spans="1:15" s="24" customFormat="1" ht="15" customHeight="1" x14ac:dyDescent="0.25">
      <c r="A133" s="132" t="s">
        <v>921</v>
      </c>
      <c r="B133" s="5" t="s">
        <v>16</v>
      </c>
      <c r="C133" s="2" t="s">
        <v>17</v>
      </c>
      <c r="D133" s="2"/>
      <c r="E133" s="367" t="s">
        <v>1073</v>
      </c>
      <c r="F133" s="359">
        <f>opex_det!CG$181</f>
        <v>1.5536781594964301E-4</v>
      </c>
      <c r="G133" s="458">
        <f>labcap_sources!$F$130</f>
        <v>1</v>
      </c>
      <c r="H133" s="369">
        <f t="shared" si="81"/>
        <v>1.5536781594964301E-4</v>
      </c>
      <c r="I133" s="357"/>
      <c r="J133" s="458">
        <f>labcap_sources!$G$130</f>
        <v>1.1538461538461537</v>
      </c>
      <c r="K133" s="369">
        <f t="shared" si="82"/>
        <v>1.7927055686497268E-4</v>
      </c>
      <c r="L133" s="360"/>
      <c r="M133" s="458">
        <f>labcap_sources!$H$130</f>
        <v>1.4615384615384615</v>
      </c>
      <c r="N133" s="369">
        <f t="shared" si="84"/>
        <v>2.2707603869563209E-4</v>
      </c>
      <c r="O133" s="360"/>
    </row>
    <row r="134" spans="1:15" s="24" customFormat="1" ht="15" customHeight="1" x14ac:dyDescent="0.25">
      <c r="A134" s="132" t="s">
        <v>921</v>
      </c>
      <c r="B134" s="5" t="s">
        <v>18</v>
      </c>
      <c r="C134" s="2" t="s">
        <v>19</v>
      </c>
      <c r="D134" s="2"/>
      <c r="E134" s="241" t="s">
        <v>372</v>
      </c>
      <c r="F134" s="362">
        <f>opex_det!CH$169</f>
        <v>4.6726272755630803E-6</v>
      </c>
      <c r="G134" s="458">
        <f>labcap_sources!$F$131*labcap_sources!$F$128</f>
        <v>1</v>
      </c>
      <c r="H134" s="362">
        <f t="shared" si="81"/>
        <v>4.6726272755630803E-6</v>
      </c>
      <c r="I134" s="368">
        <f>H134/H138*$F138</f>
        <v>4.6726272755630803E-6</v>
      </c>
      <c r="J134" s="458">
        <f>labcap_sources!$G$131*labcap_sources!$G$128</f>
        <v>0.73888888888888893</v>
      </c>
      <c r="K134" s="362">
        <f>$H134*J134</f>
        <v>3.4525523758327205E-6</v>
      </c>
      <c r="L134" s="368">
        <f>K134/K138*$F138</f>
        <v>3.2884885730862998E-6</v>
      </c>
      <c r="M134" s="458">
        <f>labcap_sources!$H$131*labcap_sources!$H$128</f>
        <v>0.53333333333333333</v>
      </c>
      <c r="N134" s="362">
        <f>$H134*M134</f>
        <v>2.4920678803003094E-6</v>
      </c>
      <c r="O134" s="368">
        <f>N134/N138*$F138</f>
        <v>2.0779772742957761E-6</v>
      </c>
    </row>
    <row r="135" spans="1:15" s="24" customFormat="1" ht="15" customHeight="1" x14ac:dyDescent="0.25">
      <c r="A135" s="132" t="s">
        <v>921</v>
      </c>
      <c r="B135" s="5" t="s">
        <v>18</v>
      </c>
      <c r="C135" s="2" t="s">
        <v>19</v>
      </c>
      <c r="D135" s="2"/>
      <c r="E135" s="241" t="s">
        <v>373</v>
      </c>
      <c r="F135" s="362">
        <f>opex_det!CH$170</f>
        <v>1.9390186789404701E-4</v>
      </c>
      <c r="G135" s="458">
        <f>labcap_sources!$F$131*labcap_sources!$F$129</f>
        <v>1</v>
      </c>
      <c r="H135" s="362">
        <f t="shared" si="81"/>
        <v>1.9390186789404701E-4</v>
      </c>
      <c r="I135" s="368">
        <f>H135/H138*$F138</f>
        <v>1.9390186789404701E-4</v>
      </c>
      <c r="J135" s="458">
        <f>labcap_sources!$G$131*labcap_sources!$G$129</f>
        <v>0.92076923076923067</v>
      </c>
      <c r="K135" s="362">
        <f t="shared" ref="K135:K137" si="85">$H135*J135</f>
        <v>1.7853887374551865E-4</v>
      </c>
      <c r="L135" s="368">
        <f>K135/K138*$F138</f>
        <v>1.7005478331729221E-4</v>
      </c>
      <c r="M135" s="458">
        <f>labcap_sources!$H$131*labcap_sources!$H$129</f>
        <v>0.68923076923076931</v>
      </c>
      <c r="N135" s="362">
        <f t="shared" ref="N135:N137" si="86">$H135*M135</f>
        <v>1.3364313356389702E-4</v>
      </c>
      <c r="O135" s="368">
        <f>N135/N138*$F138</f>
        <v>1.11436528919103E-4</v>
      </c>
    </row>
    <row r="136" spans="1:15" s="24" customFormat="1" ht="15" customHeight="1" x14ac:dyDescent="0.25">
      <c r="A136" s="132" t="s">
        <v>921</v>
      </c>
      <c r="B136" s="5" t="s">
        <v>18</v>
      </c>
      <c r="C136" s="2" t="s">
        <v>19</v>
      </c>
      <c r="D136" s="2"/>
      <c r="E136" s="241" t="s">
        <v>374</v>
      </c>
      <c r="F136" s="362">
        <f>opex_det!CH$171</f>
        <v>2.1731966604625301E-4</v>
      </c>
      <c r="G136" s="458">
        <f>labcap_sources!$F$131*labcap_sources!$F$130</f>
        <v>1</v>
      </c>
      <c r="H136" s="362">
        <f t="shared" si="81"/>
        <v>2.1731966604625301E-4</v>
      </c>
      <c r="I136" s="368">
        <f>H136/H138*$F138</f>
        <v>2.1731966604625301E-4</v>
      </c>
      <c r="J136" s="458">
        <f>labcap_sources!$G$131*labcap_sources!$G$130</f>
        <v>1.096153846153846</v>
      </c>
      <c r="K136" s="362">
        <f t="shared" si="85"/>
        <v>2.3821578778146962E-4</v>
      </c>
      <c r="L136" s="368">
        <f>K136/K138*$F138</f>
        <v>2.2689587608621666E-4</v>
      </c>
      <c r="M136" s="458">
        <f>labcap_sources!$H$131*labcap_sources!$H$130</f>
        <v>1.1692307692307693</v>
      </c>
      <c r="N136" s="362">
        <f t="shared" si="86"/>
        <v>2.5409684030023428E-4</v>
      </c>
      <c r="O136" s="368">
        <f>N136/N138*$F138</f>
        <v>2.1187523172547847E-4</v>
      </c>
    </row>
    <row r="137" spans="1:15" s="24" customFormat="1" ht="15" customHeight="1" x14ac:dyDescent="0.25">
      <c r="A137" s="132" t="s">
        <v>921</v>
      </c>
      <c r="B137" s="5" t="s">
        <v>18</v>
      </c>
      <c r="C137" s="2" t="s">
        <v>19</v>
      </c>
      <c r="D137" s="2"/>
      <c r="E137" s="240" t="s">
        <v>375</v>
      </c>
      <c r="F137" s="362">
        <f>opex_det!CH$172</f>
        <v>0.14987762101875901</v>
      </c>
      <c r="G137" s="458">
        <f>labcap_sources!$F$132</f>
        <v>1</v>
      </c>
      <c r="H137" s="362">
        <f t="shared" si="81"/>
        <v>0.14987762101875901</v>
      </c>
      <c r="I137" s="368">
        <f>H137/H138*$F138</f>
        <v>0.14987762101875901</v>
      </c>
      <c r="J137" s="458">
        <f>labcap_sources!$G$132</f>
        <v>1.05</v>
      </c>
      <c r="K137" s="362">
        <f t="shared" si="85"/>
        <v>0.15737150206969697</v>
      </c>
      <c r="L137" s="368">
        <f>K137/K138*$F138</f>
        <v>0.14989327603199828</v>
      </c>
      <c r="M137" s="458">
        <f>labcap_sources!$H$132</f>
        <v>1.2</v>
      </c>
      <c r="N137" s="362">
        <f t="shared" si="86"/>
        <v>0.17985314522251081</v>
      </c>
      <c r="O137" s="368">
        <f>N137/N138*$F138</f>
        <v>0.14996812544205601</v>
      </c>
    </row>
    <row r="138" spans="1:15" s="24" customFormat="1" ht="15" customHeight="1" x14ac:dyDescent="0.25">
      <c r="A138" s="132" t="s">
        <v>921</v>
      </c>
      <c r="B138" s="5" t="s">
        <v>18</v>
      </c>
      <c r="C138" s="2" t="s">
        <v>19</v>
      </c>
      <c r="D138" s="2"/>
      <c r="E138" s="19" t="s">
        <v>1077</v>
      </c>
      <c r="F138" s="363">
        <f>SUM(F134:F137)</f>
        <v>0.15029351517997488</v>
      </c>
      <c r="G138" s="458"/>
      <c r="H138" s="363">
        <f>SUM(H134:H137)</f>
        <v>0.15029351517997488</v>
      </c>
      <c r="I138" s="363">
        <f>SUM(I134:I137)</f>
        <v>0.15029351517997488</v>
      </c>
      <c r="J138" s="458"/>
      <c r="K138" s="363">
        <f>SUM(K134:K137)</f>
        <v>0.15779170928359978</v>
      </c>
      <c r="L138" s="363">
        <f>SUM(L134:L137)</f>
        <v>0.15029351517997488</v>
      </c>
      <c r="M138" s="458"/>
      <c r="N138" s="363">
        <f>SUM(N134:N137)</f>
        <v>0.18024337726425524</v>
      </c>
      <c r="O138" s="363">
        <f>SUM(O134:O137)</f>
        <v>0.15029351517997488</v>
      </c>
    </row>
    <row r="139" spans="1:15" s="24" customFormat="1" ht="15" customHeight="1" x14ac:dyDescent="0.25">
      <c r="A139" s="132" t="s">
        <v>921</v>
      </c>
      <c r="B139" s="5" t="s">
        <v>18</v>
      </c>
      <c r="C139" s="2" t="s">
        <v>19</v>
      </c>
      <c r="D139" s="2"/>
      <c r="E139" s="367" t="s">
        <v>1068</v>
      </c>
      <c r="F139" s="359">
        <f>opex_det!CH$176</f>
        <v>1.2676225041033401E-5</v>
      </c>
      <c r="G139" s="458">
        <f>labcap_sources!$F$128</f>
        <v>1</v>
      </c>
      <c r="H139" s="369">
        <f t="shared" ref="H139:H144" si="87">$F139*G139</f>
        <v>1.2676225041033401E-5</v>
      </c>
      <c r="I139" s="357"/>
      <c r="J139" s="458">
        <f>labcap_sources!$G$128</f>
        <v>0.7777777777777779</v>
      </c>
      <c r="K139" s="369">
        <f>$H139*J139</f>
        <v>9.8592861430259794E-6</v>
      </c>
      <c r="L139" s="360"/>
      <c r="M139" s="458">
        <f>labcap_sources!$H$128</f>
        <v>0.66666666666666663</v>
      </c>
      <c r="N139" s="369">
        <f>$H139*M139</f>
        <v>8.4508166940222671E-6</v>
      </c>
      <c r="O139" s="360"/>
    </row>
    <row r="140" spans="1:15" s="24" customFormat="1" ht="15" customHeight="1" x14ac:dyDescent="0.25">
      <c r="A140" s="132" t="s">
        <v>921</v>
      </c>
      <c r="B140" s="5" t="s">
        <v>18</v>
      </c>
      <c r="C140" s="2" t="s">
        <v>19</v>
      </c>
      <c r="D140" s="2"/>
      <c r="E140" s="367" t="s">
        <v>1069</v>
      </c>
      <c r="F140" s="359">
        <f>opex_det!CH$177</f>
        <v>3.1702262217660201E-6</v>
      </c>
      <c r="G140" s="458">
        <f>labcap_sources!$F$128</f>
        <v>1</v>
      </c>
      <c r="H140" s="369">
        <f t="shared" si="87"/>
        <v>3.1702262217660201E-6</v>
      </c>
      <c r="I140" s="357"/>
      <c r="J140" s="458">
        <f>labcap_sources!$G$128</f>
        <v>0.7777777777777779</v>
      </c>
      <c r="K140" s="369">
        <f t="shared" ref="K140:K144" si="88">$H140*J140</f>
        <v>2.4657315058180159E-6</v>
      </c>
      <c r="L140" s="360"/>
      <c r="M140" s="458">
        <f>labcap_sources!$H$128</f>
        <v>0.66666666666666663</v>
      </c>
      <c r="N140" s="369">
        <f t="shared" ref="N140" si="89">$H140*M140</f>
        <v>2.1134841478440132E-6</v>
      </c>
      <c r="O140" s="360"/>
    </row>
    <row r="141" spans="1:15" s="24" customFormat="1" ht="15" customHeight="1" x14ac:dyDescent="0.25">
      <c r="A141" s="132" t="s">
        <v>921</v>
      </c>
      <c r="B141" s="5" t="s">
        <v>18</v>
      </c>
      <c r="C141" s="2" t="s">
        <v>19</v>
      </c>
      <c r="D141" s="2"/>
      <c r="E141" s="367" t="s">
        <v>1070</v>
      </c>
      <c r="F141" s="359">
        <f>opex_det!CH$178</f>
        <v>2.5859499083645098E-4</v>
      </c>
      <c r="G141" s="458">
        <f>labcap_sources!$F$129</f>
        <v>1</v>
      </c>
      <c r="H141" s="369">
        <f t="shared" si="87"/>
        <v>2.5859499083645098E-4</v>
      </c>
      <c r="I141" s="357"/>
      <c r="J141" s="458">
        <f>labcap_sources!$G$129</f>
        <v>0.96923076923076923</v>
      </c>
      <c r="K141" s="369">
        <f t="shared" si="88"/>
        <v>2.5063822188763708E-4</v>
      </c>
      <c r="L141" s="360"/>
      <c r="M141" s="458">
        <f>labcap_sources!$H$129</f>
        <v>0.86153846153846159</v>
      </c>
      <c r="N141" s="369">
        <f>$H141*M141</f>
        <v>2.2278953056678854E-4</v>
      </c>
      <c r="O141" s="360"/>
    </row>
    <row r="142" spans="1:15" s="24" customFormat="1" ht="15" customHeight="1" x14ac:dyDescent="0.25">
      <c r="A142" s="132" t="s">
        <v>921</v>
      </c>
      <c r="B142" s="5" t="s">
        <v>18</v>
      </c>
      <c r="C142" s="2" t="s">
        <v>19</v>
      </c>
      <c r="D142" s="2"/>
      <c r="E142" s="367" t="s">
        <v>1071</v>
      </c>
      <c r="F142" s="359">
        <f>opex_det!CH$179</f>
        <v>8.5041930162181302E-5</v>
      </c>
      <c r="G142" s="458">
        <f>labcap_sources!$F$129</f>
        <v>1</v>
      </c>
      <c r="H142" s="369">
        <f t="shared" si="87"/>
        <v>8.5041930162181302E-5</v>
      </c>
      <c r="I142" s="357"/>
      <c r="J142" s="458">
        <f>labcap_sources!$G$129</f>
        <v>0.96923076923076923</v>
      </c>
      <c r="K142" s="369">
        <f t="shared" si="88"/>
        <v>8.2425255387960343E-5</v>
      </c>
      <c r="L142" s="360"/>
      <c r="M142" s="458">
        <f>labcap_sources!$H$129</f>
        <v>0.86153846153846159</v>
      </c>
      <c r="N142" s="369">
        <f t="shared" ref="N142:N144" si="90">$H142*M142</f>
        <v>7.3266893678186967E-5</v>
      </c>
      <c r="O142" s="360"/>
    </row>
    <row r="143" spans="1:15" s="24" customFormat="1" ht="15" customHeight="1" x14ac:dyDescent="0.25">
      <c r="A143" s="132" t="s">
        <v>921</v>
      </c>
      <c r="B143" s="5" t="s">
        <v>18</v>
      </c>
      <c r="C143" s="2" t="s">
        <v>19</v>
      </c>
      <c r="D143" s="2"/>
      <c r="E143" s="367" t="s">
        <v>1072</v>
      </c>
      <c r="F143" s="359">
        <f>opex_det!CH$180</f>
        <v>2.63665480853938E-4</v>
      </c>
      <c r="G143" s="458">
        <f>labcap_sources!$F$130</f>
        <v>1</v>
      </c>
      <c r="H143" s="369">
        <f t="shared" si="87"/>
        <v>2.63665480853938E-4</v>
      </c>
      <c r="I143" s="357"/>
      <c r="J143" s="458">
        <f>labcap_sources!$G$130</f>
        <v>1.1538461538461537</v>
      </c>
      <c r="K143" s="369">
        <f t="shared" si="88"/>
        <v>3.0422940098531303E-4</v>
      </c>
      <c r="L143" s="360"/>
      <c r="M143" s="458">
        <f>labcap_sources!$H$130</f>
        <v>1.4615384615384615</v>
      </c>
      <c r="N143" s="369">
        <f t="shared" si="90"/>
        <v>3.8535724124806321E-4</v>
      </c>
      <c r="O143" s="360"/>
    </row>
    <row r="144" spans="1:15" s="24" customFormat="1" ht="15" customHeight="1" x14ac:dyDescent="0.25">
      <c r="A144" s="132" t="s">
        <v>921</v>
      </c>
      <c r="B144" s="5" t="s">
        <v>18</v>
      </c>
      <c r="C144" s="2" t="s">
        <v>19</v>
      </c>
      <c r="D144" s="2"/>
      <c r="E144" s="367" t="s">
        <v>1073</v>
      </c>
      <c r="F144" s="359">
        <f>opex_det!CH$181</f>
        <v>4.9882203842358697E-5</v>
      </c>
      <c r="G144" s="458">
        <f>labcap_sources!$F$130</f>
        <v>1</v>
      </c>
      <c r="H144" s="369">
        <f t="shared" si="87"/>
        <v>4.9882203842358697E-5</v>
      </c>
      <c r="I144" s="357"/>
      <c r="J144" s="458">
        <f>labcap_sources!$G$130</f>
        <v>1.1538461538461537</v>
      </c>
      <c r="K144" s="369">
        <f t="shared" si="88"/>
        <v>5.7556389048875414E-5</v>
      </c>
      <c r="L144" s="360"/>
      <c r="M144" s="458">
        <f>labcap_sources!$H$130</f>
        <v>1.4615384615384615</v>
      </c>
      <c r="N144" s="369">
        <f t="shared" si="90"/>
        <v>7.2904759461908867E-5</v>
      </c>
      <c r="O144" s="360"/>
    </row>
    <row r="145" spans="1:15" ht="15" customHeight="1" x14ac:dyDescent="0.25">
      <c r="A145" s="2" t="s">
        <v>944</v>
      </c>
      <c r="B145" s="2" t="s">
        <v>203</v>
      </c>
      <c r="C145" s="2" t="s">
        <v>733</v>
      </c>
      <c r="D145" s="2" t="s">
        <v>741</v>
      </c>
      <c r="E145" s="241" t="s">
        <v>372</v>
      </c>
      <c r="F145" s="362">
        <f>opex_det!BP$169</f>
        <v>6.351985119297212E-3</v>
      </c>
      <c r="G145" s="366">
        <f>labcap_sources!$F$29*labcap_sources!$F$26</f>
        <v>1</v>
      </c>
      <c r="H145" s="362">
        <f t="shared" si="70"/>
        <v>6.351985119297212E-3</v>
      </c>
      <c r="I145" s="368">
        <f>H145/H$149*$F$149</f>
        <v>6.351985119297212E-3</v>
      </c>
      <c r="J145" s="357">
        <f>labcap_sources!$G$29*labcap_sources!$G$26</f>
        <v>0.74578868648843388</v>
      </c>
      <c r="K145" s="362">
        <f>$H145*J145</f>
        <v>4.7372386387147455E-3</v>
      </c>
      <c r="L145" s="368">
        <f>K145/K$149*$F$149</f>
        <v>4.636193041458082E-3</v>
      </c>
      <c r="M145" s="357">
        <f>labcap_sources!$H$29*labcap_sources!$H$26</f>
        <v>0.62803257809552337</v>
      </c>
      <c r="N145" s="362">
        <f>$H145*M145</f>
        <v>3.9892535904966289E-3</v>
      </c>
      <c r="O145" s="368">
        <f>N145/N$149*$F$149</f>
        <v>4.1144805276123377E-3</v>
      </c>
    </row>
    <row r="146" spans="1:15" ht="15" customHeight="1" x14ac:dyDescent="0.25">
      <c r="A146" s="2" t="s">
        <v>944</v>
      </c>
      <c r="B146" s="2" t="s">
        <v>203</v>
      </c>
      <c r="C146" s="2" t="s">
        <v>733</v>
      </c>
      <c r="D146" s="2" t="s">
        <v>741</v>
      </c>
      <c r="E146" s="241" t="s">
        <v>373</v>
      </c>
      <c r="F146" s="362">
        <f>opex_det!BP$170</f>
        <v>6.0050003470095481E-2</v>
      </c>
      <c r="G146" s="366">
        <f>labcap_sources!$F$29*labcap_sources!$F$27</f>
        <v>1</v>
      </c>
      <c r="H146" s="362">
        <f t="shared" ref="H146:H148" si="91">$F146*G146</f>
        <v>6.0050003470095481E-2</v>
      </c>
      <c r="I146" s="368">
        <f t="shared" ref="I146:I148" si="92">H146/H$149*$F$149</f>
        <v>6.0050003470095481E-2</v>
      </c>
      <c r="J146" s="357">
        <f>labcap_sources!$G$29*labcap_sources!$G$27</f>
        <v>0.88911526259656526</v>
      </c>
      <c r="K146" s="362">
        <f t="shared" ref="K146:K148" si="93">$H146*J146</f>
        <v>5.3391374604238602E-2</v>
      </c>
      <c r="L146" s="368">
        <f t="shared" ref="L146:L148" si="94">K146/K$149*$F$149</f>
        <v>5.2252533235524437E-2</v>
      </c>
      <c r="M146" s="357">
        <f>labcap_sources!$H$29*labcap_sources!$H$27</f>
        <v>0.68930573407653517</v>
      </c>
      <c r="N146" s="362">
        <f t="shared" ref="N146:N148" si="95">$H146*M146</f>
        <v>4.1392811723252647E-2</v>
      </c>
      <c r="O146" s="368">
        <f t="shared" ref="O146:O148" si="96">N146/N$149*$F$149</f>
        <v>4.2692176357042401E-2</v>
      </c>
    </row>
    <row r="147" spans="1:15" ht="15" customHeight="1" x14ac:dyDescent="0.25">
      <c r="A147" s="2" t="s">
        <v>944</v>
      </c>
      <c r="B147" s="2" t="s">
        <v>203</v>
      </c>
      <c r="C147" s="2" t="s">
        <v>733</v>
      </c>
      <c r="D147" s="2" t="s">
        <v>741</v>
      </c>
      <c r="E147" s="241" t="s">
        <v>374</v>
      </c>
      <c r="F147" s="362">
        <f>opex_det!BP$171</f>
        <v>4.8740231391436364E-2</v>
      </c>
      <c r="G147" s="366">
        <f>labcap_sources!$F$29*labcap_sources!$F$28</f>
        <v>1</v>
      </c>
      <c r="H147" s="362">
        <f t="shared" si="91"/>
        <v>4.8740231391436364E-2</v>
      </c>
      <c r="I147" s="368">
        <f t="shared" si="92"/>
        <v>4.8740231391436364E-2</v>
      </c>
      <c r="J147" s="357">
        <f>labcap_sources!$G$29*labcap_sources!$G$28</f>
        <v>1.1990327958358522</v>
      </c>
      <c r="K147" s="362">
        <f t="shared" si="93"/>
        <v>5.8441135914960314E-2</v>
      </c>
      <c r="L147" s="368">
        <f t="shared" si="94"/>
        <v>5.7194582820795918E-2</v>
      </c>
      <c r="M147" s="357">
        <f>labcap_sources!$H$29*labcap_sources!$H$28</f>
        <v>1.177997132751013</v>
      </c>
      <c r="N147" s="362">
        <f t="shared" si="95"/>
        <v>5.7415852828732954E-2</v>
      </c>
      <c r="O147" s="368">
        <f t="shared" si="96"/>
        <v>5.9218197861086092E-2</v>
      </c>
    </row>
    <row r="148" spans="1:15" ht="15" customHeight="1" x14ac:dyDescent="0.25">
      <c r="A148" s="2" t="s">
        <v>944</v>
      </c>
      <c r="B148" s="2" t="s">
        <v>203</v>
      </c>
      <c r="C148" s="2" t="s">
        <v>733</v>
      </c>
      <c r="D148" s="2" t="s">
        <v>741</v>
      </c>
      <c r="E148" s="240" t="s">
        <v>375</v>
      </c>
      <c r="F148" s="362">
        <f>opex_det!BP$172</f>
        <v>3.8361563177222439E-2</v>
      </c>
      <c r="G148" s="366">
        <f>labcap_sources!$F$30</f>
        <v>1</v>
      </c>
      <c r="H148" s="362">
        <f t="shared" si="91"/>
        <v>3.8361563177222439E-2</v>
      </c>
      <c r="I148" s="368">
        <f t="shared" si="92"/>
        <v>3.8361563177222439E-2</v>
      </c>
      <c r="J148" s="357">
        <f>labcap_sources!$G$30</f>
        <v>1.05</v>
      </c>
      <c r="K148" s="362">
        <f t="shared" si="93"/>
        <v>4.0279641336083562E-2</v>
      </c>
      <c r="L148" s="368">
        <f t="shared" si="94"/>
        <v>3.9420474060273075E-2</v>
      </c>
      <c r="M148" s="357">
        <f>labcap_sources!$H$30</f>
        <v>1.2</v>
      </c>
      <c r="N148" s="362">
        <f t="shared" si="95"/>
        <v>4.6033875812666929E-2</v>
      </c>
      <c r="O148" s="368">
        <f t="shared" si="96"/>
        <v>4.7478928412310641E-2</v>
      </c>
    </row>
    <row r="149" spans="1:15" ht="15" customHeight="1" x14ac:dyDescent="0.25">
      <c r="A149" s="2" t="s">
        <v>944</v>
      </c>
      <c r="B149" s="2" t="s">
        <v>203</v>
      </c>
      <c r="C149" s="2" t="s">
        <v>733</v>
      </c>
      <c r="D149" s="2" t="s">
        <v>741</v>
      </c>
      <c r="E149" s="19" t="s">
        <v>1077</v>
      </c>
      <c r="F149" s="363">
        <f>SUM(F145:F148)</f>
        <v>0.15350378315805149</v>
      </c>
      <c r="G149" s="366"/>
      <c r="H149" s="363">
        <f>SUM(H145:H148)</f>
        <v>0.15350378315805149</v>
      </c>
      <c r="I149" s="363">
        <f>SUM(I145:I148)</f>
        <v>0.15350378315805149</v>
      </c>
      <c r="J149" s="357"/>
      <c r="K149" s="363">
        <f>SUM(K145:K148)</f>
        <v>0.15684939049399721</v>
      </c>
      <c r="L149" s="363">
        <f>SUM(L145:L148)</f>
        <v>0.15350378315805152</v>
      </c>
      <c r="M149" s="357"/>
      <c r="N149" s="363">
        <f>SUM(N145:N148)</f>
        <v>0.14883179395514917</v>
      </c>
      <c r="O149" s="363">
        <f>SUM(O145:O148)</f>
        <v>0.15350378315805147</v>
      </c>
    </row>
    <row r="150" spans="1:15" ht="15" customHeight="1" x14ac:dyDescent="0.25">
      <c r="A150" s="2" t="s">
        <v>944</v>
      </c>
      <c r="B150" s="2" t="s">
        <v>203</v>
      </c>
      <c r="C150" s="2" t="s">
        <v>733</v>
      </c>
      <c r="D150" s="2" t="s">
        <v>741</v>
      </c>
      <c r="E150" s="367" t="s">
        <v>1068</v>
      </c>
      <c r="F150" s="359">
        <f>opex_det!BP$176</f>
        <v>2.5293746933511603E-4</v>
      </c>
      <c r="G150" s="366">
        <f>labcap_sources!$F$26</f>
        <v>1</v>
      </c>
      <c r="H150" s="369">
        <f t="shared" ref="H150:H156" si="97">$F150*G150</f>
        <v>2.5293746933511603E-4</v>
      </c>
      <c r="I150" s="357"/>
      <c r="J150" s="357">
        <f>labcap_sources!$G$26</f>
        <v>0.78504072261940416</v>
      </c>
      <c r="K150" s="369">
        <f>$H150*J150</f>
        <v>1.9856621370436286E-4</v>
      </c>
      <c r="L150" s="360"/>
      <c r="M150" s="357">
        <f>labcap_sources!$H$26</f>
        <v>0.78504072261940416</v>
      </c>
      <c r="N150" s="369">
        <f>$H150*M150</f>
        <v>1.9856621370436286E-4</v>
      </c>
      <c r="O150" s="360"/>
    </row>
    <row r="151" spans="1:15" ht="15" customHeight="1" x14ac:dyDescent="0.25">
      <c r="A151" s="2" t="s">
        <v>944</v>
      </c>
      <c r="B151" s="2" t="s">
        <v>203</v>
      </c>
      <c r="C151" s="2" t="s">
        <v>733</v>
      </c>
      <c r="D151" s="2" t="s">
        <v>741</v>
      </c>
      <c r="E151" s="367" t="s">
        <v>1069</v>
      </c>
      <c r="F151" s="359">
        <f>opex_det!BP$177</f>
        <v>3.1909017360691E-4</v>
      </c>
      <c r="G151" s="366">
        <f>labcap_sources!$F$26</f>
        <v>1</v>
      </c>
      <c r="H151" s="369">
        <f t="shared" si="97"/>
        <v>3.1909017360691E-4</v>
      </c>
      <c r="I151" s="357"/>
      <c r="J151" s="357">
        <f>labcap_sources!$G$26</f>
        <v>0.78504072261940416</v>
      </c>
      <c r="K151" s="369">
        <f t="shared" ref="K151:K155" si="98">$H151*J151</f>
        <v>2.5049878046911977E-4</v>
      </c>
      <c r="L151" s="360"/>
      <c r="M151" s="357">
        <f>labcap_sources!$H$26</f>
        <v>0.78504072261940416</v>
      </c>
      <c r="N151" s="369">
        <f t="shared" ref="N151:N155" si="99">$H151*M151</f>
        <v>2.5049878046911977E-4</v>
      </c>
      <c r="O151" s="360"/>
    </row>
    <row r="152" spans="1:15" ht="15" customHeight="1" x14ac:dyDescent="0.25">
      <c r="A152" s="2" t="s">
        <v>944</v>
      </c>
      <c r="B152" s="2" t="s">
        <v>203</v>
      </c>
      <c r="C152" s="2" t="s">
        <v>733</v>
      </c>
      <c r="D152" s="2" t="s">
        <v>741</v>
      </c>
      <c r="E152" s="367" t="s">
        <v>1070</v>
      </c>
      <c r="F152" s="359">
        <f>opex_det!BP$178</f>
        <v>2.9886681459578802E-3</v>
      </c>
      <c r="G152" s="366">
        <f>labcap_sources!$F$27</f>
        <v>1</v>
      </c>
      <c r="H152" s="369">
        <f t="shared" si="97"/>
        <v>2.9886681459578802E-3</v>
      </c>
      <c r="I152" s="357"/>
      <c r="J152" s="357">
        <f>labcap_sources!$G$27</f>
        <v>0.93591080273322658</v>
      </c>
      <c r="K152" s="369">
        <f t="shared" si="98"/>
        <v>2.7971268035866638E-3</v>
      </c>
      <c r="L152" s="360"/>
      <c r="M152" s="357">
        <f>labcap_sources!$H$27</f>
        <v>0.86163216759566885</v>
      </c>
      <c r="N152" s="369">
        <f t="shared" si="99"/>
        <v>2.5751326128258169E-3</v>
      </c>
      <c r="O152" s="360"/>
    </row>
    <row r="153" spans="1:15" ht="15" customHeight="1" x14ac:dyDescent="0.25">
      <c r="A153" s="2" t="s">
        <v>944</v>
      </c>
      <c r="B153" s="2" t="s">
        <v>203</v>
      </c>
      <c r="C153" s="2" t="s">
        <v>733</v>
      </c>
      <c r="D153" s="2" t="s">
        <v>741</v>
      </c>
      <c r="E153" s="367" t="s">
        <v>1071</v>
      </c>
      <c r="F153" s="359">
        <f>opex_det!BP$179</f>
        <v>1.32967601237896E-3</v>
      </c>
      <c r="G153" s="366">
        <f>labcap_sources!$F$27</f>
        <v>1</v>
      </c>
      <c r="H153" s="369">
        <f t="shared" si="97"/>
        <v>1.32967601237896E-3</v>
      </c>
      <c r="I153" s="357"/>
      <c r="J153" s="357">
        <f>labcap_sources!$G$27</f>
        <v>0.93591080273322658</v>
      </c>
      <c r="K153" s="369">
        <f t="shared" si="98"/>
        <v>1.2444581441207081E-3</v>
      </c>
      <c r="L153" s="360"/>
      <c r="M153" s="357">
        <f>labcap_sources!$H$27</f>
        <v>0.86163216759566885</v>
      </c>
      <c r="N153" s="369">
        <f t="shared" si="99"/>
        <v>1.1456916247460486E-3</v>
      </c>
      <c r="O153" s="360"/>
    </row>
    <row r="154" spans="1:15" ht="15" customHeight="1" x14ac:dyDescent="0.25">
      <c r="A154" s="2" t="s">
        <v>944</v>
      </c>
      <c r="B154" s="2" t="s">
        <v>203</v>
      </c>
      <c r="C154" s="2" t="s">
        <v>733</v>
      </c>
      <c r="D154" s="2" t="s">
        <v>741</v>
      </c>
      <c r="E154" s="367" t="s">
        <v>1072</v>
      </c>
      <c r="F154" s="359">
        <f>opex_det!BP$180</f>
        <v>1.04798695233956E-3</v>
      </c>
      <c r="G154" s="366">
        <f>labcap_sources!$F$28</f>
        <v>1</v>
      </c>
      <c r="H154" s="369">
        <f t="shared" si="97"/>
        <v>1.04798695233956E-3</v>
      </c>
      <c r="I154" s="357"/>
      <c r="J154" s="357">
        <f>labcap_sources!$G$28</f>
        <v>1.2621397850903708</v>
      </c>
      <c r="K154" s="369">
        <f t="shared" si="98"/>
        <v>1.322706026803365E-3</v>
      </c>
      <c r="L154" s="360"/>
      <c r="M154" s="357">
        <f>labcap_sources!$H$28</f>
        <v>1.4724964159387661</v>
      </c>
      <c r="N154" s="369">
        <f t="shared" si="99"/>
        <v>1.5431570312705925E-3</v>
      </c>
      <c r="O154" s="360"/>
    </row>
    <row r="155" spans="1:15" ht="15" customHeight="1" x14ac:dyDescent="0.25">
      <c r="A155" s="2" t="s">
        <v>944</v>
      </c>
      <c r="B155" s="2" t="s">
        <v>203</v>
      </c>
      <c r="C155" s="2" t="s">
        <v>733</v>
      </c>
      <c r="D155" s="2" t="s">
        <v>741</v>
      </c>
      <c r="E155" s="367" t="s">
        <v>1073</v>
      </c>
      <c r="F155" s="359">
        <f>opex_det!BP$181</f>
        <v>4.7685544881004099E-4</v>
      </c>
      <c r="G155" s="366">
        <f>labcap_sources!$F$28</f>
        <v>1</v>
      </c>
      <c r="H155" s="369">
        <f t="shared" si="97"/>
        <v>4.7685544881004099E-4</v>
      </c>
      <c r="I155" s="357"/>
      <c r="J155" s="357">
        <f>labcap_sources!$G$28</f>
        <v>1.2621397850903708</v>
      </c>
      <c r="K155" s="369">
        <f t="shared" si="98"/>
        <v>6.0185823368027742E-4</v>
      </c>
      <c r="L155" s="360"/>
      <c r="M155" s="357">
        <f>labcap_sources!$H$28</f>
        <v>1.4724964159387661</v>
      </c>
      <c r="N155" s="369">
        <f t="shared" si="99"/>
        <v>7.0216793929365714E-4</v>
      </c>
      <c r="O155" s="360"/>
    </row>
    <row r="156" spans="1:15" ht="15" customHeight="1" x14ac:dyDescent="0.25">
      <c r="A156" s="2" t="s">
        <v>944</v>
      </c>
      <c r="B156" s="2" t="s">
        <v>203</v>
      </c>
      <c r="C156" s="2" t="s">
        <v>734</v>
      </c>
      <c r="D156" s="2" t="s">
        <v>940</v>
      </c>
      <c r="E156" s="241" t="s">
        <v>372</v>
      </c>
      <c r="F156" s="362">
        <f>opex_det!BQ$169</f>
        <v>3.5207869768284182E-3</v>
      </c>
      <c r="G156" s="366">
        <f>labcap_sources!$F$35*labcap_sources!$F$32</f>
        <v>1</v>
      </c>
      <c r="H156" s="362">
        <f t="shared" si="97"/>
        <v>3.5207869768284182E-3</v>
      </c>
      <c r="I156" s="368">
        <f>H156/H$160*$F$160</f>
        <v>3.5207869768284182E-3</v>
      </c>
      <c r="J156" s="357">
        <f>labcap_sources!$G$35*labcap_sources!$G$32</f>
        <v>0.74578868648843388</v>
      </c>
      <c r="K156" s="362">
        <f>$H156*J156</f>
        <v>2.62576309485445E-3</v>
      </c>
      <c r="L156" s="368">
        <f>K156/K$160*$F$160</f>
        <v>2.5697554033681583E-3</v>
      </c>
      <c r="M156" s="357">
        <f>labcap_sources!$H$35*labcap_sources!$H$32</f>
        <v>0.62803257809552337</v>
      </c>
      <c r="N156" s="362">
        <f>$H156*M156</f>
        <v>2.2111689219826954E-3</v>
      </c>
      <c r="O156" s="368">
        <f>N156/N$160*$F$160</f>
        <v>2.2805798795124386E-3</v>
      </c>
    </row>
    <row r="157" spans="1:15" ht="15" customHeight="1" x14ac:dyDescent="0.25">
      <c r="A157" s="2" t="s">
        <v>944</v>
      </c>
      <c r="B157" s="2" t="s">
        <v>203</v>
      </c>
      <c r="C157" s="2" t="s">
        <v>734</v>
      </c>
      <c r="D157" s="2" t="s">
        <v>940</v>
      </c>
      <c r="E157" s="241" t="s">
        <v>373</v>
      </c>
      <c r="F157" s="362">
        <f>opex_det!BQ$170</f>
        <v>3.3284597839140645E-2</v>
      </c>
      <c r="G157" s="366">
        <f>labcap_sources!$F$35*labcap_sources!$F$33</f>
        <v>1</v>
      </c>
      <c r="H157" s="362">
        <f t="shared" ref="H157:H159" si="100">$F157*G157</f>
        <v>3.3284597839140645E-2</v>
      </c>
      <c r="I157" s="368">
        <f t="shared" ref="I157:I159" si="101">H157/H$160*$F$160</f>
        <v>3.3284597839140645E-2</v>
      </c>
      <c r="J157" s="357">
        <f>labcap_sources!$G$35*labcap_sources!$G$33</f>
        <v>0.88911526259656526</v>
      </c>
      <c r="K157" s="362">
        <f t="shared" ref="K157:K159" si="102">$H157*J157</f>
        <v>2.9593843948168604E-2</v>
      </c>
      <c r="L157" s="368">
        <f t="shared" ref="L157:L159" si="103">K157/K$160*$F$160</f>
        <v>2.896260540079525E-2</v>
      </c>
      <c r="M157" s="357">
        <f>labcap_sources!$H$35*labcap_sources!$H$33</f>
        <v>0.68930573407653517</v>
      </c>
      <c r="N157" s="362">
        <f t="shared" ref="N157:N159" si="104">$H157*M157</f>
        <v>2.2943264146951099E-2</v>
      </c>
      <c r="O157" s="368">
        <f t="shared" ref="O157:O159" si="105">N157/N$160*$F$160</f>
        <v>2.366347774866441E-2</v>
      </c>
    </row>
    <row r="158" spans="1:15" ht="15" customHeight="1" x14ac:dyDescent="0.25">
      <c r="A158" s="2" t="s">
        <v>944</v>
      </c>
      <c r="B158" s="2" t="s">
        <v>203</v>
      </c>
      <c r="C158" s="2" t="s">
        <v>734</v>
      </c>
      <c r="D158" s="2" t="s">
        <v>940</v>
      </c>
      <c r="E158" s="241" t="s">
        <v>374</v>
      </c>
      <c r="F158" s="362">
        <f>opex_det!BQ$171</f>
        <v>2.7015801943433899E-2</v>
      </c>
      <c r="G158" s="366">
        <f>labcap_sources!$F$35*labcap_sources!$F$34</f>
        <v>1</v>
      </c>
      <c r="H158" s="362">
        <f t="shared" si="100"/>
        <v>2.7015801943433899E-2</v>
      </c>
      <c r="I158" s="368">
        <f t="shared" si="101"/>
        <v>2.7015801943433899E-2</v>
      </c>
      <c r="J158" s="357">
        <f>labcap_sources!$G$35*labcap_sources!$G$34</f>
        <v>1.1990327958358522</v>
      </c>
      <c r="K158" s="362">
        <f t="shared" si="102"/>
        <v>3.2392832535983199E-2</v>
      </c>
      <c r="L158" s="368">
        <f t="shared" si="103"/>
        <v>3.1701891386494985E-2</v>
      </c>
      <c r="M158" s="357">
        <f>labcap_sources!$H$35*labcap_sources!$H$34</f>
        <v>1.177997132751013</v>
      </c>
      <c r="N158" s="362">
        <f t="shared" si="104"/>
        <v>3.1824537228334379E-2</v>
      </c>
      <c r="O158" s="368">
        <f t="shared" si="105"/>
        <v>3.2823543491491754E-2</v>
      </c>
    </row>
    <row r="159" spans="1:15" ht="15" customHeight="1" x14ac:dyDescent="0.25">
      <c r="A159" s="2" t="s">
        <v>944</v>
      </c>
      <c r="B159" s="2" t="s">
        <v>203</v>
      </c>
      <c r="C159" s="2" t="s">
        <v>734</v>
      </c>
      <c r="D159" s="2" t="s">
        <v>940</v>
      </c>
      <c r="E159" s="240" t="s">
        <v>375</v>
      </c>
      <c r="F159" s="362">
        <f>opex_det!BQ$172</f>
        <v>2.1263099567854278E-2</v>
      </c>
      <c r="G159" s="366">
        <f>labcap_sources!$F$36</f>
        <v>1</v>
      </c>
      <c r="H159" s="362">
        <f t="shared" si="100"/>
        <v>2.1263099567854278E-2</v>
      </c>
      <c r="I159" s="368">
        <f t="shared" si="101"/>
        <v>2.1263099567854278E-2</v>
      </c>
      <c r="J159" s="357">
        <f>labcap_sources!$G$36</f>
        <v>1.05</v>
      </c>
      <c r="K159" s="362">
        <f t="shared" si="102"/>
        <v>2.2326254546246992E-2</v>
      </c>
      <c r="L159" s="368">
        <f t="shared" si="103"/>
        <v>2.1850034136598827E-2</v>
      </c>
      <c r="M159" s="357">
        <f>labcap_sources!$H$36</f>
        <v>1.2</v>
      </c>
      <c r="N159" s="362">
        <f t="shared" si="104"/>
        <v>2.5515719481425132E-2</v>
      </c>
      <c r="O159" s="368">
        <f t="shared" si="105"/>
        <v>2.6316685207588637E-2</v>
      </c>
    </row>
    <row r="160" spans="1:15" ht="15" customHeight="1" x14ac:dyDescent="0.25">
      <c r="A160" s="2" t="s">
        <v>944</v>
      </c>
      <c r="B160" s="2" t="s">
        <v>203</v>
      </c>
      <c r="C160" s="2" t="s">
        <v>734</v>
      </c>
      <c r="D160" s="2" t="s">
        <v>940</v>
      </c>
      <c r="E160" s="19" t="s">
        <v>1077</v>
      </c>
      <c r="F160" s="363">
        <f>SUM(F156:F159)</f>
        <v>8.508428632725723E-2</v>
      </c>
      <c r="G160" s="366"/>
      <c r="H160" s="363">
        <f>SUM(H156:H159)</f>
        <v>8.508428632725723E-2</v>
      </c>
      <c r="I160" s="363">
        <f>SUM(I156:I159)</f>
        <v>8.508428632725723E-2</v>
      </c>
      <c r="J160" s="357"/>
      <c r="K160" s="363">
        <f>SUM(K156:K159)</f>
        <v>8.6938694125253249E-2</v>
      </c>
      <c r="L160" s="363">
        <f>SUM(L156:L159)</f>
        <v>8.508428632725723E-2</v>
      </c>
      <c r="M160" s="357"/>
      <c r="N160" s="363">
        <f>SUM(N156:N159)</f>
        <v>8.24946897786933E-2</v>
      </c>
      <c r="O160" s="363">
        <f>SUM(O156:O159)</f>
        <v>8.5084286327257244E-2</v>
      </c>
    </row>
    <row r="161" spans="1:15" ht="15" customHeight="1" x14ac:dyDescent="0.25">
      <c r="A161" s="2" t="s">
        <v>944</v>
      </c>
      <c r="B161" s="2" t="s">
        <v>203</v>
      </c>
      <c r="C161" s="2" t="s">
        <v>734</v>
      </c>
      <c r="D161" s="2" t="s">
        <v>940</v>
      </c>
      <c r="E161" s="367" t="s">
        <v>1068</v>
      </c>
      <c r="F161" s="359">
        <f>opex_det!BQ$176</f>
        <v>2.5293746933511603E-4</v>
      </c>
      <c r="G161" s="366">
        <f>labcap_sources!$F$32</f>
        <v>1</v>
      </c>
      <c r="H161" s="369">
        <f t="shared" ref="H161:H166" si="106">$F161*G161</f>
        <v>2.5293746933511603E-4</v>
      </c>
      <c r="I161" s="357"/>
      <c r="J161" s="357">
        <f>labcap_sources!$G$32</f>
        <v>0.78504072261940416</v>
      </c>
      <c r="K161" s="369">
        <f>$H161*J161</f>
        <v>1.9856621370436286E-4</v>
      </c>
      <c r="L161" s="360"/>
      <c r="M161" s="357">
        <f>labcap_sources!$H$32</f>
        <v>0.78504072261940416</v>
      </c>
      <c r="N161" s="369">
        <f>$H161*M161</f>
        <v>1.9856621370436286E-4</v>
      </c>
      <c r="O161" s="360"/>
    </row>
    <row r="162" spans="1:15" ht="15" customHeight="1" x14ac:dyDescent="0.25">
      <c r="A162" s="2" t="s">
        <v>944</v>
      </c>
      <c r="B162" s="2" t="s">
        <v>203</v>
      </c>
      <c r="C162" s="2" t="s">
        <v>734</v>
      </c>
      <c r="D162" s="2" t="s">
        <v>940</v>
      </c>
      <c r="E162" s="367" t="s">
        <v>1069</v>
      </c>
      <c r="F162" s="359">
        <f>opex_det!BQ$177</f>
        <v>3.1909017360691E-4</v>
      </c>
      <c r="G162" s="366">
        <f>labcap_sources!$F$32</f>
        <v>1</v>
      </c>
      <c r="H162" s="369">
        <f t="shared" si="106"/>
        <v>3.1909017360691E-4</v>
      </c>
      <c r="I162" s="357"/>
      <c r="J162" s="357">
        <f>labcap_sources!$G$32</f>
        <v>0.78504072261940416</v>
      </c>
      <c r="K162" s="369">
        <f t="shared" ref="K162:K166" si="107">$H162*J162</f>
        <v>2.5049878046911977E-4</v>
      </c>
      <c r="L162" s="360"/>
      <c r="M162" s="357">
        <f>labcap_sources!$H$32</f>
        <v>0.78504072261940416</v>
      </c>
      <c r="N162" s="369">
        <f t="shared" ref="N162:N166" si="108">$H162*M162</f>
        <v>2.5049878046911977E-4</v>
      </c>
      <c r="O162" s="360"/>
    </row>
    <row r="163" spans="1:15" ht="15" customHeight="1" x14ac:dyDescent="0.25">
      <c r="A163" s="2" t="s">
        <v>944</v>
      </c>
      <c r="B163" s="2" t="s">
        <v>203</v>
      </c>
      <c r="C163" s="2" t="s">
        <v>734</v>
      </c>
      <c r="D163" s="2" t="s">
        <v>940</v>
      </c>
      <c r="E163" s="367" t="s">
        <v>1070</v>
      </c>
      <c r="F163" s="359">
        <f>opex_det!BQ$178</f>
        <v>2.9886681459578802E-3</v>
      </c>
      <c r="G163" s="366">
        <f>labcap_sources!$F$33</f>
        <v>1</v>
      </c>
      <c r="H163" s="369">
        <f t="shared" si="106"/>
        <v>2.9886681459578802E-3</v>
      </c>
      <c r="I163" s="357"/>
      <c r="J163" s="357">
        <f>labcap_sources!$G$33</f>
        <v>0.93591080273322658</v>
      </c>
      <c r="K163" s="369">
        <f t="shared" si="107"/>
        <v>2.7971268035866638E-3</v>
      </c>
      <c r="L163" s="360"/>
      <c r="M163" s="357">
        <f>labcap_sources!$H$33</f>
        <v>0.86163216759566885</v>
      </c>
      <c r="N163" s="369">
        <f t="shared" si="108"/>
        <v>2.5751326128258169E-3</v>
      </c>
      <c r="O163" s="360"/>
    </row>
    <row r="164" spans="1:15" ht="15" customHeight="1" x14ac:dyDescent="0.25">
      <c r="A164" s="2" t="s">
        <v>944</v>
      </c>
      <c r="B164" s="2" t="s">
        <v>203</v>
      </c>
      <c r="C164" s="2" t="s">
        <v>734</v>
      </c>
      <c r="D164" s="2" t="s">
        <v>940</v>
      </c>
      <c r="E164" s="367" t="s">
        <v>1071</v>
      </c>
      <c r="F164" s="359">
        <f>opex_det!BQ$179</f>
        <v>1.32967601237896E-3</v>
      </c>
      <c r="G164" s="366">
        <f>labcap_sources!$F$33</f>
        <v>1</v>
      </c>
      <c r="H164" s="369">
        <f t="shared" si="106"/>
        <v>1.32967601237896E-3</v>
      </c>
      <c r="I164" s="357"/>
      <c r="J164" s="357">
        <f>labcap_sources!$G$33</f>
        <v>0.93591080273322658</v>
      </c>
      <c r="K164" s="369">
        <f t="shared" si="107"/>
        <v>1.2444581441207081E-3</v>
      </c>
      <c r="L164" s="360"/>
      <c r="M164" s="357">
        <f>labcap_sources!$H$33</f>
        <v>0.86163216759566885</v>
      </c>
      <c r="N164" s="369">
        <f t="shared" si="108"/>
        <v>1.1456916247460486E-3</v>
      </c>
      <c r="O164" s="360"/>
    </row>
    <row r="165" spans="1:15" ht="15" customHeight="1" x14ac:dyDescent="0.25">
      <c r="A165" s="2" t="s">
        <v>944</v>
      </c>
      <c r="B165" s="2" t="s">
        <v>203</v>
      </c>
      <c r="C165" s="2" t="s">
        <v>734</v>
      </c>
      <c r="D165" s="2" t="s">
        <v>940</v>
      </c>
      <c r="E165" s="367" t="s">
        <v>1072</v>
      </c>
      <c r="F165" s="359">
        <f>opex_det!BQ$180</f>
        <v>1.04798695233956E-3</v>
      </c>
      <c r="G165" s="366">
        <f>labcap_sources!$F$34</f>
        <v>1</v>
      </c>
      <c r="H165" s="369">
        <f t="shared" si="106"/>
        <v>1.04798695233956E-3</v>
      </c>
      <c r="I165" s="357"/>
      <c r="J165" s="357">
        <f>labcap_sources!$G$34</f>
        <v>1.2621397850903708</v>
      </c>
      <c r="K165" s="369">
        <f t="shared" si="107"/>
        <v>1.322706026803365E-3</v>
      </c>
      <c r="L165" s="360"/>
      <c r="M165" s="357">
        <f>labcap_sources!$H$34</f>
        <v>1.4724964159387661</v>
      </c>
      <c r="N165" s="369">
        <f t="shared" si="108"/>
        <v>1.5431570312705925E-3</v>
      </c>
      <c r="O165" s="360"/>
    </row>
    <row r="166" spans="1:15" ht="15" customHeight="1" x14ac:dyDescent="0.25">
      <c r="A166" s="2" t="s">
        <v>944</v>
      </c>
      <c r="B166" s="2" t="s">
        <v>203</v>
      </c>
      <c r="C166" s="2" t="s">
        <v>734</v>
      </c>
      <c r="D166" s="2" t="s">
        <v>940</v>
      </c>
      <c r="E166" s="367" t="s">
        <v>1073</v>
      </c>
      <c r="F166" s="359">
        <f>opex_det!BQ$181</f>
        <v>4.7685544881004099E-4</v>
      </c>
      <c r="G166" s="366">
        <f>labcap_sources!$F$34</f>
        <v>1</v>
      </c>
      <c r="H166" s="369">
        <f t="shared" si="106"/>
        <v>4.7685544881004099E-4</v>
      </c>
      <c r="I166" s="357"/>
      <c r="J166" s="357">
        <f>labcap_sources!$G$34</f>
        <v>1.2621397850903708</v>
      </c>
      <c r="K166" s="369">
        <f t="shared" si="107"/>
        <v>6.0185823368027742E-4</v>
      </c>
      <c r="L166" s="360"/>
      <c r="M166" s="357">
        <f>labcap_sources!$H$34</f>
        <v>1.4724964159387661</v>
      </c>
      <c r="N166" s="369">
        <f t="shared" si="108"/>
        <v>7.0216793929365714E-4</v>
      </c>
      <c r="O166" s="360"/>
    </row>
    <row r="167" spans="1:15" x14ac:dyDescent="0.25">
      <c r="A167" s="2" t="s">
        <v>919</v>
      </c>
      <c r="B167" s="1" t="s">
        <v>139</v>
      </c>
      <c r="C167" s="2" t="s">
        <v>737</v>
      </c>
      <c r="D167" s="2" t="s">
        <v>817</v>
      </c>
      <c r="E167" s="241" t="s">
        <v>372</v>
      </c>
      <c r="F167" s="362">
        <f>opex_det!AB$169</f>
        <v>2.0894772559803799E-3</v>
      </c>
      <c r="G167" s="366">
        <f>labcap_sources!$F$41*labcap_sources!$F$38</f>
        <v>1</v>
      </c>
      <c r="H167" s="362">
        <f>$F167*G167</f>
        <v>2.0894772559803799E-3</v>
      </c>
      <c r="I167" s="368">
        <f>H167/H$171*$F$171</f>
        <v>2.0894772559803799E-3</v>
      </c>
      <c r="J167" s="357">
        <f>labcap_sources!$G$41*labcap_sources!$G$38</f>
        <v>0.68395639991424151</v>
      </c>
      <c r="K167" s="362">
        <f>$H167*J167</f>
        <v>1.4291113417030286E-3</v>
      </c>
      <c r="L167" s="368">
        <f>K167/K$171*$F$171</f>
        <v>1.3952645202779707E-3</v>
      </c>
      <c r="M167" s="357">
        <f>labcap_sources!$H$41*labcap_sources!$H$38</f>
        <v>0.41140234581307755</v>
      </c>
      <c r="N167" s="362">
        <f>$H167*M167</f>
        <v>8.5961584463340064E-4</v>
      </c>
      <c r="O167" s="368">
        <f>N167/N$171*$F$171</f>
        <v>8.5313040984061773E-4</v>
      </c>
    </row>
    <row r="168" spans="1:15" x14ac:dyDescent="0.25">
      <c r="A168" s="2" t="s">
        <v>919</v>
      </c>
      <c r="B168" s="1" t="s">
        <v>139</v>
      </c>
      <c r="C168" s="2" t="s">
        <v>737</v>
      </c>
      <c r="D168" s="2" t="s">
        <v>817</v>
      </c>
      <c r="E168" s="241" t="s">
        <v>373</v>
      </c>
      <c r="F168" s="362">
        <f>opex_det!AB$170</f>
        <v>1.9118201818306101E-2</v>
      </c>
      <c r="G168" s="366">
        <f>labcap_sources!$F$41*labcap_sources!$F$39</f>
        <v>1</v>
      </c>
      <c r="H168" s="362">
        <f t="shared" ref="H168:H170" si="109">$F168*G168</f>
        <v>1.9118201818306101E-2</v>
      </c>
      <c r="I168" s="368">
        <f t="shared" ref="I168:I170" si="110">H168/H$171*$F$171</f>
        <v>1.9118201818306101E-2</v>
      </c>
      <c r="J168" s="357">
        <f>labcap_sources!$G$41*labcap_sources!$G$39</f>
        <v>0.9013944906182233</v>
      </c>
      <c r="K168" s="362">
        <f t="shared" ref="K168:K170" si="111">$H168*J168</f>
        <v>1.7233041789548417E-2</v>
      </c>
      <c r="L168" s="368">
        <f t="shared" ref="L168:L170" si="112">K168/K$171*$F$171</f>
        <v>1.6824897461642993E-2</v>
      </c>
      <c r="M168" s="357">
        <f>labcap_sources!$H$41*labcap_sources!$H$39</f>
        <v>0.6867767547567416</v>
      </c>
      <c r="N168" s="362">
        <f t="shared" ref="N168:N170" si="113">$H168*M168</f>
        <v>1.3129936601560701E-2</v>
      </c>
      <c r="O168" s="368">
        <f t="shared" ref="O168:O170" si="114">N168/N$171*$F$171</f>
        <v>1.3030876831787483E-2</v>
      </c>
    </row>
    <row r="169" spans="1:15" x14ac:dyDescent="0.25">
      <c r="A169" s="2" t="s">
        <v>919</v>
      </c>
      <c r="B169" s="1" t="s">
        <v>139</v>
      </c>
      <c r="C169" s="2" t="s">
        <v>737</v>
      </c>
      <c r="D169" s="2" t="s">
        <v>817</v>
      </c>
      <c r="E169" s="241" t="s">
        <v>374</v>
      </c>
      <c r="F169" s="362">
        <f>opex_det!AB$171</f>
        <v>1.55030910219837E-2</v>
      </c>
      <c r="G169" s="366">
        <f>labcap_sources!$F$41*labcap_sources!$F$40</f>
        <v>1</v>
      </c>
      <c r="H169" s="362">
        <f t="shared" si="109"/>
        <v>1.55030910219837E-2</v>
      </c>
      <c r="I169" s="368">
        <f t="shared" si="110"/>
        <v>1.5503091021983701E-2</v>
      </c>
      <c r="J169" s="357">
        <f>labcap_sources!$G$41*labcap_sources!$G$40</f>
        <v>1.1934655386790323</v>
      </c>
      <c r="K169" s="362">
        <f t="shared" si="111"/>
        <v>1.8502404877741845E-2</v>
      </c>
      <c r="L169" s="368">
        <f t="shared" si="112"/>
        <v>1.8064197177924162E-2</v>
      </c>
      <c r="M169" s="357">
        <f>labcap_sources!$H$41*labcap_sources!$H$40</f>
        <v>1.2730299079243013</v>
      </c>
      <c r="N169" s="362">
        <f t="shared" si="113"/>
        <v>1.973589853625797E-2</v>
      </c>
      <c r="O169" s="368">
        <f t="shared" si="114"/>
        <v>1.958699960212017E-2</v>
      </c>
    </row>
    <row r="170" spans="1:15" x14ac:dyDescent="0.25">
      <c r="A170" s="2" t="s">
        <v>919</v>
      </c>
      <c r="B170" s="1" t="s">
        <v>139</v>
      </c>
      <c r="C170" s="2" t="s">
        <v>737</v>
      </c>
      <c r="D170" s="2" t="s">
        <v>817</v>
      </c>
      <c r="E170" s="240" t="s">
        <v>375</v>
      </c>
      <c r="F170" s="362">
        <f>opex_det!AB$172</f>
        <v>1.6966862703751199E-2</v>
      </c>
      <c r="G170" s="366">
        <f>labcap_sources!$F$42</f>
        <v>1</v>
      </c>
      <c r="H170" s="362">
        <f t="shared" si="109"/>
        <v>1.6966862703751199E-2</v>
      </c>
      <c r="I170" s="368">
        <f t="shared" si="110"/>
        <v>1.6966862703751199E-2</v>
      </c>
      <c r="J170" s="357">
        <f>labcap_sources!$G$42</f>
        <v>1.05</v>
      </c>
      <c r="K170" s="362">
        <f t="shared" si="111"/>
        <v>1.7815205838938759E-2</v>
      </c>
      <c r="L170" s="368">
        <f t="shared" si="112"/>
        <v>1.7393273640176246E-2</v>
      </c>
      <c r="M170" s="357">
        <f>labcap_sources!$H$42</f>
        <v>1.2</v>
      </c>
      <c r="N170" s="362">
        <f t="shared" si="113"/>
        <v>2.0360235244501437E-2</v>
      </c>
      <c r="O170" s="368">
        <f t="shared" si="114"/>
        <v>2.0206625956273105E-2</v>
      </c>
    </row>
    <row r="171" spans="1:15" x14ac:dyDescent="0.25">
      <c r="A171" s="2" t="s">
        <v>919</v>
      </c>
      <c r="B171" s="1" t="s">
        <v>139</v>
      </c>
      <c r="C171" s="2" t="s">
        <v>737</v>
      </c>
      <c r="D171" s="2" t="s">
        <v>817</v>
      </c>
      <c r="E171" s="19" t="s">
        <v>1077</v>
      </c>
      <c r="F171" s="363">
        <f>SUM(F167:F170)</f>
        <v>5.3677632800021371E-2</v>
      </c>
      <c r="G171" s="366"/>
      <c r="H171" s="363">
        <f>SUM(H167:H170)</f>
        <v>5.3677632800021371E-2</v>
      </c>
      <c r="I171" s="363">
        <f>SUM(I167:I170)</f>
        <v>5.3677632800021385E-2</v>
      </c>
      <c r="J171" s="357"/>
      <c r="K171" s="363">
        <f>SUM(K167:K170)</f>
        <v>5.4979763847932052E-2</v>
      </c>
      <c r="L171" s="363">
        <f>SUM(L167:L170)</f>
        <v>5.3677632800021371E-2</v>
      </c>
      <c r="M171" s="357"/>
      <c r="N171" s="363">
        <f>SUM(N167:N170)</f>
        <v>5.4085686226953505E-2</v>
      </c>
      <c r="O171" s="363">
        <f>SUM(O167:O170)</f>
        <v>5.3677632800021371E-2</v>
      </c>
    </row>
    <row r="172" spans="1:15" x14ac:dyDescent="0.25">
      <c r="A172" s="2" t="s">
        <v>919</v>
      </c>
      <c r="B172" s="1" t="s">
        <v>139</v>
      </c>
      <c r="C172" s="2" t="s">
        <v>737</v>
      </c>
      <c r="D172" s="2" t="s">
        <v>817</v>
      </c>
      <c r="E172" s="367" t="s">
        <v>1068</v>
      </c>
      <c r="F172" s="359">
        <f>opex_det!AB$176</f>
        <v>6.8416599191246001E-3</v>
      </c>
      <c r="G172" s="366">
        <f>labcap_sources!$F$38</f>
        <v>1</v>
      </c>
      <c r="H172" s="369">
        <f t="shared" ref="H172:H178" si="115">$F172*G172</f>
        <v>6.8416599191246001E-3</v>
      </c>
      <c r="I172" s="357"/>
      <c r="J172" s="357">
        <f>labcap_sources!$G$38</f>
        <v>0.71995410517288583</v>
      </c>
      <c r="K172" s="369">
        <f>$H172*J172</f>
        <v>4.9256811449705498E-3</v>
      </c>
      <c r="L172" s="360"/>
      <c r="M172" s="357">
        <f>labcap_sources!$H$38</f>
        <v>0.51425293226634694</v>
      </c>
      <c r="N172" s="369">
        <f>$H172*M172</f>
        <v>3.5183436749789635E-3</v>
      </c>
      <c r="O172" s="360"/>
    </row>
    <row r="173" spans="1:15" x14ac:dyDescent="0.25">
      <c r="A173" s="2" t="s">
        <v>919</v>
      </c>
      <c r="B173" s="1" t="s">
        <v>139</v>
      </c>
      <c r="C173" s="2" t="s">
        <v>737</v>
      </c>
      <c r="D173" s="2" t="s">
        <v>817</v>
      </c>
      <c r="E173" s="367" t="s">
        <v>1069</v>
      </c>
      <c r="F173" s="359">
        <f>opex_det!AB$177</f>
        <v>9.8085617875942298E-3</v>
      </c>
      <c r="G173" s="366">
        <f>labcap_sources!$F$38</f>
        <v>1</v>
      </c>
      <c r="H173" s="369">
        <f t="shared" si="115"/>
        <v>9.8085617875942298E-3</v>
      </c>
      <c r="I173" s="357"/>
      <c r="J173" s="357">
        <f>labcap_sources!$G$38</f>
        <v>0.71995410517288583</v>
      </c>
      <c r="K173" s="369">
        <f t="shared" ref="K173:K177" si="116">$H173*J173</f>
        <v>7.0617143248203652E-3</v>
      </c>
      <c r="L173" s="360"/>
      <c r="M173" s="357">
        <f>labcap_sources!$H$38</f>
        <v>0.51425293226634694</v>
      </c>
      <c r="N173" s="369">
        <f t="shared" ref="N173:N177" si="117">$H173*M173</f>
        <v>5.0440816605859745E-3</v>
      </c>
      <c r="O173" s="360"/>
    </row>
    <row r="174" spans="1:15" x14ac:dyDescent="0.25">
      <c r="A174" s="2" t="s">
        <v>919</v>
      </c>
      <c r="B174" s="1" t="s">
        <v>139</v>
      </c>
      <c r="C174" s="2" t="s">
        <v>737</v>
      </c>
      <c r="D174" s="2" t="s">
        <v>817</v>
      </c>
      <c r="E174" s="367" t="s">
        <v>1070</v>
      </c>
      <c r="F174" s="359">
        <f>opex_det!AB$178</f>
        <v>7.28309686749712E-2</v>
      </c>
      <c r="G174" s="366">
        <f>labcap_sources!$F$39</f>
        <v>1</v>
      </c>
      <c r="H174" s="369">
        <f t="shared" si="115"/>
        <v>7.28309686749712E-2</v>
      </c>
      <c r="I174" s="357"/>
      <c r="J174" s="357">
        <f>labcap_sources!$G$39</f>
        <v>0.94883630591391932</v>
      </c>
      <c r="K174" s="369">
        <f t="shared" si="116"/>
        <v>6.910466727369205E-2</v>
      </c>
      <c r="L174" s="360"/>
      <c r="M174" s="357">
        <f>labcap_sources!$H$39</f>
        <v>0.85847094344592689</v>
      </c>
      <c r="N174" s="369">
        <f t="shared" si="117"/>
        <v>6.2523270390483277E-2</v>
      </c>
      <c r="O174" s="360"/>
    </row>
    <row r="175" spans="1:15" x14ac:dyDescent="0.25">
      <c r="A175" s="2" t="s">
        <v>919</v>
      </c>
      <c r="B175" s="1" t="s">
        <v>139</v>
      </c>
      <c r="C175" s="2" t="s">
        <v>737</v>
      </c>
      <c r="D175" s="2" t="s">
        <v>817</v>
      </c>
      <c r="E175" s="367" t="s">
        <v>1071</v>
      </c>
      <c r="F175" s="359">
        <f>opex_det!AB$179</f>
        <v>4.08731148861965E-2</v>
      </c>
      <c r="G175" s="366">
        <f>labcap_sources!$F$39</f>
        <v>1</v>
      </c>
      <c r="H175" s="369">
        <f t="shared" si="115"/>
        <v>4.08731148861965E-2</v>
      </c>
      <c r="I175" s="357"/>
      <c r="J175" s="357">
        <f>labcap_sources!$G$39</f>
        <v>0.94883630591391932</v>
      </c>
      <c r="K175" s="369">
        <f t="shared" si="116"/>
        <v>3.878189533981391E-2</v>
      </c>
      <c r="L175" s="360"/>
      <c r="M175" s="357">
        <f>labcap_sources!$H$39</f>
        <v>0.85847094344592689</v>
      </c>
      <c r="N175" s="369">
        <f t="shared" si="117"/>
        <v>3.5088381497926868E-2</v>
      </c>
      <c r="O175" s="360"/>
    </row>
    <row r="176" spans="1:15" x14ac:dyDescent="0.25">
      <c r="A176" s="2" t="s">
        <v>919</v>
      </c>
      <c r="B176" s="1" t="s">
        <v>139</v>
      </c>
      <c r="C176" s="2" t="s">
        <v>737</v>
      </c>
      <c r="D176" s="2" t="s">
        <v>817</v>
      </c>
      <c r="E176" s="367" t="s">
        <v>1072</v>
      </c>
      <c r="F176" s="359">
        <f>opex_det!AB$180</f>
        <v>2.84545258168175E-2</v>
      </c>
      <c r="G176" s="366">
        <f>labcap_sources!$F$40</f>
        <v>1</v>
      </c>
      <c r="H176" s="369">
        <f t="shared" si="115"/>
        <v>2.84545258168175E-2</v>
      </c>
      <c r="I176" s="357"/>
      <c r="J176" s="357">
        <f>labcap_sources!$G$40</f>
        <v>1.2562795143989813</v>
      </c>
      <c r="K176" s="369">
        <f t="shared" si="116"/>
        <v>3.5746837875604766E-2</v>
      </c>
      <c r="L176" s="360"/>
      <c r="M176" s="357">
        <f>labcap_sources!$H$40</f>
        <v>1.5912873849053766</v>
      </c>
      <c r="N176" s="369">
        <f t="shared" si="117"/>
        <v>4.5279327975766046E-2</v>
      </c>
      <c r="O176" s="360"/>
    </row>
    <row r="177" spans="1:15" x14ac:dyDescent="0.25">
      <c r="A177" s="2" t="s">
        <v>919</v>
      </c>
      <c r="B177" s="1" t="s">
        <v>139</v>
      </c>
      <c r="C177" s="2" t="s">
        <v>737</v>
      </c>
      <c r="D177" s="2" t="s">
        <v>817</v>
      </c>
      <c r="E177" s="367" t="s">
        <v>1073</v>
      </c>
      <c r="F177" s="359">
        <f>opex_det!AB$181</f>
        <v>1.2439681995484699E-2</v>
      </c>
      <c r="G177" s="366">
        <f>labcap_sources!$F$40</f>
        <v>1</v>
      </c>
      <c r="H177" s="369">
        <f t="shared" si="115"/>
        <v>1.2439681995484699E-2</v>
      </c>
      <c r="I177" s="357"/>
      <c r="J177" s="357">
        <f>labcap_sources!$G$40</f>
        <v>1.2562795143989813</v>
      </c>
      <c r="K177" s="369">
        <f t="shared" si="116"/>
        <v>1.562771765656527E-2</v>
      </c>
      <c r="L177" s="360"/>
      <c r="M177" s="357">
        <f>labcap_sources!$H$40</f>
        <v>1.5912873849053766</v>
      </c>
      <c r="N177" s="369">
        <f t="shared" si="117"/>
        <v>1.9795109031649345E-2</v>
      </c>
      <c r="O177" s="360"/>
    </row>
    <row r="178" spans="1:15" x14ac:dyDescent="0.25">
      <c r="A178" s="2" t="s">
        <v>919</v>
      </c>
      <c r="B178" s="1" t="s">
        <v>139</v>
      </c>
      <c r="C178" s="2" t="s">
        <v>738</v>
      </c>
      <c r="D178" s="2" t="s">
        <v>819</v>
      </c>
      <c r="E178" s="241" t="s">
        <v>372</v>
      </c>
      <c r="F178" s="362">
        <f>opex_det!AC$169</f>
        <v>3.1649320574649751E-3</v>
      </c>
      <c r="G178" s="366">
        <f>labcap_sources!$F$47*labcap_sources!$F$44</f>
        <v>1</v>
      </c>
      <c r="H178" s="362">
        <f t="shared" si="115"/>
        <v>3.1649320574649751E-3</v>
      </c>
      <c r="I178" s="368">
        <f>H178/H$182*$F$182</f>
        <v>3.1649320574649751E-3</v>
      </c>
      <c r="J178" s="357">
        <f>labcap_sources!$G$47*labcap_sources!$G$44</f>
        <v>0.68395639991424151</v>
      </c>
      <c r="K178" s="362">
        <f>$H178*J178</f>
        <v>2.1646755359969179E-3</v>
      </c>
      <c r="L178" s="368">
        <f>K178/K$182*$F$182</f>
        <v>2.1129729098605774E-3</v>
      </c>
      <c r="M178" s="357">
        <f>labcap_sources!$H$47*labcap_sources!$H$44</f>
        <v>0.41140234581307755</v>
      </c>
      <c r="N178" s="362">
        <f>$H178*M178</f>
        <v>1.3020604727801007E-3</v>
      </c>
      <c r="O178" s="368">
        <f>N178/N$182*$F$182</f>
        <v>1.290219656479579E-3</v>
      </c>
    </row>
    <row r="179" spans="1:15" x14ac:dyDescent="0.25">
      <c r="A179" s="2" t="s">
        <v>919</v>
      </c>
      <c r="B179" s="1" t="s">
        <v>139</v>
      </c>
      <c r="C179" s="2" t="s">
        <v>738</v>
      </c>
      <c r="D179" s="2" t="s">
        <v>819</v>
      </c>
      <c r="E179" s="241" t="s">
        <v>373</v>
      </c>
      <c r="F179" s="362">
        <f>opex_det!AC$170</f>
        <v>2.8958348143134957E-2</v>
      </c>
      <c r="G179" s="366">
        <f>labcap_sources!$F$47*labcap_sources!$F$45</f>
        <v>1</v>
      </c>
      <c r="H179" s="362">
        <f t="shared" ref="H179:H181" si="118">$F179*G179</f>
        <v>2.8958348143134957E-2</v>
      </c>
      <c r="I179" s="368">
        <f t="shared" ref="I179:I181" si="119">H179/H$182*$F$182</f>
        <v>2.8958348143134957E-2</v>
      </c>
      <c r="J179" s="357">
        <f>labcap_sources!$G$47*labcap_sources!$G$45</f>
        <v>0.9013944906182233</v>
      </c>
      <c r="K179" s="362">
        <f t="shared" ref="K179:K181" si="120">$H179*J179</f>
        <v>2.6102895473626306E-2</v>
      </c>
      <c r="L179" s="368">
        <f t="shared" ref="L179:L181" si="121">K179/K$182*$F$182</f>
        <v>2.5479435641745617E-2</v>
      </c>
      <c r="M179" s="357">
        <f>labcap_sources!$H$47*labcap_sources!$H$45</f>
        <v>0.6867767547567416</v>
      </c>
      <c r="N179" s="362">
        <f t="shared" ref="N179:N181" si="122">$H179*M179</f>
        <v>1.9887920360858138E-2</v>
      </c>
      <c r="O179" s="368">
        <f t="shared" ref="O179:O181" si="123">N179/N$182*$F$182</f>
        <v>1.9707061471032905E-2</v>
      </c>
    </row>
    <row r="180" spans="1:15" x14ac:dyDescent="0.25">
      <c r="A180" s="2" t="s">
        <v>919</v>
      </c>
      <c r="B180" s="1" t="s">
        <v>139</v>
      </c>
      <c r="C180" s="2" t="s">
        <v>738</v>
      </c>
      <c r="D180" s="2" t="s">
        <v>819</v>
      </c>
      <c r="E180" s="241" t="s">
        <v>374</v>
      </c>
      <c r="F180" s="362">
        <f>opex_det!AC$171</f>
        <v>2.3482538335767546E-2</v>
      </c>
      <c r="G180" s="366">
        <f>labcap_sources!$F$47*labcap_sources!$F$46</f>
        <v>1</v>
      </c>
      <c r="H180" s="362">
        <f t="shared" si="118"/>
        <v>2.3482538335767546E-2</v>
      </c>
      <c r="I180" s="368">
        <f t="shared" si="119"/>
        <v>2.3482538335767543E-2</v>
      </c>
      <c r="J180" s="357">
        <f>labcap_sources!$G$47*labcap_sources!$G$46</f>
        <v>1.1934655386790323</v>
      </c>
      <c r="K180" s="362">
        <f t="shared" si="120"/>
        <v>2.802560026444784E-2</v>
      </c>
      <c r="L180" s="368">
        <f t="shared" si="121"/>
        <v>2.7356217205128534E-2</v>
      </c>
      <c r="M180" s="357">
        <f>labcap_sources!$H$47*labcap_sources!$H$46</f>
        <v>1.2730299079243013</v>
      </c>
      <c r="N180" s="362">
        <f t="shared" si="122"/>
        <v>2.9893973615411035E-2</v>
      </c>
      <c r="O180" s="368">
        <f t="shared" si="123"/>
        <v>2.9622120612057861E-2</v>
      </c>
    </row>
    <row r="181" spans="1:15" x14ac:dyDescent="0.25">
      <c r="A181" s="2" t="s">
        <v>919</v>
      </c>
      <c r="B181" s="1" t="s">
        <v>139</v>
      </c>
      <c r="C181" s="2" t="s">
        <v>738</v>
      </c>
      <c r="D181" s="2" t="s">
        <v>819</v>
      </c>
      <c r="E181" s="240" t="s">
        <v>375</v>
      </c>
      <c r="F181" s="362">
        <f>opex_det!AC$172</f>
        <v>2.6370975087125798E-2</v>
      </c>
      <c r="G181" s="366">
        <f>labcap_sources!$F$48</f>
        <v>1</v>
      </c>
      <c r="H181" s="362">
        <f t="shared" si="118"/>
        <v>2.6370975087125798E-2</v>
      </c>
      <c r="I181" s="368">
        <f t="shared" si="119"/>
        <v>2.6370975087125798E-2</v>
      </c>
      <c r="J181" s="357">
        <f>labcap_sources!$G$48</f>
        <v>1.05</v>
      </c>
      <c r="K181" s="362">
        <f t="shared" si="120"/>
        <v>2.7689523841482089E-2</v>
      </c>
      <c r="L181" s="368">
        <f t="shared" si="121"/>
        <v>2.7028167866758549E-2</v>
      </c>
      <c r="M181" s="357">
        <f>labcap_sources!$H$48</f>
        <v>1.2</v>
      </c>
      <c r="N181" s="362">
        <f t="shared" si="122"/>
        <v>3.1645170104550958E-2</v>
      </c>
      <c r="O181" s="368">
        <f t="shared" si="123"/>
        <v>3.1357391883922926E-2</v>
      </c>
    </row>
    <row r="182" spans="1:15" x14ac:dyDescent="0.25">
      <c r="A182" s="2" t="s">
        <v>919</v>
      </c>
      <c r="B182" s="1" t="s">
        <v>139</v>
      </c>
      <c r="C182" s="2" t="s">
        <v>738</v>
      </c>
      <c r="D182" s="2" t="s">
        <v>819</v>
      </c>
      <c r="E182" s="19" t="s">
        <v>1077</v>
      </c>
      <c r="F182" s="363">
        <f>SUM(F178:F181)</f>
        <v>8.1976793623493277E-2</v>
      </c>
      <c r="G182" s="366"/>
      <c r="H182" s="363">
        <f>SUM(H178:H181)</f>
        <v>8.1976793623493277E-2</v>
      </c>
      <c r="I182" s="363">
        <f>SUM(I178:I181)</f>
        <v>8.1976793623493277E-2</v>
      </c>
      <c r="J182" s="357"/>
      <c r="K182" s="363">
        <f>SUM(K178:K181)</f>
        <v>8.3982695115553146E-2</v>
      </c>
      <c r="L182" s="363">
        <f>SUM(L178:L181)</f>
        <v>8.1976793623493277E-2</v>
      </c>
      <c r="M182" s="357"/>
      <c r="N182" s="363">
        <f>SUM(N178:N181)</f>
        <v>8.2729124553600236E-2</v>
      </c>
      <c r="O182" s="363">
        <f>SUM(O178:O181)</f>
        <v>8.1976793623493277E-2</v>
      </c>
    </row>
    <row r="183" spans="1:15" x14ac:dyDescent="0.25">
      <c r="A183" s="2" t="s">
        <v>919</v>
      </c>
      <c r="B183" s="1" t="s">
        <v>139</v>
      </c>
      <c r="C183" s="2" t="s">
        <v>738</v>
      </c>
      <c r="D183" s="2" t="s">
        <v>819</v>
      </c>
      <c r="E183" s="367" t="s">
        <v>1068</v>
      </c>
      <c r="F183" s="359">
        <f>opex_det!AC$176</f>
        <v>6.8416599191246001E-3</v>
      </c>
      <c r="G183" s="366">
        <f>labcap_sources!$F$44</f>
        <v>1</v>
      </c>
      <c r="H183" s="369">
        <f t="shared" ref="H183:H189" si="124">$F183*G183</f>
        <v>6.8416599191246001E-3</v>
      </c>
      <c r="I183" s="357"/>
      <c r="J183" s="357">
        <f>labcap_sources!$G$44</f>
        <v>0.71995410517288583</v>
      </c>
      <c r="K183" s="369">
        <f>$H183*J183</f>
        <v>4.9256811449705498E-3</v>
      </c>
      <c r="L183" s="360"/>
      <c r="M183" s="357">
        <f>labcap_sources!$H$44</f>
        <v>0.51425293226634694</v>
      </c>
      <c r="N183" s="369">
        <f>$H183*M183</f>
        <v>3.5183436749789635E-3</v>
      </c>
      <c r="O183" s="360"/>
    </row>
    <row r="184" spans="1:15" x14ac:dyDescent="0.25">
      <c r="A184" s="2" t="s">
        <v>919</v>
      </c>
      <c r="B184" s="1" t="s">
        <v>139</v>
      </c>
      <c r="C184" s="2" t="s">
        <v>738</v>
      </c>
      <c r="D184" s="2" t="s">
        <v>819</v>
      </c>
      <c r="E184" s="367" t="s">
        <v>1069</v>
      </c>
      <c r="F184" s="359">
        <f>opex_det!AC$177</f>
        <v>9.8085617875942298E-3</v>
      </c>
      <c r="G184" s="366">
        <f>labcap_sources!$F$44</f>
        <v>1</v>
      </c>
      <c r="H184" s="369">
        <f t="shared" si="124"/>
        <v>9.8085617875942298E-3</v>
      </c>
      <c r="I184" s="357"/>
      <c r="J184" s="357">
        <f>labcap_sources!$G$44</f>
        <v>0.71995410517288583</v>
      </c>
      <c r="K184" s="369">
        <f t="shared" ref="K184:K188" si="125">$H184*J184</f>
        <v>7.0617143248203652E-3</v>
      </c>
      <c r="L184" s="360"/>
      <c r="M184" s="357">
        <f>labcap_sources!$H$44</f>
        <v>0.51425293226634694</v>
      </c>
      <c r="N184" s="369">
        <f t="shared" ref="N184:N188" si="126">$H184*M184</f>
        <v>5.0440816605859745E-3</v>
      </c>
      <c r="O184" s="360"/>
    </row>
    <row r="185" spans="1:15" x14ac:dyDescent="0.25">
      <c r="A185" s="2" t="s">
        <v>919</v>
      </c>
      <c r="B185" s="1" t="s">
        <v>139</v>
      </c>
      <c r="C185" s="2" t="s">
        <v>738</v>
      </c>
      <c r="D185" s="2" t="s">
        <v>819</v>
      </c>
      <c r="E185" s="367" t="s">
        <v>1070</v>
      </c>
      <c r="F185" s="359">
        <f>opex_det!AC$178</f>
        <v>7.28309686749712E-2</v>
      </c>
      <c r="G185" s="366">
        <f>labcap_sources!$F$45</f>
        <v>1</v>
      </c>
      <c r="H185" s="369">
        <f t="shared" si="124"/>
        <v>7.28309686749712E-2</v>
      </c>
      <c r="I185" s="357"/>
      <c r="J185" s="357">
        <f>labcap_sources!$G$45</f>
        <v>0.94883630591391932</v>
      </c>
      <c r="K185" s="369">
        <f t="shared" si="125"/>
        <v>6.910466727369205E-2</v>
      </c>
      <c r="L185" s="360"/>
      <c r="M185" s="357">
        <f>labcap_sources!$H$45</f>
        <v>0.85847094344592689</v>
      </c>
      <c r="N185" s="369">
        <f t="shared" si="126"/>
        <v>6.2523270390483277E-2</v>
      </c>
      <c r="O185" s="360"/>
    </row>
    <row r="186" spans="1:15" x14ac:dyDescent="0.25">
      <c r="A186" s="2" t="s">
        <v>919</v>
      </c>
      <c r="B186" s="1" t="s">
        <v>139</v>
      </c>
      <c r="C186" s="2" t="s">
        <v>738</v>
      </c>
      <c r="D186" s="2" t="s">
        <v>819</v>
      </c>
      <c r="E186" s="367" t="s">
        <v>1071</v>
      </c>
      <c r="F186" s="359">
        <f>opex_det!AC$179</f>
        <v>4.08731148861965E-2</v>
      </c>
      <c r="G186" s="366">
        <f>labcap_sources!$F$45</f>
        <v>1</v>
      </c>
      <c r="H186" s="369">
        <f t="shared" si="124"/>
        <v>4.08731148861965E-2</v>
      </c>
      <c r="I186" s="357"/>
      <c r="J186" s="357">
        <f>labcap_sources!$G$45</f>
        <v>0.94883630591391932</v>
      </c>
      <c r="K186" s="369">
        <f t="shared" si="125"/>
        <v>3.878189533981391E-2</v>
      </c>
      <c r="L186" s="360"/>
      <c r="M186" s="357">
        <f>labcap_sources!$H$45</f>
        <v>0.85847094344592689</v>
      </c>
      <c r="N186" s="369">
        <f t="shared" si="126"/>
        <v>3.5088381497926868E-2</v>
      </c>
      <c r="O186" s="360"/>
    </row>
    <row r="187" spans="1:15" x14ac:dyDescent="0.25">
      <c r="A187" s="2" t="s">
        <v>919</v>
      </c>
      <c r="B187" s="1" t="s">
        <v>139</v>
      </c>
      <c r="C187" s="2" t="s">
        <v>738</v>
      </c>
      <c r="D187" s="2" t="s">
        <v>819</v>
      </c>
      <c r="E187" s="367" t="s">
        <v>1072</v>
      </c>
      <c r="F187" s="359">
        <f>opex_det!AC$180</f>
        <v>2.84545258168175E-2</v>
      </c>
      <c r="G187" s="366">
        <f>labcap_sources!$F$46</f>
        <v>1</v>
      </c>
      <c r="H187" s="369">
        <f t="shared" si="124"/>
        <v>2.84545258168175E-2</v>
      </c>
      <c r="I187" s="357"/>
      <c r="J187" s="357">
        <f>labcap_sources!$G$46</f>
        <v>1.2562795143989813</v>
      </c>
      <c r="K187" s="369">
        <f t="shared" si="125"/>
        <v>3.5746837875604766E-2</v>
      </c>
      <c r="L187" s="360"/>
      <c r="M187" s="357">
        <f>labcap_sources!$H$46</f>
        <v>1.5912873849053766</v>
      </c>
      <c r="N187" s="369">
        <f t="shared" si="126"/>
        <v>4.5279327975766046E-2</v>
      </c>
      <c r="O187" s="360"/>
    </row>
    <row r="188" spans="1:15" x14ac:dyDescent="0.25">
      <c r="A188" s="2" t="s">
        <v>919</v>
      </c>
      <c r="B188" s="1" t="s">
        <v>139</v>
      </c>
      <c r="C188" s="2" t="s">
        <v>738</v>
      </c>
      <c r="D188" s="2" t="s">
        <v>819</v>
      </c>
      <c r="E188" s="367" t="s">
        <v>1073</v>
      </c>
      <c r="F188" s="359">
        <f>opex_det!AC$181</f>
        <v>1.2439681995484699E-2</v>
      </c>
      <c r="G188" s="366">
        <f>labcap_sources!$F$46</f>
        <v>1</v>
      </c>
      <c r="H188" s="369">
        <f t="shared" si="124"/>
        <v>1.2439681995484699E-2</v>
      </c>
      <c r="I188" s="357"/>
      <c r="J188" s="357">
        <f>labcap_sources!$G$46</f>
        <v>1.2562795143989813</v>
      </c>
      <c r="K188" s="369">
        <f t="shared" si="125"/>
        <v>1.562771765656527E-2</v>
      </c>
      <c r="L188" s="360"/>
      <c r="M188" s="357">
        <f>labcap_sources!$H$46</f>
        <v>1.5912873849053766</v>
      </c>
      <c r="N188" s="369">
        <f t="shared" si="126"/>
        <v>1.9795109031649345E-2</v>
      </c>
      <c r="O188" s="360"/>
    </row>
    <row r="189" spans="1:15" x14ac:dyDescent="0.25">
      <c r="A189" s="2" t="s">
        <v>919</v>
      </c>
      <c r="B189" s="1" t="s">
        <v>139</v>
      </c>
      <c r="C189" s="2" t="s">
        <v>748</v>
      </c>
      <c r="D189" s="2" t="s">
        <v>820</v>
      </c>
      <c r="E189" s="241" t="s">
        <v>372</v>
      </c>
      <c r="F189" s="362">
        <f>opex_det!AD$169</f>
        <v>3.6832739814603556E-3</v>
      </c>
      <c r="G189" s="366">
        <f>labcap_sources!$F$53*labcap_sources!$F$50</f>
        <v>1</v>
      </c>
      <c r="H189" s="362">
        <f t="shared" si="124"/>
        <v>3.6832739814603556E-3</v>
      </c>
      <c r="I189" s="368">
        <f>H189/H$193*$F$193</f>
        <v>3.6832739814603556E-3</v>
      </c>
      <c r="J189" s="357">
        <f>labcap_sources!$G$53*labcap_sources!$G$50</f>
        <v>0.68395639991424151</v>
      </c>
      <c r="K189" s="362">
        <f>$H189*J189</f>
        <v>2.5191988122574196E-3</v>
      </c>
      <c r="L189" s="368">
        <f>K189/K$193*$F$193</f>
        <v>2.4571680958242418E-3</v>
      </c>
      <c r="M189" s="357">
        <f>labcap_sources!$H$53*labcap_sources!$H$50</f>
        <v>0.41140234581307755</v>
      </c>
      <c r="N189" s="362">
        <f>$H189*M189</f>
        <v>1.5153075562450641E-3</v>
      </c>
      <c r="O189" s="368">
        <f>N189/N$193*$F$193</f>
        <v>1.4929509002431251E-3</v>
      </c>
    </row>
    <row r="190" spans="1:15" x14ac:dyDescent="0.25">
      <c r="A190" s="2" t="s">
        <v>919</v>
      </c>
      <c r="B190" s="1" t="s">
        <v>139</v>
      </c>
      <c r="C190" s="2" t="s">
        <v>748</v>
      </c>
      <c r="D190" s="2" t="s">
        <v>820</v>
      </c>
      <c r="E190" s="241" t="s">
        <v>373</v>
      </c>
      <c r="F190" s="362">
        <f>opex_det!AD$170</f>
        <v>3.3701048971999985E-2</v>
      </c>
      <c r="G190" s="366">
        <f>labcap_sources!$F$53*labcap_sources!$F$51</f>
        <v>1</v>
      </c>
      <c r="H190" s="362">
        <f t="shared" ref="H190:H192" si="127">$F190*G190</f>
        <v>3.3701048971999985E-2</v>
      </c>
      <c r="I190" s="368">
        <f t="shared" ref="I190:I192" si="128">H190/H$193*$F$193</f>
        <v>3.3701048971999985E-2</v>
      </c>
      <c r="J190" s="357">
        <f>labcap_sources!$G$53*labcap_sources!$G$51</f>
        <v>0.9013944906182233</v>
      </c>
      <c r="K190" s="362">
        <f t="shared" ref="K190:K192" si="129">$H190*J190</f>
        <v>3.0377939871415724E-2</v>
      </c>
      <c r="L190" s="368">
        <f t="shared" ref="L190:L192" si="130">K190/K$193*$F$193</f>
        <v>2.9629938020660895E-2</v>
      </c>
      <c r="M190" s="357">
        <f>labcap_sources!$H$53*labcap_sources!$H$51</f>
        <v>0.6867767547567416</v>
      </c>
      <c r="N190" s="362">
        <f t="shared" ref="N190:N192" si="131">$H190*M190</f>
        <v>2.3145097044888173E-2</v>
      </c>
      <c r="O190" s="368">
        <f t="shared" ref="O190:O192" si="132">N190/N$193*$F$193</f>
        <v>2.2803617210889131E-2</v>
      </c>
    </row>
    <row r="191" spans="1:15" x14ac:dyDescent="0.25">
      <c r="A191" s="2" t="s">
        <v>919</v>
      </c>
      <c r="B191" s="1" t="s">
        <v>139</v>
      </c>
      <c r="C191" s="2" t="s">
        <v>748</v>
      </c>
      <c r="D191" s="2" t="s">
        <v>820</v>
      </c>
      <c r="E191" s="241" t="s">
        <v>374</v>
      </c>
      <c r="F191" s="362">
        <f>opex_det!AD$171</f>
        <v>2.7328429457678858E-2</v>
      </c>
      <c r="G191" s="366">
        <f>labcap_sources!$F$53*labcap_sources!$F$52</f>
        <v>1</v>
      </c>
      <c r="H191" s="362">
        <f t="shared" si="127"/>
        <v>2.7328429457678858E-2</v>
      </c>
      <c r="I191" s="368">
        <f t="shared" si="128"/>
        <v>2.7328429457678854E-2</v>
      </c>
      <c r="J191" s="357">
        <f>labcap_sources!$G$53*labcap_sources!$G$52</f>
        <v>1.1934655386790323</v>
      </c>
      <c r="K191" s="362">
        <f t="shared" si="129"/>
        <v>3.2615538783960632E-2</v>
      </c>
      <c r="L191" s="368">
        <f t="shared" si="130"/>
        <v>3.1812440105214335E-2</v>
      </c>
      <c r="M191" s="357">
        <f>labcap_sources!$H$53*labcap_sources!$H$52</f>
        <v>1.2730299079243013</v>
      </c>
      <c r="N191" s="362">
        <f t="shared" si="131"/>
        <v>3.4789908036224677E-2</v>
      </c>
      <c r="O191" s="368">
        <f t="shared" si="132"/>
        <v>3.4276622133901112E-2</v>
      </c>
    </row>
    <row r="192" spans="1:15" x14ac:dyDescent="0.25">
      <c r="A192" s="2" t="s">
        <v>919</v>
      </c>
      <c r="B192" s="1" t="s">
        <v>139</v>
      </c>
      <c r="C192" s="2" t="s">
        <v>748</v>
      </c>
      <c r="D192" s="2" t="s">
        <v>820</v>
      </c>
      <c r="E192" s="240" t="s">
        <v>375</v>
      </c>
      <c r="F192" s="362">
        <f>opex_det!AD$172</f>
        <v>3.3679203038238514E-2</v>
      </c>
      <c r="G192" s="366">
        <f>labcap_sources!$F$54</f>
        <v>1</v>
      </c>
      <c r="H192" s="362">
        <f t="shared" si="127"/>
        <v>3.3679203038238514E-2</v>
      </c>
      <c r="I192" s="368">
        <f t="shared" si="128"/>
        <v>3.3679203038238514E-2</v>
      </c>
      <c r="J192" s="357">
        <f>labcap_sources!$G$54</f>
        <v>1.05</v>
      </c>
      <c r="K192" s="362">
        <f t="shared" si="129"/>
        <v>3.536316319015044E-2</v>
      </c>
      <c r="L192" s="368">
        <f t="shared" si="130"/>
        <v>3.4492409227678239E-2</v>
      </c>
      <c r="M192" s="357">
        <f>labcap_sources!$H$54</f>
        <v>1.2</v>
      </c>
      <c r="N192" s="362">
        <f t="shared" si="131"/>
        <v>4.0415043645886217E-2</v>
      </c>
      <c r="O192" s="368">
        <f t="shared" si="132"/>
        <v>3.9818765204344346E-2</v>
      </c>
    </row>
    <row r="193" spans="1:15" x14ac:dyDescent="0.25">
      <c r="A193" s="2" t="s">
        <v>919</v>
      </c>
      <c r="B193" s="1" t="s">
        <v>139</v>
      </c>
      <c r="C193" s="2" t="s">
        <v>748</v>
      </c>
      <c r="D193" s="2" t="s">
        <v>820</v>
      </c>
      <c r="E193" s="19" t="s">
        <v>1077</v>
      </c>
      <c r="F193" s="363">
        <f>SUM(F189:F192)</f>
        <v>9.8391955449377719E-2</v>
      </c>
      <c r="G193" s="366"/>
      <c r="H193" s="363">
        <f>SUM(H189:H192)</f>
        <v>9.8391955449377719E-2</v>
      </c>
      <c r="I193" s="363">
        <f>SUM(I189:I192)</f>
        <v>9.8391955449377705E-2</v>
      </c>
      <c r="J193" s="357"/>
      <c r="K193" s="363">
        <f>SUM(K189:K192)</f>
        <v>0.10087584065778422</v>
      </c>
      <c r="L193" s="363">
        <f>SUM(L189:L192)</f>
        <v>9.8391955449377705E-2</v>
      </c>
      <c r="M193" s="357"/>
      <c r="N193" s="363">
        <f>SUM(N189:N192)</f>
        <v>9.9865356283244139E-2</v>
      </c>
      <c r="O193" s="363">
        <f>SUM(O189:O192)</f>
        <v>9.8391955449377705E-2</v>
      </c>
    </row>
    <row r="194" spans="1:15" x14ac:dyDescent="0.25">
      <c r="A194" s="2" t="s">
        <v>919</v>
      </c>
      <c r="B194" s="1" t="s">
        <v>139</v>
      </c>
      <c r="C194" s="2" t="s">
        <v>748</v>
      </c>
      <c r="D194" s="2" t="s">
        <v>820</v>
      </c>
      <c r="E194" s="367" t="s">
        <v>1068</v>
      </c>
      <c r="F194" s="359">
        <f>opex_det!AD$176</f>
        <v>6.8416599191246001E-3</v>
      </c>
      <c r="G194" s="366">
        <f>labcap_sources!$F$50</f>
        <v>1</v>
      </c>
      <c r="H194" s="369">
        <f t="shared" ref="H194:H200" si="133">$F194*G194</f>
        <v>6.8416599191246001E-3</v>
      </c>
      <c r="I194" s="357"/>
      <c r="J194" s="357">
        <f>labcap_sources!$G$50</f>
        <v>0.71995410517288583</v>
      </c>
      <c r="K194" s="369">
        <f>$H194*J194</f>
        <v>4.9256811449705498E-3</v>
      </c>
      <c r="L194" s="360"/>
      <c r="M194" s="357">
        <f>labcap_sources!$H$50</f>
        <v>0.51425293226634694</v>
      </c>
      <c r="N194" s="369">
        <f>$H194*M194</f>
        <v>3.5183436749789635E-3</v>
      </c>
      <c r="O194" s="360"/>
    </row>
    <row r="195" spans="1:15" x14ac:dyDescent="0.25">
      <c r="A195" s="2" t="s">
        <v>919</v>
      </c>
      <c r="B195" s="1" t="s">
        <v>139</v>
      </c>
      <c r="C195" s="2" t="s">
        <v>748</v>
      </c>
      <c r="D195" s="2" t="s">
        <v>820</v>
      </c>
      <c r="E195" s="367" t="s">
        <v>1069</v>
      </c>
      <c r="F195" s="359">
        <f>opex_det!AD$177</f>
        <v>9.8085617875942298E-3</v>
      </c>
      <c r="G195" s="366">
        <f>labcap_sources!$F$50</f>
        <v>1</v>
      </c>
      <c r="H195" s="369">
        <f t="shared" si="133"/>
        <v>9.8085617875942298E-3</v>
      </c>
      <c r="I195" s="357"/>
      <c r="J195" s="357">
        <f>labcap_sources!$G$50</f>
        <v>0.71995410517288583</v>
      </c>
      <c r="K195" s="369">
        <f t="shared" ref="K195:K199" si="134">$H195*J195</f>
        <v>7.0617143248203652E-3</v>
      </c>
      <c r="L195" s="360"/>
      <c r="M195" s="357">
        <f>labcap_sources!$H$50</f>
        <v>0.51425293226634694</v>
      </c>
      <c r="N195" s="369">
        <f t="shared" ref="N195:N199" si="135">$H195*M195</f>
        <v>5.0440816605859745E-3</v>
      </c>
      <c r="O195" s="360"/>
    </row>
    <row r="196" spans="1:15" x14ac:dyDescent="0.25">
      <c r="A196" s="2" t="s">
        <v>919</v>
      </c>
      <c r="B196" s="1" t="s">
        <v>139</v>
      </c>
      <c r="C196" s="2" t="s">
        <v>748</v>
      </c>
      <c r="D196" s="2" t="s">
        <v>820</v>
      </c>
      <c r="E196" s="367" t="s">
        <v>1070</v>
      </c>
      <c r="F196" s="359">
        <f>opex_det!AD$178</f>
        <v>7.28309686749712E-2</v>
      </c>
      <c r="G196" s="366">
        <f>labcap_sources!$F$51</f>
        <v>1</v>
      </c>
      <c r="H196" s="369">
        <f t="shared" si="133"/>
        <v>7.28309686749712E-2</v>
      </c>
      <c r="I196" s="357"/>
      <c r="J196" s="357">
        <f>labcap_sources!$G$51</f>
        <v>0.94883630591391932</v>
      </c>
      <c r="K196" s="369">
        <f t="shared" si="134"/>
        <v>6.910466727369205E-2</v>
      </c>
      <c r="L196" s="360"/>
      <c r="M196" s="357">
        <f>labcap_sources!$H$51</f>
        <v>0.85847094344592689</v>
      </c>
      <c r="N196" s="369">
        <f t="shared" si="135"/>
        <v>6.2523270390483277E-2</v>
      </c>
      <c r="O196" s="360"/>
    </row>
    <row r="197" spans="1:15" x14ac:dyDescent="0.25">
      <c r="A197" s="2" t="s">
        <v>919</v>
      </c>
      <c r="B197" s="1" t="s">
        <v>139</v>
      </c>
      <c r="C197" s="2" t="s">
        <v>748</v>
      </c>
      <c r="D197" s="2" t="s">
        <v>820</v>
      </c>
      <c r="E197" s="367" t="s">
        <v>1071</v>
      </c>
      <c r="F197" s="359">
        <f>opex_det!AD$179</f>
        <v>4.08731148861965E-2</v>
      </c>
      <c r="G197" s="366">
        <f>labcap_sources!$F$51</f>
        <v>1</v>
      </c>
      <c r="H197" s="369">
        <f t="shared" si="133"/>
        <v>4.08731148861965E-2</v>
      </c>
      <c r="I197" s="357"/>
      <c r="J197" s="357">
        <f>labcap_sources!$G$51</f>
        <v>0.94883630591391932</v>
      </c>
      <c r="K197" s="369">
        <f t="shared" si="134"/>
        <v>3.878189533981391E-2</v>
      </c>
      <c r="L197" s="360"/>
      <c r="M197" s="357">
        <f>labcap_sources!$H$51</f>
        <v>0.85847094344592689</v>
      </c>
      <c r="N197" s="369">
        <f t="shared" si="135"/>
        <v>3.5088381497926868E-2</v>
      </c>
      <c r="O197" s="360"/>
    </row>
    <row r="198" spans="1:15" x14ac:dyDescent="0.25">
      <c r="A198" s="2" t="s">
        <v>919</v>
      </c>
      <c r="B198" s="1" t="s">
        <v>139</v>
      </c>
      <c r="C198" s="2" t="s">
        <v>748</v>
      </c>
      <c r="D198" s="2" t="s">
        <v>820</v>
      </c>
      <c r="E198" s="367" t="s">
        <v>1072</v>
      </c>
      <c r="F198" s="359">
        <f>opex_det!AD$180</f>
        <v>2.84545258168175E-2</v>
      </c>
      <c r="G198" s="366">
        <f>labcap_sources!$F$52</f>
        <v>1</v>
      </c>
      <c r="H198" s="369">
        <f t="shared" si="133"/>
        <v>2.84545258168175E-2</v>
      </c>
      <c r="I198" s="357"/>
      <c r="J198" s="357">
        <f>labcap_sources!$G$52</f>
        <v>1.2562795143989813</v>
      </c>
      <c r="K198" s="369">
        <f t="shared" si="134"/>
        <v>3.5746837875604766E-2</v>
      </c>
      <c r="L198" s="360"/>
      <c r="M198" s="357">
        <f>labcap_sources!$H$52</f>
        <v>1.5912873849053766</v>
      </c>
      <c r="N198" s="369">
        <f t="shared" si="135"/>
        <v>4.5279327975766046E-2</v>
      </c>
      <c r="O198" s="360"/>
    </row>
    <row r="199" spans="1:15" x14ac:dyDescent="0.25">
      <c r="A199" s="2" t="s">
        <v>919</v>
      </c>
      <c r="B199" s="1" t="s">
        <v>139</v>
      </c>
      <c r="C199" s="2" t="s">
        <v>748</v>
      </c>
      <c r="D199" s="2" t="s">
        <v>820</v>
      </c>
      <c r="E199" s="367" t="s">
        <v>1073</v>
      </c>
      <c r="F199" s="359">
        <f>opex_det!AD$181</f>
        <v>1.2439681995484699E-2</v>
      </c>
      <c r="G199" s="366">
        <f>labcap_sources!$F$52</f>
        <v>1</v>
      </c>
      <c r="H199" s="369">
        <f t="shared" si="133"/>
        <v>1.2439681995484699E-2</v>
      </c>
      <c r="I199" s="357"/>
      <c r="J199" s="357">
        <f>labcap_sources!$G$52</f>
        <v>1.2562795143989813</v>
      </c>
      <c r="K199" s="369">
        <f t="shared" si="134"/>
        <v>1.562771765656527E-2</v>
      </c>
      <c r="L199" s="360"/>
      <c r="M199" s="357">
        <f>labcap_sources!$H$52</f>
        <v>1.5912873849053766</v>
      </c>
      <c r="N199" s="369">
        <f t="shared" si="135"/>
        <v>1.9795109031649345E-2</v>
      </c>
      <c r="O199" s="360"/>
    </row>
    <row r="200" spans="1:15" x14ac:dyDescent="0.25">
      <c r="A200" s="2" t="s">
        <v>919</v>
      </c>
      <c r="B200" s="2" t="s">
        <v>141</v>
      </c>
      <c r="C200" s="2" t="s">
        <v>140</v>
      </c>
      <c r="D200" s="2" t="s">
        <v>1022</v>
      </c>
      <c r="E200" s="241" t="s">
        <v>372</v>
      </c>
      <c r="F200" s="362">
        <f>opex_det!AE$169</f>
        <v>8.8951152203076492E-3</v>
      </c>
      <c r="G200" s="366">
        <f>labcap_sources!$F$59*labcap_sources!$F$56</f>
        <v>1</v>
      </c>
      <c r="H200" s="362">
        <f t="shared" si="133"/>
        <v>8.8951152203076492E-3</v>
      </c>
      <c r="I200" s="368">
        <f>H200/H$204*$F$204</f>
        <v>8.8951152203076492E-3</v>
      </c>
      <c r="J200" s="357">
        <f>labcap_sources!$G$59*labcap_sources!$G$56</f>
        <v>0.81201540882861312</v>
      </c>
      <c r="K200" s="362">
        <f>$H200*J200</f>
        <v>7.2229706221957346E-3</v>
      </c>
      <c r="L200" s="368">
        <f>K200/K$204*$F$204</f>
        <v>7.2374481585444949E-3</v>
      </c>
      <c r="M200" s="357">
        <f>labcap_sources!$H$59*labcap_sources!$H$56</f>
        <v>0.48843032109991769</v>
      </c>
      <c r="N200" s="362">
        <f>$H200*M200</f>
        <v>4.3446439832756298E-3</v>
      </c>
      <c r="O200" s="368">
        <f>N200/N$204*$F$204</f>
        <v>4.4604565058860143E-3</v>
      </c>
    </row>
    <row r="201" spans="1:15" x14ac:dyDescent="0.25">
      <c r="A201" s="2" t="s">
        <v>919</v>
      </c>
      <c r="B201" s="2" t="s">
        <v>141</v>
      </c>
      <c r="C201" s="2" t="s">
        <v>140</v>
      </c>
      <c r="D201" s="2" t="s">
        <v>1022</v>
      </c>
      <c r="E201" s="241" t="s">
        <v>373</v>
      </c>
      <c r="F201" s="362">
        <f>opex_det!AE$170</f>
        <v>8.1388111543926694E-2</v>
      </c>
      <c r="G201" s="366">
        <f>labcap_sources!$F$59*labcap_sources!$F$57</f>
        <v>1</v>
      </c>
      <c r="H201" s="362">
        <f t="shared" ref="H201:H203" si="136">$F201*G201</f>
        <v>8.1388111543926694E-2</v>
      </c>
      <c r="I201" s="368">
        <f t="shared" ref="I201:I203" si="137">H201/H$204*$F$204</f>
        <v>8.1388111543926694E-2</v>
      </c>
      <c r="J201" s="357">
        <f>labcap_sources!$G$59*labcap_sources!$G$57</f>
        <v>0.92106072893510749</v>
      </c>
      <c r="K201" s="362">
        <f t="shared" ref="K201:K203" si="138">$H201*J201</f>
        <v>7.4963393345300958E-2</v>
      </c>
      <c r="L201" s="368">
        <f t="shared" ref="L201:L203" si="139">K201/K$204*$F$204</f>
        <v>7.5113648040875655E-2</v>
      </c>
      <c r="M201" s="357">
        <f>labcap_sources!$H$59*labcap_sources!$H$57</f>
        <v>0.70176055537912951</v>
      </c>
      <c r="N201" s="362">
        <f t="shared" ref="N201:N203" si="140">$H201*M201</f>
        <v>5.711496635832454E-2</v>
      </c>
      <c r="O201" s="368">
        <f t="shared" ref="O201:O203" si="141">N201/N$204*$F$204</f>
        <v>5.8637445152496713E-2</v>
      </c>
    </row>
    <row r="202" spans="1:15" x14ac:dyDescent="0.25">
      <c r="A202" s="2" t="s">
        <v>919</v>
      </c>
      <c r="B202" s="2" t="s">
        <v>141</v>
      </c>
      <c r="C202" s="2" t="s">
        <v>140</v>
      </c>
      <c r="D202" s="2" t="s">
        <v>1022</v>
      </c>
      <c r="E202" s="241" t="s">
        <v>374</v>
      </c>
      <c r="F202" s="362">
        <f>opex_det!AE$171</f>
        <v>6.5998220615631403E-2</v>
      </c>
      <c r="G202" s="366">
        <f>labcap_sources!$F$59*labcap_sources!$F$58</f>
        <v>1</v>
      </c>
      <c r="H202" s="362">
        <f t="shared" si="136"/>
        <v>6.5998220615631403E-2</v>
      </c>
      <c r="I202" s="368">
        <f t="shared" si="137"/>
        <v>6.5998220615631403E-2</v>
      </c>
      <c r="J202" s="357">
        <f>labcap_sources!$G$59*labcap_sources!$G$58</f>
        <v>1.0622013364016651</v>
      </c>
      <c r="K202" s="362">
        <f t="shared" si="138"/>
        <v>7.0103398138055606E-2</v>
      </c>
      <c r="L202" s="368">
        <f t="shared" si="139"/>
        <v>7.0243911584364882E-2</v>
      </c>
      <c r="M202" s="357">
        <f>labcap_sources!$H$59*labcap_sources!$H$58</f>
        <v>1.1330147588284427</v>
      </c>
      <c r="N202" s="362">
        <f t="shared" si="140"/>
        <v>7.4776958013925976E-2</v>
      </c>
      <c r="O202" s="368">
        <f t="shared" si="141"/>
        <v>7.677024173845208E-2</v>
      </c>
    </row>
    <row r="203" spans="1:15" x14ac:dyDescent="0.25">
      <c r="A203" s="2" t="s">
        <v>919</v>
      </c>
      <c r="B203" s="2" t="s">
        <v>141</v>
      </c>
      <c r="C203" s="2" t="s">
        <v>140</v>
      </c>
      <c r="D203" s="2" t="s">
        <v>1022</v>
      </c>
      <c r="E203" s="240" t="s">
        <v>375</v>
      </c>
      <c r="F203" s="362">
        <f>opex_det!AE$172</f>
        <v>7.07507608489613E-2</v>
      </c>
      <c r="G203" s="366">
        <f>labcap_sources!$F$60</f>
        <v>1</v>
      </c>
      <c r="H203" s="362">
        <f t="shared" si="136"/>
        <v>7.07507608489613E-2</v>
      </c>
      <c r="I203" s="368">
        <f t="shared" si="137"/>
        <v>7.07507608489613E-2</v>
      </c>
      <c r="J203" s="357">
        <f>labcap_sources!$G$60</f>
        <v>1.05</v>
      </c>
      <c r="K203" s="362">
        <f t="shared" si="138"/>
        <v>7.4288298891409366E-2</v>
      </c>
      <c r="L203" s="368">
        <f t="shared" si="139"/>
        <v>7.4437200445042012E-2</v>
      </c>
      <c r="M203" s="357">
        <f>labcap_sources!$H$60</f>
        <v>1.2</v>
      </c>
      <c r="N203" s="362">
        <f t="shared" si="140"/>
        <v>8.4900913018753563E-2</v>
      </c>
      <c r="O203" s="368">
        <f t="shared" si="141"/>
        <v>8.7164064831992238E-2</v>
      </c>
    </row>
    <row r="204" spans="1:15" x14ac:dyDescent="0.25">
      <c r="A204" s="2" t="s">
        <v>919</v>
      </c>
      <c r="B204" s="2" t="s">
        <v>141</v>
      </c>
      <c r="C204" s="2" t="s">
        <v>140</v>
      </c>
      <c r="D204" s="2" t="s">
        <v>1022</v>
      </c>
      <c r="E204" s="19" t="s">
        <v>1077</v>
      </c>
      <c r="F204" s="363">
        <f>SUM(F200:F203)</f>
        <v>0.22703220822882703</v>
      </c>
      <c r="G204" s="366"/>
      <c r="H204" s="363">
        <f>SUM(H200:H203)</f>
        <v>0.22703220822882703</v>
      </c>
      <c r="I204" s="363">
        <f>SUM(I200:I203)</f>
        <v>0.22703220822882703</v>
      </c>
      <c r="J204" s="357"/>
      <c r="K204" s="363">
        <f>SUM(K200:K203)</f>
        <v>0.22657806099696165</v>
      </c>
      <c r="L204" s="363">
        <f>SUM(L200:L203)</f>
        <v>0.22703220822882705</v>
      </c>
      <c r="M204" s="357"/>
      <c r="N204" s="363">
        <f>SUM(N200:N203)</f>
        <v>0.22113748137427969</v>
      </c>
      <c r="O204" s="363">
        <f>SUM(O200:O203)</f>
        <v>0.22703220822882703</v>
      </c>
    </row>
    <row r="205" spans="1:15" x14ac:dyDescent="0.25">
      <c r="A205" s="2" t="s">
        <v>919</v>
      </c>
      <c r="B205" s="2" t="s">
        <v>141</v>
      </c>
      <c r="C205" s="2" t="s">
        <v>140</v>
      </c>
      <c r="D205" s="2" t="s">
        <v>1022</v>
      </c>
      <c r="E205" s="367" t="s">
        <v>1068</v>
      </c>
      <c r="F205" s="359">
        <f>opex_det!AE$176</f>
        <v>6.1579544640138796E-3</v>
      </c>
      <c r="G205" s="366">
        <f>labcap_sources!$F$56</f>
        <v>1</v>
      </c>
      <c r="H205" s="369">
        <f t="shared" ref="H205:H211" si="142">$F205*G205</f>
        <v>6.1579544640138796E-3</v>
      </c>
      <c r="I205" s="357"/>
      <c r="J205" s="357">
        <f>labcap_sources!$G$56</f>
        <v>0.85475306192485601</v>
      </c>
      <c r="K205" s="369">
        <f>$H205*J205</f>
        <v>5.2635304333096995E-3</v>
      </c>
      <c r="L205" s="360"/>
      <c r="M205" s="357">
        <f>labcap_sources!$H$56</f>
        <v>0.61053790137489705</v>
      </c>
      <c r="N205" s="369">
        <f>$H205*M205</f>
        <v>3.7596645952212133E-3</v>
      </c>
      <c r="O205" s="360"/>
    </row>
    <row r="206" spans="1:15" x14ac:dyDescent="0.25">
      <c r="A206" s="2" t="s">
        <v>919</v>
      </c>
      <c r="B206" s="2" t="s">
        <v>141</v>
      </c>
      <c r="C206" s="2" t="s">
        <v>140</v>
      </c>
      <c r="D206" s="2" t="s">
        <v>1022</v>
      </c>
      <c r="E206" s="367" t="s">
        <v>1069</v>
      </c>
      <c r="F206" s="359">
        <f>opex_det!AE$177</f>
        <v>7.8664415809781493E-3</v>
      </c>
      <c r="G206" s="366">
        <f>labcap_sources!$F$56</f>
        <v>1</v>
      </c>
      <c r="H206" s="369">
        <f t="shared" si="142"/>
        <v>7.8664415809781493E-3</v>
      </c>
      <c r="I206" s="357"/>
      <c r="J206" s="357">
        <f>labcap_sources!$G$56</f>
        <v>0.85475306192485601</v>
      </c>
      <c r="K206" s="369">
        <f t="shared" ref="K206:K210" si="143">$H206*J206</f>
        <v>6.7238650277940785E-3</v>
      </c>
      <c r="L206" s="360"/>
      <c r="M206" s="357">
        <f>labcap_sources!$H$56</f>
        <v>0.61053790137489705</v>
      </c>
      <c r="N206" s="369">
        <f t="shared" ref="N206:N210" si="144">$H206*M206</f>
        <v>4.8027607341386263E-3</v>
      </c>
      <c r="O206" s="360"/>
    </row>
    <row r="207" spans="1:15" x14ac:dyDescent="0.25">
      <c r="A207" s="2" t="s">
        <v>919</v>
      </c>
      <c r="B207" s="2" t="s">
        <v>141</v>
      </c>
      <c r="C207" s="2" t="s">
        <v>140</v>
      </c>
      <c r="D207" s="2" t="s">
        <v>1022</v>
      </c>
      <c r="E207" s="367" t="s">
        <v>1070</v>
      </c>
      <c r="F207" s="359">
        <f>opex_det!AE$178</f>
        <v>7.61937727976396E-2</v>
      </c>
      <c r="G207" s="366">
        <f>labcap_sources!$F$57</f>
        <v>1</v>
      </c>
      <c r="H207" s="369">
        <f t="shared" si="142"/>
        <v>7.61937727976396E-2</v>
      </c>
      <c r="I207" s="357"/>
      <c r="J207" s="357">
        <f>labcap_sources!$G$57</f>
        <v>0.96953760940537637</v>
      </c>
      <c r="K207" s="369">
        <f t="shared" si="143"/>
        <v>7.3872728329799894E-2</v>
      </c>
      <c r="L207" s="360"/>
      <c r="M207" s="357">
        <f>labcap_sources!$H$57</f>
        <v>0.87720069422391189</v>
      </c>
      <c r="N207" s="369">
        <f t="shared" si="144"/>
        <v>6.6837230393628475E-2</v>
      </c>
      <c r="O207" s="360"/>
    </row>
    <row r="208" spans="1:15" x14ac:dyDescent="0.25">
      <c r="A208" s="2" t="s">
        <v>919</v>
      </c>
      <c r="B208" s="2" t="s">
        <v>141</v>
      </c>
      <c r="C208" s="2" t="s">
        <v>140</v>
      </c>
      <c r="D208" s="2" t="s">
        <v>1022</v>
      </c>
      <c r="E208" s="367" t="s">
        <v>1071</v>
      </c>
      <c r="F208" s="359">
        <f>opex_det!AE$179</f>
        <v>3.5082533233366103E-2</v>
      </c>
      <c r="G208" s="366">
        <f>labcap_sources!$F$57</f>
        <v>1</v>
      </c>
      <c r="H208" s="369">
        <f t="shared" si="142"/>
        <v>3.5082533233366103E-2</v>
      </c>
      <c r="I208" s="357"/>
      <c r="J208" s="357">
        <f>labcap_sources!$G$57</f>
        <v>0.96953760940537637</v>
      </c>
      <c r="K208" s="369">
        <f t="shared" si="143"/>
        <v>3.401383540296244E-2</v>
      </c>
      <c r="L208" s="360"/>
      <c r="M208" s="357">
        <f>labcap_sources!$H$57</f>
        <v>0.87720069422391189</v>
      </c>
      <c r="N208" s="369">
        <f t="shared" si="144"/>
        <v>3.0774422507442206E-2</v>
      </c>
      <c r="O208" s="360"/>
    </row>
    <row r="209" spans="1:15" x14ac:dyDescent="0.25">
      <c r="A209" s="2" t="s">
        <v>919</v>
      </c>
      <c r="B209" s="2" t="s">
        <v>141</v>
      </c>
      <c r="C209" s="2" t="s">
        <v>140</v>
      </c>
      <c r="D209" s="2" t="s">
        <v>1022</v>
      </c>
      <c r="E209" s="367" t="s">
        <v>1072</v>
      </c>
      <c r="F209" s="359">
        <f>opex_det!AE$180</f>
        <v>3.0133956640500701E-2</v>
      </c>
      <c r="G209" s="366">
        <f>labcap_sources!$F$58</f>
        <v>1</v>
      </c>
      <c r="H209" s="369">
        <f t="shared" si="142"/>
        <v>3.0133956640500701E-2</v>
      </c>
      <c r="I209" s="357"/>
      <c r="J209" s="357">
        <f>labcap_sources!$G$58</f>
        <v>1.1181066698964897</v>
      </c>
      <c r="K209" s="369">
        <f t="shared" si="143"/>
        <v>3.3692977910115447E-2</v>
      </c>
      <c r="L209" s="360"/>
      <c r="M209" s="357">
        <f>labcap_sources!$H$58</f>
        <v>1.4162684485355534</v>
      </c>
      <c r="N209" s="369">
        <f t="shared" si="144"/>
        <v>4.2677772019479567E-2</v>
      </c>
      <c r="O209" s="360"/>
    </row>
    <row r="210" spans="1:15" x14ac:dyDescent="0.25">
      <c r="A210" s="2" t="s">
        <v>919</v>
      </c>
      <c r="B210" s="2" t="s">
        <v>141</v>
      </c>
      <c r="C210" s="2" t="s">
        <v>140</v>
      </c>
      <c r="D210" s="2" t="s">
        <v>1022</v>
      </c>
      <c r="E210" s="367" t="s">
        <v>1073</v>
      </c>
      <c r="F210" s="359">
        <f>opex_det!AE$181</f>
        <v>1.5813854342637601E-2</v>
      </c>
      <c r="G210" s="366">
        <f>labcap_sources!$F$58</f>
        <v>1</v>
      </c>
      <c r="H210" s="369">
        <f t="shared" si="142"/>
        <v>1.5813854342637601E-2</v>
      </c>
      <c r="I210" s="357"/>
      <c r="J210" s="357">
        <f>labcap_sources!$G$58</f>
        <v>1.1181066698964897</v>
      </c>
      <c r="K210" s="369">
        <f t="shared" si="143"/>
        <v>1.7681576017274669E-2</v>
      </c>
      <c r="L210" s="360"/>
      <c r="M210" s="357">
        <f>labcap_sources!$H$58</f>
        <v>1.4162684485355534</v>
      </c>
      <c r="N210" s="369">
        <f t="shared" si="144"/>
        <v>2.2396662955214579E-2</v>
      </c>
      <c r="O210" s="360"/>
    </row>
    <row r="211" spans="1:15" x14ac:dyDescent="0.25">
      <c r="A211" s="2" t="s">
        <v>919</v>
      </c>
      <c r="B211" s="2" t="s">
        <v>143</v>
      </c>
      <c r="C211" s="2" t="s">
        <v>739</v>
      </c>
      <c r="D211" s="2" t="s">
        <v>827</v>
      </c>
      <c r="E211" s="241" t="s">
        <v>372</v>
      </c>
      <c r="F211" s="362">
        <f>opex_det!AF$169</f>
        <v>1.3590283572723801E-2</v>
      </c>
      <c r="G211" s="366">
        <f>labcap_sources!$F$65*labcap_sources!$F$62</f>
        <v>1</v>
      </c>
      <c r="H211" s="362">
        <f t="shared" si="142"/>
        <v>1.3590283572723801E-2</v>
      </c>
      <c r="I211" s="368">
        <f>H211/H$215*$F$215</f>
        <v>1.3590283572723801E-2</v>
      </c>
      <c r="J211" s="357">
        <f>labcap_sources!$G$65*labcap_sources!$G$62</f>
        <v>0.72439436526051848</v>
      </c>
      <c r="K211" s="362">
        <f>$H211*J211</f>
        <v>9.8447248423737081E-3</v>
      </c>
      <c r="L211" s="368">
        <f>K211/K$215*$F$215</f>
        <v>9.8512775648488277E-3</v>
      </c>
      <c r="M211" s="357">
        <f>labcap_sources!$H$65*labcap_sources!$H$62</f>
        <v>0.43572593399128934</v>
      </c>
      <c r="N211" s="362">
        <f>$H211*M211</f>
        <v>5.9216390029315545E-3</v>
      </c>
      <c r="O211" s="368">
        <f>N211/N$215*$F$215</f>
        <v>6.118260551229316E-3</v>
      </c>
    </row>
    <row r="212" spans="1:15" x14ac:dyDescent="0.25">
      <c r="A212" s="2" t="s">
        <v>919</v>
      </c>
      <c r="B212" s="2" t="s">
        <v>143</v>
      </c>
      <c r="C212" s="2" t="s">
        <v>739</v>
      </c>
      <c r="D212" s="2" t="s">
        <v>827</v>
      </c>
      <c r="E212" s="241" t="s">
        <v>373</v>
      </c>
      <c r="F212" s="362">
        <f>opex_det!AF$170</f>
        <v>0.131959371148891</v>
      </c>
      <c r="G212" s="366">
        <f>labcap_sources!$F$65*labcap_sources!$F$63</f>
        <v>1</v>
      </c>
      <c r="H212" s="362">
        <f t="shared" ref="H212:H214" si="145">$F212*G212</f>
        <v>0.131959371148891</v>
      </c>
      <c r="I212" s="368">
        <f t="shared" ref="I212:I214" si="146">H212/H$215*$F$215</f>
        <v>0.131959371148891</v>
      </c>
      <c r="J212" s="357">
        <f>labcap_sources!$G$65*labcap_sources!$G$63</f>
        <v>0.93202914757195132</v>
      </c>
      <c r="K212" s="362">
        <f t="shared" ref="K212:K214" si="147">$H212*J212</f>
        <v>0.12298998020603162</v>
      </c>
      <c r="L212" s="368">
        <f t="shared" ref="L212:L214" si="148">K212/K$215*$F$215</f>
        <v>0.12307184325659064</v>
      </c>
      <c r="M212" s="357">
        <f>labcap_sources!$H$65*labcap_sources!$H$63</f>
        <v>0.71011744576910574</v>
      </c>
      <c r="N212" s="362">
        <f t="shared" ref="N212:N214" si="149">$H212*M212</f>
        <v>9.3706651585547904E-2</v>
      </c>
      <c r="O212" s="368">
        <f t="shared" ref="O212:O214" si="150">N212/N$215*$F$215</f>
        <v>9.6818078491414356E-2</v>
      </c>
    </row>
    <row r="213" spans="1:15" x14ac:dyDescent="0.25">
      <c r="A213" s="2" t="s">
        <v>919</v>
      </c>
      <c r="B213" s="2" t="s">
        <v>143</v>
      </c>
      <c r="C213" s="2" t="s">
        <v>739</v>
      </c>
      <c r="D213" s="2" t="s">
        <v>827</v>
      </c>
      <c r="E213" s="241" t="s">
        <v>374</v>
      </c>
      <c r="F213" s="362">
        <f>opex_det!AF$171</f>
        <v>0.10718516514040501</v>
      </c>
      <c r="G213" s="366">
        <f>labcap_sources!$F$65*labcap_sources!$F$64</f>
        <v>1</v>
      </c>
      <c r="H213" s="362">
        <f t="shared" si="145"/>
        <v>0.10718516514040501</v>
      </c>
      <c r="I213" s="368">
        <f t="shared" si="146"/>
        <v>0.10718516514040501</v>
      </c>
      <c r="J213" s="357">
        <f>labcap_sources!$G$65*labcap_sources!$G$64</f>
        <v>1.0712196587366769</v>
      </c>
      <c r="K213" s="362">
        <f t="shared" si="147"/>
        <v>0.11481885602333901</v>
      </c>
      <c r="L213" s="368">
        <f t="shared" si="148"/>
        <v>0.11489528031253736</v>
      </c>
      <c r="M213" s="357">
        <f>labcap_sources!$H$65*labcap_sources!$H$64</f>
        <v>1.1426343026524552</v>
      </c>
      <c r="N213" s="362">
        <f t="shared" si="149"/>
        <v>0.12247344642489492</v>
      </c>
      <c r="O213" s="368">
        <f t="shared" si="150"/>
        <v>0.12654004329942653</v>
      </c>
    </row>
    <row r="214" spans="1:15" x14ac:dyDescent="0.25">
      <c r="A214" s="2" t="s">
        <v>919</v>
      </c>
      <c r="B214" s="2" t="s">
        <v>143</v>
      </c>
      <c r="C214" s="2" t="s">
        <v>739</v>
      </c>
      <c r="D214" s="2" t="s">
        <v>827</v>
      </c>
      <c r="E214" s="240" t="s">
        <v>375</v>
      </c>
      <c r="F214" s="362">
        <f>opex_det!AF$172</f>
        <v>9.6972910774539706E-2</v>
      </c>
      <c r="G214" s="366">
        <f>labcap_sources!$F$66</f>
        <v>1</v>
      </c>
      <c r="H214" s="362">
        <f t="shared" si="145"/>
        <v>9.6972910774539706E-2</v>
      </c>
      <c r="I214" s="368">
        <f t="shared" si="146"/>
        <v>9.6972910774539706E-2</v>
      </c>
      <c r="J214" s="357">
        <f>labcap_sources!$G$66</f>
        <v>1.05</v>
      </c>
      <c r="K214" s="362">
        <f t="shared" si="147"/>
        <v>0.1018215563132667</v>
      </c>
      <c r="L214" s="368">
        <f t="shared" si="148"/>
        <v>0.10188932950258266</v>
      </c>
      <c r="M214" s="357">
        <f>labcap_sources!$H$66</f>
        <v>1.2</v>
      </c>
      <c r="N214" s="362">
        <f t="shared" si="149"/>
        <v>0.11636749292944765</v>
      </c>
      <c r="O214" s="368">
        <f t="shared" si="150"/>
        <v>0.12023134829448928</v>
      </c>
    </row>
    <row r="215" spans="1:15" x14ac:dyDescent="0.25">
      <c r="A215" s="2" t="s">
        <v>919</v>
      </c>
      <c r="B215" s="2" t="s">
        <v>143</v>
      </c>
      <c r="C215" s="2" t="s">
        <v>739</v>
      </c>
      <c r="D215" s="2" t="s">
        <v>827</v>
      </c>
      <c r="E215" s="19" t="s">
        <v>1077</v>
      </c>
      <c r="F215" s="363">
        <f>SUM(F211:F214)</f>
        <v>0.34970773063655947</v>
      </c>
      <c r="G215" s="366"/>
      <c r="H215" s="363">
        <f>SUM(H211:H214)</f>
        <v>0.34970773063655947</v>
      </c>
      <c r="I215" s="363">
        <f>SUM(I211:I214)</f>
        <v>0.34970773063655947</v>
      </c>
      <c r="J215" s="357"/>
      <c r="K215" s="363">
        <f>SUM(K211:K214)</f>
        <v>0.34947511738501102</v>
      </c>
      <c r="L215" s="363">
        <f>SUM(L211:L214)</f>
        <v>0.34970773063655952</v>
      </c>
      <c r="M215" s="357"/>
      <c r="N215" s="363">
        <f>SUM(N211:N214)</f>
        <v>0.33846922994282203</v>
      </c>
      <c r="O215" s="363">
        <f>SUM(O211:O214)</f>
        <v>0.34970773063655947</v>
      </c>
    </row>
    <row r="216" spans="1:15" x14ac:dyDescent="0.25">
      <c r="A216" s="2" t="s">
        <v>919</v>
      </c>
      <c r="B216" s="2" t="s">
        <v>143</v>
      </c>
      <c r="C216" s="2" t="s">
        <v>739</v>
      </c>
      <c r="D216" s="2" t="s">
        <v>827</v>
      </c>
      <c r="E216" s="367" t="s">
        <v>1068</v>
      </c>
      <c r="F216" s="359">
        <f>opex_det!AF$176</f>
        <v>4.1257682955284103E-4</v>
      </c>
      <c r="G216" s="366">
        <f>labcap_sources!$F$62</f>
        <v>1</v>
      </c>
      <c r="H216" s="369">
        <f t="shared" ref="H216:H222" si="151">$F216*G216</f>
        <v>4.1257682955284103E-4</v>
      </c>
      <c r="I216" s="357"/>
      <c r="J216" s="357">
        <f>labcap_sources!$G$62</f>
        <v>0.76252038448475634</v>
      </c>
      <c r="K216" s="369">
        <f>$H216*J216</f>
        <v>3.145982427001341E-4</v>
      </c>
      <c r="L216" s="360"/>
      <c r="M216" s="357">
        <f>labcap_sources!$H$62</f>
        <v>0.54465741748911167</v>
      </c>
      <c r="N216" s="369">
        <f>$H216*M216</f>
        <v>2.247130305000958E-4</v>
      </c>
      <c r="O216" s="360"/>
    </row>
    <row r="217" spans="1:15" x14ac:dyDescent="0.25">
      <c r="A217" s="2" t="s">
        <v>919</v>
      </c>
      <c r="B217" s="2" t="s">
        <v>143</v>
      </c>
      <c r="C217" s="2" t="s">
        <v>739</v>
      </c>
      <c r="D217" s="2" t="s">
        <v>827</v>
      </c>
      <c r="E217" s="367" t="s">
        <v>1069</v>
      </c>
      <c r="F217" s="359">
        <f>opex_det!AF$177</f>
        <v>4.48445981606745E-4</v>
      </c>
      <c r="G217" s="366">
        <f>labcap_sources!$F$62</f>
        <v>1</v>
      </c>
      <c r="H217" s="369">
        <f t="shared" si="151"/>
        <v>4.48445981606745E-4</v>
      </c>
      <c r="I217" s="357"/>
      <c r="J217" s="357">
        <f>labcap_sources!$G$62</f>
        <v>0.76252038448475634</v>
      </c>
      <c r="K217" s="369">
        <f t="shared" ref="K217:K221" si="152">$H217*J217</f>
        <v>3.4194920231541917E-4</v>
      </c>
      <c r="L217" s="360"/>
      <c r="M217" s="357">
        <f>labcap_sources!$H$62</f>
        <v>0.54465741748911167</v>
      </c>
      <c r="N217" s="369">
        <f t="shared" ref="N217:N221" si="153">$H217*M217</f>
        <v>2.4424943022529938E-4</v>
      </c>
      <c r="O217" s="360"/>
    </row>
    <row r="218" spans="1:15" x14ac:dyDescent="0.25">
      <c r="A218" s="2" t="s">
        <v>919</v>
      </c>
      <c r="B218" s="2" t="s">
        <v>143</v>
      </c>
      <c r="C218" s="2" t="s">
        <v>739</v>
      </c>
      <c r="D218" s="2" t="s">
        <v>827</v>
      </c>
      <c r="E218" s="367" t="s">
        <v>1070</v>
      </c>
      <c r="F218" s="359">
        <f>opex_det!AF$178</f>
        <v>4.0669188983245399E-3</v>
      </c>
      <c r="G218" s="366">
        <f>labcap_sources!$F$63</f>
        <v>1</v>
      </c>
      <c r="H218" s="369">
        <f t="shared" si="151"/>
        <v>4.0669188983245399E-3</v>
      </c>
      <c r="I218" s="357"/>
      <c r="J218" s="357">
        <f>labcap_sources!$G$63</f>
        <v>0.98108331323363296</v>
      </c>
      <c r="K218" s="369">
        <f t="shared" si="152"/>
        <v>3.9899862674207158E-3</v>
      </c>
      <c r="L218" s="360"/>
      <c r="M218" s="357">
        <f>labcap_sources!$H$63</f>
        <v>0.88764680721138212</v>
      </c>
      <c r="N218" s="369">
        <f t="shared" si="153"/>
        <v>3.6099875752854094E-3</v>
      </c>
      <c r="O218" s="360"/>
    </row>
    <row r="219" spans="1:15" x14ac:dyDescent="0.25">
      <c r="A219" s="2" t="s">
        <v>919</v>
      </c>
      <c r="B219" s="2" t="s">
        <v>143</v>
      </c>
      <c r="C219" s="2" t="s">
        <v>739</v>
      </c>
      <c r="D219" s="2" t="s">
        <v>827</v>
      </c>
      <c r="E219" s="367" t="s">
        <v>1071</v>
      </c>
      <c r="F219" s="359">
        <f>opex_det!AF$179</f>
        <v>1.9559406591141801E-3</v>
      </c>
      <c r="G219" s="366">
        <f>labcap_sources!$F$63</f>
        <v>1</v>
      </c>
      <c r="H219" s="369">
        <f t="shared" si="151"/>
        <v>1.9559406591141801E-3</v>
      </c>
      <c r="I219" s="357"/>
      <c r="J219" s="357">
        <f>labcap_sources!$G$63</f>
        <v>0.98108331323363296</v>
      </c>
      <c r="K219" s="369">
        <f t="shared" si="152"/>
        <v>1.9189407423321158E-3</v>
      </c>
      <c r="L219" s="360"/>
      <c r="M219" s="357">
        <f>labcap_sources!$H$63</f>
        <v>0.88764680721138212</v>
      </c>
      <c r="N219" s="369">
        <f t="shared" si="153"/>
        <v>1.7361844811576283E-3</v>
      </c>
      <c r="O219" s="360"/>
    </row>
    <row r="220" spans="1:15" x14ac:dyDescent="0.25">
      <c r="A220" s="2" t="s">
        <v>919</v>
      </c>
      <c r="B220" s="2" t="s">
        <v>143</v>
      </c>
      <c r="C220" s="2" t="s">
        <v>739</v>
      </c>
      <c r="D220" s="2" t="s">
        <v>827</v>
      </c>
      <c r="E220" s="367" t="s">
        <v>1072</v>
      </c>
      <c r="F220" s="359">
        <f>opex_det!AF$180</f>
        <v>1.6238841283597999E-3</v>
      </c>
      <c r="G220" s="366">
        <f>labcap_sources!$F$64</f>
        <v>1</v>
      </c>
      <c r="H220" s="369">
        <f t="shared" si="151"/>
        <v>1.6238841283597999E-3</v>
      </c>
      <c r="I220" s="357"/>
      <c r="J220" s="357">
        <f>labcap_sources!$G$64</f>
        <v>1.1275996407754494</v>
      </c>
      <c r="K220" s="369">
        <f t="shared" si="152"/>
        <v>1.8310911597994642E-3</v>
      </c>
      <c r="L220" s="360"/>
      <c r="M220" s="357">
        <f>labcap_sources!$H$64</f>
        <v>1.4282928783155691</v>
      </c>
      <c r="N220" s="369">
        <f t="shared" si="153"/>
        <v>2.3193821357459878E-3</v>
      </c>
      <c r="O220" s="360"/>
    </row>
    <row r="221" spans="1:15" x14ac:dyDescent="0.25">
      <c r="A221" s="2" t="s">
        <v>919</v>
      </c>
      <c r="B221" s="2" t="s">
        <v>143</v>
      </c>
      <c r="C221" s="2" t="s">
        <v>739</v>
      </c>
      <c r="D221" s="2" t="s">
        <v>827</v>
      </c>
      <c r="E221" s="367" t="s">
        <v>1073</v>
      </c>
      <c r="F221" s="359">
        <f>opex_det!AF$181</f>
        <v>8.7148272413930703E-4</v>
      </c>
      <c r="G221" s="366">
        <f>labcap_sources!$F$64</f>
        <v>1</v>
      </c>
      <c r="H221" s="369">
        <f t="shared" si="151"/>
        <v>8.7148272413930703E-4</v>
      </c>
      <c r="I221" s="357"/>
      <c r="J221" s="357">
        <f>labcap_sources!$G$64</f>
        <v>1.1275996407754494</v>
      </c>
      <c r="K221" s="369">
        <f t="shared" si="152"/>
        <v>9.8268360668149262E-4</v>
      </c>
      <c r="L221" s="360"/>
      <c r="M221" s="357">
        <f>labcap_sources!$H$64</f>
        <v>1.4282928783155691</v>
      </c>
      <c r="N221" s="369">
        <f t="shared" si="153"/>
        <v>1.2447325684632239E-3</v>
      </c>
      <c r="O221" s="360"/>
    </row>
    <row r="222" spans="1:15" x14ac:dyDescent="0.25">
      <c r="A222" s="2" t="s">
        <v>919</v>
      </c>
      <c r="B222" s="2" t="s">
        <v>143</v>
      </c>
      <c r="C222" s="2" t="s">
        <v>740</v>
      </c>
      <c r="D222" s="2" t="s">
        <v>828</v>
      </c>
      <c r="E222" s="241" t="s">
        <v>372</v>
      </c>
      <c r="F222" s="362">
        <f>opex_det!AG$169</f>
        <v>6.0224452719306546E-3</v>
      </c>
      <c r="G222" s="366">
        <f>labcap_sources!$F$71*labcap_sources!$F$68</f>
        <v>1</v>
      </c>
      <c r="H222" s="362">
        <f t="shared" si="151"/>
        <v>6.0224452719306546E-3</v>
      </c>
      <c r="I222" s="368">
        <f>H222/H$226*$F$226</f>
        <v>6.0224452719306546E-3</v>
      </c>
      <c r="J222" s="357">
        <f>labcap_sources!$G$71*labcap_sources!$G$68</f>
        <v>0.72439436526051848</v>
      </c>
      <c r="K222" s="362">
        <f>$H222*J222</f>
        <v>4.3626254200764174E-3</v>
      </c>
      <c r="L222" s="368">
        <f>K222/K$226*$F$226</f>
        <v>4.4010957905939244E-3</v>
      </c>
      <c r="M222" s="357">
        <f>labcap_sources!$H$71*labcap_sources!$H$68</f>
        <v>0.43572593399128934</v>
      </c>
      <c r="N222" s="362">
        <f>$H222*M222</f>
        <v>2.6241355910234091E-3</v>
      </c>
      <c r="O222" s="368">
        <f>N222/N$226*$F$226</f>
        <v>2.8190412217751421E-3</v>
      </c>
    </row>
    <row r="223" spans="1:15" x14ac:dyDescent="0.25">
      <c r="A223" s="2" t="s">
        <v>919</v>
      </c>
      <c r="B223" s="2" t="s">
        <v>143</v>
      </c>
      <c r="C223" s="2" t="s">
        <v>740</v>
      </c>
      <c r="D223" s="2" t="s">
        <v>828</v>
      </c>
      <c r="E223" s="241" t="s">
        <v>373</v>
      </c>
      <c r="F223" s="362">
        <f>opex_det!AG$170</f>
        <v>5.8476932185404097E-2</v>
      </c>
      <c r="G223" s="366">
        <f>labcap_sources!$F$71*labcap_sources!$F$69</f>
        <v>1</v>
      </c>
      <c r="H223" s="362">
        <f t="shared" ref="H223:H225" si="154">$F223*G223</f>
        <v>5.8476932185404097E-2</v>
      </c>
      <c r="I223" s="368">
        <f t="shared" ref="I223:I225" si="155">H223/H$226*$F$226</f>
        <v>5.8476932185404097E-2</v>
      </c>
      <c r="J223" s="357">
        <f>labcap_sources!$G$71*labcap_sources!$G$69</f>
        <v>0.93202914757195132</v>
      </c>
      <c r="K223" s="362">
        <f t="shared" ref="K223:K225" si="156">$H223*J223</f>
        <v>5.4502205257384986E-2</v>
      </c>
      <c r="L223" s="368">
        <f t="shared" ref="L223:L225" si="157">K223/K$226*$F$226</f>
        <v>5.4982814942696016E-2</v>
      </c>
      <c r="M223" s="357">
        <f>labcap_sources!$H$71*labcap_sources!$H$69</f>
        <v>0.71011744576910574</v>
      </c>
      <c r="N223" s="362">
        <f t="shared" ref="N223:N225" si="158">$H223*M223</f>
        <v>4.1525489719912365E-2</v>
      </c>
      <c r="O223" s="368">
        <f t="shared" ref="O223:O225" si="159">N223/N$226*$F$226</f>
        <v>4.4609763182693926E-2</v>
      </c>
    </row>
    <row r="224" spans="1:15" x14ac:dyDescent="0.25">
      <c r="A224" s="2" t="s">
        <v>919</v>
      </c>
      <c r="B224" s="2" t="s">
        <v>143</v>
      </c>
      <c r="C224" s="2" t="s">
        <v>740</v>
      </c>
      <c r="D224" s="2" t="s">
        <v>828</v>
      </c>
      <c r="E224" s="241" t="s">
        <v>374</v>
      </c>
      <c r="F224" s="362">
        <f>opex_det!AG$171</f>
        <v>4.7498404839507138E-2</v>
      </c>
      <c r="G224" s="366">
        <f>labcap_sources!$F$71*labcap_sources!$F$70</f>
        <v>1</v>
      </c>
      <c r="H224" s="362">
        <f t="shared" si="154"/>
        <v>4.7498404839507138E-2</v>
      </c>
      <c r="I224" s="368">
        <f t="shared" si="155"/>
        <v>4.7498404839507138E-2</v>
      </c>
      <c r="J224" s="357">
        <f>labcap_sources!$G$71*labcap_sources!$G$70</f>
        <v>1.0712196587366769</v>
      </c>
      <c r="K224" s="362">
        <f t="shared" si="156"/>
        <v>5.0881225022713361E-2</v>
      </c>
      <c r="L224" s="368">
        <f t="shared" si="157"/>
        <v>5.1329904290477346E-2</v>
      </c>
      <c r="M224" s="357">
        <f>labcap_sources!$H$71*labcap_sources!$H$70</f>
        <v>1.1426343026524552</v>
      </c>
      <c r="N224" s="362">
        <f t="shared" si="158"/>
        <v>5.4273306690894245E-2</v>
      </c>
      <c r="O224" s="368">
        <f t="shared" si="159"/>
        <v>5.8304414347738108E-2</v>
      </c>
    </row>
    <row r="225" spans="1:15" x14ac:dyDescent="0.25">
      <c r="A225" s="2" t="s">
        <v>919</v>
      </c>
      <c r="B225" s="2" t="s">
        <v>143</v>
      </c>
      <c r="C225" s="2" t="s">
        <v>740</v>
      </c>
      <c r="D225" s="2" t="s">
        <v>828</v>
      </c>
      <c r="E225" s="240" t="s">
        <v>375</v>
      </c>
      <c r="F225" s="362">
        <f>opex_det!AG$172</f>
        <v>2.1667014007606629E-2</v>
      </c>
      <c r="G225" s="366">
        <f>labcap_sources!$F$72</f>
        <v>1</v>
      </c>
      <c r="H225" s="362">
        <f t="shared" si="154"/>
        <v>2.1667014007606629E-2</v>
      </c>
      <c r="I225" s="368">
        <f t="shared" si="155"/>
        <v>2.1667014007606629E-2</v>
      </c>
      <c r="J225" s="357">
        <f>labcap_sources!$G$72</f>
        <v>1.05</v>
      </c>
      <c r="K225" s="362">
        <f t="shared" si="156"/>
        <v>2.2750364707986963E-2</v>
      </c>
      <c r="L225" s="368">
        <f t="shared" si="157"/>
        <v>2.2950981280681241E-2</v>
      </c>
      <c r="M225" s="357">
        <f>labcap_sources!$H$72</f>
        <v>1.2</v>
      </c>
      <c r="N225" s="362">
        <f t="shared" si="158"/>
        <v>2.6000416809127954E-2</v>
      </c>
      <c r="O225" s="368">
        <f t="shared" si="159"/>
        <v>2.7931577552241332E-2</v>
      </c>
    </row>
    <row r="226" spans="1:15" x14ac:dyDescent="0.25">
      <c r="A226" s="2" t="s">
        <v>919</v>
      </c>
      <c r="B226" s="2" t="s">
        <v>143</v>
      </c>
      <c r="C226" s="2" t="s">
        <v>740</v>
      </c>
      <c r="D226" s="2" t="s">
        <v>828</v>
      </c>
      <c r="E226" s="19" t="s">
        <v>1077</v>
      </c>
      <c r="F226" s="363">
        <f>SUM(F222:F225)</f>
        <v>0.13366479630444852</v>
      </c>
      <c r="G226" s="366"/>
      <c r="H226" s="363">
        <f>SUM(H222:H225)</f>
        <v>0.13366479630444852</v>
      </c>
      <c r="I226" s="363">
        <f>SUM(I222:I225)</f>
        <v>0.13366479630444852</v>
      </c>
      <c r="J226" s="357"/>
      <c r="K226" s="363">
        <f>SUM(K222:K225)</f>
        <v>0.13249642040816173</v>
      </c>
      <c r="L226" s="363">
        <f>SUM(L222:L225)</f>
        <v>0.13366479630444852</v>
      </c>
      <c r="M226" s="357"/>
      <c r="N226" s="363">
        <f>SUM(N222:N225)</f>
        <v>0.12442334881095798</v>
      </c>
      <c r="O226" s="363">
        <f>SUM(O222:O225)</f>
        <v>0.1336647963044485</v>
      </c>
    </row>
    <row r="227" spans="1:15" x14ac:dyDescent="0.25">
      <c r="A227" s="2" t="s">
        <v>919</v>
      </c>
      <c r="B227" s="2" t="s">
        <v>143</v>
      </c>
      <c r="C227" s="2" t="s">
        <v>740</v>
      </c>
      <c r="D227" s="2" t="s">
        <v>828</v>
      </c>
      <c r="E227" s="367" t="s">
        <v>1068</v>
      </c>
      <c r="F227" s="359">
        <f>opex_det!AG$176</f>
        <v>4.1257682955284103E-4</v>
      </c>
      <c r="G227" s="366">
        <f>labcap_sources!$F$68</f>
        <v>1</v>
      </c>
      <c r="H227" s="369">
        <f t="shared" ref="H227:H233" si="160">$F227*G227</f>
        <v>4.1257682955284103E-4</v>
      </c>
      <c r="I227" s="357"/>
      <c r="J227" s="357">
        <f>labcap_sources!$G$68</f>
        <v>0.76252038448475634</v>
      </c>
      <c r="K227" s="369">
        <f>$H227*J227</f>
        <v>3.145982427001341E-4</v>
      </c>
      <c r="L227" s="360"/>
      <c r="M227" s="357">
        <f>labcap_sources!$H$68</f>
        <v>0.54465741748911167</v>
      </c>
      <c r="N227" s="369">
        <f>$H227*M227</f>
        <v>2.247130305000958E-4</v>
      </c>
      <c r="O227" s="360"/>
    </row>
    <row r="228" spans="1:15" x14ac:dyDescent="0.25">
      <c r="A228" s="2" t="s">
        <v>919</v>
      </c>
      <c r="B228" s="2" t="s">
        <v>143</v>
      </c>
      <c r="C228" s="2" t="s">
        <v>740</v>
      </c>
      <c r="D228" s="2" t="s">
        <v>828</v>
      </c>
      <c r="E228" s="367" t="s">
        <v>1069</v>
      </c>
      <c r="F228" s="359">
        <f>opex_det!AG$177</f>
        <v>4.48445981606745E-4</v>
      </c>
      <c r="G228" s="366">
        <f>labcap_sources!$F$68</f>
        <v>1</v>
      </c>
      <c r="H228" s="369">
        <f t="shared" si="160"/>
        <v>4.48445981606745E-4</v>
      </c>
      <c r="I228" s="357"/>
      <c r="J228" s="357">
        <f>labcap_sources!$G$68</f>
        <v>0.76252038448475634</v>
      </c>
      <c r="K228" s="369">
        <f t="shared" ref="K228:K232" si="161">$H228*J228</f>
        <v>3.4194920231541917E-4</v>
      </c>
      <c r="L228" s="360"/>
      <c r="M228" s="357">
        <f>labcap_sources!$H$68</f>
        <v>0.54465741748911167</v>
      </c>
      <c r="N228" s="369">
        <f t="shared" ref="N228:N232" si="162">$H228*M228</f>
        <v>2.4424943022529938E-4</v>
      </c>
      <c r="O228" s="360"/>
    </row>
    <row r="229" spans="1:15" x14ac:dyDescent="0.25">
      <c r="A229" s="2" t="s">
        <v>919</v>
      </c>
      <c r="B229" s="2" t="s">
        <v>143</v>
      </c>
      <c r="C229" s="2" t="s">
        <v>740</v>
      </c>
      <c r="D229" s="2" t="s">
        <v>828</v>
      </c>
      <c r="E229" s="367" t="s">
        <v>1070</v>
      </c>
      <c r="F229" s="359">
        <f>opex_det!AG$178</f>
        <v>4.0669188983245399E-3</v>
      </c>
      <c r="G229" s="366">
        <f>labcap_sources!$F$69</f>
        <v>1</v>
      </c>
      <c r="H229" s="369">
        <f t="shared" si="160"/>
        <v>4.0669188983245399E-3</v>
      </c>
      <c r="I229" s="357"/>
      <c r="J229" s="357">
        <f>labcap_sources!$G$69</f>
        <v>0.98108331323363296</v>
      </c>
      <c r="K229" s="369">
        <f t="shared" si="161"/>
        <v>3.9899862674207158E-3</v>
      </c>
      <c r="L229" s="360"/>
      <c r="M229" s="357">
        <f>labcap_sources!$H$69</f>
        <v>0.88764680721138212</v>
      </c>
      <c r="N229" s="369">
        <f t="shared" si="162"/>
        <v>3.6099875752854094E-3</v>
      </c>
      <c r="O229" s="360"/>
    </row>
    <row r="230" spans="1:15" x14ac:dyDescent="0.25">
      <c r="A230" s="2" t="s">
        <v>919</v>
      </c>
      <c r="B230" s="2" t="s">
        <v>143</v>
      </c>
      <c r="C230" s="2" t="s">
        <v>740</v>
      </c>
      <c r="D230" s="2" t="s">
        <v>828</v>
      </c>
      <c r="E230" s="367" t="s">
        <v>1071</v>
      </c>
      <c r="F230" s="359">
        <f>opex_det!AG$179</f>
        <v>1.9559406591141801E-3</v>
      </c>
      <c r="G230" s="366">
        <f>labcap_sources!$F$69</f>
        <v>1</v>
      </c>
      <c r="H230" s="369">
        <f t="shared" si="160"/>
        <v>1.9559406591141801E-3</v>
      </c>
      <c r="I230" s="357"/>
      <c r="J230" s="357">
        <f>labcap_sources!$G$69</f>
        <v>0.98108331323363296</v>
      </c>
      <c r="K230" s="369">
        <f t="shared" si="161"/>
        <v>1.9189407423321158E-3</v>
      </c>
      <c r="L230" s="360"/>
      <c r="M230" s="357">
        <f>labcap_sources!$H$69</f>
        <v>0.88764680721138212</v>
      </c>
      <c r="N230" s="369">
        <f t="shared" si="162"/>
        <v>1.7361844811576283E-3</v>
      </c>
      <c r="O230" s="360"/>
    </row>
    <row r="231" spans="1:15" x14ac:dyDescent="0.25">
      <c r="A231" s="2" t="s">
        <v>919</v>
      </c>
      <c r="B231" s="2" t="s">
        <v>143</v>
      </c>
      <c r="C231" s="2" t="s">
        <v>740</v>
      </c>
      <c r="D231" s="2" t="s">
        <v>828</v>
      </c>
      <c r="E231" s="367" t="s">
        <v>1072</v>
      </c>
      <c r="F231" s="359">
        <f>opex_det!AG$180</f>
        <v>1.6238841283597999E-3</v>
      </c>
      <c r="G231" s="366">
        <f>labcap_sources!$F$70</f>
        <v>1</v>
      </c>
      <c r="H231" s="369">
        <f t="shared" si="160"/>
        <v>1.6238841283597999E-3</v>
      </c>
      <c r="I231" s="357"/>
      <c r="J231" s="357">
        <f>labcap_sources!$G$70</f>
        <v>1.1275996407754494</v>
      </c>
      <c r="K231" s="369">
        <f t="shared" si="161"/>
        <v>1.8310911597994642E-3</v>
      </c>
      <c r="L231" s="360"/>
      <c r="M231" s="357">
        <f>labcap_sources!$H$70</f>
        <v>1.4282928783155691</v>
      </c>
      <c r="N231" s="369">
        <f t="shared" si="162"/>
        <v>2.3193821357459878E-3</v>
      </c>
      <c r="O231" s="360"/>
    </row>
    <row r="232" spans="1:15" x14ac:dyDescent="0.25">
      <c r="A232" s="2" t="s">
        <v>919</v>
      </c>
      <c r="B232" s="2" t="s">
        <v>143</v>
      </c>
      <c r="C232" s="2" t="s">
        <v>740</v>
      </c>
      <c r="D232" s="2" t="s">
        <v>828</v>
      </c>
      <c r="E232" s="367" t="s">
        <v>1073</v>
      </c>
      <c r="F232" s="359">
        <f>opex_det!AG$181</f>
        <v>8.7148272413930703E-4</v>
      </c>
      <c r="G232" s="366">
        <f>labcap_sources!$F$70</f>
        <v>1</v>
      </c>
      <c r="H232" s="369">
        <f t="shared" si="160"/>
        <v>8.7148272413930703E-4</v>
      </c>
      <c r="I232" s="357"/>
      <c r="J232" s="357">
        <f>labcap_sources!$G$70</f>
        <v>1.1275996407754494</v>
      </c>
      <c r="K232" s="369">
        <f t="shared" si="161"/>
        <v>9.8268360668149262E-4</v>
      </c>
      <c r="L232" s="360"/>
      <c r="M232" s="357">
        <f>labcap_sources!$H$70</f>
        <v>1.4282928783155691</v>
      </c>
      <c r="N232" s="369">
        <f t="shared" si="162"/>
        <v>1.2447325684632239E-3</v>
      </c>
      <c r="O232" s="360"/>
    </row>
    <row r="233" spans="1:15" x14ac:dyDescent="0.25">
      <c r="A233" s="2" t="s">
        <v>919</v>
      </c>
      <c r="B233" s="2" t="s">
        <v>143</v>
      </c>
      <c r="C233" s="2" t="s">
        <v>926</v>
      </c>
      <c r="D233" s="2" t="s">
        <v>829</v>
      </c>
      <c r="E233" s="241" t="s">
        <v>372</v>
      </c>
      <c r="F233" s="362">
        <f>opex_det!AH$169</f>
        <v>4.8317819931048079E-3</v>
      </c>
      <c r="G233" s="366">
        <f>labcap_sources!$F$77*labcap_sources!$F$74</f>
        <v>1</v>
      </c>
      <c r="H233" s="362">
        <f t="shared" si="160"/>
        <v>4.8317819931048079E-3</v>
      </c>
      <c r="I233" s="368">
        <f>H233/H$237*$F$237</f>
        <v>4.8317819931048079E-3</v>
      </c>
      <c r="J233" s="357">
        <f>labcap_sources!$G$77*labcap_sources!$G$74</f>
        <v>0.72439436526051848</v>
      </c>
      <c r="K233" s="362">
        <f>$H233*J233</f>
        <v>3.50011564997236E-3</v>
      </c>
      <c r="L233" s="368">
        <f>K233/K$237*$F$237</f>
        <v>3.5309802631222557E-3</v>
      </c>
      <c r="M233" s="357">
        <f>labcap_sources!$H$77*labcap_sources!$H$74</f>
        <v>0.43572593399128934</v>
      </c>
      <c r="N233" s="362">
        <f>$H233*M233</f>
        <v>2.1053327217878861E-3</v>
      </c>
      <c r="O233" s="368">
        <f>N233/N$237*$F$237</f>
        <v>2.2617046727975887E-3</v>
      </c>
    </row>
    <row r="234" spans="1:15" x14ac:dyDescent="0.25">
      <c r="A234" s="2" t="s">
        <v>919</v>
      </c>
      <c r="B234" s="2" t="s">
        <v>143</v>
      </c>
      <c r="C234" s="2" t="s">
        <v>926</v>
      </c>
      <c r="D234" s="2" t="s">
        <v>829</v>
      </c>
      <c r="E234" s="241" t="s">
        <v>373</v>
      </c>
      <c r="F234" s="362">
        <f>opex_det!AH$170</f>
        <v>4.6915791707123025E-2</v>
      </c>
      <c r="G234" s="366">
        <f>labcap_sources!$F$77*labcap_sources!$F$75</f>
        <v>1</v>
      </c>
      <c r="H234" s="362">
        <f t="shared" ref="H234:H236" si="163">$F234*G234</f>
        <v>4.6915791707123025E-2</v>
      </c>
      <c r="I234" s="368">
        <f>H234/H$237*$F$237</f>
        <v>4.6915791707123025E-2</v>
      </c>
      <c r="J234" s="357">
        <f>labcap_sources!$G$77*labcap_sources!$G$75</f>
        <v>0.93202914757195132</v>
      </c>
      <c r="K234" s="362">
        <f t="shared" ref="K234:K236" si="164">$H234*J234</f>
        <v>4.3726885352453095E-2</v>
      </c>
      <c r="L234" s="368">
        <f>K234/K$237*$F$237</f>
        <v>4.4112476440183006E-2</v>
      </c>
      <c r="M234" s="357">
        <f>labcap_sources!$H$77*labcap_sources!$H$75</f>
        <v>0.71011744576910574</v>
      </c>
      <c r="N234" s="362">
        <f t="shared" ref="N234:N236" si="165">$H234*M234</f>
        <v>3.3315722173297597E-2</v>
      </c>
      <c r="O234" s="368">
        <f>N234/N$237*$F$237</f>
        <v>3.5790221534667731E-2</v>
      </c>
    </row>
    <row r="235" spans="1:15" x14ac:dyDescent="0.25">
      <c r="A235" s="2" t="s">
        <v>919</v>
      </c>
      <c r="B235" s="2" t="s">
        <v>143</v>
      </c>
      <c r="C235" s="2" t="s">
        <v>926</v>
      </c>
      <c r="D235" s="2" t="s">
        <v>829</v>
      </c>
      <c r="E235" s="241" t="s">
        <v>374</v>
      </c>
      <c r="F235" s="362">
        <f>opex_det!AH$171</f>
        <v>3.8107766337768634E-2</v>
      </c>
      <c r="G235" s="366">
        <f>labcap_sources!$F$77*labcap_sources!$F$76</f>
        <v>1</v>
      </c>
      <c r="H235" s="362">
        <f t="shared" si="163"/>
        <v>3.8107766337768634E-2</v>
      </c>
      <c r="I235" s="368">
        <f>H235/H$237*$F$237</f>
        <v>3.8107766337768634E-2</v>
      </c>
      <c r="J235" s="357">
        <f>labcap_sources!$G$77*labcap_sources!$G$76</f>
        <v>1.0712196587366769</v>
      </c>
      <c r="K235" s="362">
        <f t="shared" si="164"/>
        <v>4.0821788451561543E-2</v>
      </c>
      <c r="L235" s="368">
        <f>K235/K$237*$F$237</f>
        <v>4.1181761902340026E-2</v>
      </c>
      <c r="M235" s="357">
        <f>labcap_sources!$H$77*labcap_sources!$H$76</f>
        <v>1.1426343026524552</v>
      </c>
      <c r="N235" s="362">
        <f t="shared" si="165"/>
        <v>4.3543241014998971E-2</v>
      </c>
      <c r="O235" s="368">
        <f>N235/N$237*$F$237</f>
        <v>4.6777381386416766E-2</v>
      </c>
    </row>
    <row r="236" spans="1:15" x14ac:dyDescent="0.25">
      <c r="A236" s="2" t="s">
        <v>919</v>
      </c>
      <c r="B236" s="2" t="s">
        <v>143</v>
      </c>
      <c r="C236" s="2" t="s">
        <v>926</v>
      </c>
      <c r="D236" s="2" t="s">
        <v>829</v>
      </c>
      <c r="E236" s="240" t="s">
        <v>375</v>
      </c>
      <c r="F236" s="362">
        <f>opex_det!AH$172</f>
        <v>1.7383352342651027E-2</v>
      </c>
      <c r="G236" s="366">
        <f>labcap_sources!$F$78</f>
        <v>1</v>
      </c>
      <c r="H236" s="362">
        <f t="shared" si="163"/>
        <v>1.7383352342651027E-2</v>
      </c>
      <c r="I236" s="368">
        <f>H236/H$237*$F$237</f>
        <v>1.7383352342651027E-2</v>
      </c>
      <c r="J236" s="357">
        <f>labcap_sources!$G$78</f>
        <v>1.05</v>
      </c>
      <c r="K236" s="362">
        <f t="shared" si="164"/>
        <v>1.8252519959783577E-2</v>
      </c>
      <c r="L236" s="368">
        <f>K236/K$237*$F$237</f>
        <v>1.8413473775002204E-2</v>
      </c>
      <c r="M236" s="357">
        <f>labcap_sources!$H$78</f>
        <v>1.2</v>
      </c>
      <c r="N236" s="362">
        <f t="shared" si="165"/>
        <v>2.0860022811181232E-2</v>
      </c>
      <c r="O236" s="368">
        <f>N236/N$237*$F$237</f>
        <v>2.2409384786765421E-2</v>
      </c>
    </row>
    <row r="237" spans="1:15" x14ac:dyDescent="0.25">
      <c r="A237" s="2" t="s">
        <v>919</v>
      </c>
      <c r="B237" s="2" t="s">
        <v>143</v>
      </c>
      <c r="C237" s="2" t="s">
        <v>926</v>
      </c>
      <c r="D237" s="2" t="s">
        <v>829</v>
      </c>
      <c r="E237" s="19" t="s">
        <v>1077</v>
      </c>
      <c r="F237" s="363">
        <f>SUM(F233:F236)</f>
        <v>0.1072386923806475</v>
      </c>
      <c r="G237" s="366"/>
      <c r="H237" s="363">
        <f>SUM(H233:H236)</f>
        <v>0.1072386923806475</v>
      </c>
      <c r="I237" s="363">
        <f>SUM(I233:I236)</f>
        <v>0.1072386923806475</v>
      </c>
      <c r="J237" s="357"/>
      <c r="K237" s="363">
        <f>SUM(K233:K236)</f>
        <v>0.10630130941377058</v>
      </c>
      <c r="L237" s="363">
        <f>SUM(L233:L236)</f>
        <v>0.1072386923806475</v>
      </c>
      <c r="M237" s="357"/>
      <c r="N237" s="363">
        <f>SUM(N233:N236)</f>
        <v>9.9824318721265681E-2</v>
      </c>
      <c r="O237" s="363">
        <f>SUM(O233:O236)</f>
        <v>0.10723869238064751</v>
      </c>
    </row>
    <row r="238" spans="1:15" x14ac:dyDescent="0.25">
      <c r="A238" s="2" t="s">
        <v>919</v>
      </c>
      <c r="B238" s="2" t="s">
        <v>143</v>
      </c>
      <c r="C238" s="2" t="s">
        <v>926</v>
      </c>
      <c r="D238" s="2" t="s">
        <v>829</v>
      </c>
      <c r="E238" s="367" t="s">
        <v>1068</v>
      </c>
      <c r="F238" s="359">
        <f>opex_det!AH$176</f>
        <v>4.1257682955284103E-4</v>
      </c>
      <c r="G238" s="366">
        <f>labcap_sources!$F$74</f>
        <v>1</v>
      </c>
      <c r="H238" s="369">
        <f t="shared" ref="H238:H244" si="166">$F238*G238</f>
        <v>4.1257682955284103E-4</v>
      </c>
      <c r="I238" s="357"/>
      <c r="J238" s="357">
        <f>labcap_sources!$G$74</f>
        <v>0.76252038448475634</v>
      </c>
      <c r="K238" s="369">
        <f>$H238*J238</f>
        <v>3.145982427001341E-4</v>
      </c>
      <c r="L238" s="360"/>
      <c r="M238" s="357">
        <f>labcap_sources!$H$74</f>
        <v>0.54465741748911167</v>
      </c>
      <c r="N238" s="369">
        <f>$H238*M238</f>
        <v>2.247130305000958E-4</v>
      </c>
      <c r="O238" s="360"/>
    </row>
    <row r="239" spans="1:15" x14ac:dyDescent="0.25">
      <c r="A239" s="2" t="s">
        <v>919</v>
      </c>
      <c r="B239" s="2" t="s">
        <v>143</v>
      </c>
      <c r="C239" s="2" t="s">
        <v>926</v>
      </c>
      <c r="D239" s="2" t="s">
        <v>829</v>
      </c>
      <c r="E239" s="367" t="s">
        <v>1069</v>
      </c>
      <c r="F239" s="359">
        <f>opex_det!AH$177</f>
        <v>4.48445981606745E-4</v>
      </c>
      <c r="G239" s="366">
        <f>labcap_sources!$F$74</f>
        <v>1</v>
      </c>
      <c r="H239" s="369">
        <f t="shared" si="166"/>
        <v>4.48445981606745E-4</v>
      </c>
      <c r="I239" s="357"/>
      <c r="J239" s="357">
        <f>labcap_sources!$G$74</f>
        <v>0.76252038448475634</v>
      </c>
      <c r="K239" s="369">
        <f t="shared" ref="K239:K243" si="167">$H239*J239</f>
        <v>3.4194920231541917E-4</v>
      </c>
      <c r="L239" s="360"/>
      <c r="M239" s="357">
        <f>labcap_sources!$H$74</f>
        <v>0.54465741748911167</v>
      </c>
      <c r="N239" s="369">
        <f t="shared" ref="N239:N243" si="168">$H239*M239</f>
        <v>2.4424943022529938E-4</v>
      </c>
      <c r="O239" s="360"/>
    </row>
    <row r="240" spans="1:15" x14ac:dyDescent="0.25">
      <c r="A240" s="2" t="s">
        <v>919</v>
      </c>
      <c r="B240" s="2" t="s">
        <v>143</v>
      </c>
      <c r="C240" s="2" t="s">
        <v>926</v>
      </c>
      <c r="D240" s="2" t="s">
        <v>829</v>
      </c>
      <c r="E240" s="367" t="s">
        <v>1070</v>
      </c>
      <c r="F240" s="359">
        <f>opex_det!AH$178</f>
        <v>4.0669188983245399E-3</v>
      </c>
      <c r="G240" s="366">
        <f>labcap_sources!$F$75</f>
        <v>1</v>
      </c>
      <c r="H240" s="369">
        <f t="shared" si="166"/>
        <v>4.0669188983245399E-3</v>
      </c>
      <c r="I240" s="357"/>
      <c r="J240" s="357">
        <f>labcap_sources!$G$75</f>
        <v>0.98108331323363296</v>
      </c>
      <c r="K240" s="369">
        <f t="shared" si="167"/>
        <v>3.9899862674207158E-3</v>
      </c>
      <c r="L240" s="360"/>
      <c r="M240" s="357">
        <f>labcap_sources!$H$75</f>
        <v>0.88764680721138212</v>
      </c>
      <c r="N240" s="369">
        <f t="shared" si="168"/>
        <v>3.6099875752854094E-3</v>
      </c>
      <c r="O240" s="360"/>
    </row>
    <row r="241" spans="1:15" x14ac:dyDescent="0.25">
      <c r="A241" s="2" t="s">
        <v>919</v>
      </c>
      <c r="B241" s="2" t="s">
        <v>143</v>
      </c>
      <c r="C241" s="2" t="s">
        <v>926</v>
      </c>
      <c r="D241" s="2" t="s">
        <v>829</v>
      </c>
      <c r="E241" s="367" t="s">
        <v>1071</v>
      </c>
      <c r="F241" s="359">
        <f>opex_det!AH$179</f>
        <v>1.9559406591141801E-3</v>
      </c>
      <c r="G241" s="366">
        <f>labcap_sources!$F$75</f>
        <v>1</v>
      </c>
      <c r="H241" s="369">
        <f t="shared" si="166"/>
        <v>1.9559406591141801E-3</v>
      </c>
      <c r="I241" s="357"/>
      <c r="J241" s="357">
        <f>labcap_sources!$G$75</f>
        <v>0.98108331323363296</v>
      </c>
      <c r="K241" s="369">
        <f t="shared" si="167"/>
        <v>1.9189407423321158E-3</v>
      </c>
      <c r="L241" s="360"/>
      <c r="M241" s="357">
        <f>labcap_sources!$H$75</f>
        <v>0.88764680721138212</v>
      </c>
      <c r="N241" s="369">
        <f t="shared" si="168"/>
        <v>1.7361844811576283E-3</v>
      </c>
      <c r="O241" s="360"/>
    </row>
    <row r="242" spans="1:15" x14ac:dyDescent="0.25">
      <c r="A242" s="2" t="s">
        <v>919</v>
      </c>
      <c r="B242" s="2" t="s">
        <v>143</v>
      </c>
      <c r="C242" s="2" t="s">
        <v>926</v>
      </c>
      <c r="D242" s="2" t="s">
        <v>829</v>
      </c>
      <c r="E242" s="367" t="s">
        <v>1072</v>
      </c>
      <c r="F242" s="359">
        <f>opex_det!AH$180</f>
        <v>1.6238841283597999E-3</v>
      </c>
      <c r="G242" s="366">
        <f>labcap_sources!$F$76</f>
        <v>1</v>
      </c>
      <c r="H242" s="369">
        <f t="shared" si="166"/>
        <v>1.6238841283597999E-3</v>
      </c>
      <c r="I242" s="357"/>
      <c r="J242" s="357">
        <f>labcap_sources!$G$76</f>
        <v>1.1275996407754494</v>
      </c>
      <c r="K242" s="369">
        <f t="shared" si="167"/>
        <v>1.8310911597994642E-3</v>
      </c>
      <c r="L242" s="360"/>
      <c r="M242" s="357">
        <f>labcap_sources!$H$76</f>
        <v>1.4282928783155691</v>
      </c>
      <c r="N242" s="369">
        <f t="shared" si="168"/>
        <v>2.3193821357459878E-3</v>
      </c>
      <c r="O242" s="360"/>
    </row>
    <row r="243" spans="1:15" x14ac:dyDescent="0.25">
      <c r="A243" s="2" t="s">
        <v>919</v>
      </c>
      <c r="B243" s="2" t="s">
        <v>143</v>
      </c>
      <c r="C243" s="2" t="s">
        <v>926</v>
      </c>
      <c r="D243" s="2" t="s">
        <v>829</v>
      </c>
      <c r="E243" s="367" t="s">
        <v>1073</v>
      </c>
      <c r="F243" s="359">
        <f>opex_det!AH$181</f>
        <v>8.7148272413930703E-4</v>
      </c>
      <c r="G243" s="366">
        <f>labcap_sources!$F$76</f>
        <v>1</v>
      </c>
      <c r="H243" s="369">
        <f t="shared" si="166"/>
        <v>8.7148272413930703E-4</v>
      </c>
      <c r="I243" s="357"/>
      <c r="J243" s="357">
        <f>labcap_sources!$G$76</f>
        <v>1.1275996407754494</v>
      </c>
      <c r="K243" s="369">
        <f t="shared" si="167"/>
        <v>9.8268360668149262E-4</v>
      </c>
      <c r="L243" s="360"/>
      <c r="M243" s="357">
        <f>labcap_sources!$H$76</f>
        <v>1.4282928783155691</v>
      </c>
      <c r="N243" s="369">
        <f t="shared" si="168"/>
        <v>1.2447325684632239E-3</v>
      </c>
      <c r="O243" s="360"/>
    </row>
    <row r="244" spans="1:15" x14ac:dyDescent="0.25">
      <c r="A244" s="2" t="s">
        <v>917</v>
      </c>
      <c r="B244" s="2" t="s">
        <v>159</v>
      </c>
      <c r="C244" s="2" t="s">
        <v>735</v>
      </c>
      <c r="D244" s="2" t="s">
        <v>904</v>
      </c>
      <c r="E244" s="241" t="s">
        <v>372</v>
      </c>
      <c r="F244" s="362">
        <f>opex_det!AP$169</f>
        <v>1.05295467349773E-2</v>
      </c>
      <c r="G244" s="366">
        <f>labcap_sources!$F$83*labcap_sources!$F$80</f>
        <v>1</v>
      </c>
      <c r="H244" s="362">
        <f t="shared" si="166"/>
        <v>1.05295467349773E-2</v>
      </c>
      <c r="I244" s="368">
        <f>H244/H$248*$F$248</f>
        <v>1.05295467349773E-2</v>
      </c>
      <c r="J244" s="357">
        <f>labcap_sources!$G$83*labcap_sources!$G$80</f>
        <v>0.78091193233536782</v>
      </c>
      <c r="K244" s="362">
        <f>$H244*J244</f>
        <v>8.2226486874266858E-3</v>
      </c>
      <c r="L244" s="368">
        <f>K244/K$248*$F$248</f>
        <v>8.1387241027885086E-3</v>
      </c>
      <c r="M244" s="357">
        <f>labcap_sources!$H$83*labcap_sources!$H$80</f>
        <v>0.46972146305886792</v>
      </c>
      <c r="N244" s="362">
        <f>$H244*M244</f>
        <v>4.9459540977002635E-3</v>
      </c>
      <c r="O244" s="368">
        <f>N244/N$248*$F$248</f>
        <v>4.9912029826228999E-3</v>
      </c>
    </row>
    <row r="245" spans="1:15" x14ac:dyDescent="0.25">
      <c r="A245" s="2" t="s">
        <v>917</v>
      </c>
      <c r="B245" s="2" t="s">
        <v>159</v>
      </c>
      <c r="C245" s="2" t="s">
        <v>735</v>
      </c>
      <c r="D245" s="2" t="s">
        <v>904</v>
      </c>
      <c r="E245" s="241" t="s">
        <v>373</v>
      </c>
      <c r="F245" s="362">
        <f>opex_det!AP$170</f>
        <v>0.101711858375403</v>
      </c>
      <c r="G245" s="366">
        <f>labcap_sources!$F$83*labcap_sources!$F$81</f>
        <v>1</v>
      </c>
      <c r="H245" s="362">
        <f t="shared" ref="H245:H247" si="169">$F245*G245</f>
        <v>0.101711858375403</v>
      </c>
      <c r="I245" s="368">
        <f>H245/H$248*$F$248</f>
        <v>0.101711858375403</v>
      </c>
      <c r="J245" s="357">
        <f>labcap_sources!$G$83*labcap_sources!$G$81</f>
        <v>0.90402852755274776</v>
      </c>
      <c r="K245" s="362">
        <f t="shared" ref="K245:K247" si="170">$H245*J245</f>
        <v>9.1950421561769191E-2</v>
      </c>
      <c r="L245" s="368">
        <f>K245/K$248*$F$248</f>
        <v>9.1011928233132061E-2</v>
      </c>
      <c r="M245" s="357">
        <f>labcap_sources!$H$83*labcap_sources!$H$81</f>
        <v>0.68878364004018877</v>
      </c>
      <c r="N245" s="362">
        <f t="shared" ref="N245:N247" si="171">$H245*M245</f>
        <v>7.0057464047062243E-2</v>
      </c>
      <c r="O245" s="368">
        <f>N245/N$248*$F$248</f>
        <v>7.0698396426542104E-2</v>
      </c>
    </row>
    <row r="246" spans="1:15" x14ac:dyDescent="0.25">
      <c r="A246" s="2" t="s">
        <v>917</v>
      </c>
      <c r="B246" s="2" t="s">
        <v>159</v>
      </c>
      <c r="C246" s="2" t="s">
        <v>735</v>
      </c>
      <c r="D246" s="2" t="s">
        <v>904</v>
      </c>
      <c r="E246" s="241" t="s">
        <v>374</v>
      </c>
      <c r="F246" s="362">
        <f>opex_det!AP$171</f>
        <v>8.26046924153198E-2</v>
      </c>
      <c r="G246" s="366">
        <f>labcap_sources!$F$83*labcap_sources!$F$82</f>
        <v>1</v>
      </c>
      <c r="H246" s="362">
        <f t="shared" si="169"/>
        <v>8.26046924153198E-2</v>
      </c>
      <c r="I246" s="368">
        <f>H246/H$248*$F$248</f>
        <v>8.26046924153198E-2</v>
      </c>
      <c r="J246" s="357">
        <f>labcap_sources!$G$83*labcap_sources!$G$82</f>
        <v>1.127344341561078</v>
      </c>
      <c r="K246" s="362">
        <f t="shared" si="170"/>
        <v>9.3123932580804078E-2</v>
      </c>
      <c r="L246" s="368">
        <f>K246/K$248*$F$248</f>
        <v>9.2173461794709546E-2</v>
      </c>
      <c r="M246" s="357">
        <f>labcap_sources!$H$83*labcap_sources!$H$82</f>
        <v>1.2025006309984834</v>
      </c>
      <c r="N246" s="362">
        <f t="shared" si="171"/>
        <v>9.9332194752857692E-2</v>
      </c>
      <c r="O246" s="368">
        <f>N246/N$248*$F$248</f>
        <v>0.10024095188256393</v>
      </c>
    </row>
    <row r="247" spans="1:15" x14ac:dyDescent="0.25">
      <c r="A247" s="2" t="s">
        <v>917</v>
      </c>
      <c r="B247" s="2" t="s">
        <v>159</v>
      </c>
      <c r="C247" s="2" t="s">
        <v>735</v>
      </c>
      <c r="D247" s="2" t="s">
        <v>904</v>
      </c>
      <c r="E247" s="240" t="s">
        <v>375</v>
      </c>
      <c r="F247" s="362">
        <f>opex_det!AP$172</f>
        <v>8.9656316685048101E-2</v>
      </c>
      <c r="G247" s="366">
        <f>labcap_sources!$F$84</f>
        <v>1</v>
      </c>
      <c r="H247" s="362">
        <f t="shared" si="169"/>
        <v>8.9656316685048101E-2</v>
      </c>
      <c r="I247" s="368">
        <f>H247/H$248*$F$248</f>
        <v>8.9656316685048101E-2</v>
      </c>
      <c r="J247" s="357">
        <f>labcap_sources!$G$84</f>
        <v>1.05</v>
      </c>
      <c r="K247" s="362">
        <f t="shared" si="170"/>
        <v>9.4139132519300506E-2</v>
      </c>
      <c r="L247" s="368">
        <f>K247/K$248*$F$248</f>
        <v>9.3178300080118057E-2</v>
      </c>
      <c r="M247" s="357">
        <f>labcap_sources!$H$84</f>
        <v>1.2</v>
      </c>
      <c r="N247" s="362">
        <f t="shared" si="171"/>
        <v>0.10758758002205772</v>
      </c>
      <c r="O247" s="368">
        <f>N247/N$248*$F$248</f>
        <v>0.10857186291901921</v>
      </c>
    </row>
    <row r="248" spans="1:15" x14ac:dyDescent="0.25">
      <c r="A248" s="2" t="s">
        <v>917</v>
      </c>
      <c r="B248" s="2" t="s">
        <v>159</v>
      </c>
      <c r="C248" s="2" t="s">
        <v>735</v>
      </c>
      <c r="D248" s="2" t="s">
        <v>904</v>
      </c>
      <c r="E248" s="19" t="s">
        <v>1077</v>
      </c>
      <c r="F248" s="363">
        <f>SUM(F244:F247)</f>
        <v>0.28450241421074818</v>
      </c>
      <c r="G248" s="366"/>
      <c r="H248" s="363">
        <f>SUM(H244:H247)</f>
        <v>0.28450241421074818</v>
      </c>
      <c r="I248" s="363">
        <f>SUM(I244:I247)</f>
        <v>0.28450241421074818</v>
      </c>
      <c r="J248" s="357"/>
      <c r="K248" s="363">
        <f>SUM(K244:K247)</f>
        <v>0.28743613534930046</v>
      </c>
      <c r="L248" s="363">
        <f>SUM(L244:L247)</f>
        <v>0.28450241421074818</v>
      </c>
      <c r="M248" s="357"/>
      <c r="N248" s="363">
        <f>SUM(N244:N247)</f>
        <v>0.28192319291967793</v>
      </c>
      <c r="O248" s="363">
        <f>SUM(O244:O247)</f>
        <v>0.28450241421074818</v>
      </c>
    </row>
    <row r="249" spans="1:15" x14ac:dyDescent="0.25">
      <c r="A249" s="2" t="s">
        <v>917</v>
      </c>
      <c r="B249" s="2" t="s">
        <v>159</v>
      </c>
      <c r="C249" s="2" t="s">
        <v>735</v>
      </c>
      <c r="D249" s="2" t="s">
        <v>904</v>
      </c>
      <c r="E249" s="367" t="s">
        <v>1068</v>
      </c>
      <c r="F249" s="359">
        <f>opex_det!AP$176</f>
        <v>7.1718872118275499E-5</v>
      </c>
      <c r="G249" s="366">
        <f>labcap_sources!$F$80</f>
        <v>1</v>
      </c>
      <c r="H249" s="369">
        <f t="shared" ref="H249:H255" si="172">$F249*G249</f>
        <v>7.1718872118275499E-5</v>
      </c>
      <c r="I249" s="357"/>
      <c r="J249" s="357">
        <f>labcap_sources!$G$80</f>
        <v>0.82201256035301884</v>
      </c>
      <c r="K249" s="369">
        <f>$H249*J249</f>
        <v>5.8953813695574376E-5</v>
      </c>
      <c r="L249" s="360"/>
      <c r="M249" s="357">
        <f>labcap_sources!$H$80</f>
        <v>0.58715182882358485</v>
      </c>
      <c r="N249" s="369">
        <f>$H249*M249</f>
        <v>4.210986692541027E-5</v>
      </c>
      <c r="O249" s="360"/>
    </row>
    <row r="250" spans="1:15" x14ac:dyDescent="0.25">
      <c r="A250" s="2" t="s">
        <v>917</v>
      </c>
      <c r="B250" s="2" t="s">
        <v>159</v>
      </c>
      <c r="C250" s="2" t="s">
        <v>735</v>
      </c>
      <c r="D250" s="2" t="s">
        <v>904</v>
      </c>
      <c r="E250" s="367" t="s">
        <v>1069</v>
      </c>
      <c r="F250" s="359">
        <f>opex_det!AP$177</f>
        <v>9.0901649153739202E-5</v>
      </c>
      <c r="G250" s="366">
        <f>labcap_sources!$F$80</f>
        <v>1</v>
      </c>
      <c r="H250" s="369">
        <f t="shared" si="172"/>
        <v>9.0901649153739202E-5</v>
      </c>
      <c r="I250" s="357"/>
      <c r="J250" s="357">
        <f>labcap_sources!$G$80</f>
        <v>0.82201256035301884</v>
      </c>
      <c r="K250" s="369">
        <f t="shared" ref="K250:K254" si="173">$H250*J250</f>
        <v>7.472229736117699E-5</v>
      </c>
      <c r="L250" s="360"/>
      <c r="M250" s="357">
        <f>labcap_sources!$H$80</f>
        <v>0.58715182882358485</v>
      </c>
      <c r="N250" s="369">
        <f t="shared" ref="N250:N254" si="174">$H250*M250</f>
        <v>5.3373069543697846E-5</v>
      </c>
      <c r="O250" s="360"/>
    </row>
    <row r="251" spans="1:15" x14ac:dyDescent="0.25">
      <c r="A251" s="2" t="s">
        <v>917</v>
      </c>
      <c r="B251" s="2" t="s">
        <v>159</v>
      </c>
      <c r="C251" s="2" t="s">
        <v>735</v>
      </c>
      <c r="D251" s="2" t="s">
        <v>904</v>
      </c>
      <c r="E251" s="367" t="s">
        <v>1070</v>
      </c>
      <c r="F251" s="359">
        <f>opex_det!AP$178</f>
        <v>8.8546909302365698E-4</v>
      </c>
      <c r="G251" s="366">
        <f>labcap_sources!$F$81</f>
        <v>1</v>
      </c>
      <c r="H251" s="369">
        <f t="shared" si="172"/>
        <v>8.8546909302365698E-4</v>
      </c>
      <c r="I251" s="357"/>
      <c r="J251" s="357">
        <f>labcap_sources!$G$81</f>
        <v>0.95160897637131348</v>
      </c>
      <c r="K251" s="369">
        <f t="shared" si="173"/>
        <v>8.4262033722067758E-4</v>
      </c>
      <c r="L251" s="360"/>
      <c r="M251" s="357">
        <f>labcap_sources!$H$81</f>
        <v>0.86097955005023596</v>
      </c>
      <c r="N251" s="369">
        <f t="shared" si="174"/>
        <v>7.6237078129489874E-4</v>
      </c>
      <c r="O251" s="360"/>
    </row>
    <row r="252" spans="1:15" x14ac:dyDescent="0.25">
      <c r="A252" s="2" t="s">
        <v>917</v>
      </c>
      <c r="B252" s="2" t="s">
        <v>159</v>
      </c>
      <c r="C252" s="2" t="s">
        <v>735</v>
      </c>
      <c r="D252" s="2" t="s">
        <v>904</v>
      </c>
      <c r="E252" s="367" t="s">
        <v>1071</v>
      </c>
      <c r="F252" s="359">
        <f>opex_det!AP$179</f>
        <v>3.7879493749067798E-4</v>
      </c>
      <c r="G252" s="366">
        <f>labcap_sources!$F$81</f>
        <v>1</v>
      </c>
      <c r="H252" s="369">
        <f t="shared" si="172"/>
        <v>3.7879493749067798E-4</v>
      </c>
      <c r="I252" s="357"/>
      <c r="J252" s="357">
        <f>labcap_sources!$G$81</f>
        <v>0.95160897637131348</v>
      </c>
      <c r="K252" s="369">
        <f t="shared" si="173"/>
        <v>3.6046466272013974E-4</v>
      </c>
      <c r="L252" s="360"/>
      <c r="M252" s="357">
        <f>labcap_sources!$H$81</f>
        <v>0.86097955005023596</v>
      </c>
      <c r="N252" s="369">
        <f t="shared" si="174"/>
        <v>3.2613469484203119E-4</v>
      </c>
      <c r="O252" s="360"/>
    </row>
    <row r="253" spans="1:15" x14ac:dyDescent="0.25">
      <c r="A253" s="2" t="s">
        <v>917</v>
      </c>
      <c r="B253" s="2" t="s">
        <v>159</v>
      </c>
      <c r="C253" s="2" t="s">
        <v>735</v>
      </c>
      <c r="D253" s="2" t="s">
        <v>904</v>
      </c>
      <c r="E253" s="367" t="s">
        <v>1072</v>
      </c>
      <c r="F253" s="359">
        <f>opex_det!AP$180</f>
        <v>3.4534530815274301E-4</v>
      </c>
      <c r="G253" s="366">
        <f>labcap_sources!$F$82</f>
        <v>1</v>
      </c>
      <c r="H253" s="369">
        <f t="shared" si="172"/>
        <v>3.4534530815274301E-4</v>
      </c>
      <c r="I253" s="357"/>
      <c r="J253" s="357">
        <f>labcap_sources!$G$82</f>
        <v>1.1866782542748189</v>
      </c>
      <c r="K253" s="369">
        <f t="shared" si="173"/>
        <v>4.0981376740069646E-4</v>
      </c>
      <c r="L253" s="360"/>
      <c r="M253" s="357">
        <f>labcap_sources!$H$82</f>
        <v>1.503125788748104</v>
      </c>
      <c r="N253" s="369">
        <f t="shared" si="174"/>
        <v>5.1909743870754885E-4</v>
      </c>
      <c r="O253" s="360"/>
    </row>
    <row r="254" spans="1:15" x14ac:dyDescent="0.25">
      <c r="A254" s="2" t="s">
        <v>917</v>
      </c>
      <c r="B254" s="2" t="s">
        <v>159</v>
      </c>
      <c r="C254" s="2" t="s">
        <v>735</v>
      </c>
      <c r="D254" s="2" t="s">
        <v>904</v>
      </c>
      <c r="E254" s="367" t="s">
        <v>1073</v>
      </c>
      <c r="F254" s="359">
        <f>opex_det!AP$181</f>
        <v>1.3742887021158401E-4</v>
      </c>
      <c r="G254" s="366">
        <f>labcap_sources!$F$82</f>
        <v>1</v>
      </c>
      <c r="H254" s="369">
        <f t="shared" si="172"/>
        <v>1.3742887021158401E-4</v>
      </c>
      <c r="I254" s="357"/>
      <c r="J254" s="357">
        <f>labcap_sources!$G$82</f>
        <v>1.1866782542748189</v>
      </c>
      <c r="K254" s="369">
        <f t="shared" si="173"/>
        <v>1.6308385178964317E-4</v>
      </c>
      <c r="L254" s="360"/>
      <c r="M254" s="357">
        <f>labcap_sources!$H$82</f>
        <v>1.503125788748104</v>
      </c>
      <c r="N254" s="369">
        <f t="shared" si="174"/>
        <v>2.0657287893354804E-4</v>
      </c>
      <c r="O254" s="360"/>
    </row>
    <row r="255" spans="1:15" x14ac:dyDescent="0.25">
      <c r="A255" s="2" t="s">
        <v>917</v>
      </c>
      <c r="B255" s="2" t="s">
        <v>159</v>
      </c>
      <c r="C255" s="2" t="s">
        <v>736</v>
      </c>
      <c r="D255" s="2" t="s">
        <v>970</v>
      </c>
      <c r="E255" s="241" t="s">
        <v>372</v>
      </c>
      <c r="F255" s="362">
        <f>opex_det!AQ$169</f>
        <v>8.4740798731724274E-3</v>
      </c>
      <c r="G255" s="366">
        <f>labcap_sources!$F$89*labcap_sources!$F$86</f>
        <v>1</v>
      </c>
      <c r="H255" s="362">
        <f t="shared" si="172"/>
        <v>8.4740798731724274E-3</v>
      </c>
      <c r="I255" s="368">
        <f>H255/H$259*$F$259</f>
        <v>8.4740798731724274E-3</v>
      </c>
      <c r="J255" s="357">
        <f>labcap_sources!$G$89*labcap_sources!$G$86</f>
        <v>0.78091193233536782</v>
      </c>
      <c r="K255" s="362">
        <f>$H255*J255</f>
        <v>6.6175100885233294E-3</v>
      </c>
      <c r="L255" s="368">
        <f>K255/K$259*$F$259</f>
        <v>6.5336936800498759E-3</v>
      </c>
      <c r="M255" s="357">
        <f>labcap_sources!$H$89*labcap_sources!$H$86</f>
        <v>0.46972146305886792</v>
      </c>
      <c r="N255" s="362">
        <f>$H255*M255</f>
        <v>3.9804571961042584E-3</v>
      </c>
      <c r="O255" s="368">
        <f>N255/N$259*$F$259</f>
        <v>3.963845423234952E-3</v>
      </c>
    </row>
    <row r="256" spans="1:15" x14ac:dyDescent="0.25">
      <c r="A256" s="2" t="s">
        <v>917</v>
      </c>
      <c r="B256" s="2" t="s">
        <v>159</v>
      </c>
      <c r="C256" s="2" t="s">
        <v>736</v>
      </c>
      <c r="D256" s="2" t="s">
        <v>970</v>
      </c>
      <c r="E256" s="241" t="s">
        <v>373</v>
      </c>
      <c r="F256" s="362">
        <f>opex_det!AQ$170</f>
        <v>8.1856744038073276E-2</v>
      </c>
      <c r="G256" s="366">
        <f>labcap_sources!$F$89*labcap_sources!$F$87</f>
        <v>1</v>
      </c>
      <c r="H256" s="362">
        <f t="shared" ref="H256:H258" si="175">$F256*G256</f>
        <v>8.1856744038073276E-2</v>
      </c>
      <c r="I256" s="368">
        <f>H256/H$259*$F$259</f>
        <v>8.1856744038073276E-2</v>
      </c>
      <c r="J256" s="357">
        <f>labcap_sources!$G$89*labcap_sources!$G$87</f>
        <v>0.90402852755274776</v>
      </c>
      <c r="K256" s="362">
        <f t="shared" ref="K256:K258" si="176">$H256*J256</f>
        <v>7.4000831783001542E-2</v>
      </c>
      <c r="L256" s="368">
        <f>K256/K$259*$F$259</f>
        <v>7.3063548142912146E-2</v>
      </c>
      <c r="M256" s="357">
        <f>labcap_sources!$H$89*labcap_sources!$H$87</f>
        <v>0.68878364004018877</v>
      </c>
      <c r="N256" s="362">
        <f t="shared" ref="N256:N258" si="177">$H256*M256</f>
        <v>5.6381586120382132E-2</v>
      </c>
      <c r="O256" s="368">
        <f>N256/N$259*$F$259</f>
        <v>5.6146286993548233E-2</v>
      </c>
    </row>
    <row r="257" spans="1:15" x14ac:dyDescent="0.25">
      <c r="A257" s="2" t="s">
        <v>917</v>
      </c>
      <c r="B257" s="2" t="s">
        <v>159</v>
      </c>
      <c r="C257" s="2" t="s">
        <v>736</v>
      </c>
      <c r="D257" s="2" t="s">
        <v>970</v>
      </c>
      <c r="E257" s="241" t="s">
        <v>374</v>
      </c>
      <c r="F257" s="362">
        <f>opex_det!AQ$171</f>
        <v>6.6479477136559731E-2</v>
      </c>
      <c r="G257" s="366">
        <f>labcap_sources!$F$89*labcap_sources!$F$88</f>
        <v>1</v>
      </c>
      <c r="H257" s="362">
        <f t="shared" si="175"/>
        <v>6.6479477136559731E-2</v>
      </c>
      <c r="I257" s="368">
        <f>H257/H$259*$F$259</f>
        <v>6.6479477136559731E-2</v>
      </c>
      <c r="J257" s="357">
        <f>labcap_sources!$G$89*labcap_sources!$G$88</f>
        <v>1.127344341561078</v>
      </c>
      <c r="K257" s="362">
        <f t="shared" si="176"/>
        <v>7.4945262379839672E-2</v>
      </c>
      <c r="L257" s="368">
        <f>K257/K$259*$F$259</f>
        <v>7.3996016720860924E-2</v>
      </c>
      <c r="M257" s="357">
        <f>labcap_sources!$H$89*labcap_sources!$H$88</f>
        <v>1.2025006309984834</v>
      </c>
      <c r="N257" s="362">
        <f t="shared" si="177"/>
        <v>7.9941613205162326E-2</v>
      </c>
      <c r="O257" s="368">
        <f>N257/N$259*$F$259</f>
        <v>7.9607990242787599E-2</v>
      </c>
    </row>
    <row r="258" spans="1:15" x14ac:dyDescent="0.25">
      <c r="A258" s="2" t="s">
        <v>917</v>
      </c>
      <c r="B258" s="2" t="s">
        <v>159</v>
      </c>
      <c r="C258" s="2" t="s">
        <v>736</v>
      </c>
      <c r="D258" s="2" t="s">
        <v>970</v>
      </c>
      <c r="E258" s="240" t="s">
        <v>375</v>
      </c>
      <c r="F258" s="362">
        <f>opex_det!AQ$172</f>
        <v>8.7655792749954095E-2</v>
      </c>
      <c r="G258" s="366">
        <f>labcap_sources!$F$90</f>
        <v>1</v>
      </c>
      <c r="H258" s="362">
        <f t="shared" si="175"/>
        <v>8.7655792749954095E-2</v>
      </c>
      <c r="I258" s="368">
        <f>H258/H$259*$F$259</f>
        <v>8.7655792749954095E-2</v>
      </c>
      <c r="J258" s="357">
        <f>labcap_sources!$G$90</f>
        <v>1.05</v>
      </c>
      <c r="K258" s="362">
        <f t="shared" si="176"/>
        <v>9.2038582387451801E-2</v>
      </c>
      <c r="L258" s="368">
        <f>K258/K$259*$F$259</f>
        <v>9.0872835253936551E-2</v>
      </c>
      <c r="M258" s="357">
        <f>labcap_sources!$H$90</f>
        <v>1.2</v>
      </c>
      <c r="N258" s="362">
        <f t="shared" si="177"/>
        <v>0.10518695129994492</v>
      </c>
      <c r="O258" s="368">
        <f>N258/N$259*$F$259</f>
        <v>0.10474797113818872</v>
      </c>
    </row>
    <row r="259" spans="1:15" x14ac:dyDescent="0.25">
      <c r="A259" s="2" t="s">
        <v>917</v>
      </c>
      <c r="B259" s="2" t="s">
        <v>159</v>
      </c>
      <c r="C259" s="2" t="s">
        <v>736</v>
      </c>
      <c r="D259" s="2" t="s">
        <v>970</v>
      </c>
      <c r="E259" s="19" t="s">
        <v>1077</v>
      </c>
      <c r="F259" s="363">
        <f>SUM(F255:F258)</f>
        <v>0.24446609379775952</v>
      </c>
      <c r="G259" s="366"/>
      <c r="H259" s="363">
        <f>SUM(H255:H258)</f>
        <v>0.24446609379775952</v>
      </c>
      <c r="I259" s="363">
        <f>SUM(I255:I258)</f>
        <v>0.24446609379775952</v>
      </c>
      <c r="J259" s="357"/>
      <c r="K259" s="363">
        <f>SUM(K255:K258)</f>
        <v>0.24760218663881636</v>
      </c>
      <c r="L259" s="363">
        <f>SUM(L255:L258)</f>
        <v>0.24446609379775949</v>
      </c>
      <c r="M259" s="357"/>
      <c r="N259" s="363">
        <f>SUM(N255:N258)</f>
        <v>0.24549060782159365</v>
      </c>
      <c r="O259" s="363">
        <f>SUM(O255:O258)</f>
        <v>0.24446609379775952</v>
      </c>
    </row>
    <row r="260" spans="1:15" x14ac:dyDescent="0.25">
      <c r="A260" s="2" t="s">
        <v>917</v>
      </c>
      <c r="B260" s="2" t="s">
        <v>159</v>
      </c>
      <c r="C260" s="2" t="s">
        <v>736</v>
      </c>
      <c r="D260" s="2" t="s">
        <v>970</v>
      </c>
      <c r="E260" s="367" t="s">
        <v>1068</v>
      </c>
      <c r="F260" s="359">
        <f>opex_det!AQ$176</f>
        <v>7.1718872118275499E-5</v>
      </c>
      <c r="G260" s="366">
        <f>labcap_sources!$F$86</f>
        <v>1</v>
      </c>
      <c r="H260" s="369">
        <f t="shared" ref="H260:H266" si="178">$F260*G260</f>
        <v>7.1718872118275499E-5</v>
      </c>
      <c r="I260" s="357"/>
      <c r="J260" s="357">
        <f>labcap_sources!$G$86</f>
        <v>0.82201256035301884</v>
      </c>
      <c r="K260" s="369">
        <f>$H260*J260</f>
        <v>5.8953813695574376E-5</v>
      </c>
      <c r="L260" s="360"/>
      <c r="M260" s="357">
        <f>labcap_sources!$H$86</f>
        <v>0.58715182882358485</v>
      </c>
      <c r="N260" s="369">
        <f>$H260*M260</f>
        <v>4.210986692541027E-5</v>
      </c>
      <c r="O260" s="360"/>
    </row>
    <row r="261" spans="1:15" x14ac:dyDescent="0.25">
      <c r="A261" s="2" t="s">
        <v>917</v>
      </c>
      <c r="B261" s="2" t="s">
        <v>159</v>
      </c>
      <c r="C261" s="2" t="s">
        <v>736</v>
      </c>
      <c r="D261" s="2" t="s">
        <v>970</v>
      </c>
      <c r="E261" s="367" t="s">
        <v>1069</v>
      </c>
      <c r="F261" s="359">
        <f>opex_det!AQ$177</f>
        <v>9.0901649153739202E-5</v>
      </c>
      <c r="G261" s="366">
        <f>labcap_sources!$F$86</f>
        <v>1</v>
      </c>
      <c r="H261" s="369">
        <f t="shared" si="178"/>
        <v>9.0901649153739202E-5</v>
      </c>
      <c r="I261" s="357"/>
      <c r="J261" s="357">
        <f>labcap_sources!$G$86</f>
        <v>0.82201256035301884</v>
      </c>
      <c r="K261" s="369">
        <f t="shared" ref="K261:K265" si="179">$H261*J261</f>
        <v>7.472229736117699E-5</v>
      </c>
      <c r="L261" s="360"/>
      <c r="M261" s="357">
        <f>labcap_sources!$H$86</f>
        <v>0.58715182882358485</v>
      </c>
      <c r="N261" s="369">
        <f t="shared" ref="N261:N265" si="180">$H261*M261</f>
        <v>5.3373069543697846E-5</v>
      </c>
      <c r="O261" s="360"/>
    </row>
    <row r="262" spans="1:15" x14ac:dyDescent="0.25">
      <c r="A262" s="2" t="s">
        <v>917</v>
      </c>
      <c r="B262" s="2" t="s">
        <v>159</v>
      </c>
      <c r="C262" s="2" t="s">
        <v>736</v>
      </c>
      <c r="D262" s="2" t="s">
        <v>970</v>
      </c>
      <c r="E262" s="367" t="s">
        <v>1070</v>
      </c>
      <c r="F262" s="359">
        <f>opex_det!AQ$178</f>
        <v>8.8546909302365698E-4</v>
      </c>
      <c r="G262" s="366">
        <f>labcap_sources!$F$87</f>
        <v>1</v>
      </c>
      <c r="H262" s="369">
        <f t="shared" si="178"/>
        <v>8.8546909302365698E-4</v>
      </c>
      <c r="I262" s="357"/>
      <c r="J262" s="357">
        <f>labcap_sources!$G$87</f>
        <v>0.95160897637131348</v>
      </c>
      <c r="K262" s="369">
        <f t="shared" si="179"/>
        <v>8.4262033722067758E-4</v>
      </c>
      <c r="L262" s="360"/>
      <c r="M262" s="357">
        <f>labcap_sources!$H$87</f>
        <v>0.86097955005023596</v>
      </c>
      <c r="N262" s="369">
        <f t="shared" si="180"/>
        <v>7.6237078129489874E-4</v>
      </c>
      <c r="O262" s="360"/>
    </row>
    <row r="263" spans="1:15" x14ac:dyDescent="0.25">
      <c r="A263" s="2" t="s">
        <v>917</v>
      </c>
      <c r="B263" s="2" t="s">
        <v>159</v>
      </c>
      <c r="C263" s="2" t="s">
        <v>736</v>
      </c>
      <c r="D263" s="2" t="s">
        <v>970</v>
      </c>
      <c r="E263" s="367" t="s">
        <v>1071</v>
      </c>
      <c r="F263" s="359">
        <f>opex_det!AQ$179</f>
        <v>3.7879493749067798E-4</v>
      </c>
      <c r="G263" s="366">
        <f>labcap_sources!$F$87</f>
        <v>1</v>
      </c>
      <c r="H263" s="369">
        <f t="shared" si="178"/>
        <v>3.7879493749067798E-4</v>
      </c>
      <c r="I263" s="357"/>
      <c r="J263" s="357">
        <f>labcap_sources!$G$87</f>
        <v>0.95160897637131348</v>
      </c>
      <c r="K263" s="369">
        <f t="shared" si="179"/>
        <v>3.6046466272013974E-4</v>
      </c>
      <c r="L263" s="360"/>
      <c r="M263" s="357">
        <f>labcap_sources!$H$87</f>
        <v>0.86097955005023596</v>
      </c>
      <c r="N263" s="369">
        <f t="shared" si="180"/>
        <v>3.2613469484203119E-4</v>
      </c>
      <c r="O263" s="360"/>
    </row>
    <row r="264" spans="1:15" x14ac:dyDescent="0.25">
      <c r="A264" s="2" t="s">
        <v>917</v>
      </c>
      <c r="B264" s="2" t="s">
        <v>159</v>
      </c>
      <c r="C264" s="2" t="s">
        <v>736</v>
      </c>
      <c r="D264" s="2" t="s">
        <v>970</v>
      </c>
      <c r="E264" s="367" t="s">
        <v>1072</v>
      </c>
      <c r="F264" s="359">
        <f>opex_det!AQ$180</f>
        <v>3.4534530815274301E-4</v>
      </c>
      <c r="G264" s="366">
        <f>labcap_sources!$F$88</f>
        <v>1</v>
      </c>
      <c r="H264" s="369">
        <f t="shared" si="178"/>
        <v>3.4534530815274301E-4</v>
      </c>
      <c r="I264" s="357"/>
      <c r="J264" s="357">
        <f>labcap_sources!$G$88</f>
        <v>1.1866782542748189</v>
      </c>
      <c r="K264" s="369">
        <f t="shared" si="179"/>
        <v>4.0981376740069646E-4</v>
      </c>
      <c r="L264" s="360"/>
      <c r="M264" s="357">
        <f>labcap_sources!$H$88</f>
        <v>1.503125788748104</v>
      </c>
      <c r="N264" s="369">
        <f t="shared" si="180"/>
        <v>5.1909743870754885E-4</v>
      </c>
      <c r="O264" s="360"/>
    </row>
    <row r="265" spans="1:15" x14ac:dyDescent="0.25">
      <c r="A265" s="2" t="s">
        <v>917</v>
      </c>
      <c r="B265" s="2" t="s">
        <v>159</v>
      </c>
      <c r="C265" s="2" t="s">
        <v>736</v>
      </c>
      <c r="D265" s="2" t="s">
        <v>970</v>
      </c>
      <c r="E265" s="367" t="s">
        <v>1073</v>
      </c>
      <c r="F265" s="359">
        <f>opex_det!AQ$181</f>
        <v>1.3742887021158401E-4</v>
      </c>
      <c r="G265" s="366">
        <f>labcap_sources!$F$88</f>
        <v>1</v>
      </c>
      <c r="H265" s="369">
        <f t="shared" si="178"/>
        <v>1.3742887021158401E-4</v>
      </c>
      <c r="I265" s="357"/>
      <c r="J265" s="357">
        <f>labcap_sources!$G$88</f>
        <v>1.1866782542748189</v>
      </c>
      <c r="K265" s="369">
        <f t="shared" si="179"/>
        <v>1.6308385178964317E-4</v>
      </c>
      <c r="L265" s="360"/>
      <c r="M265" s="357">
        <f>labcap_sources!$H$88</f>
        <v>1.503125788748104</v>
      </c>
      <c r="N265" s="369">
        <f t="shared" si="180"/>
        <v>2.0657287893354804E-4</v>
      </c>
      <c r="O265" s="360"/>
    </row>
    <row r="266" spans="1:15" x14ac:dyDescent="0.25">
      <c r="A266" s="2" t="s">
        <v>917</v>
      </c>
      <c r="B266" s="2" t="s">
        <v>159</v>
      </c>
      <c r="C266" s="2" t="s">
        <v>744</v>
      </c>
      <c r="D266" s="2" t="s">
        <v>742</v>
      </c>
      <c r="E266" s="241" t="s">
        <v>372</v>
      </c>
      <c r="F266" s="362">
        <f>opex_det!AR$169</f>
        <v>9.2995621137247162E-3</v>
      </c>
      <c r="G266" s="366">
        <f>labcap_sources!$F$95*labcap_sources!$F$92</f>
        <v>1</v>
      </c>
      <c r="H266" s="362">
        <f t="shared" si="178"/>
        <v>9.2995621137247162E-3</v>
      </c>
      <c r="I266" s="368">
        <f>H266/H$270*$F$270</f>
        <v>9.2995621137247162E-3</v>
      </c>
      <c r="J266" s="357">
        <f>labcap_sources!$G$95*labcap_sources!$G$92</f>
        <v>0.78091193233536782</v>
      </c>
      <c r="K266" s="362">
        <f>$H266*J266</f>
        <v>7.2621390201015453E-3</v>
      </c>
      <c r="L266" s="368">
        <f>K266/K$270*$F$270</f>
        <v>7.1977781611977021E-3</v>
      </c>
      <c r="M266" s="357">
        <f>labcap_sources!$H$95*labcap_sources!$H$92</f>
        <v>0.46972146305886792</v>
      </c>
      <c r="N266" s="362">
        <f>$H266*M266</f>
        <v>4.3682039218655919E-3</v>
      </c>
      <c r="O266" s="368">
        <f>N266/N$270*$F$270</f>
        <v>4.4405062257064747E-3</v>
      </c>
    </row>
    <row r="267" spans="1:15" x14ac:dyDescent="0.25">
      <c r="A267" s="2" t="s">
        <v>917</v>
      </c>
      <c r="B267" s="2" t="s">
        <v>159</v>
      </c>
      <c r="C267" s="2" t="s">
        <v>744</v>
      </c>
      <c r="D267" s="2" t="s">
        <v>742</v>
      </c>
      <c r="E267" s="241" t="s">
        <v>373</v>
      </c>
      <c r="F267" s="362">
        <f>opex_det!AR$170</f>
        <v>8.9830623147566166E-2</v>
      </c>
      <c r="G267" s="366">
        <f>labcap_sources!$F$95*labcap_sources!$F$93</f>
        <v>1</v>
      </c>
      <c r="H267" s="362">
        <f t="shared" ref="H267:H269" si="181">$F267*G267</f>
        <v>8.9830623147566166E-2</v>
      </c>
      <c r="I267" s="368">
        <f>H267/H$270*$F$270</f>
        <v>8.9830623147566166E-2</v>
      </c>
      <c r="J267" s="357">
        <f>labcap_sources!$G$95*labcap_sources!$G$93</f>
        <v>0.90402852755274776</v>
      </c>
      <c r="K267" s="362">
        <f t="shared" ref="K267:K269" si="182">$H267*J267</f>
        <v>8.1209445973240021E-2</v>
      </c>
      <c r="L267" s="368">
        <f>K267/K$270*$F$270</f>
        <v>8.0489725560359535E-2</v>
      </c>
      <c r="M267" s="357">
        <f>labcap_sources!$H$95*labcap_sources!$H$93</f>
        <v>0.68878364004018877</v>
      </c>
      <c r="N267" s="362">
        <f t="shared" ref="N267:N269" si="183">$H267*M267</f>
        <v>6.1873863598659061E-2</v>
      </c>
      <c r="O267" s="368">
        <f>N267/N$270*$F$270</f>
        <v>6.2897996850160065E-2</v>
      </c>
    </row>
    <row r="268" spans="1:15" x14ac:dyDescent="0.25">
      <c r="A268" s="2" t="s">
        <v>917</v>
      </c>
      <c r="B268" s="2" t="s">
        <v>159</v>
      </c>
      <c r="C268" s="2" t="s">
        <v>744</v>
      </c>
      <c r="D268" s="2" t="s">
        <v>742</v>
      </c>
      <c r="E268" s="241" t="s">
        <v>374</v>
      </c>
      <c r="F268" s="362">
        <f>opex_det!AR$171</f>
        <v>7.2955416537504689E-2</v>
      </c>
      <c r="G268" s="366">
        <f>labcap_sources!$F$95*labcap_sources!$F$94</f>
        <v>1</v>
      </c>
      <c r="H268" s="362">
        <f t="shared" si="181"/>
        <v>7.2955416537504689E-2</v>
      </c>
      <c r="I268" s="368">
        <f>H268/H$270*$F$270</f>
        <v>7.2955416537504689E-2</v>
      </c>
      <c r="J268" s="357">
        <f>labcap_sources!$G$95*labcap_sources!$G$94</f>
        <v>1.127344341561078</v>
      </c>
      <c r="K268" s="362">
        <f t="shared" si="182"/>
        <v>8.2245876019787403E-2</v>
      </c>
      <c r="L268" s="368">
        <f>K268/K$270*$F$270</f>
        <v>8.151697022394952E-2</v>
      </c>
      <c r="M268" s="357">
        <f>labcap_sources!$H$95*labcap_sources!$H$94</f>
        <v>1.2025006309984834</v>
      </c>
      <c r="N268" s="362">
        <f t="shared" si="183"/>
        <v>8.7728934421106575E-2</v>
      </c>
      <c r="O268" s="368">
        <f>N268/N$270*$F$270</f>
        <v>8.9181019576838674E-2</v>
      </c>
    </row>
    <row r="269" spans="1:15" x14ac:dyDescent="0.25">
      <c r="A269" s="2" t="s">
        <v>917</v>
      </c>
      <c r="B269" s="2" t="s">
        <v>159</v>
      </c>
      <c r="C269" s="2" t="s">
        <v>744</v>
      </c>
      <c r="D269" s="2" t="s">
        <v>742</v>
      </c>
      <c r="E269" s="240" t="s">
        <v>375</v>
      </c>
      <c r="F269" s="362">
        <f>opex_det!AR$172</f>
        <v>7.079920523626064E-2</v>
      </c>
      <c r="G269" s="366">
        <f>labcap_sources!$F$96</f>
        <v>1</v>
      </c>
      <c r="H269" s="362">
        <f t="shared" si="181"/>
        <v>7.079920523626064E-2</v>
      </c>
      <c r="I269" s="368">
        <f>H269/H$270*$F$270</f>
        <v>7.079920523626064E-2</v>
      </c>
      <c r="J269" s="357">
        <f>labcap_sources!$G$96</f>
        <v>1.05</v>
      </c>
      <c r="K269" s="362">
        <f t="shared" si="182"/>
        <v>7.4339165498073678E-2</v>
      </c>
      <c r="L269" s="368">
        <f>K269/K$270*$F$270</f>
        <v>7.3680333089549493E-2</v>
      </c>
      <c r="M269" s="357">
        <f>labcap_sources!$H$96</f>
        <v>1.2</v>
      </c>
      <c r="N269" s="362">
        <f t="shared" si="183"/>
        <v>8.4959046283512765E-2</v>
      </c>
      <c r="O269" s="368">
        <f>N269/N$270*$F$270</f>
        <v>8.6365284382351054E-2</v>
      </c>
    </row>
    <row r="270" spans="1:15" x14ac:dyDescent="0.25">
      <c r="A270" s="2" t="s">
        <v>917</v>
      </c>
      <c r="B270" s="2" t="s">
        <v>159</v>
      </c>
      <c r="C270" s="2" t="s">
        <v>744</v>
      </c>
      <c r="D270" s="2" t="s">
        <v>742</v>
      </c>
      <c r="E270" s="19" t="s">
        <v>1077</v>
      </c>
      <c r="F270" s="363">
        <f>SUM(F266:F269)</f>
        <v>0.24288480703505622</v>
      </c>
      <c r="G270" s="366"/>
      <c r="H270" s="363">
        <f>SUM(H266:H269)</f>
        <v>0.24288480703505622</v>
      </c>
      <c r="I270" s="363">
        <f>SUM(I266:I269)</f>
        <v>0.24288480703505622</v>
      </c>
      <c r="J270" s="357"/>
      <c r="K270" s="363">
        <f>SUM(K266:K269)</f>
        <v>0.24505662651120264</v>
      </c>
      <c r="L270" s="363">
        <f>SUM(L266:L269)</f>
        <v>0.24288480703505624</v>
      </c>
      <c r="M270" s="357"/>
      <c r="N270" s="363">
        <f>SUM(N266:N269)</f>
        <v>0.23893004822514397</v>
      </c>
      <c r="O270" s="363">
        <f>SUM(O266:O269)</f>
        <v>0.24288480703505627</v>
      </c>
    </row>
    <row r="271" spans="1:15" x14ac:dyDescent="0.25">
      <c r="A271" s="2" t="s">
        <v>917</v>
      </c>
      <c r="B271" s="2" t="s">
        <v>159</v>
      </c>
      <c r="C271" s="2" t="s">
        <v>744</v>
      </c>
      <c r="D271" s="2" t="s">
        <v>742</v>
      </c>
      <c r="E271" s="367" t="s">
        <v>1068</v>
      </c>
      <c r="F271" s="359">
        <f>opex_det!AR$176</f>
        <v>7.1718872118275499E-5</v>
      </c>
      <c r="G271" s="366">
        <f>labcap_sources!$F$92</f>
        <v>1</v>
      </c>
      <c r="H271" s="369">
        <f t="shared" ref="H271:H277" si="184">$F271*G271</f>
        <v>7.1718872118275499E-5</v>
      </c>
      <c r="I271" s="357"/>
      <c r="J271" s="357">
        <f>labcap_sources!$G$92</f>
        <v>0.82201256035301884</v>
      </c>
      <c r="K271" s="369">
        <f>$H271*J271</f>
        <v>5.8953813695574376E-5</v>
      </c>
      <c r="L271" s="360"/>
      <c r="M271" s="357">
        <f>labcap_sources!$H$92</f>
        <v>0.58715182882358485</v>
      </c>
      <c r="N271" s="369">
        <f>$H271*M271</f>
        <v>4.210986692541027E-5</v>
      </c>
      <c r="O271" s="360"/>
    </row>
    <row r="272" spans="1:15" x14ac:dyDescent="0.25">
      <c r="A272" s="2" t="s">
        <v>917</v>
      </c>
      <c r="B272" s="2" t="s">
        <v>159</v>
      </c>
      <c r="C272" s="2" t="s">
        <v>744</v>
      </c>
      <c r="D272" s="2" t="s">
        <v>742</v>
      </c>
      <c r="E272" s="367" t="s">
        <v>1069</v>
      </c>
      <c r="F272" s="359">
        <f>opex_det!AR$177</f>
        <v>9.0901649153739202E-5</v>
      </c>
      <c r="G272" s="366">
        <f>labcap_sources!$F$92</f>
        <v>1</v>
      </c>
      <c r="H272" s="369">
        <f t="shared" si="184"/>
        <v>9.0901649153739202E-5</v>
      </c>
      <c r="I272" s="357"/>
      <c r="J272" s="357">
        <f>labcap_sources!$G$92</f>
        <v>0.82201256035301884</v>
      </c>
      <c r="K272" s="369">
        <f t="shared" ref="K272:K276" si="185">$H272*J272</f>
        <v>7.472229736117699E-5</v>
      </c>
      <c r="L272" s="360"/>
      <c r="M272" s="357">
        <f>labcap_sources!$H$92</f>
        <v>0.58715182882358485</v>
      </c>
      <c r="N272" s="369">
        <f t="shared" ref="N272:N276" si="186">$H272*M272</f>
        <v>5.3373069543697846E-5</v>
      </c>
      <c r="O272" s="360"/>
    </row>
    <row r="273" spans="1:15" x14ac:dyDescent="0.25">
      <c r="A273" s="2" t="s">
        <v>917</v>
      </c>
      <c r="B273" s="2" t="s">
        <v>159</v>
      </c>
      <c r="C273" s="2" t="s">
        <v>744</v>
      </c>
      <c r="D273" s="2" t="s">
        <v>742</v>
      </c>
      <c r="E273" s="367" t="s">
        <v>1070</v>
      </c>
      <c r="F273" s="359">
        <f>opex_det!AR$178</f>
        <v>8.8546909302365698E-4</v>
      </c>
      <c r="G273" s="366">
        <f>labcap_sources!$F$93</f>
        <v>1</v>
      </c>
      <c r="H273" s="369">
        <f t="shared" si="184"/>
        <v>8.8546909302365698E-4</v>
      </c>
      <c r="I273" s="357"/>
      <c r="J273" s="357">
        <f>labcap_sources!$G$93</f>
        <v>0.95160897637131348</v>
      </c>
      <c r="K273" s="369">
        <f t="shared" si="185"/>
        <v>8.4262033722067758E-4</v>
      </c>
      <c r="L273" s="360"/>
      <c r="M273" s="357">
        <f>labcap_sources!$H$93</f>
        <v>0.86097955005023596</v>
      </c>
      <c r="N273" s="369">
        <f t="shared" si="186"/>
        <v>7.6237078129489874E-4</v>
      </c>
      <c r="O273" s="360"/>
    </row>
    <row r="274" spans="1:15" x14ac:dyDescent="0.25">
      <c r="A274" s="2" t="s">
        <v>917</v>
      </c>
      <c r="B274" s="2" t="s">
        <v>159</v>
      </c>
      <c r="C274" s="2" t="s">
        <v>744</v>
      </c>
      <c r="D274" s="2" t="s">
        <v>742</v>
      </c>
      <c r="E274" s="367" t="s">
        <v>1071</v>
      </c>
      <c r="F274" s="359">
        <f>opex_det!AR$179</f>
        <v>3.7879493749067798E-4</v>
      </c>
      <c r="G274" s="366">
        <f>labcap_sources!$F$93</f>
        <v>1</v>
      </c>
      <c r="H274" s="369">
        <f t="shared" si="184"/>
        <v>3.7879493749067798E-4</v>
      </c>
      <c r="I274" s="357"/>
      <c r="J274" s="357">
        <f>labcap_sources!$G$93</f>
        <v>0.95160897637131348</v>
      </c>
      <c r="K274" s="369">
        <f t="shared" si="185"/>
        <v>3.6046466272013974E-4</v>
      </c>
      <c r="L274" s="360"/>
      <c r="M274" s="357">
        <f>labcap_sources!$H$93</f>
        <v>0.86097955005023596</v>
      </c>
      <c r="N274" s="369">
        <f t="shared" si="186"/>
        <v>3.2613469484203119E-4</v>
      </c>
      <c r="O274" s="360"/>
    </row>
    <row r="275" spans="1:15" x14ac:dyDescent="0.25">
      <c r="A275" s="2" t="s">
        <v>917</v>
      </c>
      <c r="B275" s="2" t="s">
        <v>159</v>
      </c>
      <c r="C275" s="2" t="s">
        <v>744</v>
      </c>
      <c r="D275" s="2" t="s">
        <v>742</v>
      </c>
      <c r="E275" s="367" t="s">
        <v>1072</v>
      </c>
      <c r="F275" s="359">
        <f>opex_det!AR$180</f>
        <v>3.4534530815274301E-4</v>
      </c>
      <c r="G275" s="366">
        <f>labcap_sources!$F$94</f>
        <v>1</v>
      </c>
      <c r="H275" s="369">
        <f t="shared" si="184"/>
        <v>3.4534530815274301E-4</v>
      </c>
      <c r="I275" s="357"/>
      <c r="J275" s="357">
        <f>labcap_sources!$G$94</f>
        <v>1.1866782542748189</v>
      </c>
      <c r="K275" s="369">
        <f t="shared" si="185"/>
        <v>4.0981376740069646E-4</v>
      </c>
      <c r="L275" s="360"/>
      <c r="M275" s="357">
        <f>labcap_sources!$H$94</f>
        <v>1.503125788748104</v>
      </c>
      <c r="N275" s="369">
        <f t="shared" si="186"/>
        <v>5.1909743870754885E-4</v>
      </c>
      <c r="O275" s="360"/>
    </row>
    <row r="276" spans="1:15" x14ac:dyDescent="0.25">
      <c r="A276" s="2" t="s">
        <v>917</v>
      </c>
      <c r="B276" s="2" t="s">
        <v>159</v>
      </c>
      <c r="C276" s="2" t="s">
        <v>744</v>
      </c>
      <c r="D276" s="2" t="s">
        <v>742</v>
      </c>
      <c r="E276" s="367" t="s">
        <v>1073</v>
      </c>
      <c r="F276" s="359">
        <f>opex_det!AR$181</f>
        <v>1.3742887021158401E-4</v>
      </c>
      <c r="G276" s="366">
        <f>labcap_sources!$F$94</f>
        <v>1</v>
      </c>
      <c r="H276" s="369">
        <f t="shared" si="184"/>
        <v>1.3742887021158401E-4</v>
      </c>
      <c r="I276" s="357"/>
      <c r="J276" s="357">
        <f>labcap_sources!$G$94</f>
        <v>1.1866782542748189</v>
      </c>
      <c r="K276" s="369">
        <f t="shared" si="185"/>
        <v>1.6308385178964317E-4</v>
      </c>
      <c r="L276" s="360"/>
      <c r="M276" s="357">
        <f>labcap_sources!$H$94</f>
        <v>1.503125788748104</v>
      </c>
      <c r="N276" s="369">
        <f t="shared" si="186"/>
        <v>2.0657287893354804E-4</v>
      </c>
      <c r="O276" s="360"/>
    </row>
    <row r="277" spans="1:15" x14ac:dyDescent="0.25">
      <c r="A277" s="2" t="s">
        <v>917</v>
      </c>
      <c r="B277" s="2" t="s">
        <v>161</v>
      </c>
      <c r="C277" s="2" t="s">
        <v>160</v>
      </c>
      <c r="E277" s="241" t="s">
        <v>372</v>
      </c>
      <c r="F277" s="362">
        <f>opex_det!AS$169</f>
        <v>1.0540024019467501E-2</v>
      </c>
      <c r="G277" s="366">
        <f>labcap_sources!$F$101*labcap_sources!$F$98</f>
        <v>1</v>
      </c>
      <c r="H277" s="362">
        <f t="shared" si="184"/>
        <v>1.0540024019467501E-2</v>
      </c>
      <c r="I277" s="368">
        <f>H277/H$281*$F$281</f>
        <v>1.0540024019467501E-2</v>
      </c>
      <c r="J277" s="357">
        <f>labcap_sources!$G$101*labcap_sources!$G$98</f>
        <v>0.78000588988776753</v>
      </c>
      <c r="K277" s="362">
        <f>$H277*J277</f>
        <v>8.2212808147431923E-3</v>
      </c>
      <c r="L277" s="368">
        <f>K277/K$281*$F$281</f>
        <v>8.1305617922583402E-3</v>
      </c>
      <c r="M277" s="357">
        <f>labcap_sources!$H$101*labcap_sources!$H$98</f>
        <v>0.46917647512046168</v>
      </c>
      <c r="N277" s="362">
        <f>$H277*M277</f>
        <v>4.9451313171387625E-3</v>
      </c>
      <c r="O277" s="368">
        <f>N277/N$281*$F$281</f>
        <v>4.9848189768365728E-3</v>
      </c>
    </row>
    <row r="278" spans="1:15" x14ac:dyDescent="0.25">
      <c r="A278" s="2" t="s">
        <v>917</v>
      </c>
      <c r="B278" s="2" t="s">
        <v>161</v>
      </c>
      <c r="C278" s="2" t="s">
        <v>160</v>
      </c>
      <c r="E278" s="241" t="s">
        <v>373</v>
      </c>
      <c r="F278" s="362">
        <f>opex_det!AS$170</f>
        <v>0.101813065398154</v>
      </c>
      <c r="G278" s="366">
        <f>labcap_sources!$F$101*labcap_sources!$F$99</f>
        <v>1</v>
      </c>
      <c r="H278" s="362">
        <f t="shared" ref="H278:H280" si="187">$F278*G278</f>
        <v>0.101813065398154</v>
      </c>
      <c r="I278" s="368">
        <f>H278/H$281*$F$281</f>
        <v>0.101813065398154</v>
      </c>
      <c r="J278" s="357">
        <f>labcap_sources!$G$101*labcap_sources!$G$99</f>
        <v>0.90278793439412519</v>
      </c>
      <c r="K278" s="362">
        <f t="shared" ref="K278:K280" si="188">$H278*J278</f>
        <v>9.1915607005133432E-2</v>
      </c>
      <c r="L278" s="368">
        <f>K278/K$281*$F$281</f>
        <v>9.0901349712808097E-2</v>
      </c>
      <c r="M278" s="357">
        <f>labcap_sources!$H$101*labcap_sources!$H$99</f>
        <v>0.68783842620504776</v>
      </c>
      <c r="N278" s="362">
        <f t="shared" ref="N278:N280" si="189">$H278*M278</f>
        <v>7.0030938670577858E-2</v>
      </c>
      <c r="O278" s="368">
        <f>N278/N$281*$F$281</f>
        <v>7.059297916738802E-2</v>
      </c>
    </row>
    <row r="279" spans="1:15" x14ac:dyDescent="0.25">
      <c r="A279" s="2" t="s">
        <v>917</v>
      </c>
      <c r="B279" s="2" t="s">
        <v>161</v>
      </c>
      <c r="C279" s="2" t="s">
        <v>160</v>
      </c>
      <c r="E279" s="241" t="s">
        <v>374</v>
      </c>
      <c r="F279" s="362">
        <f>opex_det!AS$171</f>
        <v>8.2686887108493201E-2</v>
      </c>
      <c r="G279" s="366">
        <f>labcap_sources!$F$101*labcap_sources!$F$100</f>
        <v>1</v>
      </c>
      <c r="H279" s="362">
        <f t="shared" si="187"/>
        <v>8.2686887108493201E-2</v>
      </c>
      <c r="I279" s="368">
        <f>H279/H$281*$F$281</f>
        <v>8.2686887108493201E-2</v>
      </c>
      <c r="J279" s="357">
        <f>labcap_sources!$G$101*labcap_sources!$G$100</f>
        <v>1.1318603585068796</v>
      </c>
      <c r="K279" s="362">
        <f t="shared" si="188"/>
        <v>9.3590009686436992E-2</v>
      </c>
      <c r="L279" s="368">
        <f>K279/K$281*$F$281</f>
        <v>9.2557275933093389E-2</v>
      </c>
      <c r="M279" s="357">
        <f>labcap_sources!$H$101*labcap_sources!$H$100</f>
        <v>1.2073177157406718</v>
      </c>
      <c r="N279" s="362">
        <f t="shared" si="189"/>
        <v>9.982934366553281E-2</v>
      </c>
      <c r="O279" s="368">
        <f>N279/N$281*$F$281</f>
        <v>0.10063053432462046</v>
      </c>
    </row>
    <row r="280" spans="1:15" x14ac:dyDescent="0.25">
      <c r="A280" s="2" t="s">
        <v>917</v>
      </c>
      <c r="B280" s="2" t="s">
        <v>161</v>
      </c>
      <c r="C280" s="2" t="s">
        <v>160</v>
      </c>
      <c r="E280" s="240" t="s">
        <v>375</v>
      </c>
      <c r="F280" s="362">
        <f>opex_det!AS$172</f>
        <v>8.9832462324537093E-2</v>
      </c>
      <c r="G280" s="366">
        <f>labcap_sources!$F$102</f>
        <v>1</v>
      </c>
      <c r="H280" s="362">
        <f t="shared" si="187"/>
        <v>8.9832462324537093E-2</v>
      </c>
      <c r="I280" s="368">
        <f>H280/H$281*$F$281</f>
        <v>8.9832462324537093E-2</v>
      </c>
      <c r="J280" s="357">
        <f>labcap_sources!$G$102</f>
        <v>1.05</v>
      </c>
      <c r="K280" s="362">
        <f t="shared" si="188"/>
        <v>9.4324085440763955E-2</v>
      </c>
      <c r="L280" s="368">
        <f>K280/K$281*$F$281</f>
        <v>9.3283251412492038E-2</v>
      </c>
      <c r="M280" s="357">
        <f>labcap_sources!$H$102</f>
        <v>1.2</v>
      </c>
      <c r="N280" s="362">
        <f t="shared" si="189"/>
        <v>0.10779895478944451</v>
      </c>
      <c r="O280" s="368">
        <f>N280/N$281*$F$281</f>
        <v>0.10866410638180678</v>
      </c>
    </row>
    <row r="281" spans="1:15" x14ac:dyDescent="0.25">
      <c r="A281" s="2" t="s">
        <v>917</v>
      </c>
      <c r="B281" s="2" t="s">
        <v>161</v>
      </c>
      <c r="C281" s="2" t="s">
        <v>160</v>
      </c>
      <c r="E281" s="19" t="s">
        <v>1077</v>
      </c>
      <c r="F281" s="363">
        <f>SUM(F277:F280)</f>
        <v>0.28487243885065183</v>
      </c>
      <c r="G281" s="366"/>
      <c r="H281" s="363">
        <f>SUM(H277:H280)</f>
        <v>0.28487243885065183</v>
      </c>
      <c r="I281" s="363">
        <f>SUM(I277:I280)</f>
        <v>0.28487243885065183</v>
      </c>
      <c r="J281" s="357"/>
      <c r="K281" s="363">
        <f>SUM(K277:K280)</f>
        <v>0.28805098294707754</v>
      </c>
      <c r="L281" s="363">
        <f>SUM(L277:L280)</f>
        <v>0.28487243885065189</v>
      </c>
      <c r="M281" s="357"/>
      <c r="N281" s="363">
        <f>SUM(N277:N280)</f>
        <v>0.28260436844269393</v>
      </c>
      <c r="O281" s="363">
        <f>SUM(O277:O280)</f>
        <v>0.28487243885065183</v>
      </c>
    </row>
    <row r="282" spans="1:15" x14ac:dyDescent="0.25">
      <c r="A282" s="2" t="s">
        <v>917</v>
      </c>
      <c r="B282" s="2" t="s">
        <v>161</v>
      </c>
      <c r="C282" s="2" t="s">
        <v>160</v>
      </c>
      <c r="E282" s="367" t="s">
        <v>1068</v>
      </c>
      <c r="F282" s="359">
        <f>opex_det!AS$176</f>
        <v>7.1669195021667605E-5</v>
      </c>
      <c r="G282" s="366">
        <f>labcap_sources!$F$98</f>
        <v>1</v>
      </c>
      <c r="H282" s="369">
        <f t="shared" ref="H282:H288" si="190">$F282*G282</f>
        <v>7.1669195021667605E-5</v>
      </c>
      <c r="I282" s="357"/>
      <c r="J282" s="357">
        <f>labcap_sources!$G$98</f>
        <v>0.82105883146080794</v>
      </c>
      <c r="K282" s="369">
        <f>$H282*J282</f>
        <v>5.8844625516227154E-5</v>
      </c>
      <c r="L282" s="360"/>
      <c r="M282" s="357">
        <f>labcap_sources!$H$98</f>
        <v>0.5864705939005771</v>
      </c>
      <c r="N282" s="369">
        <f>$H282*M282</f>
        <v>4.2031875368733681E-5</v>
      </c>
      <c r="O282" s="360"/>
    </row>
    <row r="283" spans="1:15" x14ac:dyDescent="0.25">
      <c r="A283" s="2" t="s">
        <v>917</v>
      </c>
      <c r="B283" s="2" t="s">
        <v>161</v>
      </c>
      <c r="C283" s="2" t="s">
        <v>160</v>
      </c>
      <c r="E283" s="367" t="s">
        <v>1069</v>
      </c>
      <c r="F283" s="359">
        <f>opex_det!AS$177</f>
        <v>9.1140223274622706E-5</v>
      </c>
      <c r="G283" s="366">
        <f>labcap_sources!$F$98</f>
        <v>1</v>
      </c>
      <c r="H283" s="369">
        <f t="shared" si="190"/>
        <v>9.1140223274622706E-5</v>
      </c>
      <c r="I283" s="357"/>
      <c r="J283" s="357">
        <f>labcap_sources!$G$98</f>
        <v>0.82105883146080794</v>
      </c>
      <c r="K283" s="369">
        <f t="shared" ref="K283:K287" si="191">$H283*J283</f>
        <v>7.4831485220938843E-5</v>
      </c>
      <c r="L283" s="360"/>
      <c r="M283" s="357">
        <f>labcap_sources!$H$98</f>
        <v>0.5864705939005771</v>
      </c>
      <c r="N283" s="369">
        <f t="shared" ref="N283:N287" si="192">$H283*M283</f>
        <v>5.3451060872099177E-5</v>
      </c>
      <c r="O283" s="360"/>
    </row>
    <row r="284" spans="1:15" x14ac:dyDescent="0.25">
      <c r="A284" s="2" t="s">
        <v>917</v>
      </c>
      <c r="B284" s="2" t="s">
        <v>161</v>
      </c>
      <c r="C284" s="2" t="s">
        <v>160</v>
      </c>
      <c r="E284" s="367" t="s">
        <v>1070</v>
      </c>
      <c r="F284" s="359">
        <f>opex_det!AS$178</f>
        <v>8.8621226144005704E-4</v>
      </c>
      <c r="G284" s="366">
        <f>labcap_sources!$F$99</f>
        <v>1</v>
      </c>
      <c r="H284" s="369">
        <f t="shared" si="190"/>
        <v>8.8621226144005704E-4</v>
      </c>
      <c r="I284" s="357"/>
      <c r="J284" s="357">
        <f>labcap_sources!$G$99</f>
        <v>0.95030308883592129</v>
      </c>
      <c r="K284" s="369">
        <f t="shared" si="191"/>
        <v>8.4217024941075328E-4</v>
      </c>
      <c r="L284" s="360"/>
      <c r="M284" s="357">
        <f>labcap_sources!$H$99</f>
        <v>0.85979803275630962</v>
      </c>
      <c r="N284" s="369">
        <f t="shared" si="192"/>
        <v>7.6196355899068138E-4</v>
      </c>
      <c r="O284" s="360"/>
    </row>
    <row r="285" spans="1:15" x14ac:dyDescent="0.25">
      <c r="A285" s="2" t="s">
        <v>917</v>
      </c>
      <c r="B285" s="2" t="s">
        <v>161</v>
      </c>
      <c r="C285" s="2" t="s">
        <v>160</v>
      </c>
      <c r="E285" s="367" t="s">
        <v>1071</v>
      </c>
      <c r="F285" s="359">
        <f>opex_det!AS$179</f>
        <v>3.7978909623347898E-4</v>
      </c>
      <c r="G285" s="366">
        <f>labcap_sources!$F$99</f>
        <v>1</v>
      </c>
      <c r="H285" s="369">
        <f t="shared" si="190"/>
        <v>3.7978909623347898E-4</v>
      </c>
      <c r="I285" s="357"/>
      <c r="J285" s="357">
        <f>labcap_sources!$G$99</f>
        <v>0.95030308883592129</v>
      </c>
      <c r="K285" s="369">
        <f t="shared" si="191"/>
        <v>3.6091475125687804E-4</v>
      </c>
      <c r="L285" s="360"/>
      <c r="M285" s="357">
        <f>labcap_sources!$H$99</f>
        <v>0.85979803275630962</v>
      </c>
      <c r="N285" s="369">
        <f t="shared" si="192"/>
        <v>3.26541917803842E-4</v>
      </c>
      <c r="O285" s="360"/>
    </row>
    <row r="286" spans="1:15" x14ac:dyDescent="0.25">
      <c r="A286" s="2" t="s">
        <v>917</v>
      </c>
      <c r="B286" s="2" t="s">
        <v>161</v>
      </c>
      <c r="C286" s="2" t="s">
        <v>160</v>
      </c>
      <c r="E286" s="367" t="s">
        <v>1072</v>
      </c>
      <c r="F286" s="359">
        <f>opex_det!AS$180</f>
        <v>3.4564404819614498E-4</v>
      </c>
      <c r="G286" s="366">
        <f>labcap_sources!$F$100</f>
        <v>1</v>
      </c>
      <c r="H286" s="369">
        <f t="shared" si="190"/>
        <v>3.4564404819614498E-4</v>
      </c>
      <c r="I286" s="357"/>
      <c r="J286" s="357">
        <f>labcap_sources!$G$100</f>
        <v>1.1914319563230311</v>
      </c>
      <c r="K286" s="369">
        <f t="shared" si="191"/>
        <v>4.1181136453374509E-4</v>
      </c>
      <c r="L286" s="360"/>
      <c r="M286" s="357">
        <f>labcap_sources!$H$100</f>
        <v>1.5091471446758395</v>
      </c>
      <c r="N286" s="369">
        <f t="shared" si="192"/>
        <v>5.2162772840941046E-4</v>
      </c>
      <c r="O286" s="360"/>
    </row>
    <row r="287" spans="1:15" x14ac:dyDescent="0.25">
      <c r="A287" s="2" t="s">
        <v>917</v>
      </c>
      <c r="B287" s="2" t="s">
        <v>161</v>
      </c>
      <c r="C287" s="2" t="s">
        <v>160</v>
      </c>
      <c r="E287" s="367" t="s">
        <v>1073</v>
      </c>
      <c r="F287" s="359">
        <f>opex_det!AS$181</f>
        <v>1.3520390578673999E-4</v>
      </c>
      <c r="G287" s="366">
        <f>labcap_sources!$F$100</f>
        <v>1</v>
      </c>
      <c r="H287" s="369">
        <f t="shared" si="190"/>
        <v>1.3520390578673999E-4</v>
      </c>
      <c r="I287" s="357"/>
      <c r="J287" s="357">
        <f>labcap_sources!$G$100</f>
        <v>1.1914319563230311</v>
      </c>
      <c r="K287" s="369">
        <f t="shared" si="191"/>
        <v>1.6108625397401042E-4</v>
      </c>
      <c r="L287" s="360"/>
      <c r="M287" s="357">
        <f>labcap_sources!$H$100</f>
        <v>1.5091471446758395</v>
      </c>
      <c r="N287" s="369">
        <f t="shared" si="192"/>
        <v>2.0404258836707987E-4</v>
      </c>
      <c r="O287" s="360"/>
    </row>
    <row r="288" spans="1:15" x14ac:dyDescent="0.25">
      <c r="A288" s="2" t="s">
        <v>914</v>
      </c>
      <c r="B288" s="2" t="s">
        <v>165</v>
      </c>
      <c r="C288" s="2" t="s">
        <v>730</v>
      </c>
      <c r="D288" s="2" t="s">
        <v>827</v>
      </c>
      <c r="E288" s="241" t="s">
        <v>372</v>
      </c>
      <c r="F288" s="362">
        <f>opex_det!AU$169</f>
        <v>3.4890727097774501E-3</v>
      </c>
      <c r="G288" s="366">
        <f>labcap_sources!$F$107*labcap_sources!$F$104</f>
        <v>1</v>
      </c>
      <c r="H288" s="362">
        <f t="shared" si="190"/>
        <v>3.4890727097774501E-3</v>
      </c>
      <c r="I288" s="368">
        <f>H288/H$292*$F$292</f>
        <v>3.4890727097774501E-3</v>
      </c>
      <c r="J288" s="357">
        <f>labcap_sources!$G$107*labcap_sources!$G$104</f>
        <v>0.66484804604197778</v>
      </c>
      <c r="K288" s="362">
        <f>$H288*J288</f>
        <v>2.3197031735939263E-3</v>
      </c>
      <c r="L288" s="368">
        <f>K288/K$292*$F$292</f>
        <v>2.2874428990310833E-3</v>
      </c>
      <c r="M288" s="357">
        <f>labcap_sources!$H$107*labcap_sources!$H$104</f>
        <v>0.55987203877219194</v>
      </c>
      <c r="N288" s="362">
        <f>$H288*M288</f>
        <v>1.9534342514475173E-3</v>
      </c>
      <c r="O288" s="368">
        <f>N288/N$292*$F$292</f>
        <v>1.902781677885243E-3</v>
      </c>
    </row>
    <row r="289" spans="1:15" x14ac:dyDescent="0.25">
      <c r="A289" s="2" t="s">
        <v>914</v>
      </c>
      <c r="B289" s="2" t="s">
        <v>165</v>
      </c>
      <c r="C289" s="2" t="s">
        <v>730</v>
      </c>
      <c r="D289" s="2" t="s">
        <v>827</v>
      </c>
      <c r="E289" s="241" t="s">
        <v>373</v>
      </c>
      <c r="F289" s="362">
        <f>opex_det!AU$170</f>
        <v>4.1017073062728802E-2</v>
      </c>
      <c r="G289" s="366">
        <f>labcap_sources!$F$107*labcap_sources!$F$105</f>
        <v>1</v>
      </c>
      <c r="H289" s="362">
        <f t="shared" ref="H289:H291" si="193">$F289*G289</f>
        <v>4.1017073062728802E-2</v>
      </c>
      <c r="I289" s="368">
        <f>H289/H$292*$F$292</f>
        <v>4.1017073062728802E-2</v>
      </c>
      <c r="J289" s="357">
        <f>labcap_sources!$G$107*labcap_sources!$G$105</f>
        <v>0.92571514159486123</v>
      </c>
      <c r="K289" s="362">
        <f t="shared" ref="K289:K291" si="194">$H289*J289</f>
        <v>3.797012559807076E-2</v>
      </c>
      <c r="L289" s="368">
        <f>K289/K$292*$F$292</f>
        <v>3.7442072401039687E-2</v>
      </c>
      <c r="M289" s="357">
        <f>labcap_sources!$H$107*labcap_sources!$H$105</f>
        <v>0.6836050276392821</v>
      </c>
      <c r="N289" s="362">
        <f t="shared" ref="N289:N291" si="195">$H289*M289</f>
        <v>2.8039477364729178E-2</v>
      </c>
      <c r="O289" s="368">
        <f>N289/N$292*$F$292</f>
        <v>2.7312413380460327E-2</v>
      </c>
    </row>
    <row r="290" spans="1:15" x14ac:dyDescent="0.25">
      <c r="A290" s="2" t="s">
        <v>914</v>
      </c>
      <c r="B290" s="2" t="s">
        <v>165</v>
      </c>
      <c r="C290" s="2" t="s">
        <v>730</v>
      </c>
      <c r="D290" s="2" t="s">
        <v>827</v>
      </c>
      <c r="E290" s="241" t="s">
        <v>374</v>
      </c>
      <c r="F290" s="362">
        <f>opex_det!AU$171</f>
        <v>3.3474090041934301E-2</v>
      </c>
      <c r="G290" s="366">
        <f>labcap_sources!$F$107*labcap_sources!$F$106</f>
        <v>1</v>
      </c>
      <c r="H290" s="362">
        <f t="shared" si="193"/>
        <v>3.3474090041934301E-2</v>
      </c>
      <c r="I290" s="368">
        <f>H290/H$292*$F$292</f>
        <v>3.3474090041934301E-2</v>
      </c>
      <c r="J290" s="357">
        <f>labcap_sources!$G$107*labcap_sources!$G$106</f>
        <v>1.0898526082273221</v>
      </c>
      <c r="K290" s="362">
        <f t="shared" si="194"/>
        <v>3.6481824340238327E-2</v>
      </c>
      <c r="L290" s="368">
        <f>K290/K$292*$F$292</f>
        <v>3.5974469053076268E-2</v>
      </c>
      <c r="M290" s="357">
        <f>labcap_sources!$H$107*labcap_sources!$H$106</f>
        <v>1.1625094487758103</v>
      </c>
      <c r="N290" s="362">
        <f t="shared" si="195"/>
        <v>3.8913945962920887E-2</v>
      </c>
      <c r="O290" s="368">
        <f>N290/N$292*$F$292</f>
        <v>3.7904906877512912E-2</v>
      </c>
    </row>
    <row r="291" spans="1:15" x14ac:dyDescent="0.25">
      <c r="A291" s="2" t="s">
        <v>914</v>
      </c>
      <c r="B291" s="2" t="s">
        <v>165</v>
      </c>
      <c r="C291" s="2" t="s">
        <v>730</v>
      </c>
      <c r="D291" s="2" t="s">
        <v>827</v>
      </c>
      <c r="E291" s="240" t="s">
        <v>375</v>
      </c>
      <c r="F291" s="362">
        <f>opex_det!AU$172</f>
        <v>6.4305291228469799E-2</v>
      </c>
      <c r="G291" s="366">
        <f>labcap_sources!$F$108</f>
        <v>1</v>
      </c>
      <c r="H291" s="362">
        <f t="shared" si="193"/>
        <v>6.4305291228469799E-2</v>
      </c>
      <c r="I291" s="368">
        <f>H291/H$292*$F$292</f>
        <v>6.4305291228469799E-2</v>
      </c>
      <c r="J291" s="357">
        <f>labcap_sources!$G$108</f>
        <v>1.05</v>
      </c>
      <c r="K291" s="362">
        <f t="shared" si="194"/>
        <v>6.7520555789893286E-2</v>
      </c>
      <c r="L291" s="368">
        <f>K291/K$292*$F$292</f>
        <v>6.6581542689763337E-2</v>
      </c>
      <c r="M291" s="357">
        <f>labcap_sources!$H$108</f>
        <v>1.2</v>
      </c>
      <c r="N291" s="362">
        <f t="shared" si="195"/>
        <v>7.7166349474163759E-2</v>
      </c>
      <c r="O291" s="368">
        <f>N291/N$292*$F$292</f>
        <v>7.5165425107051903E-2</v>
      </c>
    </row>
    <row r="292" spans="1:15" x14ac:dyDescent="0.25">
      <c r="A292" s="2" t="s">
        <v>914</v>
      </c>
      <c r="B292" s="2" t="s">
        <v>165</v>
      </c>
      <c r="C292" s="2" t="s">
        <v>730</v>
      </c>
      <c r="D292" s="2" t="s">
        <v>827</v>
      </c>
      <c r="E292" s="19" t="s">
        <v>1077</v>
      </c>
      <c r="F292" s="363">
        <f>SUM(F288:F291)</f>
        <v>0.14228552704291036</v>
      </c>
      <c r="G292" s="366"/>
      <c r="H292" s="363">
        <f>SUM(H288:H291)</f>
        <v>0.14228552704291036</v>
      </c>
      <c r="I292" s="363">
        <f>SUM(I288:I291)</f>
        <v>0.14228552704291036</v>
      </c>
      <c r="J292" s="357"/>
      <c r="K292" s="363">
        <f>SUM(K288:K291)</f>
        <v>0.14429220890179628</v>
      </c>
      <c r="L292" s="363">
        <f>SUM(L288:L291)</f>
        <v>0.14228552704291036</v>
      </c>
      <c r="M292" s="357"/>
      <c r="N292" s="363">
        <f>SUM(N288:N291)</f>
        <v>0.14607320705326132</v>
      </c>
      <c r="O292" s="363">
        <f>SUM(O288:O291)</f>
        <v>0.14228552704291039</v>
      </c>
    </row>
    <row r="293" spans="1:15" x14ac:dyDescent="0.25">
      <c r="A293" s="2" t="s">
        <v>914</v>
      </c>
      <c r="B293" s="2" t="s">
        <v>165</v>
      </c>
      <c r="C293" s="2" t="s">
        <v>730</v>
      </c>
      <c r="D293" s="2" t="s">
        <v>827</v>
      </c>
      <c r="E293" s="367" t="s">
        <v>1068</v>
      </c>
      <c r="F293" s="359">
        <f>opex_det!AU$176</f>
        <v>3.7828056299533898E-4</v>
      </c>
      <c r="G293" s="366">
        <f>labcap_sources!$F$104</f>
        <v>1</v>
      </c>
      <c r="H293" s="369">
        <f t="shared" ref="H293:H299" si="196">$F293*G293</f>
        <v>3.7828056299533898E-4</v>
      </c>
      <c r="I293" s="357"/>
      <c r="J293" s="357">
        <f>labcap_sources!$G$104</f>
        <v>0.69984004846523984</v>
      </c>
      <c r="K293" s="369">
        <f>$H293*J293</f>
        <v>2.6473588754011626E-4</v>
      </c>
      <c r="L293" s="360"/>
      <c r="M293" s="357">
        <f>labcap_sources!$H$104</f>
        <v>0.69984004846523984</v>
      </c>
      <c r="N293" s="369">
        <f>$H293*M293</f>
        <v>2.6473588754011626E-4</v>
      </c>
      <c r="O293" s="360"/>
    </row>
    <row r="294" spans="1:15" x14ac:dyDescent="0.25">
      <c r="A294" s="2" t="s">
        <v>914</v>
      </c>
      <c r="B294" s="2" t="s">
        <v>165</v>
      </c>
      <c r="C294" s="2" t="s">
        <v>730</v>
      </c>
      <c r="D294" s="2" t="s">
        <v>827</v>
      </c>
      <c r="E294" s="367" t="s">
        <v>1069</v>
      </c>
      <c r="F294" s="359">
        <f>opex_det!AU$177</f>
        <v>1.87585185778832E-4</v>
      </c>
      <c r="G294" s="366">
        <f>labcap_sources!$F$104</f>
        <v>1</v>
      </c>
      <c r="H294" s="369">
        <f t="shared" si="196"/>
        <v>1.87585185778832E-4</v>
      </c>
      <c r="I294" s="357"/>
      <c r="J294" s="357">
        <f>labcap_sources!$G$104</f>
        <v>0.69984004846523984</v>
      </c>
      <c r="K294" s="369">
        <f t="shared" ref="K294:K298" si="197">$H294*J294</f>
        <v>1.312796255068188E-4</v>
      </c>
      <c r="L294" s="360"/>
      <c r="M294" s="357">
        <f>labcap_sources!$H$104</f>
        <v>0.69984004846523984</v>
      </c>
      <c r="N294" s="369">
        <f t="shared" ref="N294:N298" si="198">$H294*M294</f>
        <v>1.312796255068188E-4</v>
      </c>
      <c r="O294" s="360"/>
    </row>
    <row r="295" spans="1:15" x14ac:dyDescent="0.25">
      <c r="A295" s="2" t="s">
        <v>914</v>
      </c>
      <c r="B295" s="2" t="s">
        <v>165</v>
      </c>
      <c r="C295" s="2" t="s">
        <v>730</v>
      </c>
      <c r="D295" s="2" t="s">
        <v>827</v>
      </c>
      <c r="E295" s="367" t="s">
        <v>1070</v>
      </c>
      <c r="F295" s="359">
        <f>opex_det!AU$178</f>
        <v>4.5776163923563502E-3</v>
      </c>
      <c r="G295" s="366">
        <f>labcap_sources!$F$105</f>
        <v>1</v>
      </c>
      <c r="H295" s="369">
        <f t="shared" si="196"/>
        <v>4.5776163923563502E-3</v>
      </c>
      <c r="I295" s="357"/>
      <c r="J295" s="357">
        <f>labcap_sources!$G$105</f>
        <v>0.97443699115248561</v>
      </c>
      <c r="K295" s="369">
        <f t="shared" si="197"/>
        <v>4.4605987440180178E-3</v>
      </c>
      <c r="L295" s="360"/>
      <c r="M295" s="357">
        <f>labcap_sources!$H$105</f>
        <v>0.8545062845491026</v>
      </c>
      <c r="N295" s="369">
        <f t="shared" si="198"/>
        <v>3.9116019755234916E-3</v>
      </c>
      <c r="O295" s="360"/>
    </row>
    <row r="296" spans="1:15" x14ac:dyDescent="0.25">
      <c r="A296" s="2" t="s">
        <v>914</v>
      </c>
      <c r="B296" s="2" t="s">
        <v>165</v>
      </c>
      <c r="C296" s="2" t="s">
        <v>730</v>
      </c>
      <c r="D296" s="2" t="s">
        <v>827</v>
      </c>
      <c r="E296" s="367" t="s">
        <v>1071</v>
      </c>
      <c r="F296" s="359">
        <f>opex_det!AU$179</f>
        <v>7.0564123959574203E-4</v>
      </c>
      <c r="G296" s="366">
        <f>labcap_sources!$F$105</f>
        <v>1</v>
      </c>
      <c r="H296" s="369">
        <f t="shared" si="196"/>
        <v>7.0564123959574203E-4</v>
      </c>
      <c r="I296" s="357"/>
      <c r="J296" s="357">
        <f>labcap_sources!$G$105</f>
        <v>0.97443699115248561</v>
      </c>
      <c r="K296" s="369">
        <f t="shared" si="197"/>
        <v>6.87602926344785E-4</v>
      </c>
      <c r="L296" s="360"/>
      <c r="M296" s="357">
        <f>labcap_sources!$H$105</f>
        <v>0.8545062845491026</v>
      </c>
      <c r="N296" s="369">
        <f t="shared" si="198"/>
        <v>6.0297487387158061E-4</v>
      </c>
      <c r="O296" s="360"/>
    </row>
    <row r="297" spans="1:15" x14ac:dyDescent="0.25">
      <c r="A297" s="2" t="s">
        <v>914</v>
      </c>
      <c r="B297" s="2" t="s">
        <v>165</v>
      </c>
      <c r="C297" s="2" t="s">
        <v>730</v>
      </c>
      <c r="D297" s="2" t="s">
        <v>827</v>
      </c>
      <c r="E297" s="367" t="s">
        <v>1072</v>
      </c>
      <c r="F297" s="359">
        <f>opex_det!AU$180</f>
        <v>1.7955768749206701E-3</v>
      </c>
      <c r="G297" s="366">
        <f>labcap_sources!$F$106</f>
        <v>1</v>
      </c>
      <c r="H297" s="369">
        <f t="shared" si="196"/>
        <v>1.7955768749206701E-3</v>
      </c>
      <c r="I297" s="357"/>
      <c r="J297" s="357">
        <f>labcap_sources!$G$106</f>
        <v>1.147213271818234</v>
      </c>
      <c r="K297" s="369">
        <f t="shared" si="197"/>
        <v>2.0599096214789017E-3</v>
      </c>
      <c r="L297" s="360"/>
      <c r="M297" s="357">
        <f>labcap_sources!$H$106</f>
        <v>1.4531368109697629</v>
      </c>
      <c r="N297" s="369">
        <f t="shared" si="198"/>
        <v>2.6092188538732754E-3</v>
      </c>
      <c r="O297" s="360"/>
    </row>
    <row r="298" spans="1:15" x14ac:dyDescent="0.25">
      <c r="A298" s="2" t="s">
        <v>914</v>
      </c>
      <c r="B298" s="2" t="s">
        <v>165</v>
      </c>
      <c r="C298" s="2" t="s">
        <v>730</v>
      </c>
      <c r="D298" s="2" t="s">
        <v>827</v>
      </c>
      <c r="E298" s="367" t="s">
        <v>1073</v>
      </c>
      <c r="F298" s="359">
        <f>opex_det!AU$181</f>
        <v>2.75610006443124E-4</v>
      </c>
      <c r="G298" s="366">
        <f>labcap_sources!$F$106</f>
        <v>1</v>
      </c>
      <c r="H298" s="369">
        <f t="shared" si="196"/>
        <v>2.75610006443124E-4</v>
      </c>
      <c r="I298" s="357"/>
      <c r="J298" s="357">
        <f>labcap_sources!$G$106</f>
        <v>1.147213271818234</v>
      </c>
      <c r="K298" s="369">
        <f t="shared" si="197"/>
        <v>3.1618345723746083E-4</v>
      </c>
      <c r="L298" s="360"/>
      <c r="M298" s="357">
        <f>labcap_sources!$H$106</f>
        <v>1.4531368109697629</v>
      </c>
      <c r="N298" s="369">
        <f t="shared" si="198"/>
        <v>4.0049904583411701E-4</v>
      </c>
      <c r="O298" s="360"/>
    </row>
    <row r="299" spans="1:15" x14ac:dyDescent="0.25">
      <c r="A299" s="2" t="s">
        <v>914</v>
      </c>
      <c r="B299" s="2" t="s">
        <v>165</v>
      </c>
      <c r="C299" s="2" t="s">
        <v>731</v>
      </c>
      <c r="D299" s="2" t="s">
        <v>828</v>
      </c>
      <c r="E299" s="241" t="s">
        <v>372</v>
      </c>
      <c r="F299" s="362">
        <f>opex_det!AV$169</f>
        <v>4.7398929800778061E-3</v>
      </c>
      <c r="G299" s="366">
        <f>labcap_sources!$F$113*labcap_sources!$F$110</f>
        <v>1</v>
      </c>
      <c r="H299" s="362">
        <f t="shared" si="196"/>
        <v>4.7398929800778061E-3</v>
      </c>
      <c r="I299" s="368">
        <f>H299/H$303*$F$303</f>
        <v>4.7398929800778061E-3</v>
      </c>
      <c r="J299" s="357">
        <f>labcap_sources!$G$113*labcap_sources!$G$110</f>
        <v>0.66484804604197778</v>
      </c>
      <c r="K299" s="362">
        <f>$H299*J299</f>
        <v>3.1513085862528165E-3</v>
      </c>
      <c r="L299" s="368">
        <f>K299/K$303*$F$303</f>
        <v>3.0677941087884279E-3</v>
      </c>
      <c r="M299" s="357">
        <f>labcap_sources!$H$113*labcap_sources!$H$110</f>
        <v>0.55987203877219194</v>
      </c>
      <c r="N299" s="362">
        <f>$H299*M299</f>
        <v>2.6537335463181618E-3</v>
      </c>
      <c r="O299" s="368">
        <f>N299/N$303*$F$303</f>
        <v>2.43464450525633E-3</v>
      </c>
    </row>
    <row r="300" spans="1:15" x14ac:dyDescent="0.25">
      <c r="A300" s="2" t="s">
        <v>914</v>
      </c>
      <c r="B300" s="2" t="s">
        <v>165</v>
      </c>
      <c r="C300" s="2" t="s">
        <v>731</v>
      </c>
      <c r="D300" s="2" t="s">
        <v>828</v>
      </c>
      <c r="E300" s="241" t="s">
        <v>373</v>
      </c>
      <c r="F300" s="362">
        <f>opex_det!AV$170</f>
        <v>5.5721549203761794E-2</v>
      </c>
      <c r="G300" s="366">
        <f>labcap_sources!$F$113*labcap_sources!$F$111</f>
        <v>1</v>
      </c>
      <c r="H300" s="362">
        <f t="shared" ref="H300:H302" si="199">$F300*G300</f>
        <v>5.5721549203761794E-2</v>
      </c>
      <c r="I300" s="368">
        <f>H300/H$303*$F$303</f>
        <v>5.5721549203761787E-2</v>
      </c>
      <c r="J300" s="357">
        <f>labcap_sources!$G$113*labcap_sources!$G$111</f>
        <v>0.92571514159486123</v>
      </c>
      <c r="K300" s="362">
        <f t="shared" ref="K300:K302" si="200">$H300*J300</f>
        <v>5.1582281811045377E-2</v>
      </c>
      <c r="L300" s="368">
        <f>K300/K$303*$F$303</f>
        <v>5.021527277528709E-2</v>
      </c>
      <c r="M300" s="357">
        <f>labcap_sources!$H$113*labcap_sources!$H$111</f>
        <v>0.6836050276392821</v>
      </c>
      <c r="N300" s="362">
        <f t="shared" ref="N300:N302" si="201">$H300*M300</f>
        <v>3.8091531183541201E-2</v>
      </c>
      <c r="O300" s="368">
        <f>N300/N$303*$F$303</f>
        <v>3.4946740309130496E-2</v>
      </c>
    </row>
    <row r="301" spans="1:15" x14ac:dyDescent="0.25">
      <c r="A301" s="2" t="s">
        <v>914</v>
      </c>
      <c r="B301" s="2" t="s">
        <v>165</v>
      </c>
      <c r="C301" s="2" t="s">
        <v>731</v>
      </c>
      <c r="D301" s="2" t="s">
        <v>828</v>
      </c>
      <c r="E301" s="241" t="s">
        <v>374</v>
      </c>
      <c r="F301" s="362">
        <f>opex_det!AV$171</f>
        <v>4.5474433352917162E-2</v>
      </c>
      <c r="G301" s="366">
        <f>labcap_sources!$F$113*labcap_sources!$F$112</f>
        <v>1</v>
      </c>
      <c r="H301" s="362">
        <f t="shared" si="199"/>
        <v>4.5474433352917162E-2</v>
      </c>
      <c r="I301" s="368">
        <f>H301/H$303*$F$303</f>
        <v>4.5474433352917162E-2</v>
      </c>
      <c r="J301" s="357">
        <f>labcap_sources!$G$113*labcap_sources!$G$112</f>
        <v>1.0898526082273221</v>
      </c>
      <c r="K301" s="362">
        <f t="shared" si="200"/>
        <v>4.9560429797336297E-2</v>
      </c>
      <c r="L301" s="368">
        <f>K301/K$303*$F$303</f>
        <v>4.8247002919533544E-2</v>
      </c>
      <c r="M301" s="357">
        <f>labcap_sources!$H$113*labcap_sources!$H$112</f>
        <v>1.1625094487758103</v>
      </c>
      <c r="N301" s="362">
        <f t="shared" si="201"/>
        <v>5.2864458450492056E-2</v>
      </c>
      <c r="O301" s="368">
        <f>N301/N$303*$F$303</f>
        <v>4.8500032517737636E-2</v>
      </c>
    </row>
    <row r="302" spans="1:15" x14ac:dyDescent="0.25">
      <c r="A302" s="2" t="s">
        <v>914</v>
      </c>
      <c r="B302" s="2" t="s">
        <v>165</v>
      </c>
      <c r="C302" s="2" t="s">
        <v>731</v>
      </c>
      <c r="D302" s="2" t="s">
        <v>828</v>
      </c>
      <c r="E302" s="240" t="s">
        <v>375</v>
      </c>
      <c r="F302" s="362">
        <f>opex_det!AV$172</f>
        <v>0.19869779088507472</v>
      </c>
      <c r="G302" s="366">
        <f>labcap_sources!$F$114</f>
        <v>1</v>
      </c>
      <c r="H302" s="362">
        <f t="shared" si="199"/>
        <v>0.19869779088507472</v>
      </c>
      <c r="I302" s="368">
        <f>H302/H$303*$F$303</f>
        <v>0.19869779088507472</v>
      </c>
      <c r="J302" s="357">
        <f>labcap_sources!$G$114</f>
        <v>1.05</v>
      </c>
      <c r="K302" s="362">
        <f t="shared" si="200"/>
        <v>0.20863268042932848</v>
      </c>
      <c r="L302" s="368">
        <f>K302/K$303*$F$303</f>
        <v>0.20310359661822239</v>
      </c>
      <c r="M302" s="357">
        <f>labcap_sources!$H$114</f>
        <v>1.2</v>
      </c>
      <c r="N302" s="362">
        <f t="shared" si="201"/>
        <v>0.23843734906208966</v>
      </c>
      <c r="O302" s="368">
        <f>N302/N$303*$F$303</f>
        <v>0.21875224908970703</v>
      </c>
    </row>
    <row r="303" spans="1:15" x14ac:dyDescent="0.25">
      <c r="A303" s="2" t="s">
        <v>914</v>
      </c>
      <c r="B303" s="2" t="s">
        <v>165</v>
      </c>
      <c r="C303" s="2" t="s">
        <v>731</v>
      </c>
      <c r="D303" s="2" t="s">
        <v>828</v>
      </c>
      <c r="E303" s="19" t="s">
        <v>1077</v>
      </c>
      <c r="F303" s="363">
        <f>SUM(F299:F302)</f>
        <v>0.30463366642183148</v>
      </c>
      <c r="G303" s="366"/>
      <c r="H303" s="363">
        <f>SUM(H299:H302)</f>
        <v>0.30463366642183148</v>
      </c>
      <c r="I303" s="363">
        <f>SUM(I299:I302)</f>
        <v>0.30463366642183148</v>
      </c>
      <c r="J303" s="357"/>
      <c r="K303" s="363">
        <f>SUM(K299:K302)</f>
        <v>0.31292670062396299</v>
      </c>
      <c r="L303" s="363">
        <f>SUM(L299:L302)</f>
        <v>0.30463366642183143</v>
      </c>
      <c r="M303" s="357"/>
      <c r="N303" s="363">
        <f>SUM(N299:N302)</f>
        <v>0.33204707224244107</v>
      </c>
      <c r="O303" s="363">
        <f>SUM(O299:O302)</f>
        <v>0.30463366642183148</v>
      </c>
    </row>
    <row r="304" spans="1:15" x14ac:dyDescent="0.25">
      <c r="A304" s="2" t="s">
        <v>914</v>
      </c>
      <c r="B304" s="2" t="s">
        <v>165</v>
      </c>
      <c r="C304" s="2" t="s">
        <v>731</v>
      </c>
      <c r="D304" s="2" t="s">
        <v>828</v>
      </c>
      <c r="E304" s="367" t="s">
        <v>1068</v>
      </c>
      <c r="F304" s="359">
        <f>opex_det!AV$176</f>
        <v>3.7828056299533898E-4</v>
      </c>
      <c r="G304" s="366">
        <f>labcap_sources!$F$110</f>
        <v>1</v>
      </c>
      <c r="H304" s="369">
        <f t="shared" ref="H304:H310" si="202">$F304*G304</f>
        <v>3.7828056299533898E-4</v>
      </c>
      <c r="I304" s="357"/>
      <c r="J304" s="357">
        <f>labcap_sources!$G$110</f>
        <v>0.69984004846523984</v>
      </c>
      <c r="K304" s="369">
        <f>$H304*J304</f>
        <v>2.6473588754011626E-4</v>
      </c>
      <c r="L304" s="360"/>
      <c r="M304" s="357">
        <f>labcap_sources!$H$110</f>
        <v>0.69984004846523984</v>
      </c>
      <c r="N304" s="369">
        <f>$H304*M304</f>
        <v>2.6473588754011626E-4</v>
      </c>
      <c r="O304" s="360"/>
    </row>
    <row r="305" spans="1:15" x14ac:dyDescent="0.25">
      <c r="A305" s="2" t="s">
        <v>914</v>
      </c>
      <c r="B305" s="2" t="s">
        <v>165</v>
      </c>
      <c r="C305" s="2" t="s">
        <v>731</v>
      </c>
      <c r="D305" s="2" t="s">
        <v>828</v>
      </c>
      <c r="E305" s="367" t="s">
        <v>1069</v>
      </c>
      <c r="F305" s="359">
        <f>opex_det!AV$177</f>
        <v>1.87585185778832E-4</v>
      </c>
      <c r="G305" s="366">
        <f>labcap_sources!$F$110</f>
        <v>1</v>
      </c>
      <c r="H305" s="369">
        <f t="shared" si="202"/>
        <v>1.87585185778832E-4</v>
      </c>
      <c r="I305" s="357"/>
      <c r="J305" s="357">
        <f>labcap_sources!$G$110</f>
        <v>0.69984004846523984</v>
      </c>
      <c r="K305" s="369">
        <f t="shared" ref="K305:K309" si="203">$H305*J305</f>
        <v>1.312796255068188E-4</v>
      </c>
      <c r="L305" s="360"/>
      <c r="M305" s="357">
        <f>labcap_sources!$H$110</f>
        <v>0.69984004846523984</v>
      </c>
      <c r="N305" s="369">
        <f t="shared" ref="N305:N309" si="204">$H305*M305</f>
        <v>1.312796255068188E-4</v>
      </c>
      <c r="O305" s="360"/>
    </row>
    <row r="306" spans="1:15" x14ac:dyDescent="0.25">
      <c r="A306" s="2" t="s">
        <v>914</v>
      </c>
      <c r="B306" s="2" t="s">
        <v>165</v>
      </c>
      <c r="C306" s="2" t="s">
        <v>731</v>
      </c>
      <c r="D306" s="2" t="s">
        <v>828</v>
      </c>
      <c r="E306" s="367" t="s">
        <v>1070</v>
      </c>
      <c r="F306" s="359">
        <f>opex_det!AV$178</f>
        <v>4.5776163923563502E-3</v>
      </c>
      <c r="G306" s="366">
        <f>labcap_sources!$F$111</f>
        <v>1</v>
      </c>
      <c r="H306" s="369">
        <f t="shared" si="202"/>
        <v>4.5776163923563502E-3</v>
      </c>
      <c r="I306" s="357"/>
      <c r="J306" s="357">
        <f>labcap_sources!$G$111</f>
        <v>0.97443699115248561</v>
      </c>
      <c r="K306" s="369">
        <f t="shared" si="203"/>
        <v>4.4605987440180178E-3</v>
      </c>
      <c r="L306" s="360"/>
      <c r="M306" s="357">
        <f>labcap_sources!$H$111</f>
        <v>0.8545062845491026</v>
      </c>
      <c r="N306" s="369">
        <f t="shared" si="204"/>
        <v>3.9116019755234916E-3</v>
      </c>
      <c r="O306" s="360"/>
    </row>
    <row r="307" spans="1:15" x14ac:dyDescent="0.25">
      <c r="A307" s="2" t="s">
        <v>914</v>
      </c>
      <c r="B307" s="2" t="s">
        <v>165</v>
      </c>
      <c r="C307" s="2" t="s">
        <v>731</v>
      </c>
      <c r="D307" s="2" t="s">
        <v>828</v>
      </c>
      <c r="E307" s="367" t="s">
        <v>1071</v>
      </c>
      <c r="F307" s="359">
        <f>opex_det!AV$179</f>
        <v>7.0564123959574203E-4</v>
      </c>
      <c r="G307" s="366">
        <f>labcap_sources!$F$111</f>
        <v>1</v>
      </c>
      <c r="H307" s="369">
        <f t="shared" si="202"/>
        <v>7.0564123959574203E-4</v>
      </c>
      <c r="I307" s="357"/>
      <c r="J307" s="357">
        <f>labcap_sources!$G$111</f>
        <v>0.97443699115248561</v>
      </c>
      <c r="K307" s="369">
        <f t="shared" si="203"/>
        <v>6.87602926344785E-4</v>
      </c>
      <c r="L307" s="360"/>
      <c r="M307" s="357">
        <f>labcap_sources!$H$111</f>
        <v>0.8545062845491026</v>
      </c>
      <c r="N307" s="369">
        <f t="shared" si="204"/>
        <v>6.0297487387158061E-4</v>
      </c>
      <c r="O307" s="360"/>
    </row>
    <row r="308" spans="1:15" x14ac:dyDescent="0.25">
      <c r="A308" s="2" t="s">
        <v>914</v>
      </c>
      <c r="B308" s="2" t="s">
        <v>165</v>
      </c>
      <c r="C308" s="2" t="s">
        <v>731</v>
      </c>
      <c r="D308" s="2" t="s">
        <v>828</v>
      </c>
      <c r="E308" s="367" t="s">
        <v>1072</v>
      </c>
      <c r="F308" s="359">
        <f>opex_det!AV$180</f>
        <v>1.7955768749206701E-3</v>
      </c>
      <c r="G308" s="366">
        <f>labcap_sources!$F$112</f>
        <v>1</v>
      </c>
      <c r="H308" s="369">
        <f t="shared" si="202"/>
        <v>1.7955768749206701E-3</v>
      </c>
      <c r="I308" s="357"/>
      <c r="J308" s="357">
        <f>labcap_sources!$G$112</f>
        <v>1.147213271818234</v>
      </c>
      <c r="K308" s="369">
        <f t="shared" si="203"/>
        <v>2.0599096214789017E-3</v>
      </c>
      <c r="L308" s="360"/>
      <c r="M308" s="357">
        <f>labcap_sources!$H$112</f>
        <v>1.4531368109697629</v>
      </c>
      <c r="N308" s="369">
        <f t="shared" si="204"/>
        <v>2.6092188538732754E-3</v>
      </c>
      <c r="O308" s="360"/>
    </row>
    <row r="309" spans="1:15" x14ac:dyDescent="0.25">
      <c r="A309" s="2" t="s">
        <v>914</v>
      </c>
      <c r="B309" s="2" t="s">
        <v>165</v>
      </c>
      <c r="C309" s="2" t="s">
        <v>731</v>
      </c>
      <c r="D309" s="2" t="s">
        <v>828</v>
      </c>
      <c r="E309" s="367" t="s">
        <v>1073</v>
      </c>
      <c r="F309" s="359">
        <f>opex_det!AV$181</f>
        <v>2.75610006443124E-4</v>
      </c>
      <c r="G309" s="366">
        <f>labcap_sources!$F$112</f>
        <v>1</v>
      </c>
      <c r="H309" s="369">
        <f t="shared" si="202"/>
        <v>2.75610006443124E-4</v>
      </c>
      <c r="I309" s="357"/>
      <c r="J309" s="357">
        <f>labcap_sources!$G$112</f>
        <v>1.147213271818234</v>
      </c>
      <c r="K309" s="369">
        <f t="shared" si="203"/>
        <v>3.1618345723746083E-4</v>
      </c>
      <c r="L309" s="360"/>
      <c r="M309" s="357">
        <f>labcap_sources!$H$112</f>
        <v>1.4531368109697629</v>
      </c>
      <c r="N309" s="369">
        <f t="shared" si="204"/>
        <v>4.0049904583411701E-4</v>
      </c>
      <c r="O309" s="360"/>
    </row>
    <row r="310" spans="1:15" x14ac:dyDescent="0.25">
      <c r="A310" s="2" t="s">
        <v>914</v>
      </c>
      <c r="B310" s="2" t="s">
        <v>165</v>
      </c>
      <c r="C310" s="2" t="s">
        <v>746</v>
      </c>
      <c r="D310" s="2" t="s">
        <v>829</v>
      </c>
      <c r="E310" s="241" t="s">
        <v>372</v>
      </c>
      <c r="F310" s="362">
        <f>opex_det!AW$169</f>
        <v>3.9128892728891472E-3</v>
      </c>
      <c r="G310" s="366">
        <f>labcap_sources!$F$119*labcap_sources!$F$116</f>
        <v>1</v>
      </c>
      <c r="H310" s="362">
        <f t="shared" si="202"/>
        <v>3.9128892728891472E-3</v>
      </c>
      <c r="I310" s="368">
        <f>H310/H$314*$F$314</f>
        <v>3.9128892728891472E-3</v>
      </c>
      <c r="J310" s="357">
        <f>labcap_sources!$G$119*labcap_sources!$G$116</f>
        <v>0.66484804604197778</v>
      </c>
      <c r="K310" s="362">
        <f>$H310*J310</f>
        <v>2.6014767874589645E-3</v>
      </c>
      <c r="L310" s="368">
        <f>K310/K$314*$F$314</f>
        <v>2.5342028489700723E-3</v>
      </c>
      <c r="M310" s="357">
        <f>labcap_sources!$H$119*labcap_sources!$H$116</f>
        <v>0.55987203877219194</v>
      </c>
      <c r="N310" s="362">
        <f>$H310*M310</f>
        <v>2.1907172947022865E-3</v>
      </c>
      <c r="O310" s="368">
        <f>N310/N$314*$F$314</f>
        <v>2.0158981221722245E-3</v>
      </c>
    </row>
    <row r="311" spans="1:15" x14ac:dyDescent="0.25">
      <c r="A311" s="2" t="s">
        <v>914</v>
      </c>
      <c r="B311" s="2" t="s">
        <v>165</v>
      </c>
      <c r="C311" s="2" t="s">
        <v>746</v>
      </c>
      <c r="D311" s="2" t="s">
        <v>829</v>
      </c>
      <c r="E311" s="241" t="s">
        <v>373</v>
      </c>
      <c r="F311" s="362">
        <f>opex_det!AW$170</f>
        <v>4.599940400860808E-2</v>
      </c>
      <c r="G311" s="366">
        <f>labcap_sources!$F$119*labcap_sources!$F$117</f>
        <v>1</v>
      </c>
      <c r="H311" s="362">
        <f t="shared" ref="H311:H313" si="205">$F311*G311</f>
        <v>4.599940400860808E-2</v>
      </c>
      <c r="I311" s="368">
        <f>H311/H$314*$F$314</f>
        <v>4.599940400860808E-2</v>
      </c>
      <c r="J311" s="357">
        <f>labcap_sources!$G$119*labcap_sources!$G$117</f>
        <v>0.92571514159486123</v>
      </c>
      <c r="K311" s="362">
        <f t="shared" ref="K311:K313" si="206">$H311*J311</f>
        <v>4.2582344795107856E-2</v>
      </c>
      <c r="L311" s="368">
        <f>K311/K$314*$F$314</f>
        <v>4.1481169471050093E-2</v>
      </c>
      <c r="M311" s="357">
        <f>labcap_sources!$H$119*labcap_sources!$H$117</f>
        <v>0.6836050276392821</v>
      </c>
      <c r="N311" s="362">
        <f t="shared" ref="N311:N313" si="207">$H311*M311</f>
        <v>3.1445423848695031E-2</v>
      </c>
      <c r="O311" s="368">
        <f>N311/N$314*$F$314</f>
        <v>2.8936079995711475E-2</v>
      </c>
    </row>
    <row r="312" spans="1:15" x14ac:dyDescent="0.25">
      <c r="A312" s="2" t="s">
        <v>914</v>
      </c>
      <c r="B312" s="2" t="s">
        <v>165</v>
      </c>
      <c r="C312" s="2" t="s">
        <v>746</v>
      </c>
      <c r="D312" s="2" t="s">
        <v>829</v>
      </c>
      <c r="E312" s="241" t="s">
        <v>374</v>
      </c>
      <c r="F312" s="362">
        <f>opex_det!AW$171</f>
        <v>3.7540177216073181E-2</v>
      </c>
      <c r="G312" s="366">
        <f>labcap_sources!$F$119*labcap_sources!$F$118</f>
        <v>1</v>
      </c>
      <c r="H312" s="362">
        <f t="shared" si="205"/>
        <v>3.7540177216073181E-2</v>
      </c>
      <c r="I312" s="368">
        <f>H312/H$314*$F$314</f>
        <v>3.7540177216073181E-2</v>
      </c>
      <c r="J312" s="357">
        <f>labcap_sources!$G$119*labcap_sources!$G$118</f>
        <v>1.0898526082273221</v>
      </c>
      <c r="K312" s="362">
        <f t="shared" si="206"/>
        <v>4.091326005225325E-2</v>
      </c>
      <c r="L312" s="368">
        <f>K312/K$314*$F$314</f>
        <v>3.9855247098455664E-2</v>
      </c>
      <c r="M312" s="357">
        <f>labcap_sources!$H$119*labcap_sources!$H$118</f>
        <v>1.1625094487758103</v>
      </c>
      <c r="N312" s="362">
        <f t="shared" si="207"/>
        <v>4.3640810722403466E-2</v>
      </c>
      <c r="O312" s="368">
        <f>N312/N$314*$F$314</f>
        <v>4.0158275373145431E-2</v>
      </c>
    </row>
    <row r="313" spans="1:15" x14ac:dyDescent="0.25">
      <c r="A313" s="2" t="s">
        <v>914</v>
      </c>
      <c r="B313" s="2" t="s">
        <v>165</v>
      </c>
      <c r="C313" s="2" t="s">
        <v>746</v>
      </c>
      <c r="D313" s="2" t="s">
        <v>829</v>
      </c>
      <c r="E313" s="240" t="s">
        <v>375</v>
      </c>
      <c r="F313" s="362">
        <f>opex_det!AW$172</f>
        <v>0.15677485804327543</v>
      </c>
      <c r="G313" s="366">
        <f>labcap_sources!$F$120</f>
        <v>1</v>
      </c>
      <c r="H313" s="362">
        <f t="shared" si="205"/>
        <v>0.15677485804327543</v>
      </c>
      <c r="I313" s="368">
        <f>H313/H$314*$F$314</f>
        <v>0.15677485804327543</v>
      </c>
      <c r="J313" s="357">
        <f>labcap_sources!$G$120</f>
        <v>1.05</v>
      </c>
      <c r="K313" s="362">
        <f t="shared" si="206"/>
        <v>0.1646136009454392</v>
      </c>
      <c r="L313" s="368">
        <f>K313/K$314*$F$314</f>
        <v>0.16035670912236999</v>
      </c>
      <c r="M313" s="357">
        <f>labcap_sources!$H$120</f>
        <v>1.2</v>
      </c>
      <c r="N313" s="362">
        <f t="shared" si="207"/>
        <v>0.18812982965193051</v>
      </c>
      <c r="O313" s="368">
        <f>N313/N$314*$F$314</f>
        <v>0.17311707504981672</v>
      </c>
    </row>
    <row r="314" spans="1:15" x14ac:dyDescent="0.25">
      <c r="A314" s="2" t="s">
        <v>914</v>
      </c>
      <c r="B314" s="2" t="s">
        <v>165</v>
      </c>
      <c r="C314" s="2" t="s">
        <v>746</v>
      </c>
      <c r="D314" s="2" t="s">
        <v>829</v>
      </c>
      <c r="E314" s="19" t="s">
        <v>1077</v>
      </c>
      <c r="F314" s="363">
        <f>SUM(F310:F313)</f>
        <v>0.24422732854084583</v>
      </c>
      <c r="G314" s="366"/>
      <c r="H314" s="363">
        <f>SUM(H310:H313)</f>
        <v>0.24422732854084583</v>
      </c>
      <c r="I314" s="363">
        <f>SUM(I310:I313)</f>
        <v>0.24422732854084583</v>
      </c>
      <c r="J314" s="357"/>
      <c r="K314" s="363">
        <f>SUM(K310:K313)</f>
        <v>0.2507106825802593</v>
      </c>
      <c r="L314" s="363">
        <f>SUM(L310:L313)</f>
        <v>0.24422732854084583</v>
      </c>
      <c r="M314" s="357"/>
      <c r="N314" s="363">
        <f>SUM(N310:N313)</f>
        <v>0.26540678151773128</v>
      </c>
      <c r="O314" s="363">
        <f>SUM(O310:O313)</f>
        <v>0.24422732854084583</v>
      </c>
    </row>
    <row r="315" spans="1:15" x14ac:dyDescent="0.25">
      <c r="A315" s="2" t="s">
        <v>914</v>
      </c>
      <c r="B315" s="2" t="s">
        <v>165</v>
      </c>
      <c r="C315" s="2" t="s">
        <v>746</v>
      </c>
      <c r="D315" s="2" t="s">
        <v>829</v>
      </c>
      <c r="E315" s="367" t="s">
        <v>1068</v>
      </c>
      <c r="F315" s="359">
        <f>opex_det!AW$176</f>
        <v>3.7828056299533898E-4</v>
      </c>
      <c r="G315" s="366">
        <f>labcap_sources!$F$116</f>
        <v>1</v>
      </c>
      <c r="H315" s="369">
        <f t="shared" ref="H315:H321" si="208">$F315*G315</f>
        <v>3.7828056299533898E-4</v>
      </c>
      <c r="I315" s="357"/>
      <c r="J315" s="357">
        <f>labcap_sources!$G$116</f>
        <v>0.69984004846523984</v>
      </c>
      <c r="K315" s="369">
        <f>$H315*J315</f>
        <v>2.6473588754011626E-4</v>
      </c>
      <c r="L315" s="360"/>
      <c r="M315" s="357">
        <f>labcap_sources!$H$116</f>
        <v>0.69984004846523984</v>
      </c>
      <c r="N315" s="369">
        <f>$H315*M315</f>
        <v>2.6473588754011626E-4</v>
      </c>
      <c r="O315" s="360"/>
    </row>
    <row r="316" spans="1:15" x14ac:dyDescent="0.25">
      <c r="A316" s="2" t="s">
        <v>914</v>
      </c>
      <c r="B316" s="2" t="s">
        <v>165</v>
      </c>
      <c r="C316" s="2" t="s">
        <v>746</v>
      </c>
      <c r="D316" s="2" t="s">
        <v>829</v>
      </c>
      <c r="E316" s="367" t="s">
        <v>1069</v>
      </c>
      <c r="F316" s="359">
        <f>opex_det!AW$177</f>
        <v>1.87585185778832E-4</v>
      </c>
      <c r="G316" s="366">
        <f>labcap_sources!$F$116</f>
        <v>1</v>
      </c>
      <c r="H316" s="369">
        <f t="shared" si="208"/>
        <v>1.87585185778832E-4</v>
      </c>
      <c r="I316" s="357"/>
      <c r="J316" s="357">
        <f>labcap_sources!$G$116</f>
        <v>0.69984004846523984</v>
      </c>
      <c r="K316" s="369">
        <f t="shared" ref="K316:K320" si="209">$H316*J316</f>
        <v>1.312796255068188E-4</v>
      </c>
      <c r="L316" s="360"/>
      <c r="M316" s="357">
        <f>labcap_sources!$H$116</f>
        <v>0.69984004846523984</v>
      </c>
      <c r="N316" s="369">
        <f t="shared" ref="N316:N320" si="210">$H316*M316</f>
        <v>1.312796255068188E-4</v>
      </c>
      <c r="O316" s="360"/>
    </row>
    <row r="317" spans="1:15" x14ac:dyDescent="0.25">
      <c r="A317" s="2" t="s">
        <v>914</v>
      </c>
      <c r="B317" s="2" t="s">
        <v>165</v>
      </c>
      <c r="C317" s="2" t="s">
        <v>746</v>
      </c>
      <c r="D317" s="2" t="s">
        <v>829</v>
      </c>
      <c r="E317" s="367" t="s">
        <v>1070</v>
      </c>
      <c r="F317" s="359">
        <f>opex_det!AW$178</f>
        <v>4.5776163923563502E-3</v>
      </c>
      <c r="G317" s="366">
        <f>labcap_sources!$F$117</f>
        <v>1</v>
      </c>
      <c r="H317" s="369">
        <f t="shared" si="208"/>
        <v>4.5776163923563502E-3</v>
      </c>
      <c r="I317" s="357"/>
      <c r="J317" s="357">
        <f>labcap_sources!$G$117</f>
        <v>0.97443699115248561</v>
      </c>
      <c r="K317" s="369">
        <f t="shared" si="209"/>
        <v>4.4605987440180178E-3</v>
      </c>
      <c r="L317" s="360"/>
      <c r="M317" s="357">
        <f>labcap_sources!$H$117</f>
        <v>0.8545062845491026</v>
      </c>
      <c r="N317" s="369">
        <f t="shared" si="210"/>
        <v>3.9116019755234916E-3</v>
      </c>
      <c r="O317" s="360"/>
    </row>
    <row r="318" spans="1:15" x14ac:dyDescent="0.25">
      <c r="A318" s="2" t="s">
        <v>914</v>
      </c>
      <c r="B318" s="2" t="s">
        <v>165</v>
      </c>
      <c r="C318" s="2" t="s">
        <v>746</v>
      </c>
      <c r="D318" s="2" t="s">
        <v>829</v>
      </c>
      <c r="E318" s="367" t="s">
        <v>1071</v>
      </c>
      <c r="F318" s="359">
        <f>opex_det!AW$179</f>
        <v>7.0564123959574203E-4</v>
      </c>
      <c r="G318" s="366">
        <f>labcap_sources!$F$117</f>
        <v>1</v>
      </c>
      <c r="H318" s="369">
        <f t="shared" si="208"/>
        <v>7.0564123959574203E-4</v>
      </c>
      <c r="I318" s="357"/>
      <c r="J318" s="357">
        <f>labcap_sources!$G$117</f>
        <v>0.97443699115248561</v>
      </c>
      <c r="K318" s="369">
        <f t="shared" si="209"/>
        <v>6.87602926344785E-4</v>
      </c>
      <c r="L318" s="360"/>
      <c r="M318" s="357">
        <f>labcap_sources!$H$117</f>
        <v>0.8545062845491026</v>
      </c>
      <c r="N318" s="369">
        <f t="shared" si="210"/>
        <v>6.0297487387158061E-4</v>
      </c>
      <c r="O318" s="360"/>
    </row>
    <row r="319" spans="1:15" x14ac:dyDescent="0.25">
      <c r="A319" s="2" t="s">
        <v>914</v>
      </c>
      <c r="B319" s="2" t="s">
        <v>165</v>
      </c>
      <c r="C319" s="2" t="s">
        <v>746</v>
      </c>
      <c r="D319" s="2" t="s">
        <v>829</v>
      </c>
      <c r="E319" s="367" t="s">
        <v>1072</v>
      </c>
      <c r="F319" s="359">
        <f>opex_det!AW$180</f>
        <v>1.7955768749206701E-3</v>
      </c>
      <c r="G319" s="366">
        <f>labcap_sources!$F$118</f>
        <v>1</v>
      </c>
      <c r="H319" s="369">
        <f t="shared" si="208"/>
        <v>1.7955768749206701E-3</v>
      </c>
      <c r="I319" s="357"/>
      <c r="J319" s="357">
        <f>labcap_sources!$G$118</f>
        <v>1.147213271818234</v>
      </c>
      <c r="K319" s="369">
        <f t="shared" si="209"/>
        <v>2.0599096214789017E-3</v>
      </c>
      <c r="L319" s="360"/>
      <c r="M319" s="357">
        <f>labcap_sources!$H$118</f>
        <v>1.4531368109697629</v>
      </c>
      <c r="N319" s="369">
        <f t="shared" si="210"/>
        <v>2.6092188538732754E-3</v>
      </c>
      <c r="O319" s="360"/>
    </row>
    <row r="320" spans="1:15" x14ac:dyDescent="0.25">
      <c r="A320" s="2" t="s">
        <v>914</v>
      </c>
      <c r="B320" s="2" t="s">
        <v>165</v>
      </c>
      <c r="C320" s="2" t="s">
        <v>746</v>
      </c>
      <c r="D320" s="2" t="s">
        <v>829</v>
      </c>
      <c r="E320" s="367" t="s">
        <v>1073</v>
      </c>
      <c r="F320" s="359">
        <f>opex_det!AW$181</f>
        <v>2.75610006443124E-4</v>
      </c>
      <c r="G320" s="366">
        <f>labcap_sources!$F$118</f>
        <v>1</v>
      </c>
      <c r="H320" s="369">
        <f t="shared" si="208"/>
        <v>2.75610006443124E-4</v>
      </c>
      <c r="I320" s="357"/>
      <c r="J320" s="357">
        <f>labcap_sources!$G$118</f>
        <v>1.147213271818234</v>
      </c>
      <c r="K320" s="369">
        <f t="shared" si="209"/>
        <v>3.1618345723746083E-4</v>
      </c>
      <c r="L320" s="360"/>
      <c r="M320" s="357">
        <f>labcap_sources!$H$118</f>
        <v>1.4531368109697629</v>
      </c>
      <c r="N320" s="369">
        <f t="shared" si="210"/>
        <v>4.0049904583411701E-4</v>
      </c>
      <c r="O320" s="360"/>
    </row>
    <row r="321" spans="1:15" x14ac:dyDescent="0.25">
      <c r="A321" s="2" t="s">
        <v>914</v>
      </c>
      <c r="B321" s="2" t="s">
        <v>167</v>
      </c>
      <c r="C321" s="2" t="s">
        <v>166</v>
      </c>
      <c r="D321" s="2" t="s">
        <v>757</v>
      </c>
      <c r="E321" s="241" t="s">
        <v>372</v>
      </c>
      <c r="F321" s="362">
        <f>opex_det!AX$169</f>
        <v>4.5823446607328299E-3</v>
      </c>
      <c r="G321" s="366">
        <f>labcap_sources!$F$125*labcap_sources!$F$122</f>
        <v>1</v>
      </c>
      <c r="H321" s="362">
        <f t="shared" si="208"/>
        <v>4.5823446607328299E-3</v>
      </c>
      <c r="I321" s="368">
        <f>H321/H$325*$F$325</f>
        <v>4.5823446607328299E-3</v>
      </c>
      <c r="J321" s="357">
        <f>labcap_sources!$G$125*labcap_sources!$G$122</f>
        <v>0.67492225286030616</v>
      </c>
      <c r="K321" s="362">
        <f>$H321*J321</f>
        <v>3.0927263818041968E-3</v>
      </c>
      <c r="L321" s="368">
        <f>K321/K$325*$F$325</f>
        <v>3.064716338533681E-3</v>
      </c>
      <c r="M321" s="357">
        <f>labcap_sources!$H$125*labcap_sources!$H$122</f>
        <v>0.56835558135604736</v>
      </c>
      <c r="N321" s="362">
        <f>$H321*M321</f>
        <v>2.6044011636245871E-3</v>
      </c>
      <c r="O321" s="368">
        <f>N321/N$325*$F$325</f>
        <v>2.5218672858721191E-3</v>
      </c>
    </row>
    <row r="322" spans="1:15" x14ac:dyDescent="0.25">
      <c r="A322" s="2" t="s">
        <v>914</v>
      </c>
      <c r="B322" s="2" t="s">
        <v>167</v>
      </c>
      <c r="C322" s="2" t="s">
        <v>166</v>
      </c>
      <c r="D322" s="2" t="s">
        <v>757</v>
      </c>
      <c r="E322" s="241" t="s">
        <v>373</v>
      </c>
      <c r="F322" s="362">
        <f>opex_det!AX$170</f>
        <v>5.3869432190903302E-2</v>
      </c>
      <c r="G322" s="366">
        <f>labcap_sources!$F$125*labcap_sources!$F$123</f>
        <v>1</v>
      </c>
      <c r="H322" s="362">
        <f t="shared" ref="H322:H324" si="211">$F322*G322</f>
        <v>5.3869432190903302E-2</v>
      </c>
      <c r="I322" s="368">
        <f>H322/H$325*$F$325</f>
        <v>5.3869432190903309E-2</v>
      </c>
      <c r="J322" s="357">
        <f>labcap_sources!$G$125*labcap_sources!$G$123</f>
        <v>0.93652427785692161</v>
      </c>
      <c r="K322" s="362">
        <f t="shared" ref="K322:K324" si="212">$H322*J322</f>
        <v>5.0450031081148122E-2</v>
      </c>
      <c r="L322" s="368">
        <f>K322/K$325*$F$325</f>
        <v>4.9993117866356233E-2</v>
      </c>
      <c r="M322" s="357">
        <f>labcap_sources!$H$125*labcap_sources!$H$123</f>
        <v>0.69158715903280354</v>
      </c>
      <c r="N322" s="362">
        <f t="shared" ref="N322:N324" si="213">$H322*M322</f>
        <v>3.7255407567617069E-2</v>
      </c>
      <c r="O322" s="368">
        <f>N322/N$325*$F$325</f>
        <v>3.607477791011654E-2</v>
      </c>
    </row>
    <row r="323" spans="1:15" x14ac:dyDescent="0.25">
      <c r="A323" s="2" t="s">
        <v>914</v>
      </c>
      <c r="B323" s="2" t="s">
        <v>167</v>
      </c>
      <c r="C323" s="2" t="s">
        <v>166</v>
      </c>
      <c r="D323" s="2" t="s">
        <v>757</v>
      </c>
      <c r="E323" s="241" t="s">
        <v>374</v>
      </c>
      <c r="F323" s="362">
        <f>opex_det!AX$171</f>
        <v>4.39629180976547E-2</v>
      </c>
      <c r="G323" s="366">
        <f>labcap_sources!$F$125*labcap_sources!$F$124</f>
        <v>1</v>
      </c>
      <c r="H323" s="362">
        <f t="shared" si="211"/>
        <v>4.39629180976547E-2</v>
      </c>
      <c r="I323" s="368">
        <f>H323/H$325*$F$325</f>
        <v>4.39629180976547E-2</v>
      </c>
      <c r="J323" s="357">
        <f>labcap_sources!$G$125*labcap_sources!$G$124</f>
        <v>1.054506431811155</v>
      </c>
      <c r="K323" s="362">
        <f t="shared" si="212"/>
        <v>4.6359179895163909E-2</v>
      </c>
      <c r="L323" s="368">
        <f>K323/K$325*$F$325</f>
        <v>4.5939316488401209E-2</v>
      </c>
      <c r="M323" s="357">
        <f>labcap_sources!$H$125*labcap_sources!$H$124</f>
        <v>1.177997132751013</v>
      </c>
      <c r="N323" s="362">
        <f t="shared" si="213"/>
        <v>5.1788191466404856E-2</v>
      </c>
      <c r="O323" s="368">
        <f>N323/N$325*$F$325</f>
        <v>5.01470156279019E-2</v>
      </c>
    </row>
    <row r="324" spans="1:15" x14ac:dyDescent="0.25">
      <c r="A324" s="2" t="s">
        <v>914</v>
      </c>
      <c r="B324" s="2" t="s">
        <v>167</v>
      </c>
      <c r="C324" s="2" t="s">
        <v>166</v>
      </c>
      <c r="D324" s="2" t="s">
        <v>757</v>
      </c>
      <c r="E324" s="240" t="s">
        <v>375</v>
      </c>
      <c r="F324" s="362">
        <f>opex_det!AX$172</f>
        <v>8.4403785042961199E-2</v>
      </c>
      <c r="G324" s="366">
        <f>labcap_sources!$F$126</f>
        <v>1</v>
      </c>
      <c r="H324" s="362">
        <f t="shared" si="211"/>
        <v>8.4403785042961199E-2</v>
      </c>
      <c r="I324" s="368">
        <f>H324/H$325*$F$325</f>
        <v>8.4403785042961199E-2</v>
      </c>
      <c r="J324" s="357">
        <f>labcap_sources!$G$126</f>
        <v>1.05</v>
      </c>
      <c r="K324" s="362">
        <f t="shared" si="212"/>
        <v>8.8623974295109265E-2</v>
      </c>
      <c r="L324" s="368">
        <f>K324/K$325*$F$325</f>
        <v>8.7821329298960915E-2</v>
      </c>
      <c r="M324" s="357">
        <f>labcap_sources!$H$126</f>
        <v>1.2</v>
      </c>
      <c r="N324" s="362">
        <f t="shared" si="213"/>
        <v>0.10128454205155343</v>
      </c>
      <c r="O324" s="368">
        <f>N324/N$325*$F$325</f>
        <v>9.8074819168361485E-2</v>
      </c>
    </row>
    <row r="325" spans="1:15" x14ac:dyDescent="0.25">
      <c r="A325" s="2" t="s">
        <v>914</v>
      </c>
      <c r="B325" s="2" t="s">
        <v>167</v>
      </c>
      <c r="C325" s="2" t="s">
        <v>166</v>
      </c>
      <c r="D325" s="2" t="s">
        <v>757</v>
      </c>
      <c r="E325" s="19" t="s">
        <v>1077</v>
      </c>
      <c r="F325" s="363">
        <f>SUM(F321:F324)</f>
        <v>0.18681847999225204</v>
      </c>
      <c r="G325" s="366"/>
      <c r="H325" s="363">
        <f>SUM(H321:H324)</f>
        <v>0.18681847999225204</v>
      </c>
      <c r="I325" s="363">
        <f>SUM(I321:I324)</f>
        <v>0.18681847999225204</v>
      </c>
      <c r="J325" s="357"/>
      <c r="K325" s="363">
        <f>SUM(K321:K324)</f>
        <v>0.18852591165322549</v>
      </c>
      <c r="L325" s="363">
        <f>SUM(L321:L324)</f>
        <v>0.18681847999225204</v>
      </c>
      <c r="M325" s="357"/>
      <c r="N325" s="363">
        <f>SUM(N321:N324)</f>
        <v>0.19293254224919995</v>
      </c>
      <c r="O325" s="363">
        <f>SUM(O321:O324)</f>
        <v>0.18681847999225204</v>
      </c>
    </row>
    <row r="326" spans="1:15" x14ac:dyDescent="0.25">
      <c r="A326" s="2" t="s">
        <v>914</v>
      </c>
      <c r="B326" s="2" t="s">
        <v>167</v>
      </c>
      <c r="C326" s="2" t="s">
        <v>166</v>
      </c>
      <c r="D326" s="2" t="s">
        <v>757</v>
      </c>
      <c r="E326" s="367" t="s">
        <v>1068</v>
      </c>
      <c r="F326" s="359">
        <f>opex_det!AX$176</f>
        <v>3.6992528865454802E-4</v>
      </c>
      <c r="G326" s="366">
        <f>labcap_sources!$F$122</f>
        <v>1</v>
      </c>
      <c r="H326" s="369">
        <f t="shared" ref="H326:H335" si="214">$F326*G326</f>
        <v>3.6992528865454802E-4</v>
      </c>
      <c r="I326" s="357"/>
      <c r="J326" s="357">
        <f>labcap_sources!$G$122</f>
        <v>0.71044447669505917</v>
      </c>
      <c r="K326" s="369">
        <f>$H326*J326</f>
        <v>2.628113781144491E-4</v>
      </c>
      <c r="L326" s="360"/>
      <c r="M326" s="357">
        <f>labcap_sources!$H$122</f>
        <v>0.71044447669505917</v>
      </c>
      <c r="N326" s="369">
        <f>$H326*M326</f>
        <v>2.628113781144491E-4</v>
      </c>
      <c r="O326" s="360"/>
    </row>
    <row r="327" spans="1:15" x14ac:dyDescent="0.25">
      <c r="A327" s="2" t="s">
        <v>914</v>
      </c>
      <c r="B327" s="2" t="s">
        <v>167</v>
      </c>
      <c r="C327" s="2" t="s">
        <v>166</v>
      </c>
      <c r="D327" s="2" t="s">
        <v>757</v>
      </c>
      <c r="E327" s="367" t="s">
        <v>1069</v>
      </c>
      <c r="F327" s="359">
        <f>opex_det!AX$177</f>
        <v>1.8749408035536599E-4</v>
      </c>
      <c r="G327" s="366">
        <f>labcap_sources!$F$122</f>
        <v>1</v>
      </c>
      <c r="H327" s="369">
        <f t="shared" si="214"/>
        <v>1.8749408035536599E-4</v>
      </c>
      <c r="I327" s="357"/>
      <c r="J327" s="357">
        <f>labcap_sources!$G$122</f>
        <v>0.71044447669505917</v>
      </c>
      <c r="K327" s="369">
        <f t="shared" ref="K327:K331" si="215">$H327*J327</f>
        <v>1.3320413380148936E-4</v>
      </c>
      <c r="L327" s="360"/>
      <c r="M327" s="357">
        <f>labcap_sources!$H$122</f>
        <v>0.71044447669505917</v>
      </c>
      <c r="N327" s="369">
        <f t="shared" ref="N327:N331" si="216">$H327*M327</f>
        <v>1.3320413380148936E-4</v>
      </c>
      <c r="O327" s="360"/>
    </row>
    <row r="328" spans="1:15" x14ac:dyDescent="0.25">
      <c r="A328" s="2" t="s">
        <v>914</v>
      </c>
      <c r="B328" s="2" t="s">
        <v>167</v>
      </c>
      <c r="C328" s="2" t="s">
        <v>166</v>
      </c>
      <c r="D328" s="2" t="s">
        <v>757</v>
      </c>
      <c r="E328" s="367" t="s">
        <v>1070</v>
      </c>
      <c r="F328" s="359">
        <f>opex_det!AX$178</f>
        <v>4.5800303616456498E-3</v>
      </c>
      <c r="G328" s="366">
        <f>labcap_sources!$F$123</f>
        <v>1</v>
      </c>
      <c r="H328" s="369">
        <f t="shared" si="214"/>
        <v>4.5800303616456498E-3</v>
      </c>
      <c r="I328" s="357"/>
      <c r="J328" s="357">
        <f>labcap_sources!$G$123</f>
        <v>0.98581502932307541</v>
      </c>
      <c r="K328" s="369">
        <f t="shared" si="215"/>
        <v>4.515062765266282E-3</v>
      </c>
      <c r="L328" s="360"/>
      <c r="M328" s="357">
        <f>labcap_sources!$H$123</f>
        <v>0.86448394879100443</v>
      </c>
      <c r="N328" s="369">
        <f t="shared" si="216"/>
        <v>3.9593627326181234E-3</v>
      </c>
      <c r="O328" s="360"/>
    </row>
    <row r="329" spans="1:15" x14ac:dyDescent="0.25">
      <c r="A329" s="2" t="s">
        <v>914</v>
      </c>
      <c r="B329" s="2" t="s">
        <v>167</v>
      </c>
      <c r="C329" s="2" t="s">
        <v>166</v>
      </c>
      <c r="D329" s="2" t="s">
        <v>757</v>
      </c>
      <c r="E329" s="367" t="s">
        <v>1071</v>
      </c>
      <c r="F329" s="359">
        <f>opex_det!AX$179</f>
        <v>6.4224919278275797E-4</v>
      </c>
      <c r="G329" s="366">
        <f>labcap_sources!$F$123</f>
        <v>1</v>
      </c>
      <c r="H329" s="369">
        <f t="shared" si="214"/>
        <v>6.4224919278275797E-4</v>
      </c>
      <c r="I329" s="357"/>
      <c r="J329" s="357">
        <f>labcap_sources!$G$123</f>
        <v>0.98581502932307541</v>
      </c>
      <c r="K329" s="369">
        <f t="shared" si="215"/>
        <v>6.3313890681585602E-4</v>
      </c>
      <c r="L329" s="360"/>
      <c r="M329" s="357">
        <f>labcap_sources!$H$123</f>
        <v>0.86448394879100443</v>
      </c>
      <c r="N329" s="369">
        <f t="shared" si="216"/>
        <v>5.5521411828467367E-4</v>
      </c>
      <c r="O329" s="360"/>
    </row>
    <row r="330" spans="1:15" x14ac:dyDescent="0.25">
      <c r="A330" s="2" t="s">
        <v>914</v>
      </c>
      <c r="B330" s="2" t="s">
        <v>167</v>
      </c>
      <c r="C330" s="2" t="s">
        <v>166</v>
      </c>
      <c r="D330" s="2" t="s">
        <v>757</v>
      </c>
      <c r="E330" s="367" t="s">
        <v>1072</v>
      </c>
      <c r="F330" s="359">
        <f>opex_det!AX$180</f>
        <v>1.8563095528323201E-3</v>
      </c>
      <c r="G330" s="366">
        <f>labcap_sources!$F$124</f>
        <v>1</v>
      </c>
      <c r="H330" s="369">
        <f t="shared" si="214"/>
        <v>1.8563095528323201E-3</v>
      </c>
      <c r="I330" s="357"/>
      <c r="J330" s="357">
        <f>labcap_sources!$G$124</f>
        <v>1.1100067703275316</v>
      </c>
      <c r="K330" s="369">
        <f t="shared" si="215"/>
        <v>2.0605161714675481E-3</v>
      </c>
      <c r="L330" s="360"/>
      <c r="M330" s="357">
        <f>labcap_sources!$H$124</f>
        <v>1.4724964159387661</v>
      </c>
      <c r="N330" s="369">
        <f t="shared" si="216"/>
        <v>2.7334091634184849E-3</v>
      </c>
      <c r="O330" s="360"/>
    </row>
    <row r="331" spans="1:15" x14ac:dyDescent="0.25">
      <c r="A331" s="2" t="s">
        <v>914</v>
      </c>
      <c r="B331" s="2" t="s">
        <v>167</v>
      </c>
      <c r="C331" s="2" t="s">
        <v>166</v>
      </c>
      <c r="D331" s="2" t="s">
        <v>757</v>
      </c>
      <c r="E331" s="367" t="s">
        <v>1073</v>
      </c>
      <c r="F331" s="359">
        <f>opex_det!AX$181</f>
        <v>2.8430178530263899E-4</v>
      </c>
      <c r="G331" s="366">
        <f>labcap_sources!$F$124</f>
        <v>1</v>
      </c>
      <c r="H331" s="369">
        <f t="shared" si="214"/>
        <v>2.8430178530263899E-4</v>
      </c>
      <c r="I331" s="357"/>
      <c r="J331" s="357">
        <f>labcap_sources!$G$124</f>
        <v>1.1100067703275316</v>
      </c>
      <c r="K331" s="369">
        <f t="shared" si="215"/>
        <v>3.1557690650213359E-4</v>
      </c>
      <c r="L331" s="360"/>
      <c r="M331" s="357">
        <f>labcap_sources!$H$124</f>
        <v>1.4724964159387661</v>
      </c>
      <c r="N331" s="369">
        <f t="shared" si="216"/>
        <v>4.1863335990312847E-4</v>
      </c>
      <c r="O331" s="360"/>
    </row>
    <row r="332" spans="1:15" x14ac:dyDescent="0.25">
      <c r="A332" s="2" t="s">
        <v>1203</v>
      </c>
      <c r="B332" s="5" t="s">
        <v>91</v>
      </c>
      <c r="C332" s="2" t="s">
        <v>90</v>
      </c>
      <c r="E332" s="241" t="s">
        <v>372</v>
      </c>
      <c r="F332" s="362">
        <f>opex_det!D$169</f>
        <v>6.5532020000000002E-3</v>
      </c>
      <c r="G332" s="458">
        <f>labcap_sources!$F$131*labcap_sources!$F$128</f>
        <v>1</v>
      </c>
      <c r="H332" s="362">
        <f t="shared" si="214"/>
        <v>6.5532020000000002E-3</v>
      </c>
      <c r="I332" s="368">
        <f>H332/H336*$F336</f>
        <v>6.5532020000000002E-3</v>
      </c>
      <c r="J332" s="458">
        <f>labcap_sources!$G$131*labcap_sources!$G$128</f>
        <v>0.73888888888888893</v>
      </c>
      <c r="K332" s="362">
        <f>$H332*J332</f>
        <v>4.8420881444444447E-3</v>
      </c>
      <c r="L332" s="368">
        <f>K332/K336*$F336</f>
        <v>4.8390632641325858E-3</v>
      </c>
      <c r="M332" s="458">
        <f>labcap_sources!$H$131*labcap_sources!$H$128</f>
        <v>0.53333333333333333</v>
      </c>
      <c r="N332" s="362">
        <f>$H332*M332</f>
        <v>3.4950410666666665E-3</v>
      </c>
      <c r="O332" s="368">
        <f>N332/N336*$F336</f>
        <v>3.6140401751400719E-3</v>
      </c>
    </row>
    <row r="333" spans="1:15" x14ac:dyDescent="0.25">
      <c r="A333" s="2" t="s">
        <v>1203</v>
      </c>
      <c r="B333" s="5" t="s">
        <v>91</v>
      </c>
      <c r="C333" s="2" t="s">
        <v>90</v>
      </c>
      <c r="E333" s="241" t="s">
        <v>373</v>
      </c>
      <c r="F333" s="362">
        <f>opex_det!D$170</f>
        <v>5.1618493000000001E-2</v>
      </c>
      <c r="G333" s="458">
        <f>labcap_sources!$F$131*labcap_sources!$F$129</f>
        <v>1</v>
      </c>
      <c r="H333" s="362">
        <f t="shared" si="214"/>
        <v>5.1618493000000001E-2</v>
      </c>
      <c r="I333" s="368">
        <f>H333/H336*$F336</f>
        <v>5.1618493000000001E-2</v>
      </c>
      <c r="J333" s="458">
        <f>labcap_sources!$G$131*labcap_sources!$G$129</f>
        <v>0.92076923076923067</v>
      </c>
      <c r="K333" s="362">
        <f t="shared" ref="K333:K335" si="217">$H333*J333</f>
        <v>4.7528720093076918E-2</v>
      </c>
      <c r="L333" s="368">
        <f>K333/K336*$F336</f>
        <v>4.7499028628285575E-2</v>
      </c>
      <c r="M333" s="458">
        <f>labcap_sources!$H$131*labcap_sources!$H$129</f>
        <v>0.68923076923076931</v>
      </c>
      <c r="N333" s="362">
        <f t="shared" ref="N333:N335" si="218">$H333*M333</f>
        <v>3.5577053636923081E-2</v>
      </c>
      <c r="O333" s="368">
        <f>N333/N336*$F336</f>
        <v>3.6788380652585911E-2</v>
      </c>
    </row>
    <row r="334" spans="1:15" x14ac:dyDescent="0.25">
      <c r="A334" s="2" t="s">
        <v>1203</v>
      </c>
      <c r="B334" s="5" t="s">
        <v>91</v>
      </c>
      <c r="C334" s="2" t="s">
        <v>90</v>
      </c>
      <c r="E334" s="241" t="s">
        <v>374</v>
      </c>
      <c r="F334" s="362">
        <f>opex_det!D$171</f>
        <v>4.1662375000000001E-2</v>
      </c>
      <c r="G334" s="458">
        <f>labcap_sources!$F$131*labcap_sources!$F$130</f>
        <v>1</v>
      </c>
      <c r="H334" s="362">
        <f t="shared" si="214"/>
        <v>4.1662375000000001E-2</v>
      </c>
      <c r="I334" s="368">
        <f>H334/H336*$F336</f>
        <v>4.1662375000000001E-2</v>
      </c>
      <c r="J334" s="458">
        <f>labcap_sources!$G$131*labcap_sources!$G$130</f>
        <v>1.096153846153846</v>
      </c>
      <c r="K334" s="362">
        <f t="shared" si="217"/>
        <v>4.566837259615384E-2</v>
      </c>
      <c r="L334" s="368">
        <f>K334/K336*$F336</f>
        <v>4.5639843301143131E-2</v>
      </c>
      <c r="M334" s="458">
        <f>labcap_sources!$H$131*labcap_sources!$H$130</f>
        <v>1.1692307692307693</v>
      </c>
      <c r="N334" s="362">
        <f t="shared" si="218"/>
        <v>4.8712930769230771E-2</v>
      </c>
      <c r="O334" s="368">
        <f>N334/N336*$F336</f>
        <v>5.0371507942458031E-2</v>
      </c>
    </row>
    <row r="335" spans="1:15" x14ac:dyDescent="0.25">
      <c r="A335" s="2" t="s">
        <v>1203</v>
      </c>
      <c r="B335" s="5" t="s">
        <v>91</v>
      </c>
      <c r="C335" s="2" t="s">
        <v>90</v>
      </c>
      <c r="E335" s="240" t="s">
        <v>375</v>
      </c>
      <c r="F335" s="362">
        <f>opex_det!D$172</f>
        <v>3.7616176000000001E-2</v>
      </c>
      <c r="G335" s="458">
        <f>labcap_sources!$F$132</f>
        <v>1</v>
      </c>
      <c r="H335" s="362">
        <f t="shared" si="214"/>
        <v>3.7616176000000001E-2</v>
      </c>
      <c r="I335" s="368">
        <f>H335/H336*$F336</f>
        <v>3.7616176000000001E-2</v>
      </c>
      <c r="J335" s="458">
        <f>labcap_sources!$G$132</f>
        <v>1.05</v>
      </c>
      <c r="K335" s="362">
        <f t="shared" si="217"/>
        <v>3.9496984800000003E-2</v>
      </c>
      <c r="L335" s="368">
        <f>K335/K336*$F336</f>
        <v>3.9472310806438697E-2</v>
      </c>
      <c r="M335" s="458">
        <f>labcap_sources!$H$132</f>
        <v>1.2</v>
      </c>
      <c r="N335" s="362">
        <f t="shared" si="218"/>
        <v>4.51394112E-2</v>
      </c>
      <c r="O335" s="368">
        <f>N335/N336*$F336</f>
        <v>4.6676317229815974E-2</v>
      </c>
    </row>
    <row r="336" spans="1:15" x14ac:dyDescent="0.25">
      <c r="A336" s="2" t="s">
        <v>1203</v>
      </c>
      <c r="B336" s="5" t="s">
        <v>91</v>
      </c>
      <c r="C336" s="2" t="s">
        <v>90</v>
      </c>
      <c r="E336" s="19" t="s">
        <v>1077</v>
      </c>
      <c r="F336" s="363">
        <f>SUM(F332:F335)</f>
        <v>0.137450246</v>
      </c>
      <c r="G336" s="458"/>
      <c r="H336" s="363">
        <f>SUM(H332:H335)</f>
        <v>0.137450246</v>
      </c>
      <c r="I336" s="363">
        <f>SUM(I332:I335)</f>
        <v>0.137450246</v>
      </c>
      <c r="J336" s="458"/>
      <c r="K336" s="363">
        <f>SUM(K332:K335)</f>
        <v>0.13753616563367521</v>
      </c>
      <c r="L336" s="363">
        <f>SUM(L332:L335)</f>
        <v>0.137450246</v>
      </c>
      <c r="M336" s="458"/>
      <c r="N336" s="363">
        <f>SUM(N332:N335)</f>
        <v>0.13292443667282053</v>
      </c>
      <c r="O336" s="363">
        <f>SUM(O332:O335)</f>
        <v>0.137450246</v>
      </c>
    </row>
    <row r="337" spans="1:15" x14ac:dyDescent="0.25">
      <c r="A337" s="2" t="s">
        <v>1203</v>
      </c>
      <c r="B337" s="5" t="s">
        <v>91</v>
      </c>
      <c r="C337" s="2" t="s">
        <v>90</v>
      </c>
      <c r="E337" s="367" t="s">
        <v>1068</v>
      </c>
      <c r="F337" s="359">
        <f>opex_det!D$176</f>
        <v>2.24971E-4</v>
      </c>
      <c r="G337" s="458">
        <f>labcap_sources!$F$128</f>
        <v>1</v>
      </c>
      <c r="H337" s="369">
        <f t="shared" ref="H337:H346" si="219">$F337*G337</f>
        <v>2.24971E-4</v>
      </c>
      <c r="I337" s="357"/>
      <c r="J337" s="458">
        <f>labcap_sources!$G$128</f>
        <v>0.7777777777777779</v>
      </c>
      <c r="K337" s="369">
        <f>$H337*J337</f>
        <v>1.7497744444444448E-4</v>
      </c>
      <c r="L337" s="360"/>
      <c r="M337" s="458">
        <f>labcap_sources!$H$128</f>
        <v>0.66666666666666663</v>
      </c>
      <c r="N337" s="369">
        <f>$H337*M337</f>
        <v>1.4998066666666667E-4</v>
      </c>
      <c r="O337" s="360"/>
    </row>
    <row r="338" spans="1:15" x14ac:dyDescent="0.25">
      <c r="A338" s="2" t="s">
        <v>1203</v>
      </c>
      <c r="B338" s="5" t="s">
        <v>91</v>
      </c>
      <c r="C338" s="2" t="s">
        <v>90</v>
      </c>
      <c r="E338" s="367" t="s">
        <v>1069</v>
      </c>
      <c r="F338" s="359">
        <f>opex_det!D$177</f>
        <v>5.5937300000000005E-4</v>
      </c>
      <c r="G338" s="458">
        <f>labcap_sources!$F$128</f>
        <v>1</v>
      </c>
      <c r="H338" s="369">
        <f t="shared" si="219"/>
        <v>5.5937300000000005E-4</v>
      </c>
      <c r="I338" s="357"/>
      <c r="J338" s="458">
        <f>labcap_sources!$G$128</f>
        <v>0.7777777777777779</v>
      </c>
      <c r="K338" s="369">
        <f t="shared" ref="K338:K342" si="220">$H338*J338</f>
        <v>4.3506788888888901E-4</v>
      </c>
      <c r="L338" s="360"/>
      <c r="M338" s="458">
        <f>labcap_sources!$H$128</f>
        <v>0.66666666666666663</v>
      </c>
      <c r="N338" s="369">
        <f t="shared" ref="N338:N342" si="221">$H338*M338</f>
        <v>3.7291533333333335E-4</v>
      </c>
      <c r="O338" s="360"/>
    </row>
    <row r="339" spans="1:15" x14ac:dyDescent="0.25">
      <c r="A339" s="2" t="s">
        <v>1203</v>
      </c>
      <c r="B339" s="5" t="s">
        <v>91</v>
      </c>
      <c r="C339" s="2" t="s">
        <v>90</v>
      </c>
      <c r="E339" s="367" t="s">
        <v>1070</v>
      </c>
      <c r="F339" s="359">
        <f>opex_det!D$178</f>
        <v>2.6849040000000001E-3</v>
      </c>
      <c r="G339" s="458">
        <f>labcap_sources!$F$129</f>
        <v>1</v>
      </c>
      <c r="H339" s="369">
        <f t="shared" si="219"/>
        <v>2.6849040000000001E-3</v>
      </c>
      <c r="I339" s="357"/>
      <c r="J339" s="458">
        <f>labcap_sources!$G$129</f>
        <v>0.96923076923076923</v>
      </c>
      <c r="K339" s="369">
        <f t="shared" si="220"/>
        <v>2.6022915692307694E-3</v>
      </c>
      <c r="L339" s="360"/>
      <c r="M339" s="458">
        <f>labcap_sources!$H$129</f>
        <v>0.86153846153846159</v>
      </c>
      <c r="N339" s="369">
        <f t="shared" si="221"/>
        <v>2.3131480615384619E-3</v>
      </c>
      <c r="O339" s="360"/>
    </row>
    <row r="340" spans="1:15" x14ac:dyDescent="0.25">
      <c r="A340" s="2" t="s">
        <v>1203</v>
      </c>
      <c r="B340" s="5" t="s">
        <v>91</v>
      </c>
      <c r="C340" s="2" t="s">
        <v>90</v>
      </c>
      <c r="E340" s="367" t="s">
        <v>1071</v>
      </c>
      <c r="F340" s="359">
        <f>opex_det!D$179</f>
        <v>2.3544210000000002E-3</v>
      </c>
      <c r="G340" s="458">
        <f>labcap_sources!$F$129</f>
        <v>1</v>
      </c>
      <c r="H340" s="369">
        <f t="shared" si="219"/>
        <v>2.3544210000000002E-3</v>
      </c>
      <c r="I340" s="357"/>
      <c r="J340" s="458">
        <f>labcap_sources!$G$129</f>
        <v>0.96923076923076923</v>
      </c>
      <c r="K340" s="369">
        <f t="shared" si="220"/>
        <v>2.2819772769230771E-3</v>
      </c>
      <c r="L340" s="360"/>
      <c r="M340" s="458">
        <f>labcap_sources!$H$129</f>
        <v>0.86153846153846159</v>
      </c>
      <c r="N340" s="369">
        <f t="shared" si="221"/>
        <v>2.0284242461538465E-3</v>
      </c>
      <c r="O340" s="360"/>
    </row>
    <row r="341" spans="1:15" x14ac:dyDescent="0.25">
      <c r="A341" s="2" t="s">
        <v>1203</v>
      </c>
      <c r="B341" s="5" t="s">
        <v>91</v>
      </c>
      <c r="C341" s="2" t="s">
        <v>90</v>
      </c>
      <c r="E341" s="367" t="s">
        <v>1072</v>
      </c>
      <c r="F341" s="359">
        <f>opex_det!D$180</f>
        <v>1.0432460000000001E-3</v>
      </c>
      <c r="G341" s="458">
        <f>labcap_sources!$F$130</f>
        <v>1</v>
      </c>
      <c r="H341" s="369">
        <f t="shared" si="219"/>
        <v>1.0432460000000001E-3</v>
      </c>
      <c r="I341" s="357"/>
      <c r="J341" s="458">
        <f>labcap_sources!$G$130</f>
        <v>1.1538461538461537</v>
      </c>
      <c r="K341" s="369">
        <f t="shared" si="220"/>
        <v>1.2037453846153847E-3</v>
      </c>
      <c r="L341" s="360"/>
      <c r="M341" s="458">
        <f>labcap_sources!$H$130</f>
        <v>1.4615384615384615</v>
      </c>
      <c r="N341" s="369">
        <f t="shared" si="221"/>
        <v>1.5247441538461539E-3</v>
      </c>
      <c r="O341" s="360"/>
    </row>
    <row r="342" spans="1:15" x14ac:dyDescent="0.25">
      <c r="A342" s="2" t="s">
        <v>1203</v>
      </c>
      <c r="B342" s="5" t="s">
        <v>91</v>
      </c>
      <c r="C342" s="2" t="s">
        <v>90</v>
      </c>
      <c r="E342" s="367" t="s">
        <v>1073</v>
      </c>
      <c r="F342" s="359">
        <f>opex_det!D$181</f>
        <v>1.0012459999999999E-3</v>
      </c>
      <c r="G342" s="458">
        <f>labcap_sources!$F$130</f>
        <v>1</v>
      </c>
      <c r="H342" s="369">
        <f t="shared" si="219"/>
        <v>1.0012459999999999E-3</v>
      </c>
      <c r="I342" s="357"/>
      <c r="J342" s="458">
        <f>labcap_sources!$G$130</f>
        <v>1.1538461538461537</v>
      </c>
      <c r="K342" s="369">
        <f t="shared" si="220"/>
        <v>1.155283846153846E-3</v>
      </c>
      <c r="L342" s="360"/>
      <c r="M342" s="458">
        <f>labcap_sources!$H$130</f>
        <v>1.4615384615384615</v>
      </c>
      <c r="N342" s="369">
        <f t="shared" si="221"/>
        <v>1.4633595384615382E-3</v>
      </c>
      <c r="O342" s="360"/>
    </row>
    <row r="343" spans="1:15" x14ac:dyDescent="0.25">
      <c r="A343" s="2" t="s">
        <v>1203</v>
      </c>
      <c r="B343" s="5" t="s">
        <v>93</v>
      </c>
      <c r="C343" s="2" t="s">
        <v>92</v>
      </c>
      <c r="E343" s="241" t="s">
        <v>372</v>
      </c>
      <c r="F343" s="362">
        <f>opex_det!E$169</f>
        <v>1.1406179000000001E-2</v>
      </c>
      <c r="G343" s="458">
        <f>labcap_sources!$F$131*labcap_sources!$F$128</f>
        <v>1</v>
      </c>
      <c r="H343" s="362">
        <f t="shared" si="219"/>
        <v>1.1406179000000001E-2</v>
      </c>
      <c r="I343" s="368">
        <f>H343/H347*$F347</f>
        <v>1.1406179000000001E-2</v>
      </c>
      <c r="J343" s="458">
        <f>labcap_sources!$G$131*labcap_sources!$G$128</f>
        <v>0.73888888888888893</v>
      </c>
      <c r="K343" s="362">
        <f>$H343*J343</f>
        <v>8.4278989277777779E-3</v>
      </c>
      <c r="L343" s="368">
        <f>K343/K347*$F347</f>
        <v>8.4822241583661293E-3</v>
      </c>
      <c r="M343" s="458">
        <f>labcap_sources!$H$131*labcap_sources!$H$128</f>
        <v>0.53333333333333333</v>
      </c>
      <c r="N343" s="362">
        <f>$H343*M343</f>
        <v>6.083295466666667E-3</v>
      </c>
      <c r="O343" s="368">
        <f>N343/N347*$F347</f>
        <v>6.5137890634275998E-3</v>
      </c>
    </row>
    <row r="344" spans="1:15" x14ac:dyDescent="0.25">
      <c r="A344" s="2" t="s">
        <v>1203</v>
      </c>
      <c r="B344" s="5" t="s">
        <v>93</v>
      </c>
      <c r="C344" s="2" t="s">
        <v>92</v>
      </c>
      <c r="E344" s="241" t="s">
        <v>373</v>
      </c>
      <c r="F344" s="362">
        <f>opex_det!E$170</f>
        <v>8.9844591000000001E-2</v>
      </c>
      <c r="G344" s="458">
        <f>labcap_sources!$F$131*labcap_sources!$F$129</f>
        <v>1</v>
      </c>
      <c r="H344" s="362">
        <f t="shared" si="219"/>
        <v>8.9844591000000001E-2</v>
      </c>
      <c r="I344" s="368">
        <f>H344/H347*$F347</f>
        <v>8.9844591000000001E-2</v>
      </c>
      <c r="J344" s="458">
        <f>labcap_sources!$G$131*labcap_sources!$G$129</f>
        <v>0.92076923076923067</v>
      </c>
      <c r="K344" s="362">
        <f t="shared" ref="K344:K346" si="222">$H344*J344</f>
        <v>8.2726134943846147E-2</v>
      </c>
      <c r="L344" s="368">
        <f>K344/K347*$F347</f>
        <v>8.3259377736031898E-2</v>
      </c>
      <c r="M344" s="458">
        <f>labcap_sources!$H$131*labcap_sources!$H$129</f>
        <v>0.68923076923076931</v>
      </c>
      <c r="N344" s="362">
        <f t="shared" ref="N344:N346" si="223">$H344*M344</f>
        <v>6.1923656566153853E-2</v>
      </c>
      <c r="O344" s="368">
        <f>N344/N347*$F347</f>
        <v>6.6305777701946636E-2</v>
      </c>
    </row>
    <row r="345" spans="1:15" x14ac:dyDescent="0.25">
      <c r="A345" s="2" t="s">
        <v>1203</v>
      </c>
      <c r="B345" s="5" t="s">
        <v>93</v>
      </c>
      <c r="C345" s="2" t="s">
        <v>92</v>
      </c>
      <c r="E345" s="241" t="s">
        <v>374</v>
      </c>
      <c r="F345" s="362">
        <f>opex_det!E$171</f>
        <v>7.2515466000000001E-2</v>
      </c>
      <c r="G345" s="458">
        <f>labcap_sources!$F$131*labcap_sources!$F$130</f>
        <v>1</v>
      </c>
      <c r="H345" s="362">
        <f t="shared" si="219"/>
        <v>7.2515466000000001E-2</v>
      </c>
      <c r="I345" s="368">
        <f>H345/H347*$F347</f>
        <v>7.2515466000000001E-2</v>
      </c>
      <c r="J345" s="458">
        <f>labcap_sources!$G$131*labcap_sources!$G$130</f>
        <v>1.096153846153846</v>
      </c>
      <c r="K345" s="362">
        <f t="shared" si="222"/>
        <v>7.9488106961538449E-2</v>
      </c>
      <c r="L345" s="368">
        <f>K345/K347*$F347</f>
        <v>8.0000477811820556E-2</v>
      </c>
      <c r="M345" s="458">
        <f>labcap_sources!$H$131*labcap_sources!$H$130</f>
        <v>1.1692307692307693</v>
      </c>
      <c r="N345" s="362">
        <f t="shared" si="223"/>
        <v>8.4787314092307692E-2</v>
      </c>
      <c r="O345" s="368">
        <f>N345/N347*$F347</f>
        <v>9.0787416504445981E-2</v>
      </c>
    </row>
    <row r="346" spans="1:15" x14ac:dyDescent="0.25">
      <c r="A346" s="2" t="s">
        <v>1203</v>
      </c>
      <c r="B346" s="5" t="s">
        <v>93</v>
      </c>
      <c r="C346" s="2" t="s">
        <v>92</v>
      </c>
      <c r="E346" s="240" t="s">
        <v>375</v>
      </c>
      <c r="F346" s="362">
        <f>opex_det!E$172</f>
        <v>3.5656532999999997E-2</v>
      </c>
      <c r="G346" s="458">
        <f>labcap_sources!$F$132</f>
        <v>1</v>
      </c>
      <c r="H346" s="362">
        <f t="shared" si="219"/>
        <v>3.5656532999999997E-2</v>
      </c>
      <c r="I346" s="368">
        <f>H346/H347*$F347</f>
        <v>3.5656532999999997E-2</v>
      </c>
      <c r="J346" s="458">
        <f>labcap_sources!$G$132</f>
        <v>1.05</v>
      </c>
      <c r="K346" s="362">
        <f t="shared" si="222"/>
        <v>3.7439359649999997E-2</v>
      </c>
      <c r="L346" s="368">
        <f>K346/K347*$F347</f>
        <v>3.7680689293781419E-2</v>
      </c>
      <c r="M346" s="458">
        <f>labcap_sources!$H$132</f>
        <v>1.2</v>
      </c>
      <c r="N346" s="362">
        <f t="shared" si="223"/>
        <v>4.2787839599999995E-2</v>
      </c>
      <c r="O346" s="368">
        <f>N346/N347*$F347</f>
        <v>4.5815785730179831E-2</v>
      </c>
    </row>
    <row r="347" spans="1:15" x14ac:dyDescent="0.25">
      <c r="A347" s="2" t="s">
        <v>1203</v>
      </c>
      <c r="B347" s="5" t="s">
        <v>93</v>
      </c>
      <c r="C347" s="2" t="s">
        <v>92</v>
      </c>
      <c r="E347" s="19" t="s">
        <v>1077</v>
      </c>
      <c r="F347" s="363">
        <f>SUM(F343:F346)</f>
        <v>0.20942276900000001</v>
      </c>
      <c r="G347" s="458"/>
      <c r="H347" s="363">
        <f>SUM(H343:H346)</f>
        <v>0.20942276900000001</v>
      </c>
      <c r="I347" s="363">
        <f>SUM(I343:I346)</f>
        <v>0.20942276900000001</v>
      </c>
      <c r="J347" s="458"/>
      <c r="K347" s="363">
        <f>SUM(K343:K346)</f>
        <v>0.20808150048316237</v>
      </c>
      <c r="L347" s="363">
        <f>SUM(L343:L346)</f>
        <v>0.20942276900000001</v>
      </c>
      <c r="M347" s="458"/>
      <c r="N347" s="363">
        <f>SUM(N343:N346)</f>
        <v>0.19558210572512819</v>
      </c>
      <c r="O347" s="363">
        <f>SUM(O343:O346)</f>
        <v>0.20942276900000004</v>
      </c>
    </row>
    <row r="348" spans="1:15" x14ac:dyDescent="0.25">
      <c r="A348" s="2" t="s">
        <v>1203</v>
      </c>
      <c r="B348" s="5" t="s">
        <v>93</v>
      </c>
      <c r="C348" s="2" t="s">
        <v>92</v>
      </c>
      <c r="E348" s="367" t="s">
        <v>1068</v>
      </c>
      <c r="F348" s="359">
        <f>opex_det!E$176</f>
        <v>4.2425299999999998E-4</v>
      </c>
      <c r="G348" s="458">
        <f>labcap_sources!$F$128</f>
        <v>1</v>
      </c>
      <c r="H348" s="369">
        <f t="shared" ref="H348:H357" si="224">$F348*G348</f>
        <v>4.2425299999999998E-4</v>
      </c>
      <c r="I348" s="357"/>
      <c r="J348" s="458">
        <f>labcap_sources!$G$128</f>
        <v>0.7777777777777779</v>
      </c>
      <c r="K348" s="369">
        <f>$H348*J348</f>
        <v>3.2997455555555557E-4</v>
      </c>
      <c r="L348" s="360"/>
      <c r="M348" s="458">
        <f>labcap_sources!$H$128</f>
        <v>0.66666666666666663</v>
      </c>
      <c r="N348" s="369">
        <f>$H348*M348</f>
        <v>2.8283533333333332E-4</v>
      </c>
      <c r="O348" s="360"/>
    </row>
    <row r="349" spans="1:15" x14ac:dyDescent="0.25">
      <c r="A349" s="2" t="s">
        <v>1203</v>
      </c>
      <c r="B349" s="5" t="s">
        <v>93</v>
      </c>
      <c r="C349" s="2" t="s">
        <v>92</v>
      </c>
      <c r="E349" s="367" t="s">
        <v>1069</v>
      </c>
      <c r="F349" s="359">
        <f>opex_det!E$177</f>
        <v>1.0394309999999999E-3</v>
      </c>
      <c r="G349" s="458">
        <f>labcap_sources!$F$128</f>
        <v>1</v>
      </c>
      <c r="H349" s="369">
        <f t="shared" si="224"/>
        <v>1.0394309999999999E-3</v>
      </c>
      <c r="I349" s="357"/>
      <c r="J349" s="458">
        <f>labcap_sources!$G$128</f>
        <v>0.7777777777777779</v>
      </c>
      <c r="K349" s="369">
        <f t="shared" ref="K349:K353" si="225">$H349*J349</f>
        <v>8.0844633333333347E-4</v>
      </c>
      <c r="L349" s="360"/>
      <c r="M349" s="458">
        <f>labcap_sources!$H$128</f>
        <v>0.66666666666666663</v>
      </c>
      <c r="N349" s="369">
        <f t="shared" ref="N349:N353" si="226">$H349*M349</f>
        <v>6.9295399999999997E-4</v>
      </c>
      <c r="O349" s="360"/>
    </row>
    <row r="350" spans="1:15" x14ac:dyDescent="0.25">
      <c r="A350" s="2" t="s">
        <v>1203</v>
      </c>
      <c r="B350" s="5" t="s">
        <v>93</v>
      </c>
      <c r="C350" s="2" t="s">
        <v>92</v>
      </c>
      <c r="E350" s="367" t="s">
        <v>1070</v>
      </c>
      <c r="F350" s="359">
        <f>opex_det!E$178</f>
        <v>5.1695990000000004E-3</v>
      </c>
      <c r="G350" s="458">
        <f>labcap_sources!$F$129</f>
        <v>1</v>
      </c>
      <c r="H350" s="369">
        <f t="shared" si="224"/>
        <v>5.1695990000000004E-3</v>
      </c>
      <c r="I350" s="357"/>
      <c r="J350" s="458">
        <f>labcap_sources!$G$129</f>
        <v>0.96923076923076923</v>
      </c>
      <c r="K350" s="369">
        <f t="shared" si="225"/>
        <v>5.0105344153846161E-3</v>
      </c>
      <c r="L350" s="360"/>
      <c r="M350" s="458">
        <f>labcap_sources!$H$129</f>
        <v>0.86153846153846159</v>
      </c>
      <c r="N350" s="369">
        <f t="shared" si="226"/>
        <v>4.4538083692307702E-3</v>
      </c>
      <c r="O350" s="360"/>
    </row>
    <row r="351" spans="1:15" x14ac:dyDescent="0.25">
      <c r="A351" s="2" t="s">
        <v>1203</v>
      </c>
      <c r="B351" s="5" t="s">
        <v>93</v>
      </c>
      <c r="C351" s="2" t="s">
        <v>92</v>
      </c>
      <c r="E351" s="367" t="s">
        <v>1071</v>
      </c>
      <c r="F351" s="359">
        <f>opex_det!E$179</f>
        <v>4.4390239999999997E-3</v>
      </c>
      <c r="G351" s="458">
        <f>labcap_sources!$F$129</f>
        <v>1</v>
      </c>
      <c r="H351" s="369">
        <f t="shared" si="224"/>
        <v>4.4390239999999997E-3</v>
      </c>
      <c r="I351" s="357"/>
      <c r="J351" s="458">
        <f>labcap_sources!$G$129</f>
        <v>0.96923076923076923</v>
      </c>
      <c r="K351" s="369">
        <f t="shared" si="225"/>
        <v>4.3024386461538461E-3</v>
      </c>
      <c r="L351" s="360"/>
      <c r="M351" s="458">
        <f>labcap_sources!$H$129</f>
        <v>0.86153846153846159</v>
      </c>
      <c r="N351" s="369">
        <f t="shared" si="226"/>
        <v>3.8243899076923077E-3</v>
      </c>
      <c r="O351" s="360"/>
    </row>
    <row r="352" spans="1:15" x14ac:dyDescent="0.25">
      <c r="A352" s="2" t="s">
        <v>1203</v>
      </c>
      <c r="B352" s="5" t="s">
        <v>93</v>
      </c>
      <c r="C352" s="2" t="s">
        <v>92</v>
      </c>
      <c r="E352" s="367" t="s">
        <v>1072</v>
      </c>
      <c r="F352" s="359">
        <f>opex_det!E$180</f>
        <v>2.0301849999999999E-3</v>
      </c>
      <c r="G352" s="458">
        <f>labcap_sources!$F$130</f>
        <v>1</v>
      </c>
      <c r="H352" s="369">
        <f t="shared" si="224"/>
        <v>2.0301849999999999E-3</v>
      </c>
      <c r="I352" s="357"/>
      <c r="J352" s="458">
        <f>labcap_sources!$G$130</f>
        <v>1.1538461538461537</v>
      </c>
      <c r="K352" s="369">
        <f t="shared" si="225"/>
        <v>2.3425211538461535E-3</v>
      </c>
      <c r="L352" s="360"/>
      <c r="M352" s="458">
        <f>labcap_sources!$H$130</f>
        <v>1.4615384615384615</v>
      </c>
      <c r="N352" s="369">
        <f t="shared" si="226"/>
        <v>2.967193461538461E-3</v>
      </c>
      <c r="O352" s="360"/>
    </row>
    <row r="353" spans="1:15" x14ac:dyDescent="0.25">
      <c r="A353" s="2" t="s">
        <v>1203</v>
      </c>
      <c r="B353" s="5" t="s">
        <v>93</v>
      </c>
      <c r="C353" s="2" t="s">
        <v>92</v>
      </c>
      <c r="E353" s="367" t="s">
        <v>1073</v>
      </c>
      <c r="F353" s="359">
        <f>opex_det!E$181</f>
        <v>1.9317589999999999E-3</v>
      </c>
      <c r="G353" s="458">
        <f>labcap_sources!$F$130</f>
        <v>1</v>
      </c>
      <c r="H353" s="369">
        <f t="shared" si="224"/>
        <v>1.9317589999999999E-3</v>
      </c>
      <c r="I353" s="357"/>
      <c r="J353" s="458">
        <f>labcap_sources!$G$130</f>
        <v>1.1538461538461537</v>
      </c>
      <c r="K353" s="369">
        <f t="shared" si="225"/>
        <v>2.2289526923076918E-3</v>
      </c>
      <c r="L353" s="360"/>
      <c r="M353" s="458">
        <f>labcap_sources!$H$130</f>
        <v>1.4615384615384615</v>
      </c>
      <c r="N353" s="369">
        <f t="shared" si="226"/>
        <v>2.8233400769230766E-3</v>
      </c>
      <c r="O353" s="360"/>
    </row>
    <row r="354" spans="1:15" x14ac:dyDescent="0.25">
      <c r="A354" s="2" t="s">
        <v>1203</v>
      </c>
      <c r="B354" s="5" t="s">
        <v>95</v>
      </c>
      <c r="C354" s="2" t="s">
        <v>94</v>
      </c>
      <c r="E354" s="241" t="s">
        <v>372</v>
      </c>
      <c r="F354" s="362">
        <f>opex_det!F$169</f>
        <v>3.7727540000000001E-3</v>
      </c>
      <c r="G354" s="458">
        <f>labcap_sources!$F$131*labcap_sources!$F$128</f>
        <v>1</v>
      </c>
      <c r="H354" s="362">
        <f t="shared" si="224"/>
        <v>3.7727540000000001E-3</v>
      </c>
      <c r="I354" s="368">
        <f>H354/H358*$F358</f>
        <v>3.7727540000000001E-3</v>
      </c>
      <c r="J354" s="458">
        <f>labcap_sources!$G$131*labcap_sources!$G$128</f>
        <v>0.73888888888888893</v>
      </c>
      <c r="K354" s="362">
        <f>$H354*J354</f>
        <v>2.7876460111111116E-3</v>
      </c>
      <c r="L354" s="368">
        <f>K354/K358*$F358</f>
        <v>2.7616265098234058E-3</v>
      </c>
      <c r="M354" s="458">
        <f>labcap_sources!$H$131*labcap_sources!$H$128</f>
        <v>0.53333333333333333</v>
      </c>
      <c r="N354" s="362">
        <f>$H354*M354</f>
        <v>2.0121354666666666E-3</v>
      </c>
      <c r="O354" s="368">
        <f>N354/N358*$F358</f>
        <v>1.9950345990854129E-3</v>
      </c>
    </row>
    <row r="355" spans="1:15" x14ac:dyDescent="0.25">
      <c r="A355" s="2" t="s">
        <v>1203</v>
      </c>
      <c r="B355" s="5" t="s">
        <v>95</v>
      </c>
      <c r="C355" s="2" t="s">
        <v>94</v>
      </c>
      <c r="E355" s="241" t="s">
        <v>373</v>
      </c>
      <c r="F355" s="362">
        <f>opex_det!F$170</f>
        <v>2.9717358999999999E-2</v>
      </c>
      <c r="G355" s="458">
        <f>labcap_sources!$F$131*labcap_sources!$F$129</f>
        <v>1</v>
      </c>
      <c r="H355" s="362">
        <f t="shared" si="224"/>
        <v>2.9717358999999999E-2</v>
      </c>
      <c r="I355" s="368">
        <f>H355/H358*$F358</f>
        <v>2.9717358999999999E-2</v>
      </c>
      <c r="J355" s="458">
        <f>labcap_sources!$G$131*labcap_sources!$G$129</f>
        <v>0.92076923076923067</v>
      </c>
      <c r="K355" s="362">
        <f t="shared" ref="K355:K357" si="227">$H355*J355</f>
        <v>2.7362829786923074E-2</v>
      </c>
      <c r="L355" s="368">
        <f>K355/K358*$F358</f>
        <v>2.7107428928263712E-2</v>
      </c>
      <c r="M355" s="458">
        <f>labcap_sources!$H$131*labcap_sources!$H$129</f>
        <v>0.68923076923076931</v>
      </c>
      <c r="N355" s="362">
        <f t="shared" ref="N355:N357" si="228">$H355*M355</f>
        <v>2.0482118203076924E-2</v>
      </c>
      <c r="O355" s="368">
        <f>N355/N358*$F358</f>
        <v>2.0308043446691529E-2</v>
      </c>
    </row>
    <row r="356" spans="1:15" x14ac:dyDescent="0.25">
      <c r="A356" s="2" t="s">
        <v>1203</v>
      </c>
      <c r="B356" s="5" t="s">
        <v>95</v>
      </c>
      <c r="C356" s="2" t="s">
        <v>94</v>
      </c>
      <c r="E356" s="241" t="s">
        <v>374</v>
      </c>
      <c r="F356" s="362">
        <f>opex_det!F$171</f>
        <v>2.3985507999999999E-2</v>
      </c>
      <c r="G356" s="458">
        <f>labcap_sources!$F$131*labcap_sources!$F$130</f>
        <v>1</v>
      </c>
      <c r="H356" s="362">
        <f t="shared" si="224"/>
        <v>2.3985507999999999E-2</v>
      </c>
      <c r="I356" s="368">
        <f>H356/H358*$F358</f>
        <v>2.3985507999999999E-2</v>
      </c>
      <c r="J356" s="458">
        <f>labcap_sources!$G$131*labcap_sources!$G$130</f>
        <v>1.096153846153846</v>
      </c>
      <c r="K356" s="362">
        <f t="shared" si="227"/>
        <v>2.6291806846153842E-2</v>
      </c>
      <c r="L356" s="368">
        <f>K356/K358*$F358</f>
        <v>2.6046402767098287E-2</v>
      </c>
      <c r="M356" s="458">
        <f>labcap_sources!$H$131*labcap_sources!$H$130</f>
        <v>1.1692307692307693</v>
      </c>
      <c r="N356" s="362">
        <f t="shared" si="228"/>
        <v>2.8044593969230768E-2</v>
      </c>
      <c r="O356" s="368">
        <f>N356/N358*$F358</f>
        <v>2.780624675266272E-2</v>
      </c>
    </row>
    <row r="357" spans="1:15" x14ac:dyDescent="0.25">
      <c r="A357" s="2" t="s">
        <v>1203</v>
      </c>
      <c r="B357" s="5" t="s">
        <v>95</v>
      </c>
      <c r="C357" s="2" t="s">
        <v>94</v>
      </c>
      <c r="E357" s="240" t="s">
        <v>375</v>
      </c>
      <c r="F357" s="362">
        <f>opex_det!F$172</f>
        <v>3.8810554999999997E-2</v>
      </c>
      <c r="G357" s="458">
        <f>labcap_sources!$F$132</f>
        <v>1</v>
      </c>
      <c r="H357" s="362">
        <f t="shared" si="224"/>
        <v>3.8810554999999997E-2</v>
      </c>
      <c r="I357" s="368">
        <f>H357/H358*$F358</f>
        <v>3.8810554999999997E-2</v>
      </c>
      <c r="J357" s="458">
        <f>labcap_sources!$G$132</f>
        <v>1.05</v>
      </c>
      <c r="K357" s="362">
        <f t="shared" si="227"/>
        <v>4.0751082750000001E-2</v>
      </c>
      <c r="L357" s="368">
        <f>K357/K358*$F358</f>
        <v>4.0370717794814603E-2</v>
      </c>
      <c r="M357" s="458">
        <f>labcap_sources!$H$132</f>
        <v>1.2</v>
      </c>
      <c r="N357" s="362">
        <f t="shared" si="228"/>
        <v>4.6572665999999992E-2</v>
      </c>
      <c r="O357" s="368">
        <f>N357/N358*$F358</f>
        <v>4.6176851201560329E-2</v>
      </c>
    </row>
    <row r="358" spans="1:15" x14ac:dyDescent="0.25">
      <c r="A358" s="2" t="s">
        <v>1203</v>
      </c>
      <c r="B358" s="5" t="s">
        <v>95</v>
      </c>
      <c r="C358" s="2" t="s">
        <v>94</v>
      </c>
      <c r="E358" s="19" t="s">
        <v>1077</v>
      </c>
      <c r="F358" s="363">
        <f>SUM(F354:F357)</f>
        <v>9.6286176000000001E-2</v>
      </c>
      <c r="G358" s="458"/>
      <c r="H358" s="363">
        <f>SUM(H354:H357)</f>
        <v>9.6286176000000001E-2</v>
      </c>
      <c r="I358" s="363">
        <f>SUM(I354:I357)</f>
        <v>9.6286176000000001E-2</v>
      </c>
      <c r="J358" s="458"/>
      <c r="K358" s="363">
        <f>SUM(K354:K357)</f>
        <v>9.7193365394188019E-2</v>
      </c>
      <c r="L358" s="363">
        <f>SUM(L354:L357)</f>
        <v>9.6286176000000001E-2</v>
      </c>
      <c r="M358" s="458"/>
      <c r="N358" s="363">
        <f>SUM(N354:N357)</f>
        <v>9.7111513638974356E-2</v>
      </c>
      <c r="O358" s="363">
        <f>SUM(O354:O357)</f>
        <v>9.6286175999999987E-2</v>
      </c>
    </row>
    <row r="359" spans="1:15" x14ac:dyDescent="0.25">
      <c r="A359" s="2" t="s">
        <v>1203</v>
      </c>
      <c r="B359" s="5" t="s">
        <v>95</v>
      </c>
      <c r="C359" s="2" t="s">
        <v>94</v>
      </c>
      <c r="E359" s="367" t="s">
        <v>1068</v>
      </c>
      <c r="F359" s="359">
        <f>opex_det!F$176</f>
        <v>1.34623E-4</v>
      </c>
      <c r="G359" s="458">
        <f>labcap_sources!$F$128</f>
        <v>1</v>
      </c>
      <c r="H359" s="369">
        <f t="shared" ref="H359:H368" si="229">$F359*G359</f>
        <v>1.34623E-4</v>
      </c>
      <c r="I359" s="357"/>
      <c r="J359" s="458">
        <f>labcap_sources!$G$128</f>
        <v>0.7777777777777779</v>
      </c>
      <c r="K359" s="369">
        <f>$H359*J359</f>
        <v>1.0470677777777779E-4</v>
      </c>
      <c r="L359" s="360"/>
      <c r="M359" s="458">
        <f>labcap_sources!$H$128</f>
        <v>0.66666666666666663</v>
      </c>
      <c r="N359" s="369">
        <f>$H359*M359</f>
        <v>8.9748666666666663E-5</v>
      </c>
      <c r="O359" s="360"/>
    </row>
    <row r="360" spans="1:15" x14ac:dyDescent="0.25">
      <c r="A360" s="2" t="s">
        <v>1203</v>
      </c>
      <c r="B360" s="5" t="s">
        <v>95</v>
      </c>
      <c r="C360" s="2" t="s">
        <v>94</v>
      </c>
      <c r="E360" s="367" t="s">
        <v>1069</v>
      </c>
      <c r="F360" s="359">
        <f>opex_det!F$177</f>
        <v>3.35574E-4</v>
      </c>
      <c r="G360" s="458">
        <f>labcap_sources!$F$128</f>
        <v>1</v>
      </c>
      <c r="H360" s="369">
        <f t="shared" si="229"/>
        <v>3.35574E-4</v>
      </c>
      <c r="I360" s="357"/>
      <c r="J360" s="458">
        <f>labcap_sources!$G$128</f>
        <v>0.7777777777777779</v>
      </c>
      <c r="K360" s="369">
        <f t="shared" ref="K360:K364" si="230">$H360*J360</f>
        <v>2.6100200000000003E-4</v>
      </c>
      <c r="L360" s="360"/>
      <c r="M360" s="458">
        <f>labcap_sources!$H$128</f>
        <v>0.66666666666666663</v>
      </c>
      <c r="N360" s="369">
        <f t="shared" ref="N360:N364" si="231">$H360*M360</f>
        <v>2.23716E-4</v>
      </c>
      <c r="O360" s="360"/>
    </row>
    <row r="361" spans="1:15" x14ac:dyDescent="0.25">
      <c r="A361" s="2" t="s">
        <v>1203</v>
      </c>
      <c r="B361" s="5" t="s">
        <v>95</v>
      </c>
      <c r="C361" s="2" t="s">
        <v>94</v>
      </c>
      <c r="E361" s="367" t="s">
        <v>1070</v>
      </c>
      <c r="F361" s="359">
        <f>opex_det!F$178</f>
        <v>1.6166329999999999E-3</v>
      </c>
      <c r="G361" s="458">
        <f>labcap_sources!$F$129</f>
        <v>1</v>
      </c>
      <c r="H361" s="369">
        <f t="shared" si="229"/>
        <v>1.6166329999999999E-3</v>
      </c>
      <c r="I361" s="357"/>
      <c r="J361" s="458">
        <f>labcap_sources!$G$129</f>
        <v>0.96923076923076923</v>
      </c>
      <c r="K361" s="369">
        <f t="shared" si="230"/>
        <v>1.5668904461538461E-3</v>
      </c>
      <c r="L361" s="360"/>
      <c r="M361" s="458">
        <f>labcap_sources!$H$129</f>
        <v>0.86153846153846159</v>
      </c>
      <c r="N361" s="369">
        <f t="shared" si="231"/>
        <v>1.3927915076923077E-3</v>
      </c>
      <c r="O361" s="360"/>
    </row>
    <row r="362" spans="1:15" x14ac:dyDescent="0.25">
      <c r="A362" s="2" t="s">
        <v>1203</v>
      </c>
      <c r="B362" s="5" t="s">
        <v>95</v>
      </c>
      <c r="C362" s="2" t="s">
        <v>94</v>
      </c>
      <c r="E362" s="367" t="s">
        <v>1071</v>
      </c>
      <c r="F362" s="359">
        <f>opex_det!F$179</f>
        <v>1.4185129999999999E-3</v>
      </c>
      <c r="G362" s="458">
        <f>labcap_sources!$F$129</f>
        <v>1</v>
      </c>
      <c r="H362" s="369">
        <f>$F362*G362</f>
        <v>1.4185129999999999E-3</v>
      </c>
      <c r="I362" s="357"/>
      <c r="J362" s="458">
        <f>labcap_sources!$G$129</f>
        <v>0.96923076923076923</v>
      </c>
      <c r="K362" s="369">
        <f t="shared" si="230"/>
        <v>1.3748664461538461E-3</v>
      </c>
      <c r="L362" s="360"/>
      <c r="M362" s="458">
        <f>labcap_sources!$H$129</f>
        <v>0.86153846153846159</v>
      </c>
      <c r="N362" s="369">
        <f t="shared" si="231"/>
        <v>1.2221035076923077E-3</v>
      </c>
      <c r="O362" s="360"/>
    </row>
    <row r="363" spans="1:15" x14ac:dyDescent="0.25">
      <c r="A363" s="2" t="s">
        <v>1203</v>
      </c>
      <c r="B363" s="5" t="s">
        <v>95</v>
      </c>
      <c r="C363" s="2" t="s">
        <v>94</v>
      </c>
      <c r="E363" s="367" t="s">
        <v>1072</v>
      </c>
      <c r="F363" s="359">
        <f>opex_det!F$180</f>
        <v>6.3400200000000005E-4</v>
      </c>
      <c r="G363" s="458">
        <f>labcap_sources!$F$130</f>
        <v>1</v>
      </c>
      <c r="H363" s="369">
        <f t="shared" si="229"/>
        <v>6.3400200000000005E-4</v>
      </c>
      <c r="I363" s="357"/>
      <c r="J363" s="458">
        <f>labcap_sources!$G$130</f>
        <v>1.1538461538461537</v>
      </c>
      <c r="K363" s="369">
        <f t="shared" si="230"/>
        <v>7.3154076923076918E-4</v>
      </c>
      <c r="L363" s="360"/>
      <c r="M363" s="458">
        <f>labcap_sources!$H$130</f>
        <v>1.4615384615384615</v>
      </c>
      <c r="N363" s="369">
        <f t="shared" si="231"/>
        <v>9.2661830769230776E-4</v>
      </c>
      <c r="O363" s="360"/>
    </row>
    <row r="364" spans="1:15" x14ac:dyDescent="0.25">
      <c r="A364" s="2" t="s">
        <v>1203</v>
      </c>
      <c r="B364" s="5" t="s">
        <v>95</v>
      </c>
      <c r="C364" s="2" t="s">
        <v>94</v>
      </c>
      <c r="E364" s="367" t="s">
        <v>1073</v>
      </c>
      <c r="F364" s="359">
        <f>opex_det!F$181</f>
        <v>6.0259099999999998E-4</v>
      </c>
      <c r="G364" s="458">
        <f>labcap_sources!$F$130</f>
        <v>1</v>
      </c>
      <c r="H364" s="369">
        <f t="shared" si="229"/>
        <v>6.0259099999999998E-4</v>
      </c>
      <c r="I364" s="357"/>
      <c r="J364" s="458">
        <f>labcap_sources!$G$130</f>
        <v>1.1538461538461537</v>
      </c>
      <c r="K364" s="369">
        <f t="shared" si="230"/>
        <v>6.9529730769230761E-4</v>
      </c>
      <c r="L364" s="360"/>
      <c r="M364" s="458">
        <f>labcap_sources!$H$130</f>
        <v>1.4615384615384615</v>
      </c>
      <c r="N364" s="369">
        <f t="shared" si="231"/>
        <v>8.8070992307692298E-4</v>
      </c>
      <c r="O364" s="360"/>
    </row>
    <row r="365" spans="1:15" x14ac:dyDescent="0.25">
      <c r="A365" s="2" t="s">
        <v>1203</v>
      </c>
      <c r="B365" s="5" t="s">
        <v>97</v>
      </c>
      <c r="C365" s="2" t="s">
        <v>96</v>
      </c>
      <c r="E365" s="241" t="s">
        <v>372</v>
      </c>
      <c r="F365" s="362">
        <f>opex_det!G$169</f>
        <v>1.4311269999999999E-3</v>
      </c>
      <c r="G365" s="458">
        <f>labcap_sources!$F$131*labcap_sources!$F$128</f>
        <v>1</v>
      </c>
      <c r="H365" s="362">
        <f t="shared" si="229"/>
        <v>1.4311269999999999E-3</v>
      </c>
      <c r="I365" s="368">
        <f>H365/H369*$F369</f>
        <v>1.4311269999999999E-3</v>
      </c>
      <c r="J365" s="458">
        <f>labcap_sources!$G$131*labcap_sources!$G$128</f>
        <v>0.73888888888888893</v>
      </c>
      <c r="K365" s="362">
        <f>$H365*J365</f>
        <v>1.0574438388888888E-3</v>
      </c>
      <c r="L365" s="368">
        <f>K365/K369*$F369</f>
        <v>1.0273391472110165E-3</v>
      </c>
      <c r="M365" s="458">
        <f>labcap_sources!$H$131*labcap_sources!$H$128</f>
        <v>0.53333333333333333</v>
      </c>
      <c r="N365" s="362">
        <f>$H365*M365</f>
        <v>7.6326773333333328E-4</v>
      </c>
      <c r="O365" s="368">
        <f>N365/N369*$F369</f>
        <v>6.9239161692889349E-4</v>
      </c>
    </row>
    <row r="366" spans="1:15" x14ac:dyDescent="0.25">
      <c r="A366" s="2" t="s">
        <v>1203</v>
      </c>
      <c r="B366" s="5" t="s">
        <v>97</v>
      </c>
      <c r="C366" s="2" t="s">
        <v>96</v>
      </c>
      <c r="E366" s="241" t="s">
        <v>373</v>
      </c>
      <c r="F366" s="362">
        <f>opex_det!G$170</f>
        <v>1.1272752E-2</v>
      </c>
      <c r="G366" s="458">
        <f>labcap_sources!$F$131*labcap_sources!$F$129</f>
        <v>1</v>
      </c>
      <c r="H366" s="362">
        <f t="shared" si="229"/>
        <v>1.1272752E-2</v>
      </c>
      <c r="I366" s="368">
        <f>H366/H369*$F369</f>
        <v>1.1272752000000002E-2</v>
      </c>
      <c r="J366" s="458">
        <f>labcap_sources!$G$131*labcap_sources!$G$129</f>
        <v>0.92076923076923067</v>
      </c>
      <c r="K366" s="362">
        <f t="shared" ref="K366:K368" si="232">$H366*J366</f>
        <v>1.0379603187692307E-2</v>
      </c>
      <c r="L366" s="368">
        <f>K366/K369*$F369</f>
        <v>1.0084103093774817E-2</v>
      </c>
      <c r="M366" s="458">
        <f>labcap_sources!$H$131*labcap_sources!$H$129</f>
        <v>0.68923076923076931</v>
      </c>
      <c r="N366" s="362">
        <f t="shared" ref="N366:N368" si="233">$H366*M366</f>
        <v>7.7695275323076936E-3</v>
      </c>
      <c r="O366" s="368">
        <f>N366/N369*$F369</f>
        <v>7.0480586246906458E-3</v>
      </c>
    </row>
    <row r="367" spans="1:15" x14ac:dyDescent="0.25">
      <c r="A367" s="2" t="s">
        <v>1203</v>
      </c>
      <c r="B367" s="5" t="s">
        <v>97</v>
      </c>
      <c r="C367" s="2" t="s">
        <v>96</v>
      </c>
      <c r="E367" s="241" t="s">
        <v>374</v>
      </c>
      <c r="F367" s="362">
        <f>opex_det!G$171</f>
        <v>9.0984759999999994E-3</v>
      </c>
      <c r="G367" s="458">
        <f>labcap_sources!$F$131*labcap_sources!$F$130</f>
        <v>1</v>
      </c>
      <c r="H367" s="362">
        <f t="shared" si="229"/>
        <v>9.0984759999999994E-3</v>
      </c>
      <c r="I367" s="368">
        <f>H367/H369*$F369</f>
        <v>9.0984759999999994E-3</v>
      </c>
      <c r="J367" s="458">
        <f>labcap_sources!$G$131*labcap_sources!$G$130</f>
        <v>1.096153846153846</v>
      </c>
      <c r="K367" s="362">
        <f t="shared" si="232"/>
        <v>9.9733294615384598E-3</v>
      </c>
      <c r="L367" s="368">
        <f>K367/K369*$F369</f>
        <v>9.6893956984395718E-3</v>
      </c>
      <c r="M367" s="458">
        <f>labcap_sources!$H$131*labcap_sources!$H$130</f>
        <v>1.1692307692307693</v>
      </c>
      <c r="N367" s="362">
        <f t="shared" si="233"/>
        <v>1.0638218092307692E-2</v>
      </c>
      <c r="O367" s="368">
        <f>N367/N369*$F369</f>
        <v>9.6503660570154675E-3</v>
      </c>
    </row>
    <row r="368" spans="1:15" x14ac:dyDescent="0.25">
      <c r="A368" s="2" t="s">
        <v>1203</v>
      </c>
      <c r="B368" s="5" t="s">
        <v>97</v>
      </c>
      <c r="C368" s="2" t="s">
        <v>96</v>
      </c>
      <c r="E368" s="240" t="s">
        <v>375</v>
      </c>
      <c r="F368" s="362">
        <f>opex_det!G$172</f>
        <v>4.9808804999999998E-2</v>
      </c>
      <c r="G368" s="458">
        <f>labcap_sources!$F$132</f>
        <v>1</v>
      </c>
      <c r="H368" s="362">
        <f t="shared" si="229"/>
        <v>4.9808804999999998E-2</v>
      </c>
      <c r="I368" s="368">
        <f>H368/H369*$F369</f>
        <v>4.9808804999999998E-2</v>
      </c>
      <c r="J368" s="458">
        <f>labcap_sources!$G$132</f>
        <v>1.05</v>
      </c>
      <c r="K368" s="362">
        <f t="shared" si="232"/>
        <v>5.2299245250000001E-2</v>
      </c>
      <c r="L368" s="368">
        <f>K368/K369*$F369</f>
        <v>5.0810322060574606E-2</v>
      </c>
      <c r="M368" s="458">
        <f>labcap_sources!$H$132</f>
        <v>1.2</v>
      </c>
      <c r="N368" s="362">
        <f t="shared" si="233"/>
        <v>5.9770565999999997E-2</v>
      </c>
      <c r="O368" s="368">
        <f>N368/N369*$F369</f>
        <v>5.4220343701365012E-2</v>
      </c>
    </row>
    <row r="369" spans="1:15" x14ac:dyDescent="0.25">
      <c r="A369" s="2" t="s">
        <v>1203</v>
      </c>
      <c r="B369" s="5" t="s">
        <v>97</v>
      </c>
      <c r="C369" s="2" t="s">
        <v>96</v>
      </c>
      <c r="E369" s="19" t="s">
        <v>1077</v>
      </c>
      <c r="F369" s="363">
        <f>SUM(F365:F368)</f>
        <v>7.1611160000000007E-2</v>
      </c>
      <c r="G369" s="458"/>
      <c r="H369" s="363">
        <f>SUM(H365:H368)</f>
        <v>7.1611160000000007E-2</v>
      </c>
      <c r="I369" s="363">
        <f>SUM(I365:I368)</f>
        <v>7.1611160000000007E-2</v>
      </c>
      <c r="J369" s="458"/>
      <c r="K369" s="363">
        <f>SUM(K365:K368)</f>
        <v>7.3709621738119652E-2</v>
      </c>
      <c r="L369" s="363">
        <f>SUM(L365:L368)</f>
        <v>7.1611160000000007E-2</v>
      </c>
      <c r="M369" s="458"/>
      <c r="N369" s="363">
        <f>SUM(N365:N368)</f>
        <v>7.894157935794871E-2</v>
      </c>
      <c r="O369" s="363">
        <f>SUM(O365:O368)</f>
        <v>7.1611160000000021E-2</v>
      </c>
    </row>
    <row r="370" spans="1:15" x14ac:dyDescent="0.25">
      <c r="A370" s="2" t="s">
        <v>1203</v>
      </c>
      <c r="B370" s="5" t="s">
        <v>97</v>
      </c>
      <c r="C370" s="2" t="s">
        <v>96</v>
      </c>
      <c r="E370" s="367" t="s">
        <v>1068</v>
      </c>
      <c r="F370" s="359">
        <f>opex_det!G$176</f>
        <v>4.7599999999999998E-5</v>
      </c>
      <c r="G370" s="458">
        <f>labcap_sources!$F$128</f>
        <v>1</v>
      </c>
      <c r="H370" s="369">
        <f t="shared" ref="H370:H379" si="234">$F370*G370</f>
        <v>4.7599999999999998E-5</v>
      </c>
      <c r="I370" s="357"/>
      <c r="J370" s="458">
        <f>labcap_sources!$G$128</f>
        <v>0.7777777777777779</v>
      </c>
      <c r="K370" s="369">
        <f>$H370*J370</f>
        <v>3.7022222222222224E-5</v>
      </c>
      <c r="L370" s="360"/>
      <c r="M370" s="458">
        <f>labcap_sources!$H$128</f>
        <v>0.66666666666666663</v>
      </c>
      <c r="N370" s="369">
        <f>$H370*M370</f>
        <v>3.173333333333333E-5</v>
      </c>
      <c r="O370" s="360"/>
    </row>
    <row r="371" spans="1:15" x14ac:dyDescent="0.25">
      <c r="A371" s="2" t="s">
        <v>1203</v>
      </c>
      <c r="B371" s="5" t="s">
        <v>97</v>
      </c>
      <c r="C371" s="2" t="s">
        <v>96</v>
      </c>
      <c r="E371" s="367" t="s">
        <v>1069</v>
      </c>
      <c r="F371" s="359">
        <f>opex_det!G$177</f>
        <v>1.17427E-4</v>
      </c>
      <c r="G371" s="458">
        <f>labcap_sources!$F$128</f>
        <v>1</v>
      </c>
      <c r="H371" s="369">
        <f t="shared" si="234"/>
        <v>1.17427E-4</v>
      </c>
      <c r="I371" s="357"/>
      <c r="J371" s="458">
        <f>labcap_sources!$G$128</f>
        <v>0.7777777777777779</v>
      </c>
      <c r="K371" s="369">
        <f t="shared" ref="K371:K375" si="235">$H371*J371</f>
        <v>9.1332111111111128E-5</v>
      </c>
      <c r="L371" s="360"/>
      <c r="M371" s="458">
        <f>labcap_sources!$H$128</f>
        <v>0.66666666666666663</v>
      </c>
      <c r="N371" s="369">
        <f t="shared" ref="N371:N375" si="236">$H371*M371</f>
        <v>7.8284666666666666E-5</v>
      </c>
      <c r="O371" s="360"/>
    </row>
    <row r="372" spans="1:15" x14ac:dyDescent="0.25">
      <c r="A372" s="2" t="s">
        <v>1203</v>
      </c>
      <c r="B372" s="5" t="s">
        <v>97</v>
      </c>
      <c r="C372" s="2" t="s">
        <v>96</v>
      </c>
      <c r="E372" s="367" t="s">
        <v>1070</v>
      </c>
      <c r="F372" s="359">
        <f>opex_det!G$178</f>
        <v>5.8073300000000005E-4</v>
      </c>
      <c r="G372" s="458">
        <f>labcap_sources!$F$129</f>
        <v>1</v>
      </c>
      <c r="H372" s="369">
        <f t="shared" si="234"/>
        <v>5.8073300000000005E-4</v>
      </c>
      <c r="I372" s="357"/>
      <c r="J372" s="458">
        <f>labcap_sources!$G$129</f>
        <v>0.96923076923076923</v>
      </c>
      <c r="K372" s="369">
        <f t="shared" si="235"/>
        <v>5.6286429230769232E-4</v>
      </c>
      <c r="L372" s="360"/>
      <c r="M372" s="458">
        <f>labcap_sources!$H$129</f>
        <v>0.86153846153846159</v>
      </c>
      <c r="N372" s="369">
        <f>$H372*M372</f>
        <v>5.003238153846154E-4</v>
      </c>
      <c r="O372" s="360"/>
    </row>
    <row r="373" spans="1:15" x14ac:dyDescent="0.25">
      <c r="A373" s="2" t="s">
        <v>1203</v>
      </c>
      <c r="B373" s="5" t="s">
        <v>97</v>
      </c>
      <c r="C373" s="2" t="s">
        <v>96</v>
      </c>
      <c r="E373" s="367" t="s">
        <v>1071</v>
      </c>
      <c r="F373" s="359">
        <f>opex_det!G$179</f>
        <v>5.06913E-4</v>
      </c>
      <c r="G373" s="458">
        <f>labcap_sources!$F$129</f>
        <v>1</v>
      </c>
      <c r="H373" s="369">
        <f t="shared" si="234"/>
        <v>5.06913E-4</v>
      </c>
      <c r="I373" s="357"/>
      <c r="J373" s="458">
        <f>labcap_sources!$G$129</f>
        <v>0.96923076923076923</v>
      </c>
      <c r="K373" s="369">
        <f t="shared" si="235"/>
        <v>4.9131567692307693E-4</v>
      </c>
      <c r="L373" s="360"/>
      <c r="M373" s="458">
        <f>labcap_sources!$H$129</f>
        <v>0.86153846153846159</v>
      </c>
      <c r="N373" s="369">
        <f t="shared" si="236"/>
        <v>4.3672504615384616E-4</v>
      </c>
      <c r="O373" s="360"/>
    </row>
    <row r="374" spans="1:15" x14ac:dyDescent="0.25">
      <c r="A374" s="2" t="s">
        <v>1203</v>
      </c>
      <c r="B374" s="5" t="s">
        <v>97</v>
      </c>
      <c r="C374" s="2" t="s">
        <v>96</v>
      </c>
      <c r="E374" s="367" t="s">
        <v>1072</v>
      </c>
      <c r="F374" s="359">
        <f>opex_det!G$180</f>
        <v>2.2642699999999999E-4</v>
      </c>
      <c r="G374" s="458">
        <f>labcap_sources!$F$130</f>
        <v>1</v>
      </c>
      <c r="H374" s="369">
        <f t="shared" si="234"/>
        <v>2.2642699999999999E-4</v>
      </c>
      <c r="I374" s="357"/>
      <c r="J374" s="458">
        <f>labcap_sources!$G$130</f>
        <v>1.1538461538461537</v>
      </c>
      <c r="K374" s="369">
        <f t="shared" si="235"/>
        <v>2.6126192307692305E-4</v>
      </c>
      <c r="L374" s="360"/>
      <c r="M374" s="458">
        <f>labcap_sources!$H$130</f>
        <v>1.4615384615384615</v>
      </c>
      <c r="N374" s="369">
        <f t="shared" si="236"/>
        <v>3.3093176923076922E-4</v>
      </c>
      <c r="O374" s="360"/>
    </row>
    <row r="375" spans="1:15" x14ac:dyDescent="0.25">
      <c r="A375" s="2" t="s">
        <v>1203</v>
      </c>
      <c r="B375" s="5" t="s">
        <v>97</v>
      </c>
      <c r="C375" s="2" t="s">
        <v>96</v>
      </c>
      <c r="E375" s="367" t="s">
        <v>1073</v>
      </c>
      <c r="F375" s="359">
        <f>opex_det!G$181</f>
        <v>2.1917099999999999E-4</v>
      </c>
      <c r="G375" s="458">
        <f>labcap_sources!$F$130</f>
        <v>1</v>
      </c>
      <c r="H375" s="369">
        <f t="shared" si="234"/>
        <v>2.1917099999999999E-4</v>
      </c>
      <c r="I375" s="357"/>
      <c r="J375" s="458">
        <f>labcap_sources!$G$130</f>
        <v>1.1538461538461537</v>
      </c>
      <c r="K375" s="369">
        <f t="shared" si="235"/>
        <v>2.5288961538461535E-4</v>
      </c>
      <c r="L375" s="360"/>
      <c r="M375" s="458">
        <f>labcap_sources!$H$130</f>
        <v>1.4615384615384615</v>
      </c>
      <c r="N375" s="369">
        <f t="shared" si="236"/>
        <v>3.2032684615384611E-4</v>
      </c>
      <c r="O375" s="360"/>
    </row>
    <row r="376" spans="1:15" x14ac:dyDescent="0.25">
      <c r="A376" s="2" t="s">
        <v>1203</v>
      </c>
      <c r="B376" s="5" t="s">
        <v>99</v>
      </c>
      <c r="C376" s="2" t="s">
        <v>98</v>
      </c>
      <c r="E376" s="241" t="s">
        <v>372</v>
      </c>
      <c r="F376" s="362">
        <f>opex_det!H$169</f>
        <v>5.3929181999999999E-2</v>
      </c>
      <c r="G376" s="458">
        <f>labcap_sources!$F$131*labcap_sources!$F$128</f>
        <v>1</v>
      </c>
      <c r="H376" s="362">
        <f t="shared" si="234"/>
        <v>5.3929181999999999E-2</v>
      </c>
      <c r="I376" s="368">
        <f>H376/H380*$F380</f>
        <v>5.3929181999999992E-2</v>
      </c>
      <c r="J376" s="458">
        <f>labcap_sources!$G$131*labcap_sources!$G$128</f>
        <v>0.73888888888888893</v>
      </c>
      <c r="K376" s="362">
        <f>$H376*J376</f>
        <v>3.9847673366666669E-2</v>
      </c>
      <c r="L376" s="368">
        <f>K376/K380*$F380</f>
        <v>4.0523865196516684E-2</v>
      </c>
      <c r="M376" s="458">
        <f>labcap_sources!$H$131*labcap_sources!$H$128</f>
        <v>0.53333333333333333</v>
      </c>
      <c r="N376" s="362">
        <f>$H376*M376</f>
        <v>2.8762230399999998E-2</v>
      </c>
      <c r="O376" s="368">
        <f>N376/N380*$F380</f>
        <v>3.2484774239564147E-2</v>
      </c>
    </row>
    <row r="377" spans="1:15" x14ac:dyDescent="0.25">
      <c r="A377" s="2" t="s">
        <v>1203</v>
      </c>
      <c r="B377" s="5" t="s">
        <v>99</v>
      </c>
      <c r="C377" s="2" t="s">
        <v>98</v>
      </c>
      <c r="E377" s="241" t="s">
        <v>373</v>
      </c>
      <c r="F377" s="362">
        <f>opex_det!H$170</f>
        <v>0.42479125899999998</v>
      </c>
      <c r="G377" s="458">
        <f>labcap_sources!$F$131*labcap_sources!$F$129</f>
        <v>1</v>
      </c>
      <c r="H377" s="362">
        <f t="shared" si="234"/>
        <v>0.42479125899999998</v>
      </c>
      <c r="I377" s="368">
        <f>H377/H380*$F380</f>
        <v>0.42479125899999998</v>
      </c>
      <c r="J377" s="458">
        <f>labcap_sources!$G$131*labcap_sources!$G$129</f>
        <v>0.92076923076923067</v>
      </c>
      <c r="K377" s="362">
        <f t="shared" ref="K377:K379" si="237">$H377*J377</f>
        <v>0.39113472078692302</v>
      </c>
      <c r="L377" s="368">
        <f>K377/K380*$F380</f>
        <v>0.39777204939913824</v>
      </c>
      <c r="M377" s="458">
        <f>labcap_sources!$H$131*labcap_sources!$H$129</f>
        <v>0.68923076923076931</v>
      </c>
      <c r="N377" s="362">
        <f t="shared" ref="N377:N379" si="238">$H377*M377</f>
        <v>0.29277920620307696</v>
      </c>
      <c r="O377" s="368">
        <f>N377/N380*$F380</f>
        <v>0.33067207526248571</v>
      </c>
    </row>
    <row r="378" spans="1:15" x14ac:dyDescent="0.25">
      <c r="A378" s="2" t="s">
        <v>1203</v>
      </c>
      <c r="B378" s="5" t="s">
        <v>99</v>
      </c>
      <c r="C378" s="2" t="s">
        <v>98</v>
      </c>
      <c r="E378" s="241" t="s">
        <v>374</v>
      </c>
      <c r="F378" s="362">
        <f>opex_det!H$171</f>
        <v>0.342857992</v>
      </c>
      <c r="G378" s="458">
        <f>labcap_sources!$F$131*labcap_sources!$F$130</f>
        <v>1</v>
      </c>
      <c r="H378" s="362">
        <f t="shared" si="234"/>
        <v>0.342857992</v>
      </c>
      <c r="I378" s="368">
        <f>H378/H380*$F380</f>
        <v>0.342857992</v>
      </c>
      <c r="J378" s="458">
        <f>labcap_sources!$G$131*labcap_sources!$G$130</f>
        <v>1.096153846153846</v>
      </c>
      <c r="K378" s="362">
        <f t="shared" si="237"/>
        <v>0.3758251066153846</v>
      </c>
      <c r="L378" s="368">
        <f>K378/K380*$F380</f>
        <v>0.38220263998370463</v>
      </c>
      <c r="M378" s="458">
        <f>labcap_sources!$H$131*labcap_sources!$H$130</f>
        <v>1.1692307692307693</v>
      </c>
      <c r="N378" s="362">
        <f t="shared" si="238"/>
        <v>0.40088011372307697</v>
      </c>
      <c r="O378" s="368">
        <f>N378/N380*$F380</f>
        <v>0.45276391330989951</v>
      </c>
    </row>
    <row r="379" spans="1:15" x14ac:dyDescent="0.25">
      <c r="A379" s="2" t="s">
        <v>1203</v>
      </c>
      <c r="B379" s="5" t="s">
        <v>99</v>
      </c>
      <c r="C379" s="2" t="s">
        <v>98</v>
      </c>
      <c r="E379" s="240" t="s">
        <v>375</v>
      </c>
      <c r="F379" s="362">
        <f>opex_det!H$172</f>
        <v>1.5923209000000001E-2</v>
      </c>
      <c r="G379" s="458">
        <f>labcap_sources!$F$132</f>
        <v>1</v>
      </c>
      <c r="H379" s="362">
        <f t="shared" si="234"/>
        <v>1.5923209000000001E-2</v>
      </c>
      <c r="I379" s="368">
        <f>H379/H380*$F380</f>
        <v>1.5923209000000001E-2</v>
      </c>
      <c r="J379" s="458">
        <f>labcap_sources!$G$132</f>
        <v>1.05</v>
      </c>
      <c r="K379" s="362">
        <f t="shared" si="237"/>
        <v>1.671936945E-2</v>
      </c>
      <c r="L379" s="368">
        <f>K379/K380*$F380</f>
        <v>1.7003087420640443E-2</v>
      </c>
      <c r="M379" s="458">
        <f>labcap_sources!$H$132</f>
        <v>1.2</v>
      </c>
      <c r="N379" s="362">
        <f t="shared" si="238"/>
        <v>1.9107850799999999E-2</v>
      </c>
      <c r="O379" s="368">
        <f>N379/N380*$F380</f>
        <v>2.1580879188050562E-2</v>
      </c>
    </row>
    <row r="380" spans="1:15" x14ac:dyDescent="0.25">
      <c r="A380" s="2" t="s">
        <v>1203</v>
      </c>
      <c r="B380" s="5" t="s">
        <v>99</v>
      </c>
      <c r="C380" s="2" t="s">
        <v>98</v>
      </c>
      <c r="E380" s="19" t="s">
        <v>1077</v>
      </c>
      <c r="F380" s="363">
        <f>SUM(F376:F379)</f>
        <v>0.83750164199999999</v>
      </c>
      <c r="G380" s="458"/>
      <c r="H380" s="363">
        <f>SUM(H376:H379)</f>
        <v>0.83750164199999999</v>
      </c>
      <c r="I380" s="363">
        <f>SUM(I376:I379)</f>
        <v>0.83750164199999999</v>
      </c>
      <c r="J380" s="458"/>
      <c r="K380" s="363">
        <f>SUM(K376:K379)</f>
        <v>0.82352687021897431</v>
      </c>
      <c r="L380" s="363">
        <f>SUM(L376:L379)</f>
        <v>0.83750164199999999</v>
      </c>
      <c r="M380" s="458"/>
      <c r="N380" s="363">
        <f>SUM(N376:N379)</f>
        <v>0.74152940112615395</v>
      </c>
      <c r="O380" s="363">
        <f>SUM(O376:O379)</f>
        <v>0.83750164199999988</v>
      </c>
    </row>
    <row r="381" spans="1:15" x14ac:dyDescent="0.25">
      <c r="A381" s="2" t="s">
        <v>1203</v>
      </c>
      <c r="B381" s="5" t="s">
        <v>99</v>
      </c>
      <c r="C381" s="2" t="s">
        <v>98</v>
      </c>
      <c r="E381" s="367" t="s">
        <v>1068</v>
      </c>
      <c r="F381" s="359">
        <f>opex_det!H$176</f>
        <v>1.74989E-3</v>
      </c>
      <c r="G381" s="458">
        <f>labcap_sources!$F$128</f>
        <v>1</v>
      </c>
      <c r="H381" s="369">
        <f t="shared" ref="H381:H390" si="239">$F381*G381</f>
        <v>1.74989E-3</v>
      </c>
      <c r="I381" s="357"/>
      <c r="J381" s="458">
        <f>labcap_sources!$G$128</f>
        <v>0.7777777777777779</v>
      </c>
      <c r="K381" s="369">
        <f>$H381*J381</f>
        <v>1.3610255555555559E-3</v>
      </c>
      <c r="L381" s="360"/>
      <c r="M381" s="458">
        <f>labcap_sources!$H$128</f>
        <v>0.66666666666666663</v>
      </c>
      <c r="N381" s="369">
        <f>$H381*M381</f>
        <v>1.1665933333333332E-3</v>
      </c>
      <c r="O381" s="360"/>
    </row>
    <row r="382" spans="1:15" x14ac:dyDescent="0.25">
      <c r="A382" s="2" t="s">
        <v>1203</v>
      </c>
      <c r="B382" s="5" t="s">
        <v>99</v>
      </c>
      <c r="C382" s="2" t="s">
        <v>98</v>
      </c>
      <c r="E382" s="367" t="s">
        <v>1069</v>
      </c>
      <c r="F382" s="359">
        <f>opex_det!H$177</f>
        <v>4.1021779999999997E-3</v>
      </c>
      <c r="G382" s="458">
        <f>labcap_sources!$F$128</f>
        <v>1</v>
      </c>
      <c r="H382" s="369">
        <f t="shared" si="239"/>
        <v>4.1021779999999997E-3</v>
      </c>
      <c r="I382" s="357"/>
      <c r="J382" s="458">
        <f>labcap_sources!$G$128</f>
        <v>0.7777777777777779</v>
      </c>
      <c r="K382" s="369">
        <f t="shared" ref="K382:K386" si="240">$H382*J382</f>
        <v>3.1905828888888891E-3</v>
      </c>
      <c r="L382" s="360"/>
      <c r="M382" s="458">
        <f>labcap_sources!$H$128</f>
        <v>0.66666666666666663</v>
      </c>
      <c r="N382" s="369">
        <f t="shared" ref="N382" si="241">$H382*M382</f>
        <v>2.7347853333333332E-3</v>
      </c>
      <c r="O382" s="360"/>
    </row>
    <row r="383" spans="1:15" x14ac:dyDescent="0.25">
      <c r="A383" s="2" t="s">
        <v>1203</v>
      </c>
      <c r="B383" s="5" t="s">
        <v>99</v>
      </c>
      <c r="C383" s="2" t="s">
        <v>98</v>
      </c>
      <c r="E383" s="367" t="s">
        <v>1070</v>
      </c>
      <c r="F383" s="359">
        <f>opex_det!H$178</f>
        <v>2.1631851000000001E-2</v>
      </c>
      <c r="G383" s="458">
        <f>labcap_sources!$F$129</f>
        <v>1</v>
      </c>
      <c r="H383" s="369">
        <f t="shared" si="239"/>
        <v>2.1631851000000001E-2</v>
      </c>
      <c r="I383" s="357"/>
      <c r="J383" s="458">
        <f>labcap_sources!$G$129</f>
        <v>0.96923076923076923</v>
      </c>
      <c r="K383" s="369">
        <f t="shared" si="240"/>
        <v>2.0966255584615383E-2</v>
      </c>
      <c r="L383" s="360"/>
      <c r="M383" s="458">
        <f>labcap_sources!$H$129</f>
        <v>0.86153846153846159</v>
      </c>
      <c r="N383" s="369">
        <f>$H383*M383</f>
        <v>1.8636671630769232E-2</v>
      </c>
      <c r="O383" s="360"/>
    </row>
    <row r="384" spans="1:15" x14ac:dyDescent="0.25">
      <c r="A384" s="2" t="s">
        <v>1203</v>
      </c>
      <c r="B384" s="5" t="s">
        <v>99</v>
      </c>
      <c r="C384" s="2" t="s">
        <v>98</v>
      </c>
      <c r="E384" s="367" t="s">
        <v>1071</v>
      </c>
      <c r="F384" s="359">
        <f>opex_det!H$179</f>
        <v>1.8070194000000001E-2</v>
      </c>
      <c r="G384" s="458">
        <f>labcap_sources!$F$129</f>
        <v>1</v>
      </c>
      <c r="H384" s="369">
        <f t="shared" si="239"/>
        <v>1.8070194000000001E-2</v>
      </c>
      <c r="I384" s="357"/>
      <c r="J384" s="458">
        <f>labcap_sources!$G$129</f>
        <v>0.96923076923076923</v>
      </c>
      <c r="K384" s="369">
        <f t="shared" si="240"/>
        <v>1.7514188030769231E-2</v>
      </c>
      <c r="L384" s="360"/>
      <c r="M384" s="458">
        <f>labcap_sources!$H$129</f>
        <v>0.86153846153846159</v>
      </c>
      <c r="N384" s="369">
        <f t="shared" ref="N384:N386" si="242">$H384*M384</f>
        <v>1.556816713846154E-2</v>
      </c>
      <c r="O384" s="360"/>
    </row>
    <row r="385" spans="1:15" x14ac:dyDescent="0.25">
      <c r="A385" s="2" t="s">
        <v>1203</v>
      </c>
      <c r="B385" s="5" t="s">
        <v>99</v>
      </c>
      <c r="C385" s="2" t="s">
        <v>98</v>
      </c>
      <c r="E385" s="367" t="s">
        <v>1072</v>
      </c>
      <c r="F385" s="359">
        <f>opex_det!H$180</f>
        <v>8.5498810000000005E-3</v>
      </c>
      <c r="G385" s="458">
        <f>labcap_sources!$F$130</f>
        <v>1</v>
      </c>
      <c r="H385" s="369">
        <f t="shared" si="239"/>
        <v>8.5498810000000005E-3</v>
      </c>
      <c r="I385" s="357"/>
      <c r="J385" s="458">
        <f>labcap_sources!$G$130</f>
        <v>1.1538461538461537</v>
      </c>
      <c r="K385" s="369">
        <f t="shared" si="240"/>
        <v>9.865247307692308E-3</v>
      </c>
      <c r="L385" s="360"/>
      <c r="M385" s="458">
        <f>labcap_sources!$H$130</f>
        <v>1.4615384615384615</v>
      </c>
      <c r="N385" s="369">
        <f t="shared" si="242"/>
        <v>1.2495979923076923E-2</v>
      </c>
      <c r="O385" s="360"/>
    </row>
    <row r="386" spans="1:15" x14ac:dyDescent="0.25">
      <c r="A386" s="2" t="s">
        <v>1203</v>
      </c>
      <c r="B386" s="5" t="s">
        <v>99</v>
      </c>
      <c r="C386" s="2" t="s">
        <v>98</v>
      </c>
      <c r="E386" s="367" t="s">
        <v>1073</v>
      </c>
      <c r="F386" s="359">
        <f>opex_det!H$181</f>
        <v>8.182992E-3</v>
      </c>
      <c r="G386" s="458">
        <f>labcap_sources!$F$130</f>
        <v>1</v>
      </c>
      <c r="H386" s="369">
        <f t="shared" si="239"/>
        <v>8.182992E-3</v>
      </c>
      <c r="I386" s="357"/>
      <c r="J386" s="458">
        <f>labcap_sources!$G$130</f>
        <v>1.1538461538461537</v>
      </c>
      <c r="K386" s="369">
        <f t="shared" si="240"/>
        <v>9.4419138461538446E-3</v>
      </c>
      <c r="L386" s="360"/>
      <c r="M386" s="458">
        <f>labcap_sources!$H$130</f>
        <v>1.4615384615384615</v>
      </c>
      <c r="N386" s="369">
        <f t="shared" si="242"/>
        <v>1.1959757538461537E-2</v>
      </c>
      <c r="O386" s="360"/>
    </row>
    <row r="387" spans="1:15" x14ac:dyDescent="0.25">
      <c r="A387" s="2" t="s">
        <v>1203</v>
      </c>
      <c r="B387" s="5" t="s">
        <v>101</v>
      </c>
      <c r="C387" s="2" t="s">
        <v>100</v>
      </c>
      <c r="E387" s="241" t="s">
        <v>372</v>
      </c>
      <c r="F387" s="362">
        <f>opex_det!I$169</f>
        <v>6.5435440000000001E-3</v>
      </c>
      <c r="G387" s="458">
        <f>labcap_sources!$F$131*labcap_sources!$F$128</f>
        <v>1</v>
      </c>
      <c r="H387" s="362">
        <f t="shared" si="239"/>
        <v>6.5435440000000001E-3</v>
      </c>
      <c r="I387" s="368">
        <f>H387/H391*$F391</f>
        <v>6.5435440000000001E-3</v>
      </c>
      <c r="J387" s="458">
        <f>labcap_sources!$G$131*labcap_sources!$G$128</f>
        <v>0.73888888888888893</v>
      </c>
      <c r="K387" s="362">
        <f>$H387*J387</f>
        <v>4.8349519555555562E-3</v>
      </c>
      <c r="L387" s="368">
        <f>K387/K391*$F391</f>
        <v>4.8210230029734893E-3</v>
      </c>
      <c r="M387" s="458">
        <f>labcap_sources!$H$131*labcap_sources!$H$128</f>
        <v>0.53333333333333333</v>
      </c>
      <c r="N387" s="362">
        <f>$H387*M387</f>
        <v>3.4898901333333334E-3</v>
      </c>
      <c r="O387" s="368">
        <f>N387/N391*$F391</f>
        <v>3.5692922242685642E-3</v>
      </c>
    </row>
    <row r="388" spans="1:15" x14ac:dyDescent="0.25">
      <c r="A388" s="2" t="s">
        <v>1203</v>
      </c>
      <c r="B388" s="5" t="s">
        <v>101</v>
      </c>
      <c r="C388" s="2" t="s">
        <v>100</v>
      </c>
      <c r="E388" s="241" t="s">
        <v>373</v>
      </c>
      <c r="F388" s="362">
        <f>opex_det!I$170</f>
        <v>5.1542417E-2</v>
      </c>
      <c r="G388" s="458">
        <f>labcap_sources!$F$131*labcap_sources!$F$129</f>
        <v>1</v>
      </c>
      <c r="H388" s="362">
        <f t="shared" si="239"/>
        <v>5.1542417E-2</v>
      </c>
      <c r="I388" s="368">
        <f>H388/H391*$F391</f>
        <v>5.1542417E-2</v>
      </c>
      <c r="J388" s="458">
        <f>labcap_sources!$G$131*labcap_sources!$G$129</f>
        <v>0.92076923076923067</v>
      </c>
      <c r="K388" s="362">
        <f t="shared" ref="K388:K390" si="243">$H388*J388</f>
        <v>4.745867165307692E-2</v>
      </c>
      <c r="L388" s="368">
        <f>K388/K391*$F391</f>
        <v>4.7321948559830046E-2</v>
      </c>
      <c r="M388" s="458">
        <f>labcap_sources!$H$131*labcap_sources!$H$129</f>
        <v>0.68923076923076931</v>
      </c>
      <c r="N388" s="362">
        <f t="shared" ref="N388:N390" si="244">$H388*M388</f>
        <v>3.5524619716923084E-2</v>
      </c>
      <c r="O388" s="368">
        <f>N388/N391*$F391</f>
        <v>3.6332876990772679E-2</v>
      </c>
    </row>
    <row r="389" spans="1:15" x14ac:dyDescent="0.25">
      <c r="A389" s="2" t="s">
        <v>1203</v>
      </c>
      <c r="B389" s="5" t="s">
        <v>101</v>
      </c>
      <c r="C389" s="2" t="s">
        <v>100</v>
      </c>
      <c r="E389" s="241" t="s">
        <v>374</v>
      </c>
      <c r="F389" s="362">
        <f>opex_det!I$171</f>
        <v>4.1600972E-2</v>
      </c>
      <c r="G389" s="458">
        <f>labcap_sources!$F$131*labcap_sources!$F$130</f>
        <v>1</v>
      </c>
      <c r="H389" s="362">
        <f t="shared" si="239"/>
        <v>4.1600972E-2</v>
      </c>
      <c r="I389" s="368">
        <f>H389/H391*$F391</f>
        <v>4.1600972000000007E-2</v>
      </c>
      <c r="J389" s="458">
        <f>labcap_sources!$G$131*labcap_sources!$G$130</f>
        <v>1.096153846153846</v>
      </c>
      <c r="K389" s="362">
        <f t="shared" si="243"/>
        <v>4.5601065461538456E-2</v>
      </c>
      <c r="L389" s="368">
        <f>K389/K391*$F391</f>
        <v>4.546969392272189E-2</v>
      </c>
      <c r="M389" s="458">
        <f>labcap_sources!$H$131*labcap_sources!$H$130</f>
        <v>1.1692307692307693</v>
      </c>
      <c r="N389" s="362">
        <f t="shared" si="244"/>
        <v>4.8641136492307696E-2</v>
      </c>
      <c r="O389" s="368">
        <f>N389/N391*$F391</f>
        <v>4.9747821171594792E-2</v>
      </c>
    </row>
    <row r="390" spans="1:15" x14ac:dyDescent="0.25">
      <c r="A390" s="2" t="s">
        <v>1203</v>
      </c>
      <c r="B390" s="5" t="s">
        <v>101</v>
      </c>
      <c r="C390" s="2" t="s">
        <v>100</v>
      </c>
      <c r="E390" s="240" t="s">
        <v>375</v>
      </c>
      <c r="F390" s="362">
        <f>opex_det!I$172</f>
        <v>4.4156775000000002E-2</v>
      </c>
      <c r="G390" s="458">
        <f>labcap_sources!$F$132</f>
        <v>1</v>
      </c>
      <c r="H390" s="362">
        <f t="shared" si="239"/>
        <v>4.4156775000000002E-2</v>
      </c>
      <c r="I390" s="368">
        <f>H390/H391*$F391</f>
        <v>4.4156775000000002E-2</v>
      </c>
      <c r="J390" s="458">
        <f>labcap_sources!$G$132</f>
        <v>1.05</v>
      </c>
      <c r="K390" s="362">
        <f t="shared" si="243"/>
        <v>4.6364613750000006E-2</v>
      </c>
      <c r="L390" s="368">
        <f>K390/K391*$F391</f>
        <v>4.6231042514474588E-2</v>
      </c>
      <c r="M390" s="458">
        <f>labcap_sources!$H$132</f>
        <v>1.2</v>
      </c>
      <c r="N390" s="362">
        <f t="shared" si="244"/>
        <v>5.2988130000000001E-2</v>
      </c>
      <c r="O390" s="368">
        <f>N390/N391*$F391</f>
        <v>5.419371761336398E-2</v>
      </c>
    </row>
    <row r="391" spans="1:15" x14ac:dyDescent="0.25">
      <c r="A391" s="2" t="s">
        <v>1203</v>
      </c>
      <c r="B391" s="5" t="s">
        <v>101</v>
      </c>
      <c r="C391" s="2" t="s">
        <v>100</v>
      </c>
      <c r="E391" s="19" t="s">
        <v>1077</v>
      </c>
      <c r="F391" s="363">
        <f>SUM(F387:F390)</f>
        <v>0.14384370800000001</v>
      </c>
      <c r="G391" s="458"/>
      <c r="H391" s="363">
        <f>SUM(H387:H390)</f>
        <v>0.14384370800000001</v>
      </c>
      <c r="I391" s="363">
        <f>SUM(I387:I390)</f>
        <v>0.14384370800000001</v>
      </c>
      <c r="J391" s="458"/>
      <c r="K391" s="363">
        <f>SUM(K387:K390)</f>
        <v>0.14425930282017094</v>
      </c>
      <c r="L391" s="363">
        <f>SUM(L387:L390)</f>
        <v>0.14384370800000001</v>
      </c>
      <c r="M391" s="458"/>
      <c r="N391" s="363">
        <f>SUM(N387:N390)</f>
        <v>0.14064377634256411</v>
      </c>
      <c r="O391" s="363">
        <f>SUM(O387:O390)</f>
        <v>0.14384370800000001</v>
      </c>
    </row>
    <row r="392" spans="1:15" x14ac:dyDescent="0.25">
      <c r="A392" s="2" t="s">
        <v>1203</v>
      </c>
      <c r="B392" s="5" t="s">
        <v>101</v>
      </c>
      <c r="C392" s="2" t="s">
        <v>100</v>
      </c>
      <c r="E392" s="367" t="s">
        <v>1068</v>
      </c>
      <c r="F392" s="359">
        <f>opex_det!I$176</f>
        <v>2.3518000000000001E-4</v>
      </c>
      <c r="G392" s="458">
        <f>labcap_sources!$F$128</f>
        <v>1</v>
      </c>
      <c r="H392" s="369">
        <f t="shared" ref="H392:H401" si="245">$F392*G392</f>
        <v>2.3518000000000001E-4</v>
      </c>
      <c r="I392" s="357"/>
      <c r="J392" s="458">
        <f>labcap_sources!$G$128</f>
        <v>0.7777777777777779</v>
      </c>
      <c r="K392" s="369">
        <f>$H392*J392</f>
        <v>1.8291777777777781E-4</v>
      </c>
      <c r="L392" s="360"/>
      <c r="M392" s="458">
        <f>labcap_sources!$H$128</f>
        <v>0.66666666666666663</v>
      </c>
      <c r="N392" s="369">
        <f>$H392*M392</f>
        <v>1.5678666666666665E-4</v>
      </c>
      <c r="O392" s="360"/>
    </row>
    <row r="393" spans="1:15" x14ac:dyDescent="0.25">
      <c r="A393" s="2" t="s">
        <v>1203</v>
      </c>
      <c r="B393" s="5" t="s">
        <v>101</v>
      </c>
      <c r="C393" s="2" t="s">
        <v>100</v>
      </c>
      <c r="E393" s="367" t="s">
        <v>1069</v>
      </c>
      <c r="F393" s="359">
        <f>opex_det!I$177</f>
        <v>5.7457500000000002E-4</v>
      </c>
      <c r="G393" s="458">
        <f>labcap_sources!$F$128</f>
        <v>1</v>
      </c>
      <c r="H393" s="369">
        <f t="shared" si="245"/>
        <v>5.7457500000000002E-4</v>
      </c>
      <c r="I393" s="357"/>
      <c r="J393" s="458">
        <f>labcap_sources!$G$128</f>
        <v>0.7777777777777779</v>
      </c>
      <c r="K393" s="369">
        <f t="shared" ref="K393:K397" si="246">$H393*J393</f>
        <v>4.4689166666666674E-4</v>
      </c>
      <c r="L393" s="360"/>
      <c r="M393" s="458">
        <f>labcap_sources!$H$128</f>
        <v>0.66666666666666663</v>
      </c>
      <c r="N393" s="369">
        <f t="shared" ref="N393" si="247">$H393*M393</f>
        <v>3.8305000000000001E-4</v>
      </c>
      <c r="O393" s="360"/>
    </row>
    <row r="394" spans="1:15" x14ac:dyDescent="0.25">
      <c r="A394" s="2" t="s">
        <v>1203</v>
      </c>
      <c r="B394" s="5" t="s">
        <v>101</v>
      </c>
      <c r="C394" s="2" t="s">
        <v>100</v>
      </c>
      <c r="E394" s="367" t="s">
        <v>1070</v>
      </c>
      <c r="F394" s="359">
        <f>opex_det!I$178</f>
        <v>2.8567140000000002E-3</v>
      </c>
      <c r="G394" s="458">
        <f>labcap_sources!$F$129</f>
        <v>1</v>
      </c>
      <c r="H394" s="369">
        <f t="shared" si="245"/>
        <v>2.8567140000000002E-3</v>
      </c>
      <c r="I394" s="357"/>
      <c r="J394" s="458">
        <f>labcap_sources!$G$129</f>
        <v>0.96923076923076923</v>
      </c>
      <c r="K394" s="369">
        <f t="shared" si="246"/>
        <v>2.7688151076923078E-3</v>
      </c>
      <c r="L394" s="360"/>
      <c r="M394" s="458">
        <f>labcap_sources!$H$129</f>
        <v>0.86153846153846159</v>
      </c>
      <c r="N394" s="369">
        <f>$H394*M394</f>
        <v>2.461168984615385E-3</v>
      </c>
      <c r="O394" s="360"/>
    </row>
    <row r="395" spans="1:15" x14ac:dyDescent="0.25">
      <c r="A395" s="2" t="s">
        <v>1203</v>
      </c>
      <c r="B395" s="5" t="s">
        <v>101</v>
      </c>
      <c r="C395" s="2" t="s">
        <v>100</v>
      </c>
      <c r="E395" s="367" t="s">
        <v>1071</v>
      </c>
      <c r="F395" s="359">
        <f>opex_det!I$179</f>
        <v>2.4838009999999999E-3</v>
      </c>
      <c r="G395" s="458">
        <f>labcap_sources!$F$129</f>
        <v>1</v>
      </c>
      <c r="H395" s="369">
        <f t="shared" si="245"/>
        <v>2.4838009999999999E-3</v>
      </c>
      <c r="I395" s="357"/>
      <c r="J395" s="458">
        <f>labcap_sources!$G$129</f>
        <v>0.96923076923076923</v>
      </c>
      <c r="K395" s="369">
        <f t="shared" si="246"/>
        <v>2.4073763538461539E-3</v>
      </c>
      <c r="L395" s="360"/>
      <c r="M395" s="458">
        <f>labcap_sources!$H$129</f>
        <v>0.86153846153846159</v>
      </c>
      <c r="N395" s="369">
        <f t="shared" ref="N395:N397" si="248">$H395*M395</f>
        <v>2.1398900923076925E-3</v>
      </c>
      <c r="O395" s="360"/>
    </row>
    <row r="396" spans="1:15" x14ac:dyDescent="0.25">
      <c r="A396" s="2" t="s">
        <v>1203</v>
      </c>
      <c r="B396" s="5" t="s">
        <v>101</v>
      </c>
      <c r="C396" s="2" t="s">
        <v>100</v>
      </c>
      <c r="E396" s="367" t="s">
        <v>1072</v>
      </c>
      <c r="F396" s="359">
        <f>opex_det!I$180</f>
        <v>1.127931E-3</v>
      </c>
      <c r="G396" s="458">
        <f>labcap_sources!$F$130</f>
        <v>1</v>
      </c>
      <c r="H396" s="369">
        <f t="shared" si="245"/>
        <v>1.127931E-3</v>
      </c>
      <c r="I396" s="357"/>
      <c r="J396" s="458">
        <f>labcap_sources!$G$130</f>
        <v>1.1538461538461537</v>
      </c>
      <c r="K396" s="369">
        <f t="shared" si="246"/>
        <v>1.3014588461538461E-3</v>
      </c>
      <c r="L396" s="360"/>
      <c r="M396" s="458">
        <f>labcap_sources!$H$130</f>
        <v>1.4615384615384615</v>
      </c>
      <c r="N396" s="369">
        <f t="shared" si="248"/>
        <v>1.6485145384615384E-3</v>
      </c>
      <c r="O396" s="360"/>
    </row>
    <row r="397" spans="1:15" x14ac:dyDescent="0.25">
      <c r="A397" s="2" t="s">
        <v>1203</v>
      </c>
      <c r="B397" s="5" t="s">
        <v>101</v>
      </c>
      <c r="C397" s="2" t="s">
        <v>100</v>
      </c>
      <c r="E397" s="367" t="s">
        <v>1073</v>
      </c>
      <c r="F397" s="359">
        <f>opex_det!I$181</f>
        <v>1.0640300000000001E-3</v>
      </c>
      <c r="G397" s="458">
        <f>labcap_sources!$F$130</f>
        <v>1</v>
      </c>
      <c r="H397" s="369">
        <f t="shared" si="245"/>
        <v>1.0640300000000001E-3</v>
      </c>
      <c r="I397" s="357"/>
      <c r="J397" s="458">
        <f>labcap_sources!$G$130</f>
        <v>1.1538461538461537</v>
      </c>
      <c r="K397" s="369">
        <f t="shared" si="246"/>
        <v>1.227726923076923E-3</v>
      </c>
      <c r="L397" s="360"/>
      <c r="M397" s="458">
        <f>labcap_sources!$H$130</f>
        <v>1.4615384615384615</v>
      </c>
      <c r="N397" s="369">
        <f t="shared" si="248"/>
        <v>1.5551207692307693E-3</v>
      </c>
      <c r="O397" s="360"/>
    </row>
    <row r="398" spans="1:15" x14ac:dyDescent="0.25">
      <c r="A398" s="2" t="s">
        <v>1203</v>
      </c>
      <c r="B398" s="5" t="s">
        <v>103</v>
      </c>
      <c r="C398" s="2" t="s">
        <v>102</v>
      </c>
      <c r="E398" s="241" t="s">
        <v>372</v>
      </c>
      <c r="F398" s="362">
        <f>opex_det!J$169</f>
        <v>8.6924910000000001E-3</v>
      </c>
      <c r="G398" s="458">
        <f>labcap_sources!$F$131*labcap_sources!$F$128</f>
        <v>1</v>
      </c>
      <c r="H398" s="362">
        <f t="shared" si="245"/>
        <v>8.6924910000000001E-3</v>
      </c>
      <c r="I398" s="368">
        <f>H398/H402*$F402</f>
        <v>8.6924910000000001E-3</v>
      </c>
      <c r="J398" s="458">
        <f>labcap_sources!$G$131*labcap_sources!$G$128</f>
        <v>0.73888888888888893</v>
      </c>
      <c r="K398" s="362">
        <f>$H398*J398</f>
        <v>6.4227850166666675E-3</v>
      </c>
      <c r="L398" s="368">
        <f>K398/K402*$F402</f>
        <v>6.4042033658512553E-3</v>
      </c>
      <c r="M398" s="458">
        <f>labcap_sources!$H$131*labcap_sources!$H$128</f>
        <v>0.53333333333333333</v>
      </c>
      <c r="N398" s="362">
        <f>$H398*M398</f>
        <v>4.6359951999999996E-3</v>
      </c>
      <c r="O398" s="368">
        <f>N398/N402*$F402</f>
        <v>4.7411929250039632E-3</v>
      </c>
    </row>
    <row r="399" spans="1:15" x14ac:dyDescent="0.25">
      <c r="A399" s="2" t="s">
        <v>1203</v>
      </c>
      <c r="B399" s="5" t="s">
        <v>103</v>
      </c>
      <c r="C399" s="2" t="s">
        <v>102</v>
      </c>
      <c r="E399" s="241" t="s">
        <v>373</v>
      </c>
      <c r="F399" s="362">
        <f>opex_det!J$170</f>
        <v>6.846932E-2</v>
      </c>
      <c r="G399" s="458">
        <f>labcap_sources!$F$131*labcap_sources!$F$129</f>
        <v>1</v>
      </c>
      <c r="H399" s="362">
        <f t="shared" si="245"/>
        <v>6.846932E-2</v>
      </c>
      <c r="I399" s="368">
        <f>H399/H402*$F402</f>
        <v>6.846932E-2</v>
      </c>
      <c r="J399" s="458">
        <f>labcap_sources!$G$131*labcap_sources!$G$129</f>
        <v>0.92076923076923067</v>
      </c>
      <c r="K399" s="362">
        <f t="shared" ref="K399:K401" si="249">$H399*J399</f>
        <v>6.3044443107692305E-2</v>
      </c>
      <c r="L399" s="368">
        <f>K399/K402*$F402</f>
        <v>6.2862050294506228E-2</v>
      </c>
      <c r="M399" s="458">
        <f>labcap_sources!$H$131*labcap_sources!$H$129</f>
        <v>0.68923076923076931</v>
      </c>
      <c r="N399" s="362">
        <f t="shared" ref="N399:N401" si="250">$H399*M399</f>
        <v>4.7191162092307698E-2</v>
      </c>
      <c r="O399" s="368">
        <f>N399/N402*$F402</f>
        <v>4.8262000753314944E-2</v>
      </c>
    </row>
    <row r="400" spans="1:15" x14ac:dyDescent="0.25">
      <c r="A400" s="2" t="s">
        <v>1203</v>
      </c>
      <c r="B400" s="5" t="s">
        <v>103</v>
      </c>
      <c r="C400" s="2" t="s">
        <v>102</v>
      </c>
      <c r="E400" s="241" t="s">
        <v>374</v>
      </c>
      <c r="F400" s="362">
        <f>opex_det!J$171</f>
        <v>5.5263034000000003E-2</v>
      </c>
      <c r="G400" s="458">
        <f>labcap_sources!$F$131*labcap_sources!$F$130</f>
        <v>1</v>
      </c>
      <c r="H400" s="362">
        <f t="shared" si="245"/>
        <v>5.5263034000000003E-2</v>
      </c>
      <c r="I400" s="368">
        <f>H400/H402*$F402</f>
        <v>5.5263034000000009E-2</v>
      </c>
      <c r="J400" s="458">
        <f>labcap_sources!$G$131*labcap_sources!$G$130</f>
        <v>1.096153846153846</v>
      </c>
      <c r="K400" s="362">
        <f t="shared" si="249"/>
        <v>6.0576787269230763E-2</v>
      </c>
      <c r="L400" s="368">
        <f>K400/K402*$F402</f>
        <v>6.04015335894586E-2</v>
      </c>
      <c r="M400" s="458">
        <f>labcap_sources!$H$131*labcap_sources!$H$130</f>
        <v>1.1692307692307693</v>
      </c>
      <c r="N400" s="362">
        <f t="shared" si="250"/>
        <v>6.4615239753846157E-2</v>
      </c>
      <c r="O400" s="368">
        <f>N400/N402*$F402</f>
        <v>6.6081457023158749E-2</v>
      </c>
    </row>
    <row r="401" spans="1:15" x14ac:dyDescent="0.25">
      <c r="A401" s="2" t="s">
        <v>1203</v>
      </c>
      <c r="B401" s="5" t="s">
        <v>103</v>
      </c>
      <c r="C401" s="2" t="s">
        <v>102</v>
      </c>
      <c r="E401" s="240" t="s">
        <v>375</v>
      </c>
      <c r="F401" s="362">
        <f>opex_det!J$172</f>
        <v>5.8707941E-2</v>
      </c>
      <c r="G401" s="458">
        <f>labcap_sources!$F$132</f>
        <v>1</v>
      </c>
      <c r="H401" s="362">
        <f t="shared" si="245"/>
        <v>5.8707941E-2</v>
      </c>
      <c r="I401" s="368">
        <f>H401/H402*$F402</f>
        <v>5.8707941E-2</v>
      </c>
      <c r="J401" s="458">
        <f>labcap_sources!$G$132</f>
        <v>1.05</v>
      </c>
      <c r="K401" s="362">
        <f t="shared" si="249"/>
        <v>6.1643338050000003E-2</v>
      </c>
      <c r="L401" s="368">
        <f>K401/K402*$F402</f>
        <v>6.1464998750183929E-2</v>
      </c>
      <c r="M401" s="458">
        <f>labcap_sources!$H$132</f>
        <v>1.2</v>
      </c>
      <c r="N401" s="362">
        <f t="shared" si="250"/>
        <v>7.04495292E-2</v>
      </c>
      <c r="O401" s="368">
        <f>N401/N402*$F402</f>
        <v>7.2048135298522331E-2</v>
      </c>
    </row>
    <row r="402" spans="1:15" x14ac:dyDescent="0.25">
      <c r="A402" s="2" t="s">
        <v>1203</v>
      </c>
      <c r="B402" s="5" t="s">
        <v>103</v>
      </c>
      <c r="C402" s="2" t="s">
        <v>102</v>
      </c>
      <c r="E402" s="19" t="s">
        <v>1077</v>
      </c>
      <c r="F402" s="363">
        <f>SUM(F398:F401)</f>
        <v>0.191132786</v>
      </c>
      <c r="G402" s="458"/>
      <c r="H402" s="363">
        <f>SUM(H398:H401)</f>
        <v>0.191132786</v>
      </c>
      <c r="I402" s="363">
        <f>SUM(I398:I401)</f>
        <v>0.191132786</v>
      </c>
      <c r="J402" s="458"/>
      <c r="K402" s="363">
        <f>SUM(K398:K401)</f>
        <v>0.19168735344358973</v>
      </c>
      <c r="L402" s="363">
        <f>SUM(L398:L401)</f>
        <v>0.19113278600000003</v>
      </c>
      <c r="M402" s="458"/>
      <c r="N402" s="363">
        <f>SUM(N398:N401)</f>
        <v>0.18689192624615386</v>
      </c>
      <c r="O402" s="363">
        <f>SUM(O398:O401)</f>
        <v>0.191132786</v>
      </c>
    </row>
    <row r="403" spans="1:15" x14ac:dyDescent="0.25">
      <c r="A403" s="2" t="s">
        <v>1203</v>
      </c>
      <c r="B403" s="5" t="s">
        <v>103</v>
      </c>
      <c r="C403" s="2" t="s">
        <v>102</v>
      </c>
      <c r="E403" s="367" t="s">
        <v>1068</v>
      </c>
      <c r="F403" s="359">
        <f>opex_det!J$176</f>
        <v>3.1128500000000001E-4</v>
      </c>
      <c r="G403" s="458">
        <f>labcap_sources!$F$128</f>
        <v>1</v>
      </c>
      <c r="H403" s="369">
        <f t="shared" ref="H403:H412" si="251">$F403*G403</f>
        <v>3.1128500000000001E-4</v>
      </c>
      <c r="I403" s="357"/>
      <c r="J403" s="458">
        <f>labcap_sources!$G$128</f>
        <v>0.7777777777777779</v>
      </c>
      <c r="K403" s="369">
        <f>$H403*J403</f>
        <v>2.421105555555556E-4</v>
      </c>
      <c r="L403" s="360"/>
      <c r="M403" s="458">
        <f>labcap_sources!$H$128</f>
        <v>0.66666666666666663</v>
      </c>
      <c r="N403" s="369">
        <f>$H403*M403</f>
        <v>2.0752333333333333E-4</v>
      </c>
      <c r="O403" s="360"/>
    </row>
    <row r="404" spans="1:15" x14ac:dyDescent="0.25">
      <c r="A404" s="2" t="s">
        <v>1203</v>
      </c>
      <c r="B404" s="5" t="s">
        <v>103</v>
      </c>
      <c r="C404" s="2" t="s">
        <v>102</v>
      </c>
      <c r="E404" s="367" t="s">
        <v>1069</v>
      </c>
      <c r="F404" s="359">
        <f>opex_det!J$177</f>
        <v>7.79705E-4</v>
      </c>
      <c r="G404" s="458">
        <f>labcap_sources!$F$128</f>
        <v>1</v>
      </c>
      <c r="H404" s="369">
        <f t="shared" si="251"/>
        <v>7.79705E-4</v>
      </c>
      <c r="I404" s="357"/>
      <c r="J404" s="458">
        <f>labcap_sources!$G$128</f>
        <v>0.7777777777777779</v>
      </c>
      <c r="K404" s="369">
        <f t="shared" ref="K404:K408" si="252">$H404*J404</f>
        <v>6.0643722222222232E-4</v>
      </c>
      <c r="L404" s="360"/>
      <c r="M404" s="458">
        <f>labcap_sources!$H$128</f>
        <v>0.66666666666666663</v>
      </c>
      <c r="N404" s="369">
        <f t="shared" ref="N404" si="253">$H404*M404</f>
        <v>5.1980333333333326E-4</v>
      </c>
      <c r="O404" s="360"/>
    </row>
    <row r="405" spans="1:15" x14ac:dyDescent="0.25">
      <c r="A405" s="2" t="s">
        <v>1203</v>
      </c>
      <c r="B405" s="5" t="s">
        <v>103</v>
      </c>
      <c r="C405" s="2" t="s">
        <v>102</v>
      </c>
      <c r="E405" s="367" t="s">
        <v>1070</v>
      </c>
      <c r="F405" s="359">
        <f>opex_det!J$178</f>
        <v>3.7916640000000001E-3</v>
      </c>
      <c r="G405" s="458">
        <f>labcap_sources!$F$129</f>
        <v>1</v>
      </c>
      <c r="H405" s="369">
        <f t="shared" si="251"/>
        <v>3.7916640000000001E-3</v>
      </c>
      <c r="I405" s="357"/>
      <c r="J405" s="458">
        <f>labcap_sources!$G$129</f>
        <v>0.96923076923076923</v>
      </c>
      <c r="K405" s="369">
        <f t="shared" si="252"/>
        <v>3.6749974153846153E-3</v>
      </c>
      <c r="L405" s="360"/>
      <c r="M405" s="458">
        <f>labcap_sources!$H$129</f>
        <v>0.86153846153846159</v>
      </c>
      <c r="N405" s="369">
        <f>$H405*M405</f>
        <v>3.2666643692307695E-3</v>
      </c>
      <c r="O405" s="360"/>
    </row>
    <row r="406" spans="1:15" x14ac:dyDescent="0.25">
      <c r="A406" s="2" t="s">
        <v>1203</v>
      </c>
      <c r="B406" s="5" t="s">
        <v>103</v>
      </c>
      <c r="C406" s="2" t="s">
        <v>102</v>
      </c>
      <c r="E406" s="367" t="s">
        <v>1071</v>
      </c>
      <c r="F406" s="359">
        <f>opex_det!J$179</f>
        <v>3.311596E-3</v>
      </c>
      <c r="G406" s="458">
        <f>labcap_sources!$F$129</f>
        <v>1</v>
      </c>
      <c r="H406" s="369">
        <f t="shared" si="251"/>
        <v>3.311596E-3</v>
      </c>
      <c r="I406" s="357"/>
      <c r="J406" s="458">
        <f>labcap_sources!$G$129</f>
        <v>0.96923076923076923</v>
      </c>
      <c r="K406" s="369">
        <f t="shared" si="252"/>
        <v>3.2097007384615382E-3</v>
      </c>
      <c r="L406" s="360"/>
      <c r="M406" s="458">
        <f>labcap_sources!$H$129</f>
        <v>0.86153846153846159</v>
      </c>
      <c r="N406" s="369">
        <f t="shared" ref="N406:N408" si="254">$H406*M406</f>
        <v>2.8530673230769232E-3</v>
      </c>
      <c r="O406" s="360"/>
    </row>
    <row r="407" spans="1:15" x14ac:dyDescent="0.25">
      <c r="A407" s="2" t="s">
        <v>1203</v>
      </c>
      <c r="B407" s="5" t="s">
        <v>103</v>
      </c>
      <c r="C407" s="2" t="s">
        <v>102</v>
      </c>
      <c r="E407" s="367" t="s">
        <v>1072</v>
      </c>
      <c r="F407" s="359">
        <f>opex_det!J$180</f>
        <v>1.506206E-3</v>
      </c>
      <c r="G407" s="458">
        <f>labcap_sources!$F$130</f>
        <v>1</v>
      </c>
      <c r="H407" s="369">
        <f t="shared" si="251"/>
        <v>1.506206E-3</v>
      </c>
      <c r="I407" s="357"/>
      <c r="J407" s="458">
        <f>labcap_sources!$G$130</f>
        <v>1.1538461538461537</v>
      </c>
      <c r="K407" s="369">
        <f t="shared" si="252"/>
        <v>1.7379299999999997E-3</v>
      </c>
      <c r="L407" s="360"/>
      <c r="M407" s="458">
        <f>labcap_sources!$H$130</f>
        <v>1.4615384615384615</v>
      </c>
      <c r="N407" s="369">
        <f t="shared" si="254"/>
        <v>2.2013779999999999E-3</v>
      </c>
      <c r="O407" s="360"/>
    </row>
    <row r="408" spans="1:15" x14ac:dyDescent="0.25">
      <c r="A408" s="2" t="s">
        <v>1203</v>
      </c>
      <c r="B408" s="5" t="s">
        <v>103</v>
      </c>
      <c r="C408" s="2" t="s">
        <v>102</v>
      </c>
      <c r="E408" s="367" t="s">
        <v>1073</v>
      </c>
      <c r="F408" s="359">
        <f>opex_det!J$181</f>
        <v>1.4225850000000001E-3</v>
      </c>
      <c r="G408" s="458">
        <f>labcap_sources!$F$130</f>
        <v>1</v>
      </c>
      <c r="H408" s="369">
        <f t="shared" si="251"/>
        <v>1.4225850000000001E-3</v>
      </c>
      <c r="I408" s="357"/>
      <c r="J408" s="458">
        <f>labcap_sources!$G$130</f>
        <v>1.1538461538461537</v>
      </c>
      <c r="K408" s="369">
        <f t="shared" si="252"/>
        <v>1.6414442307692307E-3</v>
      </c>
      <c r="L408" s="360"/>
      <c r="M408" s="458">
        <f>labcap_sources!$H$130</f>
        <v>1.4615384615384615</v>
      </c>
      <c r="N408" s="369">
        <f t="shared" si="254"/>
        <v>2.0791626923076924E-3</v>
      </c>
      <c r="O408" s="360"/>
    </row>
    <row r="409" spans="1:15" x14ac:dyDescent="0.25">
      <c r="A409" s="2" t="s">
        <v>1203</v>
      </c>
      <c r="B409" s="5" t="s">
        <v>105</v>
      </c>
      <c r="C409" s="2" t="s">
        <v>104</v>
      </c>
      <c r="E409" s="241" t="s">
        <v>372</v>
      </c>
      <c r="F409" s="362">
        <f>opex_det!K$169</f>
        <v>2.1498171999999999E-2</v>
      </c>
      <c r="G409" s="458">
        <f>labcap_sources!$F$131*labcap_sources!$F$128</f>
        <v>1</v>
      </c>
      <c r="H409" s="362">
        <f t="shared" si="251"/>
        <v>2.1498171999999999E-2</v>
      </c>
      <c r="I409" s="368">
        <f>H409/H413*$F413</f>
        <v>2.1498171999999999E-2</v>
      </c>
      <c r="J409" s="458">
        <f>labcap_sources!$G$131*labcap_sources!$G$128</f>
        <v>0.73888888888888893</v>
      </c>
      <c r="K409" s="362">
        <f>$H409*J409</f>
        <v>1.5884760422222224E-2</v>
      </c>
      <c r="L409" s="368">
        <f>K409/K413*$F413</f>
        <v>1.6132765503182628E-2</v>
      </c>
      <c r="M409" s="458">
        <f>labcap_sources!$H$131*labcap_sources!$H$128</f>
        <v>0.53333333333333333</v>
      </c>
      <c r="N409" s="362">
        <f>$H409*M409</f>
        <v>1.1465691733333333E-2</v>
      </c>
      <c r="O409" s="368">
        <f>N409/N413*$F413</f>
        <v>1.2859638120543571E-2</v>
      </c>
    </row>
    <row r="410" spans="1:15" x14ac:dyDescent="0.25">
      <c r="A410" s="2" t="s">
        <v>1203</v>
      </c>
      <c r="B410" s="5" t="s">
        <v>105</v>
      </c>
      <c r="C410" s="2" t="s">
        <v>104</v>
      </c>
      <c r="E410" s="241" t="s">
        <v>373</v>
      </c>
      <c r="F410" s="362">
        <f>opex_det!K$170</f>
        <v>0.169337553</v>
      </c>
      <c r="G410" s="458">
        <f>labcap_sources!$F$131*labcap_sources!$F$129</f>
        <v>1</v>
      </c>
      <c r="H410" s="362">
        <f t="shared" si="251"/>
        <v>0.169337553</v>
      </c>
      <c r="I410" s="368">
        <f>H410/H413*$F413</f>
        <v>0.169337553</v>
      </c>
      <c r="J410" s="458">
        <f>labcap_sources!$G$131*labcap_sources!$G$129</f>
        <v>0.92076923076923067</v>
      </c>
      <c r="K410" s="362">
        <f t="shared" ref="K410:K412" si="255">$H410*J410</f>
        <v>0.15592080841615383</v>
      </c>
      <c r="L410" s="368">
        <f>K410/K413*$F413</f>
        <v>0.15835516384153139</v>
      </c>
      <c r="M410" s="458">
        <f>labcap_sources!$H$131*labcap_sources!$H$129</f>
        <v>0.68923076923076931</v>
      </c>
      <c r="N410" s="362">
        <f t="shared" ref="N410:N412" si="256">$H410*M410</f>
        <v>0.11671265191384617</v>
      </c>
      <c r="O410" s="368">
        <f>N410/N413*$F413</f>
        <v>0.13090204259875812</v>
      </c>
    </row>
    <row r="411" spans="1:15" x14ac:dyDescent="0.25">
      <c r="A411" s="2" t="s">
        <v>1203</v>
      </c>
      <c r="B411" s="5" t="s">
        <v>105</v>
      </c>
      <c r="C411" s="2" t="s">
        <v>104</v>
      </c>
      <c r="E411" s="241" t="s">
        <v>374</v>
      </c>
      <c r="F411" s="362">
        <f>opex_det!K$171</f>
        <v>0.13667591300000001</v>
      </c>
      <c r="G411" s="458">
        <f>labcap_sources!$F$131*labcap_sources!$F$130</f>
        <v>1</v>
      </c>
      <c r="H411" s="362">
        <f t="shared" si="251"/>
        <v>0.13667591300000001</v>
      </c>
      <c r="I411" s="368">
        <f>H411/H413*$F413</f>
        <v>0.13667591300000001</v>
      </c>
      <c r="J411" s="458">
        <f>labcap_sources!$G$131*labcap_sources!$G$130</f>
        <v>1.096153846153846</v>
      </c>
      <c r="K411" s="362">
        <f t="shared" si="255"/>
        <v>0.14981782771153845</v>
      </c>
      <c r="L411" s="368">
        <f>K411/K413*$F413</f>
        <v>0.15215689871439303</v>
      </c>
      <c r="M411" s="458">
        <f>labcap_sources!$H$131*labcap_sources!$H$130</f>
        <v>1.1692307692307693</v>
      </c>
      <c r="N411" s="362">
        <f t="shared" si="256"/>
        <v>0.1598056828923077</v>
      </c>
      <c r="O411" s="368">
        <f>N411/N413*$F413</f>
        <v>0.1792341272901091</v>
      </c>
    </row>
    <row r="412" spans="1:15" x14ac:dyDescent="0.25">
      <c r="A412" s="2" t="s">
        <v>1203</v>
      </c>
      <c r="B412" s="5" t="s">
        <v>105</v>
      </c>
      <c r="C412" s="2" t="s">
        <v>104</v>
      </c>
      <c r="E412" s="240" t="s">
        <v>375</v>
      </c>
      <c r="F412" s="362">
        <f>opex_det!K$172</f>
        <v>1.3055663E-2</v>
      </c>
      <c r="G412" s="458">
        <f>labcap_sources!$F$132</f>
        <v>1</v>
      </c>
      <c r="H412" s="362">
        <f t="shared" si="251"/>
        <v>1.3055663E-2</v>
      </c>
      <c r="I412" s="368">
        <f>H412/H413*$F413</f>
        <v>1.3055663E-2</v>
      </c>
      <c r="J412" s="458">
        <f>labcap_sources!$G$132</f>
        <v>1.05</v>
      </c>
      <c r="K412" s="362">
        <f t="shared" si="255"/>
        <v>1.3708446150000001E-2</v>
      </c>
      <c r="L412" s="368">
        <f>K412/K413*$F413</f>
        <v>1.3922472940892983E-2</v>
      </c>
      <c r="M412" s="458">
        <f>labcap_sources!$H$132</f>
        <v>1.2</v>
      </c>
      <c r="N412" s="362">
        <f t="shared" si="256"/>
        <v>1.5666795599999998E-2</v>
      </c>
      <c r="O412" s="368">
        <f>N412/N413*$F413</f>
        <v>1.7571492990589296E-2</v>
      </c>
    </row>
    <row r="413" spans="1:15" x14ac:dyDescent="0.25">
      <c r="A413" s="2" t="s">
        <v>1203</v>
      </c>
      <c r="B413" s="5" t="s">
        <v>105</v>
      </c>
      <c r="C413" s="2" t="s">
        <v>104</v>
      </c>
      <c r="E413" s="19" t="s">
        <v>1077</v>
      </c>
      <c r="F413" s="363">
        <f>SUM(F409:F412)</f>
        <v>0.34056730100000004</v>
      </c>
      <c r="G413" s="458"/>
      <c r="H413" s="363">
        <f>SUM(H409:H412)</f>
        <v>0.34056730100000004</v>
      </c>
      <c r="I413" s="363">
        <f>SUM(I409:I412)</f>
        <v>0.34056730100000004</v>
      </c>
      <c r="J413" s="458"/>
      <c r="K413" s="363">
        <f>SUM(K409:K412)</f>
        <v>0.33533184269991451</v>
      </c>
      <c r="L413" s="363">
        <f>SUM(L409:L412)</f>
        <v>0.34056730100000004</v>
      </c>
      <c r="M413" s="458"/>
      <c r="N413" s="363">
        <f>SUM(N409:N412)</f>
        <v>0.30365082213948719</v>
      </c>
      <c r="O413" s="363">
        <f>SUM(O409:O412)</f>
        <v>0.3405673010000001</v>
      </c>
    </row>
    <row r="414" spans="1:15" x14ac:dyDescent="0.25">
      <c r="A414" s="2" t="s">
        <v>1203</v>
      </c>
      <c r="B414" s="5" t="s">
        <v>105</v>
      </c>
      <c r="C414" s="2" t="s">
        <v>104</v>
      </c>
      <c r="E414" s="367" t="s">
        <v>1068</v>
      </c>
      <c r="F414" s="359">
        <f>opex_det!K$176</f>
        <v>8.7381299999999998E-4</v>
      </c>
      <c r="G414" s="458">
        <f>labcap_sources!$F$128</f>
        <v>1</v>
      </c>
      <c r="H414" s="369">
        <f t="shared" ref="H414:H423" si="257">$F414*G414</f>
        <v>8.7381299999999998E-4</v>
      </c>
      <c r="I414" s="357"/>
      <c r="J414" s="458">
        <f>labcap_sources!$G$128</f>
        <v>0.7777777777777779</v>
      </c>
      <c r="K414" s="369">
        <f>$H414*J414</f>
        <v>6.7963233333333338E-4</v>
      </c>
      <c r="L414" s="360"/>
      <c r="M414" s="458">
        <f>labcap_sources!$H$128</f>
        <v>0.66666666666666663</v>
      </c>
      <c r="N414" s="369">
        <f>$H414*M414</f>
        <v>5.8254199999999991E-4</v>
      </c>
      <c r="O414" s="360"/>
    </row>
    <row r="415" spans="1:15" x14ac:dyDescent="0.25">
      <c r="A415" s="2" t="s">
        <v>1203</v>
      </c>
      <c r="B415" s="5" t="s">
        <v>105</v>
      </c>
      <c r="C415" s="2" t="s">
        <v>104</v>
      </c>
      <c r="E415" s="367" t="s">
        <v>1069</v>
      </c>
      <c r="F415" s="359">
        <f>opex_det!K$177</f>
        <v>2.1074000000000002E-3</v>
      </c>
      <c r="G415" s="458">
        <f>labcap_sources!$F$128</f>
        <v>1</v>
      </c>
      <c r="H415" s="369">
        <f t="shared" si="257"/>
        <v>2.1074000000000002E-3</v>
      </c>
      <c r="I415" s="357"/>
      <c r="J415" s="458">
        <f>labcap_sources!$G$128</f>
        <v>0.7777777777777779</v>
      </c>
      <c r="K415" s="369">
        <f t="shared" ref="K415:K419" si="258">$H415*J415</f>
        <v>1.6390888888888893E-3</v>
      </c>
      <c r="L415" s="360"/>
      <c r="M415" s="458">
        <f>labcap_sources!$H$128</f>
        <v>0.66666666666666663</v>
      </c>
      <c r="N415" s="369">
        <f t="shared" ref="N415" si="259">$H415*M415</f>
        <v>1.4049333333333333E-3</v>
      </c>
      <c r="O415" s="360"/>
    </row>
    <row r="416" spans="1:15" x14ac:dyDescent="0.25">
      <c r="A416" s="2" t="s">
        <v>1203</v>
      </c>
      <c r="B416" s="5" t="s">
        <v>105</v>
      </c>
      <c r="C416" s="2" t="s">
        <v>104</v>
      </c>
      <c r="E416" s="367" t="s">
        <v>1070</v>
      </c>
      <c r="F416" s="359">
        <f>opex_det!K$178</f>
        <v>1.0625005999999999E-2</v>
      </c>
      <c r="G416" s="458">
        <f>labcap_sources!$F$129</f>
        <v>1</v>
      </c>
      <c r="H416" s="369">
        <f t="shared" si="257"/>
        <v>1.0625005999999999E-2</v>
      </c>
      <c r="I416" s="357"/>
      <c r="J416" s="458">
        <f>labcap_sources!$G$129</f>
        <v>0.96923076923076923</v>
      </c>
      <c r="K416" s="369">
        <f t="shared" si="258"/>
        <v>1.0298082738461539E-2</v>
      </c>
      <c r="L416" s="360"/>
      <c r="M416" s="458">
        <f>labcap_sources!$H$129</f>
        <v>0.86153846153846159</v>
      </c>
      <c r="N416" s="369">
        <f>$H416*M416</f>
        <v>9.1538513230769222E-3</v>
      </c>
      <c r="O416" s="360"/>
    </row>
    <row r="417" spans="1:15" x14ac:dyDescent="0.25">
      <c r="A417" s="2" t="s">
        <v>1203</v>
      </c>
      <c r="B417" s="5" t="s">
        <v>105</v>
      </c>
      <c r="C417" s="2" t="s">
        <v>104</v>
      </c>
      <c r="E417" s="367" t="s">
        <v>1071</v>
      </c>
      <c r="F417" s="359">
        <f>opex_det!K$179</f>
        <v>8.9668809999999995E-3</v>
      </c>
      <c r="G417" s="458">
        <f>labcap_sources!$F$129</f>
        <v>1</v>
      </c>
      <c r="H417" s="369">
        <f t="shared" si="257"/>
        <v>8.9668809999999995E-3</v>
      </c>
      <c r="I417" s="357"/>
      <c r="J417" s="458">
        <f>labcap_sources!$G$129</f>
        <v>0.96923076923076923</v>
      </c>
      <c r="K417" s="369">
        <f t="shared" si="258"/>
        <v>8.6909769692307681E-3</v>
      </c>
      <c r="L417" s="360"/>
      <c r="M417" s="458">
        <f>labcap_sources!$H$129</f>
        <v>0.86153846153846159</v>
      </c>
      <c r="N417" s="369">
        <f t="shared" ref="N417:N419" si="260">$H417*M417</f>
        <v>7.7253128615384619E-3</v>
      </c>
      <c r="O417" s="360"/>
    </row>
    <row r="418" spans="1:15" x14ac:dyDescent="0.25">
      <c r="A418" s="2" t="s">
        <v>1203</v>
      </c>
      <c r="B418" s="5" t="s">
        <v>105</v>
      </c>
      <c r="C418" s="2" t="s">
        <v>104</v>
      </c>
      <c r="E418" s="367" t="s">
        <v>1072</v>
      </c>
      <c r="F418" s="359">
        <f>opex_det!K$180</f>
        <v>4.2536120000000004E-3</v>
      </c>
      <c r="G418" s="458">
        <f>labcap_sources!$F$130</f>
        <v>1</v>
      </c>
      <c r="H418" s="369">
        <f t="shared" si="257"/>
        <v>4.2536120000000004E-3</v>
      </c>
      <c r="I418" s="357"/>
      <c r="J418" s="458">
        <f>labcap_sources!$G$130</f>
        <v>1.1538461538461537</v>
      </c>
      <c r="K418" s="369">
        <f t="shared" si="258"/>
        <v>4.9080138461538459E-3</v>
      </c>
      <c r="L418" s="360"/>
      <c r="M418" s="458">
        <f>labcap_sources!$H$130</f>
        <v>1.4615384615384615</v>
      </c>
      <c r="N418" s="369">
        <f t="shared" si="260"/>
        <v>6.2168175384615387E-3</v>
      </c>
      <c r="O418" s="360"/>
    </row>
    <row r="419" spans="1:15" x14ac:dyDescent="0.25">
      <c r="A419" s="2" t="s">
        <v>1203</v>
      </c>
      <c r="B419" s="5" t="s">
        <v>105</v>
      </c>
      <c r="C419" s="2" t="s">
        <v>104</v>
      </c>
      <c r="E419" s="367" t="s">
        <v>1073</v>
      </c>
      <c r="F419" s="359">
        <f>opex_det!K$181</f>
        <v>3.9943399999999999E-3</v>
      </c>
      <c r="G419" s="458">
        <f>labcap_sources!$F$130</f>
        <v>1</v>
      </c>
      <c r="H419" s="369">
        <f t="shared" si="257"/>
        <v>3.9943399999999999E-3</v>
      </c>
      <c r="I419" s="357"/>
      <c r="J419" s="458">
        <f>labcap_sources!$G$130</f>
        <v>1.1538461538461537</v>
      </c>
      <c r="K419" s="369">
        <f t="shared" si="258"/>
        <v>4.6088538461538453E-3</v>
      </c>
      <c r="L419" s="360"/>
      <c r="M419" s="458">
        <f>labcap_sources!$H$130</f>
        <v>1.4615384615384615</v>
      </c>
      <c r="N419" s="369">
        <f t="shared" si="260"/>
        <v>5.837881538461538E-3</v>
      </c>
      <c r="O419" s="360"/>
    </row>
    <row r="420" spans="1:15" x14ac:dyDescent="0.25">
      <c r="A420" s="2" t="s">
        <v>1203</v>
      </c>
      <c r="B420" s="5" t="s">
        <v>107</v>
      </c>
      <c r="C420" s="2" t="s">
        <v>106</v>
      </c>
      <c r="E420" s="241" t="s">
        <v>372</v>
      </c>
      <c r="F420" s="362">
        <f>opex_det!L$169</f>
        <v>6.4801169999999996E-3</v>
      </c>
      <c r="G420" s="458">
        <f>labcap_sources!$F$131*labcap_sources!$F$128</f>
        <v>1</v>
      </c>
      <c r="H420" s="362">
        <f t="shared" si="257"/>
        <v>6.4801169999999996E-3</v>
      </c>
      <c r="I420" s="368">
        <f>H420/H424*$F424</f>
        <v>6.4801169999999996E-3</v>
      </c>
      <c r="J420" s="458">
        <f>labcap_sources!$G$131*labcap_sources!$G$128</f>
        <v>0.73888888888888893</v>
      </c>
      <c r="K420" s="362">
        <f>$H420*J420</f>
        <v>4.7880864500000004E-3</v>
      </c>
      <c r="L420" s="368">
        <f>K420/K424*$F424</f>
        <v>4.7646765801341827E-3</v>
      </c>
      <c r="M420" s="458">
        <f>labcap_sources!$H$131*labcap_sources!$H$128</f>
        <v>0.53333333333333333</v>
      </c>
      <c r="N420" s="362">
        <f>$H420*M420</f>
        <v>3.4560623999999999E-3</v>
      </c>
      <c r="O420" s="368">
        <f>N420/N424*$F424</f>
        <v>3.5005105970620275E-3</v>
      </c>
    </row>
    <row r="421" spans="1:15" x14ac:dyDescent="0.25">
      <c r="A421" s="2" t="s">
        <v>1203</v>
      </c>
      <c r="B421" s="5" t="s">
        <v>107</v>
      </c>
      <c r="C421" s="2" t="s">
        <v>106</v>
      </c>
      <c r="E421" s="241" t="s">
        <v>373</v>
      </c>
      <c r="F421" s="362">
        <f>opex_det!L$170</f>
        <v>5.1042812E-2</v>
      </c>
      <c r="G421" s="458">
        <f>labcap_sources!$F$131*labcap_sources!$F$129</f>
        <v>1</v>
      </c>
      <c r="H421" s="362">
        <f t="shared" si="257"/>
        <v>5.1042812E-2</v>
      </c>
      <c r="I421" s="368">
        <f>H421/H424*$F424</f>
        <v>5.1042812E-2</v>
      </c>
      <c r="J421" s="458">
        <f>labcap_sources!$G$131*labcap_sources!$G$129</f>
        <v>0.92076923076923067</v>
      </c>
      <c r="K421" s="362">
        <f t="shared" ref="K421:K423" si="261">$H421*J421</f>
        <v>4.6998650741538459E-2</v>
      </c>
      <c r="L421" s="368">
        <f>K421/K424*$F424</f>
        <v>4.6768865354574855E-2</v>
      </c>
      <c r="M421" s="458">
        <f>labcap_sources!$H$131*labcap_sources!$H$129</f>
        <v>0.68923076923076931</v>
      </c>
      <c r="N421" s="362">
        <f t="shared" ref="N421:N423" si="262">$H421*M421</f>
        <v>3.5180276578461546E-2</v>
      </c>
      <c r="O421" s="368">
        <f>N421/N424*$F424</f>
        <v>3.5632727861186091E-2</v>
      </c>
    </row>
    <row r="422" spans="1:15" x14ac:dyDescent="0.25">
      <c r="A422" s="2" t="s">
        <v>1203</v>
      </c>
      <c r="B422" s="5" t="s">
        <v>107</v>
      </c>
      <c r="C422" s="2" t="s">
        <v>106</v>
      </c>
      <c r="E422" s="241" t="s">
        <v>374</v>
      </c>
      <c r="F422" s="362">
        <f>opex_det!L$171</f>
        <v>4.1197731000000001E-2</v>
      </c>
      <c r="G422" s="458">
        <f>labcap_sources!$F$131*labcap_sources!$F$130</f>
        <v>1</v>
      </c>
      <c r="H422" s="362">
        <f t="shared" si="257"/>
        <v>4.1197731000000001E-2</v>
      </c>
      <c r="I422" s="368">
        <f>H422/H424*$F424</f>
        <v>4.1197730999999994E-2</v>
      </c>
      <c r="J422" s="458">
        <f>labcap_sources!$G$131*labcap_sources!$G$130</f>
        <v>1.096153846153846</v>
      </c>
      <c r="K422" s="362">
        <f t="shared" si="261"/>
        <v>4.5159051288461538E-2</v>
      </c>
      <c r="L422" s="368">
        <f>K422/K424*$F424</f>
        <v>4.4938260054851568E-2</v>
      </c>
      <c r="M422" s="458">
        <f>labcap_sources!$H$131*labcap_sources!$H$130</f>
        <v>1.1692307692307693</v>
      </c>
      <c r="N422" s="362">
        <f t="shared" si="262"/>
        <v>4.8169654707692314E-2</v>
      </c>
      <c r="O422" s="368">
        <f>N422/N424*$F424</f>
        <v>4.8789161550177942E-2</v>
      </c>
    </row>
    <row r="423" spans="1:15" x14ac:dyDescent="0.25">
      <c r="A423" s="2" t="s">
        <v>1203</v>
      </c>
      <c r="B423" s="5" t="s">
        <v>107</v>
      </c>
      <c r="C423" s="2" t="s">
        <v>106</v>
      </c>
      <c r="E423" s="240" t="s">
        <v>375</v>
      </c>
      <c r="F423" s="362">
        <f>opex_det!L$172</f>
        <v>5.012349E-2</v>
      </c>
      <c r="G423" s="458">
        <f>labcap_sources!$F$132</f>
        <v>1</v>
      </c>
      <c r="H423" s="362">
        <f t="shared" si="257"/>
        <v>5.012349E-2</v>
      </c>
      <c r="I423" s="368">
        <f>H423/H424*$F424</f>
        <v>5.0123489999999993E-2</v>
      </c>
      <c r="J423" s="458">
        <f>labcap_sources!$G$132</f>
        <v>1.05</v>
      </c>
      <c r="K423" s="362">
        <f t="shared" si="261"/>
        <v>5.2629664499999999E-2</v>
      </c>
      <c r="L423" s="368">
        <f>K423/K424*$F424</f>
        <v>5.2372348010439405E-2</v>
      </c>
      <c r="M423" s="458">
        <f>labcap_sources!$H$132</f>
        <v>1.2</v>
      </c>
      <c r="N423" s="362">
        <f t="shared" si="262"/>
        <v>6.0148187999999998E-2</v>
      </c>
      <c r="O423" s="368">
        <f>N423/N424*$F424</f>
        <v>6.0921749991573952E-2</v>
      </c>
    </row>
    <row r="424" spans="1:15" x14ac:dyDescent="0.25">
      <c r="A424" s="2" t="s">
        <v>1203</v>
      </c>
      <c r="B424" s="5" t="s">
        <v>107</v>
      </c>
      <c r="C424" s="2" t="s">
        <v>106</v>
      </c>
      <c r="E424" s="19" t="s">
        <v>1077</v>
      </c>
      <c r="F424" s="363">
        <f>SUM(F420:F423)</f>
        <v>0.14884415000000001</v>
      </c>
      <c r="G424" s="458"/>
      <c r="H424" s="363">
        <f>SUM(H420:H423)</f>
        <v>0.14884415000000001</v>
      </c>
      <c r="I424" s="363">
        <f>SUM(I420:I423)</f>
        <v>0.14884414999999998</v>
      </c>
      <c r="J424" s="458"/>
      <c r="K424" s="363">
        <f>SUM(K420:K423)</f>
        <v>0.14957545298</v>
      </c>
      <c r="L424" s="363">
        <f>SUM(L420:L423)</f>
        <v>0.14884415000000001</v>
      </c>
      <c r="M424" s="458"/>
      <c r="N424" s="363">
        <f>SUM(N420:N423)</f>
        <v>0.14695418168615385</v>
      </c>
      <c r="O424" s="363">
        <f>SUM(O420:O423)</f>
        <v>0.14884415000000001</v>
      </c>
    </row>
    <row r="425" spans="1:15" x14ac:dyDescent="0.25">
      <c r="A425" s="2" t="s">
        <v>1203</v>
      </c>
      <c r="B425" s="5" t="s">
        <v>107</v>
      </c>
      <c r="C425" s="2" t="s">
        <v>106</v>
      </c>
      <c r="E425" s="367" t="s">
        <v>1068</v>
      </c>
      <c r="F425" s="359">
        <f>opex_det!L$176</f>
        <v>2.4361900000000001E-4</v>
      </c>
      <c r="G425" s="458">
        <f>labcap_sources!$F$128</f>
        <v>1</v>
      </c>
      <c r="H425" s="369">
        <f t="shared" ref="H425:H434" si="263">$F425*G425</f>
        <v>2.4361900000000001E-4</v>
      </c>
      <c r="I425" s="357"/>
      <c r="J425" s="458">
        <f>labcap_sources!$G$128</f>
        <v>0.7777777777777779</v>
      </c>
      <c r="K425" s="369">
        <f>$H425*J425</f>
        <v>1.8948144444444449E-4</v>
      </c>
      <c r="L425" s="360"/>
      <c r="M425" s="458">
        <f>labcap_sources!$H$128</f>
        <v>0.66666666666666663</v>
      </c>
      <c r="N425" s="369">
        <f>$H425*M425</f>
        <v>1.6241266666666666E-4</v>
      </c>
      <c r="O425" s="360"/>
    </row>
    <row r="426" spans="1:15" x14ac:dyDescent="0.25">
      <c r="A426" s="2" t="s">
        <v>1203</v>
      </c>
      <c r="B426" s="5" t="s">
        <v>107</v>
      </c>
      <c r="C426" s="2" t="s">
        <v>106</v>
      </c>
      <c r="E426" s="367" t="s">
        <v>1069</v>
      </c>
      <c r="F426" s="359">
        <f>opex_det!L$177</f>
        <v>6.0053999999999999E-4</v>
      </c>
      <c r="G426" s="458">
        <f>labcap_sources!$F$128</f>
        <v>1</v>
      </c>
      <c r="H426" s="369">
        <f t="shared" si="263"/>
        <v>6.0053999999999999E-4</v>
      </c>
      <c r="I426" s="357"/>
      <c r="J426" s="458">
        <f>labcap_sources!$G$128</f>
        <v>0.7777777777777779</v>
      </c>
      <c r="K426" s="369">
        <f t="shared" ref="K426:K430" si="264">$H426*J426</f>
        <v>4.6708666666666672E-4</v>
      </c>
      <c r="L426" s="360"/>
      <c r="M426" s="458">
        <f>labcap_sources!$H$128</f>
        <v>0.66666666666666663</v>
      </c>
      <c r="N426" s="369">
        <f t="shared" ref="N426" si="265">$H426*M426</f>
        <v>4.0036E-4</v>
      </c>
      <c r="O426" s="360"/>
    </row>
    <row r="427" spans="1:15" x14ac:dyDescent="0.25">
      <c r="A427" s="2" t="s">
        <v>1203</v>
      </c>
      <c r="B427" s="5" t="s">
        <v>107</v>
      </c>
      <c r="C427" s="2" t="s">
        <v>106</v>
      </c>
      <c r="E427" s="367" t="s">
        <v>1070</v>
      </c>
      <c r="F427" s="359">
        <f>opex_det!L$178</f>
        <v>2.9234980000000001E-3</v>
      </c>
      <c r="G427" s="458">
        <f>labcap_sources!$F$129</f>
        <v>1</v>
      </c>
      <c r="H427" s="369">
        <f t="shared" si="263"/>
        <v>2.9234980000000001E-3</v>
      </c>
      <c r="I427" s="357"/>
      <c r="J427" s="458">
        <f>labcap_sources!$G$129</f>
        <v>0.96923076923076923</v>
      </c>
      <c r="K427" s="369">
        <f t="shared" si="264"/>
        <v>2.8335442153846154E-3</v>
      </c>
      <c r="L427" s="360"/>
      <c r="M427" s="458">
        <f>labcap_sources!$H$129</f>
        <v>0.86153846153846159</v>
      </c>
      <c r="N427" s="369">
        <f>$H427*M427</f>
        <v>2.5187059692307694E-3</v>
      </c>
      <c r="O427" s="360"/>
    </row>
    <row r="428" spans="1:15" x14ac:dyDescent="0.25">
      <c r="A428" s="2" t="s">
        <v>1203</v>
      </c>
      <c r="B428" s="5" t="s">
        <v>107</v>
      </c>
      <c r="C428" s="2" t="s">
        <v>106</v>
      </c>
      <c r="E428" s="367" t="s">
        <v>1071</v>
      </c>
      <c r="F428" s="359">
        <f>opex_det!L$179</f>
        <v>2.5549349999999999E-3</v>
      </c>
      <c r="G428" s="458">
        <f>labcap_sources!$F$129</f>
        <v>1</v>
      </c>
      <c r="H428" s="369">
        <f t="shared" si="263"/>
        <v>2.5549349999999999E-3</v>
      </c>
      <c r="I428" s="357"/>
      <c r="J428" s="458">
        <f>labcap_sources!$G$129</f>
        <v>0.96923076923076923</v>
      </c>
      <c r="K428" s="369">
        <f t="shared" si="264"/>
        <v>2.4763216153846153E-3</v>
      </c>
      <c r="L428" s="360"/>
      <c r="M428" s="458">
        <f>labcap_sources!$H$129</f>
        <v>0.86153846153846159</v>
      </c>
      <c r="N428" s="369">
        <f t="shared" ref="N428:N430" si="266">$H428*M428</f>
        <v>2.2011747692307691E-3</v>
      </c>
      <c r="O428" s="360"/>
    </row>
    <row r="429" spans="1:15" x14ac:dyDescent="0.25">
      <c r="A429" s="2" t="s">
        <v>1203</v>
      </c>
      <c r="B429" s="5" t="s">
        <v>107</v>
      </c>
      <c r="C429" s="2" t="s">
        <v>106</v>
      </c>
      <c r="E429" s="367" t="s">
        <v>1072</v>
      </c>
      <c r="F429" s="359">
        <f>opex_det!L$180</f>
        <v>1.1459899999999999E-3</v>
      </c>
      <c r="G429" s="458">
        <f>labcap_sources!$F$130</f>
        <v>1</v>
      </c>
      <c r="H429" s="369">
        <f t="shared" si="263"/>
        <v>1.1459899999999999E-3</v>
      </c>
      <c r="I429" s="357"/>
      <c r="J429" s="458">
        <f>labcap_sources!$G$130</f>
        <v>1.1538461538461537</v>
      </c>
      <c r="K429" s="369">
        <f t="shared" si="264"/>
        <v>1.3222961538461536E-3</v>
      </c>
      <c r="L429" s="360"/>
      <c r="M429" s="458">
        <f>labcap_sources!$H$130</f>
        <v>1.4615384615384615</v>
      </c>
      <c r="N429" s="369">
        <f t="shared" si="266"/>
        <v>1.6749084615384614E-3</v>
      </c>
      <c r="O429" s="360"/>
    </row>
    <row r="430" spans="1:15" x14ac:dyDescent="0.25">
      <c r="A430" s="2" t="s">
        <v>1203</v>
      </c>
      <c r="B430" s="5" t="s">
        <v>107</v>
      </c>
      <c r="C430" s="2" t="s">
        <v>106</v>
      </c>
      <c r="E430" s="367" t="s">
        <v>1073</v>
      </c>
      <c r="F430" s="359">
        <f>opex_det!L$181</f>
        <v>1.1088750000000001E-3</v>
      </c>
      <c r="G430" s="458">
        <f>labcap_sources!$F$130</f>
        <v>1</v>
      </c>
      <c r="H430" s="369">
        <f t="shared" si="263"/>
        <v>1.1088750000000001E-3</v>
      </c>
      <c r="I430" s="357"/>
      <c r="J430" s="458">
        <f>labcap_sources!$G$130</f>
        <v>1.1538461538461537</v>
      </c>
      <c r="K430" s="369">
        <f t="shared" si="264"/>
        <v>1.2794711538461538E-3</v>
      </c>
      <c r="L430" s="360"/>
      <c r="M430" s="458">
        <f>labcap_sources!$H$130</f>
        <v>1.4615384615384615</v>
      </c>
      <c r="N430" s="369">
        <f t="shared" si="266"/>
        <v>1.6206634615384616E-3</v>
      </c>
      <c r="O430" s="360"/>
    </row>
    <row r="431" spans="1:15" x14ac:dyDescent="0.25">
      <c r="A431" s="2" t="s">
        <v>1203</v>
      </c>
      <c r="B431" s="5" t="s">
        <v>109</v>
      </c>
      <c r="C431" s="2" t="s">
        <v>108</v>
      </c>
      <c r="E431" s="241" t="s">
        <v>372</v>
      </c>
      <c r="F431" s="362">
        <f>opex_det!M$169</f>
        <v>8.4600379999999996E-3</v>
      </c>
      <c r="G431" s="458">
        <f>labcap_sources!$F$131*labcap_sources!$F$128</f>
        <v>1</v>
      </c>
      <c r="H431" s="362">
        <f t="shared" si="263"/>
        <v>8.4600379999999996E-3</v>
      </c>
      <c r="I431" s="368">
        <f>H431/H435*$F435</f>
        <v>8.4600379999999996E-3</v>
      </c>
      <c r="J431" s="458">
        <f>labcap_sources!$G$131*labcap_sources!$G$128</f>
        <v>0.73888888888888893</v>
      </c>
      <c r="K431" s="362">
        <f>$H431*J431</f>
        <v>6.2510280777777778E-3</v>
      </c>
      <c r="L431" s="368">
        <f>K431/K435*$F435</f>
        <v>6.2625451068530659E-3</v>
      </c>
      <c r="M431" s="458">
        <f>labcap_sources!$H$131*labcap_sources!$H$128</f>
        <v>0.53333333333333333</v>
      </c>
      <c r="N431" s="362">
        <f>$H431*M431</f>
        <v>4.5120202666666664E-3</v>
      </c>
      <c r="O431" s="368">
        <f>N431/N435*$F435</f>
        <v>4.7224105509095235E-3</v>
      </c>
    </row>
    <row r="432" spans="1:15" x14ac:dyDescent="0.25">
      <c r="A432" s="2" t="s">
        <v>1203</v>
      </c>
      <c r="B432" s="5" t="s">
        <v>109</v>
      </c>
      <c r="C432" s="2" t="s">
        <v>108</v>
      </c>
      <c r="E432" s="241" t="s">
        <v>373</v>
      </c>
      <c r="F432" s="362">
        <f>opex_det!M$170</f>
        <v>6.6638321E-2</v>
      </c>
      <c r="G432" s="458">
        <f>labcap_sources!$F$131*labcap_sources!$F$129</f>
        <v>1</v>
      </c>
      <c r="H432" s="362">
        <f t="shared" si="263"/>
        <v>6.6638321E-2</v>
      </c>
      <c r="I432" s="368">
        <f>H432/H435*$F435</f>
        <v>6.6638321E-2</v>
      </c>
      <c r="J432" s="458">
        <f>labcap_sources!$G$131*labcap_sources!$G$129</f>
        <v>0.92076923076923067</v>
      </c>
      <c r="K432" s="362">
        <f t="shared" ref="K432:K434" si="267">$H432*J432</f>
        <v>6.1358515566923073E-2</v>
      </c>
      <c r="L432" s="368">
        <f>K432/K435*$F435</f>
        <v>6.1471563820587612E-2</v>
      </c>
      <c r="M432" s="458">
        <f>labcap_sources!$H$131*labcap_sources!$H$129</f>
        <v>0.68923076923076931</v>
      </c>
      <c r="N432" s="362">
        <f t="shared" ref="N432:N434" si="268">$H432*M432</f>
        <v>4.5929181243076926E-2</v>
      </c>
      <c r="O432" s="368">
        <f>N432/N435*$F435</f>
        <v>4.8070805820466384E-2</v>
      </c>
    </row>
    <row r="433" spans="1:15" x14ac:dyDescent="0.25">
      <c r="A433" s="2" t="s">
        <v>1203</v>
      </c>
      <c r="B433" s="5" t="s">
        <v>109</v>
      </c>
      <c r="C433" s="2" t="s">
        <v>108</v>
      </c>
      <c r="E433" s="241" t="s">
        <v>374</v>
      </c>
      <c r="F433" s="362">
        <f>opex_det!M$171</f>
        <v>5.3785196E-2</v>
      </c>
      <c r="G433" s="458">
        <f>labcap_sources!$F$131*labcap_sources!$F$130</f>
        <v>1</v>
      </c>
      <c r="H433" s="362">
        <f t="shared" si="263"/>
        <v>5.3785196E-2</v>
      </c>
      <c r="I433" s="368">
        <f>H433/H435*$F435</f>
        <v>5.3785196E-2</v>
      </c>
      <c r="J433" s="458">
        <f>labcap_sources!$G$131*labcap_sources!$G$130</f>
        <v>1.096153846153846</v>
      </c>
      <c r="K433" s="362">
        <f t="shared" si="267"/>
        <v>5.8956849461538459E-2</v>
      </c>
      <c r="L433" s="368">
        <f>K433/K435*$F435</f>
        <v>5.9065472833724195E-2</v>
      </c>
      <c r="M433" s="458">
        <f>labcap_sources!$H$131*labcap_sources!$H$130</f>
        <v>1.1692307692307693</v>
      </c>
      <c r="N433" s="362">
        <f t="shared" si="268"/>
        <v>6.2887306092307693E-2</v>
      </c>
      <c r="O433" s="368">
        <f>N433/N435*$F435</f>
        <v>6.581966840942173E-2</v>
      </c>
    </row>
    <row r="434" spans="1:15" x14ac:dyDescent="0.25">
      <c r="A434" s="2" t="s">
        <v>1203</v>
      </c>
      <c r="B434" s="5" t="s">
        <v>109</v>
      </c>
      <c r="C434" s="2" t="s">
        <v>108</v>
      </c>
      <c r="E434" s="240" t="s">
        <v>375</v>
      </c>
      <c r="F434" s="362">
        <f>opex_det!M$172</f>
        <v>4.0126920000000003E-2</v>
      </c>
      <c r="G434" s="458">
        <f>labcap_sources!$F$132</f>
        <v>1</v>
      </c>
      <c r="H434" s="362">
        <f t="shared" si="263"/>
        <v>4.0126920000000003E-2</v>
      </c>
      <c r="I434" s="368">
        <f>H434/H435*$F435</f>
        <v>4.0126920000000003E-2</v>
      </c>
      <c r="J434" s="458">
        <f>labcap_sources!$G$132</f>
        <v>1.05</v>
      </c>
      <c r="K434" s="362">
        <f t="shared" si="267"/>
        <v>4.2133266000000003E-2</v>
      </c>
      <c r="L434" s="368">
        <f>K434/K435*$F435</f>
        <v>4.2210893238835145E-2</v>
      </c>
      <c r="M434" s="458">
        <f>labcap_sources!$H$132</f>
        <v>1.2</v>
      </c>
      <c r="N434" s="362">
        <f t="shared" si="268"/>
        <v>4.8152304E-2</v>
      </c>
      <c r="O434" s="368">
        <f>N434/N435*$F435</f>
        <v>5.0397590219202371E-2</v>
      </c>
    </row>
    <row r="435" spans="1:15" x14ac:dyDescent="0.25">
      <c r="A435" s="2" t="s">
        <v>1203</v>
      </c>
      <c r="B435" s="5" t="s">
        <v>109</v>
      </c>
      <c r="C435" s="2" t="s">
        <v>108</v>
      </c>
      <c r="E435" s="19" t="s">
        <v>1077</v>
      </c>
      <c r="F435" s="363">
        <f>SUM(F431:F434)</f>
        <v>0.16901047500000002</v>
      </c>
      <c r="G435" s="458"/>
      <c r="H435" s="363">
        <f>SUM(H431:H434)</f>
        <v>0.16901047500000002</v>
      </c>
      <c r="I435" s="363">
        <f>SUM(I431:I434)</f>
        <v>0.16901047500000002</v>
      </c>
      <c r="J435" s="458"/>
      <c r="K435" s="363">
        <f>SUM(K431:K434)</f>
        <v>0.16869965910623932</v>
      </c>
      <c r="L435" s="363">
        <f>SUM(L431:L434)</f>
        <v>0.16901047500000002</v>
      </c>
      <c r="M435" s="458"/>
      <c r="N435" s="363">
        <f>SUM(N431:N434)</f>
        <v>0.1614808116020513</v>
      </c>
      <c r="O435" s="363">
        <f>SUM(O431:O434)</f>
        <v>0.16901047499999999</v>
      </c>
    </row>
    <row r="436" spans="1:15" x14ac:dyDescent="0.25">
      <c r="A436" s="2" t="s">
        <v>1203</v>
      </c>
      <c r="B436" s="5" t="s">
        <v>109</v>
      </c>
      <c r="C436" s="2" t="s">
        <v>108</v>
      </c>
      <c r="E436" s="367" t="s">
        <v>1068</v>
      </c>
      <c r="F436" s="359">
        <f>opex_det!M$176</f>
        <v>2.8376200000000001E-4</v>
      </c>
      <c r="G436" s="458">
        <f>labcap_sources!$F$128</f>
        <v>1</v>
      </c>
      <c r="H436" s="369">
        <f t="shared" ref="H436:H445" si="269">$F436*G436</f>
        <v>2.8376200000000001E-4</v>
      </c>
      <c r="I436" s="357"/>
      <c r="J436" s="458">
        <f>labcap_sources!$G$128</f>
        <v>0.7777777777777779</v>
      </c>
      <c r="K436" s="369">
        <f>$H436*J436</f>
        <v>2.2070377777777783E-4</v>
      </c>
      <c r="L436" s="360"/>
      <c r="M436" s="458">
        <f>labcap_sources!$H$128</f>
        <v>0.66666666666666663</v>
      </c>
      <c r="N436" s="369">
        <f>$H436*M436</f>
        <v>1.8917466666666666E-4</v>
      </c>
      <c r="O436" s="360"/>
    </row>
    <row r="437" spans="1:15" x14ac:dyDescent="0.25">
      <c r="A437" s="2" t="s">
        <v>1203</v>
      </c>
      <c r="B437" s="5" t="s">
        <v>109</v>
      </c>
      <c r="C437" s="2" t="s">
        <v>108</v>
      </c>
      <c r="E437" s="367" t="s">
        <v>1069</v>
      </c>
      <c r="F437" s="359">
        <f>opex_det!M$177</f>
        <v>6.9913500000000003E-4</v>
      </c>
      <c r="G437" s="458">
        <f>labcap_sources!$F$128</f>
        <v>1</v>
      </c>
      <c r="H437" s="369">
        <f t="shared" si="269"/>
        <v>6.9913500000000003E-4</v>
      </c>
      <c r="I437" s="357"/>
      <c r="J437" s="458">
        <f>labcap_sources!$G$128</f>
        <v>0.7777777777777779</v>
      </c>
      <c r="K437" s="369">
        <f t="shared" ref="K437:K441" si="270">$H437*J437</f>
        <v>5.4377166666666683E-4</v>
      </c>
      <c r="L437" s="360"/>
      <c r="M437" s="458">
        <f>labcap_sources!$H$128</f>
        <v>0.66666666666666663</v>
      </c>
      <c r="N437" s="369">
        <f t="shared" ref="N437" si="271">$H437*M437</f>
        <v>4.6609E-4</v>
      </c>
      <c r="O437" s="360"/>
    </row>
    <row r="438" spans="1:15" x14ac:dyDescent="0.25">
      <c r="A438" s="2" t="s">
        <v>1203</v>
      </c>
      <c r="B438" s="5" t="s">
        <v>109</v>
      </c>
      <c r="C438" s="2" t="s">
        <v>108</v>
      </c>
      <c r="E438" s="367" t="s">
        <v>1070</v>
      </c>
      <c r="F438" s="359">
        <f>opex_det!M$178</f>
        <v>3.5103809999999999E-3</v>
      </c>
      <c r="G438" s="458">
        <f>labcap_sources!$F$129</f>
        <v>1</v>
      </c>
      <c r="H438" s="369">
        <f t="shared" si="269"/>
        <v>3.5103809999999999E-3</v>
      </c>
      <c r="I438" s="357"/>
      <c r="J438" s="458">
        <f>labcap_sources!$G$129</f>
        <v>0.96923076923076923</v>
      </c>
      <c r="K438" s="369">
        <f t="shared" si="270"/>
        <v>3.4023692769230766E-3</v>
      </c>
      <c r="L438" s="360"/>
      <c r="M438" s="458">
        <f>labcap_sources!$H$129</f>
        <v>0.86153846153846159</v>
      </c>
      <c r="N438" s="369">
        <f>$H438*M438</f>
        <v>3.0243282461538462E-3</v>
      </c>
      <c r="O438" s="360"/>
    </row>
    <row r="439" spans="1:15" x14ac:dyDescent="0.25">
      <c r="A439" s="2" t="s">
        <v>1203</v>
      </c>
      <c r="B439" s="5" t="s">
        <v>109</v>
      </c>
      <c r="C439" s="2" t="s">
        <v>108</v>
      </c>
      <c r="E439" s="367" t="s">
        <v>1071</v>
      </c>
      <c r="F439" s="359">
        <f>opex_det!M$179</f>
        <v>3.0376399999999999E-3</v>
      </c>
      <c r="G439" s="458">
        <f>labcap_sources!$F$129</f>
        <v>1</v>
      </c>
      <c r="H439" s="369">
        <f t="shared" si="269"/>
        <v>3.0376399999999999E-3</v>
      </c>
      <c r="I439" s="357"/>
      <c r="J439" s="458">
        <f>labcap_sources!$G$129</f>
        <v>0.96923076923076923</v>
      </c>
      <c r="K439" s="369">
        <f t="shared" si="270"/>
        <v>2.9441741538461536E-3</v>
      </c>
      <c r="L439" s="360"/>
      <c r="M439" s="458">
        <f>labcap_sources!$H$129</f>
        <v>0.86153846153846159</v>
      </c>
      <c r="N439" s="369">
        <f t="shared" ref="N439:N441" si="272">$H439*M439</f>
        <v>2.6170436923076924E-3</v>
      </c>
      <c r="O439" s="360"/>
    </row>
    <row r="440" spans="1:15" x14ac:dyDescent="0.25">
      <c r="A440" s="2" t="s">
        <v>1203</v>
      </c>
      <c r="B440" s="5" t="s">
        <v>109</v>
      </c>
      <c r="C440" s="2" t="s">
        <v>108</v>
      </c>
      <c r="E440" s="367" t="s">
        <v>1072</v>
      </c>
      <c r="F440" s="359">
        <f>opex_det!M$180</f>
        <v>1.405664E-3</v>
      </c>
      <c r="G440" s="458">
        <f>labcap_sources!$F$130</f>
        <v>1</v>
      </c>
      <c r="H440" s="369">
        <f t="shared" si="269"/>
        <v>1.405664E-3</v>
      </c>
      <c r="I440" s="357"/>
      <c r="J440" s="458">
        <f>labcap_sources!$G$130</f>
        <v>1.1538461538461537</v>
      </c>
      <c r="K440" s="369">
        <f t="shared" si="270"/>
        <v>1.62192E-3</v>
      </c>
      <c r="L440" s="360"/>
      <c r="M440" s="458">
        <f>labcap_sources!$H$130</f>
        <v>1.4615384615384615</v>
      </c>
      <c r="N440" s="369">
        <f t="shared" si="272"/>
        <v>2.0544320000000001E-3</v>
      </c>
      <c r="O440" s="360"/>
    </row>
    <row r="441" spans="1:15" x14ac:dyDescent="0.25">
      <c r="A441" s="2" t="s">
        <v>1203</v>
      </c>
      <c r="B441" s="5" t="s">
        <v>109</v>
      </c>
      <c r="C441" s="2" t="s">
        <v>108</v>
      </c>
      <c r="E441" s="367" t="s">
        <v>1073</v>
      </c>
      <c r="F441" s="359">
        <f>opex_det!M$181</f>
        <v>1.3358619999999999E-3</v>
      </c>
      <c r="G441" s="458">
        <f>labcap_sources!$F$130</f>
        <v>1</v>
      </c>
      <c r="H441" s="369">
        <f t="shared" si="269"/>
        <v>1.3358619999999999E-3</v>
      </c>
      <c r="I441" s="357"/>
      <c r="J441" s="458">
        <f>labcap_sources!$G$130</f>
        <v>1.1538461538461537</v>
      </c>
      <c r="K441" s="369">
        <f t="shared" si="270"/>
        <v>1.5413792307692306E-3</v>
      </c>
      <c r="L441" s="360"/>
      <c r="M441" s="458">
        <f>labcap_sources!$H$130</f>
        <v>1.4615384615384615</v>
      </c>
      <c r="N441" s="369">
        <f t="shared" si="272"/>
        <v>1.9524136923076921E-3</v>
      </c>
      <c r="O441" s="360"/>
    </row>
    <row r="442" spans="1:15" x14ac:dyDescent="0.25">
      <c r="A442" s="2" t="s">
        <v>1203</v>
      </c>
      <c r="B442" s="5" t="s">
        <v>111</v>
      </c>
      <c r="C442" s="2" t="s">
        <v>110</v>
      </c>
      <c r="E442" s="241" t="s">
        <v>372</v>
      </c>
      <c r="F442" s="362">
        <f>opex_det!N$169</f>
        <v>4.3551800000000002E-3</v>
      </c>
      <c r="G442" s="458">
        <f>labcap_sources!$F$131*labcap_sources!$F$128</f>
        <v>1</v>
      </c>
      <c r="H442" s="362">
        <f t="shared" si="269"/>
        <v>4.3551800000000002E-3</v>
      </c>
      <c r="I442" s="368">
        <f>H442/H446*$F446</f>
        <v>4.3551800000000002E-3</v>
      </c>
      <c r="J442" s="458">
        <f>labcap_sources!$G$131*labcap_sources!$G$128</f>
        <v>0.73888888888888893</v>
      </c>
      <c r="K442" s="362">
        <f>$H442*J442</f>
        <v>3.2179941111111113E-3</v>
      </c>
      <c r="L442" s="368">
        <f>K442/K446*$F446</f>
        <v>3.2066912862399261E-3</v>
      </c>
      <c r="M442" s="458">
        <f>labcap_sources!$H$131*labcap_sources!$H$128</f>
        <v>0.53333333333333333</v>
      </c>
      <c r="N442" s="362">
        <f>$H442*M442</f>
        <v>2.3227626666666667E-3</v>
      </c>
      <c r="O442" s="368">
        <f>N442/N446*$F446</f>
        <v>2.3683478406679032E-3</v>
      </c>
    </row>
    <row r="443" spans="1:15" x14ac:dyDescent="0.25">
      <c r="A443" s="2" t="s">
        <v>1203</v>
      </c>
      <c r="B443" s="5" t="s">
        <v>111</v>
      </c>
      <c r="C443" s="2" t="s">
        <v>110</v>
      </c>
      <c r="E443" s="241" t="s">
        <v>373</v>
      </c>
      <c r="F443" s="362">
        <f>opex_det!N$170</f>
        <v>3.4305031999999999E-2</v>
      </c>
      <c r="G443" s="458">
        <f>labcap_sources!$F$131*labcap_sources!$F$129</f>
        <v>1</v>
      </c>
      <c r="H443" s="362">
        <f t="shared" si="269"/>
        <v>3.4305031999999999E-2</v>
      </c>
      <c r="I443" s="368">
        <f>H443/H446*$F446</f>
        <v>3.4305031999999999E-2</v>
      </c>
      <c r="J443" s="458">
        <f>labcap_sources!$G$131*labcap_sources!$G$129</f>
        <v>0.92076923076923067</v>
      </c>
      <c r="K443" s="362">
        <f t="shared" ref="K443:K445" si="273">$H443*J443</f>
        <v>3.1587017926153843E-2</v>
      </c>
      <c r="L443" s="368">
        <f>K443/K446*$F446</f>
        <v>3.1476072250215661E-2</v>
      </c>
      <c r="M443" s="458">
        <f>labcap_sources!$H$131*labcap_sources!$H$129</f>
        <v>0.68923076923076931</v>
      </c>
      <c r="N443" s="362">
        <f t="shared" ref="N443:N445" si="274">$H443*M443</f>
        <v>2.3644083593846156E-2</v>
      </c>
      <c r="O443" s="368">
        <f>N443/N446*$F446</f>
        <v>2.4108108472579035E-2</v>
      </c>
    </row>
    <row r="444" spans="1:15" x14ac:dyDescent="0.25">
      <c r="A444" s="2" t="s">
        <v>1203</v>
      </c>
      <c r="B444" s="5" t="s">
        <v>111</v>
      </c>
      <c r="C444" s="2" t="s">
        <v>110</v>
      </c>
      <c r="E444" s="241" t="s">
        <v>374</v>
      </c>
      <c r="F444" s="362">
        <f>opex_det!N$171</f>
        <v>2.7688316000000001E-2</v>
      </c>
      <c r="G444" s="458">
        <f>labcap_sources!$F$131*labcap_sources!$F$130</f>
        <v>1</v>
      </c>
      <c r="H444" s="362">
        <f t="shared" si="269"/>
        <v>2.7688316000000001E-2</v>
      </c>
      <c r="I444" s="368">
        <f>H444/H446*$F446</f>
        <v>2.7688316000000001E-2</v>
      </c>
      <c r="J444" s="458">
        <f>labcap_sources!$G$131*labcap_sources!$G$130</f>
        <v>1.096153846153846</v>
      </c>
      <c r="K444" s="362">
        <f t="shared" si="273"/>
        <v>3.0350654076923073E-2</v>
      </c>
      <c r="L444" s="368">
        <f>K444/K446*$F446</f>
        <v>3.0244050983221658E-2</v>
      </c>
      <c r="M444" s="458">
        <f>labcap_sources!$H$131*labcap_sources!$H$130</f>
        <v>1.1692307692307693</v>
      </c>
      <c r="N444" s="362">
        <f t="shared" si="274"/>
        <v>3.2374031015384622E-2</v>
      </c>
      <c r="O444" s="368">
        <f>N444/N446*$F446</f>
        <v>3.3009384707837229E-2</v>
      </c>
    </row>
    <row r="445" spans="1:15" x14ac:dyDescent="0.25">
      <c r="A445" s="2" t="s">
        <v>1203</v>
      </c>
      <c r="B445" s="5" t="s">
        <v>111</v>
      </c>
      <c r="C445" s="2" t="s">
        <v>110</v>
      </c>
      <c r="E445" s="240" t="s">
        <v>375</v>
      </c>
      <c r="F445" s="362">
        <f>opex_det!N$172</f>
        <v>3.0698599E-2</v>
      </c>
      <c r="G445" s="458">
        <f>labcap_sources!$F$132</f>
        <v>1</v>
      </c>
      <c r="H445" s="362">
        <f t="shared" si="269"/>
        <v>3.0698599E-2</v>
      </c>
      <c r="I445" s="368">
        <f>H445/H446*$F446</f>
        <v>3.0698599E-2</v>
      </c>
      <c r="J445" s="458">
        <f>labcap_sources!$G$132</f>
        <v>1.05</v>
      </c>
      <c r="K445" s="362">
        <f t="shared" si="273"/>
        <v>3.223352895E-2</v>
      </c>
      <c r="L445" s="368">
        <f>K445/K446*$F446</f>
        <v>3.2120312480322766E-2</v>
      </c>
      <c r="M445" s="458">
        <f>labcap_sources!$H$132</f>
        <v>1.2</v>
      </c>
      <c r="N445" s="362">
        <f t="shared" si="274"/>
        <v>3.6838318799999999E-2</v>
      </c>
      <c r="O445" s="368">
        <f>N445/N446*$F446</f>
        <v>3.756128597891583E-2</v>
      </c>
    </row>
    <row r="446" spans="1:15" x14ac:dyDescent="0.25">
      <c r="A446" s="2" t="s">
        <v>1203</v>
      </c>
      <c r="B446" s="5" t="s">
        <v>111</v>
      </c>
      <c r="C446" s="2" t="s">
        <v>110</v>
      </c>
      <c r="E446" s="19" t="s">
        <v>1077</v>
      </c>
      <c r="F446" s="363">
        <f>SUM(F442:F445)</f>
        <v>9.7047127000000011E-2</v>
      </c>
      <c r="G446" s="458"/>
      <c r="H446" s="363">
        <f>SUM(H442:H445)</f>
        <v>9.7047127000000011E-2</v>
      </c>
      <c r="I446" s="363">
        <f>SUM(I442:I445)</f>
        <v>9.7047127000000011E-2</v>
      </c>
      <c r="J446" s="458"/>
      <c r="K446" s="363">
        <f>SUM(K442:K445)</f>
        <v>9.7389195064188028E-2</v>
      </c>
      <c r="L446" s="363">
        <f>SUM(L442:L445)</f>
        <v>9.7047127000000011E-2</v>
      </c>
      <c r="M446" s="458"/>
      <c r="N446" s="363">
        <f>SUM(N442:N445)</f>
        <v>9.5179196075897449E-2</v>
      </c>
      <c r="O446" s="363">
        <f>SUM(O442:O445)</f>
        <v>9.7047126999999997E-2</v>
      </c>
    </row>
    <row r="447" spans="1:15" x14ac:dyDescent="0.25">
      <c r="A447" s="2" t="s">
        <v>1203</v>
      </c>
      <c r="B447" s="5" t="s">
        <v>111</v>
      </c>
      <c r="C447" s="2" t="s">
        <v>110</v>
      </c>
      <c r="E447" s="367" t="s">
        <v>1068</v>
      </c>
      <c r="F447" s="359">
        <f>opex_det!N$176</f>
        <v>1.7470800000000001E-4</v>
      </c>
      <c r="G447" s="458">
        <f>labcap_sources!$F$128</f>
        <v>1</v>
      </c>
      <c r="H447" s="369">
        <f t="shared" ref="H447:H456" si="275">$F447*G447</f>
        <v>1.7470800000000001E-4</v>
      </c>
      <c r="I447" s="357"/>
      <c r="J447" s="458">
        <f>labcap_sources!$G$128</f>
        <v>0.7777777777777779</v>
      </c>
      <c r="K447" s="369">
        <f>$H447*J447</f>
        <v>1.3588400000000002E-4</v>
      </c>
      <c r="L447" s="360"/>
      <c r="M447" s="458">
        <f>labcap_sources!$H$128</f>
        <v>0.66666666666666663</v>
      </c>
      <c r="N447" s="369">
        <f>$H447*M447</f>
        <v>1.1647200000000001E-4</v>
      </c>
      <c r="O447" s="360"/>
    </row>
    <row r="448" spans="1:15" x14ac:dyDescent="0.25">
      <c r="A448" s="2" t="s">
        <v>1203</v>
      </c>
      <c r="B448" s="5" t="s">
        <v>111</v>
      </c>
      <c r="C448" s="2" t="s">
        <v>110</v>
      </c>
      <c r="E448" s="367" t="s">
        <v>1069</v>
      </c>
      <c r="F448" s="359">
        <f>opex_det!N$177</f>
        <v>4.25139E-4</v>
      </c>
      <c r="G448" s="458">
        <f>labcap_sources!$F$128</f>
        <v>1</v>
      </c>
      <c r="H448" s="369">
        <f t="shared" si="275"/>
        <v>4.25139E-4</v>
      </c>
      <c r="I448" s="357"/>
      <c r="J448" s="458">
        <f>labcap_sources!$G$128</f>
        <v>0.7777777777777779</v>
      </c>
      <c r="K448" s="369">
        <f t="shared" ref="K448:K452" si="276">$H448*J448</f>
        <v>3.3066366666666672E-4</v>
      </c>
      <c r="L448" s="360"/>
      <c r="M448" s="458">
        <f>labcap_sources!$H$128</f>
        <v>0.66666666666666663</v>
      </c>
      <c r="N448" s="369">
        <f t="shared" ref="N448" si="277">$H448*M448</f>
        <v>2.8342599999999998E-4</v>
      </c>
      <c r="O448" s="360"/>
    </row>
    <row r="449" spans="1:15" x14ac:dyDescent="0.25">
      <c r="A449" s="2" t="s">
        <v>1203</v>
      </c>
      <c r="B449" s="5" t="s">
        <v>111</v>
      </c>
      <c r="C449" s="2" t="s">
        <v>110</v>
      </c>
      <c r="E449" s="367" t="s">
        <v>1070</v>
      </c>
      <c r="F449" s="359">
        <f>opex_det!N$178</f>
        <v>2.0935989999999998E-3</v>
      </c>
      <c r="G449" s="458">
        <f>labcap_sources!$F$129</f>
        <v>1</v>
      </c>
      <c r="H449" s="369">
        <f t="shared" si="275"/>
        <v>2.0935989999999998E-3</v>
      </c>
      <c r="I449" s="357"/>
      <c r="J449" s="458">
        <f>labcap_sources!$G$129</f>
        <v>0.96923076923076923</v>
      </c>
      <c r="K449" s="369">
        <f t="shared" si="276"/>
        <v>2.0291805692307691E-3</v>
      </c>
      <c r="L449" s="360"/>
      <c r="M449" s="458">
        <f>labcap_sources!$H$129</f>
        <v>0.86153846153846159</v>
      </c>
      <c r="N449" s="369">
        <f>$H449*M449</f>
        <v>1.8037160615384615E-3</v>
      </c>
      <c r="O449" s="360"/>
    </row>
    <row r="450" spans="1:15" x14ac:dyDescent="0.25">
      <c r="A450" s="2" t="s">
        <v>1203</v>
      </c>
      <c r="B450" s="5" t="s">
        <v>111</v>
      </c>
      <c r="C450" s="2" t="s">
        <v>110</v>
      </c>
      <c r="E450" s="367" t="s">
        <v>1071</v>
      </c>
      <c r="F450" s="359">
        <f>opex_det!N$179</f>
        <v>1.817817E-3</v>
      </c>
      <c r="G450" s="458">
        <f>labcap_sources!$F$129</f>
        <v>1</v>
      </c>
      <c r="H450" s="369">
        <f t="shared" si="275"/>
        <v>1.817817E-3</v>
      </c>
      <c r="I450" s="357"/>
      <c r="J450" s="458">
        <f>labcap_sources!$G$129</f>
        <v>0.96923076923076923</v>
      </c>
      <c r="K450" s="369">
        <f t="shared" si="276"/>
        <v>1.7618841692307692E-3</v>
      </c>
      <c r="L450" s="360"/>
      <c r="M450" s="458">
        <f>labcap_sources!$H$129</f>
        <v>0.86153846153846159</v>
      </c>
      <c r="N450" s="369">
        <f t="shared" ref="N450:N452" si="278">$H450*M450</f>
        <v>1.5661192615384616E-3</v>
      </c>
      <c r="O450" s="360"/>
    </row>
    <row r="451" spans="1:15" x14ac:dyDescent="0.25">
      <c r="A451" s="2" t="s">
        <v>1203</v>
      </c>
      <c r="B451" s="5" t="s">
        <v>111</v>
      </c>
      <c r="C451" s="2" t="s">
        <v>110</v>
      </c>
      <c r="E451" s="367" t="s">
        <v>1072</v>
      </c>
      <c r="F451" s="359">
        <f>opex_det!N$180</f>
        <v>8.2458200000000003E-4</v>
      </c>
      <c r="G451" s="458">
        <f>labcap_sources!$F$130</f>
        <v>1</v>
      </c>
      <c r="H451" s="369">
        <f t="shared" si="275"/>
        <v>8.2458200000000003E-4</v>
      </c>
      <c r="I451" s="357"/>
      <c r="J451" s="458">
        <f>labcap_sources!$G$130</f>
        <v>1.1538461538461537</v>
      </c>
      <c r="K451" s="369">
        <f t="shared" si="276"/>
        <v>9.5144076923076915E-4</v>
      </c>
      <c r="L451" s="360"/>
      <c r="M451" s="458">
        <f>labcap_sources!$H$130</f>
        <v>1.4615384615384615</v>
      </c>
      <c r="N451" s="369">
        <f t="shared" si="278"/>
        <v>1.2051583076923076E-3</v>
      </c>
      <c r="O451" s="360"/>
    </row>
    <row r="452" spans="1:15" x14ac:dyDescent="0.25">
      <c r="A452" s="2" t="s">
        <v>1203</v>
      </c>
      <c r="B452" s="5" t="s">
        <v>111</v>
      </c>
      <c r="C452" s="2" t="s">
        <v>110</v>
      </c>
      <c r="E452" s="367" t="s">
        <v>1073</v>
      </c>
      <c r="F452" s="359">
        <f>opex_det!N$181</f>
        <v>7.8297299999999996E-4</v>
      </c>
      <c r="G452" s="458">
        <f>labcap_sources!$F$130</f>
        <v>1</v>
      </c>
      <c r="H452" s="369">
        <f t="shared" si="275"/>
        <v>7.8297299999999996E-4</v>
      </c>
      <c r="I452" s="357"/>
      <c r="J452" s="458">
        <f>labcap_sources!$G$130</f>
        <v>1.1538461538461537</v>
      </c>
      <c r="K452" s="369">
        <f t="shared" si="276"/>
        <v>9.0343038461538445E-4</v>
      </c>
      <c r="L452" s="360"/>
      <c r="M452" s="458">
        <f>labcap_sources!$H$130</f>
        <v>1.4615384615384615</v>
      </c>
      <c r="N452" s="369">
        <f t="shared" si="278"/>
        <v>1.1443451538461537E-3</v>
      </c>
      <c r="O452" s="360"/>
    </row>
    <row r="453" spans="1:15" x14ac:dyDescent="0.25">
      <c r="A453" s="2" t="s">
        <v>1203</v>
      </c>
      <c r="B453" s="5" t="s">
        <v>113</v>
      </c>
      <c r="C453" s="2" t="s">
        <v>112</v>
      </c>
      <c r="E453" s="241" t="s">
        <v>372</v>
      </c>
      <c r="F453" s="362">
        <f>opex_det!O$169</f>
        <v>3.1409799999999998E-3</v>
      </c>
      <c r="G453" s="458">
        <f>labcap_sources!$F$131*labcap_sources!$F$128</f>
        <v>1</v>
      </c>
      <c r="H453" s="362">
        <f t="shared" si="275"/>
        <v>3.1409799999999998E-3</v>
      </c>
      <c r="I453" s="368">
        <f>H453/H457*$F457</f>
        <v>3.1409799999999994E-3</v>
      </c>
      <c r="J453" s="458">
        <f>labcap_sources!$G$131*labcap_sources!$G$128</f>
        <v>0.73888888888888893</v>
      </c>
      <c r="K453" s="362">
        <f>$H453*J453</f>
        <v>2.3208352222222222E-3</v>
      </c>
      <c r="L453" s="368">
        <f>K453/K457*$F457</f>
        <v>2.2958541958034372E-3</v>
      </c>
      <c r="M453" s="458">
        <f>labcap_sources!$H$131*labcap_sources!$H$128</f>
        <v>0.53333333333333333</v>
      </c>
      <c r="N453" s="362">
        <f>$H453*M453</f>
        <v>1.6751893333333333E-3</v>
      </c>
      <c r="O453" s="368">
        <f>N453/N457*$F457</f>
        <v>1.6628151392994719E-3</v>
      </c>
    </row>
    <row r="454" spans="1:15" x14ac:dyDescent="0.25">
      <c r="A454" s="2" t="s">
        <v>1203</v>
      </c>
      <c r="B454" s="5" t="s">
        <v>113</v>
      </c>
      <c r="C454" s="2" t="s">
        <v>112</v>
      </c>
      <c r="E454" s="241" t="s">
        <v>373</v>
      </c>
      <c r="F454" s="362">
        <f>opex_det!O$170</f>
        <v>3.2155441999999999E-2</v>
      </c>
      <c r="G454" s="458">
        <f>labcap_sources!$F$131*labcap_sources!$F$129</f>
        <v>1</v>
      </c>
      <c r="H454" s="362">
        <f t="shared" si="275"/>
        <v>3.2155441999999999E-2</v>
      </c>
      <c r="I454" s="368">
        <f>H454/H457*$F457</f>
        <v>3.2155441999999999E-2</v>
      </c>
      <c r="J454" s="458">
        <f>labcap_sources!$G$131*labcap_sources!$G$129</f>
        <v>0.92076923076923067</v>
      </c>
      <c r="K454" s="362">
        <f t="shared" ref="K454:K456" si="279">$H454*J454</f>
        <v>2.9607741595384613E-2</v>
      </c>
      <c r="L454" s="368">
        <f>K454/K457*$F457</f>
        <v>2.928904952801472E-2</v>
      </c>
      <c r="M454" s="458">
        <f>labcap_sources!$H$131*labcap_sources!$H$129</f>
        <v>0.68923076923076931</v>
      </c>
      <c r="N454" s="362">
        <f t="shared" ref="N454:N456" si="280">$H454*M454</f>
        <v>2.2162520024615388E-2</v>
      </c>
      <c r="O454" s="368">
        <f>N454/N457*$F457</f>
        <v>2.1998811172363901E-2</v>
      </c>
    </row>
    <row r="455" spans="1:15" x14ac:dyDescent="0.25">
      <c r="A455" s="2" t="s">
        <v>1203</v>
      </c>
      <c r="B455" s="5" t="s">
        <v>113</v>
      </c>
      <c r="C455" s="2" t="s">
        <v>112</v>
      </c>
      <c r="E455" s="241" t="s">
        <v>374</v>
      </c>
      <c r="F455" s="362">
        <f>opex_det!O$171</f>
        <v>2.6155127E-2</v>
      </c>
      <c r="G455" s="458">
        <f>labcap_sources!$F$131*labcap_sources!$F$130</f>
        <v>1</v>
      </c>
      <c r="H455" s="362">
        <f t="shared" si="275"/>
        <v>2.6155127E-2</v>
      </c>
      <c r="I455" s="368">
        <f>H455/H457*$F457</f>
        <v>2.6155127E-2</v>
      </c>
      <c r="J455" s="458">
        <f>labcap_sources!$G$131*labcap_sources!$G$130</f>
        <v>1.096153846153846</v>
      </c>
      <c r="K455" s="362">
        <f t="shared" si="279"/>
        <v>2.8670043057692305E-2</v>
      </c>
      <c r="L455" s="368">
        <f>K455/K457*$F457</f>
        <v>2.8361444198025675E-2</v>
      </c>
      <c r="M455" s="458">
        <f>labcap_sources!$H$131*labcap_sources!$H$130</f>
        <v>1.1692307692307693</v>
      </c>
      <c r="N455" s="362">
        <f t="shared" si="280"/>
        <v>3.0581379261538463E-2</v>
      </c>
      <c r="O455" s="368">
        <f>N455/N457*$F457</f>
        <v>3.0355482454965325E-2</v>
      </c>
    </row>
    <row r="456" spans="1:15" x14ac:dyDescent="0.25">
      <c r="A456" s="2" t="s">
        <v>1203</v>
      </c>
      <c r="B456" s="5" t="s">
        <v>113</v>
      </c>
      <c r="C456" s="2" t="s">
        <v>112</v>
      </c>
      <c r="E456" s="240" t="s">
        <v>375</v>
      </c>
      <c r="F456" s="362">
        <f>opex_det!O$172</f>
        <v>3.8896093999999999E-2</v>
      </c>
      <c r="G456" s="458">
        <f>labcap_sources!$F$132</f>
        <v>1</v>
      </c>
      <c r="H456" s="362">
        <f t="shared" si="275"/>
        <v>3.8896093999999999E-2</v>
      </c>
      <c r="I456" s="368">
        <f>H456/H457*$F457</f>
        <v>3.8896093999999999E-2</v>
      </c>
      <c r="J456" s="458">
        <f>labcap_sources!$G$132</f>
        <v>1.05</v>
      </c>
      <c r="K456" s="362">
        <f t="shared" si="279"/>
        <v>4.0840898700000003E-2</v>
      </c>
      <c r="L456" s="368">
        <f>K456/K457*$F457</f>
        <v>4.0401295078156166E-2</v>
      </c>
      <c r="M456" s="458">
        <f>labcap_sources!$H$132</f>
        <v>1.2</v>
      </c>
      <c r="N456" s="362">
        <f t="shared" si="280"/>
        <v>4.66753128E-2</v>
      </c>
      <c r="O456" s="368">
        <f>N456/N457*$F457</f>
        <v>4.6330534233371287E-2</v>
      </c>
    </row>
    <row r="457" spans="1:15" x14ac:dyDescent="0.25">
      <c r="A457" s="2" t="s">
        <v>1203</v>
      </c>
      <c r="B457" s="5" t="s">
        <v>113</v>
      </c>
      <c r="C457" s="2" t="s">
        <v>112</v>
      </c>
      <c r="E457" s="19" t="s">
        <v>1077</v>
      </c>
      <c r="F457" s="363">
        <f>SUM(F453:F456)</f>
        <v>0.100347643</v>
      </c>
      <c r="G457" s="458"/>
      <c r="H457" s="363">
        <f>SUM(H453:H456)</f>
        <v>0.100347643</v>
      </c>
      <c r="I457" s="363">
        <f>SUM(I453:I456)</f>
        <v>0.100347643</v>
      </c>
      <c r="J457" s="458"/>
      <c r="K457" s="363">
        <f>SUM(K453:K456)</f>
        <v>0.10143951857529915</v>
      </c>
      <c r="L457" s="363">
        <f>SUM(L453:L456)</f>
        <v>0.100347643</v>
      </c>
      <c r="M457" s="458"/>
      <c r="N457" s="363">
        <f>SUM(N453:N456)</f>
        <v>0.1010944014194872</v>
      </c>
      <c r="O457" s="363">
        <f>SUM(O453:O456)</f>
        <v>0.10034764299999999</v>
      </c>
    </row>
    <row r="458" spans="1:15" x14ac:dyDescent="0.25">
      <c r="A458" s="2" t="s">
        <v>1203</v>
      </c>
      <c r="B458" s="5" t="s">
        <v>113</v>
      </c>
      <c r="C458" s="2" t="s">
        <v>112</v>
      </c>
      <c r="E458" s="367" t="s">
        <v>1068</v>
      </c>
      <c r="F458" s="359">
        <f>opex_det!O$176</f>
        <v>1.62285E-4</v>
      </c>
      <c r="G458" s="458">
        <f>labcap_sources!$F$128</f>
        <v>1</v>
      </c>
      <c r="H458" s="369">
        <f t="shared" ref="H458:H467" si="281">$F458*G458</f>
        <v>1.62285E-4</v>
      </c>
      <c r="I458" s="357"/>
      <c r="J458" s="458">
        <f>labcap_sources!$G$128</f>
        <v>0.7777777777777779</v>
      </c>
      <c r="K458" s="369">
        <f>$H458*J458</f>
        <v>1.2622166666666668E-4</v>
      </c>
      <c r="L458" s="360"/>
      <c r="M458" s="458">
        <f>labcap_sources!$H$128</f>
        <v>0.66666666666666663</v>
      </c>
      <c r="N458" s="369">
        <f>$H458*M458</f>
        <v>1.0818999999999999E-4</v>
      </c>
      <c r="O458" s="360"/>
    </row>
    <row r="459" spans="1:15" x14ac:dyDescent="0.25">
      <c r="A459" s="2" t="s">
        <v>1203</v>
      </c>
      <c r="B459" s="5" t="s">
        <v>113</v>
      </c>
      <c r="C459" s="2" t="s">
        <v>112</v>
      </c>
      <c r="E459" s="367" t="s">
        <v>1069</v>
      </c>
      <c r="F459" s="359">
        <f>opex_det!O$177</f>
        <v>1.19431E-4</v>
      </c>
      <c r="G459" s="458">
        <f>labcap_sources!$F$128</f>
        <v>1</v>
      </c>
      <c r="H459" s="369">
        <f t="shared" si="281"/>
        <v>1.19431E-4</v>
      </c>
      <c r="I459" s="357"/>
      <c r="J459" s="458">
        <f>labcap_sources!$G$128</f>
        <v>0.7777777777777779</v>
      </c>
      <c r="K459" s="369">
        <f t="shared" ref="K459:K463" si="282">$H459*J459</f>
        <v>9.2890777777777798E-5</v>
      </c>
      <c r="L459" s="360"/>
      <c r="M459" s="458">
        <f>labcap_sources!$H$128</f>
        <v>0.66666666666666663</v>
      </c>
      <c r="N459" s="369">
        <f t="shared" ref="N459" si="283">$H459*M459</f>
        <v>7.9620666666666668E-5</v>
      </c>
      <c r="O459" s="360"/>
    </row>
    <row r="460" spans="1:15" x14ac:dyDescent="0.25">
      <c r="A460" s="2" t="s">
        <v>1203</v>
      </c>
      <c r="B460" s="5" t="s">
        <v>113</v>
      </c>
      <c r="C460" s="2" t="s">
        <v>112</v>
      </c>
      <c r="E460" s="367" t="s">
        <v>1070</v>
      </c>
      <c r="F460" s="359">
        <f>opex_det!O$178</f>
        <v>1.9616220000000001E-3</v>
      </c>
      <c r="G460" s="458">
        <f>labcap_sources!$F$129</f>
        <v>1</v>
      </c>
      <c r="H460" s="369">
        <f t="shared" si="281"/>
        <v>1.9616220000000001E-3</v>
      </c>
      <c r="I460" s="357"/>
      <c r="J460" s="458">
        <f>labcap_sources!$G$129</f>
        <v>0.96923076923076923</v>
      </c>
      <c r="K460" s="369">
        <f t="shared" si="282"/>
        <v>1.9012644000000001E-3</v>
      </c>
      <c r="L460" s="360"/>
      <c r="M460" s="458">
        <f>labcap_sources!$H$129</f>
        <v>0.86153846153846159</v>
      </c>
      <c r="N460" s="369">
        <f>$H460*M460</f>
        <v>1.6900128000000001E-3</v>
      </c>
      <c r="O460" s="360"/>
    </row>
    <row r="461" spans="1:15" x14ac:dyDescent="0.25">
      <c r="A461" s="2" t="s">
        <v>1203</v>
      </c>
      <c r="B461" s="5" t="s">
        <v>113</v>
      </c>
      <c r="C461" s="2" t="s">
        <v>112</v>
      </c>
      <c r="E461" s="367" t="s">
        <v>1071</v>
      </c>
      <c r="F461" s="359">
        <f>opex_det!O$179</f>
        <v>5.2594000000000002E-4</v>
      </c>
      <c r="G461" s="458">
        <f>labcap_sources!$F$129</f>
        <v>1</v>
      </c>
      <c r="H461" s="369">
        <f t="shared" si="281"/>
        <v>5.2594000000000002E-4</v>
      </c>
      <c r="I461" s="357"/>
      <c r="J461" s="458">
        <f>labcap_sources!$G$129</f>
        <v>0.96923076923076923</v>
      </c>
      <c r="K461" s="369">
        <f t="shared" si="282"/>
        <v>5.0975723076923077E-4</v>
      </c>
      <c r="L461" s="360"/>
      <c r="M461" s="458">
        <f>labcap_sources!$H$129</f>
        <v>0.86153846153846159</v>
      </c>
      <c r="N461" s="369">
        <f t="shared" ref="N461:N463" si="284">$H461*M461</f>
        <v>4.5311753846153849E-4</v>
      </c>
      <c r="O461" s="360"/>
    </row>
    <row r="462" spans="1:15" x14ac:dyDescent="0.25">
      <c r="A462" s="2" t="s">
        <v>1203</v>
      </c>
      <c r="B462" s="5" t="s">
        <v>113</v>
      </c>
      <c r="C462" s="2" t="s">
        <v>112</v>
      </c>
      <c r="E462" s="367" t="s">
        <v>1072</v>
      </c>
      <c r="F462" s="359">
        <f>opex_det!O$180</f>
        <v>7.7559799999999996E-4</v>
      </c>
      <c r="G462" s="458">
        <f>labcap_sources!$F$130</f>
        <v>1</v>
      </c>
      <c r="H462" s="369">
        <f t="shared" si="281"/>
        <v>7.7559799999999996E-4</v>
      </c>
      <c r="I462" s="357"/>
      <c r="J462" s="458">
        <f>labcap_sources!$G$130</f>
        <v>1.1538461538461537</v>
      </c>
      <c r="K462" s="369">
        <f t="shared" si="282"/>
        <v>8.9492076923076915E-4</v>
      </c>
      <c r="L462" s="360"/>
      <c r="M462" s="458">
        <f>labcap_sources!$H$130</f>
        <v>1.4615384615384615</v>
      </c>
      <c r="N462" s="369">
        <f t="shared" si="284"/>
        <v>1.1335663076923075E-3</v>
      </c>
      <c r="O462" s="360"/>
    </row>
    <row r="463" spans="1:15" x14ac:dyDescent="0.25">
      <c r="A463" s="2" t="s">
        <v>1203</v>
      </c>
      <c r="B463" s="5" t="s">
        <v>113</v>
      </c>
      <c r="C463" s="2" t="s">
        <v>112</v>
      </c>
      <c r="E463" s="367" t="s">
        <v>1073</v>
      </c>
      <c r="F463" s="359">
        <f>opex_det!O$181</f>
        <v>2.4867299999999998E-4</v>
      </c>
      <c r="G463" s="458">
        <f>labcap_sources!$F$130</f>
        <v>1</v>
      </c>
      <c r="H463" s="369">
        <f t="shared" si="281"/>
        <v>2.4867299999999998E-4</v>
      </c>
      <c r="I463" s="357"/>
      <c r="J463" s="458">
        <f>labcap_sources!$G$130</f>
        <v>1.1538461538461537</v>
      </c>
      <c r="K463" s="369">
        <f t="shared" si="282"/>
        <v>2.8693038461538459E-4</v>
      </c>
      <c r="L463" s="360"/>
      <c r="M463" s="458">
        <f>labcap_sources!$H$130</f>
        <v>1.4615384615384615</v>
      </c>
      <c r="N463" s="369">
        <f t="shared" si="284"/>
        <v>3.6344515384615381E-4</v>
      </c>
      <c r="O463" s="360"/>
    </row>
    <row r="464" spans="1:15" x14ac:dyDescent="0.25">
      <c r="A464" s="2" t="s">
        <v>1203</v>
      </c>
      <c r="B464" s="5" t="s">
        <v>115</v>
      </c>
      <c r="C464" s="2" t="s">
        <v>114</v>
      </c>
      <c r="E464" s="241" t="s">
        <v>372</v>
      </c>
      <c r="F464" s="362">
        <f>opex_det!P$169</f>
        <v>1.1379752E-2</v>
      </c>
      <c r="G464" s="458">
        <f>labcap_sources!$F$131*labcap_sources!$F$128</f>
        <v>1</v>
      </c>
      <c r="H464" s="362">
        <f t="shared" si="281"/>
        <v>1.1379752E-2</v>
      </c>
      <c r="I464" s="368">
        <f>H464/H468*$F468</f>
        <v>1.1379752E-2</v>
      </c>
      <c r="J464" s="458">
        <f>labcap_sources!$G$131*labcap_sources!$G$128</f>
        <v>0.73888888888888893</v>
      </c>
      <c r="K464" s="362">
        <f>$H464*J464</f>
        <v>8.4083723111111116E-3</v>
      </c>
      <c r="L464" s="368">
        <f>K464/K468*$F468</f>
        <v>8.3849783153547332E-3</v>
      </c>
      <c r="M464" s="458">
        <f>labcap_sources!$H$131*labcap_sources!$H$128</f>
        <v>0.53333333333333333</v>
      </c>
      <c r="N464" s="362">
        <f>$H464*M464</f>
        <v>6.0692010666666667E-3</v>
      </c>
      <c r="O464" s="368">
        <f>N464/N468*$F468</f>
        <v>6.1729830583496896E-3</v>
      </c>
    </row>
    <row r="465" spans="1:15" x14ac:dyDescent="0.25">
      <c r="A465" s="2" t="s">
        <v>1203</v>
      </c>
      <c r="B465" s="5" t="s">
        <v>115</v>
      </c>
      <c r="C465" s="2" t="s">
        <v>114</v>
      </c>
      <c r="E465" s="241" t="s">
        <v>373</v>
      </c>
      <c r="F465" s="362">
        <f>opex_det!P$170</f>
        <v>7.7338494999999993E-2</v>
      </c>
      <c r="G465" s="458">
        <f>labcap_sources!$F$131*labcap_sources!$F$129</f>
        <v>1</v>
      </c>
      <c r="H465" s="362">
        <f t="shared" si="281"/>
        <v>7.7338494999999993E-2</v>
      </c>
      <c r="I465" s="368">
        <f>H465/H468*$F468</f>
        <v>7.7338494999999993E-2</v>
      </c>
      <c r="J465" s="458">
        <f>labcap_sources!$G$131*labcap_sources!$G$129</f>
        <v>0.92076923076923067</v>
      </c>
      <c r="K465" s="362">
        <f t="shared" ref="K465:K467" si="285">$H465*J465</f>
        <v>7.121090654999998E-2</v>
      </c>
      <c r="L465" s="368">
        <f>K465/K468*$F468</f>
        <v>7.1012781683022205E-2</v>
      </c>
      <c r="M465" s="458">
        <f>labcap_sources!$H$131*labcap_sources!$H$129</f>
        <v>0.68923076923076931</v>
      </c>
      <c r="N465" s="362">
        <f t="shared" ref="N465:N467" si="286">$H465*M465</f>
        <v>5.33040704E-2</v>
      </c>
      <c r="O465" s="368">
        <f>N465/N468*$F468</f>
        <v>5.4215558177412256E-2</v>
      </c>
    </row>
    <row r="466" spans="1:15" x14ac:dyDescent="0.25">
      <c r="A466" s="2" t="s">
        <v>1203</v>
      </c>
      <c r="B466" s="5" t="s">
        <v>115</v>
      </c>
      <c r="C466" s="2" t="s">
        <v>114</v>
      </c>
      <c r="E466" s="241" t="s">
        <v>374</v>
      </c>
      <c r="F466" s="362">
        <f>opex_det!P$171</f>
        <v>6.2086834E-2</v>
      </c>
      <c r="G466" s="458">
        <f>labcap_sources!$F$131*labcap_sources!$F$130</f>
        <v>1</v>
      </c>
      <c r="H466" s="362">
        <f t="shared" si="281"/>
        <v>6.2086834E-2</v>
      </c>
      <c r="I466" s="368">
        <f>H466/H468*$F468</f>
        <v>6.2086834E-2</v>
      </c>
      <c r="J466" s="458">
        <f>labcap_sources!$G$131*labcap_sources!$G$130</f>
        <v>1.096153846153846</v>
      </c>
      <c r="K466" s="362">
        <f t="shared" si="285"/>
        <v>6.8056721884615382E-2</v>
      </c>
      <c r="L466" s="368">
        <f>K466/K468*$F468</f>
        <v>6.7867372673608428E-2</v>
      </c>
      <c r="M466" s="458">
        <f>labcap_sources!$H$131*labcap_sources!$H$130</f>
        <v>1.1692307692307693</v>
      </c>
      <c r="N466" s="362">
        <f t="shared" si="286"/>
        <v>7.2593836676923082E-2</v>
      </c>
      <c r="O466" s="368">
        <f>N466/N468*$F468</f>
        <v>7.3835175177903237E-2</v>
      </c>
    </row>
    <row r="467" spans="1:15" x14ac:dyDescent="0.25">
      <c r="A467" s="2" t="s">
        <v>1203</v>
      </c>
      <c r="B467" s="5" t="s">
        <v>115</v>
      </c>
      <c r="C467" s="2" t="s">
        <v>114</v>
      </c>
      <c r="E467" s="240" t="s">
        <v>375</v>
      </c>
      <c r="F467" s="362">
        <f>opex_det!P$172</f>
        <v>7.5192202999999999E-2</v>
      </c>
      <c r="G467" s="458">
        <f>labcap_sources!$F$132</f>
        <v>1</v>
      </c>
      <c r="H467" s="362">
        <f t="shared" si="281"/>
        <v>7.5192202999999999E-2</v>
      </c>
      <c r="I467" s="368">
        <f>H467/H468*$F468</f>
        <v>7.5192202999999999E-2</v>
      </c>
      <c r="J467" s="458">
        <f>labcap_sources!$G$132</f>
        <v>1.05</v>
      </c>
      <c r="K467" s="362">
        <f t="shared" si="285"/>
        <v>7.8951813150000008E-2</v>
      </c>
      <c r="L467" s="368">
        <f>K467/K468*$F468</f>
        <v>7.8732151328014699E-2</v>
      </c>
      <c r="M467" s="458">
        <f>labcap_sources!$H$132</f>
        <v>1.2</v>
      </c>
      <c r="N467" s="362">
        <f t="shared" si="286"/>
        <v>9.0230643599999993E-2</v>
      </c>
      <c r="O467" s="368">
        <f>N467/N468*$F468</f>
        <v>9.1773567586334828E-2</v>
      </c>
    </row>
    <row r="468" spans="1:15" x14ac:dyDescent="0.25">
      <c r="A468" s="2" t="s">
        <v>1203</v>
      </c>
      <c r="B468" s="5" t="s">
        <v>115</v>
      </c>
      <c r="C468" s="2" t="s">
        <v>114</v>
      </c>
      <c r="E468" s="19" t="s">
        <v>1077</v>
      </c>
      <c r="F468" s="363">
        <f>SUM(F464:F467)</f>
        <v>0.22599728400000002</v>
      </c>
      <c r="G468" s="458"/>
      <c r="H468" s="363">
        <f>SUM(H464:H467)</f>
        <v>0.22599728400000002</v>
      </c>
      <c r="I468" s="363">
        <f>SUM(I464:I467)</f>
        <v>0.22599728400000002</v>
      </c>
      <c r="J468" s="458"/>
      <c r="K468" s="363">
        <f>SUM(K464:K467)</f>
        <v>0.22662781389572645</v>
      </c>
      <c r="L468" s="363">
        <f>SUM(L464:L467)</f>
        <v>0.22599728400000008</v>
      </c>
      <c r="M468" s="458"/>
      <c r="N468" s="363">
        <f>SUM(N464:N467)</f>
        <v>0.22219775174358974</v>
      </c>
      <c r="O468" s="363">
        <f>SUM(O464:O467)</f>
        <v>0.22599728400000002</v>
      </c>
    </row>
    <row r="469" spans="1:15" x14ac:dyDescent="0.25">
      <c r="A469" s="2" t="s">
        <v>1203</v>
      </c>
      <c r="B469" s="5" t="s">
        <v>115</v>
      </c>
      <c r="C469" s="2" t="s">
        <v>114</v>
      </c>
      <c r="E469" s="367" t="s">
        <v>1068</v>
      </c>
      <c r="F469" s="359">
        <f>opex_det!P$176</f>
        <v>2.5577100000000001E-4</v>
      </c>
      <c r="G469" s="458">
        <f>labcap_sources!$F$128</f>
        <v>1</v>
      </c>
      <c r="H469" s="369">
        <f t="shared" ref="H469:H478" si="287">$F469*G469</f>
        <v>2.5577100000000001E-4</v>
      </c>
      <c r="I469" s="357"/>
      <c r="J469" s="458">
        <f>labcap_sources!$G$128</f>
        <v>0.7777777777777779</v>
      </c>
      <c r="K469" s="369">
        <f>$H469*J469</f>
        <v>1.9893300000000004E-4</v>
      </c>
      <c r="L469" s="360"/>
      <c r="M469" s="458">
        <f>labcap_sources!$H$128</f>
        <v>0.66666666666666663</v>
      </c>
      <c r="N469" s="369">
        <f>$H469*M469</f>
        <v>1.70514E-4</v>
      </c>
      <c r="O469" s="360"/>
    </row>
    <row r="470" spans="1:15" x14ac:dyDescent="0.25">
      <c r="A470" s="2" t="s">
        <v>1203</v>
      </c>
      <c r="B470" s="5" t="s">
        <v>115</v>
      </c>
      <c r="C470" s="2" t="s">
        <v>114</v>
      </c>
      <c r="E470" s="367" t="s">
        <v>1069</v>
      </c>
      <c r="F470" s="359">
        <f>opex_det!P$177</f>
        <v>1.363036E-3</v>
      </c>
      <c r="G470" s="458">
        <f>labcap_sources!$F$128</f>
        <v>1</v>
      </c>
      <c r="H470" s="369">
        <f t="shared" si="287"/>
        <v>1.363036E-3</v>
      </c>
      <c r="I470" s="357"/>
      <c r="J470" s="458">
        <f>labcap_sources!$G$128</f>
        <v>0.7777777777777779</v>
      </c>
      <c r="K470" s="369">
        <f t="shared" ref="K470:K474" si="288">$H470*J470</f>
        <v>1.0601391111111113E-3</v>
      </c>
      <c r="L470" s="360"/>
      <c r="M470" s="458">
        <f>labcap_sources!$H$128</f>
        <v>0.66666666666666663</v>
      </c>
      <c r="N470" s="369">
        <f t="shared" ref="N470" si="289">$H470*M470</f>
        <v>9.0869066666666662E-4</v>
      </c>
      <c r="O470" s="360"/>
    </row>
    <row r="471" spans="1:15" x14ac:dyDescent="0.25">
      <c r="A471" s="2" t="s">
        <v>1203</v>
      </c>
      <c r="B471" s="5" t="s">
        <v>115</v>
      </c>
      <c r="C471" s="2" t="s">
        <v>114</v>
      </c>
      <c r="E471" s="367" t="s">
        <v>1070</v>
      </c>
      <c r="F471" s="359">
        <f>opex_det!P$178</f>
        <v>3.2244959999999999E-3</v>
      </c>
      <c r="G471" s="458">
        <f>labcap_sources!$F$129</f>
        <v>1</v>
      </c>
      <c r="H471" s="369">
        <f t="shared" si="287"/>
        <v>3.2244959999999999E-3</v>
      </c>
      <c r="I471" s="357"/>
      <c r="J471" s="458">
        <f>labcap_sources!$G$129</f>
        <v>0.96923076923076923</v>
      </c>
      <c r="K471" s="369">
        <f t="shared" si="288"/>
        <v>3.1252807384615383E-3</v>
      </c>
      <c r="L471" s="360"/>
      <c r="M471" s="458">
        <f>labcap_sources!$H$129</f>
        <v>0.86153846153846159</v>
      </c>
      <c r="N471" s="369">
        <f>$H471*M471</f>
        <v>2.778027323076923E-3</v>
      </c>
      <c r="O471" s="360"/>
    </row>
    <row r="472" spans="1:15" x14ac:dyDescent="0.25">
      <c r="A472" s="2" t="s">
        <v>1203</v>
      </c>
      <c r="B472" s="5" t="s">
        <v>115</v>
      </c>
      <c r="C472" s="2" t="s">
        <v>114</v>
      </c>
      <c r="E472" s="367" t="s">
        <v>1071</v>
      </c>
      <c r="F472" s="359">
        <f>opex_det!P$179</f>
        <v>5.6798869999999998E-3</v>
      </c>
      <c r="G472" s="458">
        <f>labcap_sources!$F$129</f>
        <v>1</v>
      </c>
      <c r="H472" s="369">
        <f t="shared" si="287"/>
        <v>5.6798869999999998E-3</v>
      </c>
      <c r="I472" s="357"/>
      <c r="J472" s="458">
        <f>labcap_sources!$G$129</f>
        <v>0.96923076923076923</v>
      </c>
      <c r="K472" s="369">
        <f t="shared" si="288"/>
        <v>5.5051212461538455E-3</v>
      </c>
      <c r="L472" s="360"/>
      <c r="M472" s="458">
        <f>labcap_sources!$H$129</f>
        <v>0.86153846153846159</v>
      </c>
      <c r="N472" s="369">
        <f t="shared" ref="N472:N474" si="290">$H472*M472</f>
        <v>4.8934411076923074E-3</v>
      </c>
      <c r="O472" s="360"/>
    </row>
    <row r="473" spans="1:15" x14ac:dyDescent="0.25">
      <c r="A473" s="2" t="s">
        <v>1203</v>
      </c>
      <c r="B473" s="5" t="s">
        <v>115</v>
      </c>
      <c r="C473" s="2" t="s">
        <v>114</v>
      </c>
      <c r="E473" s="367" t="s">
        <v>1072</v>
      </c>
      <c r="F473" s="359">
        <f>opex_det!P$180</f>
        <v>1.263894E-3</v>
      </c>
      <c r="G473" s="458">
        <f>labcap_sources!$F$130</f>
        <v>1</v>
      </c>
      <c r="H473" s="369">
        <f t="shared" si="287"/>
        <v>1.263894E-3</v>
      </c>
      <c r="I473" s="357"/>
      <c r="J473" s="458">
        <f>labcap_sources!$G$130</f>
        <v>1.1538461538461537</v>
      </c>
      <c r="K473" s="369">
        <f t="shared" si="288"/>
        <v>1.4583392307692307E-3</v>
      </c>
      <c r="L473" s="360"/>
      <c r="M473" s="458">
        <f>labcap_sources!$H$130</f>
        <v>1.4615384615384615</v>
      </c>
      <c r="N473" s="369">
        <f t="shared" si="290"/>
        <v>1.8472296923076922E-3</v>
      </c>
      <c r="O473" s="360"/>
    </row>
    <row r="474" spans="1:15" x14ac:dyDescent="0.25">
      <c r="A474" s="2" t="s">
        <v>1203</v>
      </c>
      <c r="B474" s="5" t="s">
        <v>115</v>
      </c>
      <c r="C474" s="2" t="s">
        <v>114</v>
      </c>
      <c r="E474" s="367" t="s">
        <v>1073</v>
      </c>
      <c r="F474" s="359">
        <f>opex_det!P$181</f>
        <v>1.935825E-3</v>
      </c>
      <c r="G474" s="458">
        <f>labcap_sources!$F$130</f>
        <v>1</v>
      </c>
      <c r="H474" s="369">
        <f t="shared" si="287"/>
        <v>1.935825E-3</v>
      </c>
      <c r="I474" s="357"/>
      <c r="J474" s="458">
        <f>labcap_sources!$G$130</f>
        <v>1.1538461538461537</v>
      </c>
      <c r="K474" s="369">
        <f t="shared" si="288"/>
        <v>2.2336442307692305E-3</v>
      </c>
      <c r="L474" s="360"/>
      <c r="M474" s="458">
        <f>labcap_sources!$H$130</f>
        <v>1.4615384615384615</v>
      </c>
      <c r="N474" s="369">
        <f t="shared" si="290"/>
        <v>2.8292826923076919E-3</v>
      </c>
      <c r="O474" s="360"/>
    </row>
    <row r="475" spans="1:15" x14ac:dyDescent="0.25">
      <c r="A475" s="2" t="s">
        <v>1203</v>
      </c>
      <c r="B475" s="5" t="s">
        <v>117</v>
      </c>
      <c r="C475" s="2" t="s">
        <v>116</v>
      </c>
      <c r="E475" s="241" t="s">
        <v>372</v>
      </c>
      <c r="F475" s="362">
        <f>opex_det!Q$169</f>
        <v>1.2001839E-2</v>
      </c>
      <c r="G475" s="458">
        <f>labcap_sources!$F$131*labcap_sources!$F$128</f>
        <v>1</v>
      </c>
      <c r="H475" s="362">
        <f t="shared" si="287"/>
        <v>1.2001839E-2</v>
      </c>
      <c r="I475" s="368">
        <f>H475/H479*$F479</f>
        <v>1.2001839E-2</v>
      </c>
      <c r="J475" s="458">
        <f>labcap_sources!$G$131*labcap_sources!$G$128</f>
        <v>0.73888888888888893</v>
      </c>
      <c r="K475" s="362">
        <f>$H475*J475</f>
        <v>8.8680254833333333E-3</v>
      </c>
      <c r="L475" s="368">
        <f>K475/K479*$F479</f>
        <v>8.9530899602950353E-3</v>
      </c>
      <c r="M475" s="458">
        <f>labcap_sources!$H$131*labcap_sources!$H$128</f>
        <v>0.53333333333333333</v>
      </c>
      <c r="N475" s="362">
        <f>$H475*M475</f>
        <v>6.4009808E-3</v>
      </c>
      <c r="O475" s="368">
        <f>N475/N479*$F479</f>
        <v>6.8072122284157707E-3</v>
      </c>
    </row>
    <row r="476" spans="1:15" x14ac:dyDescent="0.25">
      <c r="A476" s="2" t="s">
        <v>1203</v>
      </c>
      <c r="B476" s="5" t="s">
        <v>117</v>
      </c>
      <c r="C476" s="2" t="s">
        <v>116</v>
      </c>
      <c r="E476" s="241" t="s">
        <v>373</v>
      </c>
      <c r="F476" s="362">
        <f>opex_det!Q$170</f>
        <v>6.3284425000000005E-2</v>
      </c>
      <c r="G476" s="458">
        <f>labcap_sources!$F$131*labcap_sources!$F$129</f>
        <v>1</v>
      </c>
      <c r="H476" s="362">
        <f t="shared" si="287"/>
        <v>6.3284425000000005E-2</v>
      </c>
      <c r="I476" s="368">
        <f>H476/H479*$F479</f>
        <v>6.3284425000000005E-2</v>
      </c>
      <c r="J476" s="458">
        <f>labcap_sources!$G$131*labcap_sources!$G$129</f>
        <v>0.92076923076923067</v>
      </c>
      <c r="K476" s="362">
        <f t="shared" ref="K476:K478" si="291">$H476*J476</f>
        <v>5.8270351326923077E-2</v>
      </c>
      <c r="L476" s="368">
        <f>K476/K479*$F479</f>
        <v>5.8829296152613425E-2</v>
      </c>
      <c r="M476" s="458">
        <f>labcap_sources!$H$131*labcap_sources!$H$129</f>
        <v>0.68923076923076931</v>
      </c>
      <c r="N476" s="362">
        <f t="shared" ref="N476:N478" si="292">$H476*M476</f>
        <v>4.3617572923076935E-2</v>
      </c>
      <c r="O476" s="368">
        <f>N476/N479*$F479</f>
        <v>4.6385715729031073E-2</v>
      </c>
    </row>
    <row r="477" spans="1:15" x14ac:dyDescent="0.25">
      <c r="A477" s="2" t="s">
        <v>1203</v>
      </c>
      <c r="B477" s="5" t="s">
        <v>117</v>
      </c>
      <c r="C477" s="2" t="s">
        <v>116</v>
      </c>
      <c r="E477" s="241" t="s">
        <v>374</v>
      </c>
      <c r="F477" s="362">
        <f>opex_det!Q$171</f>
        <v>5.0227645000000001E-2</v>
      </c>
      <c r="G477" s="458">
        <f>labcap_sources!$F$131*labcap_sources!$F$130</f>
        <v>1</v>
      </c>
      <c r="H477" s="362">
        <f t="shared" si="287"/>
        <v>5.0227645000000001E-2</v>
      </c>
      <c r="I477" s="368">
        <f>H477/H479*$F479</f>
        <v>5.0227645000000001E-2</v>
      </c>
      <c r="J477" s="458">
        <f>labcap_sources!$G$131*labcap_sources!$G$130</f>
        <v>1.096153846153846</v>
      </c>
      <c r="K477" s="362">
        <f t="shared" si="291"/>
        <v>5.5057226249999994E-2</v>
      </c>
      <c r="L477" s="368">
        <f>K477/K479*$F479</f>
        <v>5.5585349918873109E-2</v>
      </c>
      <c r="M477" s="458">
        <f>labcap_sources!$H$131*labcap_sources!$H$130</f>
        <v>1.1692307692307693</v>
      </c>
      <c r="N477" s="362">
        <f t="shared" si="292"/>
        <v>5.8727708000000003E-2</v>
      </c>
      <c r="O477" s="368">
        <f>N477/N479*$F479</f>
        <v>6.2454799433929051E-2</v>
      </c>
    </row>
    <row r="478" spans="1:15" x14ac:dyDescent="0.25">
      <c r="A478" s="2" t="s">
        <v>1203</v>
      </c>
      <c r="B478" s="5" t="s">
        <v>117</v>
      </c>
      <c r="C478" s="2" t="s">
        <v>116</v>
      </c>
      <c r="E478" s="240" t="s">
        <v>375</v>
      </c>
      <c r="F478" s="362">
        <f>opex_det!Q$172</f>
        <v>3.5726748000000003E-2</v>
      </c>
      <c r="G478" s="458">
        <f>labcap_sources!$F$132</f>
        <v>1</v>
      </c>
      <c r="H478" s="362">
        <f t="shared" si="287"/>
        <v>3.5726748000000003E-2</v>
      </c>
      <c r="I478" s="368">
        <f>H478/H479*$F479</f>
        <v>3.5726748000000003E-2</v>
      </c>
      <c r="J478" s="458">
        <f>labcap_sources!$G$132</f>
        <v>1.05</v>
      </c>
      <c r="K478" s="362">
        <f t="shared" si="291"/>
        <v>3.7513085400000007E-2</v>
      </c>
      <c r="L478" s="368">
        <f>K478/K479*$F479</f>
        <v>3.787292096821842E-2</v>
      </c>
      <c r="M478" s="458">
        <f>labcap_sources!$H$132</f>
        <v>1.2</v>
      </c>
      <c r="N478" s="362">
        <f t="shared" si="292"/>
        <v>4.2872097599999999E-2</v>
      </c>
      <c r="O478" s="368">
        <f>N478/N479*$F479</f>
        <v>4.5592929608624107E-2</v>
      </c>
    </row>
    <row r="479" spans="1:15" x14ac:dyDescent="0.25">
      <c r="A479" s="2" t="s">
        <v>1203</v>
      </c>
      <c r="B479" s="5" t="s">
        <v>117</v>
      </c>
      <c r="C479" s="2" t="s">
        <v>116</v>
      </c>
      <c r="E479" s="19" t="s">
        <v>1077</v>
      </c>
      <c r="F479" s="363">
        <f>SUM(F475:F478)</f>
        <v>0.16124065700000001</v>
      </c>
      <c r="G479" s="458"/>
      <c r="H479" s="363">
        <f>SUM(H475:H478)</f>
        <v>0.16124065700000001</v>
      </c>
      <c r="I479" s="363">
        <f>SUM(I475:I478)</f>
        <v>0.16124065700000001</v>
      </c>
      <c r="J479" s="458"/>
      <c r="K479" s="363">
        <f>SUM(K475:K478)</f>
        <v>0.15970868846025643</v>
      </c>
      <c r="L479" s="363">
        <f>SUM(L475:L478)</f>
        <v>0.16124065699999998</v>
      </c>
      <c r="M479" s="458"/>
      <c r="N479" s="363">
        <f>SUM(N475:N478)</f>
        <v>0.15161835932307693</v>
      </c>
      <c r="O479" s="363">
        <f>SUM(O475:O478)</f>
        <v>0.16124065700000001</v>
      </c>
    </row>
    <row r="480" spans="1:15" x14ac:dyDescent="0.25">
      <c r="A480" s="2" t="s">
        <v>1203</v>
      </c>
      <c r="B480" s="5" t="s">
        <v>117</v>
      </c>
      <c r="C480" s="2" t="s">
        <v>116</v>
      </c>
      <c r="E480" s="367" t="s">
        <v>1068</v>
      </c>
      <c r="F480" s="359">
        <f>opex_det!Q$176</f>
        <v>8.42E-5</v>
      </c>
      <c r="G480" s="458">
        <f>labcap_sources!$F$128</f>
        <v>1</v>
      </c>
      <c r="H480" s="369">
        <f t="shared" ref="H480:H489" si="293">$F480*G480</f>
        <v>8.42E-5</v>
      </c>
      <c r="I480" s="357"/>
      <c r="J480" s="458">
        <f>labcap_sources!$G$128</f>
        <v>0.7777777777777779</v>
      </c>
      <c r="K480" s="369">
        <f>$H480*J480</f>
        <v>6.5488888888888894E-5</v>
      </c>
      <c r="L480" s="360"/>
      <c r="M480" s="458">
        <f>labcap_sources!$H$128</f>
        <v>0.66666666666666663</v>
      </c>
      <c r="N480" s="369">
        <f>$H480*M480</f>
        <v>5.6133333333333333E-5</v>
      </c>
      <c r="O480" s="360"/>
    </row>
    <row r="481" spans="1:15" x14ac:dyDescent="0.25">
      <c r="A481" s="2" t="s">
        <v>1203</v>
      </c>
      <c r="B481" s="5" t="s">
        <v>117</v>
      </c>
      <c r="C481" s="2" t="s">
        <v>116</v>
      </c>
      <c r="E481" s="367" t="s">
        <v>1069</v>
      </c>
      <c r="F481" s="359">
        <f>opex_det!Q$177</f>
        <v>1.9075419999999999E-3</v>
      </c>
      <c r="G481" s="458">
        <f>labcap_sources!$F$128</f>
        <v>1</v>
      </c>
      <c r="H481" s="369">
        <f t="shared" si="293"/>
        <v>1.9075419999999999E-3</v>
      </c>
      <c r="I481" s="357"/>
      <c r="J481" s="458">
        <f>labcap_sources!$G$128</f>
        <v>0.7777777777777779</v>
      </c>
      <c r="K481" s="369">
        <f t="shared" ref="K481:K485" si="294">$H481*J481</f>
        <v>1.4836437777777779E-3</v>
      </c>
      <c r="L481" s="360"/>
      <c r="M481" s="458">
        <f>labcap_sources!$H$128</f>
        <v>0.66666666666666663</v>
      </c>
      <c r="N481" s="369">
        <f t="shared" ref="N481" si="295">$H481*M481</f>
        <v>1.2716946666666666E-3</v>
      </c>
      <c r="O481" s="360"/>
    </row>
    <row r="482" spans="1:15" x14ac:dyDescent="0.25">
      <c r="A482" s="2" t="s">
        <v>1203</v>
      </c>
      <c r="B482" s="5" t="s">
        <v>117</v>
      </c>
      <c r="C482" s="2" t="s">
        <v>116</v>
      </c>
      <c r="E482" s="367" t="s">
        <v>1070</v>
      </c>
      <c r="F482" s="359">
        <f>opex_det!Q$178</f>
        <v>9.9462800000000001E-4</v>
      </c>
      <c r="G482" s="458">
        <f>labcap_sources!$F$129</f>
        <v>1</v>
      </c>
      <c r="H482" s="369">
        <f t="shared" si="293"/>
        <v>9.9462800000000001E-4</v>
      </c>
      <c r="I482" s="357"/>
      <c r="J482" s="458">
        <f>labcap_sources!$G$129</f>
        <v>0.96923076923076923</v>
      </c>
      <c r="K482" s="369">
        <f t="shared" si="294"/>
        <v>9.6402406153846157E-4</v>
      </c>
      <c r="L482" s="360"/>
      <c r="M482" s="458">
        <f>labcap_sources!$H$129</f>
        <v>0.86153846153846159</v>
      </c>
      <c r="N482" s="369">
        <f>$H482*M482</f>
        <v>8.5691027692307692E-4</v>
      </c>
      <c r="O482" s="360"/>
    </row>
    <row r="483" spans="1:15" x14ac:dyDescent="0.25">
      <c r="A483" s="2" t="s">
        <v>1203</v>
      </c>
      <c r="B483" s="5" t="s">
        <v>117</v>
      </c>
      <c r="C483" s="2" t="s">
        <v>116</v>
      </c>
      <c r="E483" s="367" t="s">
        <v>1071</v>
      </c>
      <c r="F483" s="359">
        <f>opex_det!Q$179</f>
        <v>7.9488920000000008E-3</v>
      </c>
      <c r="G483" s="458">
        <f>labcap_sources!$F$129</f>
        <v>1</v>
      </c>
      <c r="H483" s="369">
        <f t="shared" si="293"/>
        <v>7.9488920000000008E-3</v>
      </c>
      <c r="I483" s="357"/>
      <c r="J483" s="458">
        <f>labcap_sources!$G$129</f>
        <v>0.96923076923076923</v>
      </c>
      <c r="K483" s="369">
        <f t="shared" si="294"/>
        <v>7.7043107076923082E-3</v>
      </c>
      <c r="L483" s="360"/>
      <c r="M483" s="458">
        <f>labcap_sources!$H$129</f>
        <v>0.86153846153846159</v>
      </c>
      <c r="N483" s="369">
        <f t="shared" ref="N483:N485" si="296">$H483*M483</f>
        <v>6.8482761846153858E-3</v>
      </c>
      <c r="O483" s="360"/>
    </row>
    <row r="484" spans="1:15" x14ac:dyDescent="0.25">
      <c r="A484" s="2" t="s">
        <v>1203</v>
      </c>
      <c r="B484" s="5" t="s">
        <v>117</v>
      </c>
      <c r="C484" s="2" t="s">
        <v>116</v>
      </c>
      <c r="E484" s="367" t="s">
        <v>1072</v>
      </c>
      <c r="F484" s="359">
        <f>opex_det!Q$180</f>
        <v>2.9268700000000003E-4</v>
      </c>
      <c r="G484" s="458">
        <f>labcap_sources!$F$130</f>
        <v>1</v>
      </c>
      <c r="H484" s="369">
        <f t="shared" si="293"/>
        <v>2.9268700000000003E-4</v>
      </c>
      <c r="I484" s="357"/>
      <c r="J484" s="458">
        <f>labcap_sources!$G$130</f>
        <v>1.1538461538461537</v>
      </c>
      <c r="K484" s="369">
        <f t="shared" si="294"/>
        <v>3.3771576923076924E-4</v>
      </c>
      <c r="L484" s="360"/>
      <c r="M484" s="458">
        <f>labcap_sources!$H$130</f>
        <v>1.4615384615384615</v>
      </c>
      <c r="N484" s="369">
        <f t="shared" si="296"/>
        <v>4.2777330769230772E-4</v>
      </c>
      <c r="O484" s="360"/>
    </row>
    <row r="485" spans="1:15" x14ac:dyDescent="0.25">
      <c r="A485" s="2" t="s">
        <v>1203</v>
      </c>
      <c r="B485" s="5" t="s">
        <v>117</v>
      </c>
      <c r="C485" s="2" t="s">
        <v>116</v>
      </c>
      <c r="E485" s="367" t="s">
        <v>1073</v>
      </c>
      <c r="F485" s="359">
        <f>opex_det!Q$181</f>
        <v>2.4432199999999999E-3</v>
      </c>
      <c r="G485" s="458">
        <f>labcap_sources!$F$130</f>
        <v>1</v>
      </c>
      <c r="H485" s="369">
        <f t="shared" si="293"/>
        <v>2.4432199999999999E-3</v>
      </c>
      <c r="I485" s="357"/>
      <c r="J485" s="458">
        <f>labcap_sources!$G$130</f>
        <v>1.1538461538461537</v>
      </c>
      <c r="K485" s="369">
        <f t="shared" si="294"/>
        <v>2.8190999999999997E-3</v>
      </c>
      <c r="L485" s="360"/>
      <c r="M485" s="458">
        <f>labcap_sources!$H$130</f>
        <v>1.4615384615384615</v>
      </c>
      <c r="N485" s="369">
        <f t="shared" si="296"/>
        <v>3.5708599999999995E-3</v>
      </c>
      <c r="O485" s="360"/>
    </row>
    <row r="486" spans="1:15" x14ac:dyDescent="0.25">
      <c r="A486" s="2" t="s">
        <v>1203</v>
      </c>
      <c r="B486" s="5" t="s">
        <v>119</v>
      </c>
      <c r="C486" s="2" t="s">
        <v>118</v>
      </c>
      <c r="E486" s="241" t="s">
        <v>372</v>
      </c>
      <c r="F486" s="362">
        <f>opex_det!R$169</f>
        <v>5.7799210000000004E-3</v>
      </c>
      <c r="G486" s="458">
        <f>labcap_sources!$F$131*labcap_sources!$F$128</f>
        <v>1</v>
      </c>
      <c r="H486" s="362">
        <f t="shared" si="293"/>
        <v>5.7799210000000004E-3</v>
      </c>
      <c r="I486" s="368">
        <f>H486/H490*$F490</f>
        <v>5.7799210000000004E-3</v>
      </c>
      <c r="J486" s="458">
        <f>labcap_sources!$G$131*labcap_sources!$G$128</f>
        <v>0.73888888888888893</v>
      </c>
      <c r="K486" s="362">
        <f>$H486*J486</f>
        <v>4.2707194055555562E-3</v>
      </c>
      <c r="L486" s="368">
        <f>K486/K490*$F490</f>
        <v>4.2965376149899544E-3</v>
      </c>
      <c r="M486" s="458">
        <f>labcap_sources!$H$131*labcap_sources!$H$128</f>
        <v>0.53333333333333333</v>
      </c>
      <c r="N486" s="362">
        <f>$H486*M486</f>
        <v>3.0826245333333336E-3</v>
      </c>
      <c r="O486" s="368">
        <f>N486/N490*$F490</f>
        <v>3.261268468612986E-3</v>
      </c>
    </row>
    <row r="487" spans="1:15" x14ac:dyDescent="0.25">
      <c r="A487" s="2" t="s">
        <v>1203</v>
      </c>
      <c r="B487" s="5" t="s">
        <v>119</v>
      </c>
      <c r="C487" s="2" t="s">
        <v>118</v>
      </c>
      <c r="E487" s="241" t="s">
        <v>373</v>
      </c>
      <c r="F487" s="362">
        <f>opex_det!R$170</f>
        <v>3.7369977999999998E-2</v>
      </c>
      <c r="G487" s="458">
        <f>labcap_sources!$F$131*labcap_sources!$F$129</f>
        <v>1</v>
      </c>
      <c r="H487" s="362">
        <f t="shared" si="293"/>
        <v>3.7369977999999998E-2</v>
      </c>
      <c r="I487" s="368">
        <f>H487/H490*$F490</f>
        <v>3.7369977999999998E-2</v>
      </c>
      <c r="J487" s="458">
        <f>labcap_sources!$G$131*labcap_sources!$G$129</f>
        <v>0.92076923076923067</v>
      </c>
      <c r="K487" s="362">
        <f t="shared" ref="K487:K489" si="297">$H487*J487</f>
        <v>3.4409125896923069E-2</v>
      </c>
      <c r="L487" s="368">
        <f>K487/K490*$F490</f>
        <v>3.4617142845474104E-2</v>
      </c>
      <c r="M487" s="458">
        <f>labcap_sources!$H$131*labcap_sources!$H$129</f>
        <v>0.68923076923076931</v>
      </c>
      <c r="N487" s="362">
        <f t="shared" ref="N487:N489" si="298">$H487*M487</f>
        <v>2.5756538683076924E-2</v>
      </c>
      <c r="O487" s="368">
        <f>N487/N490*$F490</f>
        <v>2.7249178925108603E-2</v>
      </c>
    </row>
    <row r="488" spans="1:15" x14ac:dyDescent="0.25">
      <c r="A488" s="2" t="s">
        <v>1203</v>
      </c>
      <c r="B488" s="5" t="s">
        <v>119</v>
      </c>
      <c r="C488" s="2" t="s">
        <v>118</v>
      </c>
      <c r="E488" s="241" t="s">
        <v>374</v>
      </c>
      <c r="F488" s="362">
        <f>opex_det!R$171</f>
        <v>2.9940085000000002E-2</v>
      </c>
      <c r="G488" s="458">
        <f>labcap_sources!$F$131*labcap_sources!$F$130</f>
        <v>1</v>
      </c>
      <c r="H488" s="362">
        <f t="shared" si="293"/>
        <v>2.9940085000000002E-2</v>
      </c>
      <c r="I488" s="368">
        <f>H488/H490*$F490</f>
        <v>2.9940085000000002E-2</v>
      </c>
      <c r="J488" s="458">
        <f>labcap_sources!$G$131*labcap_sources!$G$130</f>
        <v>1.096153846153846</v>
      </c>
      <c r="K488" s="362">
        <f t="shared" si="297"/>
        <v>3.2818939326923077E-2</v>
      </c>
      <c r="L488" s="368">
        <f>K488/K490*$F490</f>
        <v>3.3017342960712522E-2</v>
      </c>
      <c r="M488" s="458">
        <f>labcap_sources!$H$131*labcap_sources!$H$130</f>
        <v>1.1692307692307693</v>
      </c>
      <c r="N488" s="362">
        <f t="shared" si="298"/>
        <v>3.5006868615384622E-2</v>
      </c>
      <c r="O488" s="368">
        <f>N488/N490*$F490</f>
        <v>3.7035583012368832E-2</v>
      </c>
    </row>
    <row r="489" spans="1:15" x14ac:dyDescent="0.25">
      <c r="A489" s="2" t="s">
        <v>1203</v>
      </c>
      <c r="B489" s="5" t="s">
        <v>119</v>
      </c>
      <c r="C489" s="2" t="s">
        <v>118</v>
      </c>
      <c r="E489" s="240" t="s">
        <v>375</v>
      </c>
      <c r="F489" s="362">
        <f>opex_det!R$172</f>
        <v>2.0568030000000001E-2</v>
      </c>
      <c r="G489" s="458">
        <f>labcap_sources!$F$132</f>
        <v>1</v>
      </c>
      <c r="H489" s="362">
        <f t="shared" si="293"/>
        <v>2.0568030000000001E-2</v>
      </c>
      <c r="I489" s="368">
        <f>H489/H490*$F490</f>
        <v>2.0568030000000001E-2</v>
      </c>
      <c r="J489" s="458">
        <f>labcap_sources!$G$132</f>
        <v>1.05</v>
      </c>
      <c r="K489" s="362">
        <f t="shared" si="297"/>
        <v>2.1596431500000002E-2</v>
      </c>
      <c r="L489" s="368">
        <f>K489/K490*$F490</f>
        <v>2.1726990578823421E-2</v>
      </c>
      <c r="M489" s="458">
        <f>labcap_sources!$H$132</f>
        <v>1.2</v>
      </c>
      <c r="N489" s="362">
        <f t="shared" si="298"/>
        <v>2.4681636E-2</v>
      </c>
      <c r="O489" s="368">
        <f>N489/N490*$F490</f>
        <v>2.6111983593909566E-2</v>
      </c>
    </row>
    <row r="490" spans="1:15" x14ac:dyDescent="0.25">
      <c r="A490" s="2" t="s">
        <v>1203</v>
      </c>
      <c r="B490" s="5" t="s">
        <v>119</v>
      </c>
      <c r="C490" s="2" t="s">
        <v>118</v>
      </c>
      <c r="E490" s="19" t="s">
        <v>1077</v>
      </c>
      <c r="F490" s="363">
        <f>SUM(F486:F489)</f>
        <v>9.3658013999999998E-2</v>
      </c>
      <c r="G490" s="458"/>
      <c r="H490" s="363">
        <f>SUM(H486:H489)</f>
        <v>9.3658013999999998E-2</v>
      </c>
      <c r="I490" s="363">
        <f>SUM(I486:I489)</f>
        <v>9.3658013999999998E-2</v>
      </c>
      <c r="J490" s="458"/>
      <c r="K490" s="363">
        <f>SUM(K486:K489)</f>
        <v>9.3095216129401706E-2</v>
      </c>
      <c r="L490" s="363">
        <f>SUM(L486:L489)</f>
        <v>9.3658013999999998E-2</v>
      </c>
      <c r="M490" s="458"/>
      <c r="N490" s="363">
        <f>SUM(N486:N489)</f>
        <v>8.8527667831794887E-2</v>
      </c>
      <c r="O490" s="363">
        <f>SUM(O486:O489)</f>
        <v>9.3658013999999984E-2</v>
      </c>
    </row>
    <row r="491" spans="1:15" x14ac:dyDescent="0.25">
      <c r="A491" s="2" t="s">
        <v>1203</v>
      </c>
      <c r="B491" s="5" t="s">
        <v>119</v>
      </c>
      <c r="C491" s="2" t="s">
        <v>118</v>
      </c>
      <c r="E491" s="367" t="s">
        <v>1068</v>
      </c>
      <c r="F491" s="359">
        <f>opex_det!R$176</f>
        <v>1.81015E-4</v>
      </c>
      <c r="G491" s="458">
        <f>labcap_sources!$F$128</f>
        <v>1</v>
      </c>
      <c r="H491" s="369">
        <f t="shared" ref="H491:H500" si="299">$F491*G491</f>
        <v>1.81015E-4</v>
      </c>
      <c r="I491" s="357"/>
      <c r="J491" s="458">
        <f>labcap_sources!$G$128</f>
        <v>0.7777777777777779</v>
      </c>
      <c r="K491" s="369">
        <f>$H491*J491</f>
        <v>1.4078944444444446E-4</v>
      </c>
      <c r="L491" s="360"/>
      <c r="M491" s="458">
        <f>labcap_sources!$H$128</f>
        <v>0.66666666666666663</v>
      </c>
      <c r="N491" s="369">
        <f>$H491*M491</f>
        <v>1.2067666666666666E-4</v>
      </c>
      <c r="O491" s="360"/>
    </row>
    <row r="492" spans="1:15" x14ac:dyDescent="0.25">
      <c r="A492" s="2" t="s">
        <v>1203</v>
      </c>
      <c r="B492" s="5" t="s">
        <v>119</v>
      </c>
      <c r="C492" s="2" t="s">
        <v>118</v>
      </c>
      <c r="E492" s="367" t="s">
        <v>1069</v>
      </c>
      <c r="F492" s="359">
        <f>opex_det!R$177</f>
        <v>1.0254960000000001E-3</v>
      </c>
      <c r="G492" s="458">
        <f>labcap_sources!$F$128</f>
        <v>1</v>
      </c>
      <c r="H492" s="369">
        <f t="shared" si="299"/>
        <v>1.0254960000000001E-3</v>
      </c>
      <c r="I492" s="357"/>
      <c r="J492" s="458">
        <f>labcap_sources!$G$128</f>
        <v>0.7777777777777779</v>
      </c>
      <c r="K492" s="369">
        <f t="shared" ref="K492:K496" si="300">$H492*J492</f>
        <v>7.9760800000000021E-4</v>
      </c>
      <c r="L492" s="360"/>
      <c r="M492" s="458">
        <f>labcap_sources!$H$128</f>
        <v>0.66666666666666663</v>
      </c>
      <c r="N492" s="369">
        <f t="shared" ref="N492" si="301">$H492*M492</f>
        <v>6.8366400000000006E-4</v>
      </c>
      <c r="O492" s="360"/>
    </row>
    <row r="493" spans="1:15" x14ac:dyDescent="0.25">
      <c r="A493" s="2" t="s">
        <v>1203</v>
      </c>
      <c r="B493" s="5" t="s">
        <v>119</v>
      </c>
      <c r="C493" s="2" t="s">
        <v>118</v>
      </c>
      <c r="E493" s="367" t="s">
        <v>1070</v>
      </c>
      <c r="F493" s="359">
        <f>opex_det!R$178</f>
        <v>2.138849E-3</v>
      </c>
      <c r="G493" s="458">
        <f>labcap_sources!$F$129</f>
        <v>1</v>
      </c>
      <c r="H493" s="369">
        <f t="shared" si="299"/>
        <v>2.138849E-3</v>
      </c>
      <c r="I493" s="357"/>
      <c r="J493" s="458">
        <f>labcap_sources!$G$129</f>
        <v>0.96923076923076923</v>
      </c>
      <c r="K493" s="369">
        <f t="shared" si="300"/>
        <v>2.0730382615384616E-3</v>
      </c>
      <c r="L493" s="360"/>
      <c r="M493" s="458">
        <f>labcap_sources!$H$129</f>
        <v>0.86153846153846159</v>
      </c>
      <c r="N493" s="369">
        <f>$H493*M493</f>
        <v>1.8427006769230769E-3</v>
      </c>
      <c r="O493" s="360"/>
    </row>
    <row r="494" spans="1:15" x14ac:dyDescent="0.25">
      <c r="A494" s="2" t="s">
        <v>1203</v>
      </c>
      <c r="B494" s="5" t="s">
        <v>119</v>
      </c>
      <c r="C494" s="2" t="s">
        <v>118</v>
      </c>
      <c r="E494" s="367" t="s">
        <v>1071</v>
      </c>
      <c r="F494" s="359">
        <f>opex_det!R$179</f>
        <v>4.2733279999999998E-3</v>
      </c>
      <c r="G494" s="458">
        <f>labcap_sources!$F$129</f>
        <v>1</v>
      </c>
      <c r="H494" s="369">
        <f t="shared" si="299"/>
        <v>4.2733279999999998E-3</v>
      </c>
      <c r="I494" s="357"/>
      <c r="J494" s="458">
        <f>labcap_sources!$G$129</f>
        <v>0.96923076923076923</v>
      </c>
      <c r="K494" s="369">
        <f t="shared" si="300"/>
        <v>4.1418409846153848E-3</v>
      </c>
      <c r="L494" s="360"/>
      <c r="M494" s="458">
        <f>labcap_sources!$H$129</f>
        <v>0.86153846153846159</v>
      </c>
      <c r="N494" s="369">
        <f t="shared" ref="N494:N496" si="302">$H494*M494</f>
        <v>3.6816364307692309E-3</v>
      </c>
      <c r="O494" s="360"/>
    </row>
    <row r="495" spans="1:15" x14ac:dyDescent="0.25">
      <c r="A495" s="2" t="s">
        <v>1203</v>
      </c>
      <c r="B495" s="5" t="s">
        <v>119</v>
      </c>
      <c r="C495" s="2" t="s">
        <v>118</v>
      </c>
      <c r="E495" s="367" t="s">
        <v>1072</v>
      </c>
      <c r="F495" s="359">
        <f>opex_det!R$180</f>
        <v>8.3107099999999996E-4</v>
      </c>
      <c r="G495" s="458">
        <f>labcap_sources!$F$130</f>
        <v>1</v>
      </c>
      <c r="H495" s="369">
        <f t="shared" si="299"/>
        <v>8.3107099999999996E-4</v>
      </c>
      <c r="I495" s="357"/>
      <c r="J495" s="458">
        <f>labcap_sources!$G$130</f>
        <v>1.1538461538461537</v>
      </c>
      <c r="K495" s="369">
        <f t="shared" si="300"/>
        <v>9.589280769230768E-4</v>
      </c>
      <c r="L495" s="360"/>
      <c r="M495" s="458">
        <f>labcap_sources!$H$130</f>
        <v>1.4615384615384615</v>
      </c>
      <c r="N495" s="369">
        <f t="shared" si="302"/>
        <v>1.2146422307692307E-3</v>
      </c>
      <c r="O495" s="360"/>
    </row>
    <row r="496" spans="1:15" x14ac:dyDescent="0.25">
      <c r="A496" s="2" t="s">
        <v>1203</v>
      </c>
      <c r="B496" s="5" t="s">
        <v>119</v>
      </c>
      <c r="C496" s="2" t="s">
        <v>118</v>
      </c>
      <c r="E496" s="367" t="s">
        <v>1073</v>
      </c>
      <c r="F496" s="359">
        <f>opex_det!R$181</f>
        <v>1.725049E-3</v>
      </c>
      <c r="G496" s="458">
        <f>labcap_sources!$F$130</f>
        <v>1</v>
      </c>
      <c r="H496" s="369">
        <f t="shared" si="299"/>
        <v>1.725049E-3</v>
      </c>
      <c r="I496" s="357"/>
      <c r="J496" s="458">
        <f>labcap_sources!$G$130</f>
        <v>1.1538461538461537</v>
      </c>
      <c r="K496" s="369">
        <f t="shared" si="300"/>
        <v>1.9904411538461536E-3</v>
      </c>
      <c r="L496" s="360"/>
      <c r="M496" s="458">
        <f>labcap_sources!$H$130</f>
        <v>1.4615384615384615</v>
      </c>
      <c r="N496" s="369">
        <f t="shared" si="302"/>
        <v>2.5212254615384613E-3</v>
      </c>
      <c r="O496" s="360"/>
    </row>
    <row r="497" spans="1:15" x14ac:dyDescent="0.25">
      <c r="A497" s="2" t="s">
        <v>1203</v>
      </c>
      <c r="B497" s="5" t="s">
        <v>121</v>
      </c>
      <c r="C497" s="2" t="s">
        <v>120</v>
      </c>
      <c r="E497" s="241" t="s">
        <v>372</v>
      </c>
      <c r="F497" s="362">
        <f>opex_det!S$169</f>
        <v>5.416372E-3</v>
      </c>
      <c r="G497" s="458">
        <f>labcap_sources!$F$131*labcap_sources!$F$128</f>
        <v>1</v>
      </c>
      <c r="H497" s="362">
        <f t="shared" si="299"/>
        <v>5.416372E-3</v>
      </c>
      <c r="I497" s="368">
        <f>H497/H501*$F501</f>
        <v>5.416372E-3</v>
      </c>
      <c r="J497" s="458">
        <f>labcap_sources!$G$131*labcap_sources!$G$128</f>
        <v>0.73888888888888893</v>
      </c>
      <c r="K497" s="362">
        <f>$H497*J497</f>
        <v>4.0020970888888889E-3</v>
      </c>
      <c r="L497" s="368">
        <f>K497/K501*$F501</f>
        <v>3.9755384286245879E-3</v>
      </c>
      <c r="M497" s="458">
        <f>labcap_sources!$H$131*labcap_sources!$H$128</f>
        <v>0.53333333333333333</v>
      </c>
      <c r="N497" s="362">
        <f>$H497*M497</f>
        <v>2.8887317333333331E-3</v>
      </c>
      <c r="O497" s="368">
        <f>N497/N501*$F501</f>
        <v>2.934658129185481E-3</v>
      </c>
    </row>
    <row r="498" spans="1:15" x14ac:dyDescent="0.25">
      <c r="A498" s="2" t="s">
        <v>1203</v>
      </c>
      <c r="B498" s="5" t="s">
        <v>121</v>
      </c>
      <c r="C498" s="2" t="s">
        <v>120</v>
      </c>
      <c r="E498" s="241" t="s">
        <v>373</v>
      </c>
      <c r="F498" s="362">
        <f>opex_det!S$170</f>
        <v>5.9899886999999999E-2</v>
      </c>
      <c r="G498" s="458">
        <f>labcap_sources!$F$131*labcap_sources!$F$129</f>
        <v>1</v>
      </c>
      <c r="H498" s="362">
        <f t="shared" si="299"/>
        <v>5.9899886999999999E-2</v>
      </c>
      <c r="I498" s="368">
        <f>H498/H501*$F501</f>
        <v>5.9899886999999992E-2</v>
      </c>
      <c r="J498" s="458">
        <f>labcap_sources!$G$131*labcap_sources!$G$129</f>
        <v>0.92076923076923067</v>
      </c>
      <c r="K498" s="362">
        <f t="shared" ref="K498:K500" si="303">$H498*J498</f>
        <v>5.5153972876153839E-2</v>
      </c>
      <c r="L498" s="368">
        <f>K498/K501*$F501</f>
        <v>5.4787960859126308E-2</v>
      </c>
      <c r="M498" s="458">
        <f>labcap_sources!$H$131*labcap_sources!$H$129</f>
        <v>0.68923076923076931</v>
      </c>
      <c r="N498" s="362">
        <f t="shared" ref="N498:N500" si="304">$H498*M498</f>
        <v>4.1284845193846155E-2</v>
      </c>
      <c r="O498" s="368">
        <f>N498/N501*$F501</f>
        <v>4.194121079581202E-2</v>
      </c>
    </row>
    <row r="499" spans="1:15" x14ac:dyDescent="0.25">
      <c r="A499" s="2" t="s">
        <v>1203</v>
      </c>
      <c r="B499" s="5" t="s">
        <v>121</v>
      </c>
      <c r="C499" s="2" t="s">
        <v>120</v>
      </c>
      <c r="E499" s="241" t="s">
        <v>374</v>
      </c>
      <c r="F499" s="362">
        <f>opex_det!S$171</f>
        <v>4.8815554999999997E-2</v>
      </c>
      <c r="G499" s="458">
        <f>labcap_sources!$F$131*labcap_sources!$F$130</f>
        <v>1</v>
      </c>
      <c r="H499" s="362">
        <f t="shared" si="299"/>
        <v>4.8815554999999997E-2</v>
      </c>
      <c r="I499" s="368">
        <f>H499/H501*$F501</f>
        <v>4.8815554999999997E-2</v>
      </c>
      <c r="J499" s="458">
        <f>labcap_sources!$G$131*labcap_sources!$G$130</f>
        <v>1.096153846153846</v>
      </c>
      <c r="K499" s="362">
        <f t="shared" si="303"/>
        <v>5.3509358365384604E-2</v>
      </c>
      <c r="L499" s="368">
        <f>K499/K501*$F501</f>
        <v>5.3154260315981333E-2</v>
      </c>
      <c r="M499" s="458">
        <f>labcap_sources!$H$131*labcap_sources!$H$130</f>
        <v>1.1692307692307693</v>
      </c>
      <c r="N499" s="362">
        <f t="shared" si="304"/>
        <v>5.7076648923076921E-2</v>
      </c>
      <c r="O499" s="368">
        <f>N499/N501*$F501</f>
        <v>5.7984079939293345E-2</v>
      </c>
    </row>
    <row r="500" spans="1:15" x14ac:dyDescent="0.25">
      <c r="A500" s="2" t="s">
        <v>1203</v>
      </c>
      <c r="B500" s="5" t="s">
        <v>121</v>
      </c>
      <c r="C500" s="2" t="s">
        <v>120</v>
      </c>
      <c r="E500" s="240" t="s">
        <v>375</v>
      </c>
      <c r="F500" s="362">
        <f>opex_det!S$172</f>
        <v>5.1451341999999997E-2</v>
      </c>
      <c r="G500" s="458">
        <f>labcap_sources!$F$132</f>
        <v>1</v>
      </c>
      <c r="H500" s="362">
        <f t="shared" si="299"/>
        <v>5.1451341999999997E-2</v>
      </c>
      <c r="I500" s="368">
        <f>H500/H501*$F501</f>
        <v>5.1451341999999997E-2</v>
      </c>
      <c r="J500" s="458">
        <f>labcap_sources!$G$132</f>
        <v>1.05</v>
      </c>
      <c r="K500" s="362">
        <f t="shared" si="303"/>
        <v>5.4023909099999996E-2</v>
      </c>
      <c r="L500" s="368">
        <f>K500/K501*$F501</f>
        <v>5.3665396396267787E-2</v>
      </c>
      <c r="M500" s="458">
        <f>labcap_sources!$H$132</f>
        <v>1.2</v>
      </c>
      <c r="N500" s="362">
        <f t="shared" si="304"/>
        <v>6.1741610399999994E-2</v>
      </c>
      <c r="O500" s="368">
        <f>N500/N501*$F501</f>
        <v>6.2723207135709155E-2</v>
      </c>
    </row>
    <row r="501" spans="1:15" x14ac:dyDescent="0.25">
      <c r="A501" s="2" t="s">
        <v>1203</v>
      </c>
      <c r="B501" s="5" t="s">
        <v>121</v>
      </c>
      <c r="C501" s="2" t="s">
        <v>120</v>
      </c>
      <c r="E501" s="19" t="s">
        <v>1077</v>
      </c>
      <c r="F501" s="363">
        <f>SUM(F497:F500)</f>
        <v>0.16558315600000001</v>
      </c>
      <c r="G501" s="458"/>
      <c r="H501" s="363">
        <f>SUM(H497:H500)</f>
        <v>0.16558315600000001</v>
      </c>
      <c r="I501" s="363">
        <f>SUM(I497:I500)</f>
        <v>0.16558315599999998</v>
      </c>
      <c r="J501" s="458"/>
      <c r="K501" s="363">
        <f>SUM(K497:K500)</f>
        <v>0.16668933743042733</v>
      </c>
      <c r="L501" s="363">
        <f>SUM(L497:L500)</f>
        <v>0.16558315600000001</v>
      </c>
      <c r="M501" s="458"/>
      <c r="N501" s="363">
        <f>SUM(N497:N500)</f>
        <v>0.1629918362502564</v>
      </c>
      <c r="O501" s="363">
        <f>SUM(O497:O500)</f>
        <v>0.16558315600000001</v>
      </c>
    </row>
    <row r="502" spans="1:15" x14ac:dyDescent="0.25">
      <c r="A502" s="2" t="s">
        <v>1203</v>
      </c>
      <c r="B502" s="5" t="s">
        <v>121</v>
      </c>
      <c r="C502" s="2" t="s">
        <v>120</v>
      </c>
      <c r="E502" s="367" t="s">
        <v>1068</v>
      </c>
      <c r="F502" s="359">
        <f>opex_det!S$176</f>
        <v>6.7826500000000005E-4</v>
      </c>
      <c r="G502" s="458">
        <f>labcap_sources!$F$128</f>
        <v>1</v>
      </c>
      <c r="H502" s="369">
        <f t="shared" ref="H502:H511" si="305">$F502*G502</f>
        <v>6.7826500000000005E-4</v>
      </c>
      <c r="I502" s="357"/>
      <c r="J502" s="458">
        <f>labcap_sources!$G$128</f>
        <v>0.7777777777777779</v>
      </c>
      <c r="K502" s="369">
        <f>$H502*J502</f>
        <v>5.2753944444444462E-4</v>
      </c>
      <c r="L502" s="360"/>
      <c r="M502" s="458">
        <f>labcap_sources!$H$128</f>
        <v>0.66666666666666663</v>
      </c>
      <c r="N502" s="369">
        <f>$H502*M502</f>
        <v>4.5217666666666668E-4</v>
      </c>
      <c r="O502" s="360"/>
    </row>
    <row r="503" spans="1:15" x14ac:dyDescent="0.25">
      <c r="A503" s="2" t="s">
        <v>1203</v>
      </c>
      <c r="B503" s="5" t="s">
        <v>121</v>
      </c>
      <c r="C503" s="2" t="s">
        <v>120</v>
      </c>
      <c r="E503" s="367" t="s">
        <v>1069</v>
      </c>
      <c r="F503" s="359">
        <f>opex_det!S$177</f>
        <v>4.4411899999999998E-4</v>
      </c>
      <c r="G503" s="458">
        <f>labcap_sources!$F$128</f>
        <v>1</v>
      </c>
      <c r="H503" s="369">
        <f t="shared" si="305"/>
        <v>4.4411899999999998E-4</v>
      </c>
      <c r="I503" s="357"/>
      <c r="J503" s="458">
        <f>labcap_sources!$G$128</f>
        <v>0.7777777777777779</v>
      </c>
      <c r="K503" s="369">
        <f t="shared" ref="K503:K507" si="306">$H503*J503</f>
        <v>3.4542588888888893E-4</v>
      </c>
      <c r="L503" s="360"/>
      <c r="M503" s="458">
        <f>labcap_sources!$H$128</f>
        <v>0.66666666666666663</v>
      </c>
      <c r="N503" s="369">
        <f t="shared" ref="N503" si="307">$H503*M503</f>
        <v>2.960793333333333E-4</v>
      </c>
      <c r="O503" s="360"/>
    </row>
    <row r="504" spans="1:15" x14ac:dyDescent="0.25">
      <c r="A504" s="2" t="s">
        <v>1203</v>
      </c>
      <c r="B504" s="5" t="s">
        <v>121</v>
      </c>
      <c r="C504" s="2" t="s">
        <v>120</v>
      </c>
      <c r="E504" s="367" t="s">
        <v>1070</v>
      </c>
      <c r="F504" s="359">
        <f>opex_det!S$178</f>
        <v>8.2828099999999998E-3</v>
      </c>
      <c r="G504" s="458">
        <f>labcap_sources!$F$129</f>
        <v>1</v>
      </c>
      <c r="H504" s="369">
        <f t="shared" si="305"/>
        <v>8.2828099999999998E-3</v>
      </c>
      <c r="I504" s="357"/>
      <c r="J504" s="458">
        <f>labcap_sources!$G$129</f>
        <v>0.96923076923076923</v>
      </c>
      <c r="K504" s="369">
        <f t="shared" si="306"/>
        <v>8.0279543076923077E-3</v>
      </c>
      <c r="L504" s="360"/>
      <c r="M504" s="458">
        <f>labcap_sources!$H$129</f>
        <v>0.86153846153846159</v>
      </c>
      <c r="N504" s="369">
        <f>$H504*M504</f>
        <v>7.1359593846153846E-3</v>
      </c>
      <c r="O504" s="360"/>
    </row>
    <row r="505" spans="1:15" x14ac:dyDescent="0.25">
      <c r="A505" s="2" t="s">
        <v>1203</v>
      </c>
      <c r="B505" s="5" t="s">
        <v>121</v>
      </c>
      <c r="C505" s="2" t="s">
        <v>120</v>
      </c>
      <c r="E505" s="367" t="s">
        <v>1071</v>
      </c>
      <c r="F505" s="359">
        <f>opex_det!S$179</f>
        <v>1.599411E-3</v>
      </c>
      <c r="G505" s="458">
        <f>labcap_sources!$F$129</f>
        <v>1</v>
      </c>
      <c r="H505" s="369">
        <f t="shared" si="305"/>
        <v>1.599411E-3</v>
      </c>
      <c r="I505" s="357"/>
      <c r="J505" s="458">
        <f>labcap_sources!$G$129</f>
        <v>0.96923076923076923</v>
      </c>
      <c r="K505" s="369">
        <f t="shared" si="306"/>
        <v>1.5501983538461538E-3</v>
      </c>
      <c r="L505" s="360"/>
      <c r="M505" s="458">
        <f>labcap_sources!$H$129</f>
        <v>0.86153846153846159</v>
      </c>
      <c r="N505" s="369">
        <f t="shared" ref="N505:N507" si="308">$H505*M505</f>
        <v>1.3779540923076923E-3</v>
      </c>
      <c r="O505" s="360"/>
    </row>
    <row r="506" spans="1:15" x14ac:dyDescent="0.25">
      <c r="A506" s="2" t="s">
        <v>1203</v>
      </c>
      <c r="B506" s="5" t="s">
        <v>121</v>
      </c>
      <c r="C506" s="2" t="s">
        <v>120</v>
      </c>
      <c r="E506" s="367" t="s">
        <v>1072</v>
      </c>
      <c r="F506" s="359">
        <f>opex_det!S$180</f>
        <v>3.3902250000000002E-3</v>
      </c>
      <c r="G506" s="458">
        <f>labcap_sources!$F$130</f>
        <v>1</v>
      </c>
      <c r="H506" s="369">
        <f t="shared" si="305"/>
        <v>3.3902250000000002E-3</v>
      </c>
      <c r="I506" s="357"/>
      <c r="J506" s="458">
        <f>labcap_sources!$G$130</f>
        <v>1.1538461538461537</v>
      </c>
      <c r="K506" s="369">
        <f t="shared" si="306"/>
        <v>3.9117980769230766E-3</v>
      </c>
      <c r="L506" s="360"/>
      <c r="M506" s="458">
        <f>labcap_sources!$H$130</f>
        <v>1.4615384615384615</v>
      </c>
      <c r="N506" s="369">
        <f t="shared" si="308"/>
        <v>4.9549442307692312E-3</v>
      </c>
      <c r="O506" s="360"/>
    </row>
    <row r="507" spans="1:15" x14ac:dyDescent="0.25">
      <c r="A507" s="2" t="s">
        <v>1203</v>
      </c>
      <c r="B507" s="5" t="s">
        <v>121</v>
      </c>
      <c r="C507" s="2" t="s">
        <v>120</v>
      </c>
      <c r="E507" s="367" t="s">
        <v>1073</v>
      </c>
      <c r="F507" s="359">
        <f>opex_det!S$181</f>
        <v>7.8275399999999998E-4</v>
      </c>
      <c r="G507" s="458">
        <f>labcap_sources!$F$130</f>
        <v>1</v>
      </c>
      <c r="H507" s="369">
        <f t="shared" si="305"/>
        <v>7.8275399999999998E-4</v>
      </c>
      <c r="I507" s="357"/>
      <c r="J507" s="458">
        <f>labcap_sources!$G$130</f>
        <v>1.1538461538461537</v>
      </c>
      <c r="K507" s="369">
        <f t="shared" si="306"/>
        <v>9.031776923076922E-4</v>
      </c>
      <c r="L507" s="360"/>
      <c r="M507" s="458">
        <f>labcap_sources!$H$130</f>
        <v>1.4615384615384615</v>
      </c>
      <c r="N507" s="369">
        <f t="shared" si="308"/>
        <v>1.1440250769230768E-3</v>
      </c>
      <c r="O507" s="360"/>
    </row>
    <row r="508" spans="1:15" x14ac:dyDescent="0.25">
      <c r="A508" s="2" t="s">
        <v>1203</v>
      </c>
      <c r="B508" s="5" t="s">
        <v>123</v>
      </c>
      <c r="C508" s="2" t="s">
        <v>122</v>
      </c>
      <c r="E508" s="241" t="s">
        <v>372</v>
      </c>
      <c r="F508" s="362">
        <f>opex_det!T$169</f>
        <v>6.2026850000000003E-3</v>
      </c>
      <c r="G508" s="458">
        <f>labcap_sources!$F$131*labcap_sources!$F$128</f>
        <v>1</v>
      </c>
      <c r="H508" s="362">
        <f t="shared" si="305"/>
        <v>6.2026850000000003E-3</v>
      </c>
      <c r="I508" s="368">
        <f>H508/H512*$F512</f>
        <v>6.2026850000000003E-3</v>
      </c>
      <c r="J508" s="458">
        <f>labcap_sources!$G$131*labcap_sources!$G$128</f>
        <v>0.73888888888888893</v>
      </c>
      <c r="K508" s="362">
        <f>$H508*J508</f>
        <v>4.583095027777778E-3</v>
      </c>
      <c r="L508" s="368">
        <f>K508/K512*$F512</f>
        <v>4.5527436049343116E-3</v>
      </c>
      <c r="M508" s="458">
        <f>labcap_sources!$H$131*labcap_sources!$H$128</f>
        <v>0.53333333333333333</v>
      </c>
      <c r="N508" s="362">
        <f>$H508*M508</f>
        <v>3.308098666666667E-3</v>
      </c>
      <c r="O508" s="368">
        <f>N508/N512*$F512</f>
        <v>3.3609285634557538E-3</v>
      </c>
    </row>
    <row r="509" spans="1:15" x14ac:dyDescent="0.25">
      <c r="A509" s="2" t="s">
        <v>1203</v>
      </c>
      <c r="B509" s="5" t="s">
        <v>123</v>
      </c>
      <c r="C509" s="2" t="s">
        <v>122</v>
      </c>
      <c r="E509" s="241" t="s">
        <v>373</v>
      </c>
      <c r="F509" s="362">
        <f>opex_det!T$170</f>
        <v>6.8595762000000005E-2</v>
      </c>
      <c r="G509" s="458">
        <f>labcap_sources!$F$131*labcap_sources!$F$129</f>
        <v>1</v>
      </c>
      <c r="H509" s="362">
        <f t="shared" si="305"/>
        <v>6.8595762000000005E-2</v>
      </c>
      <c r="I509" s="368">
        <f>H509/H512*$F512</f>
        <v>6.8595762000000005E-2</v>
      </c>
      <c r="J509" s="458">
        <f>labcap_sources!$G$131*labcap_sources!$G$129</f>
        <v>0.92076923076923067</v>
      </c>
      <c r="K509" s="362">
        <f t="shared" ref="K509:K511" si="309">$H509*J509</f>
        <v>6.3160867010769228E-2</v>
      </c>
      <c r="L509" s="368">
        <f>K509/K512*$F512</f>
        <v>6.2742585877564511E-2</v>
      </c>
      <c r="M509" s="458">
        <f>labcap_sources!$H$131*labcap_sources!$H$129</f>
        <v>0.68923076923076931</v>
      </c>
      <c r="N509" s="362">
        <f t="shared" ref="N509:N511" si="310">$H509*M509</f>
        <v>4.7278309809230777E-2</v>
      </c>
      <c r="O509" s="368">
        <f>N509/N512*$F512</f>
        <v>4.8033338144011638E-2</v>
      </c>
    </row>
    <row r="510" spans="1:15" x14ac:dyDescent="0.25">
      <c r="A510" s="2" t="s">
        <v>1203</v>
      </c>
      <c r="B510" s="5" t="s">
        <v>123</v>
      </c>
      <c r="C510" s="2" t="s">
        <v>122</v>
      </c>
      <c r="E510" s="241" t="s">
        <v>374</v>
      </c>
      <c r="F510" s="362">
        <f>opex_det!T$171</f>
        <v>5.5902278999999999E-2</v>
      </c>
      <c r="G510" s="458">
        <f>labcap_sources!$F$131*labcap_sources!$F$130</f>
        <v>1</v>
      </c>
      <c r="H510" s="362">
        <f t="shared" si="305"/>
        <v>5.5902278999999999E-2</v>
      </c>
      <c r="I510" s="368">
        <f>H510/H512*$F512</f>
        <v>5.5902278999999999E-2</v>
      </c>
      <c r="J510" s="458">
        <f>labcap_sources!$G$131*labcap_sources!$G$130</f>
        <v>1.096153846153846</v>
      </c>
      <c r="K510" s="362">
        <f t="shared" si="309"/>
        <v>6.1277498134615374E-2</v>
      </c>
      <c r="L510" s="368">
        <f>K510/K512*$F512</f>
        <v>6.0871689560845682E-2</v>
      </c>
      <c r="M510" s="458">
        <f>labcap_sources!$H$131*labcap_sources!$H$130</f>
        <v>1.1692307692307693</v>
      </c>
      <c r="N510" s="362">
        <f t="shared" si="310"/>
        <v>6.5362664676923074E-2</v>
      </c>
      <c r="O510" s="368">
        <f>N510/N512*$F512</f>
        <v>6.6406497759513974E-2</v>
      </c>
    </row>
    <row r="511" spans="1:15" x14ac:dyDescent="0.25">
      <c r="A511" s="2" t="s">
        <v>1203</v>
      </c>
      <c r="B511" s="5" t="s">
        <v>123</v>
      </c>
      <c r="C511" s="2" t="s">
        <v>122</v>
      </c>
      <c r="E511" s="240" t="s">
        <v>375</v>
      </c>
      <c r="F511" s="362">
        <f>opex_det!T$172</f>
        <v>5.8859899E-2</v>
      </c>
      <c r="G511" s="458">
        <f>labcap_sources!$F$132</f>
        <v>1</v>
      </c>
      <c r="H511" s="362">
        <f t="shared" si="305"/>
        <v>5.8859899E-2</v>
      </c>
      <c r="I511" s="368">
        <f>H511/H512*$F512</f>
        <v>5.8859899E-2</v>
      </c>
      <c r="J511" s="458">
        <f>labcap_sources!$G$132</f>
        <v>1.05</v>
      </c>
      <c r="K511" s="362">
        <f t="shared" si="309"/>
        <v>6.180289395E-2</v>
      </c>
      <c r="L511" s="368">
        <f>K511/K512*$F512</f>
        <v>6.1393605956655495E-2</v>
      </c>
      <c r="M511" s="458">
        <f>labcap_sources!$H$132</f>
        <v>1.2</v>
      </c>
      <c r="N511" s="362">
        <f t="shared" si="310"/>
        <v>7.0631878799999992E-2</v>
      </c>
      <c r="O511" s="368">
        <f>N511/N512*$F512</f>
        <v>7.175986053301861E-2</v>
      </c>
    </row>
    <row r="512" spans="1:15" x14ac:dyDescent="0.25">
      <c r="A512" s="2" t="s">
        <v>1203</v>
      </c>
      <c r="B512" s="5" t="s">
        <v>123</v>
      </c>
      <c r="C512" s="2" t="s">
        <v>122</v>
      </c>
      <c r="E512" s="19" t="s">
        <v>1077</v>
      </c>
      <c r="F512" s="363">
        <f>SUM(F508:F511)</f>
        <v>0.18956062499999998</v>
      </c>
      <c r="G512" s="458"/>
      <c r="H512" s="363">
        <f>SUM(H508:H511)</f>
        <v>0.18956062499999998</v>
      </c>
      <c r="I512" s="363">
        <f>SUM(I508:I511)</f>
        <v>0.18956062499999998</v>
      </c>
      <c r="J512" s="458"/>
      <c r="K512" s="363">
        <f>SUM(K508:K511)</f>
        <v>0.19082435412316237</v>
      </c>
      <c r="L512" s="363">
        <f>SUM(L508:L511)</f>
        <v>0.18956062499999998</v>
      </c>
      <c r="M512" s="458"/>
      <c r="N512" s="363">
        <f>SUM(N508:N511)</f>
        <v>0.18658095195282051</v>
      </c>
      <c r="O512" s="363">
        <f>SUM(O508:O511)</f>
        <v>0.18956062499999998</v>
      </c>
    </row>
    <row r="513" spans="1:15" x14ac:dyDescent="0.25">
      <c r="A513" s="2" t="s">
        <v>1203</v>
      </c>
      <c r="B513" s="5" t="s">
        <v>123</v>
      </c>
      <c r="C513" s="2" t="s">
        <v>122</v>
      </c>
      <c r="E513" s="367" t="s">
        <v>1068</v>
      </c>
      <c r="F513" s="359">
        <f>opex_det!T$176</f>
        <v>7.6338700000000003E-4</v>
      </c>
      <c r="G513" s="458">
        <f>labcap_sources!$F$128</f>
        <v>1</v>
      </c>
      <c r="H513" s="369">
        <f t="shared" ref="H513:H522" si="311">$F513*G513</f>
        <v>7.6338700000000003E-4</v>
      </c>
      <c r="I513" s="357"/>
      <c r="J513" s="458">
        <f>labcap_sources!$G$128</f>
        <v>0.7777777777777779</v>
      </c>
      <c r="K513" s="369">
        <f>$H513*J513</f>
        <v>5.9374544444444459E-4</v>
      </c>
      <c r="L513" s="360"/>
      <c r="M513" s="458">
        <f>labcap_sources!$H$128</f>
        <v>0.66666666666666663</v>
      </c>
      <c r="N513" s="369">
        <f>$H513*M513</f>
        <v>5.0892466666666665E-4</v>
      </c>
      <c r="O513" s="360"/>
    </row>
    <row r="514" spans="1:15" x14ac:dyDescent="0.25">
      <c r="A514" s="2" t="s">
        <v>1203</v>
      </c>
      <c r="B514" s="5" t="s">
        <v>123</v>
      </c>
      <c r="C514" s="2" t="s">
        <v>122</v>
      </c>
      <c r="E514" s="367" t="s">
        <v>1069</v>
      </c>
      <c r="F514" s="359">
        <f>opex_det!T$177</f>
        <v>5.7106400000000003E-4</v>
      </c>
      <c r="G514" s="458">
        <f>labcap_sources!$F$128</f>
        <v>1</v>
      </c>
      <c r="H514" s="369">
        <f t="shared" si="311"/>
        <v>5.7106400000000003E-4</v>
      </c>
      <c r="I514" s="357"/>
      <c r="J514" s="458">
        <f>labcap_sources!$G$128</f>
        <v>0.7777777777777779</v>
      </c>
      <c r="K514" s="369">
        <f t="shared" ref="K514:K518" si="312">$H514*J514</f>
        <v>4.4416088888888901E-4</v>
      </c>
      <c r="L514" s="360"/>
      <c r="M514" s="458">
        <f>labcap_sources!$H$128</f>
        <v>0.66666666666666663</v>
      </c>
      <c r="N514" s="369">
        <f t="shared" ref="N514" si="313">$H514*M514</f>
        <v>3.8070933333333334E-4</v>
      </c>
      <c r="O514" s="360"/>
    </row>
    <row r="515" spans="1:15" x14ac:dyDescent="0.25">
      <c r="A515" s="2" t="s">
        <v>1203</v>
      </c>
      <c r="B515" s="5" t="s">
        <v>123</v>
      </c>
      <c r="C515" s="2" t="s">
        <v>122</v>
      </c>
      <c r="E515" s="367" t="s">
        <v>1070</v>
      </c>
      <c r="F515" s="359">
        <f>opex_det!T$178</f>
        <v>9.5295699999999994E-3</v>
      </c>
      <c r="G515" s="458">
        <f>labcap_sources!$F$129</f>
        <v>1</v>
      </c>
      <c r="H515" s="369">
        <f t="shared" si="311"/>
        <v>9.5295699999999994E-3</v>
      </c>
      <c r="I515" s="357"/>
      <c r="J515" s="458">
        <f>labcap_sources!$G$129</f>
        <v>0.96923076923076923</v>
      </c>
      <c r="K515" s="369">
        <f t="shared" si="312"/>
        <v>9.2363524615384617E-3</v>
      </c>
      <c r="L515" s="360"/>
      <c r="M515" s="458">
        <f>labcap_sources!$H$129</f>
        <v>0.86153846153846159</v>
      </c>
      <c r="N515" s="369">
        <f>$H515*M515</f>
        <v>8.2100910769230765E-3</v>
      </c>
      <c r="O515" s="360"/>
    </row>
    <row r="516" spans="1:15" x14ac:dyDescent="0.25">
      <c r="A516" s="2" t="s">
        <v>1203</v>
      </c>
      <c r="B516" s="5" t="s">
        <v>123</v>
      </c>
      <c r="C516" s="2" t="s">
        <v>122</v>
      </c>
      <c r="E516" s="367" t="s">
        <v>1071</v>
      </c>
      <c r="F516" s="359">
        <f>opex_det!T$179</f>
        <v>1.841978E-3</v>
      </c>
      <c r="G516" s="458">
        <f>labcap_sources!$F$129</f>
        <v>1</v>
      </c>
      <c r="H516" s="369">
        <f t="shared" si="311"/>
        <v>1.841978E-3</v>
      </c>
      <c r="I516" s="357"/>
      <c r="J516" s="458">
        <f>labcap_sources!$G$129</f>
        <v>0.96923076923076923</v>
      </c>
      <c r="K516" s="369">
        <f t="shared" si="312"/>
        <v>1.7853017538461539E-3</v>
      </c>
      <c r="L516" s="360"/>
      <c r="M516" s="458">
        <f>labcap_sources!$H$129</f>
        <v>0.86153846153846159</v>
      </c>
      <c r="N516" s="369">
        <f t="shared" ref="N516:N518" si="314">$H516*M516</f>
        <v>1.5869348923076923E-3</v>
      </c>
      <c r="O516" s="360"/>
    </row>
    <row r="517" spans="1:15" x14ac:dyDescent="0.25">
      <c r="A517" s="2" t="s">
        <v>1203</v>
      </c>
      <c r="B517" s="5" t="s">
        <v>123</v>
      </c>
      <c r="C517" s="2" t="s">
        <v>122</v>
      </c>
      <c r="E517" s="367" t="s">
        <v>1072</v>
      </c>
      <c r="F517" s="359">
        <f>opex_det!T$180</f>
        <v>3.8721319999999999E-3</v>
      </c>
      <c r="G517" s="458">
        <f>labcap_sources!$F$130</f>
        <v>1</v>
      </c>
      <c r="H517" s="369">
        <f t="shared" si="311"/>
        <v>3.8721319999999999E-3</v>
      </c>
      <c r="I517" s="357"/>
      <c r="J517" s="458">
        <f>labcap_sources!$G$130</f>
        <v>1.1538461538461537</v>
      </c>
      <c r="K517" s="369">
        <f t="shared" si="312"/>
        <v>4.4678446153846151E-3</v>
      </c>
      <c r="L517" s="360"/>
      <c r="M517" s="458">
        <f>labcap_sources!$H$130</f>
        <v>1.4615384615384615</v>
      </c>
      <c r="N517" s="369">
        <f t="shared" si="314"/>
        <v>5.6592698461538455E-3</v>
      </c>
      <c r="O517" s="360"/>
    </row>
    <row r="518" spans="1:15" x14ac:dyDescent="0.25">
      <c r="A518" s="2" t="s">
        <v>1203</v>
      </c>
      <c r="B518" s="5" t="s">
        <v>123</v>
      </c>
      <c r="C518" s="2" t="s">
        <v>122</v>
      </c>
      <c r="E518" s="367" t="s">
        <v>1073</v>
      </c>
      <c r="F518" s="359">
        <f>opex_det!T$181</f>
        <v>9.0732699999999998E-4</v>
      </c>
      <c r="G518" s="458">
        <f>labcap_sources!$F$130</f>
        <v>1</v>
      </c>
      <c r="H518" s="369">
        <f t="shared" si="311"/>
        <v>9.0732699999999998E-4</v>
      </c>
      <c r="I518" s="357"/>
      <c r="J518" s="458">
        <f>labcap_sources!$G$130</f>
        <v>1.1538461538461537</v>
      </c>
      <c r="K518" s="369">
        <f t="shared" si="312"/>
        <v>1.0469157692307692E-3</v>
      </c>
      <c r="L518" s="360"/>
      <c r="M518" s="458">
        <f>labcap_sources!$H$130</f>
        <v>1.4615384615384615</v>
      </c>
      <c r="N518" s="369">
        <f t="shared" si="314"/>
        <v>1.3260933076923076E-3</v>
      </c>
      <c r="O518" s="360"/>
    </row>
    <row r="519" spans="1:15" x14ac:dyDescent="0.25">
      <c r="A519" s="2" t="s">
        <v>1203</v>
      </c>
      <c r="B519" s="5" t="s">
        <v>125</v>
      </c>
      <c r="C519" s="2" t="s">
        <v>124</v>
      </c>
      <c r="E519" s="241" t="s">
        <v>372</v>
      </c>
      <c r="F519" s="362">
        <f>opex_det!U$169</f>
        <v>9.5347120000000007E-3</v>
      </c>
      <c r="G519" s="458">
        <f>labcap_sources!$F$131*labcap_sources!$F$128</f>
        <v>1</v>
      </c>
      <c r="H519" s="362">
        <f t="shared" si="311"/>
        <v>9.5347120000000007E-3</v>
      </c>
      <c r="I519" s="368">
        <f>H519/H523*$F523</f>
        <v>9.5347120000000007E-3</v>
      </c>
      <c r="J519" s="458">
        <f>labcap_sources!$G$131*labcap_sources!$G$128</f>
        <v>0.73888888888888893</v>
      </c>
      <c r="K519" s="362">
        <f>$H519*J519</f>
        <v>7.0450927555555567E-3</v>
      </c>
      <c r="L519" s="368">
        <f>K519/K523*$F523</f>
        <v>6.9899948506819921E-3</v>
      </c>
      <c r="M519" s="458">
        <f>labcap_sources!$H$131*labcap_sources!$H$128</f>
        <v>0.53333333333333333</v>
      </c>
      <c r="N519" s="362">
        <f>$H519*M519</f>
        <v>5.0851797333333337E-3</v>
      </c>
      <c r="O519" s="368">
        <f>N519/N523*$F523</f>
        <v>5.0879621120194177E-3</v>
      </c>
    </row>
    <row r="520" spans="1:15" x14ac:dyDescent="0.25">
      <c r="A520" s="2" t="s">
        <v>1203</v>
      </c>
      <c r="B520" s="5" t="s">
        <v>125</v>
      </c>
      <c r="C520" s="2" t="s">
        <v>124</v>
      </c>
      <c r="E520" s="241" t="s">
        <v>373</v>
      </c>
      <c r="F520" s="362">
        <f>opex_det!U$170</f>
        <v>7.9269931000000002E-2</v>
      </c>
      <c r="G520" s="458">
        <f>labcap_sources!$F$131*labcap_sources!$F$129</f>
        <v>1</v>
      </c>
      <c r="H520" s="362">
        <f t="shared" si="311"/>
        <v>7.9269931000000002E-2</v>
      </c>
      <c r="I520" s="368">
        <f>H520/H523*$F523</f>
        <v>7.9269931000000002E-2</v>
      </c>
      <c r="J520" s="458">
        <f>labcap_sources!$G$131*labcap_sources!$G$129</f>
        <v>0.92076923076923067</v>
      </c>
      <c r="K520" s="362">
        <f t="shared" ref="K520:K522" si="315">$H520*J520</f>
        <v>7.2989313389999991E-2</v>
      </c>
      <c r="L520" s="368">
        <f>K520/K523*$F523</f>
        <v>7.2418482261796938E-2</v>
      </c>
      <c r="M520" s="458">
        <f>labcap_sources!$H$131*labcap_sources!$H$129</f>
        <v>0.68923076923076931</v>
      </c>
      <c r="N520" s="362">
        <f t="shared" ref="N520:N522" si="316">$H520*M520</f>
        <v>5.4635275520000005E-2</v>
      </c>
      <c r="O520" s="368">
        <f>N520/N523*$F523</f>
        <v>5.4665169453761812E-2</v>
      </c>
    </row>
    <row r="521" spans="1:15" x14ac:dyDescent="0.25">
      <c r="A521" s="2" t="s">
        <v>1203</v>
      </c>
      <c r="B521" s="5" t="s">
        <v>125</v>
      </c>
      <c r="C521" s="2" t="s">
        <v>124</v>
      </c>
      <c r="E521" s="241" t="s">
        <v>374</v>
      </c>
      <c r="F521" s="362">
        <f>opex_det!U$171</f>
        <v>6.4093831000000004E-2</v>
      </c>
      <c r="G521" s="458">
        <f>labcap_sources!$F$131*labcap_sources!$F$130</f>
        <v>1</v>
      </c>
      <c r="H521" s="362">
        <f t="shared" si="311"/>
        <v>6.4093831000000004E-2</v>
      </c>
      <c r="I521" s="368">
        <f>H521/H523*$F523</f>
        <v>6.4093831000000004E-2</v>
      </c>
      <c r="J521" s="458">
        <f>labcap_sources!$G$131*labcap_sources!$G$130</f>
        <v>1.096153846153846</v>
      </c>
      <c r="K521" s="362">
        <f t="shared" si="315"/>
        <v>7.0256699365384617E-2</v>
      </c>
      <c r="L521" s="368">
        <f>K521/K523*$F523</f>
        <v>6.9707239326648865E-2</v>
      </c>
      <c r="M521" s="458">
        <f>labcap_sources!$H$131*labcap_sources!$H$130</f>
        <v>1.1692307692307693</v>
      </c>
      <c r="N521" s="362">
        <f t="shared" si="316"/>
        <v>7.4940479323076931E-2</v>
      </c>
      <c r="O521" s="368">
        <f>N521/N523*$F523</f>
        <v>7.4981483339321753E-2</v>
      </c>
    </row>
    <row r="522" spans="1:15" x14ac:dyDescent="0.25">
      <c r="A522" s="2" t="s">
        <v>1203</v>
      </c>
      <c r="B522" s="5" t="s">
        <v>125</v>
      </c>
      <c r="C522" s="2" t="s">
        <v>124</v>
      </c>
      <c r="E522" s="240" t="s">
        <v>375</v>
      </c>
      <c r="F522" s="362">
        <f>opex_det!U$172</f>
        <v>9.0522117999999999E-2</v>
      </c>
      <c r="G522" s="458">
        <f>labcap_sources!$F$132</f>
        <v>1</v>
      </c>
      <c r="H522" s="362">
        <f t="shared" si="311"/>
        <v>9.0522117999999999E-2</v>
      </c>
      <c r="I522" s="368">
        <f>H522/H523*$F523</f>
        <v>9.0522117999999999E-2</v>
      </c>
      <c r="J522" s="458">
        <f>labcap_sources!$G$132</f>
        <v>1.05</v>
      </c>
      <c r="K522" s="362">
        <f t="shared" si="315"/>
        <v>9.5048223900000006E-2</v>
      </c>
      <c r="L522" s="368">
        <f>K522/K523*$F523</f>
        <v>9.430487556087222E-2</v>
      </c>
      <c r="M522" s="458">
        <f>labcap_sources!$H$132</f>
        <v>1.2</v>
      </c>
      <c r="N522" s="362">
        <f t="shared" si="316"/>
        <v>0.1086265416</v>
      </c>
      <c r="O522" s="368">
        <f>N522/N523*$F523</f>
        <v>0.108685977094897</v>
      </c>
    </row>
    <row r="523" spans="1:15" x14ac:dyDescent="0.25">
      <c r="A523" s="2" t="s">
        <v>1203</v>
      </c>
      <c r="B523" s="5" t="s">
        <v>125</v>
      </c>
      <c r="C523" s="2" t="s">
        <v>124</v>
      </c>
      <c r="E523" s="19" t="s">
        <v>1077</v>
      </c>
      <c r="F523" s="363">
        <f>SUM(F519:F522)</f>
        <v>0.24342059199999999</v>
      </c>
      <c r="G523" s="458"/>
      <c r="H523" s="363">
        <f>SUM(H519:H522)</f>
        <v>0.24342059199999999</v>
      </c>
      <c r="I523" s="363">
        <f>SUM(I519:I522)</f>
        <v>0.24342059199999999</v>
      </c>
      <c r="J523" s="458"/>
      <c r="K523" s="363">
        <f>SUM(K519:K522)</f>
        <v>0.24533932941094017</v>
      </c>
      <c r="L523" s="363">
        <f>SUM(L519:L522)</f>
        <v>0.24342059200000002</v>
      </c>
      <c r="M523" s="458"/>
      <c r="N523" s="363">
        <f>SUM(N519:N522)</f>
        <v>0.24328747617641028</v>
      </c>
      <c r="O523" s="363">
        <f>SUM(O519:O522)</f>
        <v>0.24342059199999996</v>
      </c>
    </row>
    <row r="524" spans="1:15" x14ac:dyDescent="0.25">
      <c r="A524" s="2" t="s">
        <v>1203</v>
      </c>
      <c r="B524" s="5" t="s">
        <v>125</v>
      </c>
      <c r="C524" s="2" t="s">
        <v>124</v>
      </c>
      <c r="E524" s="367" t="s">
        <v>1068</v>
      </c>
      <c r="F524" s="359">
        <f>opex_det!U$176</f>
        <v>2.8463099999999998E-4</v>
      </c>
      <c r="G524" s="458">
        <f>labcap_sources!$F$128</f>
        <v>1</v>
      </c>
      <c r="H524" s="369">
        <f t="shared" ref="H524:H533" si="317">$F524*G524</f>
        <v>2.8463099999999998E-4</v>
      </c>
      <c r="I524" s="357"/>
      <c r="J524" s="458">
        <f>labcap_sources!$G$128</f>
        <v>0.7777777777777779</v>
      </c>
      <c r="K524" s="369">
        <f>$H524*J524</f>
        <v>2.2137966666666668E-4</v>
      </c>
      <c r="L524" s="360"/>
      <c r="M524" s="458">
        <f>labcap_sources!$H$128</f>
        <v>0.66666666666666663</v>
      </c>
      <c r="N524" s="369">
        <f>$H524*M524</f>
        <v>1.8975399999999999E-4</v>
      </c>
      <c r="O524" s="360"/>
    </row>
    <row r="525" spans="1:15" x14ac:dyDescent="0.25">
      <c r="A525" s="2" t="s">
        <v>1203</v>
      </c>
      <c r="B525" s="5" t="s">
        <v>125</v>
      </c>
      <c r="C525" s="2" t="s">
        <v>124</v>
      </c>
      <c r="E525" s="367" t="s">
        <v>1069</v>
      </c>
      <c r="F525" s="359">
        <f>opex_det!U$177</f>
        <v>5.2905599999999997E-4</v>
      </c>
      <c r="G525" s="458">
        <f>labcap_sources!$F$128</f>
        <v>1</v>
      </c>
      <c r="H525" s="369">
        <f t="shared" si="317"/>
        <v>5.2905599999999997E-4</v>
      </c>
      <c r="I525" s="357"/>
      <c r="J525" s="458">
        <f>labcap_sources!$G$128</f>
        <v>0.7777777777777779</v>
      </c>
      <c r="K525" s="369">
        <f t="shared" ref="K525:K529" si="318">$H525*J525</f>
        <v>4.1148800000000006E-4</v>
      </c>
      <c r="L525" s="360"/>
      <c r="M525" s="458">
        <f>labcap_sources!$H$128</f>
        <v>0.66666666666666663</v>
      </c>
      <c r="N525" s="369">
        <f t="shared" ref="N525" si="319">$H525*M525</f>
        <v>3.5270399999999996E-4</v>
      </c>
      <c r="O525" s="360"/>
    </row>
    <row r="526" spans="1:15" x14ac:dyDescent="0.25">
      <c r="A526" s="2" t="s">
        <v>1203</v>
      </c>
      <c r="B526" s="5" t="s">
        <v>125</v>
      </c>
      <c r="C526" s="2" t="s">
        <v>124</v>
      </c>
      <c r="E526" s="367" t="s">
        <v>1070</v>
      </c>
      <c r="F526" s="359">
        <f>opex_det!U$178</f>
        <v>2.582913E-3</v>
      </c>
      <c r="G526" s="458">
        <f>labcap_sources!$F$129</f>
        <v>1</v>
      </c>
      <c r="H526" s="369">
        <f t="shared" si="317"/>
        <v>2.582913E-3</v>
      </c>
      <c r="I526" s="357"/>
      <c r="J526" s="458">
        <f>labcap_sources!$G$129</f>
        <v>0.96923076923076923</v>
      </c>
      <c r="K526" s="369">
        <f t="shared" si="318"/>
        <v>2.5034387538461541E-3</v>
      </c>
      <c r="L526" s="360"/>
      <c r="M526" s="458">
        <f>labcap_sources!$H$129</f>
        <v>0.86153846153846159</v>
      </c>
      <c r="N526" s="369">
        <f>$H526*M526</f>
        <v>2.2252788923076924E-3</v>
      </c>
      <c r="O526" s="360"/>
    </row>
    <row r="527" spans="1:15" x14ac:dyDescent="0.25">
      <c r="A527" s="2" t="s">
        <v>1203</v>
      </c>
      <c r="B527" s="5" t="s">
        <v>125</v>
      </c>
      <c r="C527" s="2" t="s">
        <v>124</v>
      </c>
      <c r="E527" s="367" t="s">
        <v>1071</v>
      </c>
      <c r="F527" s="359">
        <f>opex_det!U$179</f>
        <v>1.8681380000000001E-3</v>
      </c>
      <c r="G527" s="458">
        <f>labcap_sources!$F$129</f>
        <v>1</v>
      </c>
      <c r="H527" s="369">
        <f t="shared" si="317"/>
        <v>1.8681380000000001E-3</v>
      </c>
      <c r="I527" s="357"/>
      <c r="J527" s="458">
        <f>labcap_sources!$G$129</f>
        <v>0.96923076923076923</v>
      </c>
      <c r="K527" s="369">
        <f t="shared" si="318"/>
        <v>1.8106568307692309E-3</v>
      </c>
      <c r="L527" s="360"/>
      <c r="M527" s="458">
        <f>labcap_sources!$H$129</f>
        <v>0.86153846153846159</v>
      </c>
      <c r="N527" s="369">
        <f t="shared" ref="N527:N529" si="320">$H527*M527</f>
        <v>1.6094727384615387E-3</v>
      </c>
      <c r="O527" s="360"/>
    </row>
    <row r="528" spans="1:15" x14ac:dyDescent="0.25">
      <c r="A528" s="2" t="s">
        <v>1203</v>
      </c>
      <c r="B528" s="5" t="s">
        <v>125</v>
      </c>
      <c r="C528" s="2" t="s">
        <v>124</v>
      </c>
      <c r="E528" s="367" t="s">
        <v>1072</v>
      </c>
      <c r="F528" s="359">
        <f>opex_det!U$180</f>
        <v>1.0602470000000001E-3</v>
      </c>
      <c r="G528" s="458">
        <f>labcap_sources!$F$130</f>
        <v>1</v>
      </c>
      <c r="H528" s="369">
        <f t="shared" si="317"/>
        <v>1.0602470000000001E-3</v>
      </c>
      <c r="I528" s="357"/>
      <c r="J528" s="458">
        <f>labcap_sources!$G$130</f>
        <v>1.1538461538461537</v>
      </c>
      <c r="K528" s="369">
        <f t="shared" si="318"/>
        <v>1.2233619230769231E-3</v>
      </c>
      <c r="L528" s="360"/>
      <c r="M528" s="458">
        <f>labcap_sources!$H$130</f>
        <v>1.4615384615384615</v>
      </c>
      <c r="N528" s="369">
        <f t="shared" si="320"/>
        <v>1.5495917692307693E-3</v>
      </c>
      <c r="O528" s="360"/>
    </row>
    <row r="529" spans="1:15" x14ac:dyDescent="0.25">
      <c r="A529" s="2" t="s">
        <v>1203</v>
      </c>
      <c r="B529" s="5" t="s">
        <v>125</v>
      </c>
      <c r="C529" s="2" t="s">
        <v>124</v>
      </c>
      <c r="E529" s="367" t="s">
        <v>1073</v>
      </c>
      <c r="F529" s="359">
        <f>opex_det!U$181</f>
        <v>9.3470499999999998E-4</v>
      </c>
      <c r="G529" s="458">
        <f>labcap_sources!$F$130</f>
        <v>1</v>
      </c>
      <c r="H529" s="369">
        <f t="shared" si="317"/>
        <v>9.3470499999999998E-4</v>
      </c>
      <c r="I529" s="357"/>
      <c r="J529" s="458">
        <f>labcap_sources!$G$130</f>
        <v>1.1538461538461537</v>
      </c>
      <c r="K529" s="369">
        <f t="shared" si="318"/>
        <v>1.0785057692307691E-3</v>
      </c>
      <c r="L529" s="360"/>
      <c r="M529" s="458">
        <f>labcap_sources!$H$130</f>
        <v>1.4615384615384615</v>
      </c>
      <c r="N529" s="369">
        <f t="shared" si="320"/>
        <v>1.3661073076923075E-3</v>
      </c>
      <c r="O529" s="360"/>
    </row>
    <row r="530" spans="1:15" x14ac:dyDescent="0.25">
      <c r="A530" s="2" t="s">
        <v>1203</v>
      </c>
      <c r="B530" s="5" t="s">
        <v>127</v>
      </c>
      <c r="C530" s="2" t="s">
        <v>126</v>
      </c>
      <c r="E530" s="241" t="s">
        <v>372</v>
      </c>
      <c r="F530" s="362">
        <f>opex_det!V$169</f>
        <v>1.3258851E-2</v>
      </c>
      <c r="G530" s="458">
        <f>labcap_sources!$F$131*labcap_sources!$F$128</f>
        <v>1</v>
      </c>
      <c r="H530" s="362">
        <f t="shared" si="317"/>
        <v>1.3258851E-2</v>
      </c>
      <c r="I530" s="368">
        <f>H530/H534*$F534</f>
        <v>1.3258851E-2</v>
      </c>
      <c r="J530" s="458">
        <f>labcap_sources!$G$131*labcap_sources!$G$128</f>
        <v>0.73888888888888893</v>
      </c>
      <c r="K530" s="362">
        <f>$H530*J530</f>
        <v>9.7968176833333337E-3</v>
      </c>
      <c r="L530" s="368">
        <f>K530/K534*$F534</f>
        <v>9.7196628701040899E-3</v>
      </c>
      <c r="M530" s="458">
        <f>labcap_sources!$H$131*labcap_sources!$H$128</f>
        <v>0.53333333333333333</v>
      </c>
      <c r="N530" s="362">
        <f>$H530*M530</f>
        <v>7.0713872000000002E-3</v>
      </c>
      <c r="O530" s="368">
        <f>N530/N534*$F534</f>
        <v>7.0733820883132981E-3</v>
      </c>
    </row>
    <row r="531" spans="1:15" x14ac:dyDescent="0.25">
      <c r="A531" s="2" t="s">
        <v>1203</v>
      </c>
      <c r="B531" s="5" t="s">
        <v>127</v>
      </c>
      <c r="C531" s="2" t="s">
        <v>126</v>
      </c>
      <c r="E531" s="241" t="s">
        <v>373</v>
      </c>
      <c r="F531" s="362">
        <f>opex_det!V$170</f>
        <v>0.110231774</v>
      </c>
      <c r="G531" s="458">
        <f>labcap_sources!$F$131*labcap_sources!$F$129</f>
        <v>1</v>
      </c>
      <c r="H531" s="362">
        <f t="shared" si="317"/>
        <v>0.110231774</v>
      </c>
      <c r="I531" s="368">
        <f>H531/H534*$F534</f>
        <v>0.11023177400000002</v>
      </c>
      <c r="J531" s="458">
        <f>labcap_sources!$G$131*labcap_sources!$G$129</f>
        <v>0.92076923076923067</v>
      </c>
      <c r="K531" s="362">
        <f t="shared" ref="K531:K533" si="321">$H531*J531</f>
        <v>0.10149802575230768</v>
      </c>
      <c r="L531" s="368">
        <f>K531/K534*$F534</f>
        <v>0.10069867830365824</v>
      </c>
      <c r="M531" s="458">
        <f>labcap_sources!$H$131*labcap_sources!$H$129</f>
        <v>0.68923076923076931</v>
      </c>
      <c r="N531" s="362">
        <f t="shared" ref="N531:N533" si="322">$H531*M531</f>
        <v>7.5975130387692325E-2</v>
      </c>
      <c r="O531" s="368">
        <f>N531/N534*$F534</f>
        <v>7.5996563509005743E-2</v>
      </c>
    </row>
    <row r="532" spans="1:15" x14ac:dyDescent="0.25">
      <c r="A532" s="2" t="s">
        <v>1203</v>
      </c>
      <c r="B532" s="5" t="s">
        <v>127</v>
      </c>
      <c r="C532" s="2" t="s">
        <v>126</v>
      </c>
      <c r="E532" s="241" t="s">
        <v>374</v>
      </c>
      <c r="F532" s="362">
        <f>opex_det!V$171</f>
        <v>8.9128079999999998E-2</v>
      </c>
      <c r="G532" s="458">
        <f>labcap_sources!$F$131*labcap_sources!$F$130</f>
        <v>1</v>
      </c>
      <c r="H532" s="362">
        <f t="shared" si="317"/>
        <v>8.9128079999999998E-2</v>
      </c>
      <c r="I532" s="368">
        <f>H532/H534*$F534</f>
        <v>8.9128079999999998E-2</v>
      </c>
      <c r="J532" s="458">
        <f>labcap_sources!$G$131*labcap_sources!$G$130</f>
        <v>1.096153846153846</v>
      </c>
      <c r="K532" s="362">
        <f t="shared" si="321"/>
        <v>9.7698087692307686E-2</v>
      </c>
      <c r="L532" s="368">
        <f>K532/K534*$F534</f>
        <v>9.6928666646371717E-2</v>
      </c>
      <c r="M532" s="458">
        <f>labcap_sources!$H$131*labcap_sources!$H$130</f>
        <v>1.1692307692307693</v>
      </c>
      <c r="N532" s="362">
        <f t="shared" si="322"/>
        <v>0.10421129353846154</v>
      </c>
      <c r="O532" s="368">
        <f>N532/N534*$F534</f>
        <v>0.10424069228098741</v>
      </c>
    </row>
    <row r="533" spans="1:15" x14ac:dyDescent="0.25">
      <c r="A533" s="2" t="s">
        <v>1203</v>
      </c>
      <c r="B533" s="5" t="s">
        <v>127</v>
      </c>
      <c r="C533" s="2" t="s">
        <v>126</v>
      </c>
      <c r="E533" s="240" t="s">
        <v>375</v>
      </c>
      <c r="F533" s="362">
        <f>opex_det!V$172</f>
        <v>0.12632651</v>
      </c>
      <c r="G533" s="458">
        <f>labcap_sources!$F$132</f>
        <v>1</v>
      </c>
      <c r="H533" s="362">
        <f t="shared" si="317"/>
        <v>0.12632651</v>
      </c>
      <c r="I533" s="368">
        <f>H533/H534*$F534</f>
        <v>0.12632651</v>
      </c>
      <c r="J533" s="458">
        <f>labcap_sources!$G$132</f>
        <v>1.05</v>
      </c>
      <c r="K533" s="362">
        <f t="shared" si="321"/>
        <v>0.1326428355</v>
      </c>
      <c r="L533" s="368">
        <f>K533/K534*$F534</f>
        <v>0.13159820717986598</v>
      </c>
      <c r="M533" s="458">
        <f>labcap_sources!$H$132</f>
        <v>1.2</v>
      </c>
      <c r="N533" s="362">
        <f t="shared" si="322"/>
        <v>0.15159181199999999</v>
      </c>
      <c r="O533" s="368">
        <f>N533/N534*$F534</f>
        <v>0.15163457712169356</v>
      </c>
    </row>
    <row r="534" spans="1:15" x14ac:dyDescent="0.25">
      <c r="A534" s="2" t="s">
        <v>1203</v>
      </c>
      <c r="B534" s="5" t="s">
        <v>127</v>
      </c>
      <c r="C534" s="2" t="s">
        <v>126</v>
      </c>
      <c r="E534" s="19" t="s">
        <v>1077</v>
      </c>
      <c r="F534" s="363">
        <f>SUM(F530:F533)</f>
        <v>0.33894521500000002</v>
      </c>
      <c r="G534" s="458"/>
      <c r="H534" s="363">
        <f>SUM(H530:H533)</f>
        <v>0.33894521500000002</v>
      </c>
      <c r="I534" s="363">
        <f>SUM(I530:I533)</f>
        <v>0.33894521500000002</v>
      </c>
      <c r="J534" s="458"/>
      <c r="K534" s="363">
        <f>SUM(K530:K533)</f>
        <v>0.3416357666279487</v>
      </c>
      <c r="L534" s="363">
        <f>SUM(L530:L533)</f>
        <v>0.33894521500000002</v>
      </c>
      <c r="M534" s="458"/>
      <c r="N534" s="363">
        <f>SUM(N530:N533)</f>
        <v>0.33884962312615385</v>
      </c>
      <c r="O534" s="363">
        <f>SUM(O530:O533)</f>
        <v>0.33894521500000002</v>
      </c>
    </row>
    <row r="535" spans="1:15" x14ac:dyDescent="0.25">
      <c r="A535" s="2" t="s">
        <v>1203</v>
      </c>
      <c r="B535" s="5" t="s">
        <v>127</v>
      </c>
      <c r="C535" s="2" t="s">
        <v>126</v>
      </c>
      <c r="E535" s="367" t="s">
        <v>1068</v>
      </c>
      <c r="F535" s="359">
        <f>opex_det!V$176</f>
        <v>3.1583499999999999E-4</v>
      </c>
      <c r="G535" s="458">
        <f>labcap_sources!$F$128</f>
        <v>1</v>
      </c>
      <c r="H535" s="369">
        <f t="shared" ref="H535:H544" si="323">$F535*G535</f>
        <v>3.1583499999999999E-4</v>
      </c>
      <c r="I535" s="357"/>
      <c r="J535" s="458">
        <f>labcap_sources!$G$128</f>
        <v>0.7777777777777779</v>
      </c>
      <c r="K535" s="369">
        <f>$H535*J535</f>
        <v>2.4564944444444448E-4</v>
      </c>
      <c r="L535" s="360"/>
      <c r="M535" s="458">
        <f>labcap_sources!$H$128</f>
        <v>0.66666666666666663</v>
      </c>
      <c r="N535" s="369">
        <f>$H535*M535</f>
        <v>2.1055666666666665E-4</v>
      </c>
      <c r="O535" s="360"/>
    </row>
    <row r="536" spans="1:15" x14ac:dyDescent="0.25">
      <c r="A536" s="2" t="s">
        <v>1203</v>
      </c>
      <c r="B536" s="5" t="s">
        <v>127</v>
      </c>
      <c r="C536" s="2" t="s">
        <v>126</v>
      </c>
      <c r="E536" s="367" t="s">
        <v>1069</v>
      </c>
      <c r="F536" s="359">
        <f>opex_det!V$177</f>
        <v>6.64407E-4</v>
      </c>
      <c r="G536" s="458">
        <f>labcap_sources!$F$128</f>
        <v>1</v>
      </c>
      <c r="H536" s="369">
        <f t="shared" si="323"/>
        <v>6.64407E-4</v>
      </c>
      <c r="I536" s="357"/>
      <c r="J536" s="458">
        <f>labcap_sources!$G$128</f>
        <v>0.7777777777777779</v>
      </c>
      <c r="K536" s="369">
        <f t="shared" ref="K536:K540" si="324">$H536*J536</f>
        <v>5.1676100000000013E-4</v>
      </c>
      <c r="L536" s="360"/>
      <c r="M536" s="458">
        <f>labcap_sources!$H$128</f>
        <v>0.66666666666666663</v>
      </c>
      <c r="N536" s="369">
        <f t="shared" ref="N536" si="325">$H536*M536</f>
        <v>4.4293799999999998E-4</v>
      </c>
      <c r="O536" s="360"/>
    </row>
    <row r="537" spans="1:15" x14ac:dyDescent="0.25">
      <c r="A537" s="2" t="s">
        <v>1203</v>
      </c>
      <c r="B537" s="5" t="s">
        <v>127</v>
      </c>
      <c r="C537" s="2" t="s">
        <v>126</v>
      </c>
      <c r="E537" s="367" t="s">
        <v>1070</v>
      </c>
      <c r="F537" s="359">
        <f>opex_det!V$178</f>
        <v>4.0505360000000004E-3</v>
      </c>
      <c r="G537" s="458">
        <f>labcap_sources!$F$129</f>
        <v>1</v>
      </c>
      <c r="H537" s="369">
        <f t="shared" si="323"/>
        <v>4.0505360000000004E-3</v>
      </c>
      <c r="I537" s="357"/>
      <c r="J537" s="458">
        <f>labcap_sources!$G$129</f>
        <v>0.96923076923076923</v>
      </c>
      <c r="K537" s="369">
        <f t="shared" si="324"/>
        <v>3.9259041230769237E-3</v>
      </c>
      <c r="L537" s="360"/>
      <c r="M537" s="458">
        <f>labcap_sources!$H$129</f>
        <v>0.86153846153846159</v>
      </c>
      <c r="N537" s="369">
        <f>$H537*M537</f>
        <v>3.4896925538461542E-3</v>
      </c>
      <c r="O537" s="360"/>
    </row>
    <row r="538" spans="1:15" x14ac:dyDescent="0.25">
      <c r="A538" s="2" t="s">
        <v>1203</v>
      </c>
      <c r="B538" s="5" t="s">
        <v>127</v>
      </c>
      <c r="C538" s="2" t="s">
        <v>126</v>
      </c>
      <c r="E538" s="367" t="s">
        <v>1071</v>
      </c>
      <c r="F538" s="359">
        <f>opex_det!V$179</f>
        <v>2.930818E-3</v>
      </c>
      <c r="G538" s="458">
        <f>labcap_sources!$F$129</f>
        <v>1</v>
      </c>
      <c r="H538" s="369">
        <f t="shared" si="323"/>
        <v>2.930818E-3</v>
      </c>
      <c r="I538" s="357"/>
      <c r="J538" s="458">
        <f>labcap_sources!$G$129</f>
        <v>0.96923076923076923</v>
      </c>
      <c r="K538" s="369">
        <f t="shared" si="324"/>
        <v>2.8406389846153844E-3</v>
      </c>
      <c r="L538" s="360"/>
      <c r="M538" s="458">
        <f>labcap_sources!$H$129</f>
        <v>0.86153846153846159</v>
      </c>
      <c r="N538" s="369">
        <f t="shared" ref="N538:N540" si="326">$H538*M538</f>
        <v>2.5250124307692307E-3</v>
      </c>
      <c r="O538" s="360"/>
    </row>
    <row r="539" spans="1:15" x14ac:dyDescent="0.25">
      <c r="A539" s="2" t="s">
        <v>1203</v>
      </c>
      <c r="B539" s="5" t="s">
        <v>127</v>
      </c>
      <c r="C539" s="2" t="s">
        <v>126</v>
      </c>
      <c r="E539" s="367" t="s">
        <v>1072</v>
      </c>
      <c r="F539" s="359">
        <f>opex_det!V$180</f>
        <v>1.6083779999999999E-3</v>
      </c>
      <c r="G539" s="458">
        <f>labcap_sources!$F$130</f>
        <v>1</v>
      </c>
      <c r="H539" s="369">
        <f t="shared" si="323"/>
        <v>1.6083779999999999E-3</v>
      </c>
      <c r="I539" s="357"/>
      <c r="J539" s="458">
        <f>labcap_sources!$G$130</f>
        <v>1.1538461538461537</v>
      </c>
      <c r="K539" s="369">
        <f t="shared" si="324"/>
        <v>1.8558207692307689E-3</v>
      </c>
      <c r="L539" s="360"/>
      <c r="M539" s="458">
        <f>labcap_sources!$H$130</f>
        <v>1.4615384615384615</v>
      </c>
      <c r="N539" s="369">
        <f t="shared" si="326"/>
        <v>2.3507063076923075E-3</v>
      </c>
      <c r="O539" s="360"/>
    </row>
    <row r="540" spans="1:15" x14ac:dyDescent="0.25">
      <c r="A540" s="2" t="s">
        <v>1203</v>
      </c>
      <c r="B540" s="5" t="s">
        <v>127</v>
      </c>
      <c r="C540" s="2" t="s">
        <v>126</v>
      </c>
      <c r="E540" s="367" t="s">
        <v>1073</v>
      </c>
      <c r="F540" s="359">
        <f>opex_det!V$181</f>
        <v>1.3649790000000001E-3</v>
      </c>
      <c r="G540" s="458">
        <f>labcap_sources!$F$130</f>
        <v>1</v>
      </c>
      <c r="H540" s="369">
        <f t="shared" si="323"/>
        <v>1.3649790000000001E-3</v>
      </c>
      <c r="I540" s="357"/>
      <c r="J540" s="458">
        <f>labcap_sources!$G$130</f>
        <v>1.1538461538461537</v>
      </c>
      <c r="K540" s="369">
        <f t="shared" si="324"/>
        <v>1.5749757692307693E-3</v>
      </c>
      <c r="L540" s="360"/>
      <c r="M540" s="458">
        <f>labcap_sources!$H$130</f>
        <v>1.4615384615384615</v>
      </c>
      <c r="N540" s="369">
        <f t="shared" si="326"/>
        <v>1.9949693076923079E-3</v>
      </c>
      <c r="O540" s="360"/>
    </row>
    <row r="541" spans="1:15" x14ac:dyDescent="0.25">
      <c r="A541" s="2" t="s">
        <v>1203</v>
      </c>
      <c r="B541" s="5" t="s">
        <v>129</v>
      </c>
      <c r="C541" s="2" t="s">
        <v>128</v>
      </c>
      <c r="E541" s="241" t="s">
        <v>372</v>
      </c>
      <c r="F541" s="362">
        <f>opex_det!W$169</f>
        <v>7.5331790000000001E-3</v>
      </c>
      <c r="G541" s="458">
        <f>labcap_sources!$F$131*labcap_sources!$F$128</f>
        <v>1</v>
      </c>
      <c r="H541" s="362">
        <f t="shared" si="323"/>
        <v>7.5331790000000001E-3</v>
      </c>
      <c r="I541" s="368">
        <f>H541/H545*$F545</f>
        <v>7.5331790000000001E-3</v>
      </c>
      <c r="J541" s="458">
        <f>labcap_sources!$G$131*labcap_sources!$G$128</f>
        <v>0.73888888888888893</v>
      </c>
      <c r="K541" s="362">
        <f>$H541*J541</f>
        <v>5.5661822611111113E-3</v>
      </c>
      <c r="L541" s="368">
        <f>K541/K545*$F545</f>
        <v>5.5568612939117393E-3</v>
      </c>
      <c r="M541" s="458">
        <f>labcap_sources!$H$131*labcap_sources!$H$128</f>
        <v>0.53333333333333333</v>
      </c>
      <c r="N541" s="362">
        <f>$H541*M541</f>
        <v>4.0176954666666671E-3</v>
      </c>
      <c r="O541" s="368">
        <f>N541/N545*$F545</f>
        <v>4.1423495924739536E-3</v>
      </c>
    </row>
    <row r="542" spans="1:15" x14ac:dyDescent="0.25">
      <c r="A542" s="2" t="s">
        <v>1203</v>
      </c>
      <c r="B542" s="5" t="s">
        <v>129</v>
      </c>
      <c r="C542" s="2" t="s">
        <v>128</v>
      </c>
      <c r="E542" s="241" t="s">
        <v>373</v>
      </c>
      <c r="F542" s="362">
        <f>opex_det!W$170</f>
        <v>6.2629540999999997E-2</v>
      </c>
      <c r="G542" s="458">
        <f>labcap_sources!$F$131*labcap_sources!$F$129</f>
        <v>1</v>
      </c>
      <c r="H542" s="362">
        <f t="shared" si="323"/>
        <v>6.2629540999999997E-2</v>
      </c>
      <c r="I542" s="368">
        <f>H542/H545*$F545</f>
        <v>6.2629540999999997E-2</v>
      </c>
      <c r="J542" s="458">
        <f>labcap_sources!$G$131*labcap_sources!$G$129</f>
        <v>0.92076923076923067</v>
      </c>
      <c r="K542" s="362">
        <f t="shared" ref="K542:K544" si="327">$H542*J542</f>
        <v>5.7667354289999993E-2</v>
      </c>
      <c r="L542" s="368">
        <f>K542/K545*$F545</f>
        <v>5.7570786212887776E-2</v>
      </c>
      <c r="M542" s="458">
        <f>labcap_sources!$H$131*labcap_sources!$H$129</f>
        <v>0.68923076923076931</v>
      </c>
      <c r="N542" s="362">
        <f t="shared" ref="N542:N544" si="328">$H542*M542</f>
        <v>4.3166206720000003E-2</v>
      </c>
      <c r="O542" s="368">
        <f>N542/N545*$F545</f>
        <v>4.4505493335359747E-2</v>
      </c>
    </row>
    <row r="543" spans="1:15" x14ac:dyDescent="0.25">
      <c r="A543" s="2" t="s">
        <v>1203</v>
      </c>
      <c r="B543" s="5" t="s">
        <v>129</v>
      </c>
      <c r="C543" s="2" t="s">
        <v>128</v>
      </c>
      <c r="E543" s="241" t="s">
        <v>374</v>
      </c>
      <c r="F543" s="362">
        <f>opex_det!W$171</f>
        <v>5.0639217E-2</v>
      </c>
      <c r="G543" s="458">
        <f>labcap_sources!$F$131*labcap_sources!$F$130</f>
        <v>1</v>
      </c>
      <c r="H543" s="362">
        <f t="shared" si="323"/>
        <v>5.0639217E-2</v>
      </c>
      <c r="I543" s="368">
        <f>H543/H545*$F545</f>
        <v>5.0639217000000007E-2</v>
      </c>
      <c r="J543" s="458">
        <f>labcap_sources!$G$131*labcap_sources!$G$130</f>
        <v>1.096153846153846</v>
      </c>
      <c r="K543" s="362">
        <f t="shared" si="327"/>
        <v>5.5508372480769223E-2</v>
      </c>
      <c r="L543" s="368">
        <f>K543/K545*$F545</f>
        <v>5.5415419771908322E-2</v>
      </c>
      <c r="M543" s="458">
        <f>labcap_sources!$H$131*labcap_sources!$H$130</f>
        <v>1.1692307692307693</v>
      </c>
      <c r="N543" s="362">
        <f t="shared" si="328"/>
        <v>5.9208930646153853E-2</v>
      </c>
      <c r="O543" s="368">
        <f>N543/N545*$F545</f>
        <v>6.1045963231354729E-2</v>
      </c>
    </row>
    <row r="544" spans="1:15" x14ac:dyDescent="0.25">
      <c r="A544" s="2" t="s">
        <v>1203</v>
      </c>
      <c r="B544" s="5" t="s">
        <v>129</v>
      </c>
      <c r="C544" s="2" t="s">
        <v>128</v>
      </c>
      <c r="E544" s="240" t="s">
        <v>375</v>
      </c>
      <c r="F544" s="362">
        <f>opex_det!W$172</f>
        <v>4.6824007000000001E-2</v>
      </c>
      <c r="G544" s="458">
        <f>labcap_sources!$F$132</f>
        <v>1</v>
      </c>
      <c r="H544" s="362">
        <f t="shared" si="323"/>
        <v>4.6824007000000001E-2</v>
      </c>
      <c r="I544" s="368">
        <f>H544/H545*$F545</f>
        <v>4.6824007000000001E-2</v>
      </c>
      <c r="J544" s="458">
        <f>labcap_sources!$G$132</f>
        <v>1.05</v>
      </c>
      <c r="K544" s="362">
        <f t="shared" si="327"/>
        <v>4.9165207350000004E-2</v>
      </c>
      <c r="L544" s="368">
        <f>K544/K545*$F545</f>
        <v>4.9082876721292169E-2</v>
      </c>
      <c r="M544" s="458">
        <f>labcap_sources!$H$132</f>
        <v>1.2</v>
      </c>
      <c r="N544" s="362">
        <f t="shared" si="328"/>
        <v>5.6188808399999998E-2</v>
      </c>
      <c r="O544" s="368">
        <f>N544/N545*$F545</f>
        <v>5.793213784081154E-2</v>
      </c>
    </row>
    <row r="545" spans="1:15" x14ac:dyDescent="0.25">
      <c r="A545" s="2" t="s">
        <v>1203</v>
      </c>
      <c r="B545" s="5" t="s">
        <v>129</v>
      </c>
      <c r="C545" s="2" t="s">
        <v>128</v>
      </c>
      <c r="E545" s="19" t="s">
        <v>1077</v>
      </c>
      <c r="F545" s="363">
        <f>SUM(F541:F544)</f>
        <v>0.167625944</v>
      </c>
      <c r="G545" s="458"/>
      <c r="H545" s="363">
        <f>SUM(H541:H544)</f>
        <v>0.167625944</v>
      </c>
      <c r="I545" s="363">
        <f>SUM(I541:I544)</f>
        <v>0.167625944</v>
      </c>
      <c r="J545" s="458"/>
      <c r="K545" s="363">
        <f>SUM(K541:K544)</f>
        <v>0.16790711638188033</v>
      </c>
      <c r="L545" s="363">
        <f>SUM(L541:L544)</f>
        <v>0.167625944</v>
      </c>
      <c r="M545" s="458"/>
      <c r="N545" s="363">
        <f>SUM(N541:N544)</f>
        <v>0.16258164123282054</v>
      </c>
      <c r="O545" s="363">
        <f>SUM(O541:O544)</f>
        <v>0.16762594399999997</v>
      </c>
    </row>
    <row r="546" spans="1:15" x14ac:dyDescent="0.25">
      <c r="A546" s="2" t="s">
        <v>1203</v>
      </c>
      <c r="B546" s="5" t="s">
        <v>129</v>
      </c>
      <c r="C546" s="2" t="s">
        <v>128</v>
      </c>
      <c r="E546" s="367" t="s">
        <v>1068</v>
      </c>
      <c r="F546" s="359">
        <f>opex_det!W$176</f>
        <v>1.7173500000000001E-4</v>
      </c>
      <c r="G546" s="458">
        <f>labcap_sources!$F$128</f>
        <v>1</v>
      </c>
      <c r="H546" s="369">
        <f t="shared" ref="H546:H555" si="329">$F546*G546</f>
        <v>1.7173500000000001E-4</v>
      </c>
      <c r="I546" s="357"/>
      <c r="J546" s="458">
        <f>labcap_sources!$G$128</f>
        <v>0.7777777777777779</v>
      </c>
      <c r="K546" s="369">
        <f>$H546*J546</f>
        <v>1.3357166666666669E-4</v>
      </c>
      <c r="L546" s="360"/>
      <c r="M546" s="458">
        <f>labcap_sources!$H$128</f>
        <v>0.66666666666666663</v>
      </c>
      <c r="N546" s="369">
        <f>$H546*M546</f>
        <v>1.1449E-4</v>
      </c>
      <c r="O546" s="360"/>
    </row>
    <row r="547" spans="1:15" x14ac:dyDescent="0.25">
      <c r="A547" s="2" t="s">
        <v>1203</v>
      </c>
      <c r="B547" s="5" t="s">
        <v>129</v>
      </c>
      <c r="C547" s="2" t="s">
        <v>128</v>
      </c>
      <c r="E547" s="367" t="s">
        <v>1069</v>
      </c>
      <c r="F547" s="359">
        <f>opex_det!W$177</f>
        <v>3.58938E-4</v>
      </c>
      <c r="G547" s="458">
        <f>labcap_sources!$F$128</f>
        <v>1</v>
      </c>
      <c r="H547" s="369">
        <f t="shared" si="329"/>
        <v>3.58938E-4</v>
      </c>
      <c r="I547" s="357"/>
      <c r="J547" s="458">
        <f>labcap_sources!$G$128</f>
        <v>0.7777777777777779</v>
      </c>
      <c r="K547" s="369">
        <f t="shared" ref="K547:K551" si="330">$H547*J547</f>
        <v>2.7917400000000003E-4</v>
      </c>
      <c r="L547" s="360"/>
      <c r="M547" s="458">
        <f>labcap_sources!$H$128</f>
        <v>0.66666666666666663</v>
      </c>
      <c r="N547" s="369">
        <f t="shared" ref="N547" si="331">$H547*M547</f>
        <v>2.39292E-4</v>
      </c>
      <c r="O547" s="360"/>
    </row>
    <row r="548" spans="1:15" x14ac:dyDescent="0.25">
      <c r="A548" s="2" t="s">
        <v>1203</v>
      </c>
      <c r="B548" s="5" t="s">
        <v>129</v>
      </c>
      <c r="C548" s="2" t="s">
        <v>128</v>
      </c>
      <c r="E548" s="367" t="s">
        <v>1070</v>
      </c>
      <c r="F548" s="359">
        <f>opex_det!W$178</f>
        <v>2.156243E-3</v>
      </c>
      <c r="G548" s="458">
        <f>labcap_sources!$F$129</f>
        <v>1</v>
      </c>
      <c r="H548" s="369">
        <f t="shared" si="329"/>
        <v>2.156243E-3</v>
      </c>
      <c r="I548" s="357"/>
      <c r="J548" s="458">
        <f>labcap_sources!$G$129</f>
        <v>0.96923076923076923</v>
      </c>
      <c r="K548" s="369">
        <f t="shared" si="330"/>
        <v>2.0898970615384617E-3</v>
      </c>
      <c r="L548" s="360"/>
      <c r="M548" s="458">
        <f>labcap_sources!$H$129</f>
        <v>0.86153846153846159</v>
      </c>
      <c r="N548" s="369">
        <f>$H548*M548</f>
        <v>1.857686276923077E-3</v>
      </c>
      <c r="O548" s="360"/>
    </row>
    <row r="549" spans="1:15" x14ac:dyDescent="0.25">
      <c r="A549" s="2" t="s">
        <v>1203</v>
      </c>
      <c r="B549" s="5" t="s">
        <v>129</v>
      </c>
      <c r="C549" s="2" t="s">
        <v>128</v>
      </c>
      <c r="E549" s="367" t="s">
        <v>1071</v>
      </c>
      <c r="F549" s="359">
        <f>opex_det!W$179</f>
        <v>1.5852189999999999E-3</v>
      </c>
      <c r="G549" s="458">
        <f>labcap_sources!$F$129</f>
        <v>1</v>
      </c>
      <c r="H549" s="369">
        <f t="shared" si="329"/>
        <v>1.5852189999999999E-3</v>
      </c>
      <c r="I549" s="357"/>
      <c r="J549" s="458">
        <f>labcap_sources!$G$129</f>
        <v>0.96923076923076923</v>
      </c>
      <c r="K549" s="369">
        <f t="shared" si="330"/>
        <v>1.5364430307692307E-3</v>
      </c>
      <c r="L549" s="360"/>
      <c r="M549" s="458">
        <f>labcap_sources!$H$129</f>
        <v>0.86153846153846159</v>
      </c>
      <c r="N549" s="369">
        <f t="shared" ref="N549:N551" si="332">$H549*M549</f>
        <v>1.3657271384615384E-3</v>
      </c>
      <c r="O549" s="360"/>
    </row>
    <row r="550" spans="1:15" x14ac:dyDescent="0.25">
      <c r="A550" s="2" t="s">
        <v>1203</v>
      </c>
      <c r="B550" s="5" t="s">
        <v>129</v>
      </c>
      <c r="C550" s="2" t="s">
        <v>128</v>
      </c>
      <c r="E550" s="367" t="s">
        <v>1072</v>
      </c>
      <c r="F550" s="359">
        <f>opex_det!W$180</f>
        <v>8.7733899999999998E-4</v>
      </c>
      <c r="G550" s="458">
        <f>labcap_sources!$F$130</f>
        <v>1</v>
      </c>
      <c r="H550" s="369">
        <f t="shared" si="329"/>
        <v>8.7733899999999998E-4</v>
      </c>
      <c r="I550" s="357"/>
      <c r="J550" s="458">
        <f>labcap_sources!$G$130</f>
        <v>1.1538461538461537</v>
      </c>
      <c r="K550" s="369">
        <f t="shared" si="330"/>
        <v>1.0123142307692306E-3</v>
      </c>
      <c r="L550" s="360"/>
      <c r="M550" s="458">
        <f>labcap_sources!$H$130</f>
        <v>1.4615384615384615</v>
      </c>
      <c r="N550" s="369">
        <f t="shared" si="332"/>
        <v>1.2822646923076923E-3</v>
      </c>
      <c r="O550" s="360"/>
    </row>
    <row r="551" spans="1:15" x14ac:dyDescent="0.25">
      <c r="A551" s="2" t="s">
        <v>1203</v>
      </c>
      <c r="B551" s="5" t="s">
        <v>129</v>
      </c>
      <c r="C551" s="2" t="s">
        <v>128</v>
      </c>
      <c r="E551" s="367" t="s">
        <v>1073</v>
      </c>
      <c r="F551" s="359">
        <f>opex_det!W$181</f>
        <v>7.3853299999999998E-4</v>
      </c>
      <c r="G551" s="458">
        <f>labcap_sources!$F$130</f>
        <v>1</v>
      </c>
      <c r="H551" s="369">
        <f t="shared" si="329"/>
        <v>7.3853299999999998E-4</v>
      </c>
      <c r="I551" s="357"/>
      <c r="J551" s="458">
        <f>labcap_sources!$G$130</f>
        <v>1.1538461538461537</v>
      </c>
      <c r="K551" s="369">
        <f t="shared" si="330"/>
        <v>8.5215346153846145E-4</v>
      </c>
      <c r="L551" s="360"/>
      <c r="M551" s="458">
        <f>labcap_sources!$H$130</f>
        <v>1.4615384615384615</v>
      </c>
      <c r="N551" s="369">
        <f t="shared" si="332"/>
        <v>1.0793943846153845E-3</v>
      </c>
      <c r="O551" s="360"/>
    </row>
    <row r="552" spans="1:15" x14ac:dyDescent="0.25">
      <c r="A552" s="2" t="s">
        <v>1203</v>
      </c>
      <c r="B552" s="6" t="s">
        <v>131</v>
      </c>
      <c r="C552" s="2" t="s">
        <v>130</v>
      </c>
      <c r="E552" s="241" t="s">
        <v>372</v>
      </c>
      <c r="F552" s="362">
        <f>opex_det!X$169</f>
        <v>1.214459E-2</v>
      </c>
      <c r="G552" s="458">
        <f>labcap_sources!$F$131*labcap_sources!$F$128</f>
        <v>1</v>
      </c>
      <c r="H552" s="362">
        <f t="shared" si="329"/>
        <v>1.214459E-2</v>
      </c>
      <c r="I552" s="368">
        <f>H552/H556*$F556</f>
        <v>1.214459E-2</v>
      </c>
      <c r="J552" s="458">
        <f>labcap_sources!$G$131*labcap_sources!$G$128</f>
        <v>0.73888888888888893</v>
      </c>
      <c r="K552" s="362">
        <f>$H552*J552</f>
        <v>8.9735026111111126E-3</v>
      </c>
      <c r="L552" s="368">
        <f>K552/K556*$F556</f>
        <v>8.9742966733682688E-3</v>
      </c>
      <c r="M552" s="458">
        <f>labcap_sources!$H$131*labcap_sources!$H$128</f>
        <v>0.53333333333333333</v>
      </c>
      <c r="N552" s="362">
        <f>$H552*M552</f>
        <v>6.4771146666666663E-3</v>
      </c>
      <c r="O552" s="368">
        <f>N552/N556*$F556</f>
        <v>6.7452056031452818E-3</v>
      </c>
    </row>
    <row r="553" spans="1:15" x14ac:dyDescent="0.25">
      <c r="A553" s="2" t="s">
        <v>1203</v>
      </c>
      <c r="B553" s="6" t="s">
        <v>131</v>
      </c>
      <c r="C553" s="2" t="s">
        <v>130</v>
      </c>
      <c r="E553" s="241" t="s">
        <v>373</v>
      </c>
      <c r="F553" s="362">
        <f>opex_det!X$170</f>
        <v>0.104142605</v>
      </c>
      <c r="G553" s="458">
        <f>labcap_sources!$F$131*labcap_sources!$F$129</f>
        <v>1</v>
      </c>
      <c r="H553" s="362">
        <f t="shared" si="329"/>
        <v>0.104142605</v>
      </c>
      <c r="I553" s="368">
        <f>H553/H556*$F556</f>
        <v>0.104142605</v>
      </c>
      <c r="J553" s="458">
        <f>labcap_sources!$G$131*labcap_sources!$G$129</f>
        <v>0.92076923076923067</v>
      </c>
      <c r="K553" s="362">
        <f t="shared" ref="K553:K555" si="333">$H553*J553</f>
        <v>9.5891306296153833E-2</v>
      </c>
      <c r="L553" s="368">
        <f>K553/K556*$F556</f>
        <v>9.5899791685908439E-2</v>
      </c>
      <c r="M553" s="458">
        <f>labcap_sources!$H$131*labcap_sources!$H$129</f>
        <v>0.68923076923076931</v>
      </c>
      <c r="N553" s="362">
        <f t="shared" ref="N553:N555" si="334">$H553*M553</f>
        <v>7.1778287753846162E-2</v>
      </c>
      <c r="O553" s="368">
        <f>N553/N556*$F556</f>
        <v>7.4749226107275565E-2</v>
      </c>
    </row>
    <row r="554" spans="1:15" x14ac:dyDescent="0.25">
      <c r="A554" s="2" t="s">
        <v>1203</v>
      </c>
      <c r="B554" s="6" t="s">
        <v>131</v>
      </c>
      <c r="C554" s="2" t="s">
        <v>130</v>
      </c>
      <c r="E554" s="241" t="s">
        <v>374</v>
      </c>
      <c r="F554" s="362">
        <f>opex_det!X$171</f>
        <v>8.4286530999999998E-2</v>
      </c>
      <c r="G554" s="458">
        <f>labcap_sources!$F$131*labcap_sources!$F$130</f>
        <v>1</v>
      </c>
      <c r="H554" s="362">
        <f t="shared" si="329"/>
        <v>8.4286530999999998E-2</v>
      </c>
      <c r="I554" s="368">
        <f>H554/H556*$F556</f>
        <v>8.4286530999999998E-2</v>
      </c>
      <c r="J554" s="458">
        <f>labcap_sources!$G$131*labcap_sources!$G$130</f>
        <v>1.096153846153846</v>
      </c>
      <c r="K554" s="362">
        <f t="shared" si="333"/>
        <v>9.2391005134615373E-2</v>
      </c>
      <c r="L554" s="368">
        <f>K554/K556*$F556</f>
        <v>9.2399180783886078E-2</v>
      </c>
      <c r="M554" s="458">
        <f>labcap_sources!$H$131*labcap_sources!$H$130</f>
        <v>1.1692307692307693</v>
      </c>
      <c r="N554" s="362">
        <f t="shared" si="334"/>
        <v>9.8550405476923078E-2</v>
      </c>
      <c r="O554" s="368">
        <f>N554/N556*$F556</f>
        <v>0.10262945484602318</v>
      </c>
    </row>
    <row r="555" spans="1:15" x14ac:dyDescent="0.25">
      <c r="A555" s="2" t="s">
        <v>1203</v>
      </c>
      <c r="B555" s="6" t="s">
        <v>131</v>
      </c>
      <c r="C555" s="2" t="s">
        <v>130</v>
      </c>
      <c r="E555" s="240" t="s">
        <v>375</v>
      </c>
      <c r="F555" s="362">
        <f>opex_det!X$172</f>
        <v>6.5886701000000006E-2</v>
      </c>
      <c r="G555" s="458">
        <f>labcap_sources!$F$132</f>
        <v>1</v>
      </c>
      <c r="H555" s="362">
        <f t="shared" si="329"/>
        <v>6.5886701000000006E-2</v>
      </c>
      <c r="I555" s="368">
        <f>H555/H556*$F556</f>
        <v>6.5886701000000006E-2</v>
      </c>
      <c r="J555" s="458">
        <f>labcap_sources!$G$132</f>
        <v>1.05</v>
      </c>
      <c r="K555" s="362">
        <f t="shared" si="333"/>
        <v>6.9181036050000005E-2</v>
      </c>
      <c r="L555" s="368">
        <f>K555/K556*$F556</f>
        <v>6.9187157856837211E-2</v>
      </c>
      <c r="M555" s="458">
        <f>labcap_sources!$H$132</f>
        <v>1.2</v>
      </c>
      <c r="N555" s="362">
        <f t="shared" si="334"/>
        <v>7.9064041200000004E-2</v>
      </c>
      <c r="O555" s="368">
        <f>N555/N556*$F556</f>
        <v>8.2336540443555956E-2</v>
      </c>
    </row>
    <row r="556" spans="1:15" x14ac:dyDescent="0.25">
      <c r="A556" s="2" t="s">
        <v>1203</v>
      </c>
      <c r="B556" s="6" t="s">
        <v>131</v>
      </c>
      <c r="C556" s="2" t="s">
        <v>130</v>
      </c>
      <c r="E556" s="19" t="s">
        <v>1077</v>
      </c>
      <c r="F556" s="363">
        <f>SUM(F552:F555)</f>
        <v>0.266460427</v>
      </c>
      <c r="G556" s="458"/>
      <c r="H556" s="363">
        <f>SUM(H552:H555)</f>
        <v>0.266460427</v>
      </c>
      <c r="I556" s="363">
        <f>SUM(I552:I555)</f>
        <v>0.266460427</v>
      </c>
      <c r="J556" s="458"/>
      <c r="K556" s="363">
        <f>SUM(K552:K555)</f>
        <v>0.26643685009188034</v>
      </c>
      <c r="L556" s="363">
        <f>SUM(L552:L555)</f>
        <v>0.266460427</v>
      </c>
      <c r="M556" s="458"/>
      <c r="N556" s="363">
        <f>SUM(N552:N555)</f>
        <v>0.25586984909743593</v>
      </c>
      <c r="O556" s="363">
        <f>SUM(O552:O555)</f>
        <v>0.26646042699999994</v>
      </c>
    </row>
    <row r="557" spans="1:15" x14ac:dyDescent="0.25">
      <c r="A557" s="2" t="s">
        <v>1203</v>
      </c>
      <c r="B557" s="6" t="s">
        <v>131</v>
      </c>
      <c r="C557" s="2" t="s">
        <v>130</v>
      </c>
      <c r="E557" s="367" t="s">
        <v>1068</v>
      </c>
      <c r="F557" s="359">
        <f>opex_det!X$176</f>
        <v>2.2904300000000001E-4</v>
      </c>
      <c r="G557" s="458">
        <f>labcap_sources!$F$128</f>
        <v>1</v>
      </c>
      <c r="H557" s="369">
        <f t="shared" ref="H557:H566" si="335">$F557*G557</f>
        <v>2.2904300000000001E-4</v>
      </c>
      <c r="I557" s="357"/>
      <c r="J557" s="458">
        <f>labcap_sources!$G$128</f>
        <v>0.7777777777777779</v>
      </c>
      <c r="K557" s="369">
        <f>$H557*J557</f>
        <v>1.7814455555555559E-4</v>
      </c>
      <c r="L557" s="360"/>
      <c r="M557" s="458">
        <f>labcap_sources!$H$128</f>
        <v>0.66666666666666663</v>
      </c>
      <c r="N557" s="369">
        <f>$H557*M557</f>
        <v>1.5269533333333332E-4</v>
      </c>
      <c r="O557" s="360"/>
    </row>
    <row r="558" spans="1:15" x14ac:dyDescent="0.25">
      <c r="A558" s="2" t="s">
        <v>1203</v>
      </c>
      <c r="B558" s="6" t="s">
        <v>131</v>
      </c>
      <c r="C558" s="2" t="s">
        <v>130</v>
      </c>
      <c r="E558" s="367" t="s">
        <v>1069</v>
      </c>
      <c r="F558" s="359">
        <f>opex_det!X$177</f>
        <v>3.6380100000000002E-4</v>
      </c>
      <c r="G558" s="458">
        <f>labcap_sources!$F$128</f>
        <v>1</v>
      </c>
      <c r="H558" s="369">
        <f t="shared" si="335"/>
        <v>3.6380100000000002E-4</v>
      </c>
      <c r="I558" s="357"/>
      <c r="J558" s="458">
        <f>labcap_sources!$G$128</f>
        <v>0.7777777777777779</v>
      </c>
      <c r="K558" s="369">
        <f t="shared" ref="K558:K562" si="336">$H558*J558</f>
        <v>2.8295633333333338E-4</v>
      </c>
      <c r="L558" s="360"/>
      <c r="M558" s="458">
        <f>labcap_sources!$H$128</f>
        <v>0.66666666666666663</v>
      </c>
      <c r="N558" s="369">
        <f t="shared" ref="N558" si="337">$H558*M558</f>
        <v>2.4253400000000001E-4</v>
      </c>
      <c r="O558" s="360"/>
    </row>
    <row r="559" spans="1:15" x14ac:dyDescent="0.25">
      <c r="A559" s="2" t="s">
        <v>1203</v>
      </c>
      <c r="B559" s="6" t="s">
        <v>131</v>
      </c>
      <c r="C559" s="2" t="s">
        <v>130</v>
      </c>
      <c r="E559" s="367" t="s">
        <v>1070</v>
      </c>
      <c r="F559" s="359">
        <f>opex_det!X$178</f>
        <v>2.7879100000000002E-3</v>
      </c>
      <c r="G559" s="458">
        <f>labcap_sources!$F$129</f>
        <v>1</v>
      </c>
      <c r="H559" s="369">
        <f t="shared" si="335"/>
        <v>2.7879100000000002E-3</v>
      </c>
      <c r="I559" s="357"/>
      <c r="J559" s="458">
        <f>labcap_sources!$G$129</f>
        <v>0.96923076923076923</v>
      </c>
      <c r="K559" s="369">
        <f t="shared" si="336"/>
        <v>2.702128153846154E-3</v>
      </c>
      <c r="L559" s="360"/>
      <c r="M559" s="458">
        <f>labcap_sources!$H$129</f>
        <v>0.86153846153846159</v>
      </c>
      <c r="N559" s="369">
        <f>$H559*M559</f>
        <v>2.4018916923076927E-3</v>
      </c>
      <c r="O559" s="360"/>
    </row>
    <row r="560" spans="1:15" x14ac:dyDescent="0.25">
      <c r="A560" s="2" t="s">
        <v>1203</v>
      </c>
      <c r="B560" s="6" t="s">
        <v>131</v>
      </c>
      <c r="C560" s="2" t="s">
        <v>130</v>
      </c>
      <c r="E560" s="367" t="s">
        <v>1071</v>
      </c>
      <c r="F560" s="359">
        <f>opex_det!X$179</f>
        <v>1.4242580000000001E-3</v>
      </c>
      <c r="G560" s="458">
        <f>labcap_sources!$F$129</f>
        <v>1</v>
      </c>
      <c r="H560" s="369">
        <f t="shared" si="335"/>
        <v>1.4242580000000001E-3</v>
      </c>
      <c r="I560" s="357"/>
      <c r="J560" s="458">
        <f>labcap_sources!$G$129</f>
        <v>0.96923076923076923</v>
      </c>
      <c r="K560" s="369">
        <f t="shared" si="336"/>
        <v>1.3804346769230771E-3</v>
      </c>
      <c r="L560" s="360"/>
      <c r="M560" s="458">
        <f>labcap_sources!$H$129</f>
        <v>0.86153846153846159</v>
      </c>
      <c r="N560" s="369">
        <f t="shared" ref="N560:N562" si="338">$H560*M560</f>
        <v>1.2270530461538462E-3</v>
      </c>
      <c r="O560" s="360"/>
    </row>
    <row r="561" spans="1:15" x14ac:dyDescent="0.25">
      <c r="A561" s="2" t="s">
        <v>1203</v>
      </c>
      <c r="B561" s="6" t="s">
        <v>131</v>
      </c>
      <c r="C561" s="2" t="s">
        <v>130</v>
      </c>
      <c r="E561" s="367" t="s">
        <v>1072</v>
      </c>
      <c r="F561" s="359">
        <f>opex_det!X$180</f>
        <v>1.1027400000000001E-3</v>
      </c>
      <c r="G561" s="458">
        <f>labcap_sources!$F$130</f>
        <v>1</v>
      </c>
      <c r="H561" s="369">
        <f t="shared" si="335"/>
        <v>1.1027400000000001E-3</v>
      </c>
      <c r="I561" s="357"/>
      <c r="J561" s="458">
        <f>labcap_sources!$G$130</f>
        <v>1.1538461538461537</v>
      </c>
      <c r="K561" s="369">
        <f t="shared" si="336"/>
        <v>1.2723923076923076E-3</v>
      </c>
      <c r="L561" s="360"/>
      <c r="M561" s="458">
        <f>labcap_sources!$H$130</f>
        <v>1.4615384615384615</v>
      </c>
      <c r="N561" s="369">
        <f t="shared" si="338"/>
        <v>1.611696923076923E-3</v>
      </c>
      <c r="O561" s="360"/>
    </row>
    <row r="562" spans="1:15" x14ac:dyDescent="0.25">
      <c r="A562" s="2" t="s">
        <v>1203</v>
      </c>
      <c r="B562" s="6" t="s">
        <v>131</v>
      </c>
      <c r="C562" s="2" t="s">
        <v>130</v>
      </c>
      <c r="E562" s="367" t="s">
        <v>1073</v>
      </c>
      <c r="F562" s="359">
        <f>opex_det!X$181</f>
        <v>6.9155099999999999E-4</v>
      </c>
      <c r="G562" s="458">
        <f>labcap_sources!$F$130</f>
        <v>1</v>
      </c>
      <c r="H562" s="369">
        <f t="shared" si="335"/>
        <v>6.9155099999999999E-4</v>
      </c>
      <c r="I562" s="357"/>
      <c r="J562" s="458">
        <f>labcap_sources!$G$130</f>
        <v>1.1538461538461537</v>
      </c>
      <c r="K562" s="369">
        <f t="shared" si="336"/>
        <v>7.9794346153846149E-4</v>
      </c>
      <c r="L562" s="360"/>
      <c r="M562" s="458">
        <f>labcap_sources!$H$130</f>
        <v>1.4615384615384615</v>
      </c>
      <c r="N562" s="369">
        <f t="shared" si="338"/>
        <v>1.0107283846153845E-3</v>
      </c>
      <c r="O562" s="360"/>
    </row>
    <row r="563" spans="1:15" x14ac:dyDescent="0.25">
      <c r="A563" s="2" t="s">
        <v>1205</v>
      </c>
      <c r="B563" s="5" t="s">
        <v>133</v>
      </c>
      <c r="C563" s="2" t="s">
        <v>132</v>
      </c>
      <c r="E563" s="241" t="s">
        <v>372</v>
      </c>
      <c r="F563" s="362">
        <f>opex_det!Y$169</f>
        <v>2.60914E-4</v>
      </c>
      <c r="G563" s="458">
        <f>labcap_sources!$F$131*labcap_sources!$F$128</f>
        <v>1</v>
      </c>
      <c r="H563" s="362">
        <f t="shared" si="335"/>
        <v>2.60914E-4</v>
      </c>
      <c r="I563" s="368">
        <f>H563/H567*$F567</f>
        <v>2.60914E-4</v>
      </c>
      <c r="J563" s="458">
        <f>labcap_sources!$G$131*labcap_sources!$G$128</f>
        <v>0.73888888888888893</v>
      </c>
      <c r="K563" s="362">
        <f>$H563*J563</f>
        <v>1.9278645555555557E-4</v>
      </c>
      <c r="L563" s="368">
        <f>K563/K567*$F567</f>
        <v>1.8711687305247298E-4</v>
      </c>
      <c r="M563" s="458">
        <f>labcap_sources!$H$131*labcap_sources!$H$128</f>
        <v>0.53333333333333333</v>
      </c>
      <c r="N563" s="362">
        <f>$H563*M563</f>
        <v>1.3915413333333334E-4</v>
      </c>
      <c r="O563" s="368">
        <f>N563/N567*$F567</f>
        <v>1.2606767603892062E-4</v>
      </c>
    </row>
    <row r="564" spans="1:15" x14ac:dyDescent="0.25">
      <c r="A564" s="2" t="s">
        <v>1205</v>
      </c>
      <c r="B564" s="5" t="s">
        <v>133</v>
      </c>
      <c r="C564" s="2" t="s">
        <v>132</v>
      </c>
      <c r="E564" s="241" t="s">
        <v>373</v>
      </c>
      <c r="F564" s="362">
        <f>opex_det!Y$170</f>
        <v>2.533432E-3</v>
      </c>
      <c r="G564" s="458">
        <f>labcap_sources!$F$131*labcap_sources!$F$129</f>
        <v>1</v>
      </c>
      <c r="H564" s="362">
        <f t="shared" si="335"/>
        <v>2.533432E-3</v>
      </c>
      <c r="I564" s="368">
        <f>H564/H567*$F567</f>
        <v>2.533432E-3</v>
      </c>
      <c r="J564" s="458">
        <f>labcap_sources!$G$131*labcap_sources!$G$129</f>
        <v>0.92076923076923067</v>
      </c>
      <c r="K564" s="362">
        <f t="shared" ref="K564:K566" si="339">$H564*J564</f>
        <v>2.3327062338461537E-3</v>
      </c>
      <c r="L564" s="368">
        <f>K564/K567*$F567</f>
        <v>2.2641045760682056E-3</v>
      </c>
      <c r="M564" s="458">
        <f>labcap_sources!$H$131*labcap_sources!$H$129</f>
        <v>0.68923076923076931</v>
      </c>
      <c r="N564" s="362">
        <f t="shared" ref="N564:N566" si="340">$H564*M564</f>
        <v>1.7461192861538462E-3</v>
      </c>
      <c r="O564" s="368">
        <f>N564/N567*$F567</f>
        <v>1.5819091766742664E-3</v>
      </c>
    </row>
    <row r="565" spans="1:15" x14ac:dyDescent="0.25">
      <c r="A565" s="2" t="s">
        <v>1205</v>
      </c>
      <c r="B565" s="5" t="s">
        <v>133</v>
      </c>
      <c r="C565" s="2" t="s">
        <v>132</v>
      </c>
      <c r="E565" s="241" t="s">
        <v>374</v>
      </c>
      <c r="F565" s="362">
        <f>opex_det!Y$171</f>
        <v>2.0578020000000001E-3</v>
      </c>
      <c r="G565" s="458">
        <f>labcap_sources!$F$131*labcap_sources!$F$130</f>
        <v>1</v>
      </c>
      <c r="H565" s="362">
        <f t="shared" si="335"/>
        <v>2.0578020000000001E-3</v>
      </c>
      <c r="I565" s="368">
        <f>H565/H567*$F567</f>
        <v>2.0578020000000001E-3</v>
      </c>
      <c r="J565" s="458">
        <f>labcap_sources!$G$131*labcap_sources!$G$130</f>
        <v>1.096153846153846</v>
      </c>
      <c r="K565" s="362">
        <f t="shared" si="339"/>
        <v>2.2556675769230768E-3</v>
      </c>
      <c r="L565" s="368">
        <f>K565/K567*$F567</f>
        <v>2.1893315192885281E-3</v>
      </c>
      <c r="M565" s="458">
        <f>labcap_sources!$H$131*labcap_sources!$H$130</f>
        <v>1.1692307692307693</v>
      </c>
      <c r="N565" s="362">
        <f t="shared" si="340"/>
        <v>2.4060454153846155E-3</v>
      </c>
      <c r="O565" s="368">
        <f>N565/N567*$F567</f>
        <v>2.1797739434375736E-3</v>
      </c>
    </row>
    <row r="566" spans="1:15" x14ac:dyDescent="0.25">
      <c r="A566" s="2" t="s">
        <v>1205</v>
      </c>
      <c r="B566" s="5" t="s">
        <v>133</v>
      </c>
      <c r="C566" s="2" t="s">
        <v>132</v>
      </c>
      <c r="E566" s="240" t="s">
        <v>375</v>
      </c>
      <c r="F566" s="362">
        <f>opex_det!Y$172</f>
        <v>1.1066133000000001E-2</v>
      </c>
      <c r="G566" s="458">
        <f>labcap_sources!$F$132</f>
        <v>1</v>
      </c>
      <c r="H566" s="362">
        <f t="shared" si="335"/>
        <v>1.1066133000000001E-2</v>
      </c>
      <c r="I566" s="368">
        <f>H566/H567*$F567</f>
        <v>1.1066133000000001E-2</v>
      </c>
      <c r="J566" s="458">
        <f>labcap_sources!$G$132</f>
        <v>1.05</v>
      </c>
      <c r="K566" s="362">
        <f t="shared" si="339"/>
        <v>1.1619439650000001E-2</v>
      </c>
      <c r="L566" s="368">
        <f>K566/K567*$F567</f>
        <v>1.1277728031590791E-2</v>
      </c>
      <c r="M566" s="458">
        <f>labcap_sources!$H$132</f>
        <v>1.2</v>
      </c>
      <c r="N566" s="362">
        <f t="shared" si="340"/>
        <v>1.32793596E-2</v>
      </c>
      <c r="O566" s="368">
        <f>N566/N567*$F567</f>
        <v>1.2030530203849237E-2</v>
      </c>
    </row>
    <row r="567" spans="1:15" x14ac:dyDescent="0.25">
      <c r="A567" s="2" t="s">
        <v>1205</v>
      </c>
      <c r="B567" s="5" t="s">
        <v>133</v>
      </c>
      <c r="C567" s="2" t="s">
        <v>132</v>
      </c>
      <c r="E567" s="19" t="s">
        <v>1077</v>
      </c>
      <c r="F567" s="363">
        <f>SUM(F563:F566)</f>
        <v>1.5918280999999999E-2</v>
      </c>
      <c r="G567" s="458"/>
      <c r="H567" s="363">
        <f>SUM(H563:H566)</f>
        <v>1.5918280999999999E-2</v>
      </c>
      <c r="I567" s="363">
        <f>SUM(I563:I566)</f>
        <v>1.5918280999999999E-2</v>
      </c>
      <c r="J567" s="458"/>
      <c r="K567" s="363">
        <f>SUM(K563:K566)</f>
        <v>1.6400599916324789E-2</v>
      </c>
      <c r="L567" s="363">
        <f>SUM(L563:L566)</f>
        <v>1.5918280999999999E-2</v>
      </c>
      <c r="M567" s="458"/>
      <c r="N567" s="363">
        <f>SUM(N563:N566)</f>
        <v>1.7570678434871798E-2</v>
      </c>
      <c r="O567" s="363">
        <f>SUM(O563:O566)</f>
        <v>1.5918280999999999E-2</v>
      </c>
    </row>
    <row r="568" spans="1:15" x14ac:dyDescent="0.25">
      <c r="A568" s="2" t="s">
        <v>1205</v>
      </c>
      <c r="B568" s="5" t="s">
        <v>133</v>
      </c>
      <c r="C568" s="2" t="s">
        <v>132</v>
      </c>
      <c r="E568" s="367" t="s">
        <v>1068</v>
      </c>
      <c r="F568" s="359">
        <f>opex_det!Y$176</f>
        <v>7.9200000000000004E-6</v>
      </c>
      <c r="G568" s="458">
        <f>labcap_sources!$F$128</f>
        <v>1</v>
      </c>
      <c r="H568" s="369">
        <f t="shared" ref="H568:H577" si="341">$F568*G568</f>
        <v>7.9200000000000004E-6</v>
      </c>
      <c r="I568" s="357"/>
      <c r="J568" s="458">
        <f>labcap_sources!$G$128</f>
        <v>0.7777777777777779</v>
      </c>
      <c r="K568" s="369">
        <f>$H568*J568</f>
        <v>6.1600000000000012E-6</v>
      </c>
      <c r="L568" s="360"/>
      <c r="M568" s="458">
        <f>labcap_sources!$H$128</f>
        <v>0.66666666666666663</v>
      </c>
      <c r="N568" s="369">
        <f>$H568*M568</f>
        <v>5.2800000000000003E-6</v>
      </c>
      <c r="O568" s="360"/>
    </row>
    <row r="569" spans="1:15" x14ac:dyDescent="0.25">
      <c r="A569" s="2" t="s">
        <v>1205</v>
      </c>
      <c r="B569" s="5" t="s">
        <v>133</v>
      </c>
      <c r="C569" s="2" t="s">
        <v>132</v>
      </c>
      <c r="E569" s="367" t="s">
        <v>1069</v>
      </c>
      <c r="F569" s="359">
        <f>opex_det!Y$177</f>
        <v>6.9399999999999996E-6</v>
      </c>
      <c r="G569" s="458">
        <f>labcap_sources!$F$128</f>
        <v>1</v>
      </c>
      <c r="H569" s="369">
        <f t="shared" si="341"/>
        <v>6.9399999999999996E-6</v>
      </c>
      <c r="I569" s="357"/>
      <c r="J569" s="458">
        <f>labcap_sources!$G$128</f>
        <v>0.7777777777777779</v>
      </c>
      <c r="K569" s="369">
        <f t="shared" ref="K569:K573" si="342">$H569*J569</f>
        <v>5.3977777777777782E-6</v>
      </c>
      <c r="L569" s="360"/>
      <c r="M569" s="458">
        <f>labcap_sources!$H$128</f>
        <v>0.66666666666666663</v>
      </c>
      <c r="N569" s="369">
        <f t="shared" ref="N569" si="343">$H569*M569</f>
        <v>4.6266666666666659E-6</v>
      </c>
      <c r="O569" s="360"/>
    </row>
    <row r="570" spans="1:15" x14ac:dyDescent="0.25">
      <c r="A570" s="2" t="s">
        <v>1205</v>
      </c>
      <c r="B570" s="5" t="s">
        <v>133</v>
      </c>
      <c r="C570" s="2" t="s">
        <v>132</v>
      </c>
      <c r="E570" s="367" t="s">
        <v>1070</v>
      </c>
      <c r="F570" s="359">
        <f>opex_det!Y$178</f>
        <v>9.3599999999999998E-5</v>
      </c>
      <c r="G570" s="458">
        <f>labcap_sources!$F$129</f>
        <v>1</v>
      </c>
      <c r="H570" s="369">
        <f t="shared" si="341"/>
        <v>9.3599999999999998E-5</v>
      </c>
      <c r="I570" s="357"/>
      <c r="J570" s="458">
        <f>labcap_sources!$G$129</f>
        <v>0.96923076923076923</v>
      </c>
      <c r="K570" s="369">
        <f t="shared" si="342"/>
        <v>9.0719999999999999E-5</v>
      </c>
      <c r="L570" s="360"/>
      <c r="M570" s="458">
        <f>labcap_sources!$H$129</f>
        <v>0.86153846153846159</v>
      </c>
      <c r="N570" s="369">
        <f>$H570*M570</f>
        <v>8.064E-5</v>
      </c>
      <c r="O570" s="360"/>
    </row>
    <row r="571" spans="1:15" x14ac:dyDescent="0.25">
      <c r="A571" s="2" t="s">
        <v>1205</v>
      </c>
      <c r="B571" s="5" t="s">
        <v>133</v>
      </c>
      <c r="C571" s="2" t="s">
        <v>132</v>
      </c>
      <c r="E571" s="367" t="s">
        <v>1071</v>
      </c>
      <c r="F571" s="359">
        <f>opex_det!Y$179</f>
        <v>2.9499999999999999E-5</v>
      </c>
      <c r="G571" s="458">
        <f>labcap_sources!$F$129</f>
        <v>1</v>
      </c>
      <c r="H571" s="369">
        <f t="shared" si="341"/>
        <v>2.9499999999999999E-5</v>
      </c>
      <c r="I571" s="357"/>
      <c r="J571" s="458">
        <f>labcap_sources!$G$129</f>
        <v>0.96923076923076923</v>
      </c>
      <c r="K571" s="369">
        <f t="shared" si="342"/>
        <v>2.8592307692307692E-5</v>
      </c>
      <c r="L571" s="360"/>
      <c r="M571" s="458">
        <f>labcap_sources!$H$129</f>
        <v>0.86153846153846159</v>
      </c>
      <c r="N571" s="369">
        <f t="shared" ref="N571:N573" si="344">$H571*M571</f>
        <v>2.5415384615384615E-5</v>
      </c>
      <c r="O571" s="360"/>
    </row>
    <row r="572" spans="1:15" x14ac:dyDescent="0.25">
      <c r="A572" s="2" t="s">
        <v>1205</v>
      </c>
      <c r="B572" s="5" t="s">
        <v>133</v>
      </c>
      <c r="C572" s="2" t="s">
        <v>132</v>
      </c>
      <c r="E572" s="367" t="s">
        <v>1072</v>
      </c>
      <c r="F572" s="359">
        <f>opex_det!Y$180</f>
        <v>3.6399999999999997E-5</v>
      </c>
      <c r="G572" s="458">
        <f>labcap_sources!$F$130</f>
        <v>1</v>
      </c>
      <c r="H572" s="369">
        <f t="shared" si="341"/>
        <v>3.6399999999999997E-5</v>
      </c>
      <c r="I572" s="357"/>
      <c r="J572" s="458">
        <f>labcap_sources!$G$130</f>
        <v>1.1538461538461537</v>
      </c>
      <c r="K572" s="369">
        <f t="shared" si="342"/>
        <v>4.1999999999999991E-5</v>
      </c>
      <c r="L572" s="360"/>
      <c r="M572" s="458">
        <f>labcap_sources!$H$130</f>
        <v>1.4615384615384615</v>
      </c>
      <c r="N572" s="369">
        <f t="shared" si="344"/>
        <v>5.3199999999999992E-5</v>
      </c>
      <c r="O572" s="360"/>
    </row>
    <row r="573" spans="1:15" x14ac:dyDescent="0.25">
      <c r="A573" s="2" t="s">
        <v>1205</v>
      </c>
      <c r="B573" s="5" t="s">
        <v>133</v>
      </c>
      <c r="C573" s="2" t="s">
        <v>132</v>
      </c>
      <c r="E573" s="367" t="s">
        <v>1073</v>
      </c>
      <c r="F573" s="359">
        <f>opex_det!Y$181</f>
        <v>1.34E-5</v>
      </c>
      <c r="G573" s="458">
        <f>labcap_sources!$F$130</f>
        <v>1</v>
      </c>
      <c r="H573" s="369">
        <f t="shared" si="341"/>
        <v>1.34E-5</v>
      </c>
      <c r="I573" s="357"/>
      <c r="J573" s="458">
        <f>labcap_sources!$G$130</f>
        <v>1.1538461538461537</v>
      </c>
      <c r="K573" s="369">
        <f t="shared" si="342"/>
        <v>1.5461538461538459E-5</v>
      </c>
      <c r="L573" s="360"/>
      <c r="M573" s="458">
        <f>labcap_sources!$H$130</f>
        <v>1.4615384615384615</v>
      </c>
      <c r="N573" s="369">
        <f t="shared" si="344"/>
        <v>1.9584615384615384E-5</v>
      </c>
      <c r="O573" s="360"/>
    </row>
    <row r="574" spans="1:15" x14ac:dyDescent="0.25">
      <c r="A574" s="2" t="s">
        <v>1205</v>
      </c>
      <c r="B574" s="5" t="s">
        <v>135</v>
      </c>
      <c r="C574" s="2" t="s">
        <v>134</v>
      </c>
      <c r="E574" s="241" t="s">
        <v>372</v>
      </c>
      <c r="F574" s="362">
        <f>opex_det!Z$169</f>
        <v>1.2977349999999999E-3</v>
      </c>
      <c r="G574" s="458">
        <f>labcap_sources!$F$131*labcap_sources!$F$128</f>
        <v>1</v>
      </c>
      <c r="H574" s="362">
        <f t="shared" si="341"/>
        <v>1.2977349999999999E-3</v>
      </c>
      <c r="I574" s="368">
        <f>H574/H578*$F578</f>
        <v>1.2977349999999999E-3</v>
      </c>
      <c r="J574" s="458">
        <f>labcap_sources!$G$131*labcap_sources!$G$128</f>
        <v>0.73888888888888893</v>
      </c>
      <c r="K574" s="362">
        <f>$H574*J574</f>
        <v>9.5888197222222219E-4</v>
      </c>
      <c r="L574" s="368">
        <f>K574/K578*$F578</f>
        <v>9.4166688473910573E-4</v>
      </c>
      <c r="M574" s="458">
        <f>labcap_sources!$H$131*labcap_sources!$H$128</f>
        <v>0.53333333333333333</v>
      </c>
      <c r="N574" s="362">
        <f>$H574*M574</f>
        <v>6.921253333333333E-4</v>
      </c>
      <c r="O574" s="368">
        <f>N574/N578*$F578</f>
        <v>6.6224406038054506E-4</v>
      </c>
    </row>
    <row r="575" spans="1:15" x14ac:dyDescent="0.25">
      <c r="A575" s="2" t="s">
        <v>1205</v>
      </c>
      <c r="B575" s="5" t="s">
        <v>135</v>
      </c>
      <c r="C575" s="2" t="s">
        <v>134</v>
      </c>
      <c r="E575" s="241" t="s">
        <v>373</v>
      </c>
      <c r="F575" s="362">
        <f>opex_det!Z$170</f>
        <v>1.2600787E-2</v>
      </c>
      <c r="G575" s="458">
        <f>labcap_sources!$F$131*labcap_sources!$F$129</f>
        <v>1</v>
      </c>
      <c r="H575" s="362">
        <f t="shared" si="341"/>
        <v>1.2600787E-2</v>
      </c>
      <c r="I575" s="368">
        <f>H575/H578*$F578</f>
        <v>1.2600787000000002E-2</v>
      </c>
      <c r="J575" s="458">
        <f>labcap_sources!$G$131*labcap_sources!$G$129</f>
        <v>0.92076923076923067</v>
      </c>
      <c r="K575" s="362">
        <f t="shared" ref="K575:K577" si="345">$H575*J575</f>
        <v>1.1602416953076922E-2</v>
      </c>
      <c r="L575" s="368">
        <f>K575/K578*$F578</f>
        <v>1.1394115380361022E-2</v>
      </c>
      <c r="M575" s="458">
        <f>labcap_sources!$H$131*labcap_sources!$H$129</f>
        <v>0.68923076923076931</v>
      </c>
      <c r="N575" s="362">
        <f t="shared" ref="N575:N577" si="346">$H575*M575</f>
        <v>8.684850116923078E-3</v>
      </c>
      <c r="O575" s="368">
        <f>N575/N578*$F578</f>
        <v>8.3098972515973854E-3</v>
      </c>
    </row>
    <row r="576" spans="1:15" x14ac:dyDescent="0.25">
      <c r="A576" s="2" t="s">
        <v>1205</v>
      </c>
      <c r="B576" s="5" t="s">
        <v>135</v>
      </c>
      <c r="C576" s="2" t="s">
        <v>134</v>
      </c>
      <c r="E576" s="241" t="s">
        <v>374</v>
      </c>
      <c r="F576" s="362">
        <f>opex_det!Z$171</f>
        <v>1.0235101E-2</v>
      </c>
      <c r="G576" s="458">
        <f>labcap_sources!$F$131*labcap_sources!$F$130</f>
        <v>1</v>
      </c>
      <c r="H576" s="362">
        <f t="shared" si="341"/>
        <v>1.0235101E-2</v>
      </c>
      <c r="I576" s="368">
        <f>H576/H578*$F578</f>
        <v>1.0235101E-2</v>
      </c>
      <c r="J576" s="458">
        <f>labcap_sources!$G$131*labcap_sources!$G$130</f>
        <v>1.096153846153846</v>
      </c>
      <c r="K576" s="362">
        <f t="shared" si="345"/>
        <v>1.1219245326923076E-2</v>
      </c>
      <c r="L576" s="368">
        <f>K576/K578*$F578</f>
        <v>1.1017822946074764E-2</v>
      </c>
      <c r="M576" s="458">
        <f>labcap_sources!$H$131*labcap_sources!$H$130</f>
        <v>1.1692307692307693</v>
      </c>
      <c r="N576" s="362">
        <f t="shared" si="346"/>
        <v>1.1967195015384615E-2</v>
      </c>
      <c r="O576" s="368">
        <f>N576/N578*$F578</f>
        <v>1.1450532781664968E-2</v>
      </c>
    </row>
    <row r="577" spans="1:15" x14ac:dyDescent="0.25">
      <c r="A577" s="2" t="s">
        <v>1205</v>
      </c>
      <c r="B577" s="5" t="s">
        <v>135</v>
      </c>
      <c r="C577" s="2" t="s">
        <v>134</v>
      </c>
      <c r="E577" s="240" t="s">
        <v>375</v>
      </c>
      <c r="F577" s="362">
        <f>opex_det!Z$172</f>
        <v>2.5041468000000001E-2</v>
      </c>
      <c r="G577" s="458">
        <f>labcap_sources!$F$132</f>
        <v>1</v>
      </c>
      <c r="H577" s="362">
        <f t="shared" si="341"/>
        <v>2.5041468000000001E-2</v>
      </c>
      <c r="I577" s="368">
        <f>H577/H578*$F578</f>
        <v>2.5041468000000004E-2</v>
      </c>
      <c r="J577" s="458">
        <f>labcap_sources!$G$132</f>
        <v>1.05</v>
      </c>
      <c r="K577" s="362">
        <f t="shared" si="345"/>
        <v>2.6293541400000002E-2</v>
      </c>
      <c r="L577" s="368">
        <f>K577/K578*$F578</f>
        <v>2.5821485788825111E-2</v>
      </c>
      <c r="M577" s="458">
        <f>labcap_sources!$H$132</f>
        <v>1.2</v>
      </c>
      <c r="N577" s="362">
        <f t="shared" si="346"/>
        <v>3.0049761599999999E-2</v>
      </c>
      <c r="O577" s="368">
        <f>N577/N578*$F578</f>
        <v>2.8752416906357107E-2</v>
      </c>
    </row>
    <row r="578" spans="1:15" x14ac:dyDescent="0.25">
      <c r="A578" s="2" t="s">
        <v>1205</v>
      </c>
      <c r="B578" s="5" t="s">
        <v>135</v>
      </c>
      <c r="C578" s="2" t="s">
        <v>134</v>
      </c>
      <c r="E578" s="19" t="s">
        <v>1077</v>
      </c>
      <c r="F578" s="363">
        <f>SUM(F574:F577)</f>
        <v>4.9175091000000004E-2</v>
      </c>
      <c r="G578" s="458"/>
      <c r="H578" s="363">
        <f>SUM(H574:H577)</f>
        <v>4.9175091000000004E-2</v>
      </c>
      <c r="I578" s="363">
        <f>SUM(I574:I577)</f>
        <v>4.9175091000000004E-2</v>
      </c>
      <c r="J578" s="458"/>
      <c r="K578" s="363">
        <f>SUM(K574:K577)</f>
        <v>5.0074085652222225E-2</v>
      </c>
      <c r="L578" s="363">
        <f>SUM(L574:L577)</f>
        <v>4.9175091000000004E-2</v>
      </c>
      <c r="M578" s="458"/>
      <c r="N578" s="363">
        <f>SUM(N574:N577)</f>
        <v>5.1393932065641024E-2</v>
      </c>
      <c r="O578" s="363">
        <f>SUM(O574:O577)</f>
        <v>4.9175091000000004E-2</v>
      </c>
    </row>
    <row r="579" spans="1:15" x14ac:dyDescent="0.25">
      <c r="A579" s="2" t="s">
        <v>1205</v>
      </c>
      <c r="B579" s="5" t="s">
        <v>135</v>
      </c>
      <c r="C579" s="2" t="s">
        <v>134</v>
      </c>
      <c r="E579" s="367" t="s">
        <v>1068</v>
      </c>
      <c r="F579" s="359">
        <f>opex_det!Z$176</f>
        <v>4.57E-5</v>
      </c>
      <c r="G579" s="458">
        <f>labcap_sources!$F$128</f>
        <v>1</v>
      </c>
      <c r="H579" s="369">
        <f t="shared" ref="H579:H588" si="347">$F579*G579</f>
        <v>4.57E-5</v>
      </c>
      <c r="I579" s="357"/>
      <c r="J579" s="458">
        <f>labcap_sources!$G$128</f>
        <v>0.7777777777777779</v>
      </c>
      <c r="K579" s="369">
        <f>$H579*J579</f>
        <v>3.5544444444444447E-5</v>
      </c>
      <c r="L579" s="360"/>
      <c r="M579" s="458">
        <f>labcap_sources!$H$128</f>
        <v>0.66666666666666663</v>
      </c>
      <c r="N579" s="369">
        <f>$H579*M579</f>
        <v>3.0466666666666664E-5</v>
      </c>
      <c r="O579" s="360"/>
    </row>
    <row r="580" spans="1:15" x14ac:dyDescent="0.25">
      <c r="A580" s="2" t="s">
        <v>1205</v>
      </c>
      <c r="B580" s="5" t="s">
        <v>135</v>
      </c>
      <c r="C580" s="2" t="s">
        <v>134</v>
      </c>
      <c r="E580" s="367" t="s">
        <v>1069</v>
      </c>
      <c r="F580" s="359">
        <f>opex_det!Z$177</f>
        <v>4.6999999999999997E-5</v>
      </c>
      <c r="G580" s="458">
        <f>labcap_sources!$F$128</f>
        <v>1</v>
      </c>
      <c r="H580" s="369">
        <f t="shared" si="347"/>
        <v>4.6999999999999997E-5</v>
      </c>
      <c r="I580" s="357"/>
      <c r="J580" s="458">
        <f>labcap_sources!$G$128</f>
        <v>0.7777777777777779</v>
      </c>
      <c r="K580" s="369">
        <f t="shared" ref="K580:K584" si="348">$H580*J580</f>
        <v>3.6555555555555557E-5</v>
      </c>
      <c r="L580" s="360"/>
      <c r="M580" s="458">
        <f>labcap_sources!$H$128</f>
        <v>0.66666666666666663</v>
      </c>
      <c r="N580" s="369">
        <f t="shared" ref="N580" si="349">$H580*M580</f>
        <v>3.1333333333333327E-5</v>
      </c>
      <c r="O580" s="360"/>
    </row>
    <row r="581" spans="1:15" x14ac:dyDescent="0.25">
      <c r="A581" s="2" t="s">
        <v>1205</v>
      </c>
      <c r="B581" s="5" t="s">
        <v>135</v>
      </c>
      <c r="C581" s="2" t="s">
        <v>134</v>
      </c>
      <c r="E581" s="367" t="s">
        <v>1070</v>
      </c>
      <c r="F581" s="359">
        <f>opex_det!Z$178</f>
        <v>4.8871400000000001E-4</v>
      </c>
      <c r="G581" s="458">
        <f>labcap_sources!$F$129</f>
        <v>1</v>
      </c>
      <c r="H581" s="369">
        <f t="shared" si="347"/>
        <v>4.8871400000000001E-4</v>
      </c>
      <c r="I581" s="357"/>
      <c r="J581" s="458">
        <f>labcap_sources!$G$129</f>
        <v>0.96923076923076923</v>
      </c>
      <c r="K581" s="369">
        <f t="shared" si="348"/>
        <v>4.7367664615384616E-4</v>
      </c>
      <c r="L581" s="360"/>
      <c r="M581" s="458">
        <f>labcap_sources!$H$129</f>
        <v>0.86153846153846159</v>
      </c>
      <c r="N581" s="369">
        <f>$H581*M581</f>
        <v>4.210459076923077E-4</v>
      </c>
      <c r="O581" s="360"/>
    </row>
    <row r="582" spans="1:15" x14ac:dyDescent="0.25">
      <c r="A582" s="2" t="s">
        <v>1205</v>
      </c>
      <c r="B582" s="5" t="s">
        <v>135</v>
      </c>
      <c r="C582" s="2" t="s">
        <v>134</v>
      </c>
      <c r="E582" s="367" t="s">
        <v>1071</v>
      </c>
      <c r="F582" s="359">
        <f>opex_det!Z$179</f>
        <v>1.9583900000000001E-4</v>
      </c>
      <c r="G582" s="458">
        <f>labcap_sources!$F$129</f>
        <v>1</v>
      </c>
      <c r="H582" s="369">
        <f t="shared" si="347"/>
        <v>1.9583900000000001E-4</v>
      </c>
      <c r="I582" s="357"/>
      <c r="J582" s="458">
        <f>labcap_sources!$G$129</f>
        <v>0.96923076923076923</v>
      </c>
      <c r="K582" s="369">
        <f t="shared" si="348"/>
        <v>1.8981318461538463E-4</v>
      </c>
      <c r="L582" s="360"/>
      <c r="M582" s="458">
        <f>labcap_sources!$H$129</f>
        <v>0.86153846153846159</v>
      </c>
      <c r="N582" s="369">
        <f t="shared" ref="N582:N584" si="350">$H582*M582</f>
        <v>1.6872283076923078E-4</v>
      </c>
      <c r="O582" s="360"/>
    </row>
    <row r="583" spans="1:15" x14ac:dyDescent="0.25">
      <c r="A583" s="2" t="s">
        <v>1205</v>
      </c>
      <c r="B583" s="5" t="s">
        <v>135</v>
      </c>
      <c r="C583" s="2" t="s">
        <v>134</v>
      </c>
      <c r="E583" s="367" t="s">
        <v>1072</v>
      </c>
      <c r="F583" s="359">
        <f>opex_det!Z$180</f>
        <v>1.9024100000000001E-4</v>
      </c>
      <c r="G583" s="458">
        <f>labcap_sources!$F$130</f>
        <v>1</v>
      </c>
      <c r="H583" s="369">
        <f t="shared" si="347"/>
        <v>1.9024100000000001E-4</v>
      </c>
      <c r="I583" s="357"/>
      <c r="J583" s="458">
        <f>labcap_sources!$G$130</f>
        <v>1.1538461538461537</v>
      </c>
      <c r="K583" s="369">
        <f t="shared" si="348"/>
        <v>2.1950884615384614E-4</v>
      </c>
      <c r="L583" s="360"/>
      <c r="M583" s="458">
        <f>labcap_sources!$H$130</f>
        <v>1.4615384615384615</v>
      </c>
      <c r="N583" s="369">
        <f t="shared" si="350"/>
        <v>2.7804453846153846E-4</v>
      </c>
      <c r="O583" s="360"/>
    </row>
    <row r="584" spans="1:15" x14ac:dyDescent="0.25">
      <c r="A584" s="2" t="s">
        <v>1205</v>
      </c>
      <c r="B584" s="5" t="s">
        <v>135</v>
      </c>
      <c r="C584" s="2" t="s">
        <v>134</v>
      </c>
      <c r="E584" s="367" t="s">
        <v>1073</v>
      </c>
      <c r="F584" s="359">
        <f>opex_det!Z$181</f>
        <v>7.0199999999999999E-5</v>
      </c>
      <c r="G584" s="458">
        <f>labcap_sources!$F$130</f>
        <v>1</v>
      </c>
      <c r="H584" s="369">
        <f t="shared" si="347"/>
        <v>7.0199999999999999E-5</v>
      </c>
      <c r="I584" s="357"/>
      <c r="J584" s="458">
        <f>labcap_sources!$G$130</f>
        <v>1.1538461538461537</v>
      </c>
      <c r="K584" s="369">
        <f t="shared" si="348"/>
        <v>8.099999999999999E-5</v>
      </c>
      <c r="L584" s="360"/>
      <c r="M584" s="458">
        <f>labcap_sources!$H$130</f>
        <v>1.4615384615384615</v>
      </c>
      <c r="N584" s="369">
        <f t="shared" si="350"/>
        <v>1.0259999999999999E-4</v>
      </c>
      <c r="O584" s="360"/>
    </row>
    <row r="585" spans="1:15" x14ac:dyDescent="0.25">
      <c r="A585" s="2" t="s">
        <v>1205</v>
      </c>
      <c r="B585" s="6" t="s">
        <v>137</v>
      </c>
      <c r="C585" s="2" t="s">
        <v>136</v>
      </c>
      <c r="E585" s="241" t="s">
        <v>372</v>
      </c>
      <c r="F585" s="362">
        <f>opex_det!AA$169</f>
        <v>2.1418689999999998E-3</v>
      </c>
      <c r="G585" s="458">
        <f>labcap_sources!$F$131*labcap_sources!$F$128</f>
        <v>1</v>
      </c>
      <c r="H585" s="362">
        <f t="shared" si="347"/>
        <v>2.1418689999999998E-3</v>
      </c>
      <c r="I585" s="368">
        <f>H585/H589*$F589</f>
        <v>2.1418689999999998E-3</v>
      </c>
      <c r="J585" s="458">
        <f>labcap_sources!$G$131*labcap_sources!$G$128</f>
        <v>0.73888888888888893</v>
      </c>
      <c r="K585" s="362">
        <f>$H585*J585</f>
        <v>1.5826032055555556E-3</v>
      </c>
      <c r="L585" s="368">
        <f>K585/K589*$F589</f>
        <v>1.5206855463308145E-3</v>
      </c>
      <c r="M585" s="458">
        <f>labcap_sources!$H$131*labcap_sources!$H$128</f>
        <v>0.53333333333333333</v>
      </c>
      <c r="N585" s="362">
        <f>$H585*M585</f>
        <v>1.1423301333333333E-3</v>
      </c>
      <c r="O585" s="368">
        <f>N585/N589*$F589</f>
        <v>9.89311720534003E-4</v>
      </c>
    </row>
    <row r="586" spans="1:15" x14ac:dyDescent="0.25">
      <c r="A586" s="2" t="s">
        <v>1205</v>
      </c>
      <c r="B586" s="6" t="s">
        <v>137</v>
      </c>
      <c r="C586" s="2" t="s">
        <v>136</v>
      </c>
      <c r="E586" s="241" t="s">
        <v>373</v>
      </c>
      <c r="F586" s="362">
        <f>opex_det!AA$170</f>
        <v>2.0797184999999999E-2</v>
      </c>
      <c r="G586" s="458">
        <f>labcap_sources!$F$131*labcap_sources!$F$129</f>
        <v>1</v>
      </c>
      <c r="H586" s="362">
        <f t="shared" si="347"/>
        <v>2.0797184999999999E-2</v>
      </c>
      <c r="I586" s="368">
        <f>H586/H589*$F589</f>
        <v>2.0797184999999999E-2</v>
      </c>
      <c r="J586" s="458">
        <f>labcap_sources!$G$131*labcap_sources!$G$129</f>
        <v>0.92076923076923067</v>
      </c>
      <c r="K586" s="362">
        <f t="shared" ref="K586:K588" si="351">$H586*J586</f>
        <v>1.9149408034615383E-2</v>
      </c>
      <c r="L586" s="368">
        <f>K586/K589*$F589</f>
        <v>1.8400207908594778E-2</v>
      </c>
      <c r="M586" s="458">
        <f>labcap_sources!$H$131*labcap_sources!$H$129</f>
        <v>0.68923076923076931</v>
      </c>
      <c r="N586" s="362">
        <f t="shared" ref="N586:N588" si="352">$H586*M586</f>
        <v>1.4334059815384617E-2</v>
      </c>
      <c r="O586" s="368">
        <f>N586/N589*$F589</f>
        <v>1.2413971201841244E-2</v>
      </c>
    </row>
    <row r="587" spans="1:15" x14ac:dyDescent="0.25">
      <c r="A587" s="2" t="s">
        <v>1205</v>
      </c>
      <c r="B587" s="6" t="s">
        <v>137</v>
      </c>
      <c r="C587" s="2" t="s">
        <v>136</v>
      </c>
      <c r="E587" s="241" t="s">
        <v>374</v>
      </c>
      <c r="F587" s="362">
        <f>opex_det!AA$171</f>
        <v>1.6892697000000002E-2</v>
      </c>
      <c r="G587" s="458">
        <f>labcap_sources!$F$131*labcap_sources!$F$130</f>
        <v>1</v>
      </c>
      <c r="H587" s="362">
        <f t="shared" si="347"/>
        <v>1.6892697000000002E-2</v>
      </c>
      <c r="I587" s="368">
        <f>H587/H589*$F589</f>
        <v>1.6892697000000002E-2</v>
      </c>
      <c r="J587" s="458">
        <f>labcap_sources!$G$131*labcap_sources!$G$130</f>
        <v>1.096153846153846</v>
      </c>
      <c r="K587" s="362">
        <f t="shared" si="351"/>
        <v>1.8516994788461538E-2</v>
      </c>
      <c r="L587" s="368">
        <f>K587/K589*$F589</f>
        <v>1.7792537154890781E-2</v>
      </c>
      <c r="M587" s="458">
        <f>labcap_sources!$H$131*labcap_sources!$H$130</f>
        <v>1.1692307692307693</v>
      </c>
      <c r="N587" s="362">
        <f t="shared" si="352"/>
        <v>1.9751461107692311E-2</v>
      </c>
      <c r="O587" s="368">
        <f>N587/N589*$F589</f>
        <v>1.7105695981679606E-2</v>
      </c>
    </row>
    <row r="588" spans="1:15" x14ac:dyDescent="0.25">
      <c r="A588" s="2" t="s">
        <v>1205</v>
      </c>
      <c r="B588" s="6" t="s">
        <v>137</v>
      </c>
      <c r="C588" s="2" t="s">
        <v>136</v>
      </c>
      <c r="E588" s="240" t="s">
        <v>375</v>
      </c>
      <c r="F588" s="362">
        <f>opex_det!AA$172</f>
        <v>0.237483271</v>
      </c>
      <c r="G588" s="458">
        <f>labcap_sources!$F$132</f>
        <v>1</v>
      </c>
      <c r="H588" s="362">
        <f t="shared" si="347"/>
        <v>0.237483271</v>
      </c>
      <c r="I588" s="368">
        <f>H588/H589*$F589</f>
        <v>0.237483271</v>
      </c>
      <c r="J588" s="458">
        <f>labcap_sources!$G$132</f>
        <v>1.05</v>
      </c>
      <c r="K588" s="362">
        <f t="shared" si="351"/>
        <v>0.24935743455000001</v>
      </c>
      <c r="L588" s="368">
        <f>K588/K589*$F589</f>
        <v>0.23960159139018364</v>
      </c>
      <c r="M588" s="458">
        <f>labcap_sources!$H$132</f>
        <v>1.2</v>
      </c>
      <c r="N588" s="362">
        <f t="shared" si="352"/>
        <v>0.28497992519999998</v>
      </c>
      <c r="O588" s="368">
        <f>N588/N589*$F589</f>
        <v>0.24680604309594517</v>
      </c>
    </row>
    <row r="589" spans="1:15" x14ac:dyDescent="0.25">
      <c r="A589" s="2" t="s">
        <v>1205</v>
      </c>
      <c r="B589" s="6" t="s">
        <v>137</v>
      </c>
      <c r="C589" s="2" t="s">
        <v>136</v>
      </c>
      <c r="E589" s="19" t="s">
        <v>1077</v>
      </c>
      <c r="F589" s="363">
        <f>SUM(F585:F588)</f>
        <v>0.27731502200000002</v>
      </c>
      <c r="G589" s="458"/>
      <c r="H589" s="363">
        <f>SUM(H585:H588)</f>
        <v>0.27731502200000002</v>
      </c>
      <c r="I589" s="363">
        <f>SUM(I585:I588)</f>
        <v>0.27731502200000002</v>
      </c>
      <c r="J589" s="458"/>
      <c r="K589" s="363">
        <f>SUM(K585:K588)</f>
        <v>0.28860644057863249</v>
      </c>
      <c r="L589" s="363">
        <f>SUM(L585:L588)</f>
        <v>0.27731502200000002</v>
      </c>
      <c r="M589" s="458"/>
      <c r="N589" s="363">
        <f>SUM(N585:N588)</f>
        <v>0.32020777625641023</v>
      </c>
      <c r="O589" s="363">
        <f>SUM(O585:O588)</f>
        <v>0.27731502200000002</v>
      </c>
    </row>
    <row r="590" spans="1:15" x14ac:dyDescent="0.25">
      <c r="A590" s="2" t="s">
        <v>1205</v>
      </c>
      <c r="B590" s="6" t="s">
        <v>137</v>
      </c>
      <c r="C590" s="2" t="s">
        <v>136</v>
      </c>
      <c r="E590" s="367" t="s">
        <v>1068</v>
      </c>
      <c r="F590" s="359">
        <f>opex_det!AA$176</f>
        <v>7.6000000000000004E-5</v>
      </c>
      <c r="G590" s="458">
        <f>labcap_sources!$F$128</f>
        <v>1</v>
      </c>
      <c r="H590" s="369">
        <f t="shared" ref="H590:H599" si="353">$F590*G590</f>
        <v>7.6000000000000004E-5</v>
      </c>
      <c r="I590" s="357"/>
      <c r="J590" s="458">
        <f>labcap_sources!$G$128</f>
        <v>0.7777777777777779</v>
      </c>
      <c r="K590" s="369">
        <f>$H590*J590</f>
        <v>5.9111111111111126E-5</v>
      </c>
      <c r="L590" s="360"/>
      <c r="M590" s="458">
        <f>labcap_sources!$H$128</f>
        <v>0.66666666666666663</v>
      </c>
      <c r="N590" s="369">
        <f>$H590*M590</f>
        <v>5.0666666666666667E-5</v>
      </c>
      <c r="O590" s="360"/>
    </row>
    <row r="591" spans="1:15" x14ac:dyDescent="0.25">
      <c r="A591" s="2" t="s">
        <v>1205</v>
      </c>
      <c r="B591" s="6" t="s">
        <v>137</v>
      </c>
      <c r="C591" s="2" t="s">
        <v>136</v>
      </c>
      <c r="E591" s="367" t="s">
        <v>1069</v>
      </c>
      <c r="F591" s="359">
        <f>opex_det!AA$177</f>
        <v>9.1700000000000006E-5</v>
      </c>
      <c r="G591" s="458">
        <f>labcap_sources!$F$128</f>
        <v>1</v>
      </c>
      <c r="H591" s="369">
        <f t="shared" si="353"/>
        <v>9.1700000000000006E-5</v>
      </c>
      <c r="I591" s="357"/>
      <c r="J591" s="458">
        <f>labcap_sources!$G$128</f>
        <v>0.7777777777777779</v>
      </c>
      <c r="K591" s="369">
        <f t="shared" ref="K591:K595" si="354">$H591*J591</f>
        <v>7.1322222222222238E-5</v>
      </c>
      <c r="L591" s="360"/>
      <c r="M591" s="458">
        <f>labcap_sources!$H$128</f>
        <v>0.66666666666666663</v>
      </c>
      <c r="N591" s="369">
        <f t="shared" ref="N591" si="355">$H591*M591</f>
        <v>6.1133333333333333E-5</v>
      </c>
      <c r="O591" s="360"/>
    </row>
    <row r="592" spans="1:15" x14ac:dyDescent="0.25">
      <c r="A592" s="2" t="s">
        <v>1205</v>
      </c>
      <c r="B592" s="6" t="s">
        <v>137</v>
      </c>
      <c r="C592" s="2" t="s">
        <v>136</v>
      </c>
      <c r="E592" s="367" t="s">
        <v>1070</v>
      </c>
      <c r="F592" s="359">
        <f>opex_det!AA$178</f>
        <v>9.1006300000000002E-4</v>
      </c>
      <c r="G592" s="458">
        <f>labcap_sources!$F$129</f>
        <v>1</v>
      </c>
      <c r="H592" s="369">
        <f t="shared" si="353"/>
        <v>9.1006300000000002E-4</v>
      </c>
      <c r="I592" s="357"/>
      <c r="J592" s="458">
        <f>labcap_sources!$G$129</f>
        <v>0.96923076923076923</v>
      </c>
      <c r="K592" s="369">
        <f t="shared" si="354"/>
        <v>8.8206106153846157E-4</v>
      </c>
      <c r="L592" s="360"/>
      <c r="M592" s="458">
        <f>labcap_sources!$H$129</f>
        <v>0.86153846153846159</v>
      </c>
      <c r="N592" s="369">
        <f>$H592*M592</f>
        <v>7.8405427692307698E-4</v>
      </c>
      <c r="O592" s="360"/>
    </row>
    <row r="593" spans="1:15" x14ac:dyDescent="0.25">
      <c r="A593" s="2" t="s">
        <v>1205</v>
      </c>
      <c r="B593" s="6" t="s">
        <v>137</v>
      </c>
      <c r="C593" s="2" t="s">
        <v>136</v>
      </c>
      <c r="E593" s="367" t="s">
        <v>1071</v>
      </c>
      <c r="F593" s="359">
        <f>opex_det!AA$179</f>
        <v>3.8828300000000001E-4</v>
      </c>
      <c r="G593" s="458">
        <f>labcap_sources!$F$129</f>
        <v>1</v>
      </c>
      <c r="H593" s="369">
        <f t="shared" si="353"/>
        <v>3.8828300000000001E-4</v>
      </c>
      <c r="I593" s="357"/>
      <c r="J593" s="458">
        <f>labcap_sources!$G$129</f>
        <v>0.96923076923076923</v>
      </c>
      <c r="K593" s="369">
        <f t="shared" si="354"/>
        <v>3.763358307692308E-4</v>
      </c>
      <c r="L593" s="360"/>
      <c r="M593" s="458">
        <f>labcap_sources!$H$129</f>
        <v>0.86153846153846159</v>
      </c>
      <c r="N593" s="369">
        <f t="shared" ref="N593:N595" si="356">$H593*M593</f>
        <v>3.3452073846153849E-4</v>
      </c>
      <c r="O593" s="360"/>
    </row>
    <row r="594" spans="1:15" x14ac:dyDescent="0.25">
      <c r="A594" s="2" t="s">
        <v>1205</v>
      </c>
      <c r="B594" s="6" t="s">
        <v>137</v>
      </c>
      <c r="C594" s="2" t="s">
        <v>136</v>
      </c>
      <c r="E594" s="367" t="s">
        <v>1072</v>
      </c>
      <c r="F594" s="359">
        <f>opex_det!AA$180</f>
        <v>3.6043000000000002E-4</v>
      </c>
      <c r="G594" s="458">
        <f>labcap_sources!$F$130</f>
        <v>1</v>
      </c>
      <c r="H594" s="369">
        <f t="shared" si="353"/>
        <v>3.6043000000000002E-4</v>
      </c>
      <c r="I594" s="357"/>
      <c r="J594" s="458">
        <f>labcap_sources!$G$130</f>
        <v>1.1538461538461537</v>
      </c>
      <c r="K594" s="369">
        <f t="shared" si="354"/>
        <v>4.1588076923076923E-4</v>
      </c>
      <c r="L594" s="360"/>
      <c r="M594" s="458">
        <f>labcap_sources!$H$130</f>
        <v>1.4615384615384615</v>
      </c>
      <c r="N594" s="369">
        <f t="shared" si="356"/>
        <v>5.2678230769230767E-4</v>
      </c>
      <c r="O594" s="360"/>
    </row>
    <row r="595" spans="1:15" x14ac:dyDescent="0.25">
      <c r="A595" s="2" t="s">
        <v>1205</v>
      </c>
      <c r="B595" s="6" t="s">
        <v>137</v>
      </c>
      <c r="C595" s="2" t="s">
        <v>136</v>
      </c>
      <c r="E595" s="367" t="s">
        <v>1073</v>
      </c>
      <c r="F595" s="359">
        <f>opex_det!AA$181</f>
        <v>1.68505E-4</v>
      </c>
      <c r="G595" s="458">
        <f>labcap_sources!$F$130</f>
        <v>1</v>
      </c>
      <c r="H595" s="369">
        <f t="shared" si="353"/>
        <v>1.68505E-4</v>
      </c>
      <c r="I595" s="357"/>
      <c r="J595" s="458">
        <f>labcap_sources!$G$130</f>
        <v>1.1538461538461537</v>
      </c>
      <c r="K595" s="369">
        <f t="shared" si="354"/>
        <v>1.9442884615384614E-4</v>
      </c>
      <c r="L595" s="360"/>
      <c r="M595" s="458">
        <f>labcap_sources!$H$130</f>
        <v>1.4615384615384615</v>
      </c>
      <c r="N595" s="369">
        <f t="shared" si="356"/>
        <v>2.4627653846153846E-4</v>
      </c>
      <c r="O595" s="360"/>
    </row>
    <row r="596" spans="1:15" x14ac:dyDescent="0.25">
      <c r="A596" s="2" t="s">
        <v>1205</v>
      </c>
      <c r="B596" s="5" t="s">
        <v>145</v>
      </c>
      <c r="C596" s="2" t="s">
        <v>144</v>
      </c>
      <c r="E596" s="241" t="s">
        <v>372</v>
      </c>
      <c r="F596" s="362">
        <f>opex_det!AI$169</f>
        <v>1.4454549000000001E-2</v>
      </c>
      <c r="G596" s="458">
        <f>labcap_sources!$F$131*labcap_sources!$F$128</f>
        <v>1</v>
      </c>
      <c r="H596" s="362">
        <f t="shared" si="353"/>
        <v>1.4454549000000001E-2</v>
      </c>
      <c r="I596" s="368">
        <f>H596/H600*$F600</f>
        <v>1.4454549000000001E-2</v>
      </c>
      <c r="J596" s="458">
        <f>labcap_sources!$G$131*labcap_sources!$G$128</f>
        <v>0.73888888888888893</v>
      </c>
      <c r="K596" s="362">
        <f>$H596*J596</f>
        <v>1.0680305650000001E-2</v>
      </c>
      <c r="L596" s="368">
        <f>K596/K600*$F600</f>
        <v>1.0644839931619727E-2</v>
      </c>
      <c r="M596" s="458">
        <f>labcap_sources!$H$131*labcap_sources!$H$128</f>
        <v>0.53333333333333333</v>
      </c>
      <c r="N596" s="362">
        <f>$H596*M596</f>
        <v>7.7090928000000001E-3</v>
      </c>
      <c r="O596" s="368">
        <f>N596/N600*$F600</f>
        <v>7.9301641151892695E-3</v>
      </c>
    </row>
    <row r="597" spans="1:15" x14ac:dyDescent="0.25">
      <c r="A597" s="2" t="s">
        <v>1205</v>
      </c>
      <c r="B597" s="5" t="s">
        <v>145</v>
      </c>
      <c r="C597" s="2" t="s">
        <v>144</v>
      </c>
      <c r="E597" s="241" t="s">
        <v>373</v>
      </c>
      <c r="F597" s="362">
        <f>opex_det!AI$170</f>
        <v>0.14035124800000001</v>
      </c>
      <c r="G597" s="458">
        <f>labcap_sources!$F$131*labcap_sources!$F$129</f>
        <v>1</v>
      </c>
      <c r="H597" s="362">
        <f t="shared" si="353"/>
        <v>0.14035124800000001</v>
      </c>
      <c r="I597" s="368">
        <f>H597/H600*$F600</f>
        <v>0.14035124800000001</v>
      </c>
      <c r="J597" s="458">
        <f>labcap_sources!$G$131*labcap_sources!$G$129</f>
        <v>0.92076923076923067</v>
      </c>
      <c r="K597" s="362">
        <f t="shared" ref="K597:K599" si="357">$H597*J597</f>
        <v>0.12923111065846155</v>
      </c>
      <c r="L597" s="368">
        <f>K597/K600*$F600</f>
        <v>0.12880197741763685</v>
      </c>
      <c r="M597" s="458">
        <f>labcap_sources!$H$131*labcap_sources!$H$129</f>
        <v>0.68923076923076931</v>
      </c>
      <c r="N597" s="362">
        <f t="shared" ref="N597:N599" si="358">$H597*M597</f>
        <v>9.6734398621538487E-2</v>
      </c>
      <c r="O597" s="368">
        <f>N597/N600*$F600</f>
        <v>9.9508421620367424E-2</v>
      </c>
    </row>
    <row r="598" spans="1:15" x14ac:dyDescent="0.25">
      <c r="A598" s="2" t="s">
        <v>1205</v>
      </c>
      <c r="B598" s="5" t="s">
        <v>145</v>
      </c>
      <c r="C598" s="2" t="s">
        <v>144</v>
      </c>
      <c r="E598" s="241" t="s">
        <v>374</v>
      </c>
      <c r="F598" s="362">
        <f>opex_det!AI$171</f>
        <v>0.114001541</v>
      </c>
      <c r="G598" s="458">
        <f>labcap_sources!$F$131*labcap_sources!$F$130</f>
        <v>1</v>
      </c>
      <c r="H598" s="362">
        <f t="shared" si="353"/>
        <v>0.114001541</v>
      </c>
      <c r="I598" s="368">
        <f>H598/H600*$F600</f>
        <v>0.11400154100000001</v>
      </c>
      <c r="J598" s="458">
        <f>labcap_sources!$G$131*labcap_sources!$G$130</f>
        <v>1.096153846153846</v>
      </c>
      <c r="K598" s="362">
        <f t="shared" si="357"/>
        <v>0.12496322763461537</v>
      </c>
      <c r="L598" s="368">
        <f>K598/K600*$F600</f>
        <v>0.12454826660405917</v>
      </c>
      <c r="M598" s="458">
        <f>labcap_sources!$H$131*labcap_sources!$H$130</f>
        <v>1.1692307692307693</v>
      </c>
      <c r="N598" s="362">
        <f t="shared" si="358"/>
        <v>0.13329410947692308</v>
      </c>
      <c r="O598" s="368">
        <f>N598/N600*$F600</f>
        <v>0.13711654421127287</v>
      </c>
    </row>
    <row r="599" spans="1:15" x14ac:dyDescent="0.25">
      <c r="A599" s="2" t="s">
        <v>1205</v>
      </c>
      <c r="B599" s="5" t="s">
        <v>145</v>
      </c>
      <c r="C599" s="2" t="s">
        <v>144</v>
      </c>
      <c r="E599" s="240" t="s">
        <v>375</v>
      </c>
      <c r="F599" s="362">
        <f>opex_det!AI$172</f>
        <v>0.103459739</v>
      </c>
      <c r="G599" s="458">
        <f>labcap_sources!$F$132</f>
        <v>1</v>
      </c>
      <c r="H599" s="362">
        <f t="shared" si="353"/>
        <v>0.103459739</v>
      </c>
      <c r="I599" s="368">
        <f>H599/H600*$F600</f>
        <v>0.10345973900000001</v>
      </c>
      <c r="J599" s="458">
        <f>labcap_sources!$G$132</f>
        <v>1.05</v>
      </c>
      <c r="K599" s="362">
        <f t="shared" si="357"/>
        <v>0.10863272594999999</v>
      </c>
      <c r="L599" s="368">
        <f>K599/K600*$F600</f>
        <v>0.10827199304668424</v>
      </c>
      <c r="M599" s="458">
        <f>labcap_sources!$H$132</f>
        <v>1.2</v>
      </c>
      <c r="N599" s="362">
        <f t="shared" si="358"/>
        <v>0.12415168679999999</v>
      </c>
      <c r="O599" s="368">
        <f>N599/N600*$F600</f>
        <v>0.12771194705317043</v>
      </c>
    </row>
    <row r="600" spans="1:15" x14ac:dyDescent="0.25">
      <c r="A600" s="2" t="s">
        <v>1205</v>
      </c>
      <c r="B600" s="5" t="s">
        <v>145</v>
      </c>
      <c r="C600" s="2" t="s">
        <v>144</v>
      </c>
      <c r="E600" s="19" t="s">
        <v>1077</v>
      </c>
      <c r="F600" s="363">
        <f>SUM(F596:F599)</f>
        <v>0.372267077</v>
      </c>
      <c r="G600" s="458"/>
      <c r="H600" s="363">
        <f>SUM(H596:H599)</f>
        <v>0.372267077</v>
      </c>
      <c r="I600" s="363">
        <f>SUM(I596:I599)</f>
        <v>0.372267077</v>
      </c>
      <c r="J600" s="458"/>
      <c r="K600" s="363">
        <f>SUM(K596:K599)</f>
        <v>0.37350736989307692</v>
      </c>
      <c r="L600" s="363">
        <f>SUM(L596:L599)</f>
        <v>0.37226707699999995</v>
      </c>
      <c r="M600" s="458"/>
      <c r="N600" s="363">
        <f>SUM(N596:N599)</f>
        <v>0.36188928769846157</v>
      </c>
      <c r="O600" s="363">
        <f>SUM(O596:O599)</f>
        <v>0.37226707699999995</v>
      </c>
    </row>
    <row r="601" spans="1:15" x14ac:dyDescent="0.25">
      <c r="A601" s="2" t="s">
        <v>1205</v>
      </c>
      <c r="B601" s="5" t="s">
        <v>145</v>
      </c>
      <c r="C601" s="2" t="s">
        <v>144</v>
      </c>
      <c r="E601" s="367" t="s">
        <v>1068</v>
      </c>
      <c r="F601" s="359">
        <f>opex_det!AI$176</f>
        <v>3.1991799999999998E-4</v>
      </c>
      <c r="G601" s="458">
        <f>labcap_sources!$F$128</f>
        <v>1</v>
      </c>
      <c r="H601" s="369">
        <f t="shared" ref="H601:H610" si="359">$F601*G601</f>
        <v>3.1991799999999998E-4</v>
      </c>
      <c r="I601" s="357"/>
      <c r="J601" s="458">
        <f>labcap_sources!$G$128</f>
        <v>0.7777777777777779</v>
      </c>
      <c r="K601" s="369">
        <f>$H601*J601</f>
        <v>2.4882511111111113E-4</v>
      </c>
      <c r="L601" s="360"/>
      <c r="M601" s="458">
        <f>labcap_sources!$H$128</f>
        <v>0.66666666666666663</v>
      </c>
      <c r="N601" s="369">
        <f>$H601*M601</f>
        <v>2.1327866666666665E-4</v>
      </c>
      <c r="O601" s="360"/>
    </row>
    <row r="602" spans="1:15" x14ac:dyDescent="0.25">
      <c r="A602" s="2" t="s">
        <v>1205</v>
      </c>
      <c r="B602" s="5" t="s">
        <v>145</v>
      </c>
      <c r="C602" s="2" t="s">
        <v>144</v>
      </c>
      <c r="E602" s="367" t="s">
        <v>1069</v>
      </c>
      <c r="F602" s="359">
        <f>opex_det!AI$177</f>
        <v>3.88203E-4</v>
      </c>
      <c r="G602" s="458">
        <f>labcap_sources!$F$128</f>
        <v>1</v>
      </c>
      <c r="H602" s="369">
        <f t="shared" si="359"/>
        <v>3.88203E-4</v>
      </c>
      <c r="I602" s="357"/>
      <c r="J602" s="458">
        <f>labcap_sources!$G$128</f>
        <v>0.7777777777777779</v>
      </c>
      <c r="K602" s="369">
        <f t="shared" ref="K602:K606" si="360">$H602*J602</f>
        <v>3.0193566666666672E-4</v>
      </c>
      <c r="L602" s="360"/>
      <c r="M602" s="458">
        <f>labcap_sources!$H$128</f>
        <v>0.66666666666666663</v>
      </c>
      <c r="N602" s="369">
        <f t="shared" ref="N602" si="361">$H602*M602</f>
        <v>2.5880199999999998E-4</v>
      </c>
      <c r="O602" s="360"/>
    </row>
    <row r="603" spans="1:15" x14ac:dyDescent="0.25">
      <c r="A603" s="2" t="s">
        <v>1205</v>
      </c>
      <c r="B603" s="5" t="s">
        <v>145</v>
      </c>
      <c r="C603" s="2" t="s">
        <v>144</v>
      </c>
      <c r="E603" s="367" t="s">
        <v>1070</v>
      </c>
      <c r="F603" s="359">
        <f>opex_det!AI$178</f>
        <v>3.599554E-3</v>
      </c>
      <c r="G603" s="458">
        <f>labcap_sources!$F$129</f>
        <v>1</v>
      </c>
      <c r="H603" s="369">
        <f t="shared" si="359"/>
        <v>3.599554E-3</v>
      </c>
      <c r="I603" s="357"/>
      <c r="J603" s="458">
        <f>labcap_sources!$G$129</f>
        <v>0.96923076923076923</v>
      </c>
      <c r="K603" s="369">
        <f t="shared" si="360"/>
        <v>3.4887984923076924E-3</v>
      </c>
      <c r="L603" s="360"/>
      <c r="M603" s="458">
        <f>labcap_sources!$H$129</f>
        <v>0.86153846153846159</v>
      </c>
      <c r="N603" s="369">
        <f>$H603*M603</f>
        <v>3.1011542153846156E-3</v>
      </c>
      <c r="O603" s="360"/>
    </row>
    <row r="604" spans="1:15" x14ac:dyDescent="0.25">
      <c r="A604" s="2" t="s">
        <v>1205</v>
      </c>
      <c r="B604" s="5" t="s">
        <v>145</v>
      </c>
      <c r="C604" s="2" t="s">
        <v>144</v>
      </c>
      <c r="E604" s="367" t="s">
        <v>1071</v>
      </c>
      <c r="F604" s="359">
        <f>opex_det!AI$179</f>
        <v>1.6843489999999999E-3</v>
      </c>
      <c r="G604" s="458">
        <f>labcap_sources!$F$129</f>
        <v>1</v>
      </c>
      <c r="H604" s="369">
        <f t="shared" si="359"/>
        <v>1.6843489999999999E-3</v>
      </c>
      <c r="I604" s="357"/>
      <c r="J604" s="458">
        <f>labcap_sources!$G$129</f>
        <v>0.96923076923076923</v>
      </c>
      <c r="K604" s="369">
        <f t="shared" si="360"/>
        <v>1.6325228769230769E-3</v>
      </c>
      <c r="L604" s="360"/>
      <c r="M604" s="458">
        <f>labcap_sources!$H$129</f>
        <v>0.86153846153846159</v>
      </c>
      <c r="N604" s="369">
        <f t="shared" ref="N604:N606" si="362">$H604*M604</f>
        <v>1.4511314461538461E-3</v>
      </c>
      <c r="O604" s="360"/>
    </row>
    <row r="605" spans="1:15" x14ac:dyDescent="0.25">
      <c r="A605" s="2" t="s">
        <v>1205</v>
      </c>
      <c r="B605" s="5" t="s">
        <v>145</v>
      </c>
      <c r="C605" s="2" t="s">
        <v>144</v>
      </c>
      <c r="E605" s="367" t="s">
        <v>1072</v>
      </c>
      <c r="F605" s="359">
        <f>opex_det!AI$180</f>
        <v>1.4320509999999999E-3</v>
      </c>
      <c r="G605" s="458">
        <f>labcap_sources!$F$130</f>
        <v>1</v>
      </c>
      <c r="H605" s="369">
        <f t="shared" si="359"/>
        <v>1.4320509999999999E-3</v>
      </c>
      <c r="I605" s="357"/>
      <c r="J605" s="458">
        <f>labcap_sources!$G$130</f>
        <v>1.1538461538461537</v>
      </c>
      <c r="K605" s="369">
        <f t="shared" si="360"/>
        <v>1.6523665384615383E-3</v>
      </c>
      <c r="L605" s="360"/>
      <c r="M605" s="458">
        <f>labcap_sources!$H$130</f>
        <v>1.4615384615384615</v>
      </c>
      <c r="N605" s="369">
        <f t="shared" si="362"/>
        <v>2.0929976153846153E-3</v>
      </c>
      <c r="O605" s="360"/>
    </row>
    <row r="606" spans="1:15" x14ac:dyDescent="0.25">
      <c r="A606" s="2" t="s">
        <v>1205</v>
      </c>
      <c r="B606" s="5" t="s">
        <v>145</v>
      </c>
      <c r="C606" s="2" t="s">
        <v>144</v>
      </c>
      <c r="E606" s="367" t="s">
        <v>1073</v>
      </c>
      <c r="F606" s="359">
        <f>opex_det!AI$181</f>
        <v>7.4528500000000004E-4</v>
      </c>
      <c r="G606" s="458">
        <f>labcap_sources!$F$130</f>
        <v>1</v>
      </c>
      <c r="H606" s="369">
        <f t="shared" si="359"/>
        <v>7.4528500000000004E-4</v>
      </c>
      <c r="I606" s="357"/>
      <c r="J606" s="458">
        <f>labcap_sources!$G$130</f>
        <v>1.1538461538461537</v>
      </c>
      <c r="K606" s="369">
        <f t="shared" si="360"/>
        <v>8.5994423076923073E-4</v>
      </c>
      <c r="L606" s="360"/>
      <c r="M606" s="458">
        <f>labcap_sources!$H$130</f>
        <v>1.4615384615384615</v>
      </c>
      <c r="N606" s="369">
        <f t="shared" si="362"/>
        <v>1.0892626923076922E-3</v>
      </c>
      <c r="O606" s="360"/>
    </row>
    <row r="607" spans="1:15" x14ac:dyDescent="0.25">
      <c r="A607" s="2" t="s">
        <v>1205</v>
      </c>
      <c r="B607" s="5" t="s">
        <v>147</v>
      </c>
      <c r="C607" s="2" t="s">
        <v>146</v>
      </c>
      <c r="E607" s="241" t="s">
        <v>372</v>
      </c>
      <c r="F607" s="362">
        <f>opex_det!AJ$169</f>
        <v>5.4511079999999996E-3</v>
      </c>
      <c r="G607" s="458">
        <f>labcap_sources!$F$131*labcap_sources!$F$128</f>
        <v>1</v>
      </c>
      <c r="H607" s="362">
        <f t="shared" si="359"/>
        <v>5.4511079999999996E-3</v>
      </c>
      <c r="I607" s="368">
        <f>H607/H611*$F611</f>
        <v>5.4511079999999996E-3</v>
      </c>
      <c r="J607" s="458">
        <f>labcap_sources!$G$131*labcap_sources!$G$128</f>
        <v>0.73888888888888893</v>
      </c>
      <c r="K607" s="362">
        <f>$H607*J607</f>
        <v>4.0277631333333333E-3</v>
      </c>
      <c r="L607" s="368">
        <f>K607/K611*$F611</f>
        <v>4.000468345446196E-3</v>
      </c>
      <c r="M607" s="458">
        <f>labcap_sources!$H$131*labcap_sources!$H$128</f>
        <v>0.53333333333333333</v>
      </c>
      <c r="N607" s="362">
        <f>$H607*M607</f>
        <v>2.9072575999999997E-3</v>
      </c>
      <c r="O607" s="368">
        <f>N607/N611*$F611</f>
        <v>2.9390884540112425E-3</v>
      </c>
    </row>
    <row r="608" spans="1:15" x14ac:dyDescent="0.25">
      <c r="A608" s="2" t="s">
        <v>1205</v>
      </c>
      <c r="B608" s="5" t="s">
        <v>147</v>
      </c>
      <c r="C608" s="2" t="s">
        <v>146</v>
      </c>
      <c r="E608" s="241" t="s">
        <v>373</v>
      </c>
      <c r="F608" s="362">
        <f>opex_det!AJ$170</f>
        <v>5.2929341999999997E-2</v>
      </c>
      <c r="G608" s="458">
        <f>labcap_sources!$F$131*labcap_sources!$F$129</f>
        <v>1</v>
      </c>
      <c r="H608" s="362">
        <f t="shared" si="359"/>
        <v>5.2929341999999997E-2</v>
      </c>
      <c r="I608" s="368">
        <f>H608/H611*$F611</f>
        <v>5.2929341999999997E-2</v>
      </c>
      <c r="J608" s="458">
        <f>labcap_sources!$G$131*labcap_sources!$G$129</f>
        <v>0.92076923076923067</v>
      </c>
      <c r="K608" s="362">
        <f t="shared" ref="K608:K610" si="363">$H608*J608</f>
        <v>4.8735709518461533E-2</v>
      </c>
      <c r="L608" s="368">
        <f>K608/K611*$F611</f>
        <v>4.8405444105675294E-2</v>
      </c>
      <c r="M608" s="458">
        <f>labcap_sources!$H$131*labcap_sources!$H$129</f>
        <v>0.68923076923076931</v>
      </c>
      <c r="N608" s="362">
        <f t="shared" ref="N608:N610" si="364">$H608*M608</f>
        <v>3.6480531101538462E-2</v>
      </c>
      <c r="O608" s="368">
        <f>N608/N611*$F611</f>
        <v>3.6879947534311973E-2</v>
      </c>
    </row>
    <row r="609" spans="1:15" x14ac:dyDescent="0.25">
      <c r="A609" s="2" t="s">
        <v>1205</v>
      </c>
      <c r="B609" s="5" t="s">
        <v>147</v>
      </c>
      <c r="C609" s="2" t="s">
        <v>146</v>
      </c>
      <c r="E609" s="241" t="s">
        <v>374</v>
      </c>
      <c r="F609" s="362">
        <f>opex_det!AJ$171</f>
        <v>4.2992325999999997E-2</v>
      </c>
      <c r="G609" s="458">
        <f>labcap_sources!$F$131*labcap_sources!$F$130</f>
        <v>1</v>
      </c>
      <c r="H609" s="362">
        <f t="shared" si="359"/>
        <v>4.2992325999999997E-2</v>
      </c>
      <c r="I609" s="368">
        <f>H609/H611*$F611</f>
        <v>4.2992325999999997E-2</v>
      </c>
      <c r="J609" s="458">
        <f>labcap_sources!$G$131*labcap_sources!$G$130</f>
        <v>1.096153846153846</v>
      </c>
      <c r="K609" s="362">
        <f t="shared" si="363"/>
        <v>4.7126203499999991E-2</v>
      </c>
      <c r="L609" s="368">
        <f>K609/K611*$F611</f>
        <v>4.6806845164895E-2</v>
      </c>
      <c r="M609" s="458">
        <f>labcap_sources!$H$131*labcap_sources!$H$130</f>
        <v>1.1692307692307693</v>
      </c>
      <c r="N609" s="362">
        <f t="shared" si="364"/>
        <v>5.0267950399999997E-2</v>
      </c>
      <c r="O609" s="368">
        <f>N609/N611*$F611</f>
        <v>5.0818321922161222E-2</v>
      </c>
    </row>
    <row r="610" spans="1:15" x14ac:dyDescent="0.25">
      <c r="A610" s="2" t="s">
        <v>1205</v>
      </c>
      <c r="B610" s="5" t="s">
        <v>147</v>
      </c>
      <c r="C610" s="2" t="s">
        <v>146</v>
      </c>
      <c r="E610" s="240" t="s">
        <v>375</v>
      </c>
      <c r="F610" s="362">
        <f>opex_det!AJ$172</f>
        <v>5.0368270999999999E-2</v>
      </c>
      <c r="G610" s="458">
        <f>labcap_sources!$F$132</f>
        <v>1</v>
      </c>
      <c r="H610" s="362">
        <f t="shared" si="359"/>
        <v>5.0368270999999999E-2</v>
      </c>
      <c r="I610" s="368">
        <f>H610/H611*$F611</f>
        <v>5.0368270999999992E-2</v>
      </c>
      <c r="J610" s="458">
        <f>labcap_sources!$G$132</f>
        <v>1.05</v>
      </c>
      <c r="K610" s="362">
        <f t="shared" si="363"/>
        <v>5.288668455E-2</v>
      </c>
      <c r="L610" s="368">
        <f>K610/K611*$F611</f>
        <v>5.252828938398349E-2</v>
      </c>
      <c r="M610" s="458">
        <f>labcap_sources!$H$132</f>
        <v>1.2</v>
      </c>
      <c r="N610" s="362">
        <f t="shared" si="364"/>
        <v>6.0441925199999996E-2</v>
      </c>
      <c r="O610" s="368">
        <f>N610/N611*$F611</f>
        <v>6.110368908951555E-2</v>
      </c>
    </row>
    <row r="611" spans="1:15" x14ac:dyDescent="0.25">
      <c r="A611" s="2" t="s">
        <v>1205</v>
      </c>
      <c r="B611" s="5" t="s">
        <v>147</v>
      </c>
      <c r="C611" s="2" t="s">
        <v>146</v>
      </c>
      <c r="E611" s="19" t="s">
        <v>1077</v>
      </c>
      <c r="F611" s="363">
        <f>SUM(F607:F610)</f>
        <v>0.15174104699999999</v>
      </c>
      <c r="G611" s="458"/>
      <c r="H611" s="363">
        <f>SUM(H607:H610)</f>
        <v>0.15174104699999999</v>
      </c>
      <c r="I611" s="363">
        <f>SUM(I607:I610)</f>
        <v>0.15174104699999999</v>
      </c>
      <c r="J611" s="458"/>
      <c r="K611" s="363">
        <f>SUM(K607:K610)</f>
        <v>0.15277636070179487</v>
      </c>
      <c r="L611" s="363">
        <f>SUM(L607:L610)</f>
        <v>0.15174104699999996</v>
      </c>
      <c r="M611" s="458"/>
      <c r="N611" s="363">
        <f>SUM(N607:N610)</f>
        <v>0.15009766430153845</v>
      </c>
      <c r="O611" s="363">
        <f>SUM(O607:O610)</f>
        <v>0.15174104699999999</v>
      </c>
    </row>
    <row r="612" spans="1:15" x14ac:dyDescent="0.25">
      <c r="A612" s="2" t="s">
        <v>1205</v>
      </c>
      <c r="B612" s="5" t="s">
        <v>147</v>
      </c>
      <c r="C612" s="2" t="s">
        <v>146</v>
      </c>
      <c r="E612" s="367" t="s">
        <v>1068</v>
      </c>
      <c r="F612" s="359">
        <f>opex_det!AJ$176</f>
        <v>2.18443E-4</v>
      </c>
      <c r="G612" s="458">
        <f>labcap_sources!$F$128</f>
        <v>1</v>
      </c>
      <c r="H612" s="369">
        <f t="shared" ref="H612:H621" si="365">$F612*G612</f>
        <v>2.18443E-4</v>
      </c>
      <c r="I612" s="357"/>
      <c r="J612" s="458">
        <f>labcap_sources!$G$128</f>
        <v>0.7777777777777779</v>
      </c>
      <c r="K612" s="369">
        <f>$H612*J612</f>
        <v>1.6990011111111113E-4</v>
      </c>
      <c r="L612" s="360"/>
      <c r="M612" s="458">
        <f>labcap_sources!$H$128</f>
        <v>0.66666666666666663</v>
      </c>
      <c r="N612" s="369">
        <f>$H612*M612</f>
        <v>1.4562866666666666E-4</v>
      </c>
      <c r="O612" s="360"/>
    </row>
    <row r="613" spans="1:15" x14ac:dyDescent="0.25">
      <c r="A613" s="2" t="s">
        <v>1205</v>
      </c>
      <c r="B613" s="5" t="s">
        <v>147</v>
      </c>
      <c r="C613" s="2" t="s">
        <v>146</v>
      </c>
      <c r="E613" s="367" t="s">
        <v>1069</v>
      </c>
      <c r="F613" s="359">
        <f>opex_det!AJ$177</f>
        <v>2.3055999999999999E-4</v>
      </c>
      <c r="G613" s="458">
        <f>labcap_sources!$F$128</f>
        <v>1</v>
      </c>
      <c r="H613" s="369">
        <f t="shared" si="365"/>
        <v>2.3055999999999999E-4</v>
      </c>
      <c r="I613" s="357"/>
      <c r="J613" s="458">
        <f>labcap_sources!$G$128</f>
        <v>0.7777777777777779</v>
      </c>
      <c r="K613" s="369">
        <f t="shared" ref="K613:K617" si="366">$H613*J613</f>
        <v>1.7932444444444446E-4</v>
      </c>
      <c r="L613" s="360"/>
      <c r="M613" s="458">
        <f>labcap_sources!$H$128</f>
        <v>0.66666666666666663</v>
      </c>
      <c r="N613" s="369">
        <f t="shared" ref="N613" si="367">$H613*M613</f>
        <v>1.5370666666666665E-4</v>
      </c>
      <c r="O613" s="360"/>
    </row>
    <row r="614" spans="1:15" x14ac:dyDescent="0.25">
      <c r="A614" s="2" t="s">
        <v>1205</v>
      </c>
      <c r="B614" s="5" t="s">
        <v>147</v>
      </c>
      <c r="C614" s="2" t="s">
        <v>146</v>
      </c>
      <c r="E614" s="367" t="s">
        <v>1070</v>
      </c>
      <c r="F614" s="359">
        <f>opex_det!AJ$178</f>
        <v>2.1639839999999999E-3</v>
      </c>
      <c r="G614" s="458">
        <f>labcap_sources!$F$129</f>
        <v>1</v>
      </c>
      <c r="H614" s="369">
        <f t="shared" si="365"/>
        <v>2.1639839999999999E-3</v>
      </c>
      <c r="I614" s="357"/>
      <c r="J614" s="458">
        <f>labcap_sources!$G$129</f>
        <v>0.96923076923076923</v>
      </c>
      <c r="K614" s="369">
        <f t="shared" si="366"/>
        <v>2.0973998769230769E-3</v>
      </c>
      <c r="L614" s="360"/>
      <c r="M614" s="458">
        <f>labcap_sources!$H$129</f>
        <v>0.86153846153846159</v>
      </c>
      <c r="N614" s="369">
        <f>$H614*M614</f>
        <v>1.8643554461538461E-3</v>
      </c>
      <c r="O614" s="360"/>
    </row>
    <row r="615" spans="1:15" x14ac:dyDescent="0.25">
      <c r="A615" s="2" t="s">
        <v>1205</v>
      </c>
      <c r="B615" s="5" t="s">
        <v>147</v>
      </c>
      <c r="C615" s="2" t="s">
        <v>146</v>
      </c>
      <c r="E615" s="367" t="s">
        <v>1071</v>
      </c>
      <c r="F615" s="359">
        <f>opex_det!AJ$179</f>
        <v>1.014692E-3</v>
      </c>
      <c r="G615" s="458">
        <f>labcap_sources!$F$129</f>
        <v>1</v>
      </c>
      <c r="H615" s="369">
        <f t="shared" si="365"/>
        <v>1.014692E-3</v>
      </c>
      <c r="I615" s="357"/>
      <c r="J615" s="458">
        <f>labcap_sources!$G$129</f>
        <v>0.96923076923076923</v>
      </c>
      <c r="K615" s="369">
        <f t="shared" si="366"/>
        <v>9.8347070769230771E-4</v>
      </c>
      <c r="L615" s="360"/>
      <c r="M615" s="458">
        <f>labcap_sources!$H$129</f>
        <v>0.86153846153846159</v>
      </c>
      <c r="N615" s="369">
        <f t="shared" ref="N615:N617" si="368">$H615*M615</f>
        <v>8.7419618461538466E-4</v>
      </c>
      <c r="O615" s="360"/>
    </row>
    <row r="616" spans="1:15" x14ac:dyDescent="0.25">
      <c r="A616" s="2" t="s">
        <v>1205</v>
      </c>
      <c r="B616" s="5" t="s">
        <v>147</v>
      </c>
      <c r="C616" s="2" t="s">
        <v>146</v>
      </c>
      <c r="E616" s="367" t="s">
        <v>1072</v>
      </c>
      <c r="F616" s="359">
        <f>opex_det!AJ$180</f>
        <v>8.9359800000000001E-4</v>
      </c>
      <c r="G616" s="458">
        <f>labcap_sources!$F$130</f>
        <v>1</v>
      </c>
      <c r="H616" s="369">
        <f t="shared" si="365"/>
        <v>8.9359800000000001E-4</v>
      </c>
      <c r="I616" s="357"/>
      <c r="J616" s="458">
        <f>labcap_sources!$G$130</f>
        <v>1.1538461538461537</v>
      </c>
      <c r="K616" s="369">
        <f t="shared" si="366"/>
        <v>1.0310746153846153E-3</v>
      </c>
      <c r="L616" s="360"/>
      <c r="M616" s="458">
        <f>labcap_sources!$H$130</f>
        <v>1.4615384615384615</v>
      </c>
      <c r="N616" s="369">
        <f t="shared" si="368"/>
        <v>1.3060278461538462E-3</v>
      </c>
      <c r="O616" s="360"/>
    </row>
    <row r="617" spans="1:15" x14ac:dyDescent="0.25">
      <c r="A617" s="2" t="s">
        <v>1205</v>
      </c>
      <c r="B617" s="5" t="s">
        <v>147</v>
      </c>
      <c r="C617" s="2" t="s">
        <v>146</v>
      </c>
      <c r="E617" s="367" t="s">
        <v>1073</v>
      </c>
      <c r="F617" s="359">
        <f>opex_det!AJ$181</f>
        <v>4.5423700000000002E-4</v>
      </c>
      <c r="G617" s="458">
        <f>labcap_sources!$F$130</f>
        <v>1</v>
      </c>
      <c r="H617" s="369">
        <f t="shared" si="365"/>
        <v>4.5423700000000002E-4</v>
      </c>
      <c r="I617" s="357"/>
      <c r="J617" s="458">
        <f>labcap_sources!$G$130</f>
        <v>1.1538461538461537</v>
      </c>
      <c r="K617" s="369">
        <f t="shared" si="366"/>
        <v>5.2411961538461531E-4</v>
      </c>
      <c r="L617" s="360"/>
      <c r="M617" s="458">
        <f>labcap_sources!$H$130</f>
        <v>1.4615384615384615</v>
      </c>
      <c r="N617" s="369">
        <f t="shared" si="368"/>
        <v>6.638848461538461E-4</v>
      </c>
      <c r="O617" s="360"/>
    </row>
    <row r="618" spans="1:15" x14ac:dyDescent="0.25">
      <c r="A618" s="2" t="s">
        <v>1205</v>
      </c>
      <c r="B618" s="5" t="s">
        <v>149</v>
      </c>
      <c r="C618" s="2" t="s">
        <v>148</v>
      </c>
      <c r="E618" s="241" t="s">
        <v>372</v>
      </c>
      <c r="F618" s="362">
        <f>opex_det!AK$169</f>
        <v>8.8320989999999995E-3</v>
      </c>
      <c r="G618" s="458">
        <f>labcap_sources!$F$131*labcap_sources!$F$128</f>
        <v>1</v>
      </c>
      <c r="H618" s="362">
        <f t="shared" si="365"/>
        <v>8.8320989999999995E-3</v>
      </c>
      <c r="I618" s="368">
        <f>H618/H622*$F622</f>
        <v>8.8320989999999995E-3</v>
      </c>
      <c r="J618" s="458">
        <f>labcap_sources!$G$131*labcap_sources!$G$128</f>
        <v>0.73888888888888893</v>
      </c>
      <c r="K618" s="362">
        <f>$H618*J618</f>
        <v>6.5259398166666663E-3</v>
      </c>
      <c r="L618" s="368">
        <f>K618/K622*$F622</f>
        <v>6.5243412871623125E-3</v>
      </c>
      <c r="M618" s="458">
        <f>labcap_sources!$H$131*labcap_sources!$H$128</f>
        <v>0.53333333333333333</v>
      </c>
      <c r="N618" s="362">
        <f>$H618*M618</f>
        <v>4.7104527999999998E-3</v>
      </c>
      <c r="O618" s="368">
        <f>N618/N622*$F622</f>
        <v>4.9102364497856394E-3</v>
      </c>
    </row>
    <row r="619" spans="1:15" x14ac:dyDescent="0.25">
      <c r="A619" s="2" t="s">
        <v>1205</v>
      </c>
      <c r="B619" s="5" t="s">
        <v>149</v>
      </c>
      <c r="C619" s="2" t="s">
        <v>148</v>
      </c>
      <c r="E619" s="241" t="s">
        <v>373</v>
      </c>
      <c r="F619" s="362">
        <f>opex_det!AK$170</f>
        <v>8.0811530000000006E-2</v>
      </c>
      <c r="G619" s="458">
        <f>labcap_sources!$F$131*labcap_sources!$F$129</f>
        <v>1</v>
      </c>
      <c r="H619" s="362">
        <f t="shared" si="365"/>
        <v>8.0811530000000006E-2</v>
      </c>
      <c r="I619" s="368">
        <f>H619/H622*$F622</f>
        <v>8.0811530000000006E-2</v>
      </c>
      <c r="J619" s="458">
        <f>labcap_sources!$G$131*labcap_sources!$G$129</f>
        <v>0.92076923076923067</v>
      </c>
      <c r="K619" s="362">
        <f t="shared" ref="K619:K621" si="369">$H619*J619</f>
        <v>7.440877031538462E-2</v>
      </c>
      <c r="L619" s="368">
        <f>K619/K622*$F622</f>
        <v>7.4390543880867396E-2</v>
      </c>
      <c r="M619" s="458">
        <f>labcap_sources!$H$131*labcap_sources!$H$129</f>
        <v>0.68923076923076931</v>
      </c>
      <c r="N619" s="362">
        <f t="shared" ref="N619:N621" si="370">$H619*M619</f>
        <v>5.5697792984615399E-2</v>
      </c>
      <c r="O619" s="368">
        <f>N619/N622*$F622</f>
        <v>5.8060094198518118E-2</v>
      </c>
    </row>
    <row r="620" spans="1:15" x14ac:dyDescent="0.25">
      <c r="A620" s="2" t="s">
        <v>1205</v>
      </c>
      <c r="B620" s="5" t="s">
        <v>149</v>
      </c>
      <c r="C620" s="2" t="s">
        <v>148</v>
      </c>
      <c r="E620" s="241" t="s">
        <v>374</v>
      </c>
      <c r="F620" s="362">
        <f>opex_det!AK$171</f>
        <v>6.5530667000000001E-2</v>
      </c>
      <c r="G620" s="458">
        <f>labcap_sources!$F$131*labcap_sources!$F$130</f>
        <v>1</v>
      </c>
      <c r="H620" s="362">
        <f t="shared" si="365"/>
        <v>6.5530667000000001E-2</v>
      </c>
      <c r="I620" s="368">
        <f>H620/H622*$F622</f>
        <v>6.5530667000000001E-2</v>
      </c>
      <c r="J620" s="458">
        <f>labcap_sources!$G$131*labcap_sources!$G$130</f>
        <v>1.096153846153846</v>
      </c>
      <c r="K620" s="362">
        <f t="shared" si="369"/>
        <v>7.1831692673076916E-2</v>
      </c>
      <c r="L620" s="368">
        <f>K620/K622*$F622</f>
        <v>7.1814097493943893E-2</v>
      </c>
      <c r="M620" s="458">
        <f>labcap_sources!$H$131*labcap_sources!$H$130</f>
        <v>1.1692307692307693</v>
      </c>
      <c r="N620" s="362">
        <f t="shared" si="370"/>
        <v>7.6620472184615387E-2</v>
      </c>
      <c r="O620" s="368">
        <f>N620/N622*$F622</f>
        <v>7.9870163505445846E-2</v>
      </c>
    </row>
    <row r="621" spans="1:15" x14ac:dyDescent="0.25">
      <c r="A621" s="2" t="s">
        <v>1205</v>
      </c>
      <c r="B621" s="5" t="s">
        <v>149</v>
      </c>
      <c r="C621" s="2" t="s">
        <v>148</v>
      </c>
      <c r="E621" s="240" t="s">
        <v>375</v>
      </c>
      <c r="F621" s="362">
        <f>opex_det!AK$172</f>
        <v>4.9159138999999998E-2</v>
      </c>
      <c r="G621" s="458">
        <f>labcap_sources!$F$132</f>
        <v>1</v>
      </c>
      <c r="H621" s="362">
        <f t="shared" si="365"/>
        <v>4.9159138999999998E-2</v>
      </c>
      <c r="I621" s="368">
        <f>H621/H622*$F622</f>
        <v>4.9159138999999998E-2</v>
      </c>
      <c r="J621" s="458">
        <f>labcap_sources!$G$132</f>
        <v>1.05</v>
      </c>
      <c r="K621" s="362">
        <f t="shared" si="369"/>
        <v>5.1617095949999997E-2</v>
      </c>
      <c r="L621" s="368">
        <f>K621/K622*$F622</f>
        <v>5.1604452338026373E-2</v>
      </c>
      <c r="M621" s="458">
        <f>labcap_sources!$H$132</f>
        <v>1.2</v>
      </c>
      <c r="N621" s="362">
        <f t="shared" si="370"/>
        <v>5.8990966799999996E-2</v>
      </c>
      <c r="O621" s="368">
        <f>N621/N622*$F622</f>
        <v>6.1492940846250392E-2</v>
      </c>
    </row>
    <row r="622" spans="1:15" x14ac:dyDescent="0.25">
      <c r="A622" s="2" t="s">
        <v>1205</v>
      </c>
      <c r="B622" s="5" t="s">
        <v>149</v>
      </c>
      <c r="C622" s="2" t="s">
        <v>148</v>
      </c>
      <c r="E622" s="19" t="s">
        <v>1077</v>
      </c>
      <c r="F622" s="363">
        <f>SUM(F618:F621)</f>
        <v>0.20433343499999998</v>
      </c>
      <c r="G622" s="458"/>
      <c r="H622" s="363">
        <f>SUM(H618:H621)</f>
        <v>0.20433343499999998</v>
      </c>
      <c r="I622" s="363">
        <f>SUM(I618:I621)</f>
        <v>0.20433343499999998</v>
      </c>
      <c r="J622" s="458"/>
      <c r="K622" s="363">
        <f>SUM(K618:K621)</f>
        <v>0.20438349875512821</v>
      </c>
      <c r="L622" s="363">
        <f>SUM(L618:L621)</f>
        <v>0.20433343499999998</v>
      </c>
      <c r="M622" s="458"/>
      <c r="N622" s="363">
        <f>SUM(N618:N621)</f>
        <v>0.19601968476923076</v>
      </c>
      <c r="O622" s="363">
        <f>SUM(O618:O621)</f>
        <v>0.20433343500000001</v>
      </c>
    </row>
    <row r="623" spans="1:15" x14ac:dyDescent="0.25">
      <c r="A623" s="2" t="s">
        <v>1205</v>
      </c>
      <c r="B623" s="5" t="s">
        <v>149</v>
      </c>
      <c r="C623" s="2" t="s">
        <v>148</v>
      </c>
      <c r="E623" s="367" t="s">
        <v>1068</v>
      </c>
      <c r="F623" s="359">
        <f>opex_det!AK$176</f>
        <v>2.5620299999999999E-4</v>
      </c>
      <c r="G623" s="458">
        <f>labcap_sources!$F$128</f>
        <v>1</v>
      </c>
      <c r="H623" s="369">
        <f t="shared" ref="H623:H632" si="371">$F623*G623</f>
        <v>2.5620299999999999E-4</v>
      </c>
      <c r="I623" s="357"/>
      <c r="J623" s="458">
        <f>labcap_sources!$G$128</f>
        <v>0.7777777777777779</v>
      </c>
      <c r="K623" s="369">
        <f>$H623*J623</f>
        <v>1.9926900000000002E-4</v>
      </c>
      <c r="L623" s="360"/>
      <c r="M623" s="458">
        <f>labcap_sources!$H$128</f>
        <v>0.66666666666666663</v>
      </c>
      <c r="N623" s="369">
        <f>$H623*M623</f>
        <v>1.7080199999999998E-4</v>
      </c>
      <c r="O623" s="360"/>
    </row>
    <row r="624" spans="1:15" x14ac:dyDescent="0.25">
      <c r="A624" s="2" t="s">
        <v>1205</v>
      </c>
      <c r="B624" s="5" t="s">
        <v>149</v>
      </c>
      <c r="C624" s="2" t="s">
        <v>148</v>
      </c>
      <c r="E624" s="367" t="s">
        <v>1069</v>
      </c>
      <c r="F624" s="359">
        <f>opex_det!AK$177</f>
        <v>4.1430299999999998E-4</v>
      </c>
      <c r="G624" s="458">
        <f>labcap_sources!$F$128</f>
        <v>1</v>
      </c>
      <c r="H624" s="369">
        <f t="shared" si="371"/>
        <v>4.1430299999999998E-4</v>
      </c>
      <c r="I624" s="357"/>
      <c r="J624" s="458">
        <f>labcap_sources!$G$128</f>
        <v>0.7777777777777779</v>
      </c>
      <c r="K624" s="369">
        <f t="shared" ref="K624:K628" si="372">$H624*J624</f>
        <v>3.2223566666666668E-4</v>
      </c>
      <c r="L624" s="360"/>
      <c r="M624" s="458">
        <f>labcap_sources!$H$128</f>
        <v>0.66666666666666663</v>
      </c>
      <c r="N624" s="369">
        <f t="shared" ref="N624" si="373">$H624*M624</f>
        <v>2.7620199999999997E-4</v>
      </c>
      <c r="O624" s="360"/>
    </row>
    <row r="625" spans="1:15" x14ac:dyDescent="0.25">
      <c r="A625" s="2" t="s">
        <v>1205</v>
      </c>
      <c r="B625" s="5" t="s">
        <v>149</v>
      </c>
      <c r="C625" s="2" t="s">
        <v>148</v>
      </c>
      <c r="E625" s="367" t="s">
        <v>1070</v>
      </c>
      <c r="F625" s="359">
        <f>opex_det!AK$178</f>
        <v>3.2673250000000002E-3</v>
      </c>
      <c r="G625" s="458">
        <f>labcap_sources!$F$129</f>
        <v>1</v>
      </c>
      <c r="H625" s="369">
        <f t="shared" si="371"/>
        <v>3.2673250000000002E-3</v>
      </c>
      <c r="I625" s="357"/>
      <c r="J625" s="458">
        <f>labcap_sources!$G$129</f>
        <v>0.96923076923076923</v>
      </c>
      <c r="K625" s="369">
        <f t="shared" si="372"/>
        <v>3.1667919230769235E-3</v>
      </c>
      <c r="L625" s="360"/>
      <c r="M625" s="458">
        <f>labcap_sources!$H$129</f>
        <v>0.86153846153846159</v>
      </c>
      <c r="N625" s="369">
        <f>$H625*M625</f>
        <v>2.8149261538461543E-3</v>
      </c>
      <c r="O625" s="360"/>
    </row>
    <row r="626" spans="1:15" x14ac:dyDescent="0.25">
      <c r="A626" s="2" t="s">
        <v>1205</v>
      </c>
      <c r="B626" s="5" t="s">
        <v>149</v>
      </c>
      <c r="C626" s="2" t="s">
        <v>148</v>
      </c>
      <c r="E626" s="367" t="s">
        <v>1071</v>
      </c>
      <c r="F626" s="359">
        <f>opex_det!AK$179</f>
        <v>1.5177669999999999E-3</v>
      </c>
      <c r="G626" s="458">
        <f>labcap_sources!$F$129</f>
        <v>1</v>
      </c>
      <c r="H626" s="369">
        <f t="shared" si="371"/>
        <v>1.5177669999999999E-3</v>
      </c>
      <c r="I626" s="357"/>
      <c r="J626" s="458">
        <f>labcap_sources!$G$129</f>
        <v>0.96923076923076923</v>
      </c>
      <c r="K626" s="369">
        <f t="shared" si="372"/>
        <v>1.4710664769230768E-3</v>
      </c>
      <c r="L626" s="360"/>
      <c r="M626" s="458">
        <f>labcap_sources!$H$129</f>
        <v>0.86153846153846159</v>
      </c>
      <c r="N626" s="369">
        <f t="shared" ref="N626:N628" si="374">$H626*M626</f>
        <v>1.3076146461538463E-3</v>
      </c>
      <c r="O626" s="360"/>
    </row>
    <row r="627" spans="1:15" x14ac:dyDescent="0.25">
      <c r="A627" s="2" t="s">
        <v>1205</v>
      </c>
      <c r="B627" s="5" t="s">
        <v>149</v>
      </c>
      <c r="C627" s="2" t="s">
        <v>148</v>
      </c>
      <c r="E627" s="367" t="s">
        <v>1072</v>
      </c>
      <c r="F627" s="359">
        <f>opex_det!AK$180</f>
        <v>1.307957E-3</v>
      </c>
      <c r="G627" s="458">
        <f>labcap_sources!$F$130</f>
        <v>1</v>
      </c>
      <c r="H627" s="369">
        <f t="shared" si="371"/>
        <v>1.307957E-3</v>
      </c>
      <c r="I627" s="357"/>
      <c r="J627" s="458">
        <f>labcap_sources!$G$130</f>
        <v>1.1538461538461537</v>
      </c>
      <c r="K627" s="369">
        <f t="shared" si="372"/>
        <v>1.5091811538461538E-3</v>
      </c>
      <c r="L627" s="360"/>
      <c r="M627" s="458">
        <f>labcap_sources!$H$130</f>
        <v>1.4615384615384615</v>
      </c>
      <c r="N627" s="369">
        <f t="shared" si="374"/>
        <v>1.9116294615384615E-3</v>
      </c>
      <c r="O627" s="360"/>
    </row>
    <row r="628" spans="1:15" x14ac:dyDescent="0.25">
      <c r="A628" s="2" t="s">
        <v>1205</v>
      </c>
      <c r="B628" s="5" t="s">
        <v>149</v>
      </c>
      <c r="C628" s="2" t="s">
        <v>148</v>
      </c>
      <c r="E628" s="367" t="s">
        <v>1073</v>
      </c>
      <c r="F628" s="359">
        <f>opex_det!AK$181</f>
        <v>7.0949700000000001E-4</v>
      </c>
      <c r="G628" s="458">
        <f>labcap_sources!$F$130</f>
        <v>1</v>
      </c>
      <c r="H628" s="369">
        <f t="shared" si="371"/>
        <v>7.0949700000000001E-4</v>
      </c>
      <c r="I628" s="357"/>
      <c r="J628" s="458">
        <f>labcap_sources!$G$130</f>
        <v>1.1538461538461537</v>
      </c>
      <c r="K628" s="369">
        <f t="shared" si="372"/>
        <v>8.1865038461538455E-4</v>
      </c>
      <c r="L628" s="360"/>
      <c r="M628" s="458">
        <f>labcap_sources!$H$130</f>
        <v>1.4615384615384615</v>
      </c>
      <c r="N628" s="369">
        <f t="shared" si="374"/>
        <v>1.0369571538461537E-3</v>
      </c>
      <c r="O628" s="360"/>
    </row>
    <row r="629" spans="1:15" x14ac:dyDescent="0.25">
      <c r="A629" s="2" t="s">
        <v>1206</v>
      </c>
      <c r="B629" s="5" t="s">
        <v>151</v>
      </c>
      <c r="C629" s="2" t="s">
        <v>150</v>
      </c>
      <c r="E629" s="241" t="s">
        <v>372</v>
      </c>
      <c r="F629" s="362">
        <f>opex_det!AL$169</f>
        <v>6.5227469999999997E-3</v>
      </c>
      <c r="G629" s="458">
        <f>labcap_sources!$F$131*labcap_sources!$F$128</f>
        <v>1</v>
      </c>
      <c r="H629" s="362">
        <f t="shared" si="371"/>
        <v>6.5227469999999997E-3</v>
      </c>
      <c r="I629" s="368">
        <f>H629/H633*$F633</f>
        <v>6.5227469999999989E-3</v>
      </c>
      <c r="J629" s="458">
        <f>labcap_sources!$G$131*labcap_sources!$G$128</f>
        <v>0.73888888888888893</v>
      </c>
      <c r="K629" s="362">
        <f>$H629*J629</f>
        <v>4.8195852833333337E-3</v>
      </c>
      <c r="L629" s="368">
        <f>K629/K633*$F633</f>
        <v>4.7715310145841948E-3</v>
      </c>
      <c r="M629" s="458">
        <f>labcap_sources!$H$131*labcap_sources!$H$128</f>
        <v>0.53333333333333333</v>
      </c>
      <c r="N629" s="362">
        <f>$H629*M629</f>
        <v>3.4787983999999997E-3</v>
      </c>
      <c r="O629" s="368">
        <f>N629/N633*$F633</f>
        <v>3.4608484994895546E-3</v>
      </c>
    </row>
    <row r="630" spans="1:15" x14ac:dyDescent="0.25">
      <c r="A630" s="2" t="s">
        <v>1206</v>
      </c>
      <c r="B630" s="5" t="s">
        <v>151</v>
      </c>
      <c r="C630" s="2" t="s">
        <v>150</v>
      </c>
      <c r="E630" s="241" t="s">
        <v>373</v>
      </c>
      <c r="F630" s="362">
        <f>opex_det!AL$170</f>
        <v>6.3007526999999994E-2</v>
      </c>
      <c r="G630" s="458">
        <f>labcap_sources!$F$131*labcap_sources!$F$129</f>
        <v>1</v>
      </c>
      <c r="H630" s="362">
        <f t="shared" si="371"/>
        <v>6.3007526999999994E-2</v>
      </c>
      <c r="I630" s="368">
        <f>H630/H633*$F633</f>
        <v>6.3007526999999994E-2</v>
      </c>
      <c r="J630" s="458">
        <f>labcap_sources!$G$131*labcap_sources!$G$129</f>
        <v>0.92076923076923067</v>
      </c>
      <c r="K630" s="362">
        <f t="shared" ref="K630:K632" si="375">$H630*J630</f>
        <v>5.8015392168461528E-2</v>
      </c>
      <c r="L630" s="368">
        <f>K630/K633*$F633</f>
        <v>5.7436942554447902E-2</v>
      </c>
      <c r="M630" s="458">
        <f>labcap_sources!$H$131*labcap_sources!$H$129</f>
        <v>0.68923076923076931</v>
      </c>
      <c r="N630" s="362">
        <f t="shared" ref="N630:N632" si="376">$H630*M630</f>
        <v>4.342672630153846E-2</v>
      </c>
      <c r="O630" s="368">
        <f>N630/N633*$F633</f>
        <v>4.3202653122533054E-2</v>
      </c>
    </row>
    <row r="631" spans="1:15" x14ac:dyDescent="0.25">
      <c r="A631" s="2" t="s">
        <v>1206</v>
      </c>
      <c r="B631" s="5" t="s">
        <v>151</v>
      </c>
      <c r="C631" s="2" t="s">
        <v>150</v>
      </c>
      <c r="E631" s="241" t="s">
        <v>374</v>
      </c>
      <c r="F631" s="362">
        <f>opex_det!AL$171</f>
        <v>5.1171196000000002E-2</v>
      </c>
      <c r="G631" s="458">
        <f>labcap_sources!$F$131*labcap_sources!$F$130</f>
        <v>1</v>
      </c>
      <c r="H631" s="362">
        <f t="shared" si="371"/>
        <v>5.1171196000000002E-2</v>
      </c>
      <c r="I631" s="368">
        <f>H631/H633*$F633</f>
        <v>5.1171195999999995E-2</v>
      </c>
      <c r="J631" s="458">
        <f>labcap_sources!$G$131*labcap_sources!$G$130</f>
        <v>1.096153846153846</v>
      </c>
      <c r="K631" s="362">
        <f t="shared" si="375"/>
        <v>5.6091503307692303E-2</v>
      </c>
      <c r="L631" s="368">
        <f>K631/K633*$F633</f>
        <v>5.5532236064551668E-2</v>
      </c>
      <c r="M631" s="458">
        <f>labcap_sources!$H$131*labcap_sources!$H$130</f>
        <v>1.1692307692307693</v>
      </c>
      <c r="N631" s="362">
        <f t="shared" si="376"/>
        <v>5.9830936861538467E-2</v>
      </c>
      <c r="O631" s="368">
        <f>N631/N633*$F633</f>
        <v>5.9522221253266568E-2</v>
      </c>
    </row>
    <row r="632" spans="1:15" x14ac:dyDescent="0.25">
      <c r="A632" s="2" t="s">
        <v>1206</v>
      </c>
      <c r="B632" s="5" t="s">
        <v>151</v>
      </c>
      <c r="C632" s="2" t="s">
        <v>150</v>
      </c>
      <c r="E632" s="240" t="s">
        <v>375</v>
      </c>
      <c r="F632" s="362">
        <f>opex_det!AL$172</f>
        <v>7.4897470999999993E-2</v>
      </c>
      <c r="G632" s="458">
        <f>labcap_sources!$F$132</f>
        <v>1</v>
      </c>
      <c r="H632" s="362">
        <f t="shared" si="371"/>
        <v>7.4897470999999993E-2</v>
      </c>
      <c r="I632" s="368">
        <f>H632/H633*$F633</f>
        <v>7.4897470999999993E-2</v>
      </c>
      <c r="J632" s="458">
        <f>labcap_sources!$G$132</f>
        <v>1.05</v>
      </c>
      <c r="K632" s="362">
        <f t="shared" si="375"/>
        <v>7.8642344549999993E-2</v>
      </c>
      <c r="L632" s="368">
        <f>K632/K633*$F633</f>
        <v>7.7858231366416217E-2</v>
      </c>
      <c r="M632" s="458">
        <f>labcap_sources!$H$132</f>
        <v>1.2</v>
      </c>
      <c r="N632" s="362">
        <f t="shared" si="376"/>
        <v>8.9876965199999992E-2</v>
      </c>
      <c r="O632" s="368">
        <f>N632/N633*$F633</f>
        <v>8.94132181247108E-2</v>
      </c>
    </row>
    <row r="633" spans="1:15" x14ac:dyDescent="0.25">
      <c r="A633" s="2" t="s">
        <v>1206</v>
      </c>
      <c r="B633" s="5" t="s">
        <v>151</v>
      </c>
      <c r="C633" s="2" t="s">
        <v>150</v>
      </c>
      <c r="E633" s="19" t="s">
        <v>1077</v>
      </c>
      <c r="F633" s="363">
        <f>SUM(F629:F632)</f>
        <v>0.19559894099999997</v>
      </c>
      <c r="G633" s="458"/>
      <c r="H633" s="363">
        <f>SUM(H629:H632)</f>
        <v>0.19559894099999997</v>
      </c>
      <c r="I633" s="363">
        <f>SUM(I629:I632)</f>
        <v>0.19559894099999997</v>
      </c>
      <c r="J633" s="458"/>
      <c r="K633" s="363">
        <f>SUM(K629:K632)</f>
        <v>0.19756882530948716</v>
      </c>
      <c r="L633" s="363">
        <f>SUM(L629:L632)</f>
        <v>0.19559894099999997</v>
      </c>
      <c r="M633" s="458"/>
      <c r="N633" s="363">
        <f>SUM(N629:N632)</f>
        <v>0.19661342676307692</v>
      </c>
      <c r="O633" s="363">
        <f>SUM(O629:O632)</f>
        <v>0.19559894099999997</v>
      </c>
    </row>
    <row r="634" spans="1:15" x14ac:dyDescent="0.25">
      <c r="A634" s="2" t="s">
        <v>1206</v>
      </c>
      <c r="B634" s="5" t="s">
        <v>151</v>
      </c>
      <c r="C634" s="2" t="s">
        <v>150</v>
      </c>
      <c r="E634" s="367" t="s">
        <v>1068</v>
      </c>
      <c r="F634" s="359">
        <f>opex_det!AL$176</f>
        <v>2.5954100000000001E-4</v>
      </c>
      <c r="G634" s="458">
        <f>labcap_sources!$F$128</f>
        <v>1</v>
      </c>
      <c r="H634" s="369">
        <f t="shared" ref="H634:H643" si="377">$F634*G634</f>
        <v>2.5954100000000001E-4</v>
      </c>
      <c r="I634" s="357"/>
      <c r="J634" s="458">
        <f>labcap_sources!$G$128</f>
        <v>0.7777777777777779</v>
      </c>
      <c r="K634" s="369">
        <f>$H634*J634</f>
        <v>2.0186522222222228E-4</v>
      </c>
      <c r="L634" s="360"/>
      <c r="M634" s="458">
        <f>labcap_sources!$H$128</f>
        <v>0.66666666666666663</v>
      </c>
      <c r="N634" s="369">
        <f>$H634*M634</f>
        <v>1.7302733333333334E-4</v>
      </c>
      <c r="O634" s="360"/>
    </row>
    <row r="635" spans="1:15" x14ac:dyDescent="0.25">
      <c r="A635" s="2" t="s">
        <v>1206</v>
      </c>
      <c r="B635" s="5" t="s">
        <v>151</v>
      </c>
      <c r="C635" s="2" t="s">
        <v>150</v>
      </c>
      <c r="E635" s="367" t="s">
        <v>1069</v>
      </c>
      <c r="F635" s="359">
        <f>opex_det!AL$177</f>
        <v>3.6569499999999997E-4</v>
      </c>
      <c r="G635" s="458">
        <f>labcap_sources!$F$128</f>
        <v>1</v>
      </c>
      <c r="H635" s="369">
        <f t="shared" si="377"/>
        <v>3.6569499999999997E-4</v>
      </c>
      <c r="I635" s="357"/>
      <c r="J635" s="458">
        <f>labcap_sources!$G$128</f>
        <v>0.7777777777777779</v>
      </c>
      <c r="K635" s="369">
        <f t="shared" ref="K635:K639" si="378">$H635*J635</f>
        <v>2.8442944444444446E-4</v>
      </c>
      <c r="L635" s="360"/>
      <c r="M635" s="458">
        <f>labcap_sources!$H$128</f>
        <v>0.66666666666666663</v>
      </c>
      <c r="N635" s="369">
        <f t="shared" ref="N635" si="379">$H635*M635</f>
        <v>2.4379666666666665E-4</v>
      </c>
      <c r="O635" s="360"/>
    </row>
    <row r="636" spans="1:15" x14ac:dyDescent="0.25">
      <c r="A636" s="2" t="s">
        <v>1206</v>
      </c>
      <c r="B636" s="5" t="s">
        <v>151</v>
      </c>
      <c r="C636" s="2" t="s">
        <v>150</v>
      </c>
      <c r="E636" s="367" t="s">
        <v>1070</v>
      </c>
      <c r="F636" s="359">
        <f>opex_det!AL$178</f>
        <v>3.3294850000000001E-3</v>
      </c>
      <c r="G636" s="458">
        <f>labcap_sources!$F$129</f>
        <v>1</v>
      </c>
      <c r="H636" s="369">
        <f t="shared" si="377"/>
        <v>3.3294850000000001E-3</v>
      </c>
      <c r="I636" s="357"/>
      <c r="J636" s="458">
        <f>labcap_sources!$G$129</f>
        <v>0.96923076923076923</v>
      </c>
      <c r="K636" s="369">
        <f t="shared" si="378"/>
        <v>3.227039307692308E-3</v>
      </c>
      <c r="L636" s="360"/>
      <c r="M636" s="458">
        <f>labcap_sources!$H$129</f>
        <v>0.86153846153846159</v>
      </c>
      <c r="N636" s="369">
        <f>$H636*M636</f>
        <v>2.8684793846153848E-3</v>
      </c>
      <c r="O636" s="360"/>
    </row>
    <row r="637" spans="1:15" x14ac:dyDescent="0.25">
      <c r="A637" s="2" t="s">
        <v>1206</v>
      </c>
      <c r="B637" s="5" t="s">
        <v>151</v>
      </c>
      <c r="C637" s="2" t="s">
        <v>150</v>
      </c>
      <c r="E637" s="367" t="s">
        <v>1071</v>
      </c>
      <c r="F637" s="359">
        <f>opex_det!AL$179</f>
        <v>1.5238820000000001E-3</v>
      </c>
      <c r="G637" s="458">
        <f>labcap_sources!$F$129</f>
        <v>1</v>
      </c>
      <c r="H637" s="369">
        <f t="shared" si="377"/>
        <v>1.5238820000000001E-3</v>
      </c>
      <c r="I637" s="357"/>
      <c r="J637" s="458">
        <f>labcap_sources!$G$129</f>
        <v>0.96923076923076923</v>
      </c>
      <c r="K637" s="369">
        <f t="shared" si="378"/>
        <v>1.4769933230769231E-3</v>
      </c>
      <c r="L637" s="360"/>
      <c r="M637" s="458">
        <f>labcap_sources!$H$129</f>
        <v>0.86153846153846159</v>
      </c>
      <c r="N637" s="369">
        <f t="shared" ref="N637:N639" si="380">$H637*M637</f>
        <v>1.312882953846154E-3</v>
      </c>
      <c r="O637" s="360"/>
    </row>
    <row r="638" spans="1:15" x14ac:dyDescent="0.25">
      <c r="A638" s="2" t="s">
        <v>1206</v>
      </c>
      <c r="B638" s="5" t="s">
        <v>151</v>
      </c>
      <c r="C638" s="2" t="s">
        <v>150</v>
      </c>
      <c r="E638" s="367" t="s">
        <v>1072</v>
      </c>
      <c r="F638" s="359">
        <f>opex_det!AL$180</f>
        <v>1.3048739999999999E-3</v>
      </c>
      <c r="G638" s="458">
        <f>labcap_sources!$F$130</f>
        <v>1</v>
      </c>
      <c r="H638" s="369">
        <f t="shared" si="377"/>
        <v>1.3048739999999999E-3</v>
      </c>
      <c r="I638" s="357"/>
      <c r="J638" s="458">
        <f>labcap_sources!$G$130</f>
        <v>1.1538461538461537</v>
      </c>
      <c r="K638" s="369">
        <f t="shared" si="378"/>
        <v>1.505623846153846E-3</v>
      </c>
      <c r="L638" s="360"/>
      <c r="M638" s="458">
        <f>labcap_sources!$H$130</f>
        <v>1.4615384615384615</v>
      </c>
      <c r="N638" s="369">
        <f t="shared" si="380"/>
        <v>1.9071235384615383E-3</v>
      </c>
      <c r="O638" s="360"/>
    </row>
    <row r="639" spans="1:15" x14ac:dyDescent="0.25">
      <c r="A639" s="2" t="s">
        <v>1206</v>
      </c>
      <c r="B639" s="5" t="s">
        <v>151</v>
      </c>
      <c r="C639" s="2" t="s">
        <v>150</v>
      </c>
      <c r="E639" s="367" t="s">
        <v>1073</v>
      </c>
      <c r="F639" s="359">
        <f>opex_det!AL$181</f>
        <v>4.8343799999999999E-4</v>
      </c>
      <c r="G639" s="458">
        <f>labcap_sources!$F$130</f>
        <v>1</v>
      </c>
      <c r="H639" s="369">
        <f t="shared" si="377"/>
        <v>4.8343799999999999E-4</v>
      </c>
      <c r="I639" s="357"/>
      <c r="J639" s="458">
        <f>labcap_sources!$G$130</f>
        <v>1.1538461538461537</v>
      </c>
      <c r="K639" s="369">
        <f t="shared" si="378"/>
        <v>5.5781307692307684E-4</v>
      </c>
      <c r="L639" s="360"/>
      <c r="M639" s="458">
        <f>labcap_sources!$H$130</f>
        <v>1.4615384615384615</v>
      </c>
      <c r="N639" s="369">
        <f t="shared" si="380"/>
        <v>7.0656323076923066E-4</v>
      </c>
      <c r="O639" s="360"/>
    </row>
    <row r="640" spans="1:15" x14ac:dyDescent="0.25">
      <c r="A640" s="2" t="s">
        <v>1206</v>
      </c>
      <c r="B640" s="5" t="s">
        <v>153</v>
      </c>
      <c r="C640" s="2" t="s">
        <v>152</v>
      </c>
      <c r="E640" s="241" t="s">
        <v>372</v>
      </c>
      <c r="F640" s="362">
        <f>opex_det!AM$169</f>
        <v>1.3083897000000001E-2</v>
      </c>
      <c r="G640" s="458">
        <f>labcap_sources!$F$131*labcap_sources!$F$128</f>
        <v>1</v>
      </c>
      <c r="H640" s="362">
        <f t="shared" si="377"/>
        <v>1.3083897000000001E-2</v>
      </c>
      <c r="I640" s="368">
        <f>H640/H644*$F644</f>
        <v>1.3083896999999999E-2</v>
      </c>
      <c r="J640" s="458">
        <f>labcap_sources!$G$131*labcap_sources!$G$128</f>
        <v>0.73888888888888893</v>
      </c>
      <c r="K640" s="362">
        <f>$H640*J640</f>
        <v>9.6675461166666685E-3</v>
      </c>
      <c r="L640" s="368">
        <f>K640/K644*$F644</f>
        <v>9.5701567371014474E-3</v>
      </c>
      <c r="M640" s="458">
        <f>labcap_sources!$H$131*labcap_sources!$H$128</f>
        <v>0.53333333333333333</v>
      </c>
      <c r="N640" s="362">
        <f>$H640*M640</f>
        <v>6.9780784000000005E-3</v>
      </c>
      <c r="O640" s="368">
        <f>N640/N644*$F644</f>
        <v>6.9385257643309085E-3</v>
      </c>
    </row>
    <row r="641" spans="1:15" x14ac:dyDescent="0.25">
      <c r="A641" s="2" t="s">
        <v>1206</v>
      </c>
      <c r="B641" s="5" t="s">
        <v>153</v>
      </c>
      <c r="C641" s="2" t="s">
        <v>152</v>
      </c>
      <c r="E641" s="241" t="s">
        <v>373</v>
      </c>
      <c r="F641" s="362">
        <f>opex_det!AM$170</f>
        <v>0.12638601799999999</v>
      </c>
      <c r="G641" s="458">
        <f>labcap_sources!$F$131*labcap_sources!$F$129</f>
        <v>1</v>
      </c>
      <c r="H641" s="362">
        <f t="shared" si="377"/>
        <v>0.12638601799999999</v>
      </c>
      <c r="I641" s="368">
        <f>H641/H644*$F644</f>
        <v>0.12638601799999999</v>
      </c>
      <c r="J641" s="458">
        <f>labcap_sources!$G$131*labcap_sources!$G$129</f>
        <v>0.92076923076923067</v>
      </c>
      <c r="K641" s="362">
        <f t="shared" ref="K641:K643" si="381">$H641*J641</f>
        <v>0.11637235657384613</v>
      </c>
      <c r="L641" s="368">
        <f>K641/K644*$F644</f>
        <v>0.11520003926927895</v>
      </c>
      <c r="M641" s="458">
        <f>labcap_sources!$H$131*labcap_sources!$H$129</f>
        <v>0.68923076923076931</v>
      </c>
      <c r="N641" s="362">
        <f t="shared" ref="N641:N643" si="382">$H641*M641</f>
        <v>8.7109132406153852E-2</v>
      </c>
      <c r="O641" s="368">
        <f>N641/N644*$F644</f>
        <v>8.6615386767309885E-2</v>
      </c>
    </row>
    <row r="642" spans="1:15" x14ac:dyDescent="0.25">
      <c r="A642" s="2" t="s">
        <v>1206</v>
      </c>
      <c r="B642" s="5" t="s">
        <v>153</v>
      </c>
      <c r="C642" s="2" t="s">
        <v>152</v>
      </c>
      <c r="E642" s="241" t="s">
        <v>374</v>
      </c>
      <c r="F642" s="362">
        <f>opex_det!AM$171</f>
        <v>0.10264366699999999</v>
      </c>
      <c r="G642" s="458">
        <f>labcap_sources!$F$131*labcap_sources!$F$130</f>
        <v>1</v>
      </c>
      <c r="H642" s="362">
        <f t="shared" si="377"/>
        <v>0.10264366699999999</v>
      </c>
      <c r="I642" s="368">
        <f>H642/H644*$F644</f>
        <v>0.10264366699999999</v>
      </c>
      <c r="J642" s="458">
        <f>labcap_sources!$G$131*labcap_sources!$G$130</f>
        <v>1.096153846153846</v>
      </c>
      <c r="K642" s="362">
        <f t="shared" si="381"/>
        <v>0.11251325036538459</v>
      </c>
      <c r="L642" s="368">
        <f>K642/K644*$F644</f>
        <v>0.11137980910596711</v>
      </c>
      <c r="M642" s="458">
        <f>labcap_sources!$H$131*labcap_sources!$H$130</f>
        <v>1.1692307692307693</v>
      </c>
      <c r="N642" s="362">
        <f t="shared" si="382"/>
        <v>0.12001413372307693</v>
      </c>
      <c r="O642" s="368">
        <f>N642/N644*$F644</f>
        <v>0.11933387835273163</v>
      </c>
    </row>
    <row r="643" spans="1:15" x14ac:dyDescent="0.25">
      <c r="A643" s="2" t="s">
        <v>1206</v>
      </c>
      <c r="B643" s="5" t="s">
        <v>153</v>
      </c>
      <c r="C643" s="2" t="s">
        <v>152</v>
      </c>
      <c r="E643" s="240" t="s">
        <v>375</v>
      </c>
      <c r="F643" s="362">
        <f>opex_det!AM$172</f>
        <v>0.15127358299999999</v>
      </c>
      <c r="G643" s="458">
        <f>labcap_sources!$F$132</f>
        <v>1</v>
      </c>
      <c r="H643" s="362">
        <f t="shared" si="377"/>
        <v>0.15127358299999999</v>
      </c>
      <c r="I643" s="368">
        <f>H643/H644*$F644</f>
        <v>0.15127358299999999</v>
      </c>
      <c r="J643" s="458">
        <f>labcap_sources!$G$132</f>
        <v>1.05</v>
      </c>
      <c r="K643" s="362">
        <f t="shared" si="381"/>
        <v>0.15883726214999999</v>
      </c>
      <c r="L643" s="368">
        <f>K643/K644*$F644</f>
        <v>0.15723715988765252</v>
      </c>
      <c r="M643" s="458">
        <f>labcap_sources!$H$132</f>
        <v>1.2</v>
      </c>
      <c r="N643" s="362">
        <f t="shared" si="382"/>
        <v>0.18152829959999997</v>
      </c>
      <c r="O643" s="368">
        <f>N643/N644*$F644</f>
        <v>0.18049937411562758</v>
      </c>
    </row>
    <row r="644" spans="1:15" x14ac:dyDescent="0.25">
      <c r="A644" s="2" t="s">
        <v>1206</v>
      </c>
      <c r="B644" s="5" t="s">
        <v>153</v>
      </c>
      <c r="C644" s="2" t="s">
        <v>152</v>
      </c>
      <c r="E644" s="19" t="s">
        <v>1077</v>
      </c>
      <c r="F644" s="363">
        <f>SUM(F640:F643)</f>
        <v>0.39338716499999998</v>
      </c>
      <c r="G644" s="458"/>
      <c r="H644" s="363">
        <f>SUM(H640:H643)</f>
        <v>0.39338716499999998</v>
      </c>
      <c r="I644" s="363">
        <f>SUM(I640:I643)</f>
        <v>0.39338716499999998</v>
      </c>
      <c r="J644" s="458"/>
      <c r="K644" s="363">
        <f>SUM(K640:K643)</f>
        <v>0.39739041520589735</v>
      </c>
      <c r="L644" s="363">
        <f>SUM(L640:L643)</f>
        <v>0.39338716500000004</v>
      </c>
      <c r="M644" s="458"/>
      <c r="N644" s="363">
        <f>SUM(N640:N643)</f>
        <v>0.39562964412923074</v>
      </c>
      <c r="O644" s="363">
        <f>SUM(O640:O643)</f>
        <v>0.39338716500000004</v>
      </c>
    </row>
    <row r="645" spans="1:15" x14ac:dyDescent="0.25">
      <c r="A645" s="2" t="s">
        <v>1206</v>
      </c>
      <c r="B645" s="5" t="s">
        <v>153</v>
      </c>
      <c r="C645" s="2" t="s">
        <v>152</v>
      </c>
      <c r="E645" s="367" t="s">
        <v>1068</v>
      </c>
      <c r="F645" s="359">
        <f>opex_det!AM$176</f>
        <v>5.2824100000000004E-4</v>
      </c>
      <c r="G645" s="458">
        <f>labcap_sources!$F$128</f>
        <v>1</v>
      </c>
      <c r="H645" s="369">
        <f t="shared" ref="H645:H654" si="383">$F645*G645</f>
        <v>5.2824100000000004E-4</v>
      </c>
      <c r="I645" s="357"/>
      <c r="J645" s="458">
        <f>labcap_sources!$G$128</f>
        <v>0.7777777777777779</v>
      </c>
      <c r="K645" s="369">
        <f>$H645*J645</f>
        <v>4.1085411111111119E-4</v>
      </c>
      <c r="L645" s="360"/>
      <c r="M645" s="458">
        <f>labcap_sources!$H$128</f>
        <v>0.66666666666666663</v>
      </c>
      <c r="N645" s="369">
        <f>$H645*M645</f>
        <v>3.5216066666666666E-4</v>
      </c>
      <c r="O645" s="360"/>
    </row>
    <row r="646" spans="1:15" x14ac:dyDescent="0.25">
      <c r="A646" s="2" t="s">
        <v>1206</v>
      </c>
      <c r="B646" s="5" t="s">
        <v>153</v>
      </c>
      <c r="C646" s="2" t="s">
        <v>152</v>
      </c>
      <c r="E646" s="367" t="s">
        <v>1069</v>
      </c>
      <c r="F646" s="359">
        <f>opex_det!AM$177</f>
        <v>6.8440199999999997E-4</v>
      </c>
      <c r="G646" s="458">
        <f>labcap_sources!$F$128</f>
        <v>1</v>
      </c>
      <c r="H646" s="369">
        <f t="shared" si="383"/>
        <v>6.8440199999999997E-4</v>
      </c>
      <c r="I646" s="357"/>
      <c r="J646" s="458">
        <f>labcap_sources!$G$128</f>
        <v>0.7777777777777779</v>
      </c>
      <c r="K646" s="369">
        <f t="shared" ref="K646:K650" si="384">$H646*J646</f>
        <v>5.323126666666667E-4</v>
      </c>
      <c r="L646" s="360"/>
      <c r="M646" s="458">
        <f>labcap_sources!$H$128</f>
        <v>0.66666666666666663</v>
      </c>
      <c r="N646" s="369">
        <f t="shared" ref="N646" si="385">$H646*M646</f>
        <v>4.5626799999999996E-4</v>
      </c>
      <c r="O646" s="360"/>
    </row>
    <row r="647" spans="1:15" x14ac:dyDescent="0.25">
      <c r="A647" s="2" t="s">
        <v>1206</v>
      </c>
      <c r="B647" s="5" t="s">
        <v>153</v>
      </c>
      <c r="C647" s="2" t="s">
        <v>152</v>
      </c>
      <c r="E647" s="367" t="s">
        <v>1070</v>
      </c>
      <c r="F647" s="359">
        <f>opex_det!AM$178</f>
        <v>6.5338449999999999E-3</v>
      </c>
      <c r="G647" s="458">
        <f>labcap_sources!$F$129</f>
        <v>1</v>
      </c>
      <c r="H647" s="369">
        <f t="shared" si="383"/>
        <v>6.5338449999999999E-3</v>
      </c>
      <c r="I647" s="357"/>
      <c r="J647" s="458">
        <f>labcap_sources!$G$129</f>
        <v>0.96923076923076923</v>
      </c>
      <c r="K647" s="369">
        <f t="shared" si="384"/>
        <v>6.3328036153846154E-3</v>
      </c>
      <c r="L647" s="360"/>
      <c r="M647" s="458">
        <f>labcap_sources!$H$129</f>
        <v>0.86153846153846159</v>
      </c>
      <c r="N647" s="369">
        <f>$H647*M647</f>
        <v>5.6291587692307698E-3</v>
      </c>
      <c r="O647" s="360"/>
    </row>
    <row r="648" spans="1:15" x14ac:dyDescent="0.25">
      <c r="A648" s="2" t="s">
        <v>1206</v>
      </c>
      <c r="B648" s="5" t="s">
        <v>153</v>
      </c>
      <c r="C648" s="2" t="s">
        <v>152</v>
      </c>
      <c r="E648" s="367" t="s">
        <v>1071</v>
      </c>
      <c r="F648" s="359">
        <f>opex_det!AM$179</f>
        <v>2.8519610000000001E-3</v>
      </c>
      <c r="G648" s="458">
        <f>labcap_sources!$F$129</f>
        <v>1</v>
      </c>
      <c r="H648" s="369">
        <f t="shared" si="383"/>
        <v>2.8519610000000001E-3</v>
      </c>
      <c r="I648" s="357"/>
      <c r="J648" s="458">
        <f>labcap_sources!$G$129</f>
        <v>0.96923076923076923</v>
      </c>
      <c r="K648" s="369">
        <f t="shared" si="384"/>
        <v>2.764208353846154E-3</v>
      </c>
      <c r="L648" s="360"/>
      <c r="M648" s="458">
        <f>labcap_sources!$H$129</f>
        <v>0.86153846153846159</v>
      </c>
      <c r="N648" s="369">
        <f t="shared" ref="N648:N650" si="386">$H648*M648</f>
        <v>2.4570740923076924E-3</v>
      </c>
      <c r="O648" s="360"/>
    </row>
    <row r="649" spans="1:15" x14ac:dyDescent="0.25">
      <c r="A649" s="2" t="s">
        <v>1206</v>
      </c>
      <c r="B649" s="5" t="s">
        <v>153</v>
      </c>
      <c r="C649" s="2" t="s">
        <v>152</v>
      </c>
      <c r="E649" s="367" t="s">
        <v>1072</v>
      </c>
      <c r="F649" s="359">
        <f>opex_det!AM$180</f>
        <v>2.548748E-3</v>
      </c>
      <c r="G649" s="458">
        <f>labcap_sources!$F$130</f>
        <v>1</v>
      </c>
      <c r="H649" s="369">
        <f t="shared" si="383"/>
        <v>2.548748E-3</v>
      </c>
      <c r="I649" s="357"/>
      <c r="J649" s="458">
        <f>labcap_sources!$G$130</f>
        <v>1.1538461538461537</v>
      </c>
      <c r="K649" s="369">
        <f t="shared" si="384"/>
        <v>2.9408630769230766E-3</v>
      </c>
      <c r="L649" s="360"/>
      <c r="M649" s="458">
        <f>labcap_sources!$H$130</f>
        <v>1.4615384615384615</v>
      </c>
      <c r="N649" s="369">
        <f t="shared" si="386"/>
        <v>3.7250932307692306E-3</v>
      </c>
      <c r="O649" s="360"/>
    </row>
    <row r="650" spans="1:15" x14ac:dyDescent="0.25">
      <c r="A650" s="2" t="s">
        <v>1206</v>
      </c>
      <c r="B650" s="5" t="s">
        <v>153</v>
      </c>
      <c r="C650" s="2" t="s">
        <v>152</v>
      </c>
      <c r="E650" s="367" t="s">
        <v>1073</v>
      </c>
      <c r="F650" s="359">
        <f>opex_det!AM$181</f>
        <v>1.0050739999999999E-3</v>
      </c>
      <c r="G650" s="458">
        <f>labcap_sources!$F$130</f>
        <v>1</v>
      </c>
      <c r="H650" s="369">
        <f t="shared" si="383"/>
        <v>1.0050739999999999E-3</v>
      </c>
      <c r="I650" s="357"/>
      <c r="J650" s="458">
        <f>labcap_sources!$G$130</f>
        <v>1.1538461538461537</v>
      </c>
      <c r="K650" s="369">
        <f t="shared" si="384"/>
        <v>1.159700769230769E-3</v>
      </c>
      <c r="L650" s="360"/>
      <c r="M650" s="458">
        <f>labcap_sources!$H$130</f>
        <v>1.4615384615384615</v>
      </c>
      <c r="N650" s="369">
        <f t="shared" si="386"/>
        <v>1.4689543076923074E-3</v>
      </c>
      <c r="O650" s="360"/>
    </row>
    <row r="651" spans="1:15" x14ac:dyDescent="0.25">
      <c r="A651" s="2" t="s">
        <v>1206</v>
      </c>
      <c r="B651" s="5" t="s">
        <v>155</v>
      </c>
      <c r="C651" s="2" t="s">
        <v>154</v>
      </c>
      <c r="E651" s="241" t="s">
        <v>372</v>
      </c>
      <c r="F651" s="362">
        <f>opex_det!AN$169</f>
        <v>1.4390134000000001E-2</v>
      </c>
      <c r="G651" s="458">
        <f>labcap_sources!$F$131*labcap_sources!$F$128</f>
        <v>1</v>
      </c>
      <c r="H651" s="362">
        <f t="shared" si="383"/>
        <v>1.4390134000000001E-2</v>
      </c>
      <c r="I651" s="368">
        <f>H651/H655*$F655</f>
        <v>1.4390134000000001E-2</v>
      </c>
      <c r="J651" s="458">
        <f>labcap_sources!$G$131*labcap_sources!$G$128</f>
        <v>0.73888888888888893</v>
      </c>
      <c r="K651" s="362">
        <f>$H651*J651</f>
        <v>1.0632710122222224E-2</v>
      </c>
      <c r="L651" s="368">
        <f>K651/K655*$F655</f>
        <v>1.0572469963434132E-2</v>
      </c>
      <c r="M651" s="458">
        <f>labcap_sources!$H$131*labcap_sources!$H$128</f>
        <v>0.53333333333333333</v>
      </c>
      <c r="N651" s="362">
        <f>$H651*M651</f>
        <v>7.6747381333333335E-3</v>
      </c>
      <c r="O651" s="368">
        <f>N651/N655*$F655</f>
        <v>7.8007222432905764E-3</v>
      </c>
    </row>
    <row r="652" spans="1:15" x14ac:dyDescent="0.25">
      <c r="A652" s="2" t="s">
        <v>1206</v>
      </c>
      <c r="B652" s="5" t="s">
        <v>155</v>
      </c>
      <c r="C652" s="2" t="s">
        <v>154</v>
      </c>
      <c r="E652" s="241" t="s">
        <v>373</v>
      </c>
      <c r="F652" s="362">
        <f>opex_det!AN$170</f>
        <v>0.139003827</v>
      </c>
      <c r="G652" s="458">
        <f>labcap_sources!$F$131*labcap_sources!$F$129</f>
        <v>1</v>
      </c>
      <c r="H652" s="362">
        <f t="shared" si="383"/>
        <v>0.139003827</v>
      </c>
      <c r="I652" s="368">
        <f>H652/H655*$F655</f>
        <v>0.139003827</v>
      </c>
      <c r="J652" s="458">
        <f>labcap_sources!$G$131*labcap_sources!$G$129</f>
        <v>0.92076923076923067</v>
      </c>
      <c r="K652" s="362">
        <f t="shared" ref="K652:K654" si="387">$H652*J652</f>
        <v>0.12799044686076921</v>
      </c>
      <c r="L652" s="368">
        <f>K652/K655*$F655</f>
        <v>0.12726531048879786</v>
      </c>
      <c r="M652" s="458">
        <f>labcap_sources!$H$131*labcap_sources!$H$129</f>
        <v>0.68923076923076931</v>
      </c>
      <c r="N652" s="362">
        <f t="shared" ref="N652:N654" si="388">$H652*M652</f>
        <v>9.5805714609230777E-2</v>
      </c>
      <c r="O652" s="368">
        <f>N652/N655*$F655</f>
        <v>9.7378406403291928E-2</v>
      </c>
    </row>
    <row r="653" spans="1:15" x14ac:dyDescent="0.25">
      <c r="A653" s="2" t="s">
        <v>1206</v>
      </c>
      <c r="B653" s="5" t="s">
        <v>155</v>
      </c>
      <c r="C653" s="2" t="s">
        <v>154</v>
      </c>
      <c r="E653" s="241" t="s">
        <v>374</v>
      </c>
      <c r="F653" s="362">
        <f>opex_det!AN$171</f>
        <v>0.112891147</v>
      </c>
      <c r="G653" s="458">
        <f>labcap_sources!$F$131*labcap_sources!$F$130</f>
        <v>1</v>
      </c>
      <c r="H653" s="362">
        <f t="shared" si="383"/>
        <v>0.112891147</v>
      </c>
      <c r="I653" s="368">
        <f>H653/H655*$F655</f>
        <v>0.11289114699999998</v>
      </c>
      <c r="J653" s="458">
        <f>labcap_sources!$G$131*labcap_sources!$G$130</f>
        <v>1.096153846153846</v>
      </c>
      <c r="K653" s="362">
        <f t="shared" si="387"/>
        <v>0.12374606498076922</v>
      </c>
      <c r="L653" s="368">
        <f>K653/K655*$F655</f>
        <v>0.12304497536973363</v>
      </c>
      <c r="M653" s="458">
        <f>labcap_sources!$H$131*labcap_sources!$H$130</f>
        <v>1.1692307692307693</v>
      </c>
      <c r="N653" s="362">
        <f t="shared" si="388"/>
        <v>0.13199580264615385</v>
      </c>
      <c r="O653" s="368">
        <f>N653/N655*$F655</f>
        <v>0.13416257021861891</v>
      </c>
    </row>
    <row r="654" spans="1:15" x14ac:dyDescent="0.25">
      <c r="A654" s="2" t="s">
        <v>1206</v>
      </c>
      <c r="B654" s="5" t="s">
        <v>155</v>
      </c>
      <c r="C654" s="2" t="s">
        <v>154</v>
      </c>
      <c r="E654" s="240" t="s">
        <v>375</v>
      </c>
      <c r="F654" s="362">
        <f>opex_det!AN$172</f>
        <v>0.122638104</v>
      </c>
      <c r="G654" s="458">
        <f>labcap_sources!$F$132</f>
        <v>1</v>
      </c>
      <c r="H654" s="362">
        <f t="shared" si="383"/>
        <v>0.122638104</v>
      </c>
      <c r="I654" s="368">
        <f>H654/H655*$F655</f>
        <v>0.122638104</v>
      </c>
      <c r="J654" s="458">
        <f>labcap_sources!$G$132</f>
        <v>1.05</v>
      </c>
      <c r="K654" s="362">
        <f t="shared" si="387"/>
        <v>0.12877000920000001</v>
      </c>
      <c r="L654" s="368">
        <f>K654/K655*$F655</f>
        <v>0.12804045617803436</v>
      </c>
      <c r="M654" s="458">
        <f>labcap_sources!$H$132</f>
        <v>1.2</v>
      </c>
      <c r="N654" s="362">
        <f t="shared" si="388"/>
        <v>0.14716572479999998</v>
      </c>
      <c r="O654" s="368">
        <f>N654/N655*$F655</f>
        <v>0.14958151313479856</v>
      </c>
    </row>
    <row r="655" spans="1:15" x14ac:dyDescent="0.25">
      <c r="A655" s="2" t="s">
        <v>1206</v>
      </c>
      <c r="B655" s="5" t="s">
        <v>155</v>
      </c>
      <c r="C655" s="2" t="s">
        <v>154</v>
      </c>
      <c r="E655" s="19" t="s">
        <v>1077</v>
      </c>
      <c r="F655" s="363">
        <f>SUM(F651:F654)</f>
        <v>0.38892321200000002</v>
      </c>
      <c r="G655" s="458"/>
      <c r="H655" s="363">
        <f>SUM(H651:H654)</f>
        <v>0.38892321200000002</v>
      </c>
      <c r="I655" s="363">
        <f>SUM(I651:I654)</f>
        <v>0.38892321200000002</v>
      </c>
      <c r="J655" s="458"/>
      <c r="K655" s="363">
        <f>SUM(K651:K654)</f>
        <v>0.3911392311637607</v>
      </c>
      <c r="L655" s="363">
        <f>SUM(L651:L654)</f>
        <v>0.38892321200000002</v>
      </c>
      <c r="M655" s="458"/>
      <c r="N655" s="363">
        <f>SUM(N651:N654)</f>
        <v>0.38264198018871798</v>
      </c>
      <c r="O655" s="363">
        <f>SUM(O651:O654)</f>
        <v>0.38892321199999996</v>
      </c>
    </row>
    <row r="656" spans="1:15" x14ac:dyDescent="0.25">
      <c r="A656" s="2" t="s">
        <v>1206</v>
      </c>
      <c r="B656" s="5" t="s">
        <v>155</v>
      </c>
      <c r="C656" s="2" t="s">
        <v>154</v>
      </c>
      <c r="E656" s="367" t="s">
        <v>1068</v>
      </c>
      <c r="F656" s="359">
        <f>opex_det!AN$176</f>
        <v>5.72088E-4</v>
      </c>
      <c r="G656" s="458">
        <f>labcap_sources!$F$128</f>
        <v>1</v>
      </c>
      <c r="H656" s="369">
        <f t="shared" ref="H656:H665" si="389">$F656*G656</f>
        <v>5.72088E-4</v>
      </c>
      <c r="I656" s="357"/>
      <c r="J656" s="458">
        <f>labcap_sources!$G$128</f>
        <v>0.7777777777777779</v>
      </c>
      <c r="K656" s="369">
        <f>$H656*J656</f>
        <v>4.4495733333333343E-4</v>
      </c>
      <c r="L656" s="360"/>
      <c r="M656" s="458">
        <f>labcap_sources!$H$128</f>
        <v>0.66666666666666663</v>
      </c>
      <c r="N656" s="369">
        <f>$H656*M656</f>
        <v>3.8139199999999998E-4</v>
      </c>
      <c r="O656" s="360"/>
    </row>
    <row r="657" spans="1:15" x14ac:dyDescent="0.25">
      <c r="A657" s="2" t="s">
        <v>1206</v>
      </c>
      <c r="B657" s="5" t="s">
        <v>155</v>
      </c>
      <c r="C657" s="2" t="s">
        <v>154</v>
      </c>
      <c r="E657" s="367" t="s">
        <v>1069</v>
      </c>
      <c r="F657" s="359">
        <f>opex_det!AN$177</f>
        <v>7.5883799999999996E-4</v>
      </c>
      <c r="G657" s="458">
        <f>labcap_sources!$F$128</f>
        <v>1</v>
      </c>
      <c r="H657" s="369">
        <f t="shared" si="389"/>
        <v>7.5883799999999996E-4</v>
      </c>
      <c r="I657" s="357"/>
      <c r="J657" s="458">
        <f>labcap_sources!$G$128</f>
        <v>0.7777777777777779</v>
      </c>
      <c r="K657" s="369">
        <f t="shared" ref="K657:K661" si="390">$H657*J657</f>
        <v>5.9020733333333341E-4</v>
      </c>
      <c r="L657" s="360"/>
      <c r="M657" s="458">
        <f>labcap_sources!$H$128</f>
        <v>0.66666666666666663</v>
      </c>
      <c r="N657" s="369">
        <f t="shared" ref="N657" si="391">$H657*M657</f>
        <v>5.0589199999999997E-4</v>
      </c>
      <c r="O657" s="360"/>
    </row>
    <row r="658" spans="1:15" x14ac:dyDescent="0.25">
      <c r="A658" s="2" t="s">
        <v>1206</v>
      </c>
      <c r="B658" s="5" t="s">
        <v>155</v>
      </c>
      <c r="C658" s="2" t="s">
        <v>154</v>
      </c>
      <c r="E658" s="367" t="s">
        <v>1070</v>
      </c>
      <c r="F658" s="359">
        <f>opex_det!AN$178</f>
        <v>7.1711559999999997E-3</v>
      </c>
      <c r="G658" s="458">
        <f>labcap_sources!$F$129</f>
        <v>1</v>
      </c>
      <c r="H658" s="369">
        <f t="shared" si="389"/>
        <v>7.1711559999999997E-3</v>
      </c>
      <c r="I658" s="357"/>
      <c r="J658" s="458">
        <f>labcap_sources!$G$129</f>
        <v>0.96923076923076923</v>
      </c>
      <c r="K658" s="369">
        <f t="shared" si="390"/>
        <v>6.9505050461538456E-3</v>
      </c>
      <c r="L658" s="360"/>
      <c r="M658" s="458">
        <f>labcap_sources!$H$129</f>
        <v>0.86153846153846159</v>
      </c>
      <c r="N658" s="369">
        <f>$H658*M658</f>
        <v>6.1782267076923077E-3</v>
      </c>
      <c r="O658" s="360"/>
    </row>
    <row r="659" spans="1:15" x14ac:dyDescent="0.25">
      <c r="A659" s="2" t="s">
        <v>1206</v>
      </c>
      <c r="B659" s="5" t="s">
        <v>155</v>
      </c>
      <c r="C659" s="2" t="s">
        <v>154</v>
      </c>
      <c r="E659" s="367" t="s">
        <v>1071</v>
      </c>
      <c r="F659" s="359">
        <f>opex_det!AN$179</f>
        <v>3.1621430000000001E-3</v>
      </c>
      <c r="G659" s="458">
        <f>labcap_sources!$F$129</f>
        <v>1</v>
      </c>
      <c r="H659" s="369">
        <f t="shared" si="389"/>
        <v>3.1621430000000001E-3</v>
      </c>
      <c r="I659" s="357"/>
      <c r="J659" s="458">
        <f>labcap_sources!$G$129</f>
        <v>0.96923076923076923</v>
      </c>
      <c r="K659" s="369">
        <f t="shared" si="390"/>
        <v>3.0648462923076924E-3</v>
      </c>
      <c r="L659" s="360"/>
      <c r="M659" s="458">
        <f>labcap_sources!$H$129</f>
        <v>0.86153846153846159</v>
      </c>
      <c r="N659" s="369">
        <f t="shared" ref="N659:N661" si="392">$H659*M659</f>
        <v>2.7243078153846158E-3</v>
      </c>
      <c r="O659" s="360"/>
    </row>
    <row r="660" spans="1:15" x14ac:dyDescent="0.25">
      <c r="A660" s="2" t="s">
        <v>1206</v>
      </c>
      <c r="B660" s="5" t="s">
        <v>155</v>
      </c>
      <c r="C660" s="2" t="s">
        <v>154</v>
      </c>
      <c r="E660" s="367" t="s">
        <v>1072</v>
      </c>
      <c r="F660" s="359">
        <f>opex_det!AN$180</f>
        <v>2.8086539999999998E-3</v>
      </c>
      <c r="G660" s="458">
        <f>labcap_sources!$F$130</f>
        <v>1</v>
      </c>
      <c r="H660" s="369">
        <f t="shared" si="389"/>
        <v>2.8086539999999998E-3</v>
      </c>
      <c r="I660" s="357"/>
      <c r="J660" s="458">
        <f>labcap_sources!$G$130</f>
        <v>1.1538461538461537</v>
      </c>
      <c r="K660" s="369">
        <f t="shared" si="390"/>
        <v>3.240754615384615E-3</v>
      </c>
      <c r="L660" s="360"/>
      <c r="M660" s="458">
        <f>labcap_sources!$H$130</f>
        <v>1.4615384615384615</v>
      </c>
      <c r="N660" s="369">
        <f t="shared" si="392"/>
        <v>4.1049558461538453E-3</v>
      </c>
      <c r="O660" s="360"/>
    </row>
    <row r="661" spans="1:15" x14ac:dyDescent="0.25">
      <c r="A661" s="2" t="s">
        <v>1206</v>
      </c>
      <c r="B661" s="5" t="s">
        <v>155</v>
      </c>
      <c r="C661" s="2" t="s">
        <v>154</v>
      </c>
      <c r="E661" s="367" t="s">
        <v>1073</v>
      </c>
      <c r="F661" s="359">
        <f>opex_det!AN$181</f>
        <v>1.0789160000000001E-3</v>
      </c>
      <c r="G661" s="458">
        <f>labcap_sources!$F$130</f>
        <v>1</v>
      </c>
      <c r="H661" s="369">
        <f t="shared" si="389"/>
        <v>1.0789160000000001E-3</v>
      </c>
      <c r="I661" s="357"/>
      <c r="J661" s="458">
        <f>labcap_sources!$G$130</f>
        <v>1.1538461538461537</v>
      </c>
      <c r="K661" s="369">
        <f t="shared" si="390"/>
        <v>1.244903076923077E-3</v>
      </c>
      <c r="L661" s="360"/>
      <c r="M661" s="458">
        <f>labcap_sources!$H$130</f>
        <v>1.4615384615384615</v>
      </c>
      <c r="N661" s="369">
        <f t="shared" si="392"/>
        <v>1.5768772307692307E-3</v>
      </c>
      <c r="O661" s="360"/>
    </row>
    <row r="662" spans="1:15" x14ac:dyDescent="0.25">
      <c r="A662" s="2" t="s">
        <v>1206</v>
      </c>
      <c r="B662" s="5" t="s">
        <v>157</v>
      </c>
      <c r="C662" s="2" t="s">
        <v>156</v>
      </c>
      <c r="E662" s="241" t="s">
        <v>372</v>
      </c>
      <c r="F662" s="362">
        <f>opex_det!AO$169</f>
        <v>1.0452293E-2</v>
      </c>
      <c r="G662" s="458">
        <f>labcap_sources!$F$131*labcap_sources!$F$128</f>
        <v>1</v>
      </c>
      <c r="H662" s="362">
        <f t="shared" si="389"/>
        <v>1.0452293E-2</v>
      </c>
      <c r="I662" s="368">
        <f>H662/H666*$F666</f>
        <v>1.0452292999999998E-2</v>
      </c>
      <c r="J662" s="458">
        <f>labcap_sources!$G$131*labcap_sources!$G$128</f>
        <v>0.73888888888888893</v>
      </c>
      <c r="K662" s="362">
        <f>$H662*J662</f>
        <v>7.7230831611111109E-3</v>
      </c>
      <c r="L662" s="368">
        <f>K662/K666*$F666</f>
        <v>7.6770236989886836E-3</v>
      </c>
      <c r="M662" s="458">
        <f>labcap_sources!$H$131*labcap_sources!$H$128</f>
        <v>0.53333333333333333</v>
      </c>
      <c r="N662" s="362">
        <f>$H662*M662</f>
        <v>5.5745562666666667E-3</v>
      </c>
      <c r="O662" s="368">
        <f>N662/N666*$F666</f>
        <v>5.6575970004506607E-3</v>
      </c>
    </row>
    <row r="663" spans="1:15" x14ac:dyDescent="0.25">
      <c r="A663" s="2" t="s">
        <v>1206</v>
      </c>
      <c r="B663" s="5" t="s">
        <v>157</v>
      </c>
      <c r="C663" s="2" t="s">
        <v>156</v>
      </c>
      <c r="E663" s="241" t="s">
        <v>373</v>
      </c>
      <c r="F663" s="362">
        <f>opex_det!AO$170</f>
        <v>0.100965613</v>
      </c>
      <c r="G663" s="458">
        <f>labcap_sources!$F$131*labcap_sources!$F$129</f>
        <v>1</v>
      </c>
      <c r="H663" s="362">
        <f t="shared" si="389"/>
        <v>0.100965613</v>
      </c>
      <c r="I663" s="368">
        <f>H663/H666*$F666</f>
        <v>0.100965613</v>
      </c>
      <c r="J663" s="458">
        <f>labcap_sources!$G$131*labcap_sources!$G$129</f>
        <v>0.92076923076923067</v>
      </c>
      <c r="K663" s="362">
        <f t="shared" ref="K663:K665" si="393">$H663*J663</f>
        <v>9.2966029816153831E-2</v>
      </c>
      <c r="L663" s="368">
        <f>K663/K666*$F666</f>
        <v>9.2411592522178926E-2</v>
      </c>
      <c r="M663" s="458">
        <f>labcap_sources!$H$131*labcap_sources!$H$129</f>
        <v>0.68923076923076931</v>
      </c>
      <c r="N663" s="362">
        <f t="shared" ref="N663:N665" si="394">$H663*M663</f>
        <v>6.9588607113846165E-2</v>
      </c>
      <c r="O663" s="368">
        <f>N663/N666*$F666</f>
        <v>7.0625225764965313E-2</v>
      </c>
    </row>
    <row r="664" spans="1:15" x14ac:dyDescent="0.25">
      <c r="A664" s="2" t="s">
        <v>1206</v>
      </c>
      <c r="B664" s="5" t="s">
        <v>157</v>
      </c>
      <c r="C664" s="2" t="s">
        <v>156</v>
      </c>
      <c r="E664" s="241" t="s">
        <v>374</v>
      </c>
      <c r="F664" s="362">
        <f>opex_det!AO$171</f>
        <v>8.1998634000000001E-2</v>
      </c>
      <c r="G664" s="458">
        <f>labcap_sources!$F$131*labcap_sources!$F$130</f>
        <v>1</v>
      </c>
      <c r="H664" s="362">
        <f t="shared" si="389"/>
        <v>8.1998634000000001E-2</v>
      </c>
      <c r="I664" s="368">
        <f>H664/H666*$F666</f>
        <v>8.1998634000000001E-2</v>
      </c>
      <c r="J664" s="458">
        <f>labcap_sources!$G$131*labcap_sources!$G$130</f>
        <v>1.096153846153846</v>
      </c>
      <c r="K664" s="362">
        <f t="shared" si="393"/>
        <v>8.9883118038461524E-2</v>
      </c>
      <c r="L664" s="368">
        <f>K664/K666*$F666</f>
        <v>8.9347066828811897E-2</v>
      </c>
      <c r="M664" s="458">
        <f>labcap_sources!$H$131*labcap_sources!$H$130</f>
        <v>1.1692307692307693</v>
      </c>
      <c r="N664" s="362">
        <f t="shared" si="394"/>
        <v>9.5875325907692308E-2</v>
      </c>
      <c r="O664" s="368">
        <f>N664/N666*$F666</f>
        <v>9.730352163023992E-2</v>
      </c>
    </row>
    <row r="665" spans="1:15" x14ac:dyDescent="0.25">
      <c r="A665" s="2" t="s">
        <v>1206</v>
      </c>
      <c r="B665" s="5" t="s">
        <v>157</v>
      </c>
      <c r="C665" s="2" t="s">
        <v>156</v>
      </c>
      <c r="E665" s="240" t="s">
        <v>375</v>
      </c>
      <c r="F665" s="362">
        <f>opex_det!AO$172</f>
        <v>9.1016111999999996E-2</v>
      </c>
      <c r="G665" s="458">
        <f>labcap_sources!$F$132</f>
        <v>1</v>
      </c>
      <c r="H665" s="362">
        <f t="shared" si="389"/>
        <v>9.1016111999999996E-2</v>
      </c>
      <c r="I665" s="368">
        <f>H665/H666*$F666</f>
        <v>9.101611200000001E-2</v>
      </c>
      <c r="J665" s="458">
        <f>labcap_sources!$G$132</f>
        <v>1.05</v>
      </c>
      <c r="K665" s="362">
        <f t="shared" si="393"/>
        <v>9.5566917599999995E-2</v>
      </c>
      <c r="L665" s="368">
        <f>K665/K666*$F666</f>
        <v>9.4996968950020549E-2</v>
      </c>
      <c r="M665" s="458">
        <f>labcap_sources!$H$132</f>
        <v>1.2</v>
      </c>
      <c r="N665" s="362">
        <f t="shared" si="394"/>
        <v>0.10921933439999999</v>
      </c>
      <c r="O665" s="368">
        <f>N665/N666*$F666</f>
        <v>0.11084630760434414</v>
      </c>
    </row>
    <row r="666" spans="1:15" x14ac:dyDescent="0.25">
      <c r="A666" s="2" t="s">
        <v>1206</v>
      </c>
      <c r="B666" s="5" t="s">
        <v>157</v>
      </c>
      <c r="C666" s="2" t="s">
        <v>156</v>
      </c>
      <c r="E666" s="19" t="s">
        <v>1077</v>
      </c>
      <c r="F666" s="363">
        <f>SUM(F662:F665)</f>
        <v>0.28443265200000001</v>
      </c>
      <c r="G666" s="458"/>
      <c r="H666" s="363">
        <f>SUM(H662:H665)</f>
        <v>0.28443265200000001</v>
      </c>
      <c r="I666" s="363">
        <f>SUM(I662:I665)</f>
        <v>0.28443265200000001</v>
      </c>
      <c r="J666" s="458"/>
      <c r="K666" s="363">
        <f>SUM(K662:K665)</f>
        <v>0.28613914861572642</v>
      </c>
      <c r="L666" s="363">
        <f>SUM(L662:L665)</f>
        <v>0.28443265200000001</v>
      </c>
      <c r="M666" s="458"/>
      <c r="N666" s="363">
        <f>SUM(N662:N665)</f>
        <v>0.28025782368820512</v>
      </c>
      <c r="O666" s="363">
        <f>SUM(O662:O665)</f>
        <v>0.28443265200000001</v>
      </c>
    </row>
    <row r="667" spans="1:15" x14ac:dyDescent="0.25">
      <c r="A667" s="2" t="s">
        <v>1206</v>
      </c>
      <c r="B667" s="5" t="s">
        <v>157</v>
      </c>
      <c r="C667" s="2" t="s">
        <v>156</v>
      </c>
      <c r="E667" s="367" t="s">
        <v>1068</v>
      </c>
      <c r="F667" s="359">
        <f>opex_det!AO$176</f>
        <v>4.2356300000000001E-4</v>
      </c>
      <c r="G667" s="458">
        <f>labcap_sources!$F$128</f>
        <v>1</v>
      </c>
      <c r="H667" s="369">
        <f t="shared" ref="H667:H676" si="395">$F667*G667</f>
        <v>4.2356300000000001E-4</v>
      </c>
      <c r="I667" s="357"/>
      <c r="J667" s="458">
        <f>labcap_sources!$G$128</f>
        <v>0.7777777777777779</v>
      </c>
      <c r="K667" s="369">
        <f>$H667*J667</f>
        <v>3.2943788888888895E-4</v>
      </c>
      <c r="L667" s="360"/>
      <c r="M667" s="458">
        <f>labcap_sources!$H$128</f>
        <v>0.66666666666666663</v>
      </c>
      <c r="N667" s="369">
        <f>$H667*M667</f>
        <v>2.8237533333333334E-4</v>
      </c>
      <c r="O667" s="360"/>
    </row>
    <row r="668" spans="1:15" x14ac:dyDescent="0.25">
      <c r="A668" s="2" t="s">
        <v>1206</v>
      </c>
      <c r="B668" s="5" t="s">
        <v>157</v>
      </c>
      <c r="C668" s="2" t="s">
        <v>156</v>
      </c>
      <c r="E668" s="367" t="s">
        <v>1069</v>
      </c>
      <c r="F668" s="359">
        <f>opex_det!AO$177</f>
        <v>5.7047499999999998E-4</v>
      </c>
      <c r="G668" s="458">
        <f>labcap_sources!$F$128</f>
        <v>1</v>
      </c>
      <c r="H668" s="369">
        <f t="shared" si="395"/>
        <v>5.7047499999999998E-4</v>
      </c>
      <c r="I668" s="357"/>
      <c r="J668" s="458">
        <f>labcap_sources!$G$128</f>
        <v>0.7777777777777779</v>
      </c>
      <c r="K668" s="369">
        <f t="shared" ref="K668:K672" si="396">$H668*J668</f>
        <v>4.4370277777777781E-4</v>
      </c>
      <c r="L668" s="360"/>
      <c r="M668" s="458">
        <f>labcap_sources!$H$128</f>
        <v>0.66666666666666663</v>
      </c>
      <c r="N668" s="369">
        <f t="shared" ref="N668" si="397">$H668*M668</f>
        <v>3.8031666666666665E-4</v>
      </c>
      <c r="O668" s="360"/>
    </row>
    <row r="669" spans="1:15" x14ac:dyDescent="0.25">
      <c r="A669" s="2" t="s">
        <v>1206</v>
      </c>
      <c r="B669" s="5" t="s">
        <v>157</v>
      </c>
      <c r="C669" s="2" t="s">
        <v>156</v>
      </c>
      <c r="E669" s="367" t="s">
        <v>1070</v>
      </c>
      <c r="F669" s="359">
        <f>opex_det!AO$178</f>
        <v>5.3220949999999998E-3</v>
      </c>
      <c r="G669" s="458">
        <f>labcap_sources!$F$129</f>
        <v>1</v>
      </c>
      <c r="H669" s="369">
        <f t="shared" si="395"/>
        <v>5.3220949999999998E-3</v>
      </c>
      <c r="I669" s="357"/>
      <c r="J669" s="458">
        <f>labcap_sources!$G$129</f>
        <v>0.96923076923076923</v>
      </c>
      <c r="K669" s="369">
        <f t="shared" si="396"/>
        <v>5.1583382307692303E-3</v>
      </c>
      <c r="L669" s="360"/>
      <c r="M669" s="458">
        <f>labcap_sources!$H$129</f>
        <v>0.86153846153846159</v>
      </c>
      <c r="N669" s="369">
        <f>$H669*M669</f>
        <v>4.5851895384615383E-3</v>
      </c>
      <c r="O669" s="360"/>
    </row>
    <row r="670" spans="1:15" x14ac:dyDescent="0.25">
      <c r="A670" s="2" t="s">
        <v>1206</v>
      </c>
      <c r="B670" s="5" t="s">
        <v>157</v>
      </c>
      <c r="C670" s="2" t="s">
        <v>156</v>
      </c>
      <c r="E670" s="367" t="s">
        <v>1071</v>
      </c>
      <c r="F670" s="359">
        <f>opex_det!AO$179</f>
        <v>2.377218E-3</v>
      </c>
      <c r="G670" s="458">
        <f>labcap_sources!$F$129</f>
        <v>1</v>
      </c>
      <c r="H670" s="369">
        <f t="shared" si="395"/>
        <v>2.377218E-3</v>
      </c>
      <c r="I670" s="357"/>
      <c r="J670" s="458">
        <f>labcap_sources!$G$129</f>
        <v>0.96923076923076923</v>
      </c>
      <c r="K670" s="369">
        <f t="shared" si="396"/>
        <v>2.3040728307692306E-3</v>
      </c>
      <c r="L670" s="360"/>
      <c r="M670" s="458">
        <f>labcap_sources!$H$129</f>
        <v>0.86153846153846159</v>
      </c>
      <c r="N670" s="369">
        <f t="shared" ref="N670:N672" si="398">$H670*M670</f>
        <v>2.0480647384615385E-3</v>
      </c>
      <c r="O670" s="360"/>
    </row>
    <row r="671" spans="1:15" x14ac:dyDescent="0.25">
      <c r="A671" s="2" t="s">
        <v>1206</v>
      </c>
      <c r="B671" s="5" t="s">
        <v>157</v>
      </c>
      <c r="C671" s="2" t="s">
        <v>156</v>
      </c>
      <c r="E671" s="367" t="s">
        <v>1072</v>
      </c>
      <c r="F671" s="359">
        <f>opex_det!AO$180</f>
        <v>2.1052380000000002E-3</v>
      </c>
      <c r="G671" s="458">
        <f>labcap_sources!$F$130</f>
        <v>1</v>
      </c>
      <c r="H671" s="369">
        <f t="shared" si="395"/>
        <v>2.1052380000000002E-3</v>
      </c>
      <c r="I671" s="357"/>
      <c r="J671" s="458">
        <f>labcap_sources!$G$130</f>
        <v>1.1538461538461537</v>
      </c>
      <c r="K671" s="369">
        <f t="shared" si="396"/>
        <v>2.4291207692307693E-3</v>
      </c>
      <c r="L671" s="360"/>
      <c r="M671" s="458">
        <f>labcap_sources!$H$130</f>
        <v>1.4615384615384615</v>
      </c>
      <c r="N671" s="369">
        <f t="shared" si="398"/>
        <v>3.0768863076923079E-3</v>
      </c>
      <c r="O671" s="360"/>
    </row>
    <row r="672" spans="1:15" x14ac:dyDescent="0.25">
      <c r="A672" s="2" t="s">
        <v>1206</v>
      </c>
      <c r="B672" s="5" t="s">
        <v>157</v>
      </c>
      <c r="C672" s="2" t="s">
        <v>156</v>
      </c>
      <c r="E672" s="367" t="s">
        <v>1073</v>
      </c>
      <c r="F672" s="359">
        <f>opex_det!AO$181</f>
        <v>8.0385999999999999E-4</v>
      </c>
      <c r="G672" s="458">
        <f>labcap_sources!$F$130</f>
        <v>1</v>
      </c>
      <c r="H672" s="369">
        <f t="shared" si="395"/>
        <v>8.0385999999999999E-4</v>
      </c>
      <c r="I672" s="357"/>
      <c r="J672" s="458">
        <f>labcap_sources!$G$130</f>
        <v>1.1538461538461537</v>
      </c>
      <c r="K672" s="369">
        <f t="shared" si="396"/>
        <v>9.2753076923076912E-4</v>
      </c>
      <c r="L672" s="360"/>
      <c r="M672" s="458">
        <f>labcap_sources!$H$130</f>
        <v>1.4615384615384615</v>
      </c>
      <c r="N672" s="369">
        <f t="shared" si="398"/>
        <v>1.1748723076923076E-3</v>
      </c>
      <c r="O672" s="360"/>
    </row>
    <row r="673" spans="1:15" x14ac:dyDescent="0.25">
      <c r="A673" s="2" t="s">
        <v>1206</v>
      </c>
      <c r="B673" s="5" t="s">
        <v>163</v>
      </c>
      <c r="C673" s="2" t="s">
        <v>162</v>
      </c>
      <c r="E673" s="241" t="s">
        <v>372</v>
      </c>
      <c r="F673" s="362">
        <f>opex_det!AT$169</f>
        <v>1.0981424E-2</v>
      </c>
      <c r="G673" s="458">
        <f>labcap_sources!$F$131*labcap_sources!$F$128</f>
        <v>1</v>
      </c>
      <c r="H673" s="362">
        <f t="shared" si="395"/>
        <v>1.0981424E-2</v>
      </c>
      <c r="I673" s="368">
        <f>H673/H677*$F677</f>
        <v>1.0981424E-2</v>
      </c>
      <c r="J673" s="458">
        <f>labcap_sources!$G$131*labcap_sources!$G$128</f>
        <v>0.73888888888888893</v>
      </c>
      <c r="K673" s="362">
        <f>$H673*J673</f>
        <v>8.1140521777777787E-3</v>
      </c>
      <c r="L673" s="368">
        <f>K673/K677*$F677</f>
        <v>8.086194793411541E-3</v>
      </c>
      <c r="M673" s="458">
        <f>labcap_sources!$H$131*labcap_sources!$H$128</f>
        <v>0.53333333333333333</v>
      </c>
      <c r="N673" s="362">
        <f>$H673*M673</f>
        <v>5.8567594666666667E-3</v>
      </c>
      <c r="O673" s="368">
        <f>N673/N677*$F677</f>
        <v>6.0201562361726453E-3</v>
      </c>
    </row>
    <row r="674" spans="1:15" x14ac:dyDescent="0.25">
      <c r="A674" s="2" t="s">
        <v>1206</v>
      </c>
      <c r="B674" s="5" t="s">
        <v>163</v>
      </c>
      <c r="C674" s="2" t="s">
        <v>162</v>
      </c>
      <c r="E674" s="241" t="s">
        <v>373</v>
      </c>
      <c r="F674" s="362">
        <f>opex_det!AT$170</f>
        <v>0.10607684100000001</v>
      </c>
      <c r="G674" s="458">
        <f>labcap_sources!$F$131*labcap_sources!$F$129</f>
        <v>1</v>
      </c>
      <c r="H674" s="362">
        <f t="shared" si="395"/>
        <v>0.10607684100000001</v>
      </c>
      <c r="I674" s="368">
        <f>H674/H677*$F677</f>
        <v>0.10607684100000001</v>
      </c>
      <c r="J674" s="458">
        <f>labcap_sources!$G$131*labcap_sources!$G$129</f>
        <v>0.92076923076923067</v>
      </c>
      <c r="K674" s="362">
        <f t="shared" ref="K674:K676" si="399">$H674*J674</f>
        <v>9.7672291289999991E-2</v>
      </c>
      <c r="L674" s="368">
        <f>K674/K677*$F677</f>
        <v>9.7336960126139793E-2</v>
      </c>
      <c r="M674" s="458">
        <f>labcap_sources!$H$131*labcap_sources!$H$129</f>
        <v>0.68923076923076931</v>
      </c>
      <c r="N674" s="362">
        <f t="shared" ref="N674:N676" si="400">$H674*M674</f>
        <v>7.3111422720000013E-2</v>
      </c>
      <c r="O674" s="368">
        <f>N674/N677*$F677</f>
        <v>7.5151146282906228E-2</v>
      </c>
    </row>
    <row r="675" spans="1:15" x14ac:dyDescent="0.25">
      <c r="A675" s="2" t="s">
        <v>1206</v>
      </c>
      <c r="B675" s="5" t="s">
        <v>163</v>
      </c>
      <c r="C675" s="2" t="s">
        <v>162</v>
      </c>
      <c r="E675" s="241" t="s">
        <v>374</v>
      </c>
      <c r="F675" s="362">
        <f>opex_det!AT$171</f>
        <v>8.6149688000000002E-2</v>
      </c>
      <c r="G675" s="458">
        <f>labcap_sources!$F$131*labcap_sources!$F$130</f>
        <v>1</v>
      </c>
      <c r="H675" s="362">
        <f t="shared" si="395"/>
        <v>8.6149688000000002E-2</v>
      </c>
      <c r="I675" s="368">
        <f>H675/H677*$F677</f>
        <v>8.6149688000000002E-2</v>
      </c>
      <c r="J675" s="458">
        <f>labcap_sources!$G$131*labcap_sources!$G$130</f>
        <v>1.096153846153846</v>
      </c>
      <c r="K675" s="362">
        <f t="shared" si="399"/>
        <v>9.4433311846153833E-2</v>
      </c>
      <c r="L675" s="368">
        <f>K675/K677*$F677</f>
        <v>9.4109100834511614E-2</v>
      </c>
      <c r="M675" s="458">
        <f>labcap_sources!$H$131*labcap_sources!$H$130</f>
        <v>1.1692307692307693</v>
      </c>
      <c r="N675" s="362">
        <f t="shared" si="400"/>
        <v>0.10072886596923078</v>
      </c>
      <c r="O675" s="368">
        <f>N675/N677*$F677</f>
        <v>0.10353908404102408</v>
      </c>
    </row>
    <row r="676" spans="1:15" x14ac:dyDescent="0.25">
      <c r="A676" s="2" t="s">
        <v>1206</v>
      </c>
      <c r="B676" s="5" t="s">
        <v>163</v>
      </c>
      <c r="C676" s="2" t="s">
        <v>162</v>
      </c>
      <c r="E676" s="240" t="s">
        <v>375</v>
      </c>
      <c r="F676" s="362">
        <f>opex_det!AT$172</f>
        <v>7.9225959999999998E-2</v>
      </c>
      <c r="G676" s="458">
        <f>labcap_sources!$F$132</f>
        <v>1</v>
      </c>
      <c r="H676" s="362">
        <f t="shared" si="395"/>
        <v>7.9225959999999998E-2</v>
      </c>
      <c r="I676" s="368">
        <f>H676/H677*$F677</f>
        <v>7.9225959999999998E-2</v>
      </c>
      <c r="J676" s="458">
        <f>labcap_sources!$G$132</f>
        <v>1.05</v>
      </c>
      <c r="K676" s="362">
        <f t="shared" si="399"/>
        <v>8.3187258E-2</v>
      </c>
      <c r="L676" s="368">
        <f>K676/K677*$F677</f>
        <v>8.2901657245937052E-2</v>
      </c>
      <c r="M676" s="458">
        <f>labcap_sources!$H$132</f>
        <v>1.2</v>
      </c>
      <c r="N676" s="362">
        <f t="shared" si="400"/>
        <v>9.5071151999999992E-2</v>
      </c>
      <c r="O676" s="368">
        <f>N676/N677*$F677</f>
        <v>9.7723526439897068E-2</v>
      </c>
    </row>
    <row r="677" spans="1:15" x14ac:dyDescent="0.25">
      <c r="A677" s="2" t="s">
        <v>1206</v>
      </c>
      <c r="B677" s="5" t="s">
        <v>163</v>
      </c>
      <c r="C677" s="2" t="s">
        <v>162</v>
      </c>
      <c r="E677" s="19" t="s">
        <v>1077</v>
      </c>
      <c r="F677" s="363">
        <f>SUM(F673:F676)</f>
        <v>0.28243391299999998</v>
      </c>
      <c r="G677" s="458"/>
      <c r="H677" s="363">
        <f>SUM(H673:H676)</f>
        <v>0.28243391299999998</v>
      </c>
      <c r="I677" s="363">
        <f>SUM(I673:I676)</f>
        <v>0.28243391299999998</v>
      </c>
      <c r="J677" s="458"/>
      <c r="K677" s="363">
        <f>SUM(K673:K676)</f>
        <v>0.28340691331393159</v>
      </c>
      <c r="L677" s="363">
        <f>SUM(L673:L676)</f>
        <v>0.28243391299999998</v>
      </c>
      <c r="M677" s="458"/>
      <c r="N677" s="363">
        <f>SUM(N673:N676)</f>
        <v>0.27476820015589742</v>
      </c>
      <c r="O677" s="363">
        <f>SUM(O673:O676)</f>
        <v>0.28243391300000004</v>
      </c>
    </row>
    <row r="678" spans="1:15" x14ac:dyDescent="0.25">
      <c r="A678" s="2" t="s">
        <v>1206</v>
      </c>
      <c r="B678" s="5" t="s">
        <v>163</v>
      </c>
      <c r="C678" s="2" t="s">
        <v>162</v>
      </c>
      <c r="E678" s="367" t="s">
        <v>1068</v>
      </c>
      <c r="F678" s="359">
        <f>opex_det!AT$176</f>
        <v>4.2540900000000002E-4</v>
      </c>
      <c r="G678" s="458">
        <f>labcap_sources!$F$128</f>
        <v>1</v>
      </c>
      <c r="H678" s="369">
        <f t="shared" ref="H678:H687" si="401">$F678*G678</f>
        <v>4.2540900000000002E-4</v>
      </c>
      <c r="I678" s="357"/>
      <c r="J678" s="458">
        <f>labcap_sources!$G$128</f>
        <v>0.7777777777777779</v>
      </c>
      <c r="K678" s="369">
        <f>$H678*J678</f>
        <v>3.3087366666666672E-4</v>
      </c>
      <c r="L678" s="360"/>
      <c r="M678" s="458">
        <f>labcap_sources!$H$128</f>
        <v>0.66666666666666663</v>
      </c>
      <c r="N678" s="369">
        <f>$H678*M678</f>
        <v>2.8360599999999999E-4</v>
      </c>
      <c r="O678" s="360"/>
    </row>
    <row r="679" spans="1:15" x14ac:dyDescent="0.25">
      <c r="A679" s="2" t="s">
        <v>1206</v>
      </c>
      <c r="B679" s="5" t="s">
        <v>163</v>
      </c>
      <c r="C679" s="2" t="s">
        <v>162</v>
      </c>
      <c r="E679" s="367" t="s">
        <v>1069</v>
      </c>
      <c r="F679" s="359">
        <f>opex_det!AT$177</f>
        <v>5.5480099999999995E-4</v>
      </c>
      <c r="G679" s="458">
        <f>labcap_sources!$F$128</f>
        <v>1</v>
      </c>
      <c r="H679" s="369">
        <f t="shared" si="401"/>
        <v>5.5480099999999995E-4</v>
      </c>
      <c r="I679" s="357"/>
      <c r="J679" s="458">
        <f>labcap_sources!$G$128</f>
        <v>0.7777777777777779</v>
      </c>
      <c r="K679" s="369">
        <f t="shared" ref="K679:K683" si="402">$H679*J679</f>
        <v>4.3151188888888891E-4</v>
      </c>
      <c r="L679" s="360"/>
      <c r="M679" s="458">
        <f>labcap_sources!$H$128</f>
        <v>0.66666666666666663</v>
      </c>
      <c r="N679" s="369">
        <f t="shared" ref="N679" si="403">$H679*M679</f>
        <v>3.6986733333333328E-4</v>
      </c>
      <c r="O679" s="360"/>
    </row>
    <row r="680" spans="1:15" x14ac:dyDescent="0.25">
      <c r="A680" s="2" t="s">
        <v>1206</v>
      </c>
      <c r="B680" s="5" t="s">
        <v>163</v>
      </c>
      <c r="C680" s="2" t="s">
        <v>162</v>
      </c>
      <c r="E680" s="367" t="s">
        <v>1070</v>
      </c>
      <c r="F680" s="359">
        <f>opex_det!AT$178</f>
        <v>5.2865380000000003E-3</v>
      </c>
      <c r="G680" s="458">
        <f>labcap_sources!$F$129</f>
        <v>1</v>
      </c>
      <c r="H680" s="369">
        <f t="shared" si="401"/>
        <v>5.2865380000000003E-3</v>
      </c>
      <c r="I680" s="357"/>
      <c r="J680" s="458">
        <f>labcap_sources!$G$129</f>
        <v>0.96923076923076923</v>
      </c>
      <c r="K680" s="369">
        <f t="shared" si="402"/>
        <v>5.1238752923076928E-3</v>
      </c>
      <c r="L680" s="360"/>
      <c r="M680" s="458">
        <f>labcap_sources!$H$129</f>
        <v>0.86153846153846159</v>
      </c>
      <c r="N680" s="369">
        <f>$H680*M680</f>
        <v>4.5545558153846158E-3</v>
      </c>
      <c r="O680" s="360"/>
    </row>
    <row r="681" spans="1:15" x14ac:dyDescent="0.25">
      <c r="A681" s="2" t="s">
        <v>1206</v>
      </c>
      <c r="B681" s="5" t="s">
        <v>163</v>
      </c>
      <c r="C681" s="2" t="s">
        <v>162</v>
      </c>
      <c r="E681" s="367" t="s">
        <v>1071</v>
      </c>
      <c r="F681" s="359">
        <f>opex_det!AT$179</f>
        <v>2.3119019999999998E-3</v>
      </c>
      <c r="G681" s="458">
        <f>labcap_sources!$F$129</f>
        <v>1</v>
      </c>
      <c r="H681" s="369">
        <f t="shared" si="401"/>
        <v>2.3119019999999998E-3</v>
      </c>
      <c r="I681" s="357"/>
      <c r="J681" s="458">
        <f>labcap_sources!$G$129</f>
        <v>0.96923076923076923</v>
      </c>
      <c r="K681" s="369">
        <f t="shared" si="402"/>
        <v>2.2407665538461538E-3</v>
      </c>
      <c r="L681" s="360"/>
      <c r="M681" s="458">
        <f>labcap_sources!$H$129</f>
        <v>0.86153846153846159</v>
      </c>
      <c r="N681" s="369">
        <f t="shared" ref="N681:N683" si="404">$H681*M681</f>
        <v>1.9917924923076921E-3</v>
      </c>
      <c r="O681" s="360"/>
    </row>
    <row r="682" spans="1:15" x14ac:dyDescent="0.25">
      <c r="A682" s="2" t="s">
        <v>1206</v>
      </c>
      <c r="B682" s="5" t="s">
        <v>163</v>
      </c>
      <c r="C682" s="2" t="s">
        <v>162</v>
      </c>
      <c r="E682" s="367" t="s">
        <v>1072</v>
      </c>
      <c r="F682" s="359">
        <f>opex_det!AT$180</f>
        <v>2.0624580000000001E-3</v>
      </c>
      <c r="G682" s="458">
        <f>labcap_sources!$F$130</f>
        <v>1</v>
      </c>
      <c r="H682" s="369">
        <f t="shared" si="401"/>
        <v>2.0624580000000001E-3</v>
      </c>
      <c r="I682" s="357"/>
      <c r="J682" s="458">
        <f>labcap_sources!$G$130</f>
        <v>1.1538461538461537</v>
      </c>
      <c r="K682" s="369">
        <f t="shared" si="402"/>
        <v>2.3797592307692305E-3</v>
      </c>
      <c r="L682" s="360"/>
      <c r="M682" s="458">
        <f>labcap_sources!$H$130</f>
        <v>1.4615384615384615</v>
      </c>
      <c r="N682" s="369">
        <f t="shared" si="404"/>
        <v>3.0143616923076922E-3</v>
      </c>
      <c r="O682" s="360"/>
    </row>
    <row r="683" spans="1:15" x14ac:dyDescent="0.25">
      <c r="A683" s="2" t="s">
        <v>1206</v>
      </c>
      <c r="B683" s="5" t="s">
        <v>163</v>
      </c>
      <c r="C683" s="2" t="s">
        <v>162</v>
      </c>
      <c r="E683" s="367" t="s">
        <v>1073</v>
      </c>
      <c r="F683" s="359">
        <f>opex_det!AT$181</f>
        <v>8.0410300000000002E-4</v>
      </c>
      <c r="G683" s="458">
        <f>labcap_sources!$F$130</f>
        <v>1</v>
      </c>
      <c r="H683" s="369">
        <f t="shared" si="401"/>
        <v>8.0410300000000002E-4</v>
      </c>
      <c r="I683" s="357"/>
      <c r="J683" s="458">
        <f>labcap_sources!$G$130</f>
        <v>1.1538461538461537</v>
      </c>
      <c r="K683" s="369">
        <f t="shared" si="402"/>
        <v>9.2781115384615376E-4</v>
      </c>
      <c r="L683" s="360"/>
      <c r="M683" s="458">
        <f>labcap_sources!$H$130</f>
        <v>1.4615384615384615</v>
      </c>
      <c r="N683" s="369">
        <f t="shared" si="404"/>
        <v>1.1752274615384616E-3</v>
      </c>
      <c r="O683" s="360"/>
    </row>
    <row r="684" spans="1:15" x14ac:dyDescent="0.25">
      <c r="A684" s="2" t="s">
        <v>1206</v>
      </c>
      <c r="B684" s="5" t="s">
        <v>169</v>
      </c>
      <c r="C684" s="2" t="s">
        <v>168</v>
      </c>
      <c r="E684" s="241" t="s">
        <v>372</v>
      </c>
      <c r="F684" s="362">
        <f>opex_det!AY$169</f>
        <v>2.6920030000000001E-3</v>
      </c>
      <c r="G684" s="458">
        <f>labcap_sources!$F$131*labcap_sources!$F$128</f>
        <v>1</v>
      </c>
      <c r="H684" s="362">
        <f t="shared" si="401"/>
        <v>2.6920030000000001E-3</v>
      </c>
      <c r="I684" s="368">
        <f>H684/H688*$F688</f>
        <v>2.6920030000000001E-3</v>
      </c>
      <c r="J684" s="458">
        <f>labcap_sources!$G$131*labcap_sources!$G$128</f>
        <v>0.73888888888888893</v>
      </c>
      <c r="K684" s="362">
        <f>$H684*J684</f>
        <v>1.9890911055555557E-3</v>
      </c>
      <c r="L684" s="368">
        <f>K684/K688*$F688</f>
        <v>1.9576221896460268E-3</v>
      </c>
      <c r="M684" s="458">
        <f>labcap_sources!$H$131*labcap_sources!$H$128</f>
        <v>0.53333333333333333</v>
      </c>
      <c r="N684" s="362">
        <f>$H684*M684</f>
        <v>1.4357349333333333E-3</v>
      </c>
      <c r="O684" s="368">
        <f>N684/N688*$F688</f>
        <v>1.3943606104161103E-3</v>
      </c>
    </row>
    <row r="685" spans="1:15" x14ac:dyDescent="0.25">
      <c r="A685" s="2" t="s">
        <v>1206</v>
      </c>
      <c r="B685" s="5" t="s">
        <v>169</v>
      </c>
      <c r="C685" s="2" t="s">
        <v>168</v>
      </c>
      <c r="E685" s="241" t="s">
        <v>373</v>
      </c>
      <c r="F685" s="362">
        <f>opex_det!AY$170</f>
        <v>3.1646832E-2</v>
      </c>
      <c r="G685" s="458">
        <f>labcap_sources!$F$131*labcap_sources!$F$129</f>
        <v>1</v>
      </c>
      <c r="H685" s="362">
        <f t="shared" si="401"/>
        <v>3.1646832E-2</v>
      </c>
      <c r="I685" s="368">
        <f>H685/H688*$F688</f>
        <v>3.1646832E-2</v>
      </c>
      <c r="J685" s="458">
        <f>labcap_sources!$G$131*labcap_sources!$G$129</f>
        <v>0.92076923076923067</v>
      </c>
      <c r="K685" s="362">
        <f t="shared" ref="K685:K687" si="405">$H685*J685</f>
        <v>2.9139429156923073E-2</v>
      </c>
      <c r="L685" s="368">
        <f>K685/K688*$F688</f>
        <v>2.8678421492050538E-2</v>
      </c>
      <c r="M685" s="458">
        <f>labcap_sources!$H$131*labcap_sources!$H$129</f>
        <v>0.68923076923076931</v>
      </c>
      <c r="N685" s="362">
        <f t="shared" ref="N685:N687" si="406">$H685*M685</f>
        <v>2.1811970363076926E-2</v>
      </c>
      <c r="O685" s="368">
        <f>N685/N688*$F688</f>
        <v>2.1183403428950986E-2</v>
      </c>
    </row>
    <row r="686" spans="1:15" x14ac:dyDescent="0.25">
      <c r="A686" s="2" t="s">
        <v>1206</v>
      </c>
      <c r="B686" s="5" t="s">
        <v>169</v>
      </c>
      <c r="C686" s="2" t="s">
        <v>168</v>
      </c>
      <c r="E686" s="241" t="s">
        <v>374</v>
      </c>
      <c r="F686" s="362">
        <f>opex_det!AY$171</f>
        <v>2.5827023000000001E-2</v>
      </c>
      <c r="G686" s="458">
        <f>labcap_sources!$F$131*labcap_sources!$F$130</f>
        <v>1</v>
      </c>
      <c r="H686" s="362">
        <f t="shared" si="401"/>
        <v>2.5827023000000001E-2</v>
      </c>
      <c r="I686" s="368">
        <f>H686/H688*$F688</f>
        <v>2.5827023000000001E-2</v>
      </c>
      <c r="J686" s="458">
        <f>labcap_sources!$G$131*labcap_sources!$G$130</f>
        <v>1.096153846153846</v>
      </c>
      <c r="K686" s="362">
        <f t="shared" si="405"/>
        <v>2.8310390596153843E-2</v>
      </c>
      <c r="L686" s="368">
        <f>K686/K688*$F688</f>
        <v>2.7862498944259163E-2</v>
      </c>
      <c r="M686" s="458">
        <f>labcap_sources!$H$131*labcap_sources!$H$130</f>
        <v>1.1692307692307693</v>
      </c>
      <c r="N686" s="362">
        <f t="shared" si="406"/>
        <v>3.0197749969230771E-2</v>
      </c>
      <c r="O686" s="368">
        <f>N686/N688*$F688</f>
        <v>2.9327525647461449E-2</v>
      </c>
    </row>
    <row r="687" spans="1:15" x14ac:dyDescent="0.25">
      <c r="A687" s="2" t="s">
        <v>1206</v>
      </c>
      <c r="B687" s="5" t="s">
        <v>169</v>
      </c>
      <c r="C687" s="2" t="s">
        <v>168</v>
      </c>
      <c r="E687" s="240" t="s">
        <v>375</v>
      </c>
      <c r="F687" s="362">
        <f>opex_det!AY$172</f>
        <v>4.9937247999999997E-2</v>
      </c>
      <c r="G687" s="458">
        <f>labcap_sources!$F$132</f>
        <v>1</v>
      </c>
      <c r="H687" s="362">
        <f t="shared" si="401"/>
        <v>4.9937247999999997E-2</v>
      </c>
      <c r="I687" s="368">
        <f>H687/H688*$F688</f>
        <v>4.9937247999999997E-2</v>
      </c>
      <c r="J687" s="458">
        <f>labcap_sources!$G$132</f>
        <v>1.05</v>
      </c>
      <c r="K687" s="362">
        <f t="shared" si="405"/>
        <v>5.2434110399999997E-2</v>
      </c>
      <c r="L687" s="368">
        <f>K687/K688*$F688</f>
        <v>5.1604563374044281E-2</v>
      </c>
      <c r="M687" s="458">
        <f>labcap_sources!$H$132</f>
        <v>1.2</v>
      </c>
      <c r="N687" s="362">
        <f t="shared" si="406"/>
        <v>5.9924697599999993E-2</v>
      </c>
      <c r="O687" s="368">
        <f>N687/N688*$F688</f>
        <v>5.819781631317146E-2</v>
      </c>
    </row>
    <row r="688" spans="1:15" x14ac:dyDescent="0.25">
      <c r="A688" s="2" t="s">
        <v>1206</v>
      </c>
      <c r="B688" s="5" t="s">
        <v>169</v>
      </c>
      <c r="C688" s="2" t="s">
        <v>168</v>
      </c>
      <c r="E688" s="19" t="s">
        <v>1077</v>
      </c>
      <c r="F688" s="363">
        <f>SUM(F684:F687)</f>
        <v>0.11010310600000001</v>
      </c>
      <c r="G688" s="458"/>
      <c r="H688" s="363">
        <f>SUM(H684:H687)</f>
        <v>0.11010310600000001</v>
      </c>
      <c r="I688" s="363">
        <f>SUM(I684:I687)</f>
        <v>0.11010310600000001</v>
      </c>
      <c r="J688" s="458"/>
      <c r="K688" s="363">
        <f>SUM(K684:K687)</f>
        <v>0.11187302125863247</v>
      </c>
      <c r="L688" s="363">
        <f>SUM(L684:L687)</f>
        <v>0.11010310600000001</v>
      </c>
      <c r="M688" s="458"/>
      <c r="N688" s="363">
        <f>SUM(N684:N687)</f>
        <v>0.11337015286564102</v>
      </c>
      <c r="O688" s="363">
        <f>SUM(O684:O687)</f>
        <v>0.11010310600000001</v>
      </c>
    </row>
    <row r="689" spans="1:15" x14ac:dyDescent="0.25">
      <c r="A689" s="2" t="s">
        <v>1206</v>
      </c>
      <c r="B689" s="5" t="s">
        <v>169</v>
      </c>
      <c r="C689" s="2" t="s">
        <v>168</v>
      </c>
      <c r="E689" s="367" t="s">
        <v>1068</v>
      </c>
      <c r="F689" s="359">
        <f>opex_det!AY$176</f>
        <v>1.74974E-4</v>
      </c>
      <c r="G689" s="458">
        <f>labcap_sources!$F$128</f>
        <v>1</v>
      </c>
      <c r="H689" s="369">
        <f t="shared" ref="H689:H698" si="407">$F689*G689</f>
        <v>1.74974E-4</v>
      </c>
      <c r="I689" s="357"/>
      <c r="J689" s="458">
        <f>labcap_sources!$G$128</f>
        <v>0.7777777777777779</v>
      </c>
      <c r="K689" s="369">
        <f>$H689*J689</f>
        <v>1.3609088888888891E-4</v>
      </c>
      <c r="L689" s="360"/>
      <c r="M689" s="458">
        <f>labcap_sources!$H$128</f>
        <v>0.66666666666666663</v>
      </c>
      <c r="N689" s="369">
        <f>$H689*M689</f>
        <v>1.1664933333333332E-4</v>
      </c>
      <c r="O689" s="360"/>
    </row>
    <row r="690" spans="1:15" x14ac:dyDescent="0.25">
      <c r="A690" s="2" t="s">
        <v>1206</v>
      </c>
      <c r="B690" s="5" t="s">
        <v>169</v>
      </c>
      <c r="C690" s="2" t="s">
        <v>168</v>
      </c>
      <c r="E690" s="367" t="s">
        <v>1069</v>
      </c>
      <c r="F690" s="359">
        <f>opex_det!AY$177</f>
        <v>8.6600000000000004E-5</v>
      </c>
      <c r="G690" s="458">
        <f>labcap_sources!$F$128</f>
        <v>1</v>
      </c>
      <c r="H690" s="369">
        <f t="shared" si="407"/>
        <v>8.6600000000000004E-5</v>
      </c>
      <c r="I690" s="357"/>
      <c r="J690" s="458">
        <f>labcap_sources!$G$128</f>
        <v>0.7777777777777779</v>
      </c>
      <c r="K690" s="369">
        <f t="shared" ref="K690:K694" si="408">$H690*J690</f>
        <v>6.7355555555555574E-5</v>
      </c>
      <c r="L690" s="360"/>
      <c r="M690" s="458">
        <f>labcap_sources!$H$128</f>
        <v>0.66666666666666663</v>
      </c>
      <c r="N690" s="369">
        <f t="shared" ref="N690" si="409">$H690*M690</f>
        <v>5.7733333333333332E-5</v>
      </c>
      <c r="O690" s="360"/>
    </row>
    <row r="691" spans="1:15" x14ac:dyDescent="0.25">
      <c r="A691" s="2" t="s">
        <v>1206</v>
      </c>
      <c r="B691" s="5" t="s">
        <v>169</v>
      </c>
      <c r="C691" s="2" t="s">
        <v>168</v>
      </c>
      <c r="E691" s="367" t="s">
        <v>1070</v>
      </c>
      <c r="F691" s="359">
        <f>opex_det!AY$178</f>
        <v>2.11283E-3</v>
      </c>
      <c r="G691" s="458">
        <f>labcap_sources!$F$129</f>
        <v>1</v>
      </c>
      <c r="H691" s="369">
        <f t="shared" si="407"/>
        <v>2.11283E-3</v>
      </c>
      <c r="I691" s="357"/>
      <c r="J691" s="458">
        <f>labcap_sources!$G$129</f>
        <v>0.96923076923076923</v>
      </c>
      <c r="K691" s="369">
        <f t="shared" si="408"/>
        <v>2.047819846153846E-3</v>
      </c>
      <c r="L691" s="360"/>
      <c r="M691" s="458">
        <f>labcap_sources!$H$129</f>
        <v>0.86153846153846159</v>
      </c>
      <c r="N691" s="369">
        <f>$H691*M691</f>
        <v>1.8202843076923078E-3</v>
      </c>
      <c r="O691" s="360"/>
    </row>
    <row r="692" spans="1:15" x14ac:dyDescent="0.25">
      <c r="A692" s="2" t="s">
        <v>1206</v>
      </c>
      <c r="B692" s="5" t="s">
        <v>169</v>
      </c>
      <c r="C692" s="2" t="s">
        <v>168</v>
      </c>
      <c r="E692" s="367" t="s">
        <v>1071</v>
      </c>
      <c r="F692" s="359">
        <f>opex_det!AY$179</f>
        <v>3.6100200000000002E-4</v>
      </c>
      <c r="G692" s="458">
        <f>labcap_sources!$F$129</f>
        <v>1</v>
      </c>
      <c r="H692" s="369">
        <f t="shared" si="407"/>
        <v>3.6100200000000002E-4</v>
      </c>
      <c r="I692" s="357"/>
      <c r="J692" s="458">
        <f>labcap_sources!$G$129</f>
        <v>0.96923076923076923</v>
      </c>
      <c r="K692" s="369">
        <f t="shared" si="408"/>
        <v>3.4989424615384617E-4</v>
      </c>
      <c r="L692" s="360"/>
      <c r="M692" s="458">
        <f>labcap_sources!$H$129</f>
        <v>0.86153846153846159</v>
      </c>
      <c r="N692" s="369">
        <f t="shared" ref="N692:N694" si="410">$H692*M692</f>
        <v>3.1101710769230773E-4</v>
      </c>
      <c r="O692" s="360"/>
    </row>
    <row r="693" spans="1:15" x14ac:dyDescent="0.25">
      <c r="A693" s="2" t="s">
        <v>1206</v>
      </c>
      <c r="B693" s="5" t="s">
        <v>169</v>
      </c>
      <c r="C693" s="2" t="s">
        <v>168</v>
      </c>
      <c r="E693" s="367" t="s">
        <v>1072</v>
      </c>
      <c r="F693" s="359">
        <f>opex_det!AY$180</f>
        <v>8.4049700000000005E-4</v>
      </c>
      <c r="G693" s="458">
        <f>labcap_sources!$F$130</f>
        <v>1</v>
      </c>
      <c r="H693" s="369">
        <f t="shared" si="407"/>
        <v>8.4049700000000005E-4</v>
      </c>
      <c r="I693" s="357"/>
      <c r="J693" s="458">
        <f>labcap_sources!$G$130</f>
        <v>1.1538461538461537</v>
      </c>
      <c r="K693" s="369">
        <f t="shared" si="408"/>
        <v>9.6980423076923076E-4</v>
      </c>
      <c r="L693" s="360"/>
      <c r="M693" s="458">
        <f>labcap_sources!$H$130</f>
        <v>1.4615384615384615</v>
      </c>
      <c r="N693" s="369">
        <f t="shared" si="410"/>
        <v>1.2284186923076923E-3</v>
      </c>
      <c r="O693" s="360"/>
    </row>
    <row r="694" spans="1:15" x14ac:dyDescent="0.25">
      <c r="A694" s="2" t="s">
        <v>1206</v>
      </c>
      <c r="B694" s="5" t="s">
        <v>169</v>
      </c>
      <c r="C694" s="2" t="s">
        <v>168</v>
      </c>
      <c r="E694" s="367" t="s">
        <v>1073</v>
      </c>
      <c r="F694" s="359">
        <f>opex_det!AY$181</f>
        <v>1.2575600000000001E-4</v>
      </c>
      <c r="G694" s="458">
        <f>labcap_sources!$F$130</f>
        <v>1</v>
      </c>
      <c r="H694" s="369">
        <f t="shared" si="407"/>
        <v>1.2575600000000001E-4</v>
      </c>
      <c r="I694" s="357"/>
      <c r="J694" s="458">
        <f>labcap_sources!$G$130</f>
        <v>1.1538461538461537</v>
      </c>
      <c r="K694" s="369">
        <f t="shared" si="408"/>
        <v>1.4510307692307693E-4</v>
      </c>
      <c r="L694" s="360"/>
      <c r="M694" s="458">
        <f>labcap_sources!$H$130</f>
        <v>1.4615384615384615</v>
      </c>
      <c r="N694" s="369">
        <f t="shared" si="410"/>
        <v>1.8379723076923077E-4</v>
      </c>
      <c r="O694" s="360"/>
    </row>
    <row r="695" spans="1:15" x14ac:dyDescent="0.25">
      <c r="A695" s="2" t="s">
        <v>1206</v>
      </c>
      <c r="B695" s="5" t="s">
        <v>171</v>
      </c>
      <c r="C695" s="2" t="s">
        <v>170</v>
      </c>
      <c r="E695" s="241" t="s">
        <v>372</v>
      </c>
      <c r="F695" s="362">
        <f>opex_det!AZ$169</f>
        <v>0</v>
      </c>
      <c r="G695" s="458">
        <f>labcap_sources!$F$131*labcap_sources!$F$128</f>
        <v>1</v>
      </c>
      <c r="H695" s="362">
        <f t="shared" si="407"/>
        <v>0</v>
      </c>
      <c r="I695" s="368">
        <f>IFERROR(H695/H699*$F699,0)</f>
        <v>0</v>
      </c>
      <c r="J695" s="458">
        <f>labcap_sources!$G$131*labcap_sources!$G$128</f>
        <v>0.73888888888888893</v>
      </c>
      <c r="K695" s="362">
        <f>$H695*J695</f>
        <v>0</v>
      </c>
      <c r="L695" s="368">
        <f>IFERROR(K695/K699*$F699,0)</f>
        <v>0</v>
      </c>
      <c r="M695" s="458">
        <f>labcap_sources!$H$131*labcap_sources!$H$128</f>
        <v>0.53333333333333333</v>
      </c>
      <c r="N695" s="362">
        <f>$H695*M695</f>
        <v>0</v>
      </c>
      <c r="O695" s="368">
        <f>IFERROR(N695/N699*$F699,0)</f>
        <v>0</v>
      </c>
    </row>
    <row r="696" spans="1:15" x14ac:dyDescent="0.25">
      <c r="A696" s="2" t="s">
        <v>1206</v>
      </c>
      <c r="B696" s="5" t="s">
        <v>171</v>
      </c>
      <c r="C696" s="2" t="s">
        <v>170</v>
      </c>
      <c r="E696" s="241" t="s">
        <v>373</v>
      </c>
      <c r="F696" s="362">
        <f>opex_det!AZ$170</f>
        <v>0</v>
      </c>
      <c r="G696" s="458">
        <f>labcap_sources!$F$131*labcap_sources!$F$129</f>
        <v>1</v>
      </c>
      <c r="H696" s="362">
        <f t="shared" si="407"/>
        <v>0</v>
      </c>
      <c r="I696" s="368">
        <f>IFERROR(H696/H699*$F699,0)</f>
        <v>0</v>
      </c>
      <c r="J696" s="458">
        <f>labcap_sources!$G$131*labcap_sources!$G$129</f>
        <v>0.92076923076923067</v>
      </c>
      <c r="K696" s="362">
        <f t="shared" ref="K696:K698" si="411">$H696*J696</f>
        <v>0</v>
      </c>
      <c r="L696" s="368">
        <f>IFERROR(K696/K699*$F699,0)</f>
        <v>0</v>
      </c>
      <c r="M696" s="458">
        <f>labcap_sources!$H$131*labcap_sources!$H$129</f>
        <v>0.68923076923076931</v>
      </c>
      <c r="N696" s="362">
        <f t="shared" ref="N696:N698" si="412">$H696*M696</f>
        <v>0</v>
      </c>
      <c r="O696" s="368">
        <f>IFERROR(N696/N699*$F699,0)</f>
        <v>0</v>
      </c>
    </row>
    <row r="697" spans="1:15" x14ac:dyDescent="0.25">
      <c r="A697" s="2" t="s">
        <v>1206</v>
      </c>
      <c r="B697" s="5" t="s">
        <v>171</v>
      </c>
      <c r="C697" s="2" t="s">
        <v>170</v>
      </c>
      <c r="E697" s="241" t="s">
        <v>374</v>
      </c>
      <c r="F697" s="362">
        <f>opex_det!AZ$171</f>
        <v>0</v>
      </c>
      <c r="G697" s="458">
        <f>labcap_sources!$F$131*labcap_sources!$F$130</f>
        <v>1</v>
      </c>
      <c r="H697" s="362">
        <f t="shared" si="407"/>
        <v>0</v>
      </c>
      <c r="I697" s="368">
        <f>IFERROR(H697/H699*$F699,0)</f>
        <v>0</v>
      </c>
      <c r="J697" s="458">
        <f>labcap_sources!$G$131*labcap_sources!$G$130</f>
        <v>1.096153846153846</v>
      </c>
      <c r="K697" s="362">
        <f t="shared" si="411"/>
        <v>0</v>
      </c>
      <c r="L697" s="368">
        <f>IFERROR(K697/K699*$F699,0)</f>
        <v>0</v>
      </c>
      <c r="M697" s="458">
        <f>labcap_sources!$H$131*labcap_sources!$H$130</f>
        <v>1.1692307692307693</v>
      </c>
      <c r="N697" s="362">
        <f t="shared" si="412"/>
        <v>0</v>
      </c>
      <c r="O697" s="368">
        <f>IFERROR(N697/N699*$F699,0)</f>
        <v>0</v>
      </c>
    </row>
    <row r="698" spans="1:15" x14ac:dyDescent="0.25">
      <c r="A698" s="2" t="s">
        <v>1206</v>
      </c>
      <c r="B698" s="5" t="s">
        <v>171</v>
      </c>
      <c r="C698" s="2" t="s">
        <v>170</v>
      </c>
      <c r="E698" s="240" t="s">
        <v>375</v>
      </c>
      <c r="F698" s="362">
        <f>opex_det!AZ$172</f>
        <v>0</v>
      </c>
      <c r="G698" s="458">
        <f>labcap_sources!$F$132</f>
        <v>1</v>
      </c>
      <c r="H698" s="362">
        <f t="shared" si="407"/>
        <v>0</v>
      </c>
      <c r="I698" s="368">
        <f>IFERROR(H698/H699*$F699,0)</f>
        <v>0</v>
      </c>
      <c r="J698" s="458">
        <f>labcap_sources!$G$132</f>
        <v>1.05</v>
      </c>
      <c r="K698" s="362">
        <f t="shared" si="411"/>
        <v>0</v>
      </c>
      <c r="L698" s="368">
        <f>IFERROR(K698/K699*$F699,0)</f>
        <v>0</v>
      </c>
      <c r="M698" s="458">
        <f>labcap_sources!$H$132</f>
        <v>1.2</v>
      </c>
      <c r="N698" s="362">
        <f t="shared" si="412"/>
        <v>0</v>
      </c>
      <c r="O698" s="368">
        <f>IFERROR(N698/N699*$F699,0)</f>
        <v>0</v>
      </c>
    </row>
    <row r="699" spans="1:15" x14ac:dyDescent="0.25">
      <c r="A699" s="2" t="s">
        <v>1206</v>
      </c>
      <c r="B699" s="5" t="s">
        <v>171</v>
      </c>
      <c r="C699" s="2" t="s">
        <v>170</v>
      </c>
      <c r="E699" s="19" t="s">
        <v>1077</v>
      </c>
      <c r="F699" s="363">
        <f>SUM(F695:F698)</f>
        <v>0</v>
      </c>
      <c r="G699" s="458"/>
      <c r="H699" s="363">
        <f>SUM(H695:H698)</f>
        <v>0</v>
      </c>
      <c r="I699" s="363">
        <f>SUM(I695:I698)</f>
        <v>0</v>
      </c>
      <c r="J699" s="458"/>
      <c r="K699" s="363">
        <f>SUM(K695:K698)</f>
        <v>0</v>
      </c>
      <c r="L699" s="363">
        <f>SUM(L695:L698)</f>
        <v>0</v>
      </c>
      <c r="M699" s="458"/>
      <c r="N699" s="363">
        <f>SUM(N695:N698)</f>
        <v>0</v>
      </c>
      <c r="O699" s="363">
        <f>SUM(O695:O698)</f>
        <v>0</v>
      </c>
    </row>
    <row r="700" spans="1:15" x14ac:dyDescent="0.25">
      <c r="A700" s="2" t="s">
        <v>1206</v>
      </c>
      <c r="B700" s="5" t="s">
        <v>171</v>
      </c>
      <c r="C700" s="2" t="s">
        <v>170</v>
      </c>
      <c r="E700" s="367" t="s">
        <v>1068</v>
      </c>
      <c r="F700" s="359">
        <f>opex_det!AZ$176</f>
        <v>0</v>
      </c>
      <c r="G700" s="458">
        <f>labcap_sources!$F$128</f>
        <v>1</v>
      </c>
      <c r="H700" s="369">
        <f t="shared" ref="H700:H705" si="413">$F700*G700</f>
        <v>0</v>
      </c>
      <c r="I700" s="357"/>
      <c r="J700" s="458">
        <f>labcap_sources!$G$128</f>
        <v>0.7777777777777779</v>
      </c>
      <c r="K700" s="369">
        <f>$H700*J700</f>
        <v>0</v>
      </c>
      <c r="L700" s="360"/>
      <c r="M700" s="458">
        <f>labcap_sources!$H$128</f>
        <v>0.66666666666666663</v>
      </c>
      <c r="N700" s="369">
        <f>$H700*M700</f>
        <v>0</v>
      </c>
      <c r="O700" s="360"/>
    </row>
    <row r="701" spans="1:15" x14ac:dyDescent="0.25">
      <c r="A701" s="2" t="s">
        <v>1206</v>
      </c>
      <c r="B701" s="5" t="s">
        <v>171</v>
      </c>
      <c r="C701" s="2" t="s">
        <v>170</v>
      </c>
      <c r="E701" s="367" t="s">
        <v>1069</v>
      </c>
      <c r="F701" s="359">
        <f>opex_det!AZ$177</f>
        <v>0</v>
      </c>
      <c r="G701" s="458">
        <f>labcap_sources!$F$128</f>
        <v>1</v>
      </c>
      <c r="H701" s="369">
        <f t="shared" si="413"/>
        <v>0</v>
      </c>
      <c r="I701" s="357"/>
      <c r="J701" s="458">
        <f>labcap_sources!$G$128</f>
        <v>0.7777777777777779</v>
      </c>
      <c r="K701" s="369">
        <f t="shared" ref="K701:K705" si="414">$H701*J701</f>
        <v>0</v>
      </c>
      <c r="L701" s="360"/>
      <c r="M701" s="458">
        <f>labcap_sources!$H$128</f>
        <v>0.66666666666666663</v>
      </c>
      <c r="N701" s="369">
        <f t="shared" ref="N701" si="415">$H701*M701</f>
        <v>0</v>
      </c>
      <c r="O701" s="360"/>
    </row>
    <row r="702" spans="1:15" x14ac:dyDescent="0.25">
      <c r="A702" s="2" t="s">
        <v>1206</v>
      </c>
      <c r="B702" s="5" t="s">
        <v>171</v>
      </c>
      <c r="C702" s="2" t="s">
        <v>170</v>
      </c>
      <c r="E702" s="367" t="s">
        <v>1070</v>
      </c>
      <c r="F702" s="359">
        <f>opex_det!AZ$178</f>
        <v>0</v>
      </c>
      <c r="G702" s="458">
        <f>labcap_sources!$F$129</f>
        <v>1</v>
      </c>
      <c r="H702" s="369">
        <f t="shared" si="413"/>
        <v>0</v>
      </c>
      <c r="I702" s="357"/>
      <c r="J702" s="458">
        <f>labcap_sources!$G$129</f>
        <v>0.96923076923076923</v>
      </c>
      <c r="K702" s="369">
        <f t="shared" si="414"/>
        <v>0</v>
      </c>
      <c r="L702" s="360"/>
      <c r="M702" s="458">
        <f>labcap_sources!$H$129</f>
        <v>0.86153846153846159</v>
      </c>
      <c r="N702" s="369">
        <f>$H702*M702</f>
        <v>0</v>
      </c>
      <c r="O702" s="360"/>
    </row>
    <row r="703" spans="1:15" x14ac:dyDescent="0.25">
      <c r="A703" s="2" t="s">
        <v>1206</v>
      </c>
      <c r="B703" s="5" t="s">
        <v>171</v>
      </c>
      <c r="C703" s="2" t="s">
        <v>170</v>
      </c>
      <c r="E703" s="367" t="s">
        <v>1071</v>
      </c>
      <c r="F703" s="359">
        <f>opex_det!AZ$179</f>
        <v>0</v>
      </c>
      <c r="G703" s="458">
        <f>labcap_sources!$F$129</f>
        <v>1</v>
      </c>
      <c r="H703" s="369">
        <f t="shared" si="413"/>
        <v>0</v>
      </c>
      <c r="I703" s="357"/>
      <c r="J703" s="458">
        <f>labcap_sources!$G$129</f>
        <v>0.96923076923076923</v>
      </c>
      <c r="K703" s="369">
        <f t="shared" si="414"/>
        <v>0</v>
      </c>
      <c r="L703" s="360"/>
      <c r="M703" s="458">
        <f>labcap_sources!$H$129</f>
        <v>0.86153846153846159</v>
      </c>
      <c r="N703" s="369">
        <f t="shared" ref="N703:N705" si="416">$H703*M703</f>
        <v>0</v>
      </c>
      <c r="O703" s="360"/>
    </row>
    <row r="704" spans="1:15" x14ac:dyDescent="0.25">
      <c r="A704" s="2" t="s">
        <v>1206</v>
      </c>
      <c r="B704" s="5" t="s">
        <v>171</v>
      </c>
      <c r="C704" s="2" t="s">
        <v>170</v>
      </c>
      <c r="E704" s="367" t="s">
        <v>1072</v>
      </c>
      <c r="F704" s="359">
        <f>opex_det!AZ$180</f>
        <v>0</v>
      </c>
      <c r="G704" s="458">
        <f>labcap_sources!$F$130</f>
        <v>1</v>
      </c>
      <c r="H704" s="369">
        <f t="shared" si="413"/>
        <v>0</v>
      </c>
      <c r="I704" s="357"/>
      <c r="J704" s="458">
        <f>labcap_sources!$G$130</f>
        <v>1.1538461538461537</v>
      </c>
      <c r="K704" s="369">
        <f t="shared" si="414"/>
        <v>0</v>
      </c>
      <c r="L704" s="360"/>
      <c r="M704" s="458">
        <f>labcap_sources!$H$130</f>
        <v>1.4615384615384615</v>
      </c>
      <c r="N704" s="369">
        <f t="shared" si="416"/>
        <v>0</v>
      </c>
      <c r="O704" s="360"/>
    </row>
    <row r="705" spans="1:15" x14ac:dyDescent="0.25">
      <c r="A705" s="2" t="s">
        <v>1206</v>
      </c>
      <c r="B705" s="5" t="s">
        <v>171</v>
      </c>
      <c r="C705" s="2" t="s">
        <v>170</v>
      </c>
      <c r="E705" s="367" t="s">
        <v>1073</v>
      </c>
      <c r="F705" s="359">
        <f>opex_det!AZ$181</f>
        <v>0</v>
      </c>
      <c r="G705" s="458">
        <f>labcap_sources!$F$130</f>
        <v>1</v>
      </c>
      <c r="H705" s="369">
        <f t="shared" si="413"/>
        <v>0</v>
      </c>
      <c r="I705" s="357"/>
      <c r="J705" s="458">
        <f>labcap_sources!$G$130</f>
        <v>1.1538461538461537</v>
      </c>
      <c r="K705" s="369">
        <f t="shared" si="414"/>
        <v>0</v>
      </c>
      <c r="L705" s="360"/>
      <c r="M705" s="458">
        <f>labcap_sources!$H$130</f>
        <v>1.4615384615384615</v>
      </c>
      <c r="N705" s="369">
        <f t="shared" si="416"/>
        <v>0</v>
      </c>
      <c r="O705" s="360"/>
    </row>
    <row r="706" spans="1:15" x14ac:dyDescent="0.25">
      <c r="A706" s="2" t="s">
        <v>1206</v>
      </c>
      <c r="B706" s="5" t="s">
        <v>173</v>
      </c>
      <c r="C706" s="2" t="s">
        <v>172</v>
      </c>
      <c r="E706" s="241" t="s">
        <v>372</v>
      </c>
      <c r="F706" s="362">
        <f>opex_det!BA$169</f>
        <v>3.9808680000000003E-3</v>
      </c>
      <c r="G706" s="458">
        <f>labcap_sources!$F$131*labcap_sources!$F$128</f>
        <v>1</v>
      </c>
      <c r="H706" s="362">
        <f t="shared" ref="H706:H709" si="417">$F706*G706</f>
        <v>3.9808680000000003E-3</v>
      </c>
      <c r="I706" s="368">
        <f>H706/H710*$F710</f>
        <v>3.9808680000000003E-3</v>
      </c>
      <c r="J706" s="458">
        <f>labcap_sources!$G$131*labcap_sources!$G$128</f>
        <v>0.73888888888888893</v>
      </c>
      <c r="K706" s="362">
        <f>$H706*J706</f>
        <v>2.9414191333333338E-3</v>
      </c>
      <c r="L706" s="368">
        <f>K706/K710*$F710</f>
        <v>2.8989378895862053E-3</v>
      </c>
      <c r="M706" s="458">
        <f>labcap_sources!$H$131*labcap_sources!$H$128</f>
        <v>0.53333333333333333</v>
      </c>
      <c r="N706" s="362">
        <f>$H706*M706</f>
        <v>2.1231296000000003E-3</v>
      </c>
      <c r="O706" s="368">
        <f>N706/N710*$F710</f>
        <v>2.0763328320801688E-3</v>
      </c>
    </row>
    <row r="707" spans="1:15" x14ac:dyDescent="0.25">
      <c r="A707" s="2" t="s">
        <v>1206</v>
      </c>
      <c r="B707" s="5" t="s">
        <v>173</v>
      </c>
      <c r="C707" s="2" t="s">
        <v>172</v>
      </c>
      <c r="E707" s="241" t="s">
        <v>373</v>
      </c>
      <c r="F707" s="362">
        <f>opex_det!BA$170</f>
        <v>4.6798553E-2</v>
      </c>
      <c r="G707" s="458">
        <f>labcap_sources!$F$131*labcap_sources!$F$129</f>
        <v>1</v>
      </c>
      <c r="H707" s="362">
        <f t="shared" si="417"/>
        <v>4.6798553E-2</v>
      </c>
      <c r="I707" s="368">
        <f>H707/H710*$F710</f>
        <v>4.6798553E-2</v>
      </c>
      <c r="J707" s="458">
        <f>labcap_sources!$G$131*labcap_sources!$G$129</f>
        <v>0.92076923076923067</v>
      </c>
      <c r="K707" s="362">
        <f t="shared" ref="K707:K709" si="418">$H707*J707</f>
        <v>4.309066764692307E-2</v>
      </c>
      <c r="L707" s="368">
        <f>K707/K710*$F710</f>
        <v>4.2468333639915715E-2</v>
      </c>
      <c r="M707" s="458">
        <f>labcap_sources!$H$131*labcap_sources!$H$129</f>
        <v>0.68923076923076931</v>
      </c>
      <c r="N707" s="362">
        <f t="shared" ref="N707:N709" si="419">$H707*M707</f>
        <v>3.2255002683076926E-2</v>
      </c>
      <c r="O707" s="368">
        <f>N707/N710*$F710</f>
        <v>3.1544056975940871E-2</v>
      </c>
    </row>
    <row r="708" spans="1:15" x14ac:dyDescent="0.25">
      <c r="A708" s="2" t="s">
        <v>1206</v>
      </c>
      <c r="B708" s="5" t="s">
        <v>173</v>
      </c>
      <c r="C708" s="2" t="s">
        <v>172</v>
      </c>
      <c r="E708" s="241" t="s">
        <v>374</v>
      </c>
      <c r="F708" s="362">
        <f>opex_det!BA$171</f>
        <v>3.8192363999999999E-2</v>
      </c>
      <c r="G708" s="458">
        <f>labcap_sources!$F$131*labcap_sources!$F$130</f>
        <v>1</v>
      </c>
      <c r="H708" s="362">
        <f t="shared" si="417"/>
        <v>3.8192363999999999E-2</v>
      </c>
      <c r="I708" s="368">
        <f>H708/H710*$F710</f>
        <v>3.8192363999999999E-2</v>
      </c>
      <c r="J708" s="458">
        <f>labcap_sources!$G$131*labcap_sources!$G$130</f>
        <v>1.096153846153846</v>
      </c>
      <c r="K708" s="362">
        <f t="shared" si="418"/>
        <v>4.1864706692307685E-2</v>
      </c>
      <c r="L708" s="368">
        <f>K708/K710*$F710</f>
        <v>4.1260078542159448E-2</v>
      </c>
      <c r="M708" s="458">
        <f>labcap_sources!$H$131*labcap_sources!$H$130</f>
        <v>1.1692307692307693</v>
      </c>
      <c r="N708" s="362">
        <f t="shared" si="419"/>
        <v>4.465568713846154E-2</v>
      </c>
      <c r="O708" s="368">
        <f>N708/N710*$F710</f>
        <v>4.3671412873094423E-2</v>
      </c>
    </row>
    <row r="709" spans="1:15" x14ac:dyDescent="0.25">
      <c r="A709" s="2" t="s">
        <v>1206</v>
      </c>
      <c r="B709" s="5" t="s">
        <v>173</v>
      </c>
      <c r="C709" s="2" t="s">
        <v>172</v>
      </c>
      <c r="E709" s="240" t="s">
        <v>375</v>
      </c>
      <c r="F709" s="362">
        <f>opex_det!BA$172</f>
        <v>6.7300267999999996E-2</v>
      </c>
      <c r="G709" s="458">
        <f>labcap_sources!$F$132</f>
        <v>1</v>
      </c>
      <c r="H709" s="362">
        <f t="shared" si="417"/>
        <v>6.7300267999999996E-2</v>
      </c>
      <c r="I709" s="368">
        <f>H709/H710*$F710</f>
        <v>6.7300267999999996E-2</v>
      </c>
      <c r="J709" s="458">
        <f>labcap_sources!$G$132</f>
        <v>1.05</v>
      </c>
      <c r="K709" s="362">
        <f t="shared" si="418"/>
        <v>7.0665281400000002E-2</v>
      </c>
      <c r="L709" s="368">
        <f>K709/K710*$F710</f>
        <v>6.9644702928338645E-2</v>
      </c>
      <c r="M709" s="458">
        <f>labcap_sources!$H$132</f>
        <v>1.2</v>
      </c>
      <c r="N709" s="362">
        <f t="shared" si="419"/>
        <v>8.076032159999999E-2</v>
      </c>
      <c r="O709" s="368">
        <f>N709/N710*$F710</f>
        <v>7.8980250318884532E-2</v>
      </c>
    </row>
    <row r="710" spans="1:15" x14ac:dyDescent="0.25">
      <c r="A710" s="2" t="s">
        <v>1206</v>
      </c>
      <c r="B710" s="5" t="s">
        <v>173</v>
      </c>
      <c r="C710" s="2" t="s">
        <v>172</v>
      </c>
      <c r="E710" s="19" t="s">
        <v>1077</v>
      </c>
      <c r="F710" s="363">
        <f>SUM(F706:F709)</f>
        <v>0.15627205299999999</v>
      </c>
      <c r="G710" s="458"/>
      <c r="H710" s="363">
        <f>SUM(H706:H709)</f>
        <v>0.15627205299999999</v>
      </c>
      <c r="I710" s="363">
        <f>SUM(I706:I709)</f>
        <v>0.15627205299999999</v>
      </c>
      <c r="J710" s="458"/>
      <c r="K710" s="363">
        <f>SUM(K706:K709)</f>
        <v>0.15856207487256407</v>
      </c>
      <c r="L710" s="363">
        <f>SUM(L706:L709)</f>
        <v>0.15627205300000002</v>
      </c>
      <c r="M710" s="458"/>
      <c r="N710" s="363">
        <f>SUM(N706:N709)</f>
        <v>0.15979414102153847</v>
      </c>
      <c r="O710" s="363">
        <f>SUM(O706:O709)</f>
        <v>0.15627205299999999</v>
      </c>
    </row>
    <row r="711" spans="1:15" x14ac:dyDescent="0.25">
      <c r="A711" s="2" t="s">
        <v>1206</v>
      </c>
      <c r="B711" s="5" t="s">
        <v>173</v>
      </c>
      <c r="C711" s="2" t="s">
        <v>172</v>
      </c>
      <c r="E711" s="367" t="s">
        <v>1068</v>
      </c>
      <c r="F711" s="359">
        <f>opex_det!BA$176</f>
        <v>2.5293400000000001E-4</v>
      </c>
      <c r="G711" s="458">
        <f>labcap_sources!$F$128</f>
        <v>1</v>
      </c>
      <c r="H711" s="369">
        <f t="shared" ref="H711:H720" si="420">$F711*G711</f>
        <v>2.5293400000000001E-4</v>
      </c>
      <c r="I711" s="357"/>
      <c r="J711" s="458">
        <f>labcap_sources!$G$128</f>
        <v>0.7777777777777779</v>
      </c>
      <c r="K711" s="369">
        <f>$H711*J711</f>
        <v>1.9672644444444448E-4</v>
      </c>
      <c r="L711" s="360"/>
      <c r="M711" s="458">
        <f>labcap_sources!$H$128</f>
        <v>0.66666666666666663</v>
      </c>
      <c r="N711" s="369">
        <f>$H711*M711</f>
        <v>1.6862266666666667E-4</v>
      </c>
      <c r="O711" s="360"/>
    </row>
    <row r="712" spans="1:15" x14ac:dyDescent="0.25">
      <c r="A712" s="2" t="s">
        <v>1206</v>
      </c>
      <c r="B712" s="5" t="s">
        <v>173</v>
      </c>
      <c r="C712" s="2" t="s">
        <v>172</v>
      </c>
      <c r="E712" s="367" t="s">
        <v>1069</v>
      </c>
      <c r="F712" s="359">
        <f>opex_det!BA$177</f>
        <v>1.09497E-4</v>
      </c>
      <c r="G712" s="458">
        <f>labcap_sources!$F$128</f>
        <v>1</v>
      </c>
      <c r="H712" s="369">
        <f t="shared" si="420"/>
        <v>1.09497E-4</v>
      </c>
      <c r="I712" s="357"/>
      <c r="J712" s="458">
        <f>labcap_sources!$G$128</f>
        <v>0.7777777777777779</v>
      </c>
      <c r="K712" s="369">
        <f t="shared" ref="K712:K716" si="421">$H712*J712</f>
        <v>8.5164333333333347E-5</v>
      </c>
      <c r="L712" s="360"/>
      <c r="M712" s="458">
        <f>labcap_sources!$H$128</f>
        <v>0.66666666666666663</v>
      </c>
      <c r="N712" s="369">
        <f t="shared" ref="N712" si="422">$H712*M712</f>
        <v>7.2997999999999995E-5</v>
      </c>
      <c r="O712" s="360"/>
    </row>
    <row r="713" spans="1:15" x14ac:dyDescent="0.25">
      <c r="A713" s="2" t="s">
        <v>1206</v>
      </c>
      <c r="B713" s="5" t="s">
        <v>173</v>
      </c>
      <c r="C713" s="2" t="s">
        <v>172</v>
      </c>
      <c r="E713" s="367" t="s">
        <v>1070</v>
      </c>
      <c r="F713" s="359">
        <f>opex_det!BA$178</f>
        <v>3.0944079999999999E-3</v>
      </c>
      <c r="G713" s="458">
        <f>labcap_sources!$F$129</f>
        <v>1</v>
      </c>
      <c r="H713" s="369">
        <f t="shared" si="420"/>
        <v>3.0944079999999999E-3</v>
      </c>
      <c r="I713" s="357"/>
      <c r="J713" s="458">
        <f>labcap_sources!$G$129</f>
        <v>0.96923076923076923</v>
      </c>
      <c r="K713" s="369">
        <f t="shared" si="421"/>
        <v>2.9991954461538461E-3</v>
      </c>
      <c r="L713" s="360"/>
      <c r="M713" s="458">
        <f>labcap_sources!$H$129</f>
        <v>0.86153846153846159</v>
      </c>
      <c r="N713" s="369">
        <f>$H713*M713</f>
        <v>2.6659515076923076E-3</v>
      </c>
      <c r="O713" s="360"/>
    </row>
    <row r="714" spans="1:15" x14ac:dyDescent="0.25">
      <c r="A714" s="2" t="s">
        <v>1206</v>
      </c>
      <c r="B714" s="5" t="s">
        <v>173</v>
      </c>
      <c r="C714" s="2" t="s">
        <v>172</v>
      </c>
      <c r="E714" s="367" t="s">
        <v>1071</v>
      </c>
      <c r="F714" s="359">
        <f>opex_det!BA$179</f>
        <v>3.9955500000000001E-4</v>
      </c>
      <c r="G714" s="458">
        <f>labcap_sources!$F$129</f>
        <v>1</v>
      </c>
      <c r="H714" s="369">
        <f t="shared" si="420"/>
        <v>3.9955500000000001E-4</v>
      </c>
      <c r="I714" s="357"/>
      <c r="J714" s="458">
        <f>labcap_sources!$G$129</f>
        <v>0.96923076923076923</v>
      </c>
      <c r="K714" s="369">
        <f t="shared" si="421"/>
        <v>3.8726100000000002E-4</v>
      </c>
      <c r="L714" s="360"/>
      <c r="M714" s="458">
        <f>labcap_sources!$H$129</f>
        <v>0.86153846153846159</v>
      </c>
      <c r="N714" s="369">
        <f t="shared" ref="N714:N716" si="423">$H714*M714</f>
        <v>3.4423200000000003E-4</v>
      </c>
      <c r="O714" s="360"/>
    </row>
    <row r="715" spans="1:15" x14ac:dyDescent="0.25">
      <c r="A715" s="2" t="s">
        <v>1206</v>
      </c>
      <c r="B715" s="5" t="s">
        <v>173</v>
      </c>
      <c r="C715" s="2" t="s">
        <v>172</v>
      </c>
      <c r="E715" s="367" t="s">
        <v>1072</v>
      </c>
      <c r="F715" s="359">
        <f>opex_det!BA$180</f>
        <v>1.22211E-3</v>
      </c>
      <c r="G715" s="458">
        <f>labcap_sources!$F$130</f>
        <v>1</v>
      </c>
      <c r="H715" s="369">
        <f t="shared" si="420"/>
        <v>1.22211E-3</v>
      </c>
      <c r="I715" s="357"/>
      <c r="J715" s="458">
        <f>labcap_sources!$G$130</f>
        <v>1.1538461538461537</v>
      </c>
      <c r="K715" s="369">
        <f t="shared" si="421"/>
        <v>1.4101269230769229E-3</v>
      </c>
      <c r="L715" s="360"/>
      <c r="M715" s="458">
        <f>labcap_sources!$H$130</f>
        <v>1.4615384615384615</v>
      </c>
      <c r="N715" s="369">
        <f t="shared" si="423"/>
        <v>1.7861607692307691E-3</v>
      </c>
      <c r="O715" s="360"/>
    </row>
    <row r="716" spans="1:15" x14ac:dyDescent="0.25">
      <c r="A716" s="2" t="s">
        <v>1206</v>
      </c>
      <c r="B716" s="5" t="s">
        <v>173</v>
      </c>
      <c r="C716" s="2" t="s">
        <v>172</v>
      </c>
      <c r="E716" s="367" t="s">
        <v>1073</v>
      </c>
      <c r="F716" s="359">
        <f>opex_det!BA$181</f>
        <v>1.8821699999999999E-4</v>
      </c>
      <c r="G716" s="458">
        <f>labcap_sources!$F$130</f>
        <v>1</v>
      </c>
      <c r="H716" s="369">
        <f t="shared" si="420"/>
        <v>1.8821699999999999E-4</v>
      </c>
      <c r="I716" s="357"/>
      <c r="J716" s="458">
        <f>labcap_sources!$G$130</f>
        <v>1.1538461538461537</v>
      </c>
      <c r="K716" s="369">
        <f t="shared" si="421"/>
        <v>2.171734615384615E-4</v>
      </c>
      <c r="L716" s="360"/>
      <c r="M716" s="458">
        <f>labcap_sources!$H$130</f>
        <v>1.4615384615384615</v>
      </c>
      <c r="N716" s="369">
        <f t="shared" si="423"/>
        <v>2.7508638461538459E-4</v>
      </c>
      <c r="O716" s="360"/>
    </row>
    <row r="717" spans="1:15" x14ac:dyDescent="0.25">
      <c r="A717" s="2" t="s">
        <v>1206</v>
      </c>
      <c r="B717" s="5" t="s">
        <v>175</v>
      </c>
      <c r="C717" s="2" t="s">
        <v>174</v>
      </c>
      <c r="E717" s="241" t="s">
        <v>372</v>
      </c>
      <c r="F717" s="362">
        <f>opex_det!BB$169</f>
        <v>4.4061789999999997E-3</v>
      </c>
      <c r="G717" s="458">
        <f>labcap_sources!$F$131*labcap_sources!$F$128</f>
        <v>1</v>
      </c>
      <c r="H717" s="362">
        <f t="shared" si="420"/>
        <v>4.4061789999999997E-3</v>
      </c>
      <c r="I717" s="368">
        <f>H717/H721*$F721</f>
        <v>4.4061789999999997E-3</v>
      </c>
      <c r="J717" s="458">
        <f>labcap_sources!$G$131*labcap_sources!$G$128</f>
        <v>0.73888888888888893</v>
      </c>
      <c r="K717" s="362">
        <f>$H717*J717</f>
        <v>3.2556767055555553E-3</v>
      </c>
      <c r="L717" s="368">
        <f>K717/K721*$F721</f>
        <v>3.209421193954004E-3</v>
      </c>
      <c r="M717" s="458">
        <f>labcap_sources!$H$131*labcap_sources!$H$128</f>
        <v>0.53333333333333333</v>
      </c>
      <c r="N717" s="362">
        <f>$H717*M717</f>
        <v>2.3499621333333332E-3</v>
      </c>
      <c r="O717" s="368">
        <f>N717/N721*$F721</f>
        <v>2.3008957748355064E-3</v>
      </c>
    </row>
    <row r="718" spans="1:15" x14ac:dyDescent="0.25">
      <c r="A718" s="2" t="s">
        <v>1206</v>
      </c>
      <c r="B718" s="5" t="s">
        <v>175</v>
      </c>
      <c r="C718" s="2" t="s">
        <v>174</v>
      </c>
      <c r="E718" s="241" t="s">
        <v>373</v>
      </c>
      <c r="F718" s="362">
        <f>opex_det!BB$170</f>
        <v>5.1798456999999999E-2</v>
      </c>
      <c r="G718" s="458">
        <f>labcap_sources!$F$131*labcap_sources!$F$129</f>
        <v>1</v>
      </c>
      <c r="H718" s="362">
        <f t="shared" si="420"/>
        <v>5.1798456999999999E-2</v>
      </c>
      <c r="I718" s="368">
        <f>H718/H721*$F721</f>
        <v>5.1798456999999999E-2</v>
      </c>
      <c r="J718" s="458">
        <f>labcap_sources!$G$131*labcap_sources!$G$129</f>
        <v>0.92076923076923067</v>
      </c>
      <c r="K718" s="362">
        <f t="shared" ref="K718:K720" si="424">$H718*J718</f>
        <v>4.769442540692307E-2</v>
      </c>
      <c r="L718" s="368">
        <f>K718/K721*$F721</f>
        <v>4.7016799755710624E-2</v>
      </c>
      <c r="M718" s="458">
        <f>labcap_sources!$H$131*labcap_sources!$H$129</f>
        <v>0.68923076923076931</v>
      </c>
      <c r="N718" s="362">
        <f t="shared" ref="N718:N720" si="425">$H718*M718</f>
        <v>3.5701090363076927E-2</v>
      </c>
      <c r="O718" s="368">
        <f>N718/N721*$F721</f>
        <v>3.4955664522519539E-2</v>
      </c>
    </row>
    <row r="719" spans="1:15" x14ac:dyDescent="0.25">
      <c r="A719" s="2" t="s">
        <v>1206</v>
      </c>
      <c r="B719" s="5" t="s">
        <v>175</v>
      </c>
      <c r="C719" s="2" t="s">
        <v>174</v>
      </c>
      <c r="E719" s="241" t="s">
        <v>374</v>
      </c>
      <c r="F719" s="362">
        <f>opex_det!BB$171</f>
        <v>4.2272791999999997E-2</v>
      </c>
      <c r="G719" s="458">
        <f>labcap_sources!$F$131*labcap_sources!$F$130</f>
        <v>1</v>
      </c>
      <c r="H719" s="362">
        <f t="shared" si="420"/>
        <v>4.2272791999999997E-2</v>
      </c>
      <c r="I719" s="368">
        <f>H719/H721*$F721</f>
        <v>4.2272791999999997E-2</v>
      </c>
      <c r="J719" s="458">
        <f>labcap_sources!$G$131*labcap_sources!$G$130</f>
        <v>1.096153846153846</v>
      </c>
      <c r="K719" s="362">
        <f t="shared" si="424"/>
        <v>4.6337483538461531E-2</v>
      </c>
      <c r="L719" s="368">
        <f>K719/K721*$F721</f>
        <v>4.5679136840909365E-2</v>
      </c>
      <c r="M719" s="458">
        <f>labcap_sources!$H$131*labcap_sources!$H$130</f>
        <v>1.1692307692307693</v>
      </c>
      <c r="N719" s="362">
        <f t="shared" si="425"/>
        <v>4.942664910769231E-2</v>
      </c>
      <c r="O719" s="368">
        <f>N719/N721*$F721</f>
        <v>4.8394638570133444E-2</v>
      </c>
    </row>
    <row r="720" spans="1:15" x14ac:dyDescent="0.25">
      <c r="A720" s="2" t="s">
        <v>1206</v>
      </c>
      <c r="B720" s="5" t="s">
        <v>175</v>
      </c>
      <c r="C720" s="2" t="s">
        <v>174</v>
      </c>
      <c r="E720" s="240" t="s">
        <v>375</v>
      </c>
      <c r="F720" s="362">
        <f>opex_det!BB$172</f>
        <v>7.3316016999999997E-2</v>
      </c>
      <c r="G720" s="458">
        <f>labcap_sources!$F$132</f>
        <v>1</v>
      </c>
      <c r="H720" s="362">
        <f t="shared" si="420"/>
        <v>7.3316016999999997E-2</v>
      </c>
      <c r="I720" s="368">
        <f>H720/H721*$F721</f>
        <v>7.3316016999999997E-2</v>
      </c>
      <c r="J720" s="458">
        <f>labcap_sources!$G$132</f>
        <v>1.05</v>
      </c>
      <c r="K720" s="362">
        <f t="shared" si="424"/>
        <v>7.6981817849999995E-2</v>
      </c>
      <c r="L720" s="368">
        <f>K720/K721*$F721</f>
        <v>7.5888087209425983E-2</v>
      </c>
      <c r="M720" s="458">
        <f>labcap_sources!$H$132</f>
        <v>1.2</v>
      </c>
      <c r="N720" s="362">
        <f t="shared" si="425"/>
        <v>8.7979220399999988E-2</v>
      </c>
      <c r="O720" s="368">
        <f>N720/N721*$F721</f>
        <v>8.6142246132511494E-2</v>
      </c>
    </row>
    <row r="721" spans="1:15" x14ac:dyDescent="0.25">
      <c r="A721" s="2" t="s">
        <v>1206</v>
      </c>
      <c r="B721" s="5" t="s">
        <v>175</v>
      </c>
      <c r="C721" s="2" t="s">
        <v>174</v>
      </c>
      <c r="E721" s="19" t="s">
        <v>1077</v>
      </c>
      <c r="F721" s="363">
        <f>SUM(F717:F720)</f>
        <v>0.17179344499999999</v>
      </c>
      <c r="G721" s="458"/>
      <c r="H721" s="363">
        <f>SUM(H717:H720)</f>
        <v>0.17179344499999999</v>
      </c>
      <c r="I721" s="363">
        <f>SUM(I717:I720)</f>
        <v>0.17179344499999999</v>
      </c>
      <c r="J721" s="458"/>
      <c r="K721" s="363">
        <f>SUM(K717:K720)</f>
        <v>0.17426940350094017</v>
      </c>
      <c r="L721" s="363">
        <f>SUM(L717:L720)</f>
        <v>0.17179344499999999</v>
      </c>
      <c r="M721" s="458"/>
      <c r="N721" s="363">
        <f>SUM(N717:N720)</f>
        <v>0.17545692200410257</v>
      </c>
      <c r="O721" s="363">
        <f>SUM(O717:O720)</f>
        <v>0.17179344499999999</v>
      </c>
    </row>
    <row r="722" spans="1:15" x14ac:dyDescent="0.25">
      <c r="A722" s="2" t="s">
        <v>1206</v>
      </c>
      <c r="B722" s="5" t="s">
        <v>175</v>
      </c>
      <c r="C722" s="2" t="s">
        <v>174</v>
      </c>
      <c r="E722" s="367" t="s">
        <v>1068</v>
      </c>
      <c r="F722" s="359">
        <f>opex_det!BB$176</f>
        <v>2.7838400000000001E-4</v>
      </c>
      <c r="G722" s="458">
        <f>labcap_sources!$F$128</f>
        <v>1</v>
      </c>
      <c r="H722" s="369">
        <f t="shared" ref="H722:H731" si="426">$F722*G722</f>
        <v>2.7838400000000001E-4</v>
      </c>
      <c r="I722" s="357"/>
      <c r="J722" s="458">
        <f>labcap_sources!$G$128</f>
        <v>0.7777777777777779</v>
      </c>
      <c r="K722" s="369">
        <f>$H722*J722</f>
        <v>2.1652088888888892E-4</v>
      </c>
      <c r="L722" s="360"/>
      <c r="M722" s="458">
        <f>labcap_sources!$H$128</f>
        <v>0.66666666666666663</v>
      </c>
      <c r="N722" s="369">
        <f>$H722*M722</f>
        <v>1.8558933333333332E-4</v>
      </c>
      <c r="O722" s="360"/>
    </row>
    <row r="723" spans="1:15" x14ac:dyDescent="0.25">
      <c r="A723" s="2" t="s">
        <v>1206</v>
      </c>
      <c r="B723" s="5" t="s">
        <v>175</v>
      </c>
      <c r="C723" s="2" t="s">
        <v>174</v>
      </c>
      <c r="E723" s="367" t="s">
        <v>1069</v>
      </c>
      <c r="F723" s="359">
        <f>opex_det!BB$177</f>
        <v>1.2326500000000001E-4</v>
      </c>
      <c r="G723" s="458">
        <f>labcap_sources!$F$128</f>
        <v>1</v>
      </c>
      <c r="H723" s="369">
        <f t="shared" si="426"/>
        <v>1.2326500000000001E-4</v>
      </c>
      <c r="I723" s="357"/>
      <c r="J723" s="458">
        <f>labcap_sources!$G$128</f>
        <v>0.7777777777777779</v>
      </c>
      <c r="K723" s="369">
        <f t="shared" ref="K723:K727" si="427">$H723*J723</f>
        <v>9.5872777777777804E-5</v>
      </c>
      <c r="L723" s="360"/>
      <c r="M723" s="458">
        <f>labcap_sources!$H$128</f>
        <v>0.66666666666666663</v>
      </c>
      <c r="N723" s="369">
        <f t="shared" ref="N723" si="428">$H723*M723</f>
        <v>8.2176666666666662E-5</v>
      </c>
      <c r="O723" s="360"/>
    </row>
    <row r="724" spans="1:15" x14ac:dyDescent="0.25">
      <c r="A724" s="2" t="s">
        <v>1206</v>
      </c>
      <c r="B724" s="5" t="s">
        <v>175</v>
      </c>
      <c r="C724" s="2" t="s">
        <v>174</v>
      </c>
      <c r="E724" s="367" t="s">
        <v>1070</v>
      </c>
      <c r="F724" s="359">
        <f>opex_det!BB$178</f>
        <v>3.4226460000000001E-3</v>
      </c>
      <c r="G724" s="458">
        <f>labcap_sources!$F$129</f>
        <v>1</v>
      </c>
      <c r="H724" s="369">
        <f t="shared" si="426"/>
        <v>3.4226460000000001E-3</v>
      </c>
      <c r="I724" s="357"/>
      <c r="J724" s="458">
        <f>labcap_sources!$G$129</f>
        <v>0.96923076923076923</v>
      </c>
      <c r="K724" s="369">
        <f t="shared" si="427"/>
        <v>3.3173338153846153E-3</v>
      </c>
      <c r="L724" s="360"/>
      <c r="M724" s="458">
        <f>labcap_sources!$H$129</f>
        <v>0.86153846153846159</v>
      </c>
      <c r="N724" s="369">
        <f>$H724*M724</f>
        <v>2.9487411692307695E-3</v>
      </c>
      <c r="O724" s="360"/>
    </row>
    <row r="725" spans="1:15" x14ac:dyDescent="0.25">
      <c r="A725" s="2" t="s">
        <v>1206</v>
      </c>
      <c r="B725" s="5" t="s">
        <v>175</v>
      </c>
      <c r="C725" s="2" t="s">
        <v>174</v>
      </c>
      <c r="E725" s="367" t="s">
        <v>1071</v>
      </c>
      <c r="F725" s="359">
        <f>opex_det!BB$179</f>
        <v>4.29474E-4</v>
      </c>
      <c r="G725" s="458">
        <f>labcap_sources!$F$129</f>
        <v>1</v>
      </c>
      <c r="H725" s="369">
        <f t="shared" si="426"/>
        <v>4.29474E-4</v>
      </c>
      <c r="I725" s="357"/>
      <c r="J725" s="458">
        <f>labcap_sources!$G$129</f>
        <v>0.96923076923076923</v>
      </c>
      <c r="K725" s="369">
        <f t="shared" si="427"/>
        <v>4.1625941538461536E-4</v>
      </c>
      <c r="L725" s="360"/>
      <c r="M725" s="458">
        <f>labcap_sources!$H$129</f>
        <v>0.86153846153846159</v>
      </c>
      <c r="N725" s="369">
        <f t="shared" ref="N725:N727" si="429">$H725*M725</f>
        <v>3.7000836923076924E-4</v>
      </c>
      <c r="O725" s="360"/>
    </row>
    <row r="726" spans="1:15" x14ac:dyDescent="0.25">
      <c r="A726" s="2" t="s">
        <v>1206</v>
      </c>
      <c r="B726" s="5" t="s">
        <v>175</v>
      </c>
      <c r="C726" s="2" t="s">
        <v>174</v>
      </c>
      <c r="E726" s="367" t="s">
        <v>1072</v>
      </c>
      <c r="F726" s="359">
        <f>opex_det!BB$180</f>
        <v>1.352198E-3</v>
      </c>
      <c r="G726" s="458">
        <f>labcap_sources!$F$130</f>
        <v>1</v>
      </c>
      <c r="H726" s="369">
        <f t="shared" si="426"/>
        <v>1.352198E-3</v>
      </c>
      <c r="I726" s="357"/>
      <c r="J726" s="458">
        <f>labcap_sources!$G$130</f>
        <v>1.1538461538461537</v>
      </c>
      <c r="K726" s="369">
        <f t="shared" si="427"/>
        <v>1.5602284615384614E-3</v>
      </c>
      <c r="L726" s="360"/>
      <c r="M726" s="458">
        <f>labcap_sources!$H$130</f>
        <v>1.4615384615384615</v>
      </c>
      <c r="N726" s="369">
        <f t="shared" si="429"/>
        <v>1.9762893846153847E-3</v>
      </c>
      <c r="O726" s="360"/>
    </row>
    <row r="727" spans="1:15" x14ac:dyDescent="0.25">
      <c r="A727" s="2" t="s">
        <v>1206</v>
      </c>
      <c r="B727" s="5" t="s">
        <v>175</v>
      </c>
      <c r="C727" s="2" t="s">
        <v>174</v>
      </c>
      <c r="E727" s="367" t="s">
        <v>1073</v>
      </c>
      <c r="F727" s="359">
        <f>opex_det!BB$181</f>
        <v>2.0552999999999999E-4</v>
      </c>
      <c r="G727" s="458">
        <f>labcap_sources!$F$130</f>
        <v>1</v>
      </c>
      <c r="H727" s="369">
        <f t="shared" si="426"/>
        <v>2.0552999999999999E-4</v>
      </c>
      <c r="I727" s="357"/>
      <c r="J727" s="458">
        <f>labcap_sources!$G$130</f>
        <v>1.1538461538461537</v>
      </c>
      <c r="K727" s="369">
        <f t="shared" si="427"/>
        <v>2.3714999999999996E-4</v>
      </c>
      <c r="L727" s="360"/>
      <c r="M727" s="458">
        <f>labcap_sources!$H$130</f>
        <v>1.4615384615384615</v>
      </c>
      <c r="N727" s="369">
        <f t="shared" si="429"/>
        <v>3.0038999999999999E-4</v>
      </c>
      <c r="O727" s="360"/>
    </row>
    <row r="728" spans="1:15" x14ac:dyDescent="0.25">
      <c r="A728" s="2" t="s">
        <v>1206</v>
      </c>
      <c r="B728" s="5" t="s">
        <v>177</v>
      </c>
      <c r="C728" s="2" t="s">
        <v>176</v>
      </c>
      <c r="E728" s="241" t="s">
        <v>372</v>
      </c>
      <c r="F728" s="362">
        <f>opex_det!BC$169</f>
        <v>4.5111739999999997E-3</v>
      </c>
      <c r="G728" s="458">
        <f>labcap_sources!$F$131*labcap_sources!$F$128</f>
        <v>1</v>
      </c>
      <c r="H728" s="362">
        <f t="shared" si="426"/>
        <v>4.5111739999999997E-3</v>
      </c>
      <c r="I728" s="368">
        <f>H728/H732*$F732</f>
        <v>4.5111739999999997E-3</v>
      </c>
      <c r="J728" s="458">
        <f>labcap_sources!$G$131*labcap_sources!$G$128</f>
        <v>0.73888888888888893</v>
      </c>
      <c r="K728" s="362">
        <f>$H728*J728</f>
        <v>3.3332563444444445E-3</v>
      </c>
      <c r="L728" s="368">
        <f>K728/K732*$F732</f>
        <v>3.2901309106018232E-3</v>
      </c>
      <c r="M728" s="458">
        <f>labcap_sources!$H$131*labcap_sources!$H$128</f>
        <v>0.53333333333333333</v>
      </c>
      <c r="N728" s="362">
        <f>$H728*M728</f>
        <v>2.4059594666666663E-3</v>
      </c>
      <c r="O728" s="368">
        <f>N728/N732*$F732</f>
        <v>2.3709328385672634E-3</v>
      </c>
    </row>
    <row r="729" spans="1:15" x14ac:dyDescent="0.25">
      <c r="A729" s="2" t="s">
        <v>1206</v>
      </c>
      <c r="B729" s="5" t="s">
        <v>177</v>
      </c>
      <c r="C729" s="2" t="s">
        <v>176</v>
      </c>
      <c r="E729" s="241" t="s">
        <v>373</v>
      </c>
      <c r="F729" s="362">
        <f>opex_det!BC$170</f>
        <v>5.3032758999999999E-2</v>
      </c>
      <c r="G729" s="458">
        <f>labcap_sources!$F$131*labcap_sources!$F$129</f>
        <v>1</v>
      </c>
      <c r="H729" s="362">
        <f t="shared" si="426"/>
        <v>5.3032758999999999E-2</v>
      </c>
      <c r="I729" s="368">
        <f>H729/H732*$F732</f>
        <v>5.3032758999999999E-2</v>
      </c>
      <c r="J729" s="458">
        <f>labcap_sources!$G$131*labcap_sources!$G$129</f>
        <v>0.92076923076923067</v>
      </c>
      <c r="K729" s="362">
        <f t="shared" ref="K729:K731" si="430">$H729*J729</f>
        <v>4.8830932709999997E-2</v>
      </c>
      <c r="L729" s="368">
        <f>K729/K732*$F732</f>
        <v>4.8199161570775008E-2</v>
      </c>
      <c r="M729" s="458">
        <f>labcap_sources!$H$131*labcap_sources!$H$129</f>
        <v>0.68923076923076931</v>
      </c>
      <c r="N729" s="362">
        <f t="shared" ref="N729:N731" si="431">$H729*M729</f>
        <v>3.6551809280000007E-2</v>
      </c>
      <c r="O729" s="368">
        <f>N729/N732*$F732</f>
        <v>3.6019677858939683E-2</v>
      </c>
    </row>
    <row r="730" spans="1:15" x14ac:dyDescent="0.25">
      <c r="A730" s="2" t="s">
        <v>1206</v>
      </c>
      <c r="B730" s="5" t="s">
        <v>177</v>
      </c>
      <c r="C730" s="2" t="s">
        <v>176</v>
      </c>
      <c r="E730" s="241" t="s">
        <v>374</v>
      </c>
      <c r="F730" s="362">
        <f>opex_det!BC$171</f>
        <v>4.3280107999999998E-2</v>
      </c>
      <c r="G730" s="458">
        <f>labcap_sources!$F$131*labcap_sources!$F$130</f>
        <v>1</v>
      </c>
      <c r="H730" s="362">
        <f t="shared" si="426"/>
        <v>4.3280107999999998E-2</v>
      </c>
      <c r="I730" s="368">
        <f>H730/H732*$F732</f>
        <v>4.3280107999999998E-2</v>
      </c>
      <c r="J730" s="458">
        <f>labcap_sources!$G$131*labcap_sources!$G$130</f>
        <v>1.096153846153846</v>
      </c>
      <c r="K730" s="362">
        <f t="shared" si="430"/>
        <v>4.744165684615384E-2</v>
      </c>
      <c r="L730" s="368">
        <f>K730/K732*$F732</f>
        <v>4.6827860059383108E-2</v>
      </c>
      <c r="M730" s="458">
        <f>labcap_sources!$H$131*labcap_sources!$H$130</f>
        <v>1.1692307692307693</v>
      </c>
      <c r="N730" s="362">
        <f t="shared" si="431"/>
        <v>5.0604433969230769E-2</v>
      </c>
      <c r="O730" s="368">
        <f>N730/N732*$F732</f>
        <v>4.986772052356464E-2</v>
      </c>
    </row>
    <row r="731" spans="1:15" x14ac:dyDescent="0.25">
      <c r="A731" s="2" t="s">
        <v>1206</v>
      </c>
      <c r="B731" s="5" t="s">
        <v>177</v>
      </c>
      <c r="C731" s="2" t="s">
        <v>176</v>
      </c>
      <c r="E731" s="240" t="s">
        <v>375</v>
      </c>
      <c r="F731" s="362">
        <f>opex_det!BC$172</f>
        <v>6.8841863000000003E-2</v>
      </c>
      <c r="G731" s="458">
        <f>labcap_sources!$F$132</f>
        <v>1</v>
      </c>
      <c r="H731" s="362">
        <f t="shared" si="426"/>
        <v>6.8841863000000003E-2</v>
      </c>
      <c r="I731" s="368">
        <f>H731/H732*$F732</f>
        <v>6.8841863000000003E-2</v>
      </c>
      <c r="J731" s="458">
        <f>labcap_sources!$G$132</f>
        <v>1.05</v>
      </c>
      <c r="K731" s="362">
        <f t="shared" si="430"/>
        <v>7.2283956150000009E-2</v>
      </c>
      <c r="L731" s="368">
        <f>K731/K732*$F732</f>
        <v>7.1348751459240078E-2</v>
      </c>
      <c r="M731" s="458">
        <f>labcap_sources!$H$132</f>
        <v>1.2</v>
      </c>
      <c r="N731" s="362">
        <f t="shared" si="431"/>
        <v>8.2610235599999998E-2</v>
      </c>
      <c r="O731" s="368">
        <f>N731/N732*$F732</f>
        <v>8.1407572778928391E-2</v>
      </c>
    </row>
    <row r="732" spans="1:15" x14ac:dyDescent="0.25">
      <c r="A732" s="2" t="s">
        <v>1206</v>
      </c>
      <c r="B732" s="5" t="s">
        <v>177</v>
      </c>
      <c r="C732" s="2" t="s">
        <v>176</v>
      </c>
      <c r="E732" s="19" t="s">
        <v>1077</v>
      </c>
      <c r="F732" s="363">
        <f>SUM(F728:F731)</f>
        <v>0.16966590400000001</v>
      </c>
      <c r="G732" s="458"/>
      <c r="H732" s="363">
        <f>SUM(H728:H731)</f>
        <v>0.16966590400000001</v>
      </c>
      <c r="I732" s="363">
        <f>SUM(I728:I731)</f>
        <v>0.16966590400000001</v>
      </c>
      <c r="J732" s="458"/>
      <c r="K732" s="363">
        <f>SUM(K728:K731)</f>
        <v>0.17188980205059828</v>
      </c>
      <c r="L732" s="363">
        <f>SUM(L728:L731)</f>
        <v>0.16966590400000003</v>
      </c>
      <c r="M732" s="458"/>
      <c r="N732" s="363">
        <f>SUM(N728:N731)</f>
        <v>0.17217243831589746</v>
      </c>
      <c r="O732" s="363">
        <f>SUM(O728:O731)</f>
        <v>0.16966590399999998</v>
      </c>
    </row>
    <row r="733" spans="1:15" x14ac:dyDescent="0.25">
      <c r="A733" s="2" t="s">
        <v>1206</v>
      </c>
      <c r="B733" s="5" t="s">
        <v>177</v>
      </c>
      <c r="C733" s="2" t="s">
        <v>176</v>
      </c>
      <c r="E733" s="367" t="s">
        <v>1068</v>
      </c>
      <c r="F733" s="359">
        <f>opex_det!BC$176</f>
        <v>3.0676400000000001E-4</v>
      </c>
      <c r="G733" s="458">
        <f>labcap_sources!$F$128</f>
        <v>1</v>
      </c>
      <c r="H733" s="369">
        <f t="shared" ref="H733:H742" si="432">$F733*G733</f>
        <v>3.0676400000000001E-4</v>
      </c>
      <c r="I733" s="357"/>
      <c r="J733" s="458">
        <f>labcap_sources!$G$128</f>
        <v>0.7777777777777779</v>
      </c>
      <c r="K733" s="369">
        <f>$H733*J733</f>
        <v>2.3859422222222227E-4</v>
      </c>
      <c r="L733" s="360"/>
      <c r="M733" s="458">
        <f>labcap_sources!$H$128</f>
        <v>0.66666666666666663</v>
      </c>
      <c r="N733" s="369">
        <f>$H733*M733</f>
        <v>2.0450933333333334E-4</v>
      </c>
      <c r="O733" s="360"/>
    </row>
    <row r="734" spans="1:15" x14ac:dyDescent="0.25">
      <c r="A734" s="2" t="s">
        <v>1206</v>
      </c>
      <c r="B734" s="5" t="s">
        <v>177</v>
      </c>
      <c r="C734" s="2" t="s">
        <v>176</v>
      </c>
      <c r="E734" s="367" t="s">
        <v>1069</v>
      </c>
      <c r="F734" s="359">
        <f>opex_det!BC$177</f>
        <v>1.7140999999999999E-4</v>
      </c>
      <c r="G734" s="458">
        <f>labcap_sources!$F$128</f>
        <v>1</v>
      </c>
      <c r="H734" s="369">
        <f t="shared" si="432"/>
        <v>1.7140999999999999E-4</v>
      </c>
      <c r="I734" s="357"/>
      <c r="J734" s="458">
        <f>labcap_sources!$G$128</f>
        <v>0.7777777777777779</v>
      </c>
      <c r="K734" s="369">
        <f t="shared" ref="K734:K738" si="433">$H734*J734</f>
        <v>1.333188888888889E-4</v>
      </c>
      <c r="L734" s="360"/>
      <c r="M734" s="458">
        <f>labcap_sources!$H$128</f>
        <v>0.66666666666666663</v>
      </c>
      <c r="N734" s="369">
        <f t="shared" ref="N734" si="434">$H734*M734</f>
        <v>1.1427333333333332E-4</v>
      </c>
      <c r="O734" s="360"/>
    </row>
    <row r="735" spans="1:15" x14ac:dyDescent="0.25">
      <c r="A735" s="2" t="s">
        <v>1206</v>
      </c>
      <c r="B735" s="5" t="s">
        <v>177</v>
      </c>
      <c r="C735" s="2" t="s">
        <v>176</v>
      </c>
      <c r="E735" s="367" t="s">
        <v>1070</v>
      </c>
      <c r="F735" s="359">
        <f>opex_det!BC$178</f>
        <v>3.9594139999999996E-3</v>
      </c>
      <c r="G735" s="458">
        <f>labcap_sources!$F$129</f>
        <v>1</v>
      </c>
      <c r="H735" s="369">
        <f t="shared" si="432"/>
        <v>3.9594139999999996E-3</v>
      </c>
      <c r="I735" s="357"/>
      <c r="J735" s="458">
        <f>labcap_sources!$G$129</f>
        <v>0.96923076923076923</v>
      </c>
      <c r="K735" s="369">
        <f t="shared" si="433"/>
        <v>3.8375858769230764E-3</v>
      </c>
      <c r="L735" s="360"/>
      <c r="M735" s="458">
        <f>labcap_sources!$H$129</f>
        <v>0.86153846153846159</v>
      </c>
      <c r="N735" s="369">
        <f>$H735*M735</f>
        <v>3.4111874461538461E-3</v>
      </c>
      <c r="O735" s="360"/>
    </row>
    <row r="736" spans="1:15" x14ac:dyDescent="0.25">
      <c r="A736" s="2" t="s">
        <v>1206</v>
      </c>
      <c r="B736" s="5" t="s">
        <v>177</v>
      </c>
      <c r="C736" s="2" t="s">
        <v>176</v>
      </c>
      <c r="E736" s="367" t="s">
        <v>1071</v>
      </c>
      <c r="F736" s="359">
        <f>opex_det!BC$179</f>
        <v>7.1427999999999997E-4</v>
      </c>
      <c r="G736" s="458">
        <f>labcap_sources!$F$129</f>
        <v>1</v>
      </c>
      <c r="H736" s="369">
        <f t="shared" si="432"/>
        <v>7.1427999999999997E-4</v>
      </c>
      <c r="I736" s="357"/>
      <c r="J736" s="458">
        <f>labcap_sources!$G$129</f>
        <v>0.96923076923076923</v>
      </c>
      <c r="K736" s="369">
        <f t="shared" si="433"/>
        <v>6.9230215384615381E-4</v>
      </c>
      <c r="L736" s="360"/>
      <c r="M736" s="458">
        <f>labcap_sources!$H$129</f>
        <v>0.86153846153846159</v>
      </c>
      <c r="N736" s="369">
        <f t="shared" ref="N736:N738" si="435">$H736*M736</f>
        <v>6.1537969230769228E-4</v>
      </c>
      <c r="O736" s="360"/>
    </row>
    <row r="737" spans="1:15" x14ac:dyDescent="0.25">
      <c r="A737" s="2" t="s">
        <v>1206</v>
      </c>
      <c r="B737" s="5" t="s">
        <v>177</v>
      </c>
      <c r="C737" s="2" t="s">
        <v>176</v>
      </c>
      <c r="E737" s="367" t="s">
        <v>1072</v>
      </c>
      <c r="F737" s="359">
        <f>opex_det!BC$180</f>
        <v>1.5709210000000001E-3</v>
      </c>
      <c r="G737" s="458">
        <f>labcap_sources!$F$130</f>
        <v>1</v>
      </c>
      <c r="H737" s="369">
        <f t="shared" si="432"/>
        <v>1.5709210000000001E-3</v>
      </c>
      <c r="I737" s="357"/>
      <c r="J737" s="458">
        <f>labcap_sources!$G$130</f>
        <v>1.1538461538461537</v>
      </c>
      <c r="K737" s="369">
        <f t="shared" si="433"/>
        <v>1.8126011538461538E-3</v>
      </c>
      <c r="L737" s="360"/>
      <c r="M737" s="458">
        <f>labcap_sources!$H$130</f>
        <v>1.4615384615384615</v>
      </c>
      <c r="N737" s="369">
        <f t="shared" si="435"/>
        <v>2.2959614615384615E-3</v>
      </c>
      <c r="O737" s="360"/>
    </row>
    <row r="738" spans="1:15" x14ac:dyDescent="0.25">
      <c r="A738" s="2" t="s">
        <v>1206</v>
      </c>
      <c r="B738" s="5" t="s">
        <v>177</v>
      </c>
      <c r="C738" s="2" t="s">
        <v>176</v>
      </c>
      <c r="E738" s="367" t="s">
        <v>1073</v>
      </c>
      <c r="F738" s="359">
        <f>opex_det!BC$181</f>
        <v>2.3750600000000001E-4</v>
      </c>
      <c r="G738" s="458">
        <f>labcap_sources!$F$130</f>
        <v>1</v>
      </c>
      <c r="H738" s="369">
        <f t="shared" si="432"/>
        <v>2.3750600000000001E-4</v>
      </c>
      <c r="I738" s="357"/>
      <c r="J738" s="458">
        <f>labcap_sources!$G$130</f>
        <v>1.1538461538461537</v>
      </c>
      <c r="K738" s="369">
        <f t="shared" si="433"/>
        <v>2.7404538461538462E-4</v>
      </c>
      <c r="L738" s="360"/>
      <c r="M738" s="458">
        <f>labcap_sources!$H$130</f>
        <v>1.4615384615384615</v>
      </c>
      <c r="N738" s="369">
        <f t="shared" si="435"/>
        <v>3.4712415384615384E-4</v>
      </c>
      <c r="O738" s="360"/>
    </row>
    <row r="739" spans="1:15" x14ac:dyDescent="0.25">
      <c r="A739" s="2" t="s">
        <v>1206</v>
      </c>
      <c r="B739" s="5" t="s">
        <v>179</v>
      </c>
      <c r="C739" s="2" t="s">
        <v>178</v>
      </c>
      <c r="E739" s="241" t="s">
        <v>372</v>
      </c>
      <c r="F739" s="362">
        <f>opex_det!BD$169</f>
        <v>4.5659089999999999E-3</v>
      </c>
      <c r="G739" s="458">
        <f>labcap_sources!$F$131*labcap_sources!$F$128</f>
        <v>1</v>
      </c>
      <c r="H739" s="362">
        <f t="shared" si="432"/>
        <v>4.5659089999999999E-3</v>
      </c>
      <c r="I739" s="368">
        <f>H739/H743*$F743</f>
        <v>4.5659089999999999E-3</v>
      </c>
      <c r="J739" s="458">
        <f>labcap_sources!$G$131*labcap_sources!$G$128</f>
        <v>0.73888888888888893</v>
      </c>
      <c r="K739" s="362">
        <f>$H739*J739</f>
        <v>3.373699427777778E-3</v>
      </c>
      <c r="L739" s="368">
        <f>K739/K743*$F743</f>
        <v>3.3306520685250037E-3</v>
      </c>
      <c r="M739" s="458">
        <f>labcap_sources!$H$131*labcap_sources!$H$128</f>
        <v>0.53333333333333333</v>
      </c>
      <c r="N739" s="362">
        <f>$H739*M739</f>
        <v>2.4351514666666667E-3</v>
      </c>
      <c r="O739" s="368">
        <f>N739/N743*$F743</f>
        <v>2.4018734607823855E-3</v>
      </c>
    </row>
    <row r="740" spans="1:15" x14ac:dyDescent="0.25">
      <c r="A740" s="2" t="s">
        <v>1206</v>
      </c>
      <c r="B740" s="5" t="s">
        <v>179</v>
      </c>
      <c r="C740" s="2" t="s">
        <v>178</v>
      </c>
      <c r="E740" s="241" t="s">
        <v>373</v>
      </c>
      <c r="F740" s="362">
        <f>opex_det!BD$170</f>
        <v>5.3676214999999999E-2</v>
      </c>
      <c r="G740" s="458">
        <f>labcap_sources!$F$131*labcap_sources!$F$129</f>
        <v>1</v>
      </c>
      <c r="H740" s="362">
        <f t="shared" si="432"/>
        <v>5.3676214999999999E-2</v>
      </c>
      <c r="I740" s="368">
        <f>H740/H743*$F743</f>
        <v>5.3676214999999999E-2</v>
      </c>
      <c r="J740" s="458">
        <f>labcap_sources!$G$131*labcap_sources!$G$129</f>
        <v>0.92076923076923067</v>
      </c>
      <c r="K740" s="362">
        <f t="shared" ref="K740:K742" si="436">$H740*J740</f>
        <v>4.9423407196153839E-2</v>
      </c>
      <c r="L740" s="368">
        <f>K740/K743*$F743</f>
        <v>4.8792779835710419E-2</v>
      </c>
      <c r="M740" s="458">
        <f>labcap_sources!$H$131*labcap_sources!$H$129</f>
        <v>0.68923076923076931</v>
      </c>
      <c r="N740" s="362">
        <f t="shared" ref="N740:N742" si="437">$H740*M740</f>
        <v>3.6995298953846158E-2</v>
      </c>
      <c r="O740" s="368">
        <f>N740/N743*$F743</f>
        <v>3.6489732958001939E-2</v>
      </c>
    </row>
    <row r="741" spans="1:15" x14ac:dyDescent="0.25">
      <c r="A741" s="2" t="s">
        <v>1206</v>
      </c>
      <c r="B741" s="5" t="s">
        <v>179</v>
      </c>
      <c r="C741" s="2" t="s">
        <v>178</v>
      </c>
      <c r="E741" s="241" t="s">
        <v>374</v>
      </c>
      <c r="F741" s="362">
        <f>opex_det!BD$171</f>
        <v>4.3805232999999999E-2</v>
      </c>
      <c r="G741" s="458">
        <f>labcap_sources!$F$131*labcap_sources!$F$130</f>
        <v>1</v>
      </c>
      <c r="H741" s="362">
        <f t="shared" si="432"/>
        <v>4.3805232999999999E-2</v>
      </c>
      <c r="I741" s="368">
        <f>H741/H743*$F743</f>
        <v>4.3805232999999992E-2</v>
      </c>
      <c r="J741" s="458">
        <f>labcap_sources!$G$131*labcap_sources!$G$130</f>
        <v>1.096153846153846</v>
      </c>
      <c r="K741" s="362">
        <f t="shared" si="436"/>
        <v>4.801727463461538E-2</v>
      </c>
      <c r="L741" s="368">
        <f>K741/K743*$F743</f>
        <v>4.7404589089923295E-2</v>
      </c>
      <c r="M741" s="458">
        <f>labcap_sources!$H$131*labcap_sources!$H$130</f>
        <v>1.1692307692307693</v>
      </c>
      <c r="N741" s="362">
        <f t="shared" si="437"/>
        <v>5.1218426276923079E-2</v>
      </c>
      <c r="O741" s="368">
        <f>N741/N743*$F743</f>
        <v>5.0518491544173094E-2</v>
      </c>
    </row>
    <row r="742" spans="1:15" x14ac:dyDescent="0.25">
      <c r="A742" s="2" t="s">
        <v>1206</v>
      </c>
      <c r="B742" s="5" t="s">
        <v>179</v>
      </c>
      <c r="C742" s="2" t="s">
        <v>178</v>
      </c>
      <c r="E742" s="240" t="s">
        <v>375</v>
      </c>
      <c r="F742" s="362">
        <f>opex_det!BD$172</f>
        <v>6.8829944000000004E-2</v>
      </c>
      <c r="G742" s="458">
        <f>labcap_sources!$F$132</f>
        <v>1</v>
      </c>
      <c r="H742" s="362">
        <f t="shared" si="432"/>
        <v>6.8829944000000004E-2</v>
      </c>
      <c r="I742" s="368">
        <f>H742/H743*$F743</f>
        <v>6.8829944000000004E-2</v>
      </c>
      <c r="J742" s="458">
        <f>labcap_sources!$G$132</f>
        <v>1.05</v>
      </c>
      <c r="K742" s="362">
        <f t="shared" si="436"/>
        <v>7.2271441200000008E-2</v>
      </c>
      <c r="L742" s="368">
        <f>K742/K743*$F743</f>
        <v>7.1349280005841287E-2</v>
      </c>
      <c r="M742" s="458">
        <f>labcap_sources!$H$132</f>
        <v>1.2</v>
      </c>
      <c r="N742" s="362">
        <f t="shared" si="437"/>
        <v>8.2595932800000008E-2</v>
      </c>
      <c r="O742" s="368">
        <f>N742/N743*$F743</f>
        <v>8.1467203037042579E-2</v>
      </c>
    </row>
    <row r="743" spans="1:15" x14ac:dyDescent="0.25">
      <c r="A743" s="2" t="s">
        <v>1206</v>
      </c>
      <c r="B743" s="5" t="s">
        <v>179</v>
      </c>
      <c r="C743" s="2" t="s">
        <v>178</v>
      </c>
      <c r="E743" s="19" t="s">
        <v>1077</v>
      </c>
      <c r="F743" s="363">
        <f>SUM(F739:F742)</f>
        <v>0.17087730100000001</v>
      </c>
      <c r="G743" s="458"/>
      <c r="H743" s="363">
        <f>SUM(H739:H742)</f>
        <v>0.17087730100000001</v>
      </c>
      <c r="I743" s="363">
        <f>SUM(I739:I742)</f>
        <v>0.17087730099999998</v>
      </c>
      <c r="J743" s="458"/>
      <c r="K743" s="363">
        <f>SUM(K739:K742)</f>
        <v>0.17308582245854701</v>
      </c>
      <c r="L743" s="363">
        <f>SUM(L739:L742)</f>
        <v>0.17087730100000001</v>
      </c>
      <c r="M743" s="458"/>
      <c r="N743" s="363">
        <f>SUM(N739:N742)</f>
        <v>0.17324480949743593</v>
      </c>
      <c r="O743" s="363">
        <f>SUM(O739:O742)</f>
        <v>0.17087730099999998</v>
      </c>
    </row>
    <row r="744" spans="1:15" x14ac:dyDescent="0.25">
      <c r="A744" s="2" t="s">
        <v>1206</v>
      </c>
      <c r="B744" s="5" t="s">
        <v>179</v>
      </c>
      <c r="C744" s="2" t="s">
        <v>178</v>
      </c>
      <c r="E744" s="367" t="s">
        <v>1068</v>
      </c>
      <c r="F744" s="359">
        <f>opex_det!BD$176</f>
        <v>3.2168000000000002E-4</v>
      </c>
      <c r="G744" s="458">
        <f>labcap_sources!$F$128</f>
        <v>1</v>
      </c>
      <c r="H744" s="369">
        <f t="shared" ref="H744:H753" si="438">$F744*G744</f>
        <v>3.2168000000000002E-4</v>
      </c>
      <c r="I744" s="357"/>
      <c r="J744" s="458">
        <f>labcap_sources!$G$128</f>
        <v>0.7777777777777779</v>
      </c>
      <c r="K744" s="369">
        <f>$H744*J744</f>
        <v>2.5019555555555559E-4</v>
      </c>
      <c r="L744" s="360"/>
      <c r="M744" s="458">
        <f>labcap_sources!$H$128</f>
        <v>0.66666666666666663</v>
      </c>
      <c r="N744" s="369">
        <f>$H744*M744</f>
        <v>2.1445333333333335E-4</v>
      </c>
      <c r="O744" s="360"/>
    </row>
    <row r="745" spans="1:15" x14ac:dyDescent="0.25">
      <c r="A745" s="2" t="s">
        <v>1206</v>
      </c>
      <c r="B745" s="5" t="s">
        <v>179</v>
      </c>
      <c r="C745" s="2" t="s">
        <v>178</v>
      </c>
      <c r="E745" s="367" t="s">
        <v>1069</v>
      </c>
      <c r="F745" s="359">
        <f>opex_det!BD$177</f>
        <v>1.7818399999999999E-4</v>
      </c>
      <c r="G745" s="458">
        <f>labcap_sources!$F$128</f>
        <v>1</v>
      </c>
      <c r="H745" s="369">
        <f t="shared" si="438"/>
        <v>1.7818399999999999E-4</v>
      </c>
      <c r="I745" s="357"/>
      <c r="J745" s="458">
        <f>labcap_sources!$G$128</f>
        <v>0.7777777777777779</v>
      </c>
      <c r="K745" s="369">
        <f t="shared" ref="K745:K749" si="439">$H745*J745</f>
        <v>1.3858755555555557E-4</v>
      </c>
      <c r="L745" s="360"/>
      <c r="M745" s="458">
        <f>labcap_sources!$H$128</f>
        <v>0.66666666666666663</v>
      </c>
      <c r="N745" s="369">
        <f t="shared" ref="N745" si="440">$H745*M745</f>
        <v>1.1878933333333332E-4</v>
      </c>
      <c r="O745" s="360"/>
    </row>
    <row r="746" spans="1:15" x14ac:dyDescent="0.25">
      <c r="A746" s="2" t="s">
        <v>1206</v>
      </c>
      <c r="B746" s="5" t="s">
        <v>179</v>
      </c>
      <c r="C746" s="2" t="s">
        <v>178</v>
      </c>
      <c r="E746" s="367" t="s">
        <v>1070</v>
      </c>
      <c r="F746" s="359">
        <f>opex_det!BD$178</f>
        <v>4.1133589999999996E-3</v>
      </c>
      <c r="G746" s="458">
        <f>labcap_sources!$F$129</f>
        <v>1</v>
      </c>
      <c r="H746" s="369">
        <f t="shared" si="438"/>
        <v>4.1133589999999996E-3</v>
      </c>
      <c r="I746" s="357"/>
      <c r="J746" s="458">
        <f>labcap_sources!$G$129</f>
        <v>0.96923076923076923</v>
      </c>
      <c r="K746" s="369">
        <f t="shared" si="439"/>
        <v>3.9867941076923074E-3</v>
      </c>
      <c r="L746" s="360"/>
      <c r="M746" s="458">
        <f>labcap_sources!$H$129</f>
        <v>0.86153846153846159</v>
      </c>
      <c r="N746" s="369">
        <f>$H746*M746</f>
        <v>3.5438169846153844E-3</v>
      </c>
      <c r="O746" s="360"/>
    </row>
    <row r="747" spans="1:15" x14ac:dyDescent="0.25">
      <c r="A747" s="2" t="s">
        <v>1206</v>
      </c>
      <c r="B747" s="5" t="s">
        <v>179</v>
      </c>
      <c r="C747" s="2" t="s">
        <v>178</v>
      </c>
      <c r="E747" s="367" t="s">
        <v>1071</v>
      </c>
      <c r="F747" s="359">
        <f>opex_det!BD$179</f>
        <v>7.42507E-4</v>
      </c>
      <c r="G747" s="458">
        <f>labcap_sources!$F$129</f>
        <v>1</v>
      </c>
      <c r="H747" s="369">
        <f t="shared" si="438"/>
        <v>7.42507E-4</v>
      </c>
      <c r="I747" s="357"/>
      <c r="J747" s="458">
        <f>labcap_sources!$G$129</f>
        <v>0.96923076923076923</v>
      </c>
      <c r="K747" s="369">
        <f t="shared" si="439"/>
        <v>7.196606307692308E-4</v>
      </c>
      <c r="L747" s="360"/>
      <c r="M747" s="458">
        <f>labcap_sources!$H$129</f>
        <v>0.86153846153846159</v>
      </c>
      <c r="N747" s="369">
        <f t="shared" ref="N747:N749" si="441">$H747*M747</f>
        <v>6.3969833846153849E-4</v>
      </c>
      <c r="O747" s="360"/>
    </row>
    <row r="748" spans="1:15" x14ac:dyDescent="0.25">
      <c r="A748" s="2" t="s">
        <v>1206</v>
      </c>
      <c r="B748" s="5" t="s">
        <v>179</v>
      </c>
      <c r="C748" s="2" t="s">
        <v>178</v>
      </c>
      <c r="E748" s="367" t="s">
        <v>1072</v>
      </c>
      <c r="F748" s="359">
        <f>opex_det!BD$180</f>
        <v>1.6458989999999999E-3</v>
      </c>
      <c r="G748" s="458">
        <f>labcap_sources!$F$130</f>
        <v>1</v>
      </c>
      <c r="H748" s="369">
        <f t="shared" si="438"/>
        <v>1.6458989999999999E-3</v>
      </c>
      <c r="I748" s="357"/>
      <c r="J748" s="458">
        <f>labcap_sources!$G$130</f>
        <v>1.1538461538461537</v>
      </c>
      <c r="K748" s="369">
        <f t="shared" si="439"/>
        <v>1.8991142307692305E-3</v>
      </c>
      <c r="L748" s="360"/>
      <c r="M748" s="458">
        <f>labcap_sources!$H$130</f>
        <v>1.4615384615384615</v>
      </c>
      <c r="N748" s="369">
        <f t="shared" si="441"/>
        <v>2.405544692307692E-3</v>
      </c>
      <c r="O748" s="360"/>
    </row>
    <row r="749" spans="1:15" x14ac:dyDescent="0.25">
      <c r="A749" s="2" t="s">
        <v>1206</v>
      </c>
      <c r="B749" s="5" t="s">
        <v>179</v>
      </c>
      <c r="C749" s="2" t="s">
        <v>178</v>
      </c>
      <c r="E749" s="367" t="s">
        <v>1073</v>
      </c>
      <c r="F749" s="359">
        <f>opex_det!BD$181</f>
        <v>2.5035900000000002E-4</v>
      </c>
      <c r="G749" s="458">
        <f>labcap_sources!$F$130</f>
        <v>1</v>
      </c>
      <c r="H749" s="369">
        <f t="shared" si="438"/>
        <v>2.5035900000000002E-4</v>
      </c>
      <c r="I749" s="357"/>
      <c r="J749" s="458">
        <f>labcap_sources!$G$130</f>
        <v>1.1538461538461537</v>
      </c>
      <c r="K749" s="369">
        <f t="shared" si="439"/>
        <v>2.8887576923076921E-4</v>
      </c>
      <c r="L749" s="360"/>
      <c r="M749" s="458">
        <f>labcap_sources!$H$130</f>
        <v>1.4615384615384615</v>
      </c>
      <c r="N749" s="369">
        <f t="shared" si="441"/>
        <v>3.659093076923077E-4</v>
      </c>
      <c r="O749" s="360"/>
    </row>
    <row r="750" spans="1:15" x14ac:dyDescent="0.25">
      <c r="A750" s="2" t="s">
        <v>1206</v>
      </c>
      <c r="B750" s="5" t="s">
        <v>181</v>
      </c>
      <c r="C750" s="2" t="s">
        <v>180</v>
      </c>
      <c r="E750" s="241" t="s">
        <v>372</v>
      </c>
      <c r="F750" s="362">
        <f>opex_det!BE$169</f>
        <v>4.5246119999999999E-3</v>
      </c>
      <c r="G750" s="458">
        <f>labcap_sources!$F$131*labcap_sources!$F$128</f>
        <v>1</v>
      </c>
      <c r="H750" s="362">
        <f t="shared" si="438"/>
        <v>4.5246119999999999E-3</v>
      </c>
      <c r="I750" s="368">
        <f>H750/H754*$F754</f>
        <v>4.5246119999999999E-3</v>
      </c>
      <c r="J750" s="458">
        <f>labcap_sources!$G$131*labcap_sources!$G$128</f>
        <v>0.73888888888888893</v>
      </c>
      <c r="K750" s="362">
        <f>$H750*J750</f>
        <v>3.3431855333333335E-3</v>
      </c>
      <c r="L750" s="368">
        <f>K750/K754*$F754</f>
        <v>3.3208397563950528E-3</v>
      </c>
      <c r="M750" s="458">
        <f>labcap_sources!$H$131*labcap_sources!$H$128</f>
        <v>0.53333333333333333</v>
      </c>
      <c r="N750" s="362">
        <f>$H750*M750</f>
        <v>2.4131263999999999E-3</v>
      </c>
      <c r="O750" s="368">
        <f>N750/N754*$F754</f>
        <v>2.4554874190776963E-3</v>
      </c>
    </row>
    <row r="751" spans="1:15" x14ac:dyDescent="0.25">
      <c r="A751" s="2" t="s">
        <v>1206</v>
      </c>
      <c r="B751" s="5" t="s">
        <v>181</v>
      </c>
      <c r="C751" s="2" t="s">
        <v>180</v>
      </c>
      <c r="E751" s="241" t="s">
        <v>373</v>
      </c>
      <c r="F751" s="362">
        <f>opex_det!BE$170</f>
        <v>5.3190732999999997E-2</v>
      </c>
      <c r="G751" s="458">
        <f>labcap_sources!$F$131*labcap_sources!$F$129</f>
        <v>1</v>
      </c>
      <c r="H751" s="362">
        <f t="shared" si="438"/>
        <v>5.3190732999999997E-2</v>
      </c>
      <c r="I751" s="368">
        <f>H751/H754*$F754</f>
        <v>5.3190732999999997E-2</v>
      </c>
      <c r="J751" s="458">
        <f>labcap_sources!$G$131*labcap_sources!$G$129</f>
        <v>0.92076923076923067</v>
      </c>
      <c r="K751" s="362">
        <f t="shared" ref="K751:K753" si="442">$H751*J751</f>
        <v>4.8976390308461529E-2</v>
      </c>
      <c r="L751" s="368">
        <f>K751/K754*$F754</f>
        <v>4.8649033216800551E-2</v>
      </c>
      <c r="M751" s="458">
        <f>labcap_sources!$H$131*labcap_sources!$H$129</f>
        <v>0.68923076923076931</v>
      </c>
      <c r="N751" s="362">
        <f t="shared" ref="N751:N753" si="443">$H751*M751</f>
        <v>3.6660689821538466E-2</v>
      </c>
      <c r="O751" s="368">
        <f>N751/N754*$F754</f>
        <v>3.7304246736307493E-2</v>
      </c>
    </row>
    <row r="752" spans="1:15" x14ac:dyDescent="0.25">
      <c r="A752" s="2" t="s">
        <v>1206</v>
      </c>
      <c r="B752" s="5" t="s">
        <v>181</v>
      </c>
      <c r="C752" s="2" t="s">
        <v>180</v>
      </c>
      <c r="E752" s="241" t="s">
        <v>374</v>
      </c>
      <c r="F752" s="362">
        <f>opex_det!BE$171</f>
        <v>4.3409031000000001E-2</v>
      </c>
      <c r="G752" s="458">
        <f>labcap_sources!$F$131*labcap_sources!$F$130</f>
        <v>1</v>
      </c>
      <c r="H752" s="362">
        <f t="shared" si="438"/>
        <v>4.3409031000000001E-2</v>
      </c>
      <c r="I752" s="368">
        <f>H752/H754*$F754</f>
        <v>4.3409030999999994E-2</v>
      </c>
      <c r="J752" s="458">
        <f>labcap_sources!$G$131*labcap_sources!$G$130</f>
        <v>1.096153846153846</v>
      </c>
      <c r="K752" s="362">
        <f t="shared" si="442"/>
        <v>4.7582976288461531E-2</v>
      </c>
      <c r="L752" s="368">
        <f>K752/K754*$F754</f>
        <v>4.7264932744781406E-2</v>
      </c>
      <c r="M752" s="458">
        <f>labcap_sources!$H$131*labcap_sources!$H$130</f>
        <v>1.1692307692307693</v>
      </c>
      <c r="N752" s="362">
        <f t="shared" si="443"/>
        <v>5.0755174707692315E-2</v>
      </c>
      <c r="O752" s="368">
        <f>N752/N754*$F754</f>
        <v>5.1646152040700798E-2</v>
      </c>
    </row>
    <row r="753" spans="1:15" x14ac:dyDescent="0.25">
      <c r="A753" s="2" t="s">
        <v>1206</v>
      </c>
      <c r="B753" s="5" t="s">
        <v>181</v>
      </c>
      <c r="C753" s="2" t="s">
        <v>180</v>
      </c>
      <c r="E753" s="240" t="s">
        <v>375</v>
      </c>
      <c r="F753" s="362">
        <f>opex_det!BE$172</f>
        <v>4.3962078000000002E-2</v>
      </c>
      <c r="G753" s="458">
        <f>labcap_sources!$F$132</f>
        <v>1</v>
      </c>
      <c r="H753" s="362">
        <f t="shared" si="438"/>
        <v>4.3962078000000002E-2</v>
      </c>
      <c r="I753" s="368">
        <f>H753/H754*$F754</f>
        <v>4.3962078000000009E-2</v>
      </c>
      <c r="J753" s="458">
        <f>labcap_sources!$G$132</f>
        <v>1.05</v>
      </c>
      <c r="K753" s="362">
        <f t="shared" si="442"/>
        <v>4.6160181900000007E-2</v>
      </c>
      <c r="L753" s="368">
        <f>K753/K754*$F754</f>
        <v>4.5851648282022962E-2</v>
      </c>
      <c r="M753" s="458">
        <f>labcap_sources!$H$132</f>
        <v>1.2</v>
      </c>
      <c r="N753" s="362">
        <f t="shared" si="443"/>
        <v>5.2754493600000001E-2</v>
      </c>
      <c r="O753" s="368">
        <f>N753/N754*$F754</f>
        <v>5.3680567803913982E-2</v>
      </c>
    </row>
    <row r="754" spans="1:15" x14ac:dyDescent="0.25">
      <c r="A754" s="2" t="s">
        <v>1206</v>
      </c>
      <c r="B754" s="5" t="s">
        <v>181</v>
      </c>
      <c r="C754" s="2" t="s">
        <v>180</v>
      </c>
      <c r="E754" s="19" t="s">
        <v>1077</v>
      </c>
      <c r="F754" s="363">
        <f>SUM(F750:F753)</f>
        <v>0.14508645399999998</v>
      </c>
      <c r="G754" s="458"/>
      <c r="H754" s="363">
        <f>SUM(H750:H753)</f>
        <v>0.14508645399999998</v>
      </c>
      <c r="I754" s="363">
        <f>SUM(I750:I753)</f>
        <v>0.145086454</v>
      </c>
      <c r="J754" s="458"/>
      <c r="K754" s="363">
        <f>SUM(K750:K753)</f>
        <v>0.14606273403025641</v>
      </c>
      <c r="L754" s="363">
        <f>SUM(L750:L753)</f>
        <v>0.14508645399999998</v>
      </c>
      <c r="M754" s="458"/>
      <c r="N754" s="363">
        <f>SUM(N750:N753)</f>
        <v>0.14258348452923078</v>
      </c>
      <c r="O754" s="363">
        <f>SUM(O750:O753)</f>
        <v>0.14508645399999998</v>
      </c>
    </row>
    <row r="755" spans="1:15" x14ac:dyDescent="0.25">
      <c r="A755" s="2" t="s">
        <v>1206</v>
      </c>
      <c r="B755" s="5" t="s">
        <v>181</v>
      </c>
      <c r="C755" s="2" t="s">
        <v>180</v>
      </c>
      <c r="E755" s="367" t="s">
        <v>1068</v>
      </c>
      <c r="F755" s="359">
        <f>opex_det!BE$176</f>
        <v>3.2230399999999998E-4</v>
      </c>
      <c r="G755" s="458">
        <f>labcap_sources!$F$128</f>
        <v>1</v>
      </c>
      <c r="H755" s="369">
        <f t="shared" ref="H755:H764" si="444">$F755*G755</f>
        <v>3.2230399999999998E-4</v>
      </c>
      <c r="I755" s="357"/>
      <c r="J755" s="458">
        <f>labcap_sources!$G$128</f>
        <v>0.7777777777777779</v>
      </c>
      <c r="K755" s="369">
        <f>$H755*J755</f>
        <v>2.5068088888888891E-4</v>
      </c>
      <c r="L755" s="360"/>
      <c r="M755" s="458">
        <f>labcap_sources!$H$128</f>
        <v>0.66666666666666663</v>
      </c>
      <c r="N755" s="369">
        <f>$H755*M755</f>
        <v>2.1486933333333331E-4</v>
      </c>
      <c r="O755" s="360"/>
    </row>
    <row r="756" spans="1:15" x14ac:dyDescent="0.25">
      <c r="A756" s="2" t="s">
        <v>1206</v>
      </c>
      <c r="B756" s="5" t="s">
        <v>181</v>
      </c>
      <c r="C756" s="2" t="s">
        <v>180</v>
      </c>
      <c r="E756" s="367" t="s">
        <v>1069</v>
      </c>
      <c r="F756" s="359">
        <f>opex_det!BE$177</f>
        <v>1.4368000000000001E-4</v>
      </c>
      <c r="G756" s="458">
        <f>labcap_sources!$F$128</f>
        <v>1</v>
      </c>
      <c r="H756" s="369">
        <f t="shared" si="444"/>
        <v>1.4368000000000001E-4</v>
      </c>
      <c r="I756" s="357"/>
      <c r="J756" s="458">
        <f>labcap_sources!$G$128</f>
        <v>0.7777777777777779</v>
      </c>
      <c r="K756" s="369">
        <f t="shared" ref="K756:K760" si="445">$H756*J756</f>
        <v>1.1175111111111114E-4</v>
      </c>
      <c r="L756" s="360"/>
      <c r="M756" s="458">
        <f>labcap_sources!$H$128</f>
        <v>0.66666666666666663</v>
      </c>
      <c r="N756" s="369">
        <f t="shared" ref="N756" si="446">$H756*M756</f>
        <v>9.5786666666666662E-5</v>
      </c>
      <c r="O756" s="360"/>
    </row>
    <row r="757" spans="1:15" x14ac:dyDescent="0.25">
      <c r="A757" s="2" t="s">
        <v>1206</v>
      </c>
      <c r="B757" s="5" t="s">
        <v>181</v>
      </c>
      <c r="C757" s="2" t="s">
        <v>180</v>
      </c>
      <c r="E757" s="367" t="s">
        <v>1070</v>
      </c>
      <c r="F757" s="359">
        <f>opex_det!BE$178</f>
        <v>2.8758719999999998E-3</v>
      </c>
      <c r="G757" s="458">
        <f>labcap_sources!$F$129</f>
        <v>1</v>
      </c>
      <c r="H757" s="369">
        <f t="shared" si="444"/>
        <v>2.8758719999999998E-3</v>
      </c>
      <c r="I757" s="357"/>
      <c r="J757" s="458">
        <f>labcap_sources!$G$129</f>
        <v>0.96923076923076923</v>
      </c>
      <c r="K757" s="369">
        <f t="shared" si="445"/>
        <v>2.7873836307692307E-3</v>
      </c>
      <c r="L757" s="360"/>
      <c r="M757" s="458">
        <f>labcap_sources!$H$129</f>
        <v>0.86153846153846159</v>
      </c>
      <c r="N757" s="369">
        <f>$H757*M757</f>
        <v>2.4776743384615383E-3</v>
      </c>
      <c r="O757" s="360"/>
    </row>
    <row r="758" spans="1:15" x14ac:dyDescent="0.25">
      <c r="A758" s="2" t="s">
        <v>1206</v>
      </c>
      <c r="B758" s="5" t="s">
        <v>181</v>
      </c>
      <c r="C758" s="2" t="s">
        <v>180</v>
      </c>
      <c r="E758" s="367" t="s">
        <v>1071</v>
      </c>
      <c r="F758" s="359">
        <f>opex_det!BE$179</f>
        <v>5.9872600000000005E-4</v>
      </c>
      <c r="G758" s="458">
        <f>labcap_sources!$F$129</f>
        <v>1</v>
      </c>
      <c r="H758" s="369">
        <f t="shared" si="444"/>
        <v>5.9872600000000005E-4</v>
      </c>
      <c r="I758" s="357"/>
      <c r="J758" s="458">
        <f>labcap_sources!$G$129</f>
        <v>0.96923076923076923</v>
      </c>
      <c r="K758" s="369">
        <f t="shared" si="445"/>
        <v>5.803036615384616E-4</v>
      </c>
      <c r="L758" s="360"/>
      <c r="M758" s="458">
        <f>labcap_sources!$H$129</f>
        <v>0.86153846153846159</v>
      </c>
      <c r="N758" s="369">
        <f t="shared" ref="N758:N760" si="447">$H758*M758</f>
        <v>5.1582547692307701E-4</v>
      </c>
      <c r="O758" s="360"/>
    </row>
    <row r="759" spans="1:15" x14ac:dyDescent="0.25">
      <c r="A759" s="2" t="s">
        <v>1206</v>
      </c>
      <c r="B759" s="5" t="s">
        <v>181</v>
      </c>
      <c r="C759" s="2" t="s">
        <v>180</v>
      </c>
      <c r="E759" s="367" t="s">
        <v>1072</v>
      </c>
      <c r="F759" s="359">
        <f>opex_det!BE$180</f>
        <v>1.189374E-3</v>
      </c>
      <c r="G759" s="458">
        <f>labcap_sources!$F$130</f>
        <v>1</v>
      </c>
      <c r="H759" s="369">
        <f t="shared" si="444"/>
        <v>1.189374E-3</v>
      </c>
      <c r="I759" s="357"/>
      <c r="J759" s="458">
        <f>labcap_sources!$G$130</f>
        <v>1.1538461538461537</v>
      </c>
      <c r="K759" s="369">
        <f t="shared" si="445"/>
        <v>1.3723546153846153E-3</v>
      </c>
      <c r="L759" s="360"/>
      <c r="M759" s="458">
        <f>labcap_sources!$H$130</f>
        <v>1.4615384615384615</v>
      </c>
      <c r="N759" s="369">
        <f t="shared" si="447"/>
        <v>1.738315846153846E-3</v>
      </c>
      <c r="O759" s="360"/>
    </row>
    <row r="760" spans="1:15" x14ac:dyDescent="0.25">
      <c r="A760" s="2" t="s">
        <v>1206</v>
      </c>
      <c r="B760" s="5" t="s">
        <v>181</v>
      </c>
      <c r="C760" s="2" t="s">
        <v>180</v>
      </c>
      <c r="E760" s="367" t="s">
        <v>1073</v>
      </c>
      <c r="F760" s="359">
        <f>opex_det!BE$181</f>
        <v>2.1927599999999999E-4</v>
      </c>
      <c r="G760" s="458">
        <f>labcap_sources!$F$130</f>
        <v>1</v>
      </c>
      <c r="H760" s="369">
        <f t="shared" si="444"/>
        <v>2.1927599999999999E-4</v>
      </c>
      <c r="I760" s="357"/>
      <c r="J760" s="458">
        <f>labcap_sources!$G$130</f>
        <v>1.1538461538461537</v>
      </c>
      <c r="K760" s="369">
        <f t="shared" si="445"/>
        <v>2.5301076923076922E-4</v>
      </c>
      <c r="L760" s="360"/>
      <c r="M760" s="458">
        <f>labcap_sources!$H$130</f>
        <v>1.4615384615384615</v>
      </c>
      <c r="N760" s="369">
        <f t="shared" si="447"/>
        <v>3.2048030769230766E-4</v>
      </c>
      <c r="O760" s="360"/>
    </row>
    <row r="761" spans="1:15" x14ac:dyDescent="0.25">
      <c r="A761" s="2" t="s">
        <v>1206</v>
      </c>
      <c r="B761" s="5" t="s">
        <v>183</v>
      </c>
      <c r="C761" s="2" t="s">
        <v>182</v>
      </c>
      <c r="E761" s="241" t="s">
        <v>372</v>
      </c>
      <c r="F761" s="362">
        <f>opex_det!BF$169</f>
        <v>0</v>
      </c>
      <c r="G761" s="458">
        <f>labcap_sources!$F$131*labcap_sources!$F$128</f>
        <v>1</v>
      </c>
      <c r="H761" s="362">
        <f t="shared" si="444"/>
        <v>0</v>
      </c>
      <c r="I761" s="368">
        <f>IFERROR(H761/H765*$F765,0)</f>
        <v>0</v>
      </c>
      <c r="J761" s="458">
        <f>labcap_sources!$G$131*labcap_sources!$G$128</f>
        <v>0.73888888888888893</v>
      </c>
      <c r="K761" s="362">
        <f>$H761*J761</f>
        <v>0</v>
      </c>
      <c r="L761" s="368">
        <f>IFERROR(K761/K765*$F765,0)</f>
        <v>0</v>
      </c>
      <c r="M761" s="458">
        <f>labcap_sources!$H$131*labcap_sources!$H$128</f>
        <v>0.53333333333333333</v>
      </c>
      <c r="N761" s="362">
        <f>$H761*M761</f>
        <v>0</v>
      </c>
      <c r="O761" s="368">
        <f>IFERROR(N761/N765*$F765,0)</f>
        <v>0</v>
      </c>
    </row>
    <row r="762" spans="1:15" x14ac:dyDescent="0.25">
      <c r="A762" s="2" t="s">
        <v>1206</v>
      </c>
      <c r="B762" s="5" t="s">
        <v>183</v>
      </c>
      <c r="C762" s="2" t="s">
        <v>182</v>
      </c>
      <c r="E762" s="241" t="s">
        <v>373</v>
      </c>
      <c r="F762" s="362">
        <f>opex_det!BF$170</f>
        <v>0</v>
      </c>
      <c r="G762" s="458">
        <f>labcap_sources!$F$131*labcap_sources!$F$129</f>
        <v>1</v>
      </c>
      <c r="H762" s="362">
        <f t="shared" si="444"/>
        <v>0</v>
      </c>
      <c r="I762" s="368">
        <f>IFERROR(H762/H765*$F765,0)</f>
        <v>0</v>
      </c>
      <c r="J762" s="458">
        <f>labcap_sources!$G$131*labcap_sources!$G$129</f>
        <v>0.92076923076923067</v>
      </c>
      <c r="K762" s="362">
        <f t="shared" ref="K762:K764" si="448">$H762*J762</f>
        <v>0</v>
      </c>
      <c r="L762" s="368">
        <f>IFERROR(K762/K765*$F765,0)</f>
        <v>0</v>
      </c>
      <c r="M762" s="458">
        <f>labcap_sources!$H$131*labcap_sources!$H$129</f>
        <v>0.68923076923076931</v>
      </c>
      <c r="N762" s="362">
        <f t="shared" ref="N762:N764" si="449">$H762*M762</f>
        <v>0</v>
      </c>
      <c r="O762" s="368">
        <f>IFERROR(N762/N765*$F765,0)</f>
        <v>0</v>
      </c>
    </row>
    <row r="763" spans="1:15" x14ac:dyDescent="0.25">
      <c r="A763" s="2" t="s">
        <v>1206</v>
      </c>
      <c r="B763" s="5" t="s">
        <v>183</v>
      </c>
      <c r="C763" s="2" t="s">
        <v>182</v>
      </c>
      <c r="E763" s="241" t="s">
        <v>374</v>
      </c>
      <c r="F763" s="362">
        <f>opex_det!BF$171</f>
        <v>0</v>
      </c>
      <c r="G763" s="458">
        <f>labcap_sources!$F$131*labcap_sources!$F$130</f>
        <v>1</v>
      </c>
      <c r="H763" s="362">
        <f t="shared" si="444"/>
        <v>0</v>
      </c>
      <c r="I763" s="368">
        <f>IFERROR(H763/H765*$F765,0)</f>
        <v>0</v>
      </c>
      <c r="J763" s="458">
        <f>labcap_sources!$G$131*labcap_sources!$G$130</f>
        <v>1.096153846153846</v>
      </c>
      <c r="K763" s="362">
        <f t="shared" si="448"/>
        <v>0</v>
      </c>
      <c r="L763" s="368">
        <f>IFERROR(K763/K765*$F765,0)</f>
        <v>0</v>
      </c>
      <c r="M763" s="458">
        <f>labcap_sources!$H$131*labcap_sources!$H$130</f>
        <v>1.1692307692307693</v>
      </c>
      <c r="N763" s="362">
        <f t="shared" si="449"/>
        <v>0</v>
      </c>
      <c r="O763" s="368">
        <f>IFERROR(N763/N765*$F765,0)</f>
        <v>0</v>
      </c>
    </row>
    <row r="764" spans="1:15" x14ac:dyDescent="0.25">
      <c r="A764" s="2" t="s">
        <v>1206</v>
      </c>
      <c r="B764" s="5" t="s">
        <v>183</v>
      </c>
      <c r="C764" s="2" t="s">
        <v>182</v>
      </c>
      <c r="E764" s="240" t="s">
        <v>375</v>
      </c>
      <c r="F764" s="362">
        <f>opex_det!BF$172</f>
        <v>0</v>
      </c>
      <c r="G764" s="458">
        <f>labcap_sources!$F$132</f>
        <v>1</v>
      </c>
      <c r="H764" s="362">
        <f t="shared" si="444"/>
        <v>0</v>
      </c>
      <c r="I764" s="368">
        <f>IFERROR(H764/H765*$F765,0)</f>
        <v>0</v>
      </c>
      <c r="J764" s="458">
        <f>labcap_sources!$G$132</f>
        <v>1.05</v>
      </c>
      <c r="K764" s="362">
        <f t="shared" si="448"/>
        <v>0</v>
      </c>
      <c r="L764" s="368">
        <f>IFERROR(K764/K765*$F765,0)</f>
        <v>0</v>
      </c>
      <c r="M764" s="458">
        <f>labcap_sources!$H$132</f>
        <v>1.2</v>
      </c>
      <c r="N764" s="362">
        <f t="shared" si="449"/>
        <v>0</v>
      </c>
      <c r="O764" s="368">
        <f>IFERROR(N764/N765*$F765,0)</f>
        <v>0</v>
      </c>
    </row>
    <row r="765" spans="1:15" x14ac:dyDescent="0.25">
      <c r="A765" s="2" t="s">
        <v>1206</v>
      </c>
      <c r="B765" s="5" t="s">
        <v>183</v>
      </c>
      <c r="C765" s="2" t="s">
        <v>182</v>
      </c>
      <c r="E765" s="19" t="s">
        <v>1077</v>
      </c>
      <c r="F765" s="363">
        <f>SUM(F761:F764)</f>
        <v>0</v>
      </c>
      <c r="G765" s="458"/>
      <c r="H765" s="363">
        <f>SUM(H761:H764)</f>
        <v>0</v>
      </c>
      <c r="I765" s="363">
        <f>SUM(I761:I764)</f>
        <v>0</v>
      </c>
      <c r="J765" s="458"/>
      <c r="K765" s="363">
        <f>SUM(K761:K764)</f>
        <v>0</v>
      </c>
      <c r="L765" s="363">
        <f>SUM(L761:L764)</f>
        <v>0</v>
      </c>
      <c r="M765" s="458"/>
      <c r="N765" s="363">
        <f>SUM(N761:N764)</f>
        <v>0</v>
      </c>
      <c r="O765" s="363">
        <f>SUM(O761:O764)</f>
        <v>0</v>
      </c>
    </row>
    <row r="766" spans="1:15" x14ac:dyDescent="0.25">
      <c r="A766" s="2" t="s">
        <v>1206</v>
      </c>
      <c r="B766" s="5" t="s">
        <v>183</v>
      </c>
      <c r="C766" s="2" t="s">
        <v>182</v>
      </c>
      <c r="E766" s="367" t="s">
        <v>1068</v>
      </c>
      <c r="F766" s="359">
        <f>opex_det!BF$176</f>
        <v>0</v>
      </c>
      <c r="G766" s="458">
        <f>labcap_sources!$F$128</f>
        <v>1</v>
      </c>
      <c r="H766" s="369">
        <f t="shared" ref="H766:H771" si="450">$F766*G766</f>
        <v>0</v>
      </c>
      <c r="I766" s="357"/>
      <c r="J766" s="458">
        <f>labcap_sources!$G$128</f>
        <v>0.7777777777777779</v>
      </c>
      <c r="K766" s="369">
        <f>$H766*J766</f>
        <v>0</v>
      </c>
      <c r="L766" s="360"/>
      <c r="M766" s="458">
        <f>labcap_sources!$H$128</f>
        <v>0.66666666666666663</v>
      </c>
      <c r="N766" s="369">
        <f>$H766*M766</f>
        <v>0</v>
      </c>
      <c r="O766" s="360"/>
    </row>
    <row r="767" spans="1:15" x14ac:dyDescent="0.25">
      <c r="A767" s="2" t="s">
        <v>1206</v>
      </c>
      <c r="B767" s="5" t="s">
        <v>183</v>
      </c>
      <c r="C767" s="2" t="s">
        <v>182</v>
      </c>
      <c r="E767" s="367" t="s">
        <v>1069</v>
      </c>
      <c r="F767" s="359">
        <f>opex_det!BF$177</f>
        <v>0</v>
      </c>
      <c r="G767" s="458">
        <f>labcap_sources!$F$128</f>
        <v>1</v>
      </c>
      <c r="H767" s="369">
        <f t="shared" si="450"/>
        <v>0</v>
      </c>
      <c r="I767" s="357"/>
      <c r="J767" s="458">
        <f>labcap_sources!$G$128</f>
        <v>0.7777777777777779</v>
      </c>
      <c r="K767" s="369">
        <f t="shared" ref="K767:K771" si="451">$H767*J767</f>
        <v>0</v>
      </c>
      <c r="L767" s="360"/>
      <c r="M767" s="458">
        <f>labcap_sources!$H$128</f>
        <v>0.66666666666666663</v>
      </c>
      <c r="N767" s="369">
        <f t="shared" ref="N767" si="452">$H767*M767</f>
        <v>0</v>
      </c>
      <c r="O767" s="360"/>
    </row>
    <row r="768" spans="1:15" x14ac:dyDescent="0.25">
      <c r="A768" s="2" t="s">
        <v>1206</v>
      </c>
      <c r="B768" s="5" t="s">
        <v>183</v>
      </c>
      <c r="C768" s="2" t="s">
        <v>182</v>
      </c>
      <c r="E768" s="367" t="s">
        <v>1070</v>
      </c>
      <c r="F768" s="359">
        <f>opex_det!BF$178</f>
        <v>0</v>
      </c>
      <c r="G768" s="458">
        <f>labcap_sources!$F$129</f>
        <v>1</v>
      </c>
      <c r="H768" s="369">
        <f t="shared" si="450"/>
        <v>0</v>
      </c>
      <c r="I768" s="357"/>
      <c r="J768" s="458">
        <f>labcap_sources!$G$129</f>
        <v>0.96923076923076923</v>
      </c>
      <c r="K768" s="369">
        <f t="shared" si="451"/>
        <v>0</v>
      </c>
      <c r="L768" s="360"/>
      <c r="M768" s="458">
        <f>labcap_sources!$H$129</f>
        <v>0.86153846153846159</v>
      </c>
      <c r="N768" s="369">
        <f>$H768*M768</f>
        <v>0</v>
      </c>
      <c r="O768" s="360"/>
    </row>
    <row r="769" spans="1:15" x14ac:dyDescent="0.25">
      <c r="A769" s="2" t="s">
        <v>1206</v>
      </c>
      <c r="B769" s="5" t="s">
        <v>183</v>
      </c>
      <c r="C769" s="2" t="s">
        <v>182</v>
      </c>
      <c r="E769" s="367" t="s">
        <v>1071</v>
      </c>
      <c r="F769" s="359">
        <f>opex_det!BF$179</f>
        <v>0</v>
      </c>
      <c r="G769" s="458">
        <f>labcap_sources!$F$129</f>
        <v>1</v>
      </c>
      <c r="H769" s="369">
        <f t="shared" si="450"/>
        <v>0</v>
      </c>
      <c r="I769" s="357"/>
      <c r="J769" s="458">
        <f>labcap_sources!$G$129</f>
        <v>0.96923076923076923</v>
      </c>
      <c r="K769" s="369">
        <f t="shared" si="451"/>
        <v>0</v>
      </c>
      <c r="L769" s="360"/>
      <c r="M769" s="458">
        <f>labcap_sources!$H$129</f>
        <v>0.86153846153846159</v>
      </c>
      <c r="N769" s="369">
        <f t="shared" ref="N769:N771" si="453">$H769*M769</f>
        <v>0</v>
      </c>
      <c r="O769" s="360"/>
    </row>
    <row r="770" spans="1:15" x14ac:dyDescent="0.25">
      <c r="A770" s="2" t="s">
        <v>1206</v>
      </c>
      <c r="B770" s="5" t="s">
        <v>183</v>
      </c>
      <c r="C770" s="2" t="s">
        <v>182</v>
      </c>
      <c r="E770" s="367" t="s">
        <v>1072</v>
      </c>
      <c r="F770" s="359">
        <f>opex_det!BF$180</f>
        <v>0</v>
      </c>
      <c r="G770" s="458">
        <f>labcap_sources!$F$130</f>
        <v>1</v>
      </c>
      <c r="H770" s="369">
        <f t="shared" si="450"/>
        <v>0</v>
      </c>
      <c r="I770" s="357"/>
      <c r="J770" s="458">
        <f>labcap_sources!$G$130</f>
        <v>1.1538461538461537</v>
      </c>
      <c r="K770" s="369">
        <f t="shared" si="451"/>
        <v>0</v>
      </c>
      <c r="L770" s="360"/>
      <c r="M770" s="458">
        <f>labcap_sources!$H$130</f>
        <v>1.4615384615384615</v>
      </c>
      <c r="N770" s="369">
        <f t="shared" si="453"/>
        <v>0</v>
      </c>
      <c r="O770" s="360"/>
    </row>
    <row r="771" spans="1:15" x14ac:dyDescent="0.25">
      <c r="A771" s="2" t="s">
        <v>1206</v>
      </c>
      <c r="B771" s="5" t="s">
        <v>183</v>
      </c>
      <c r="C771" s="2" t="s">
        <v>182</v>
      </c>
      <c r="E771" s="367" t="s">
        <v>1073</v>
      </c>
      <c r="F771" s="359">
        <f>opex_det!BF$181</f>
        <v>0</v>
      </c>
      <c r="G771" s="458">
        <f>labcap_sources!$F$130</f>
        <v>1</v>
      </c>
      <c r="H771" s="369">
        <f t="shared" si="450"/>
        <v>0</v>
      </c>
      <c r="I771" s="357"/>
      <c r="J771" s="458">
        <f>labcap_sources!$G$130</f>
        <v>1.1538461538461537</v>
      </c>
      <c r="K771" s="369">
        <f t="shared" si="451"/>
        <v>0</v>
      </c>
      <c r="L771" s="360"/>
      <c r="M771" s="458">
        <f>labcap_sources!$H$130</f>
        <v>1.4615384615384615</v>
      </c>
      <c r="N771" s="369">
        <f t="shared" si="453"/>
        <v>0</v>
      </c>
      <c r="O771" s="360"/>
    </row>
    <row r="772" spans="1:15" x14ac:dyDescent="0.25">
      <c r="A772" s="2" t="s">
        <v>1206</v>
      </c>
      <c r="B772" s="5" t="s">
        <v>185</v>
      </c>
      <c r="C772" s="2" t="s">
        <v>184</v>
      </c>
      <c r="E772" s="241" t="s">
        <v>372</v>
      </c>
      <c r="F772" s="362">
        <f>opex_det!BG$169</f>
        <v>1.0510669999999999E-3</v>
      </c>
      <c r="G772" s="458">
        <f>labcap_sources!$F$131*labcap_sources!$F$128</f>
        <v>1</v>
      </c>
      <c r="H772" s="362">
        <f t="shared" ref="H772:H775" si="454">$F772*G772</f>
        <v>1.0510669999999999E-3</v>
      </c>
      <c r="I772" s="368">
        <f>H772/H776*$F776</f>
        <v>1.0510669999999999E-3</v>
      </c>
      <c r="J772" s="458">
        <f>labcap_sources!$G$131*labcap_sources!$G$128</f>
        <v>0.73888888888888893</v>
      </c>
      <c r="K772" s="362">
        <f>$H772*J772</f>
        <v>7.7662172777777773E-4</v>
      </c>
      <c r="L772" s="368">
        <f>K772/K776*$F776</f>
        <v>7.6893210705326757E-4</v>
      </c>
      <c r="M772" s="458">
        <f>labcap_sources!$H$131*labcap_sources!$H$128</f>
        <v>0.53333333333333333</v>
      </c>
      <c r="N772" s="362">
        <f>$H772*M772</f>
        <v>5.6056906666666667E-4</v>
      </c>
      <c r="O772" s="368">
        <f>N772/N776*$F776</f>
        <v>5.6103283322130287E-4</v>
      </c>
    </row>
    <row r="773" spans="1:15" x14ac:dyDescent="0.25">
      <c r="A773" s="2" t="s">
        <v>1206</v>
      </c>
      <c r="B773" s="5" t="s">
        <v>185</v>
      </c>
      <c r="C773" s="2" t="s">
        <v>184</v>
      </c>
      <c r="E773" s="241" t="s">
        <v>373</v>
      </c>
      <c r="F773" s="362">
        <f>opex_det!BG$170</f>
        <v>1.2356205E-2</v>
      </c>
      <c r="G773" s="458">
        <f>labcap_sources!$F$131*labcap_sources!$F$129</f>
        <v>1</v>
      </c>
      <c r="H773" s="362">
        <f t="shared" si="454"/>
        <v>1.2356205E-2</v>
      </c>
      <c r="I773" s="368">
        <f>H773/H776*$F776</f>
        <v>1.2356205E-2</v>
      </c>
      <c r="J773" s="458">
        <f>labcap_sources!$G$131*labcap_sources!$G$129</f>
        <v>0.92076923076923067</v>
      </c>
      <c r="K773" s="362">
        <f t="shared" ref="K773:K775" si="455">$H773*J773</f>
        <v>1.1377213373076922E-2</v>
      </c>
      <c r="L773" s="368">
        <f>K773/K776*$F776</f>
        <v>1.126456334976233E-2</v>
      </c>
      <c r="M773" s="458">
        <f>labcap_sources!$H$131*labcap_sources!$H$129</f>
        <v>0.68923076923076931</v>
      </c>
      <c r="N773" s="362">
        <f t="shared" ref="N773:N775" si="456">$H773*M773</f>
        <v>8.5162766769230781E-3</v>
      </c>
      <c r="O773" s="368">
        <f>N773/N776*$F776</f>
        <v>8.5233223105972145E-3</v>
      </c>
    </row>
    <row r="774" spans="1:15" x14ac:dyDescent="0.25">
      <c r="A774" s="2" t="s">
        <v>1206</v>
      </c>
      <c r="B774" s="5" t="s">
        <v>185</v>
      </c>
      <c r="C774" s="2" t="s">
        <v>184</v>
      </c>
      <c r="E774" s="241" t="s">
        <v>374</v>
      </c>
      <c r="F774" s="362">
        <f>opex_det!BG$171</f>
        <v>1.0083916E-2</v>
      </c>
      <c r="G774" s="458">
        <f>labcap_sources!$F$131*labcap_sources!$F$130</f>
        <v>1</v>
      </c>
      <c r="H774" s="362">
        <f t="shared" si="454"/>
        <v>1.0083916E-2</v>
      </c>
      <c r="I774" s="368">
        <f>H774/H776*$F776</f>
        <v>1.0083916E-2</v>
      </c>
      <c r="J774" s="458">
        <f>labcap_sources!$G$131*labcap_sources!$G$130</f>
        <v>1.096153846153846</v>
      </c>
      <c r="K774" s="362">
        <f t="shared" si="455"/>
        <v>1.1053523307692307E-2</v>
      </c>
      <c r="L774" s="368">
        <f>K774/K776*$F776</f>
        <v>1.0944078260167179E-2</v>
      </c>
      <c r="M774" s="458">
        <f>labcap_sources!$H$131*labcap_sources!$H$130</f>
        <v>1.1692307692307693</v>
      </c>
      <c r="N774" s="362">
        <f t="shared" si="456"/>
        <v>1.1790424861538463E-2</v>
      </c>
      <c r="O774" s="368">
        <f>N774/N776*$F776</f>
        <v>1.1800179243363788E-2</v>
      </c>
    </row>
    <row r="775" spans="1:15" x14ac:dyDescent="0.25">
      <c r="A775" s="2" t="s">
        <v>1206</v>
      </c>
      <c r="B775" s="5" t="s">
        <v>185</v>
      </c>
      <c r="C775" s="2" t="s">
        <v>184</v>
      </c>
      <c r="E775" s="240" t="s">
        <v>375</v>
      </c>
      <c r="F775" s="362">
        <f>opex_det!BG$172</f>
        <v>1.2968891999999999E-2</v>
      </c>
      <c r="G775" s="458">
        <f>labcap_sources!$F$132</f>
        <v>1</v>
      </c>
      <c r="H775" s="362">
        <f t="shared" si="454"/>
        <v>1.2968891999999999E-2</v>
      </c>
      <c r="I775" s="368">
        <f>H775/H776*$F776</f>
        <v>1.2968891999999999E-2</v>
      </c>
      <c r="J775" s="458">
        <f>labcap_sources!$G$132</f>
        <v>1.05</v>
      </c>
      <c r="K775" s="362">
        <f t="shared" si="455"/>
        <v>1.36173366E-2</v>
      </c>
      <c r="L775" s="368">
        <f>K775/K776*$F776</f>
        <v>1.3482506283017223E-2</v>
      </c>
      <c r="M775" s="458">
        <f>labcap_sources!$H$132</f>
        <v>1.2</v>
      </c>
      <c r="N775" s="362">
        <f t="shared" si="456"/>
        <v>1.5562670399999999E-2</v>
      </c>
      <c r="O775" s="368">
        <f>N775/N776*$F776</f>
        <v>1.5575545612817689E-2</v>
      </c>
    </row>
    <row r="776" spans="1:15" x14ac:dyDescent="0.25">
      <c r="A776" s="2" t="s">
        <v>1206</v>
      </c>
      <c r="B776" s="5" t="s">
        <v>185</v>
      </c>
      <c r="C776" s="2" t="s">
        <v>184</v>
      </c>
      <c r="E776" s="19" t="s">
        <v>1077</v>
      </c>
      <c r="F776" s="363">
        <f>SUM(F772:F775)</f>
        <v>3.6460079999999999E-2</v>
      </c>
      <c r="G776" s="458"/>
      <c r="H776" s="363">
        <f>SUM(H772:H775)</f>
        <v>3.6460079999999999E-2</v>
      </c>
      <c r="I776" s="363">
        <f>SUM(I772:I775)</f>
        <v>3.6460079999999999E-2</v>
      </c>
      <c r="J776" s="458"/>
      <c r="K776" s="363">
        <f>SUM(K772:K775)</f>
        <v>3.6824695008547008E-2</v>
      </c>
      <c r="L776" s="363">
        <f>SUM(L772:L775)</f>
        <v>3.6460079999999999E-2</v>
      </c>
      <c r="M776" s="458"/>
      <c r="N776" s="363">
        <f>SUM(N772:N775)</f>
        <v>3.6429941005128211E-2</v>
      </c>
      <c r="O776" s="363">
        <f>SUM(O772:O775)</f>
        <v>3.6460079999999992E-2</v>
      </c>
    </row>
    <row r="777" spans="1:15" x14ac:dyDescent="0.25">
      <c r="A777" s="2" t="s">
        <v>1206</v>
      </c>
      <c r="B777" s="5" t="s">
        <v>185</v>
      </c>
      <c r="C777" s="2" t="s">
        <v>184</v>
      </c>
      <c r="E777" s="367" t="s">
        <v>1068</v>
      </c>
      <c r="F777" s="359">
        <f>opex_det!BG$176</f>
        <v>8.6199999999999995E-5</v>
      </c>
      <c r="G777" s="458">
        <f>labcap_sources!$F$128</f>
        <v>1</v>
      </c>
      <c r="H777" s="369">
        <f t="shared" ref="H777:H786" si="457">$F777*G777</f>
        <v>8.6199999999999995E-5</v>
      </c>
      <c r="I777" s="357"/>
      <c r="J777" s="458">
        <f>labcap_sources!$G$128</f>
        <v>0.7777777777777779</v>
      </c>
      <c r="K777" s="369">
        <f>$H777*J777</f>
        <v>6.7044444444444454E-5</v>
      </c>
      <c r="L777" s="360"/>
      <c r="M777" s="458">
        <f>labcap_sources!$H$128</f>
        <v>0.66666666666666663</v>
      </c>
      <c r="N777" s="369">
        <f>$H777*M777</f>
        <v>5.7466666666666663E-5</v>
      </c>
      <c r="O777" s="360"/>
    </row>
    <row r="778" spans="1:15" x14ac:dyDescent="0.25">
      <c r="A778" s="2" t="s">
        <v>1206</v>
      </c>
      <c r="B778" s="5" t="s">
        <v>185</v>
      </c>
      <c r="C778" s="2" t="s">
        <v>184</v>
      </c>
      <c r="E778" s="367" t="s">
        <v>1069</v>
      </c>
      <c r="F778" s="359">
        <f>opex_det!BG$177</f>
        <v>3.8399999999999998E-5</v>
      </c>
      <c r="G778" s="458">
        <f>labcap_sources!$F$128</f>
        <v>1</v>
      </c>
      <c r="H778" s="369">
        <f t="shared" si="457"/>
        <v>3.8399999999999998E-5</v>
      </c>
      <c r="I778" s="357"/>
      <c r="J778" s="458">
        <f>labcap_sources!$G$128</f>
        <v>0.7777777777777779</v>
      </c>
      <c r="K778" s="369">
        <f t="shared" ref="K778:K782" si="458">$H778*J778</f>
        <v>2.986666666666667E-5</v>
      </c>
      <c r="L778" s="360"/>
      <c r="M778" s="458">
        <f>labcap_sources!$H$128</f>
        <v>0.66666666666666663</v>
      </c>
      <c r="N778" s="369">
        <f t="shared" ref="N778" si="459">$H778*M778</f>
        <v>2.5599999999999999E-5</v>
      </c>
      <c r="O778" s="360"/>
    </row>
    <row r="779" spans="1:15" x14ac:dyDescent="0.25">
      <c r="A779" s="2" t="s">
        <v>1206</v>
      </c>
      <c r="B779" s="5" t="s">
        <v>185</v>
      </c>
      <c r="C779" s="2" t="s">
        <v>184</v>
      </c>
      <c r="E779" s="367" t="s">
        <v>1070</v>
      </c>
      <c r="F779" s="359">
        <f>opex_det!BG$178</f>
        <v>9.1906099999999999E-4</v>
      </c>
      <c r="G779" s="458">
        <f>labcap_sources!$F$129</f>
        <v>1</v>
      </c>
      <c r="H779" s="369">
        <f t="shared" si="457"/>
        <v>9.1906099999999999E-4</v>
      </c>
      <c r="I779" s="357"/>
      <c r="J779" s="458">
        <f>labcap_sources!$G$129</f>
        <v>0.96923076923076923</v>
      </c>
      <c r="K779" s="369">
        <f t="shared" si="458"/>
        <v>8.9078219999999997E-4</v>
      </c>
      <c r="L779" s="360"/>
      <c r="M779" s="458">
        <f>labcap_sources!$H$129</f>
        <v>0.86153846153846159</v>
      </c>
      <c r="N779" s="369">
        <f>$H779*M779</f>
        <v>7.9180640000000007E-4</v>
      </c>
      <c r="O779" s="360"/>
    </row>
    <row r="780" spans="1:15" x14ac:dyDescent="0.25">
      <c r="A780" s="2" t="s">
        <v>1206</v>
      </c>
      <c r="B780" s="5" t="s">
        <v>185</v>
      </c>
      <c r="C780" s="2" t="s">
        <v>184</v>
      </c>
      <c r="E780" s="367" t="s">
        <v>1071</v>
      </c>
      <c r="F780" s="359">
        <f>opex_det!BG$179</f>
        <v>1.6020300000000001E-4</v>
      </c>
      <c r="G780" s="458">
        <f>labcap_sources!$F$129</f>
        <v>1</v>
      </c>
      <c r="H780" s="369">
        <f t="shared" si="457"/>
        <v>1.6020300000000001E-4</v>
      </c>
      <c r="I780" s="357"/>
      <c r="J780" s="458">
        <f>labcap_sources!$G$129</f>
        <v>0.96923076923076923</v>
      </c>
      <c r="K780" s="369">
        <f t="shared" si="458"/>
        <v>1.5527367692307693E-4</v>
      </c>
      <c r="L780" s="360"/>
      <c r="M780" s="458">
        <f>labcap_sources!$H$129</f>
        <v>0.86153846153846159</v>
      </c>
      <c r="N780" s="369">
        <f t="shared" ref="N780:N782" si="460">$H780*M780</f>
        <v>1.3802104615384618E-4</v>
      </c>
      <c r="O780" s="360"/>
    </row>
    <row r="781" spans="1:15" x14ac:dyDescent="0.25">
      <c r="A781" s="2" t="s">
        <v>1206</v>
      </c>
      <c r="B781" s="5" t="s">
        <v>185</v>
      </c>
      <c r="C781" s="2" t="s">
        <v>184</v>
      </c>
      <c r="E781" s="367" t="s">
        <v>1072</v>
      </c>
      <c r="F781" s="359">
        <f>opex_det!BG$180</f>
        <v>3.58594E-4</v>
      </c>
      <c r="G781" s="458">
        <f>labcap_sources!$F$130</f>
        <v>1</v>
      </c>
      <c r="H781" s="369">
        <f t="shared" si="457"/>
        <v>3.58594E-4</v>
      </c>
      <c r="I781" s="357"/>
      <c r="J781" s="458">
        <f>labcap_sources!$G$130</f>
        <v>1.1538461538461537</v>
      </c>
      <c r="K781" s="369">
        <f t="shared" si="458"/>
        <v>4.1376230769230764E-4</v>
      </c>
      <c r="L781" s="360"/>
      <c r="M781" s="458">
        <f>labcap_sources!$H$130</f>
        <v>1.4615384615384615</v>
      </c>
      <c r="N781" s="369">
        <f t="shared" si="460"/>
        <v>5.2409892307692303E-4</v>
      </c>
      <c r="O781" s="360"/>
    </row>
    <row r="782" spans="1:15" x14ac:dyDescent="0.25">
      <c r="A782" s="2" t="s">
        <v>1206</v>
      </c>
      <c r="B782" s="5" t="s">
        <v>185</v>
      </c>
      <c r="C782" s="2" t="s">
        <v>184</v>
      </c>
      <c r="E782" s="367" t="s">
        <v>1073</v>
      </c>
      <c r="F782" s="359">
        <f>opex_det!BG$181</f>
        <v>6.4700000000000001E-5</v>
      </c>
      <c r="G782" s="458">
        <f>labcap_sources!$F$130</f>
        <v>1</v>
      </c>
      <c r="H782" s="369">
        <f t="shared" si="457"/>
        <v>6.4700000000000001E-5</v>
      </c>
      <c r="I782" s="357"/>
      <c r="J782" s="458">
        <f>labcap_sources!$G$130</f>
        <v>1.1538461538461537</v>
      </c>
      <c r="K782" s="369">
        <f t="shared" si="458"/>
        <v>7.4653846153846146E-5</v>
      </c>
      <c r="L782" s="360"/>
      <c r="M782" s="458">
        <f>labcap_sources!$H$130</f>
        <v>1.4615384615384615</v>
      </c>
      <c r="N782" s="369">
        <f t="shared" si="460"/>
        <v>9.4561538461538451E-5</v>
      </c>
      <c r="O782" s="360"/>
    </row>
    <row r="783" spans="1:15" x14ac:dyDescent="0.25">
      <c r="A783" s="2" t="s">
        <v>1206</v>
      </c>
      <c r="B783" s="5" t="s">
        <v>187</v>
      </c>
      <c r="C783" s="2" t="s">
        <v>186</v>
      </c>
      <c r="E783" s="241" t="s">
        <v>372</v>
      </c>
      <c r="F783" s="362">
        <f>opex_det!BH$169</f>
        <v>0</v>
      </c>
      <c r="G783" s="458">
        <f>labcap_sources!$F$131*labcap_sources!$F$128</f>
        <v>1</v>
      </c>
      <c r="H783" s="362">
        <f t="shared" si="457"/>
        <v>0</v>
      </c>
      <c r="I783" s="368">
        <f>IFERROR(H783/H787*$F787,0)</f>
        <v>0</v>
      </c>
      <c r="J783" s="458">
        <f>labcap_sources!$G$131*labcap_sources!$G$128</f>
        <v>0.73888888888888893</v>
      </c>
      <c r="K783" s="362">
        <f>$H783*J783</f>
        <v>0</v>
      </c>
      <c r="L783" s="368">
        <f>IFERROR(K783/K787*$F787,0)</f>
        <v>0</v>
      </c>
      <c r="M783" s="458">
        <f>labcap_sources!$H$131*labcap_sources!$H$128</f>
        <v>0.53333333333333333</v>
      </c>
      <c r="N783" s="362">
        <f>$H783*M783</f>
        <v>0</v>
      </c>
      <c r="O783" s="368">
        <f>IFERROR(N783/N787*$F787,0)</f>
        <v>0</v>
      </c>
    </row>
    <row r="784" spans="1:15" x14ac:dyDescent="0.25">
      <c r="A784" s="2" t="s">
        <v>1206</v>
      </c>
      <c r="B784" s="5" t="s">
        <v>187</v>
      </c>
      <c r="C784" s="2" t="s">
        <v>186</v>
      </c>
      <c r="E784" s="241" t="s">
        <v>373</v>
      </c>
      <c r="F784" s="362">
        <f>opex_det!BH$170</f>
        <v>0</v>
      </c>
      <c r="G784" s="458">
        <f>labcap_sources!$F$131*labcap_sources!$F$129</f>
        <v>1</v>
      </c>
      <c r="H784" s="362">
        <f t="shared" si="457"/>
        <v>0</v>
      </c>
      <c r="I784" s="368">
        <f>IFERROR(H784/H787*$F787,0)</f>
        <v>0</v>
      </c>
      <c r="J784" s="458">
        <f>labcap_sources!$G$131*labcap_sources!$G$129</f>
        <v>0.92076923076923067</v>
      </c>
      <c r="K784" s="362">
        <f t="shared" ref="K784:K786" si="461">$H784*J784</f>
        <v>0</v>
      </c>
      <c r="L784" s="368">
        <f>IFERROR(K784/K787*$F787,0)</f>
        <v>0</v>
      </c>
      <c r="M784" s="458">
        <f>labcap_sources!$H$131*labcap_sources!$H$129</f>
        <v>0.68923076923076931</v>
      </c>
      <c r="N784" s="362">
        <f t="shared" ref="N784:N786" si="462">$H784*M784</f>
        <v>0</v>
      </c>
      <c r="O784" s="368">
        <f>IFERROR(N784/N787*$F787,0)</f>
        <v>0</v>
      </c>
    </row>
    <row r="785" spans="1:15" x14ac:dyDescent="0.25">
      <c r="A785" s="2" t="s">
        <v>1206</v>
      </c>
      <c r="B785" s="5" t="s">
        <v>187</v>
      </c>
      <c r="C785" s="2" t="s">
        <v>186</v>
      </c>
      <c r="E785" s="241" t="s">
        <v>374</v>
      </c>
      <c r="F785" s="362">
        <f>opex_det!BH$171</f>
        <v>0</v>
      </c>
      <c r="G785" s="458">
        <f>labcap_sources!$F$131*labcap_sources!$F$130</f>
        <v>1</v>
      </c>
      <c r="H785" s="362">
        <f t="shared" si="457"/>
        <v>0</v>
      </c>
      <c r="I785" s="368">
        <f>IFERROR(H785/H787*$F787,0)</f>
        <v>0</v>
      </c>
      <c r="J785" s="458">
        <f>labcap_sources!$G$131*labcap_sources!$G$130</f>
        <v>1.096153846153846</v>
      </c>
      <c r="K785" s="362">
        <f t="shared" si="461"/>
        <v>0</v>
      </c>
      <c r="L785" s="368">
        <f>IFERROR(K785/K787*$F787,0)</f>
        <v>0</v>
      </c>
      <c r="M785" s="458">
        <f>labcap_sources!$H$131*labcap_sources!$H$130</f>
        <v>1.1692307692307693</v>
      </c>
      <c r="N785" s="362">
        <f t="shared" si="462"/>
        <v>0</v>
      </c>
      <c r="O785" s="368">
        <f>IFERROR(N785/N787*$F787,0)</f>
        <v>0</v>
      </c>
    </row>
    <row r="786" spans="1:15" x14ac:dyDescent="0.25">
      <c r="A786" s="2" t="s">
        <v>1206</v>
      </c>
      <c r="B786" s="5" t="s">
        <v>187</v>
      </c>
      <c r="C786" s="2" t="s">
        <v>186</v>
      </c>
      <c r="E786" s="240" t="s">
        <v>375</v>
      </c>
      <c r="F786" s="362">
        <f>opex_det!BH$172</f>
        <v>0</v>
      </c>
      <c r="G786" s="458">
        <f>labcap_sources!$F$132</f>
        <v>1</v>
      </c>
      <c r="H786" s="362">
        <f t="shared" si="457"/>
        <v>0</v>
      </c>
      <c r="I786" s="368">
        <f>IFERROR(H786/H787*$F787,0)</f>
        <v>0</v>
      </c>
      <c r="J786" s="458">
        <f>labcap_sources!$G$132</f>
        <v>1.05</v>
      </c>
      <c r="K786" s="362">
        <f t="shared" si="461"/>
        <v>0</v>
      </c>
      <c r="L786" s="368">
        <f>IFERROR(K786/K787*$F787,0)</f>
        <v>0</v>
      </c>
      <c r="M786" s="458">
        <f>labcap_sources!$H$132</f>
        <v>1.2</v>
      </c>
      <c r="N786" s="362">
        <f t="shared" si="462"/>
        <v>0</v>
      </c>
      <c r="O786" s="368">
        <f>IFERROR(N786/N787*$F787,0)</f>
        <v>0</v>
      </c>
    </row>
    <row r="787" spans="1:15" x14ac:dyDescent="0.25">
      <c r="A787" s="2" t="s">
        <v>1206</v>
      </c>
      <c r="B787" s="5" t="s">
        <v>187</v>
      </c>
      <c r="C787" s="2" t="s">
        <v>186</v>
      </c>
      <c r="E787" s="19" t="s">
        <v>1077</v>
      </c>
      <c r="F787" s="363">
        <f>SUM(F783:F786)</f>
        <v>0</v>
      </c>
      <c r="G787" s="458"/>
      <c r="H787" s="363">
        <f>SUM(H783:H786)</f>
        <v>0</v>
      </c>
      <c r="I787" s="363">
        <f>SUM(I783:I786)</f>
        <v>0</v>
      </c>
      <c r="J787" s="458"/>
      <c r="K787" s="363">
        <f>SUM(K783:K786)</f>
        <v>0</v>
      </c>
      <c r="L787" s="363">
        <f>SUM(L783:L786)</f>
        <v>0</v>
      </c>
      <c r="M787" s="458"/>
      <c r="N787" s="363">
        <f>SUM(N783:N786)</f>
        <v>0</v>
      </c>
      <c r="O787" s="363">
        <f>SUM(O783:O786)</f>
        <v>0</v>
      </c>
    </row>
    <row r="788" spans="1:15" x14ac:dyDescent="0.25">
      <c r="A788" s="2" t="s">
        <v>1206</v>
      </c>
      <c r="B788" s="5" t="s">
        <v>187</v>
      </c>
      <c r="C788" s="2" t="s">
        <v>186</v>
      </c>
      <c r="E788" s="367" t="s">
        <v>1068</v>
      </c>
      <c r="F788" s="359">
        <f>opex_det!BH$176</f>
        <v>0</v>
      </c>
      <c r="G788" s="458">
        <f>labcap_sources!$F$128</f>
        <v>1</v>
      </c>
      <c r="H788" s="369">
        <f t="shared" ref="H788:H797" si="463">$F788*G788</f>
        <v>0</v>
      </c>
      <c r="I788" s="357"/>
      <c r="J788" s="458">
        <f>labcap_sources!$G$128</f>
        <v>0.7777777777777779</v>
      </c>
      <c r="K788" s="369">
        <f>$H788*J788</f>
        <v>0</v>
      </c>
      <c r="L788" s="360"/>
      <c r="M788" s="458">
        <f>labcap_sources!$H$128</f>
        <v>0.66666666666666663</v>
      </c>
      <c r="N788" s="369">
        <f>$H788*M788</f>
        <v>0</v>
      </c>
      <c r="O788" s="360"/>
    </row>
    <row r="789" spans="1:15" x14ac:dyDescent="0.25">
      <c r="A789" s="2" t="s">
        <v>1206</v>
      </c>
      <c r="B789" s="5" t="s">
        <v>187</v>
      </c>
      <c r="C789" s="2" t="s">
        <v>186</v>
      </c>
      <c r="E789" s="367" t="s">
        <v>1069</v>
      </c>
      <c r="F789" s="359">
        <f>opex_det!BH$177</f>
        <v>0</v>
      </c>
      <c r="G789" s="458">
        <f>labcap_sources!$F$128</f>
        <v>1</v>
      </c>
      <c r="H789" s="369">
        <f t="shared" si="463"/>
        <v>0</v>
      </c>
      <c r="I789" s="357"/>
      <c r="J789" s="458">
        <f>labcap_sources!$G$128</f>
        <v>0.7777777777777779</v>
      </c>
      <c r="K789" s="369">
        <f t="shared" ref="K789:K793" si="464">$H789*J789</f>
        <v>0</v>
      </c>
      <c r="L789" s="360"/>
      <c r="M789" s="458">
        <f>labcap_sources!$H$128</f>
        <v>0.66666666666666663</v>
      </c>
      <c r="N789" s="369">
        <f t="shared" ref="N789" si="465">$H789*M789</f>
        <v>0</v>
      </c>
      <c r="O789" s="360"/>
    </row>
    <row r="790" spans="1:15" x14ac:dyDescent="0.25">
      <c r="A790" s="2" t="s">
        <v>1206</v>
      </c>
      <c r="B790" s="5" t="s">
        <v>187</v>
      </c>
      <c r="C790" s="2" t="s">
        <v>186</v>
      </c>
      <c r="E790" s="367" t="s">
        <v>1070</v>
      </c>
      <c r="F790" s="359">
        <f>opex_det!BH$178</f>
        <v>0</v>
      </c>
      <c r="G790" s="458">
        <f>labcap_sources!$F$129</f>
        <v>1</v>
      </c>
      <c r="H790" s="369">
        <f t="shared" si="463"/>
        <v>0</v>
      </c>
      <c r="I790" s="357"/>
      <c r="J790" s="458">
        <f>labcap_sources!$G$129</f>
        <v>0.96923076923076923</v>
      </c>
      <c r="K790" s="369">
        <f t="shared" si="464"/>
        <v>0</v>
      </c>
      <c r="L790" s="360"/>
      <c r="M790" s="458">
        <f>labcap_sources!$H$129</f>
        <v>0.86153846153846159</v>
      </c>
      <c r="N790" s="369">
        <f>$H790*M790</f>
        <v>0</v>
      </c>
      <c r="O790" s="360"/>
    </row>
    <row r="791" spans="1:15" x14ac:dyDescent="0.25">
      <c r="A791" s="2" t="s">
        <v>1206</v>
      </c>
      <c r="B791" s="5" t="s">
        <v>187</v>
      </c>
      <c r="C791" s="2" t="s">
        <v>186</v>
      </c>
      <c r="E791" s="367" t="s">
        <v>1071</v>
      </c>
      <c r="F791" s="359">
        <f>opex_det!BH$179</f>
        <v>0</v>
      </c>
      <c r="G791" s="458">
        <f>labcap_sources!$F$129</f>
        <v>1</v>
      </c>
      <c r="H791" s="369">
        <f t="shared" si="463"/>
        <v>0</v>
      </c>
      <c r="I791" s="357"/>
      <c r="J791" s="458">
        <f>labcap_sources!$G$129</f>
        <v>0.96923076923076923</v>
      </c>
      <c r="K791" s="369">
        <f t="shared" si="464"/>
        <v>0</v>
      </c>
      <c r="L791" s="360"/>
      <c r="M791" s="458">
        <f>labcap_sources!$H$129</f>
        <v>0.86153846153846159</v>
      </c>
      <c r="N791" s="369">
        <f t="shared" ref="N791:N793" si="466">$H791*M791</f>
        <v>0</v>
      </c>
      <c r="O791" s="360"/>
    </row>
    <row r="792" spans="1:15" x14ac:dyDescent="0.25">
      <c r="A792" s="2" t="s">
        <v>1206</v>
      </c>
      <c r="B792" s="5" t="s">
        <v>187</v>
      </c>
      <c r="C792" s="2" t="s">
        <v>186</v>
      </c>
      <c r="E792" s="367" t="s">
        <v>1072</v>
      </c>
      <c r="F792" s="359">
        <f>opex_det!BH$180</f>
        <v>0</v>
      </c>
      <c r="G792" s="458">
        <f>labcap_sources!$F$130</f>
        <v>1</v>
      </c>
      <c r="H792" s="369">
        <f t="shared" si="463"/>
        <v>0</v>
      </c>
      <c r="I792" s="357"/>
      <c r="J792" s="458">
        <f>labcap_sources!$G$130</f>
        <v>1.1538461538461537</v>
      </c>
      <c r="K792" s="369">
        <f t="shared" si="464"/>
        <v>0</v>
      </c>
      <c r="L792" s="360"/>
      <c r="M792" s="458">
        <f>labcap_sources!$H$130</f>
        <v>1.4615384615384615</v>
      </c>
      <c r="N792" s="369">
        <f t="shared" si="466"/>
        <v>0</v>
      </c>
      <c r="O792" s="360"/>
    </row>
    <row r="793" spans="1:15" x14ac:dyDescent="0.25">
      <c r="A793" s="2" t="s">
        <v>1206</v>
      </c>
      <c r="B793" s="5" t="s">
        <v>187</v>
      </c>
      <c r="C793" s="2" t="s">
        <v>186</v>
      </c>
      <c r="E793" s="367" t="s">
        <v>1073</v>
      </c>
      <c r="F793" s="359">
        <f>opex_det!BH$181</f>
        <v>0</v>
      </c>
      <c r="G793" s="458">
        <f>labcap_sources!$F$130</f>
        <v>1</v>
      </c>
      <c r="H793" s="369">
        <f t="shared" si="463"/>
        <v>0</v>
      </c>
      <c r="I793" s="357"/>
      <c r="J793" s="458">
        <f>labcap_sources!$G$130</f>
        <v>1.1538461538461537</v>
      </c>
      <c r="K793" s="369">
        <f t="shared" si="464"/>
        <v>0</v>
      </c>
      <c r="L793" s="360"/>
      <c r="M793" s="458">
        <f>labcap_sources!$H$130</f>
        <v>1.4615384615384615</v>
      </c>
      <c r="N793" s="369">
        <f t="shared" si="466"/>
        <v>0</v>
      </c>
      <c r="O793" s="360"/>
    </row>
    <row r="794" spans="1:15" x14ac:dyDescent="0.25">
      <c r="A794" s="2" t="s">
        <v>1206</v>
      </c>
      <c r="B794" s="5" t="s">
        <v>189</v>
      </c>
      <c r="C794" s="2" t="s">
        <v>188</v>
      </c>
      <c r="E794" s="241" t="s">
        <v>372</v>
      </c>
      <c r="F794" s="362">
        <f>opex_det!BI$169</f>
        <v>5.4425339999999997E-3</v>
      </c>
      <c r="G794" s="458">
        <f>labcap_sources!$F$131*labcap_sources!$F$128</f>
        <v>1</v>
      </c>
      <c r="H794" s="362">
        <f t="shared" si="463"/>
        <v>5.4425339999999997E-3</v>
      </c>
      <c r="I794" s="368">
        <f>H794/H798*$F798</f>
        <v>5.4425339999999997E-3</v>
      </c>
      <c r="J794" s="458">
        <f>labcap_sources!$G$131*labcap_sources!$G$128</f>
        <v>0.73888888888888893</v>
      </c>
      <c r="K794" s="362">
        <f>$H794*J794</f>
        <v>4.0214279E-3</v>
      </c>
      <c r="L794" s="368">
        <f>K794/K798*$F798</f>
        <v>4.0241289905329379E-3</v>
      </c>
      <c r="M794" s="458">
        <f>labcap_sources!$H$131*labcap_sources!$H$128</f>
        <v>0.53333333333333333</v>
      </c>
      <c r="N794" s="362">
        <f>$H794*M794</f>
        <v>2.9026847999999998E-3</v>
      </c>
      <c r="O794" s="368">
        <f>N794/N798*$F798</f>
        <v>3.0696937997752322E-3</v>
      </c>
    </row>
    <row r="795" spans="1:15" x14ac:dyDescent="0.25">
      <c r="A795" s="2" t="s">
        <v>1206</v>
      </c>
      <c r="B795" s="5" t="s">
        <v>189</v>
      </c>
      <c r="C795" s="2" t="s">
        <v>188</v>
      </c>
      <c r="E795" s="241" t="s">
        <v>373</v>
      </c>
      <c r="F795" s="362">
        <f>opex_det!BI$170</f>
        <v>6.3981706999999999E-2</v>
      </c>
      <c r="G795" s="458">
        <f>labcap_sources!$F$131*labcap_sources!$F$129</f>
        <v>1</v>
      </c>
      <c r="H795" s="362">
        <f t="shared" si="463"/>
        <v>6.3981706999999999E-2</v>
      </c>
      <c r="I795" s="368">
        <f>H795/H798*$F798</f>
        <v>6.3981706999999999E-2</v>
      </c>
      <c r="J795" s="458">
        <f>labcap_sources!$G$131*labcap_sources!$G$129</f>
        <v>0.92076923076923067</v>
      </c>
      <c r="K795" s="362">
        <f t="shared" ref="K795:K797" si="467">$H795*J795</f>
        <v>5.8912387137692299E-2</v>
      </c>
      <c r="L795" s="368">
        <f>K795/K798*$F798</f>
        <v>5.8951957085265003E-2</v>
      </c>
      <c r="M795" s="458">
        <f>labcap_sources!$H$131*labcap_sources!$H$129</f>
        <v>0.68923076923076931</v>
      </c>
      <c r="N795" s="362">
        <f t="shared" ref="N795:N797" si="468">$H795*M795</f>
        <v>4.4098161132307696E-2</v>
      </c>
      <c r="O795" s="368">
        <f>N795/N798*$F798</f>
        <v>4.6635394862485267E-2</v>
      </c>
    </row>
    <row r="796" spans="1:15" x14ac:dyDescent="0.25">
      <c r="A796" s="2" t="s">
        <v>1206</v>
      </c>
      <c r="B796" s="5" t="s">
        <v>189</v>
      </c>
      <c r="C796" s="2" t="s">
        <v>188</v>
      </c>
      <c r="E796" s="241" t="s">
        <v>374</v>
      </c>
      <c r="F796" s="362">
        <f>opex_det!BI$171</f>
        <v>5.2215559000000002E-2</v>
      </c>
      <c r="G796" s="458">
        <f>labcap_sources!$F$131*labcap_sources!$F$130</f>
        <v>1</v>
      </c>
      <c r="H796" s="362">
        <f t="shared" si="463"/>
        <v>5.2215559000000002E-2</v>
      </c>
      <c r="I796" s="368">
        <f>H796/H798*$F798</f>
        <v>5.2215559000000002E-2</v>
      </c>
      <c r="J796" s="458">
        <f>labcap_sources!$G$131*labcap_sources!$G$130</f>
        <v>1.096153846153846</v>
      </c>
      <c r="K796" s="362">
        <f t="shared" si="467"/>
        <v>5.723628582692307E-2</v>
      </c>
      <c r="L796" s="368">
        <f>K796/K798*$F798</f>
        <v>5.7274729980003027E-2</v>
      </c>
      <c r="M796" s="458">
        <f>labcap_sources!$H$131*labcap_sources!$H$130</f>
        <v>1.1692307692307693</v>
      </c>
      <c r="N796" s="362">
        <f t="shared" si="468"/>
        <v>6.1052038215384623E-2</v>
      </c>
      <c r="O796" s="368">
        <f>N796/N798*$F798</f>
        <v>6.4564730959905364E-2</v>
      </c>
    </row>
    <row r="797" spans="1:15" x14ac:dyDescent="0.25">
      <c r="A797" s="2" t="s">
        <v>1206</v>
      </c>
      <c r="B797" s="5" t="s">
        <v>189</v>
      </c>
      <c r="C797" s="2" t="s">
        <v>188</v>
      </c>
      <c r="E797" s="240" t="s">
        <v>375</v>
      </c>
      <c r="F797" s="362">
        <f>opex_det!BI$172</f>
        <v>2.7393292E-2</v>
      </c>
      <c r="G797" s="458">
        <f>labcap_sources!$F$132</f>
        <v>1</v>
      </c>
      <c r="H797" s="362">
        <f t="shared" si="463"/>
        <v>2.7393292E-2</v>
      </c>
      <c r="I797" s="368">
        <f>H797/H798*$F798</f>
        <v>2.7393292E-2</v>
      </c>
      <c r="J797" s="458">
        <f>labcap_sources!$G$132</f>
        <v>1.05</v>
      </c>
      <c r="K797" s="362">
        <f t="shared" si="467"/>
        <v>2.87629566E-2</v>
      </c>
      <c r="L797" s="368">
        <f>K797/K798*$F798</f>
        <v>2.8782275944199E-2</v>
      </c>
      <c r="M797" s="458">
        <f>labcap_sources!$H$132</f>
        <v>1.2</v>
      </c>
      <c r="N797" s="362">
        <f t="shared" si="468"/>
        <v>3.2871950399999995E-2</v>
      </c>
      <c r="O797" s="368">
        <f>N797/N798*$F798</f>
        <v>3.4763272377834123E-2</v>
      </c>
    </row>
    <row r="798" spans="1:15" x14ac:dyDescent="0.25">
      <c r="A798" s="2" t="s">
        <v>1206</v>
      </c>
      <c r="B798" s="5" t="s">
        <v>189</v>
      </c>
      <c r="C798" s="2" t="s">
        <v>188</v>
      </c>
      <c r="E798" s="19" t="s">
        <v>1077</v>
      </c>
      <c r="F798" s="363">
        <f>SUM(F794:F797)</f>
        <v>0.14903309199999998</v>
      </c>
      <c r="G798" s="458"/>
      <c r="H798" s="363">
        <f>SUM(H794:H797)</f>
        <v>0.14903309199999998</v>
      </c>
      <c r="I798" s="363">
        <f>SUM(I794:I797)</f>
        <v>0.14903309199999998</v>
      </c>
      <c r="J798" s="458"/>
      <c r="K798" s="363">
        <f>SUM(K794:K797)</f>
        <v>0.14893305746461538</v>
      </c>
      <c r="L798" s="363">
        <f>SUM(L794:L797)</f>
        <v>0.14903309199999995</v>
      </c>
      <c r="M798" s="458"/>
      <c r="N798" s="363">
        <f>SUM(N794:N797)</f>
        <v>0.14092483454769231</v>
      </c>
      <c r="O798" s="363">
        <f>SUM(O794:O797)</f>
        <v>0.14903309199999998</v>
      </c>
    </row>
    <row r="799" spans="1:15" x14ac:dyDescent="0.25">
      <c r="A799" s="2" t="s">
        <v>1206</v>
      </c>
      <c r="B799" s="5" t="s">
        <v>189</v>
      </c>
      <c r="C799" s="2" t="s">
        <v>188</v>
      </c>
      <c r="E799" s="367" t="s">
        <v>1068</v>
      </c>
      <c r="F799" s="359">
        <f>opex_det!BI$176</f>
        <v>3.1230400000000001E-4</v>
      </c>
      <c r="G799" s="458">
        <f>labcap_sources!$F$128</f>
        <v>1</v>
      </c>
      <c r="H799" s="369">
        <f t="shared" ref="H799:H808" si="469">$F799*G799</f>
        <v>3.1230400000000001E-4</v>
      </c>
      <c r="I799" s="357"/>
      <c r="J799" s="458">
        <f>labcap_sources!$G$128</f>
        <v>0.7777777777777779</v>
      </c>
      <c r="K799" s="369">
        <f>$H799*J799</f>
        <v>2.4290311111111116E-4</v>
      </c>
      <c r="L799" s="360"/>
      <c r="M799" s="458">
        <f>labcap_sources!$H$128</f>
        <v>0.66666666666666663</v>
      </c>
      <c r="N799" s="369">
        <f>$H799*M799</f>
        <v>2.0820266666666666E-4</v>
      </c>
      <c r="O799" s="360"/>
    </row>
    <row r="800" spans="1:15" x14ac:dyDescent="0.25">
      <c r="A800" s="2" t="s">
        <v>1206</v>
      </c>
      <c r="B800" s="5" t="s">
        <v>189</v>
      </c>
      <c r="C800" s="2" t="s">
        <v>188</v>
      </c>
      <c r="E800" s="367" t="s">
        <v>1069</v>
      </c>
      <c r="F800" s="359">
        <f>opex_det!BI$177</f>
        <v>1.65367E-4</v>
      </c>
      <c r="G800" s="458">
        <f>labcap_sources!$F$128</f>
        <v>1</v>
      </c>
      <c r="H800" s="369">
        <f t="shared" si="469"/>
        <v>1.65367E-4</v>
      </c>
      <c r="I800" s="357"/>
      <c r="J800" s="458">
        <f>labcap_sources!$G$128</f>
        <v>0.7777777777777779</v>
      </c>
      <c r="K800" s="369">
        <f t="shared" ref="K800:K804" si="470">$H800*J800</f>
        <v>1.2861877777777781E-4</v>
      </c>
      <c r="L800" s="360"/>
      <c r="M800" s="458">
        <f>labcap_sources!$H$128</f>
        <v>0.66666666666666663</v>
      </c>
      <c r="N800" s="369">
        <f t="shared" ref="N800" si="471">$H800*M800</f>
        <v>1.1024466666666666E-4</v>
      </c>
      <c r="O800" s="360"/>
    </row>
    <row r="801" spans="1:15" x14ac:dyDescent="0.25">
      <c r="A801" s="2" t="s">
        <v>1206</v>
      </c>
      <c r="B801" s="5" t="s">
        <v>189</v>
      </c>
      <c r="C801" s="2" t="s">
        <v>188</v>
      </c>
      <c r="E801" s="367" t="s">
        <v>1070</v>
      </c>
      <c r="F801" s="359">
        <f>opex_det!BI$178</f>
        <v>3.8608929999999998E-3</v>
      </c>
      <c r="G801" s="458">
        <f>labcap_sources!$F$129</f>
        <v>1</v>
      </c>
      <c r="H801" s="369">
        <f t="shared" si="469"/>
        <v>3.8608929999999998E-3</v>
      </c>
      <c r="I801" s="357"/>
      <c r="J801" s="458">
        <f>labcap_sources!$G$129</f>
        <v>0.96923076923076923</v>
      </c>
      <c r="K801" s="369">
        <f t="shared" si="470"/>
        <v>3.7420962923076923E-3</v>
      </c>
      <c r="L801" s="360"/>
      <c r="M801" s="458">
        <f>labcap_sources!$H$129</f>
        <v>0.86153846153846159</v>
      </c>
      <c r="N801" s="369">
        <f>$H801*M801</f>
        <v>3.3263078153846154E-3</v>
      </c>
      <c r="O801" s="360"/>
    </row>
    <row r="802" spans="1:15" x14ac:dyDescent="0.25">
      <c r="A802" s="2" t="s">
        <v>1206</v>
      </c>
      <c r="B802" s="5" t="s">
        <v>189</v>
      </c>
      <c r="C802" s="2" t="s">
        <v>188</v>
      </c>
      <c r="E802" s="367" t="s">
        <v>1071</v>
      </c>
      <c r="F802" s="359">
        <f>opex_det!BI$179</f>
        <v>6.8909899999999998E-4</v>
      </c>
      <c r="G802" s="458">
        <f>labcap_sources!$F$129</f>
        <v>1</v>
      </c>
      <c r="H802" s="369">
        <f t="shared" si="469"/>
        <v>6.8909899999999998E-4</v>
      </c>
      <c r="I802" s="357"/>
      <c r="J802" s="458">
        <f>labcap_sources!$G$129</f>
        <v>0.96923076923076923</v>
      </c>
      <c r="K802" s="369">
        <f t="shared" si="470"/>
        <v>6.6789595384615381E-4</v>
      </c>
      <c r="L802" s="360"/>
      <c r="M802" s="458">
        <f>labcap_sources!$H$129</f>
        <v>0.86153846153846159</v>
      </c>
      <c r="N802" s="369">
        <f t="shared" ref="N802:N804" si="472">$H802*M802</f>
        <v>5.9368529230769231E-4</v>
      </c>
      <c r="O802" s="360"/>
    </row>
    <row r="803" spans="1:15" x14ac:dyDescent="0.25">
      <c r="A803" s="2" t="s">
        <v>1206</v>
      </c>
      <c r="B803" s="5" t="s">
        <v>189</v>
      </c>
      <c r="C803" s="2" t="s">
        <v>188</v>
      </c>
      <c r="E803" s="367" t="s">
        <v>1072</v>
      </c>
      <c r="F803" s="359">
        <f>opex_det!BI$180</f>
        <v>1.546537E-3</v>
      </c>
      <c r="G803" s="458">
        <f>labcap_sources!$F$130</f>
        <v>1</v>
      </c>
      <c r="H803" s="369">
        <f t="shared" si="469"/>
        <v>1.546537E-3</v>
      </c>
      <c r="I803" s="357"/>
      <c r="J803" s="458">
        <f>labcap_sources!$G$130</f>
        <v>1.1538461538461537</v>
      </c>
      <c r="K803" s="369">
        <f t="shared" si="470"/>
        <v>1.784465769230769E-3</v>
      </c>
      <c r="L803" s="360"/>
      <c r="M803" s="458">
        <f>labcap_sources!$H$130</f>
        <v>1.4615384615384615</v>
      </c>
      <c r="N803" s="369">
        <f t="shared" si="472"/>
        <v>2.2603233076923077E-3</v>
      </c>
      <c r="O803" s="360"/>
    </row>
    <row r="804" spans="1:15" x14ac:dyDescent="0.25">
      <c r="A804" s="2" t="s">
        <v>1206</v>
      </c>
      <c r="B804" s="5" t="s">
        <v>189</v>
      </c>
      <c r="C804" s="2" t="s">
        <v>188</v>
      </c>
      <c r="E804" s="367" t="s">
        <v>1073</v>
      </c>
      <c r="F804" s="359">
        <f>opex_det!BI$181</f>
        <v>2.3116799999999999E-4</v>
      </c>
      <c r="G804" s="458">
        <f>labcap_sources!$F$130</f>
        <v>1</v>
      </c>
      <c r="H804" s="369">
        <f t="shared" si="469"/>
        <v>2.3116799999999999E-4</v>
      </c>
      <c r="I804" s="357"/>
      <c r="J804" s="458">
        <f>labcap_sources!$G$130</f>
        <v>1.1538461538461537</v>
      </c>
      <c r="K804" s="369">
        <f t="shared" si="470"/>
        <v>2.6673230769230766E-4</v>
      </c>
      <c r="L804" s="360"/>
      <c r="M804" s="458">
        <f>labcap_sources!$H$130</f>
        <v>1.4615384615384615</v>
      </c>
      <c r="N804" s="369">
        <f t="shared" si="472"/>
        <v>3.3786092307692305E-4</v>
      </c>
      <c r="O804" s="360"/>
    </row>
    <row r="805" spans="1:15" x14ac:dyDescent="0.25">
      <c r="A805" s="2" t="s">
        <v>1206</v>
      </c>
      <c r="B805" s="5" t="s">
        <v>191</v>
      </c>
      <c r="C805" s="2" t="s">
        <v>190</v>
      </c>
      <c r="E805" s="241" t="s">
        <v>372</v>
      </c>
      <c r="F805" s="362">
        <f>opex_det!BJ$169</f>
        <v>8.6842489999999998E-3</v>
      </c>
      <c r="G805" s="458">
        <f>labcap_sources!$F$131*labcap_sources!$F$128</f>
        <v>1</v>
      </c>
      <c r="H805" s="362">
        <f t="shared" si="469"/>
        <v>8.6842489999999998E-3</v>
      </c>
      <c r="I805" s="368">
        <f>H805/H809*$F809</f>
        <v>8.6842489999999998E-3</v>
      </c>
      <c r="J805" s="458">
        <f>labcap_sources!$G$131*labcap_sources!$G$128</f>
        <v>0.73888888888888893</v>
      </c>
      <c r="K805" s="362">
        <f>$H805*J805</f>
        <v>6.4166950944444445E-3</v>
      </c>
      <c r="L805" s="368">
        <f>K805/K809*$F809</f>
        <v>6.4205716135601106E-3</v>
      </c>
      <c r="M805" s="458">
        <f>labcap_sources!$H$131*labcap_sources!$H$128</f>
        <v>0.53333333333333333</v>
      </c>
      <c r="N805" s="362">
        <f>$H805*M805</f>
        <v>4.6315994666666664E-3</v>
      </c>
      <c r="O805" s="368">
        <f>N805/N809*$F809</f>
        <v>4.8818312328262718E-3</v>
      </c>
    </row>
    <row r="806" spans="1:15" x14ac:dyDescent="0.25">
      <c r="A806" s="2" t="s">
        <v>1206</v>
      </c>
      <c r="B806" s="5" t="s">
        <v>191</v>
      </c>
      <c r="C806" s="2" t="s">
        <v>190</v>
      </c>
      <c r="E806" s="241" t="s">
        <v>373</v>
      </c>
      <c r="F806" s="362">
        <f>opex_det!BJ$170</f>
        <v>9.4310986999999999E-2</v>
      </c>
      <c r="G806" s="458">
        <f>labcap_sources!$F$131*labcap_sources!$F$129</f>
        <v>1</v>
      </c>
      <c r="H806" s="362">
        <f t="shared" si="469"/>
        <v>9.4310986999999999E-2</v>
      </c>
      <c r="I806" s="368">
        <f>H806/H809*$F809</f>
        <v>9.4310986999999999E-2</v>
      </c>
      <c r="J806" s="458">
        <f>labcap_sources!$G$131*labcap_sources!$G$129</f>
        <v>0.92076923076923067</v>
      </c>
      <c r="K806" s="362">
        <f t="shared" ref="K806:K808" si="473">$H806*J806</f>
        <v>8.683865495307691E-2</v>
      </c>
      <c r="L806" s="368">
        <f>K806/K809*$F809</f>
        <v>8.6891116804692053E-2</v>
      </c>
      <c r="M806" s="458">
        <f>labcap_sources!$H$131*labcap_sources!$H$129</f>
        <v>0.68923076923076931</v>
      </c>
      <c r="N806" s="362">
        <f t="shared" ref="N806:N808" si="474">$H806*M806</f>
        <v>6.5002034116923083E-2</v>
      </c>
      <c r="O806" s="368">
        <f>N806/N809*$F809</f>
        <v>6.8513903810774393E-2</v>
      </c>
    </row>
    <row r="807" spans="1:15" x14ac:dyDescent="0.25">
      <c r="A807" s="2" t="s">
        <v>1206</v>
      </c>
      <c r="B807" s="5" t="s">
        <v>191</v>
      </c>
      <c r="C807" s="2" t="s">
        <v>190</v>
      </c>
      <c r="E807" s="241" t="s">
        <v>374</v>
      </c>
      <c r="F807" s="362">
        <f>opex_det!BJ$171</f>
        <v>7.6825457E-2</v>
      </c>
      <c r="G807" s="458">
        <f>labcap_sources!$F$131*labcap_sources!$F$130</f>
        <v>1</v>
      </c>
      <c r="H807" s="362">
        <f t="shared" si="469"/>
        <v>7.6825457E-2</v>
      </c>
      <c r="I807" s="368">
        <f>H807/H809*$F809</f>
        <v>7.6825457E-2</v>
      </c>
      <c r="J807" s="458">
        <f>labcap_sources!$G$131*labcap_sources!$G$130</f>
        <v>1.096153846153846</v>
      </c>
      <c r="K807" s="362">
        <f t="shared" si="473"/>
        <v>8.4212520173076913E-2</v>
      </c>
      <c r="L807" s="368">
        <f>K807/K809*$F809</f>
        <v>8.4263395497433835E-2</v>
      </c>
      <c r="M807" s="458">
        <f>labcap_sources!$H$131*labcap_sources!$H$130</f>
        <v>1.1692307692307693</v>
      </c>
      <c r="N807" s="362">
        <f t="shared" si="474"/>
        <v>8.9826688184615394E-2</v>
      </c>
      <c r="O807" s="368">
        <f>N807/N809*$F809</f>
        <v>9.467976129563753E-2</v>
      </c>
    </row>
    <row r="808" spans="1:15" x14ac:dyDescent="0.25">
      <c r="A808" s="2" t="s">
        <v>1206</v>
      </c>
      <c r="B808" s="5" t="s">
        <v>191</v>
      </c>
      <c r="C808" s="2" t="s">
        <v>190</v>
      </c>
      <c r="E808" s="240" t="s">
        <v>375</v>
      </c>
      <c r="F808" s="362">
        <f>opex_det!BJ$172</f>
        <v>4.4349530999999998E-2</v>
      </c>
      <c r="G808" s="458">
        <f>labcap_sources!$F$132</f>
        <v>1</v>
      </c>
      <c r="H808" s="362">
        <f t="shared" si="469"/>
        <v>4.4349530999999998E-2</v>
      </c>
      <c r="I808" s="368">
        <f>H808/H809*$F809</f>
        <v>4.4349530999999998E-2</v>
      </c>
      <c r="J808" s="458">
        <f>labcap_sources!$G$132</f>
        <v>1.05</v>
      </c>
      <c r="K808" s="362">
        <f t="shared" si="473"/>
        <v>4.6567007549999997E-2</v>
      </c>
      <c r="L808" s="368">
        <f>K808/K809*$F809</f>
        <v>4.6595140084314E-2</v>
      </c>
      <c r="M808" s="458">
        <f>labcap_sources!$H$132</f>
        <v>1.2</v>
      </c>
      <c r="N808" s="362">
        <f t="shared" si="474"/>
        <v>5.3219437199999997E-2</v>
      </c>
      <c r="O808" s="368">
        <f>N808/N809*$F809</f>
        <v>5.6094727660761817E-2</v>
      </c>
    </row>
    <row r="809" spans="1:15" x14ac:dyDescent="0.25">
      <c r="A809" s="2" t="s">
        <v>1206</v>
      </c>
      <c r="B809" s="5" t="s">
        <v>191</v>
      </c>
      <c r="C809" s="2" t="s">
        <v>190</v>
      </c>
      <c r="E809" s="19" t="s">
        <v>1077</v>
      </c>
      <c r="F809" s="363">
        <f>SUM(F805:F808)</f>
        <v>0.224170224</v>
      </c>
      <c r="G809" s="458"/>
      <c r="H809" s="363">
        <f>SUM(H805:H808)</f>
        <v>0.224170224</v>
      </c>
      <c r="I809" s="363">
        <f>SUM(I805:I808)</f>
        <v>0.224170224</v>
      </c>
      <c r="J809" s="458"/>
      <c r="K809" s="363">
        <f>SUM(K805:K808)</f>
        <v>0.22403487777059827</v>
      </c>
      <c r="L809" s="363">
        <f>SUM(L805:L808)</f>
        <v>0.224170224</v>
      </c>
      <c r="M809" s="458"/>
      <c r="N809" s="363">
        <f>SUM(N805:N808)</f>
        <v>0.21267975896820512</v>
      </c>
      <c r="O809" s="363">
        <f>SUM(O805:O808)</f>
        <v>0.224170224</v>
      </c>
    </row>
    <row r="810" spans="1:15" x14ac:dyDescent="0.25">
      <c r="A810" s="2" t="s">
        <v>1206</v>
      </c>
      <c r="B810" s="5" t="s">
        <v>191</v>
      </c>
      <c r="C810" s="2" t="s">
        <v>190</v>
      </c>
      <c r="E810" s="367" t="s">
        <v>1068</v>
      </c>
      <c r="F810" s="359">
        <f>opex_det!BJ$176</f>
        <v>5.7002699999999997E-4</v>
      </c>
      <c r="G810" s="458">
        <f>labcap_sources!$F$128</f>
        <v>1</v>
      </c>
      <c r="H810" s="369">
        <f t="shared" ref="H810:H819" si="475">$F810*G810</f>
        <v>5.7002699999999997E-4</v>
      </c>
      <c r="I810" s="357"/>
      <c r="J810" s="458">
        <f>labcap_sources!$G$128</f>
        <v>0.7777777777777779</v>
      </c>
      <c r="K810" s="369">
        <f>$H810*J810</f>
        <v>4.433543333333334E-4</v>
      </c>
      <c r="L810" s="360"/>
      <c r="M810" s="458">
        <f>labcap_sources!$H$128</f>
        <v>0.66666666666666663</v>
      </c>
      <c r="N810" s="369">
        <f>$H810*M810</f>
        <v>3.8001799999999998E-4</v>
      </c>
      <c r="O810" s="360"/>
    </row>
    <row r="811" spans="1:15" x14ac:dyDescent="0.25">
      <c r="A811" s="2" t="s">
        <v>1206</v>
      </c>
      <c r="B811" s="5" t="s">
        <v>191</v>
      </c>
      <c r="C811" s="2" t="s">
        <v>190</v>
      </c>
      <c r="E811" s="367" t="s">
        <v>1069</v>
      </c>
      <c r="F811" s="359">
        <f>opex_det!BJ$177</f>
        <v>3.66984E-4</v>
      </c>
      <c r="G811" s="458">
        <f>labcap_sources!$F$128</f>
        <v>1</v>
      </c>
      <c r="H811" s="369">
        <f t="shared" si="475"/>
        <v>3.66984E-4</v>
      </c>
      <c r="I811" s="357"/>
      <c r="J811" s="458">
        <f>labcap_sources!$G$128</f>
        <v>0.7777777777777779</v>
      </c>
      <c r="K811" s="369">
        <f t="shared" ref="K811:K815" si="476">$H811*J811</f>
        <v>2.8543200000000007E-4</v>
      </c>
      <c r="L811" s="360"/>
      <c r="M811" s="458">
        <f>labcap_sources!$H$128</f>
        <v>0.66666666666666663</v>
      </c>
      <c r="N811" s="369">
        <f t="shared" ref="N811" si="477">$H811*M811</f>
        <v>2.44656E-4</v>
      </c>
      <c r="O811" s="360"/>
    </row>
    <row r="812" spans="1:15" x14ac:dyDescent="0.25">
      <c r="A812" s="2" t="s">
        <v>1206</v>
      </c>
      <c r="B812" s="5" t="s">
        <v>191</v>
      </c>
      <c r="C812" s="2" t="s">
        <v>190</v>
      </c>
      <c r="E812" s="367" t="s">
        <v>1070</v>
      </c>
      <c r="F812" s="359">
        <f>opex_det!BJ$178</f>
        <v>7.0771999999999996E-3</v>
      </c>
      <c r="G812" s="458">
        <f>labcap_sources!$F$129</f>
        <v>1</v>
      </c>
      <c r="H812" s="369">
        <f t="shared" si="475"/>
        <v>7.0771999999999996E-3</v>
      </c>
      <c r="I812" s="357"/>
      <c r="J812" s="458">
        <f>labcap_sources!$G$129</f>
        <v>0.96923076923076923</v>
      </c>
      <c r="K812" s="369">
        <f t="shared" si="476"/>
        <v>6.8594399999999996E-3</v>
      </c>
      <c r="L812" s="360"/>
      <c r="M812" s="458">
        <f>labcap_sources!$H$129</f>
        <v>0.86153846153846159</v>
      </c>
      <c r="N812" s="369">
        <f>$H812*M812</f>
        <v>6.0972800000000001E-3</v>
      </c>
      <c r="O812" s="360"/>
    </row>
    <row r="813" spans="1:15" x14ac:dyDescent="0.25">
      <c r="A813" s="2" t="s">
        <v>1206</v>
      </c>
      <c r="B813" s="5" t="s">
        <v>191</v>
      </c>
      <c r="C813" s="2" t="s">
        <v>190</v>
      </c>
      <c r="E813" s="367" t="s">
        <v>1071</v>
      </c>
      <c r="F813" s="359">
        <f>opex_det!BJ$179</f>
        <v>1.5867920000000001E-3</v>
      </c>
      <c r="G813" s="458">
        <f>labcap_sources!$F$129</f>
        <v>1</v>
      </c>
      <c r="H813" s="369">
        <f t="shared" si="475"/>
        <v>1.5867920000000001E-3</v>
      </c>
      <c r="I813" s="357"/>
      <c r="J813" s="458">
        <f>labcap_sources!$G$129</f>
        <v>0.96923076923076923</v>
      </c>
      <c r="K813" s="369">
        <f t="shared" si="476"/>
        <v>1.5379676307692308E-3</v>
      </c>
      <c r="L813" s="360"/>
      <c r="M813" s="458">
        <f>labcap_sources!$H$129</f>
        <v>0.86153846153846159</v>
      </c>
      <c r="N813" s="369">
        <f t="shared" ref="N813:N815" si="478">$H813*M813</f>
        <v>1.3670823384615387E-3</v>
      </c>
      <c r="O813" s="360"/>
    </row>
    <row r="814" spans="1:15" x14ac:dyDescent="0.25">
      <c r="A814" s="2" t="s">
        <v>1206</v>
      </c>
      <c r="B814" s="5" t="s">
        <v>191</v>
      </c>
      <c r="C814" s="2" t="s">
        <v>190</v>
      </c>
      <c r="E814" s="367" t="s">
        <v>1072</v>
      </c>
      <c r="F814" s="359">
        <f>opex_det!BJ$180</f>
        <v>2.8247860000000001E-3</v>
      </c>
      <c r="G814" s="458">
        <f>labcap_sources!$F$130</f>
        <v>1</v>
      </c>
      <c r="H814" s="369">
        <f t="shared" si="475"/>
        <v>2.8247860000000001E-3</v>
      </c>
      <c r="I814" s="357"/>
      <c r="J814" s="458">
        <f>labcap_sources!$G$130</f>
        <v>1.1538461538461537</v>
      </c>
      <c r="K814" s="369">
        <f t="shared" si="476"/>
        <v>3.2593684615384614E-3</v>
      </c>
      <c r="L814" s="360"/>
      <c r="M814" s="458">
        <f>labcap_sources!$H$130</f>
        <v>1.4615384615384615</v>
      </c>
      <c r="N814" s="369">
        <f t="shared" si="478"/>
        <v>4.1285333846153849E-3</v>
      </c>
      <c r="O814" s="360"/>
    </row>
    <row r="815" spans="1:15" x14ac:dyDescent="0.25">
      <c r="A815" s="2" t="s">
        <v>1206</v>
      </c>
      <c r="B815" s="5" t="s">
        <v>191</v>
      </c>
      <c r="C815" s="2" t="s">
        <v>190</v>
      </c>
      <c r="E815" s="367" t="s">
        <v>1073</v>
      </c>
      <c r="F815" s="359">
        <f>opex_det!BJ$181</f>
        <v>7.5025199999999997E-4</v>
      </c>
      <c r="G815" s="458">
        <f>labcap_sources!$F$130</f>
        <v>1</v>
      </c>
      <c r="H815" s="369">
        <f t="shared" si="475"/>
        <v>7.5025199999999997E-4</v>
      </c>
      <c r="I815" s="357"/>
      <c r="J815" s="458">
        <f>labcap_sources!$G$130</f>
        <v>1.1538461538461537</v>
      </c>
      <c r="K815" s="369">
        <f t="shared" si="476"/>
        <v>8.6567538461538446E-4</v>
      </c>
      <c r="L815" s="360"/>
      <c r="M815" s="458">
        <f>labcap_sources!$H$130</f>
        <v>1.4615384615384615</v>
      </c>
      <c r="N815" s="369">
        <f t="shared" si="478"/>
        <v>1.0965221538461536E-3</v>
      </c>
      <c r="O815" s="360"/>
    </row>
    <row r="816" spans="1:15" x14ac:dyDescent="0.25">
      <c r="A816" s="2" t="s">
        <v>1206</v>
      </c>
      <c r="B816" s="5" t="s">
        <v>193</v>
      </c>
      <c r="C816" s="2" t="s">
        <v>192</v>
      </c>
      <c r="E816" s="241" t="s">
        <v>372</v>
      </c>
      <c r="F816" s="362">
        <f>opex_det!BK$169</f>
        <v>8.1242339999999993E-3</v>
      </c>
      <c r="G816" s="458">
        <f>labcap_sources!$F$131*labcap_sources!$F$128</f>
        <v>1</v>
      </c>
      <c r="H816" s="362">
        <f t="shared" si="475"/>
        <v>8.1242339999999993E-3</v>
      </c>
      <c r="I816" s="368">
        <f>H816/H820*$F820</f>
        <v>8.1242339999999993E-3</v>
      </c>
      <c r="J816" s="458">
        <f>labcap_sources!$G$131*labcap_sources!$G$128</f>
        <v>0.73888888888888893</v>
      </c>
      <c r="K816" s="362">
        <f>$H816*J816</f>
        <v>6.0029062333333333E-3</v>
      </c>
      <c r="L816" s="368">
        <f>K816/K820*$F820</f>
        <v>6.0135764078035354E-3</v>
      </c>
      <c r="M816" s="458">
        <f>labcap_sources!$H$131*labcap_sources!$H$128</f>
        <v>0.53333333333333333</v>
      </c>
      <c r="N816" s="362">
        <f>$H816*M816</f>
        <v>4.3329247999999996E-3</v>
      </c>
      <c r="O816" s="368">
        <f>N816/N820*$F820</f>
        <v>4.5934733269999192E-3</v>
      </c>
    </row>
    <row r="817" spans="1:15" x14ac:dyDescent="0.25">
      <c r="A817" s="2" t="s">
        <v>1206</v>
      </c>
      <c r="B817" s="5" t="s">
        <v>193</v>
      </c>
      <c r="C817" s="2" t="s">
        <v>192</v>
      </c>
      <c r="E817" s="241" t="s">
        <v>373</v>
      </c>
      <c r="F817" s="362">
        <f>opex_det!BK$170</f>
        <v>8.7404361E-2</v>
      </c>
      <c r="G817" s="458">
        <f>labcap_sources!$F$131*labcap_sources!$F$129</f>
        <v>1</v>
      </c>
      <c r="H817" s="362">
        <f t="shared" si="475"/>
        <v>8.7404361E-2</v>
      </c>
      <c r="I817" s="368">
        <f>H817/H820*$F820</f>
        <v>8.7404361E-2</v>
      </c>
      <c r="J817" s="458">
        <f>labcap_sources!$G$131*labcap_sources!$G$129</f>
        <v>0.92076923076923067</v>
      </c>
      <c r="K817" s="362">
        <f t="shared" ref="K817:K819" si="479">$H817*J817</f>
        <v>8.0479246243846142E-2</v>
      </c>
      <c r="L817" s="368">
        <f>K817/K820*$F820</f>
        <v>8.0622298219884647E-2</v>
      </c>
      <c r="M817" s="458">
        <f>labcap_sources!$H$131*labcap_sources!$H$129</f>
        <v>0.68923076923076931</v>
      </c>
      <c r="N817" s="362">
        <f t="shared" ref="N817:N819" si="480">$H817*M817</f>
        <v>6.0241774966153856E-2</v>
      </c>
      <c r="O817" s="368">
        <f>N817/N820*$F820</f>
        <v>6.3864248573656107E-2</v>
      </c>
    </row>
    <row r="818" spans="1:15" x14ac:dyDescent="0.25">
      <c r="A818" s="2" t="s">
        <v>1206</v>
      </c>
      <c r="B818" s="5" t="s">
        <v>193</v>
      </c>
      <c r="C818" s="2" t="s">
        <v>192</v>
      </c>
      <c r="E818" s="241" t="s">
        <v>374</v>
      </c>
      <c r="F818" s="362">
        <f>opex_det!BK$171</f>
        <v>7.1183056999999994E-2</v>
      </c>
      <c r="G818" s="458">
        <f>labcap_sources!$F$131*labcap_sources!$F$130</f>
        <v>1</v>
      </c>
      <c r="H818" s="362">
        <f t="shared" si="475"/>
        <v>7.1183056999999994E-2</v>
      </c>
      <c r="I818" s="368">
        <f>H818/H820*$F820</f>
        <v>7.1183056999999994E-2</v>
      </c>
      <c r="J818" s="458">
        <f>labcap_sources!$G$131*labcap_sources!$G$130</f>
        <v>1.096153846153846</v>
      </c>
      <c r="K818" s="362">
        <f t="shared" si="479"/>
        <v>7.8027581711538452E-2</v>
      </c>
      <c r="L818" s="368">
        <f>K818/K820*$F820</f>
        <v>7.8166275850341901E-2</v>
      </c>
      <c r="M818" s="458">
        <f>labcap_sources!$H$131*labcap_sources!$H$130</f>
        <v>1.1692307692307693</v>
      </c>
      <c r="N818" s="362">
        <f t="shared" si="480"/>
        <v>8.3229420492307693E-2</v>
      </c>
      <c r="O818" s="368">
        <f>N818/N820*$F820</f>
        <v>8.8234192998935937E-2</v>
      </c>
    </row>
    <row r="819" spans="1:15" x14ac:dyDescent="0.25">
      <c r="A819" s="2" t="s">
        <v>1206</v>
      </c>
      <c r="B819" s="5" t="s">
        <v>193</v>
      </c>
      <c r="C819" s="2" t="s">
        <v>192</v>
      </c>
      <c r="E819" s="240" t="s">
        <v>375</v>
      </c>
      <c r="F819" s="362">
        <f>opex_det!BK$172</f>
        <v>3.6815788000000002E-2</v>
      </c>
      <c r="G819" s="458">
        <f>labcap_sources!$F$132</f>
        <v>1</v>
      </c>
      <c r="H819" s="362">
        <f t="shared" si="475"/>
        <v>3.6815788000000002E-2</v>
      </c>
      <c r="I819" s="368">
        <f>H819/H820*$F820</f>
        <v>3.6815788000000002E-2</v>
      </c>
      <c r="J819" s="458">
        <f>labcap_sources!$G$132</f>
        <v>1.05</v>
      </c>
      <c r="K819" s="362">
        <f t="shared" si="479"/>
        <v>3.8656577400000003E-2</v>
      </c>
      <c r="L819" s="368">
        <f>K819/K820*$F820</f>
        <v>3.8725289521969936E-2</v>
      </c>
      <c r="M819" s="458">
        <f>labcap_sources!$H$132</f>
        <v>1.2</v>
      </c>
      <c r="N819" s="362">
        <f t="shared" si="480"/>
        <v>4.4178945599999998E-2</v>
      </c>
      <c r="O819" s="368">
        <f>N819/N820*$F820</f>
        <v>4.6835525100408032E-2</v>
      </c>
    </row>
    <row r="820" spans="1:15" x14ac:dyDescent="0.25">
      <c r="A820" s="2" t="s">
        <v>1206</v>
      </c>
      <c r="B820" s="5" t="s">
        <v>193</v>
      </c>
      <c r="C820" s="2" t="s">
        <v>192</v>
      </c>
      <c r="E820" s="19" t="s">
        <v>1077</v>
      </c>
      <c r="F820" s="363">
        <f>SUM(F816:F819)</f>
        <v>0.20352744</v>
      </c>
      <c r="G820" s="458"/>
      <c r="H820" s="363">
        <f>SUM(H816:H819)</f>
        <v>0.20352744</v>
      </c>
      <c r="I820" s="363">
        <f>SUM(I816:I819)</f>
        <v>0.20352744</v>
      </c>
      <c r="J820" s="458"/>
      <c r="K820" s="363">
        <f>SUM(K816:K819)</f>
        <v>0.20316631158871792</v>
      </c>
      <c r="L820" s="363">
        <f>SUM(L816:L819)</f>
        <v>0.20352744000000003</v>
      </c>
      <c r="M820" s="458"/>
      <c r="N820" s="363">
        <f>SUM(N816:N819)</f>
        <v>0.19198306585846156</v>
      </c>
      <c r="O820" s="363">
        <f>SUM(O816:O819)</f>
        <v>0.20352743999999998</v>
      </c>
    </row>
    <row r="821" spans="1:15" x14ac:dyDescent="0.25">
      <c r="A821" s="2" t="s">
        <v>1206</v>
      </c>
      <c r="B821" s="5" t="s">
        <v>193</v>
      </c>
      <c r="C821" s="2" t="s">
        <v>192</v>
      </c>
      <c r="E821" s="367" t="s">
        <v>1068</v>
      </c>
      <c r="F821" s="359">
        <f>opex_det!BK$176</f>
        <v>3.1975599999999998E-4</v>
      </c>
      <c r="G821" s="458">
        <f>labcap_sources!$F$128</f>
        <v>1</v>
      </c>
      <c r="H821" s="369">
        <f t="shared" ref="H821:H830" si="481">$F821*G821</f>
        <v>3.1975599999999998E-4</v>
      </c>
      <c r="I821" s="357"/>
      <c r="J821" s="458">
        <f>labcap_sources!$G$128</f>
        <v>0.7777777777777779</v>
      </c>
      <c r="K821" s="369">
        <f>$H821*J821</f>
        <v>2.4869911111111116E-4</v>
      </c>
      <c r="L821" s="360"/>
      <c r="M821" s="458">
        <f>labcap_sources!$H$128</f>
        <v>0.66666666666666663</v>
      </c>
      <c r="N821" s="369">
        <f>$H821*M821</f>
        <v>2.1317066666666663E-4</v>
      </c>
      <c r="O821" s="360"/>
    </row>
    <row r="822" spans="1:15" x14ac:dyDescent="0.25">
      <c r="A822" s="2" t="s">
        <v>1206</v>
      </c>
      <c r="B822" s="5" t="s">
        <v>193</v>
      </c>
      <c r="C822" s="2" t="s">
        <v>192</v>
      </c>
      <c r="E822" s="367" t="s">
        <v>1069</v>
      </c>
      <c r="F822" s="359">
        <f>opex_det!BK$177</f>
        <v>2.9456099999999999E-4</v>
      </c>
      <c r="G822" s="458">
        <f>labcap_sources!$F$128</f>
        <v>1</v>
      </c>
      <c r="H822" s="369">
        <f t="shared" si="481"/>
        <v>2.9456099999999999E-4</v>
      </c>
      <c r="I822" s="357"/>
      <c r="J822" s="458">
        <f>labcap_sources!$G$128</f>
        <v>0.7777777777777779</v>
      </c>
      <c r="K822" s="369">
        <f t="shared" ref="K822:K826" si="482">$H822*J822</f>
        <v>2.2910300000000003E-4</v>
      </c>
      <c r="L822" s="360"/>
      <c r="M822" s="458">
        <f>labcap_sources!$H$128</f>
        <v>0.66666666666666663</v>
      </c>
      <c r="N822" s="369">
        <f t="shared" ref="N822" si="483">$H822*M822</f>
        <v>1.9637399999999997E-4</v>
      </c>
      <c r="O822" s="360"/>
    </row>
    <row r="823" spans="1:15" x14ac:dyDescent="0.25">
      <c r="A823" s="2" t="s">
        <v>1206</v>
      </c>
      <c r="B823" s="5" t="s">
        <v>193</v>
      </c>
      <c r="C823" s="2" t="s">
        <v>192</v>
      </c>
      <c r="E823" s="367" t="s">
        <v>1070</v>
      </c>
      <c r="F823" s="359">
        <f>opex_det!BK$178</f>
        <v>4.1411039999999996E-3</v>
      </c>
      <c r="G823" s="458">
        <f>labcap_sources!$F$129</f>
        <v>1</v>
      </c>
      <c r="H823" s="369">
        <f t="shared" si="481"/>
        <v>4.1411039999999996E-3</v>
      </c>
      <c r="I823" s="357"/>
      <c r="J823" s="458">
        <f>labcap_sources!$G$129</f>
        <v>0.96923076923076923</v>
      </c>
      <c r="K823" s="369">
        <f t="shared" si="482"/>
        <v>4.0136854153846151E-3</v>
      </c>
      <c r="L823" s="360"/>
      <c r="M823" s="458">
        <f>labcap_sources!$H$129</f>
        <v>0.86153846153846159</v>
      </c>
      <c r="N823" s="369">
        <f>$H823*M823</f>
        <v>3.5677203692307691E-3</v>
      </c>
      <c r="O823" s="360"/>
    </row>
    <row r="824" spans="1:15" x14ac:dyDescent="0.25">
      <c r="A824" s="2" t="s">
        <v>1206</v>
      </c>
      <c r="B824" s="5" t="s">
        <v>193</v>
      </c>
      <c r="C824" s="2" t="s">
        <v>192</v>
      </c>
      <c r="E824" s="367" t="s">
        <v>1071</v>
      </c>
      <c r="F824" s="359">
        <f>opex_det!BK$179</f>
        <v>1.1073260000000001E-3</v>
      </c>
      <c r="G824" s="458">
        <f>labcap_sources!$F$129</f>
        <v>1</v>
      </c>
      <c r="H824" s="369">
        <f t="shared" si="481"/>
        <v>1.1073260000000001E-3</v>
      </c>
      <c r="I824" s="357"/>
      <c r="J824" s="458">
        <f>labcap_sources!$G$129</f>
        <v>0.96923076923076923</v>
      </c>
      <c r="K824" s="369">
        <f t="shared" si="482"/>
        <v>1.0732544307692309E-3</v>
      </c>
      <c r="L824" s="360"/>
      <c r="M824" s="458">
        <f>labcap_sources!$H$129</f>
        <v>0.86153846153846159</v>
      </c>
      <c r="N824" s="369">
        <f t="shared" ref="N824:N826" si="484">$H824*M824</f>
        <v>9.5400393846153855E-4</v>
      </c>
      <c r="O824" s="360"/>
    </row>
    <row r="825" spans="1:15" x14ac:dyDescent="0.25">
      <c r="A825" s="2" t="s">
        <v>1206</v>
      </c>
      <c r="B825" s="5" t="s">
        <v>193</v>
      </c>
      <c r="C825" s="2" t="s">
        <v>192</v>
      </c>
      <c r="E825" s="367" t="s">
        <v>1072</v>
      </c>
      <c r="F825" s="359">
        <f>opex_det!BK$180</f>
        <v>1.6244919999999999E-3</v>
      </c>
      <c r="G825" s="458">
        <f>labcap_sources!$F$130</f>
        <v>1</v>
      </c>
      <c r="H825" s="369">
        <f t="shared" si="481"/>
        <v>1.6244919999999999E-3</v>
      </c>
      <c r="I825" s="357"/>
      <c r="J825" s="458">
        <f>labcap_sources!$G$130</f>
        <v>1.1538461538461537</v>
      </c>
      <c r="K825" s="369">
        <f t="shared" si="482"/>
        <v>1.8744138461538459E-3</v>
      </c>
      <c r="L825" s="360"/>
      <c r="M825" s="458">
        <f>labcap_sources!$H$130</f>
        <v>1.4615384615384615</v>
      </c>
      <c r="N825" s="369">
        <f t="shared" si="484"/>
        <v>2.3742575384615382E-3</v>
      </c>
      <c r="O825" s="360"/>
    </row>
    <row r="826" spans="1:15" x14ac:dyDescent="0.25">
      <c r="A826" s="2" t="s">
        <v>1206</v>
      </c>
      <c r="B826" s="5" t="s">
        <v>193</v>
      </c>
      <c r="C826" s="2" t="s">
        <v>192</v>
      </c>
      <c r="E826" s="367" t="s">
        <v>1073</v>
      </c>
      <c r="F826" s="359">
        <f>opex_det!BK$181</f>
        <v>4.38023E-4</v>
      </c>
      <c r="G826" s="458">
        <f>labcap_sources!$F$130</f>
        <v>1</v>
      </c>
      <c r="H826" s="369">
        <f t="shared" si="481"/>
        <v>4.38023E-4</v>
      </c>
      <c r="I826" s="357"/>
      <c r="J826" s="458">
        <f>labcap_sources!$G$130</f>
        <v>1.1538461538461537</v>
      </c>
      <c r="K826" s="369">
        <f t="shared" si="482"/>
        <v>5.054111538461538E-4</v>
      </c>
      <c r="L826" s="360"/>
      <c r="M826" s="458">
        <f>labcap_sources!$H$130</f>
        <v>1.4615384615384615</v>
      </c>
      <c r="N826" s="369">
        <f t="shared" si="484"/>
        <v>6.4018746153846149E-4</v>
      </c>
      <c r="O826" s="360"/>
    </row>
    <row r="827" spans="1:15" x14ac:dyDescent="0.25">
      <c r="A827" s="2" t="s">
        <v>1206</v>
      </c>
      <c r="B827" s="5" t="s">
        <v>195</v>
      </c>
      <c r="C827" s="2" t="s">
        <v>194</v>
      </c>
      <c r="E827" s="241" t="s">
        <v>372</v>
      </c>
      <c r="F827" s="362">
        <f>opex_det!BL$169</f>
        <v>1.4842049999999999E-3</v>
      </c>
      <c r="G827" s="458">
        <f>labcap_sources!$F$131*labcap_sources!$F$128</f>
        <v>1</v>
      </c>
      <c r="H827" s="362">
        <f t="shared" si="481"/>
        <v>1.4842049999999999E-3</v>
      </c>
      <c r="I827" s="368">
        <f>H827/H831*$F831</f>
        <v>1.4842049999999999E-3</v>
      </c>
      <c r="J827" s="458">
        <f>labcap_sources!$G$131*labcap_sources!$G$128</f>
        <v>0.73888888888888893</v>
      </c>
      <c r="K827" s="362">
        <f>$H827*J827</f>
        <v>1.0966625833333334E-3</v>
      </c>
      <c r="L827" s="368">
        <f>K827/K831*$F831</f>
        <v>1.1008128703043989E-3</v>
      </c>
      <c r="M827" s="458">
        <f>labcap_sources!$H$131*labcap_sources!$H$128</f>
        <v>0.53333333333333333</v>
      </c>
      <c r="N827" s="362">
        <f>$H827*M827</f>
        <v>7.91576E-4</v>
      </c>
      <c r="O827" s="368">
        <f>N827/N831*$F831</f>
        <v>8.4510485695673838E-4</v>
      </c>
    </row>
    <row r="828" spans="1:15" x14ac:dyDescent="0.25">
      <c r="A828" s="2" t="s">
        <v>1206</v>
      </c>
      <c r="B828" s="5" t="s">
        <v>195</v>
      </c>
      <c r="C828" s="2" t="s">
        <v>194</v>
      </c>
      <c r="E828" s="241" t="s">
        <v>373</v>
      </c>
      <c r="F828" s="362">
        <f>opex_det!BL$170</f>
        <v>1.4693895E-2</v>
      </c>
      <c r="G828" s="458">
        <f>labcap_sources!$F$131*labcap_sources!$F$129</f>
        <v>1</v>
      </c>
      <c r="H828" s="362">
        <f t="shared" si="481"/>
        <v>1.4693895E-2</v>
      </c>
      <c r="I828" s="368">
        <f>H828/H831*$F831</f>
        <v>1.4693895E-2</v>
      </c>
      <c r="J828" s="458">
        <f>labcap_sources!$G$131*labcap_sources!$G$129</f>
        <v>0.92076923076923067</v>
      </c>
      <c r="K828" s="362">
        <f t="shared" ref="K828:K830" si="485">$H828*J828</f>
        <v>1.3529686396153845E-2</v>
      </c>
      <c r="L828" s="368">
        <f>K828/K831*$F831</f>
        <v>1.3580889092430654E-2</v>
      </c>
      <c r="M828" s="458">
        <f>labcap_sources!$H$131*labcap_sources!$H$129</f>
        <v>0.68923076923076931</v>
      </c>
      <c r="N828" s="362">
        <f t="shared" ref="N828:N830" si="486">$H828*M828</f>
        <v>1.0127484553846156E-2</v>
      </c>
      <c r="O828" s="368">
        <f>N828/N831*$F831</f>
        <v>1.0812336888952841E-2</v>
      </c>
    </row>
    <row r="829" spans="1:15" x14ac:dyDescent="0.25">
      <c r="A829" s="2" t="s">
        <v>1206</v>
      </c>
      <c r="B829" s="5" t="s">
        <v>195</v>
      </c>
      <c r="C829" s="2" t="s">
        <v>194</v>
      </c>
      <c r="E829" s="241" t="s">
        <v>374</v>
      </c>
      <c r="F829" s="362">
        <f>opex_det!BL$171</f>
        <v>1.1941482999999999E-2</v>
      </c>
      <c r="G829" s="458">
        <f>labcap_sources!$F$131*labcap_sources!$F$130</f>
        <v>1</v>
      </c>
      <c r="H829" s="362">
        <f t="shared" si="481"/>
        <v>1.1941482999999999E-2</v>
      </c>
      <c r="I829" s="368">
        <f>H829/H831*$F831</f>
        <v>1.1941482999999999E-2</v>
      </c>
      <c r="J829" s="458">
        <f>labcap_sources!$G$131*labcap_sources!$G$130</f>
        <v>1.096153846153846</v>
      </c>
      <c r="K829" s="362">
        <f t="shared" si="485"/>
        <v>1.3089702519230768E-2</v>
      </c>
      <c r="L829" s="368">
        <f>K829/K831*$F831</f>
        <v>1.313924010959476E-2</v>
      </c>
      <c r="M829" s="458">
        <f>labcap_sources!$H$131*labcap_sources!$H$130</f>
        <v>1.1692307692307693</v>
      </c>
      <c r="N829" s="362">
        <f t="shared" si="486"/>
        <v>1.3962349353846154E-2</v>
      </c>
      <c r="O829" s="368">
        <f>N829/N831*$F831</f>
        <v>1.4906527299289221E-2</v>
      </c>
    </row>
    <row r="830" spans="1:15" x14ac:dyDescent="0.25">
      <c r="A830" s="2" t="s">
        <v>1206</v>
      </c>
      <c r="B830" s="5" t="s">
        <v>195</v>
      </c>
      <c r="C830" s="2" t="s">
        <v>194</v>
      </c>
      <c r="E830" s="240" t="s">
        <v>375</v>
      </c>
      <c r="F830" s="362">
        <f>opex_det!BL$172</f>
        <v>5.5330830000000003E-3</v>
      </c>
      <c r="G830" s="458">
        <f>labcap_sources!$F$132</f>
        <v>1</v>
      </c>
      <c r="H830" s="362">
        <f t="shared" si="481"/>
        <v>5.5330830000000003E-3</v>
      </c>
      <c r="I830" s="368">
        <f>H830/H831*$F831</f>
        <v>5.5330830000000003E-3</v>
      </c>
      <c r="J830" s="458">
        <f>labcap_sources!$G$132</f>
        <v>1.05</v>
      </c>
      <c r="K830" s="362">
        <f t="shared" si="485"/>
        <v>5.8097371500000008E-3</v>
      </c>
      <c r="L830" s="368">
        <f>K830/K831*$F831</f>
        <v>5.8317239276701842E-3</v>
      </c>
      <c r="M830" s="458">
        <f>labcap_sources!$H$132</f>
        <v>1.2</v>
      </c>
      <c r="N830" s="362">
        <f t="shared" si="486"/>
        <v>6.6396996E-3</v>
      </c>
      <c r="O830" s="368">
        <f>N830/N831*$F831</f>
        <v>7.0886969548011984E-3</v>
      </c>
    </row>
    <row r="831" spans="1:15" x14ac:dyDescent="0.25">
      <c r="A831" s="2" t="s">
        <v>1206</v>
      </c>
      <c r="B831" s="5" t="s">
        <v>195</v>
      </c>
      <c r="C831" s="2" t="s">
        <v>194</v>
      </c>
      <c r="E831" s="19" t="s">
        <v>1077</v>
      </c>
      <c r="F831" s="363">
        <f>SUM(F827:F830)</f>
        <v>3.3652665999999998E-2</v>
      </c>
      <c r="G831" s="458"/>
      <c r="H831" s="363">
        <f>SUM(H827:H830)</f>
        <v>3.3652665999999998E-2</v>
      </c>
      <c r="I831" s="363">
        <f>SUM(I827:I830)</f>
        <v>3.3652665999999998E-2</v>
      </c>
      <c r="J831" s="458"/>
      <c r="K831" s="363">
        <f>SUM(K827:K830)</f>
        <v>3.3525788648717948E-2</v>
      </c>
      <c r="L831" s="363">
        <f>SUM(L827:L830)</f>
        <v>3.3652665999999998E-2</v>
      </c>
      <c r="M831" s="458"/>
      <c r="N831" s="363">
        <f>SUM(N827:N830)</f>
        <v>3.152110950769231E-2</v>
      </c>
      <c r="O831" s="363">
        <f>SUM(O827:O830)</f>
        <v>3.3652665999999998E-2</v>
      </c>
    </row>
    <row r="832" spans="1:15" x14ac:dyDescent="0.25">
      <c r="A832" s="2" t="s">
        <v>1206</v>
      </c>
      <c r="B832" s="5" t="s">
        <v>195</v>
      </c>
      <c r="C832" s="2" t="s">
        <v>194</v>
      </c>
      <c r="E832" s="367" t="s">
        <v>1068</v>
      </c>
      <c r="F832" s="359">
        <f>opex_det!BL$176</f>
        <v>3.8000000000000002E-5</v>
      </c>
      <c r="G832" s="458">
        <f>labcap_sources!$F$128</f>
        <v>1</v>
      </c>
      <c r="H832" s="369">
        <f t="shared" ref="H832:H841" si="487">$F832*G832</f>
        <v>3.8000000000000002E-5</v>
      </c>
      <c r="I832" s="357"/>
      <c r="J832" s="458">
        <f>labcap_sources!$G$128</f>
        <v>0.7777777777777779</v>
      </c>
      <c r="K832" s="369">
        <f>$H832*J832</f>
        <v>2.9555555555555563E-5</v>
      </c>
      <c r="L832" s="360"/>
      <c r="M832" s="458">
        <f>labcap_sources!$H$128</f>
        <v>0.66666666666666663</v>
      </c>
      <c r="N832" s="369">
        <f>$H832*M832</f>
        <v>2.5333333333333334E-5</v>
      </c>
      <c r="O832" s="360"/>
    </row>
    <row r="833" spans="1:15" x14ac:dyDescent="0.25">
      <c r="A833" s="2" t="s">
        <v>1206</v>
      </c>
      <c r="B833" s="5" t="s">
        <v>195</v>
      </c>
      <c r="C833" s="2" t="s">
        <v>194</v>
      </c>
      <c r="E833" s="367" t="s">
        <v>1069</v>
      </c>
      <c r="F833" s="359">
        <f>opex_det!BL$177</f>
        <v>3.9700000000000003E-5</v>
      </c>
      <c r="G833" s="458">
        <f>labcap_sources!$F$128</f>
        <v>1</v>
      </c>
      <c r="H833" s="369">
        <f t="shared" si="487"/>
        <v>3.9700000000000003E-5</v>
      </c>
      <c r="I833" s="357"/>
      <c r="J833" s="458">
        <f>labcap_sources!$G$128</f>
        <v>0.7777777777777779</v>
      </c>
      <c r="K833" s="369">
        <f t="shared" ref="K833:K837" si="488">$H833*J833</f>
        <v>3.0877777777777787E-5</v>
      </c>
      <c r="L833" s="360"/>
      <c r="M833" s="458">
        <f>labcap_sources!$H$128</f>
        <v>0.66666666666666663</v>
      </c>
      <c r="N833" s="369">
        <f t="shared" ref="N833" si="489">$H833*M833</f>
        <v>2.6466666666666669E-5</v>
      </c>
      <c r="O833" s="360"/>
    </row>
    <row r="834" spans="1:15" x14ac:dyDescent="0.25">
      <c r="A834" s="2" t="s">
        <v>1206</v>
      </c>
      <c r="B834" s="5" t="s">
        <v>195</v>
      </c>
      <c r="C834" s="2" t="s">
        <v>194</v>
      </c>
      <c r="E834" s="367" t="s">
        <v>1070</v>
      </c>
      <c r="F834" s="359">
        <f>opex_det!BL$178</f>
        <v>4.4878000000000002E-4</v>
      </c>
      <c r="G834" s="458">
        <f>labcap_sources!$F$129</f>
        <v>1</v>
      </c>
      <c r="H834" s="369">
        <f t="shared" si="487"/>
        <v>4.4878000000000002E-4</v>
      </c>
      <c r="I834" s="357"/>
      <c r="J834" s="458">
        <f>labcap_sources!$G$129</f>
        <v>0.96923076923076923</v>
      </c>
      <c r="K834" s="369">
        <f t="shared" si="488"/>
        <v>4.3497138461538466E-4</v>
      </c>
      <c r="L834" s="360"/>
      <c r="M834" s="458">
        <f>labcap_sources!$H$129</f>
        <v>0.86153846153846159</v>
      </c>
      <c r="N834" s="369">
        <f>$H834*M834</f>
        <v>3.8664123076923083E-4</v>
      </c>
      <c r="O834" s="360"/>
    </row>
    <row r="835" spans="1:15" x14ac:dyDescent="0.25">
      <c r="A835" s="2" t="s">
        <v>1206</v>
      </c>
      <c r="B835" s="5" t="s">
        <v>195</v>
      </c>
      <c r="C835" s="2" t="s">
        <v>194</v>
      </c>
      <c r="E835" s="367" t="s">
        <v>1071</v>
      </c>
      <c r="F835" s="359">
        <f>opex_det!BL$179</f>
        <v>1.65534E-4</v>
      </c>
      <c r="G835" s="458">
        <f>labcap_sources!$F$129</f>
        <v>1</v>
      </c>
      <c r="H835" s="369">
        <f t="shared" si="487"/>
        <v>1.65534E-4</v>
      </c>
      <c r="I835" s="357"/>
      <c r="J835" s="458">
        <f>labcap_sources!$G$129</f>
        <v>0.96923076923076923</v>
      </c>
      <c r="K835" s="369">
        <f t="shared" si="488"/>
        <v>1.6044064615384617E-4</v>
      </c>
      <c r="L835" s="360"/>
      <c r="M835" s="458">
        <f>labcap_sources!$H$129</f>
        <v>0.86153846153846159</v>
      </c>
      <c r="N835" s="369">
        <f t="shared" ref="N835:N837" si="490">$H835*M835</f>
        <v>1.4261390769230769E-4</v>
      </c>
      <c r="O835" s="360"/>
    </row>
    <row r="836" spans="1:15" x14ac:dyDescent="0.25">
      <c r="A836" s="2" t="s">
        <v>1206</v>
      </c>
      <c r="B836" s="5" t="s">
        <v>195</v>
      </c>
      <c r="C836" s="2" t="s">
        <v>194</v>
      </c>
      <c r="E836" s="367" t="s">
        <v>1072</v>
      </c>
      <c r="F836" s="359">
        <f>opex_det!BL$180</f>
        <v>1.7437799999999999E-4</v>
      </c>
      <c r="G836" s="458">
        <f>labcap_sources!$F$130</f>
        <v>1</v>
      </c>
      <c r="H836" s="369">
        <f t="shared" si="487"/>
        <v>1.7437799999999999E-4</v>
      </c>
      <c r="I836" s="357"/>
      <c r="J836" s="458">
        <f>labcap_sources!$G$130</f>
        <v>1.1538461538461537</v>
      </c>
      <c r="K836" s="369">
        <f t="shared" si="488"/>
        <v>2.0120538461538458E-4</v>
      </c>
      <c r="L836" s="360"/>
      <c r="M836" s="458">
        <f>labcap_sources!$H$130</f>
        <v>1.4615384615384615</v>
      </c>
      <c r="N836" s="369">
        <f t="shared" si="490"/>
        <v>2.5486015384615379E-4</v>
      </c>
      <c r="O836" s="360"/>
    </row>
    <row r="837" spans="1:15" x14ac:dyDescent="0.25">
      <c r="A837" s="2" t="s">
        <v>1206</v>
      </c>
      <c r="B837" s="5" t="s">
        <v>195</v>
      </c>
      <c r="C837" s="2" t="s">
        <v>194</v>
      </c>
      <c r="E837" s="367" t="s">
        <v>1073</v>
      </c>
      <c r="F837" s="359">
        <f>opex_det!BL$181</f>
        <v>6.6799999999999997E-5</v>
      </c>
      <c r="G837" s="458">
        <f>labcap_sources!$F$130</f>
        <v>1</v>
      </c>
      <c r="H837" s="369">
        <f t="shared" si="487"/>
        <v>6.6799999999999997E-5</v>
      </c>
      <c r="I837" s="357"/>
      <c r="J837" s="458">
        <f>labcap_sources!$G$130</f>
        <v>1.1538461538461537</v>
      </c>
      <c r="K837" s="369">
        <f t="shared" si="488"/>
        <v>7.7076923076923063E-5</v>
      </c>
      <c r="L837" s="360"/>
      <c r="M837" s="458">
        <f>labcap_sources!$H$130</f>
        <v>1.4615384615384615</v>
      </c>
      <c r="N837" s="369">
        <f t="shared" si="490"/>
        <v>9.7630769230769223E-5</v>
      </c>
      <c r="O837" s="360"/>
    </row>
    <row r="838" spans="1:15" x14ac:dyDescent="0.25">
      <c r="A838" s="2" t="s">
        <v>1206</v>
      </c>
      <c r="B838" s="5" t="s">
        <v>197</v>
      </c>
      <c r="C838" s="2" t="s">
        <v>196</v>
      </c>
      <c r="E838" s="241" t="s">
        <v>372</v>
      </c>
      <c r="F838" s="362">
        <f>opex_det!BM$169</f>
        <v>9.3267220000000008E-3</v>
      </c>
      <c r="G838" s="458">
        <f>labcap_sources!$F$131*labcap_sources!$F$128</f>
        <v>1</v>
      </c>
      <c r="H838" s="362">
        <f t="shared" si="487"/>
        <v>9.3267220000000008E-3</v>
      </c>
      <c r="I838" s="368">
        <f>H838/H842*$F842</f>
        <v>9.3267220000000008E-3</v>
      </c>
      <c r="J838" s="458">
        <f>labcap_sources!$G$131*labcap_sources!$G$128</f>
        <v>0.73888888888888893</v>
      </c>
      <c r="K838" s="362">
        <f>$H838*J838</f>
        <v>6.8914112555555568E-3</v>
      </c>
      <c r="L838" s="368">
        <f>K838/K842*$F842</f>
        <v>6.9347022160377823E-3</v>
      </c>
      <c r="M838" s="458">
        <f>labcap_sources!$H$131*labcap_sources!$H$128</f>
        <v>0.53333333333333333</v>
      </c>
      <c r="N838" s="362">
        <f>$H838*M838</f>
        <v>4.974251733333334E-3</v>
      </c>
      <c r="O838" s="368">
        <f>N838/N842*$F842</f>
        <v>5.3308564297238886E-3</v>
      </c>
    </row>
    <row r="839" spans="1:15" x14ac:dyDescent="0.25">
      <c r="A839" s="2" t="s">
        <v>1206</v>
      </c>
      <c r="B839" s="5" t="s">
        <v>197</v>
      </c>
      <c r="C839" s="2" t="s">
        <v>196</v>
      </c>
      <c r="E839" s="241" t="s">
        <v>373</v>
      </c>
      <c r="F839" s="362">
        <f>opex_det!BM$170</f>
        <v>7.6008618E-2</v>
      </c>
      <c r="G839" s="458">
        <f>labcap_sources!$F$131*labcap_sources!$F$129</f>
        <v>1</v>
      </c>
      <c r="H839" s="362">
        <f t="shared" si="487"/>
        <v>7.6008618E-2</v>
      </c>
      <c r="I839" s="368">
        <f>H839/H842*$F842</f>
        <v>7.6008618E-2</v>
      </c>
      <c r="J839" s="458">
        <f>labcap_sources!$G$131*labcap_sources!$G$129</f>
        <v>0.92076923076923067</v>
      </c>
      <c r="K839" s="362">
        <f t="shared" ref="K839:K841" si="491">$H839*J839</f>
        <v>6.9986396727692302E-2</v>
      </c>
      <c r="L839" s="368">
        <f>K839/K842*$F842</f>
        <v>7.0426042283976503E-2</v>
      </c>
      <c r="M839" s="458">
        <f>labcap_sources!$H$131*labcap_sources!$H$129</f>
        <v>0.68923076923076931</v>
      </c>
      <c r="N839" s="362">
        <f t="shared" ref="N839:N841" si="492">$H839*M839</f>
        <v>5.2387478252307697E-2</v>
      </c>
      <c r="O839" s="368">
        <f>N839/N842*$F842</f>
        <v>5.6143142778017588E-2</v>
      </c>
    </row>
    <row r="840" spans="1:15" x14ac:dyDescent="0.25">
      <c r="A840" s="2" t="s">
        <v>1206</v>
      </c>
      <c r="B840" s="5" t="s">
        <v>197</v>
      </c>
      <c r="C840" s="2" t="s">
        <v>196</v>
      </c>
      <c r="E840" s="241" t="s">
        <v>374</v>
      </c>
      <c r="F840" s="362">
        <f>opex_det!BM$171</f>
        <v>6.1417384999999998E-2</v>
      </c>
      <c r="G840" s="458">
        <f>labcap_sources!$F$131*labcap_sources!$F$130</f>
        <v>1</v>
      </c>
      <c r="H840" s="362">
        <f t="shared" si="487"/>
        <v>6.1417384999999998E-2</v>
      </c>
      <c r="I840" s="368">
        <f>H840/H842*$F842</f>
        <v>6.1417384999999991E-2</v>
      </c>
      <c r="J840" s="458">
        <f>labcap_sources!$G$131*labcap_sources!$G$130</f>
        <v>1.096153846153846</v>
      </c>
      <c r="K840" s="362">
        <f t="shared" si="491"/>
        <v>6.7322902788461522E-2</v>
      </c>
      <c r="L840" s="368">
        <f>K840/K842*$F842</f>
        <v>6.7745816617877014E-2</v>
      </c>
      <c r="M840" s="458">
        <f>labcap_sources!$H$131*labcap_sources!$H$130</f>
        <v>1.1692307692307693</v>
      </c>
      <c r="N840" s="362">
        <f t="shared" si="492"/>
        <v>7.1811096307692307E-2</v>
      </c>
      <c r="O840" s="368">
        <f>N840/N842*$F842</f>
        <v>7.6959242314190643E-2</v>
      </c>
    </row>
    <row r="841" spans="1:15" x14ac:dyDescent="0.25">
      <c r="A841" s="2" t="s">
        <v>1206</v>
      </c>
      <c r="B841" s="5" t="s">
        <v>197</v>
      </c>
      <c r="C841" s="2" t="s">
        <v>196</v>
      </c>
      <c r="E841" s="240" t="s">
        <v>375</v>
      </c>
      <c r="F841" s="362">
        <f>opex_det!BM$172</f>
        <v>2.9086240999999999E-2</v>
      </c>
      <c r="G841" s="458">
        <f>labcap_sources!$F$132</f>
        <v>1</v>
      </c>
      <c r="H841" s="362">
        <f t="shared" si="487"/>
        <v>2.9086240999999999E-2</v>
      </c>
      <c r="I841" s="368">
        <f>H841/H842*$F842</f>
        <v>2.9086240999999999E-2</v>
      </c>
      <c r="J841" s="458">
        <f>labcap_sources!$G$132</f>
        <v>1.05</v>
      </c>
      <c r="K841" s="362">
        <f t="shared" si="491"/>
        <v>3.0540553049999999E-2</v>
      </c>
      <c r="L841" s="368">
        <f>K841/K842*$F842</f>
        <v>3.07324048821087E-2</v>
      </c>
      <c r="M841" s="458">
        <f>labcap_sources!$H$132</f>
        <v>1.2</v>
      </c>
      <c r="N841" s="362">
        <f t="shared" si="492"/>
        <v>3.4903489199999999E-2</v>
      </c>
      <c r="O841" s="368">
        <f>N841/N842*$F842</f>
        <v>3.7405724478067878E-2</v>
      </c>
    </row>
    <row r="842" spans="1:15" x14ac:dyDescent="0.25">
      <c r="A842" s="2" t="s">
        <v>1206</v>
      </c>
      <c r="B842" s="5" t="s">
        <v>197</v>
      </c>
      <c r="C842" s="2" t="s">
        <v>196</v>
      </c>
      <c r="E842" s="19" t="s">
        <v>1077</v>
      </c>
      <c r="F842" s="363">
        <f>SUM(F838:F841)</f>
        <v>0.17583896599999999</v>
      </c>
      <c r="G842" s="458"/>
      <c r="H842" s="363">
        <f>SUM(H838:H841)</f>
        <v>0.17583896599999999</v>
      </c>
      <c r="I842" s="363">
        <f>SUM(I838:I841)</f>
        <v>0.17583896599999999</v>
      </c>
      <c r="J842" s="458"/>
      <c r="K842" s="363">
        <f>SUM(K838:K841)</f>
        <v>0.17474126382170937</v>
      </c>
      <c r="L842" s="363">
        <f>SUM(L838:L841)</f>
        <v>0.17583896600000001</v>
      </c>
      <c r="M842" s="458"/>
      <c r="N842" s="363">
        <f>SUM(N838:N841)</f>
        <v>0.16407631549333332</v>
      </c>
      <c r="O842" s="363">
        <f>SUM(O838:O841)</f>
        <v>0.17583896599999999</v>
      </c>
    </row>
    <row r="843" spans="1:15" x14ac:dyDescent="0.25">
      <c r="A843" s="2" t="s">
        <v>1206</v>
      </c>
      <c r="B843" s="5" t="s">
        <v>197</v>
      </c>
      <c r="C843" s="2" t="s">
        <v>196</v>
      </c>
      <c r="E843" s="367" t="s">
        <v>1068</v>
      </c>
      <c r="F843" s="359">
        <f>opex_det!BM$176</f>
        <v>2.10041E-4</v>
      </c>
      <c r="G843" s="458">
        <f>labcap_sources!$F$128</f>
        <v>1</v>
      </c>
      <c r="H843" s="369">
        <f t="shared" ref="H843:H852" si="493">$F843*G843</f>
        <v>2.10041E-4</v>
      </c>
      <c r="I843" s="357"/>
      <c r="J843" s="458">
        <f>labcap_sources!$G$128</f>
        <v>0.7777777777777779</v>
      </c>
      <c r="K843" s="369">
        <f>$H843*J843</f>
        <v>1.6336522222222226E-4</v>
      </c>
      <c r="L843" s="360"/>
      <c r="M843" s="458">
        <f>labcap_sources!$H$128</f>
        <v>0.66666666666666663</v>
      </c>
      <c r="N843" s="369">
        <f>$H843*M843</f>
        <v>1.4002733333333333E-4</v>
      </c>
      <c r="O843" s="360"/>
    </row>
    <row r="844" spans="1:15" x14ac:dyDescent="0.25">
      <c r="A844" s="2" t="s">
        <v>1206</v>
      </c>
      <c r="B844" s="5" t="s">
        <v>197</v>
      </c>
      <c r="C844" s="2" t="s">
        <v>196</v>
      </c>
      <c r="E844" s="367" t="s">
        <v>1069</v>
      </c>
      <c r="F844" s="359">
        <f>opex_det!BM$177</f>
        <v>5.5149099999999998E-4</v>
      </c>
      <c r="G844" s="458">
        <f>labcap_sources!$F$128</f>
        <v>1</v>
      </c>
      <c r="H844" s="369">
        <f t="shared" si="493"/>
        <v>5.5149099999999998E-4</v>
      </c>
      <c r="I844" s="357"/>
      <c r="J844" s="458">
        <f>labcap_sources!$G$128</f>
        <v>0.7777777777777779</v>
      </c>
      <c r="K844" s="369">
        <f t="shared" ref="K844:K848" si="494">$H844*J844</f>
        <v>4.2893744444444452E-4</v>
      </c>
      <c r="L844" s="360"/>
      <c r="M844" s="458">
        <f>labcap_sources!$H$128</f>
        <v>0.66666666666666663</v>
      </c>
      <c r="N844" s="369">
        <f t="shared" ref="N844" si="495">$H844*M844</f>
        <v>3.6766066666666665E-4</v>
      </c>
      <c r="O844" s="360"/>
    </row>
    <row r="845" spans="1:15" x14ac:dyDescent="0.25">
      <c r="A845" s="2" t="s">
        <v>1206</v>
      </c>
      <c r="B845" s="5" t="s">
        <v>197</v>
      </c>
      <c r="C845" s="2" t="s">
        <v>196</v>
      </c>
      <c r="E845" s="367" t="s">
        <v>1070</v>
      </c>
      <c r="F845" s="359">
        <f>opex_det!BM$178</f>
        <v>2.658793E-3</v>
      </c>
      <c r="G845" s="458">
        <f>labcap_sources!$F$129</f>
        <v>1</v>
      </c>
      <c r="H845" s="369">
        <f t="shared" si="493"/>
        <v>2.658793E-3</v>
      </c>
      <c r="I845" s="357"/>
      <c r="J845" s="458">
        <f>labcap_sources!$G$129</f>
        <v>0.96923076923076923</v>
      </c>
      <c r="K845" s="369">
        <f t="shared" si="494"/>
        <v>2.5769839846153846E-3</v>
      </c>
      <c r="L845" s="360"/>
      <c r="M845" s="458">
        <f>labcap_sources!$H$129</f>
        <v>0.86153846153846159</v>
      </c>
      <c r="N845" s="369">
        <f>$H845*M845</f>
        <v>2.2906524307692308E-3</v>
      </c>
      <c r="O845" s="360"/>
    </row>
    <row r="846" spans="1:15" x14ac:dyDescent="0.25">
      <c r="A846" s="2" t="s">
        <v>1206</v>
      </c>
      <c r="B846" s="5" t="s">
        <v>197</v>
      </c>
      <c r="C846" s="2" t="s">
        <v>196</v>
      </c>
      <c r="E846" s="367" t="s">
        <v>1071</v>
      </c>
      <c r="F846" s="359">
        <f>opex_det!BM$179</f>
        <v>1.937214E-3</v>
      </c>
      <c r="G846" s="458">
        <f>labcap_sources!$F$129</f>
        <v>1</v>
      </c>
      <c r="H846" s="369">
        <f t="shared" si="493"/>
        <v>1.937214E-3</v>
      </c>
      <c r="I846" s="357"/>
      <c r="J846" s="458">
        <f>labcap_sources!$G$129</f>
        <v>0.96923076923076923</v>
      </c>
      <c r="K846" s="369">
        <f t="shared" si="494"/>
        <v>1.8776074153846155E-3</v>
      </c>
      <c r="L846" s="360"/>
      <c r="M846" s="458">
        <f>labcap_sources!$H$129</f>
        <v>0.86153846153846159</v>
      </c>
      <c r="N846" s="369">
        <f t="shared" ref="N846:N848" si="496">$H846*M846</f>
        <v>1.6689843692307693E-3</v>
      </c>
      <c r="O846" s="360"/>
    </row>
    <row r="847" spans="1:15" x14ac:dyDescent="0.25">
      <c r="A847" s="2" t="s">
        <v>1206</v>
      </c>
      <c r="B847" s="5" t="s">
        <v>197</v>
      </c>
      <c r="C847" s="2" t="s">
        <v>196</v>
      </c>
      <c r="E847" s="367" t="s">
        <v>1072</v>
      </c>
      <c r="F847" s="359">
        <f>opex_det!BM$180</f>
        <v>1.085309E-3</v>
      </c>
      <c r="G847" s="458">
        <f>labcap_sources!$F$130</f>
        <v>1</v>
      </c>
      <c r="H847" s="369">
        <f t="shared" si="493"/>
        <v>1.085309E-3</v>
      </c>
      <c r="I847" s="357"/>
      <c r="J847" s="458">
        <f>labcap_sources!$G$130</f>
        <v>1.1538461538461537</v>
      </c>
      <c r="K847" s="369">
        <f t="shared" si="494"/>
        <v>1.2522796153846152E-3</v>
      </c>
      <c r="L847" s="360"/>
      <c r="M847" s="458">
        <f>labcap_sources!$H$130</f>
        <v>1.4615384615384615</v>
      </c>
      <c r="N847" s="369">
        <f t="shared" si="496"/>
        <v>1.5862208461538462E-3</v>
      </c>
      <c r="O847" s="360"/>
    </row>
    <row r="848" spans="1:15" x14ac:dyDescent="0.25">
      <c r="A848" s="2" t="s">
        <v>1206</v>
      </c>
      <c r="B848" s="5" t="s">
        <v>197</v>
      </c>
      <c r="C848" s="2" t="s">
        <v>196</v>
      </c>
      <c r="E848" s="367" t="s">
        <v>1073</v>
      </c>
      <c r="F848" s="359">
        <f>opex_det!BM$181</f>
        <v>9.3526500000000001E-4</v>
      </c>
      <c r="G848" s="458">
        <f>labcap_sources!$F$130</f>
        <v>1</v>
      </c>
      <c r="H848" s="369">
        <f t="shared" si="493"/>
        <v>9.3526500000000001E-4</v>
      </c>
      <c r="I848" s="357"/>
      <c r="J848" s="458">
        <f>labcap_sources!$G$130</f>
        <v>1.1538461538461537</v>
      </c>
      <c r="K848" s="369">
        <f t="shared" si="494"/>
        <v>1.079151923076923E-3</v>
      </c>
      <c r="L848" s="360"/>
      <c r="M848" s="458">
        <f>labcap_sources!$H$130</f>
        <v>1.4615384615384615</v>
      </c>
      <c r="N848" s="369">
        <f t="shared" si="496"/>
        <v>1.3669257692307691E-3</v>
      </c>
      <c r="O848" s="360"/>
    </row>
    <row r="849" spans="1:15" x14ac:dyDescent="0.25">
      <c r="A849" s="2" t="s">
        <v>1206</v>
      </c>
      <c r="B849" s="5" t="s">
        <v>199</v>
      </c>
      <c r="C849" s="2" t="s">
        <v>198</v>
      </c>
      <c r="E849" s="241" t="s">
        <v>372</v>
      </c>
      <c r="F849" s="362">
        <f>opex_det!BN$169</f>
        <v>5.52317E-3</v>
      </c>
      <c r="G849" s="458">
        <f>labcap_sources!$F$131*labcap_sources!$F$128</f>
        <v>1</v>
      </c>
      <c r="H849" s="362">
        <f t="shared" si="493"/>
        <v>5.52317E-3</v>
      </c>
      <c r="I849" s="368">
        <f>H849/H853*$F853</f>
        <v>5.52317E-3</v>
      </c>
      <c r="J849" s="458">
        <f>labcap_sources!$G$131*labcap_sources!$G$128</f>
        <v>0.73888888888888893</v>
      </c>
      <c r="K849" s="362">
        <f>$H849*J849</f>
        <v>4.0810089444444451E-3</v>
      </c>
      <c r="L849" s="368">
        <f>K849/K853*$F853</f>
        <v>4.101515645288348E-3</v>
      </c>
      <c r="M849" s="458">
        <f>labcap_sources!$H$131*labcap_sources!$H$128</f>
        <v>0.53333333333333333</v>
      </c>
      <c r="N849" s="362">
        <f>$H849*M849</f>
        <v>2.9456906666666667E-3</v>
      </c>
      <c r="O849" s="368">
        <f>N849/N853*$F853</f>
        <v>3.1324000776686042E-3</v>
      </c>
    </row>
    <row r="850" spans="1:15" x14ac:dyDescent="0.25">
      <c r="A850" s="2" t="s">
        <v>1206</v>
      </c>
      <c r="B850" s="5" t="s">
        <v>199</v>
      </c>
      <c r="C850" s="2" t="s">
        <v>198</v>
      </c>
      <c r="E850" s="241" t="s">
        <v>373</v>
      </c>
      <c r="F850" s="362">
        <f>opex_det!BN$170</f>
        <v>4.3643003E-2</v>
      </c>
      <c r="G850" s="458">
        <f>labcap_sources!$F$131*labcap_sources!$F$129</f>
        <v>1</v>
      </c>
      <c r="H850" s="362">
        <f t="shared" si="493"/>
        <v>4.3643003E-2</v>
      </c>
      <c r="I850" s="368">
        <f>H850/H853*$F853</f>
        <v>4.3643003E-2</v>
      </c>
      <c r="J850" s="458">
        <f>labcap_sources!$G$131*labcap_sources!$G$129</f>
        <v>0.92076923076923067</v>
      </c>
      <c r="K850" s="362">
        <f t="shared" ref="K850:K852" si="497">$H850*J850</f>
        <v>4.0185134300769226E-2</v>
      </c>
      <c r="L850" s="368">
        <f>K850/K853*$F853</f>
        <v>4.0387060966134605E-2</v>
      </c>
      <c r="M850" s="458">
        <f>labcap_sources!$H$131*labcap_sources!$H$129</f>
        <v>0.68923076923076931</v>
      </c>
      <c r="N850" s="362">
        <f t="shared" ref="N850:N852" si="498">$H850*M850</f>
        <v>3.0080100529230772E-2</v>
      </c>
      <c r="O850" s="368">
        <f>N850/N853*$F853</f>
        <v>3.1986695106945573E-2</v>
      </c>
    </row>
    <row r="851" spans="1:15" x14ac:dyDescent="0.25">
      <c r="A851" s="2" t="s">
        <v>1206</v>
      </c>
      <c r="B851" s="5" t="s">
        <v>199</v>
      </c>
      <c r="C851" s="2" t="s">
        <v>198</v>
      </c>
      <c r="E851" s="241" t="s">
        <v>374</v>
      </c>
      <c r="F851" s="362">
        <f>opex_det!BN$171</f>
        <v>3.5228942999999999E-2</v>
      </c>
      <c r="G851" s="458">
        <f>labcap_sources!$F$131*labcap_sources!$F$130</f>
        <v>1</v>
      </c>
      <c r="H851" s="362">
        <f t="shared" si="493"/>
        <v>3.5228942999999999E-2</v>
      </c>
      <c r="I851" s="368">
        <f>H851/H853*$F853</f>
        <v>3.5228942999999999E-2</v>
      </c>
      <c r="J851" s="458">
        <f>labcap_sources!$G$131*labcap_sources!$G$130</f>
        <v>1.096153846153846</v>
      </c>
      <c r="K851" s="362">
        <f t="shared" si="497"/>
        <v>3.861634136538461E-2</v>
      </c>
      <c r="L851" s="368">
        <f>K851/K853*$F853</f>
        <v>3.8810384988137263E-2</v>
      </c>
      <c r="M851" s="458">
        <f>labcap_sources!$H$131*labcap_sources!$H$130</f>
        <v>1.1692307692307693</v>
      </c>
      <c r="N851" s="362">
        <f t="shared" si="498"/>
        <v>4.1190764123076921E-2</v>
      </c>
      <c r="O851" s="368">
        <f>N851/N853*$F853</f>
        <v>4.3801596073344877E-2</v>
      </c>
    </row>
    <row r="852" spans="1:15" x14ac:dyDescent="0.25">
      <c r="A852" s="2" t="s">
        <v>1206</v>
      </c>
      <c r="B852" s="5" t="s">
        <v>199</v>
      </c>
      <c r="C852" s="2" t="s">
        <v>198</v>
      </c>
      <c r="E852" s="240" t="s">
        <v>375</v>
      </c>
      <c r="F852" s="362">
        <f>opex_det!BN$172</f>
        <v>1.9830510999999999E-2</v>
      </c>
      <c r="G852" s="458">
        <f>labcap_sources!$F$132</f>
        <v>1</v>
      </c>
      <c r="H852" s="362">
        <f t="shared" si="493"/>
        <v>1.9830510999999999E-2</v>
      </c>
      <c r="I852" s="368">
        <f>H852/H853*$F853</f>
        <v>1.9830510999999999E-2</v>
      </c>
      <c r="J852" s="458">
        <f>labcap_sources!$G$132</f>
        <v>1.05</v>
      </c>
      <c r="K852" s="362">
        <f t="shared" si="497"/>
        <v>2.0822036549999999E-2</v>
      </c>
      <c r="L852" s="368">
        <f>K852/K853*$F853</f>
        <v>2.0926665400439776E-2</v>
      </c>
      <c r="M852" s="458">
        <f>labcap_sources!$H$132</f>
        <v>1.2</v>
      </c>
      <c r="N852" s="362">
        <f t="shared" si="498"/>
        <v>2.3796613199999997E-2</v>
      </c>
      <c r="O852" s="368">
        <f>N852/N853*$F853</f>
        <v>2.5304935742040936E-2</v>
      </c>
    </row>
    <row r="853" spans="1:15" x14ac:dyDescent="0.25">
      <c r="A853" s="2" t="s">
        <v>1206</v>
      </c>
      <c r="B853" s="5" t="s">
        <v>199</v>
      </c>
      <c r="C853" s="2" t="s">
        <v>198</v>
      </c>
      <c r="E853" s="19" t="s">
        <v>1077</v>
      </c>
      <c r="F853" s="363">
        <f>SUM(F849:F852)</f>
        <v>0.10422562699999999</v>
      </c>
      <c r="G853" s="458"/>
      <c r="H853" s="363">
        <f>SUM(H849:H852)</f>
        <v>0.10422562699999999</v>
      </c>
      <c r="I853" s="363">
        <f>SUM(I849:I852)</f>
        <v>0.10422562699999999</v>
      </c>
      <c r="J853" s="458"/>
      <c r="K853" s="363">
        <f>SUM(K849:K852)</f>
        <v>0.10370452116059828</v>
      </c>
      <c r="L853" s="363">
        <f>SUM(L849:L852)</f>
        <v>0.10422562699999999</v>
      </c>
      <c r="M853" s="458"/>
      <c r="N853" s="363">
        <f>SUM(N849:N852)</f>
        <v>9.8013168518974361E-2</v>
      </c>
      <c r="O853" s="363">
        <f>SUM(O849:O852)</f>
        <v>0.10422562699999999</v>
      </c>
    </row>
    <row r="854" spans="1:15" x14ac:dyDescent="0.25">
      <c r="A854" s="2" t="s">
        <v>1206</v>
      </c>
      <c r="B854" s="5" t="s">
        <v>199</v>
      </c>
      <c r="C854" s="2" t="s">
        <v>198</v>
      </c>
      <c r="E854" s="367" t="s">
        <v>1068</v>
      </c>
      <c r="F854" s="359">
        <f>opex_det!BN$176</f>
        <v>7.8100000000000001E-5</v>
      </c>
      <c r="G854" s="458">
        <f>labcap_sources!$F$128</f>
        <v>1</v>
      </c>
      <c r="H854" s="369">
        <f t="shared" ref="H854:H863" si="499">$F854*G854</f>
        <v>7.8100000000000001E-5</v>
      </c>
      <c r="I854" s="357"/>
      <c r="J854" s="458">
        <f>labcap_sources!$G$128</f>
        <v>0.7777777777777779</v>
      </c>
      <c r="K854" s="369">
        <f>$H854*J854</f>
        <v>6.0744444444444457E-5</v>
      </c>
      <c r="L854" s="360"/>
      <c r="M854" s="458">
        <f>labcap_sources!$H$128</f>
        <v>0.66666666666666663</v>
      </c>
      <c r="N854" s="369">
        <f>$H854*M854</f>
        <v>5.2066666666666667E-5</v>
      </c>
      <c r="O854" s="360"/>
    </row>
    <row r="855" spans="1:15" x14ac:dyDescent="0.25">
      <c r="A855" s="2" t="s">
        <v>1206</v>
      </c>
      <c r="B855" s="5" t="s">
        <v>199</v>
      </c>
      <c r="C855" s="2" t="s">
        <v>198</v>
      </c>
      <c r="E855" s="367" t="s">
        <v>1069</v>
      </c>
      <c r="F855" s="359">
        <f>opex_det!BN$177</f>
        <v>1.9477700000000001E-4</v>
      </c>
      <c r="G855" s="458">
        <f>labcap_sources!$F$128</f>
        <v>1</v>
      </c>
      <c r="H855" s="369">
        <f t="shared" si="499"/>
        <v>1.9477700000000001E-4</v>
      </c>
      <c r="I855" s="357"/>
      <c r="J855" s="458">
        <f>labcap_sources!$G$128</f>
        <v>0.7777777777777779</v>
      </c>
      <c r="K855" s="369">
        <f t="shared" ref="K855:K859" si="500">$H855*J855</f>
        <v>1.5149322222222225E-4</v>
      </c>
      <c r="L855" s="360"/>
      <c r="M855" s="458">
        <f>labcap_sources!$H$128</f>
        <v>0.66666666666666663</v>
      </c>
      <c r="N855" s="369">
        <f t="shared" ref="N855" si="501">$H855*M855</f>
        <v>1.2985133333333332E-4</v>
      </c>
      <c r="O855" s="360"/>
    </row>
    <row r="856" spans="1:15" x14ac:dyDescent="0.25">
      <c r="A856" s="2" t="s">
        <v>1206</v>
      </c>
      <c r="B856" s="5" t="s">
        <v>199</v>
      </c>
      <c r="C856" s="2" t="s">
        <v>198</v>
      </c>
      <c r="E856" s="367" t="s">
        <v>1070</v>
      </c>
      <c r="F856" s="359">
        <f>opex_det!BN$178</f>
        <v>9.23276E-4</v>
      </c>
      <c r="G856" s="458">
        <f>labcap_sources!$F$129</f>
        <v>1</v>
      </c>
      <c r="H856" s="369">
        <f t="shared" si="499"/>
        <v>9.23276E-4</v>
      </c>
      <c r="I856" s="357"/>
      <c r="J856" s="458">
        <f>labcap_sources!$G$129</f>
        <v>0.96923076923076923</v>
      </c>
      <c r="K856" s="369">
        <f t="shared" si="500"/>
        <v>8.9486750769230772E-4</v>
      </c>
      <c r="L856" s="360"/>
      <c r="M856" s="458">
        <f>labcap_sources!$H$129</f>
        <v>0.86153846153846159</v>
      </c>
      <c r="N856" s="369">
        <f>$H856*M856</f>
        <v>7.9543778461538467E-4</v>
      </c>
      <c r="O856" s="360"/>
    </row>
    <row r="857" spans="1:15" x14ac:dyDescent="0.25">
      <c r="A857" s="2" t="s">
        <v>1206</v>
      </c>
      <c r="B857" s="5" t="s">
        <v>199</v>
      </c>
      <c r="C857" s="2" t="s">
        <v>198</v>
      </c>
      <c r="E857" s="367" t="s">
        <v>1071</v>
      </c>
      <c r="F857" s="359">
        <f>opex_det!BN$179</f>
        <v>8.1165299999999996E-4</v>
      </c>
      <c r="G857" s="458">
        <f>labcap_sources!$F$129</f>
        <v>1</v>
      </c>
      <c r="H857" s="369">
        <f t="shared" si="499"/>
        <v>8.1165299999999996E-4</v>
      </c>
      <c r="I857" s="357"/>
      <c r="J857" s="458">
        <f>labcap_sources!$G$129</f>
        <v>0.96923076923076923</v>
      </c>
      <c r="K857" s="369">
        <f t="shared" si="500"/>
        <v>7.8667906153846148E-4</v>
      </c>
      <c r="L857" s="360"/>
      <c r="M857" s="458">
        <f>labcap_sources!$H$129</f>
        <v>0.86153846153846159</v>
      </c>
      <c r="N857" s="369">
        <f t="shared" ref="N857:N859" si="502">$H857*M857</f>
        <v>6.9927027692307691E-4</v>
      </c>
      <c r="O857" s="360"/>
    </row>
    <row r="858" spans="1:15" x14ac:dyDescent="0.25">
      <c r="A858" s="2" t="s">
        <v>1206</v>
      </c>
      <c r="B858" s="5" t="s">
        <v>199</v>
      </c>
      <c r="C858" s="2" t="s">
        <v>198</v>
      </c>
      <c r="E858" s="367" t="s">
        <v>1072</v>
      </c>
      <c r="F858" s="359">
        <f>opex_det!BN$180</f>
        <v>3.5874799999999999E-4</v>
      </c>
      <c r="G858" s="458">
        <f>labcap_sources!$F$130</f>
        <v>1</v>
      </c>
      <c r="H858" s="369">
        <f t="shared" si="499"/>
        <v>3.5874799999999999E-4</v>
      </c>
      <c r="I858" s="357"/>
      <c r="J858" s="458">
        <f>labcap_sources!$G$130</f>
        <v>1.1538461538461537</v>
      </c>
      <c r="K858" s="369">
        <f t="shared" si="500"/>
        <v>4.1393999999999996E-4</v>
      </c>
      <c r="L858" s="360"/>
      <c r="M858" s="458">
        <f>labcap_sources!$H$130</f>
        <v>1.4615384615384615</v>
      </c>
      <c r="N858" s="369">
        <f t="shared" si="502"/>
        <v>5.2432399999999995E-4</v>
      </c>
      <c r="O858" s="360"/>
    </row>
    <row r="859" spans="1:15" x14ac:dyDescent="0.25">
      <c r="A859" s="2" t="s">
        <v>1206</v>
      </c>
      <c r="B859" s="5" t="s">
        <v>199</v>
      </c>
      <c r="C859" s="2" t="s">
        <v>198</v>
      </c>
      <c r="E859" s="367" t="s">
        <v>1073</v>
      </c>
      <c r="F859" s="359">
        <f>opex_det!BN$181</f>
        <v>3.2764600000000001E-4</v>
      </c>
      <c r="G859" s="458">
        <f>labcap_sources!$F$130</f>
        <v>1</v>
      </c>
      <c r="H859" s="369">
        <f t="shared" si="499"/>
        <v>3.2764600000000001E-4</v>
      </c>
      <c r="I859" s="357"/>
      <c r="J859" s="458">
        <f>labcap_sources!$G$130</f>
        <v>1.1538461538461537</v>
      </c>
      <c r="K859" s="369">
        <f t="shared" si="500"/>
        <v>3.780530769230769E-4</v>
      </c>
      <c r="L859" s="360"/>
      <c r="M859" s="458">
        <f>labcap_sources!$H$130</f>
        <v>1.4615384615384615</v>
      </c>
      <c r="N859" s="369">
        <f t="shared" si="502"/>
        <v>4.7886723076923077E-4</v>
      </c>
      <c r="O859" s="360"/>
    </row>
    <row r="860" spans="1:15" x14ac:dyDescent="0.25">
      <c r="A860" s="2" t="s">
        <v>1206</v>
      </c>
      <c r="B860" s="5" t="s">
        <v>201</v>
      </c>
      <c r="C860" s="2" t="s">
        <v>200</v>
      </c>
      <c r="E860" s="241" t="s">
        <v>372</v>
      </c>
      <c r="F860" s="362">
        <f>opex_det!BO$169</f>
        <v>1.9586411000000001E-2</v>
      </c>
      <c r="G860" s="458">
        <f>labcap_sources!$F$131*labcap_sources!$F$128</f>
        <v>1</v>
      </c>
      <c r="H860" s="362">
        <f t="shared" si="499"/>
        <v>1.9586411000000001E-2</v>
      </c>
      <c r="I860" s="368">
        <f>H860/H864*$F864</f>
        <v>1.9586411000000001E-2</v>
      </c>
      <c r="J860" s="458">
        <f>labcap_sources!$G$131*labcap_sources!$G$128</f>
        <v>0.73888888888888893</v>
      </c>
      <c r="K860" s="362">
        <f>$H860*J860</f>
        <v>1.4472181461111113E-2</v>
      </c>
      <c r="L860" s="368">
        <f>K860/K864*$F864</f>
        <v>1.4575777083005528E-2</v>
      </c>
      <c r="M860" s="458">
        <f>labcap_sources!$H$131*labcap_sources!$H$128</f>
        <v>0.53333333333333333</v>
      </c>
      <c r="N860" s="362">
        <f>$H860*M860</f>
        <v>1.0446085866666668E-2</v>
      </c>
      <c r="O860" s="368">
        <f>N860/N864*$F864</f>
        <v>1.1228216077253602E-2</v>
      </c>
    </row>
    <row r="861" spans="1:15" x14ac:dyDescent="0.25">
      <c r="A861" s="2" t="s">
        <v>1206</v>
      </c>
      <c r="B861" s="5" t="s">
        <v>201</v>
      </c>
      <c r="C861" s="2" t="s">
        <v>200</v>
      </c>
      <c r="E861" s="241" t="s">
        <v>373</v>
      </c>
      <c r="F861" s="362">
        <f>opex_det!BO$170</f>
        <v>0.15510922299999999</v>
      </c>
      <c r="G861" s="458">
        <f>labcap_sources!$F$131*labcap_sources!$F$129</f>
        <v>1</v>
      </c>
      <c r="H861" s="362">
        <f t="shared" si="499"/>
        <v>0.15510922299999999</v>
      </c>
      <c r="I861" s="368">
        <f>H861/H864*$F864</f>
        <v>0.15510922299999999</v>
      </c>
      <c r="J861" s="458">
        <f>labcap_sources!$G$131*labcap_sources!$G$129</f>
        <v>0.92076923076923067</v>
      </c>
      <c r="K861" s="362">
        <f t="shared" ref="K861:K863" si="503">$H861*J861</f>
        <v>0.14281979994692307</v>
      </c>
      <c r="L861" s="368">
        <f>K861/K864*$F864</f>
        <v>0.14384214105244988</v>
      </c>
      <c r="M861" s="458">
        <f>labcap_sources!$H$131*labcap_sources!$H$129</f>
        <v>0.68923076923076931</v>
      </c>
      <c r="N861" s="362">
        <f t="shared" ref="N861:N863" si="504">$H861*M861</f>
        <v>0.10690604908307692</v>
      </c>
      <c r="O861" s="368">
        <f>N861/N864*$F864</f>
        <v>0.11491043003012395</v>
      </c>
    </row>
    <row r="862" spans="1:15" x14ac:dyDescent="0.25">
      <c r="A862" s="2" t="s">
        <v>1206</v>
      </c>
      <c r="B862" s="5" t="s">
        <v>201</v>
      </c>
      <c r="C862" s="2" t="s">
        <v>200</v>
      </c>
      <c r="E862" s="241" t="s">
        <v>374</v>
      </c>
      <c r="F862" s="362">
        <f>opex_det!BO$171</f>
        <v>0.12521452499999999</v>
      </c>
      <c r="G862" s="458">
        <f>labcap_sources!$F$131*labcap_sources!$F$130</f>
        <v>1</v>
      </c>
      <c r="H862" s="362">
        <f t="shared" si="499"/>
        <v>0.12521452499999999</v>
      </c>
      <c r="I862" s="368">
        <f>H862/H864*$F864</f>
        <v>0.12521452499999999</v>
      </c>
      <c r="J862" s="458">
        <f>labcap_sources!$G$131*labcap_sources!$G$130</f>
        <v>1.096153846153846</v>
      </c>
      <c r="K862" s="362">
        <f t="shared" si="503"/>
        <v>0.13725438317307689</v>
      </c>
      <c r="L862" s="368">
        <f>K862/K864*$F864</f>
        <v>0.1382368855843932</v>
      </c>
      <c r="M862" s="458">
        <f>labcap_sources!$H$131*labcap_sources!$H$130</f>
        <v>1.1692307692307693</v>
      </c>
      <c r="N862" s="362">
        <f t="shared" si="504"/>
        <v>0.14640467538461538</v>
      </c>
      <c r="O862" s="368">
        <f>N862/N864*$F864</f>
        <v>0.15736643858004085</v>
      </c>
    </row>
    <row r="863" spans="1:15" x14ac:dyDescent="0.25">
      <c r="A863" s="2" t="s">
        <v>1206</v>
      </c>
      <c r="B863" s="5" t="s">
        <v>201</v>
      </c>
      <c r="C863" s="2" t="s">
        <v>200</v>
      </c>
      <c r="E863" s="240" t="s">
        <v>375</v>
      </c>
      <c r="F863" s="362">
        <f>opex_det!BO$172</f>
        <v>5.6598955999999999E-2</v>
      </c>
      <c r="G863" s="458">
        <f>labcap_sources!$F$132</f>
        <v>1</v>
      </c>
      <c r="H863" s="362">
        <f t="shared" si="499"/>
        <v>5.6598955999999999E-2</v>
      </c>
      <c r="I863" s="368">
        <f>H863/H864*$F864</f>
        <v>5.6598955999999992E-2</v>
      </c>
      <c r="J863" s="458">
        <f>labcap_sources!$G$132</f>
        <v>1.05</v>
      </c>
      <c r="K863" s="362">
        <f t="shared" si="503"/>
        <v>5.9428903800000002E-2</v>
      </c>
      <c r="L863" s="368">
        <f>K863/K864*$F864</f>
        <v>5.9854311280151347E-2</v>
      </c>
      <c r="M863" s="458">
        <f>labcap_sources!$H$132</f>
        <v>1.2</v>
      </c>
      <c r="N863" s="362">
        <f t="shared" si="504"/>
        <v>6.791874719999999E-2</v>
      </c>
      <c r="O863" s="368">
        <f>N863/N864*$F864</f>
        <v>7.3004030312581528E-2</v>
      </c>
    </row>
    <row r="864" spans="1:15" x14ac:dyDescent="0.25">
      <c r="A864" s="2" t="s">
        <v>1206</v>
      </c>
      <c r="B864" s="5" t="s">
        <v>201</v>
      </c>
      <c r="C864" s="2" t="s">
        <v>200</v>
      </c>
      <c r="E864" s="19" t="s">
        <v>1077</v>
      </c>
      <c r="F864" s="363">
        <f>SUM(F860:F863)</f>
        <v>0.35650911499999993</v>
      </c>
      <c r="G864" s="458"/>
      <c r="H864" s="363">
        <f>SUM(H860:H863)</f>
        <v>0.35650911499999993</v>
      </c>
      <c r="I864" s="363">
        <f>SUM(I860:I863)</f>
        <v>0.35650911499999993</v>
      </c>
      <c r="J864" s="458"/>
      <c r="K864" s="363">
        <f>SUM(K860:K863)</f>
        <v>0.35397526838111104</v>
      </c>
      <c r="L864" s="363">
        <f>SUM(L860:L863)</f>
        <v>0.35650911499999999</v>
      </c>
      <c r="M864" s="458"/>
      <c r="N864" s="363">
        <f>SUM(N860:N863)</f>
        <v>0.33167555753435896</v>
      </c>
      <c r="O864" s="363">
        <f>SUM(O860:O863)</f>
        <v>0.35650911499999993</v>
      </c>
    </row>
    <row r="865" spans="1:15" x14ac:dyDescent="0.25">
      <c r="A865" s="2" t="s">
        <v>1206</v>
      </c>
      <c r="B865" s="5" t="s">
        <v>201</v>
      </c>
      <c r="C865" s="2" t="s">
        <v>200</v>
      </c>
      <c r="E865" s="367" t="s">
        <v>1068</v>
      </c>
      <c r="F865" s="359">
        <f>opex_det!BO$176</f>
        <v>1.9252399999999999E-4</v>
      </c>
      <c r="G865" s="458">
        <f>labcap_sources!$F$128</f>
        <v>1</v>
      </c>
      <c r="H865" s="369">
        <f t="shared" ref="H865:H874" si="505">$F865*G865</f>
        <v>1.9252399999999999E-4</v>
      </c>
      <c r="I865" s="357"/>
      <c r="J865" s="458">
        <f>labcap_sources!$G$128</f>
        <v>0.7777777777777779</v>
      </c>
      <c r="K865" s="369">
        <f>$H865*J865</f>
        <v>1.4974088888888891E-4</v>
      </c>
      <c r="L865" s="360"/>
      <c r="M865" s="458">
        <f>labcap_sources!$H$128</f>
        <v>0.66666666666666663</v>
      </c>
      <c r="N865" s="369">
        <f>$H865*M865</f>
        <v>1.2834933333333331E-4</v>
      </c>
      <c r="O865" s="360"/>
    </row>
    <row r="866" spans="1:15" x14ac:dyDescent="0.25">
      <c r="A866" s="2" t="s">
        <v>1206</v>
      </c>
      <c r="B866" s="5" t="s">
        <v>201</v>
      </c>
      <c r="C866" s="2" t="s">
        <v>200</v>
      </c>
      <c r="E866" s="367" t="s">
        <v>1069</v>
      </c>
      <c r="F866" s="359">
        <f>opex_det!BO$177</f>
        <v>5.9715500000000004E-4</v>
      </c>
      <c r="G866" s="458">
        <f>labcap_sources!$F$128</f>
        <v>1</v>
      </c>
      <c r="H866" s="369">
        <f t="shared" si="505"/>
        <v>5.9715500000000004E-4</v>
      </c>
      <c r="I866" s="357"/>
      <c r="J866" s="458">
        <f>labcap_sources!$G$128</f>
        <v>0.7777777777777779</v>
      </c>
      <c r="K866" s="369">
        <f t="shared" ref="K866:K870" si="506">$H866*J866</f>
        <v>4.6445388888888901E-4</v>
      </c>
      <c r="L866" s="360"/>
      <c r="M866" s="458">
        <f>labcap_sources!$H$128</f>
        <v>0.66666666666666663</v>
      </c>
      <c r="N866" s="369">
        <f t="shared" ref="N866" si="507">$H866*M866</f>
        <v>3.9810333333333334E-4</v>
      </c>
      <c r="O866" s="360"/>
    </row>
    <row r="867" spans="1:15" x14ac:dyDescent="0.25">
      <c r="A867" s="2" t="s">
        <v>1206</v>
      </c>
      <c r="B867" s="5" t="s">
        <v>201</v>
      </c>
      <c r="C867" s="2" t="s">
        <v>200</v>
      </c>
      <c r="E867" s="367" t="s">
        <v>1070</v>
      </c>
      <c r="F867" s="359">
        <f>opex_det!BO$178</f>
        <v>2.3678010000000001E-3</v>
      </c>
      <c r="G867" s="458">
        <f>labcap_sources!$F$129</f>
        <v>1</v>
      </c>
      <c r="H867" s="369">
        <f t="shared" si="505"/>
        <v>2.3678010000000001E-3</v>
      </c>
      <c r="I867" s="357"/>
      <c r="J867" s="458">
        <f>labcap_sources!$G$129</f>
        <v>0.96923076923076923</v>
      </c>
      <c r="K867" s="369">
        <f t="shared" si="506"/>
        <v>2.2949455846153848E-3</v>
      </c>
      <c r="L867" s="360"/>
      <c r="M867" s="458">
        <f>labcap_sources!$H$129</f>
        <v>0.86153846153846159</v>
      </c>
      <c r="N867" s="369">
        <f>$H867*M867</f>
        <v>2.039951630769231E-3</v>
      </c>
      <c r="O867" s="360"/>
    </row>
    <row r="868" spans="1:15" x14ac:dyDescent="0.25">
      <c r="A868" s="2" t="s">
        <v>1206</v>
      </c>
      <c r="B868" s="5" t="s">
        <v>201</v>
      </c>
      <c r="C868" s="2" t="s">
        <v>200</v>
      </c>
      <c r="E868" s="367" t="s">
        <v>1071</v>
      </c>
      <c r="F868" s="359">
        <f>opex_det!BO$179</f>
        <v>1.8824320000000001E-3</v>
      </c>
      <c r="G868" s="458">
        <f>labcap_sources!$F$129</f>
        <v>1</v>
      </c>
      <c r="H868" s="369">
        <f t="shared" si="505"/>
        <v>1.8824320000000001E-3</v>
      </c>
      <c r="I868" s="357"/>
      <c r="J868" s="458">
        <f>labcap_sources!$G$129</f>
        <v>0.96923076923076923</v>
      </c>
      <c r="K868" s="369">
        <f t="shared" si="506"/>
        <v>1.8245110153846155E-3</v>
      </c>
      <c r="L868" s="360"/>
      <c r="M868" s="458">
        <f>labcap_sources!$H$129</f>
        <v>0.86153846153846159</v>
      </c>
      <c r="N868" s="369">
        <f t="shared" ref="N868:N870" si="508">$H868*M868</f>
        <v>1.6217875692307695E-3</v>
      </c>
      <c r="O868" s="360"/>
    </row>
    <row r="869" spans="1:15" x14ac:dyDescent="0.25">
      <c r="A869" s="2" t="s">
        <v>1206</v>
      </c>
      <c r="B869" s="5" t="s">
        <v>201</v>
      </c>
      <c r="C869" s="2" t="s">
        <v>200</v>
      </c>
      <c r="E869" s="367" t="s">
        <v>1072</v>
      </c>
      <c r="F869" s="359">
        <f>opex_det!BO$180</f>
        <v>9.5949999999999996E-4</v>
      </c>
      <c r="G869" s="458">
        <f>labcap_sources!$F$130</f>
        <v>1</v>
      </c>
      <c r="H869" s="369">
        <f t="shared" si="505"/>
        <v>9.5949999999999996E-4</v>
      </c>
      <c r="I869" s="357"/>
      <c r="J869" s="458">
        <f>labcap_sources!$G$130</f>
        <v>1.1538461538461537</v>
      </c>
      <c r="K869" s="369">
        <f t="shared" si="506"/>
        <v>1.1071153846153846E-3</v>
      </c>
      <c r="L869" s="360"/>
      <c r="M869" s="458">
        <f>labcap_sources!$H$130</f>
        <v>1.4615384615384615</v>
      </c>
      <c r="N869" s="369">
        <f t="shared" si="508"/>
        <v>1.4023461538461538E-3</v>
      </c>
      <c r="O869" s="360"/>
    </row>
    <row r="870" spans="1:15" x14ac:dyDescent="0.25">
      <c r="A870" s="2" t="s">
        <v>1206</v>
      </c>
      <c r="B870" s="5" t="s">
        <v>201</v>
      </c>
      <c r="C870" s="2" t="s">
        <v>200</v>
      </c>
      <c r="E870" s="367" t="s">
        <v>1073</v>
      </c>
      <c r="F870" s="359">
        <f>opex_det!BO$181</f>
        <v>8.8863799999999997E-4</v>
      </c>
      <c r="G870" s="458">
        <f>labcap_sources!$F$130</f>
        <v>1</v>
      </c>
      <c r="H870" s="369">
        <f t="shared" si="505"/>
        <v>8.8863799999999997E-4</v>
      </c>
      <c r="I870" s="357"/>
      <c r="J870" s="458">
        <f>labcap_sources!$G$130</f>
        <v>1.1538461538461537</v>
      </c>
      <c r="K870" s="369">
        <f t="shared" si="506"/>
        <v>1.0253515384615382E-3</v>
      </c>
      <c r="L870" s="360"/>
      <c r="M870" s="458">
        <f>labcap_sources!$H$130</f>
        <v>1.4615384615384615</v>
      </c>
      <c r="N870" s="369">
        <f t="shared" si="508"/>
        <v>1.2987786153846152E-3</v>
      </c>
      <c r="O870" s="360"/>
    </row>
    <row r="871" spans="1:15" x14ac:dyDescent="0.25">
      <c r="A871" s="2" t="s">
        <v>1206</v>
      </c>
      <c r="B871" s="5" t="s">
        <v>205</v>
      </c>
      <c r="C871" s="2" t="s">
        <v>204</v>
      </c>
      <c r="E871" s="241" t="s">
        <v>372</v>
      </c>
      <c r="F871" s="362">
        <f>opex_det!BR$169</f>
        <v>7.2820360000000004E-3</v>
      </c>
      <c r="G871" s="458">
        <f>labcap_sources!$F$131*labcap_sources!$F$128</f>
        <v>1</v>
      </c>
      <c r="H871" s="362">
        <f t="shared" si="505"/>
        <v>7.2820360000000004E-3</v>
      </c>
      <c r="I871" s="368">
        <f>H871/H875*$F875</f>
        <v>7.2820360000000004E-3</v>
      </c>
      <c r="J871" s="458">
        <f>labcap_sources!$G$131*labcap_sources!$G$128</f>
        <v>0.73888888888888893</v>
      </c>
      <c r="K871" s="362">
        <f>$H871*J871</f>
        <v>5.3806154888888895E-3</v>
      </c>
      <c r="L871" s="368">
        <f>K871/K875*$F875</f>
        <v>5.4087317429197162E-3</v>
      </c>
      <c r="M871" s="458">
        <f>labcap_sources!$H$131*labcap_sources!$H$128</f>
        <v>0.53333333333333333</v>
      </c>
      <c r="N871" s="362">
        <f>$H871*M871</f>
        <v>3.8837525333333335E-3</v>
      </c>
      <c r="O871" s="368">
        <f>N871/N875*$F875</f>
        <v>4.2048572209487369E-3</v>
      </c>
    </row>
    <row r="872" spans="1:15" x14ac:dyDescent="0.25">
      <c r="A872" s="2" t="s">
        <v>1206</v>
      </c>
      <c r="B872" s="5" t="s">
        <v>205</v>
      </c>
      <c r="C872" s="2" t="s">
        <v>204</v>
      </c>
      <c r="E872" s="241" t="s">
        <v>373</v>
      </c>
      <c r="F872" s="362">
        <f>opex_det!BR$170</f>
        <v>8.3892715000000007E-2</v>
      </c>
      <c r="G872" s="458">
        <f>labcap_sources!$F$131*labcap_sources!$F$129</f>
        <v>1</v>
      </c>
      <c r="H872" s="362">
        <f t="shared" si="505"/>
        <v>8.3892715000000007E-2</v>
      </c>
      <c r="I872" s="368">
        <f>H872/H875*$F875</f>
        <v>8.3892715000000007E-2</v>
      </c>
      <c r="J872" s="458">
        <f>labcap_sources!$G$131*labcap_sources!$G$129</f>
        <v>0.92076923076923067</v>
      </c>
      <c r="K872" s="362">
        <f t="shared" ref="K872:K874" si="509">$H872*J872</f>
        <v>7.7245830657692305E-2</v>
      </c>
      <c r="L872" s="368">
        <f>K872/K875*$F875</f>
        <v>7.7649476560671032E-2</v>
      </c>
      <c r="M872" s="458">
        <f>labcap_sources!$H$131*labcap_sources!$H$129</f>
        <v>0.68923076923076931</v>
      </c>
      <c r="N872" s="362">
        <f t="shared" ref="N872:N874" si="510">$H872*M872</f>
        <v>5.7821440492307703E-2</v>
      </c>
      <c r="O872" s="368">
        <f>N872/N875*$F875</f>
        <v>6.2602058059313126E-2</v>
      </c>
    </row>
    <row r="873" spans="1:15" x14ac:dyDescent="0.25">
      <c r="A873" s="2" t="s">
        <v>1206</v>
      </c>
      <c r="B873" s="5" t="s">
        <v>205</v>
      </c>
      <c r="C873" s="2" t="s">
        <v>204</v>
      </c>
      <c r="E873" s="241" t="s">
        <v>374</v>
      </c>
      <c r="F873" s="362">
        <f>opex_det!BR$171</f>
        <v>6.8433706999999996E-2</v>
      </c>
      <c r="G873" s="458">
        <f>labcap_sources!$F$131*labcap_sources!$F$130</f>
        <v>1</v>
      </c>
      <c r="H873" s="362">
        <f t="shared" si="505"/>
        <v>6.8433706999999996E-2</v>
      </c>
      <c r="I873" s="368">
        <f>H873/H875*$F875</f>
        <v>6.8433706999999996E-2</v>
      </c>
      <c r="J873" s="458">
        <f>labcap_sources!$G$131*labcap_sources!$G$130</f>
        <v>1.096153846153846</v>
      </c>
      <c r="K873" s="362">
        <f t="shared" si="509"/>
        <v>7.501387113461537E-2</v>
      </c>
      <c r="L873" s="368">
        <f>K873/K875*$F875</f>
        <v>7.5405853996243735E-2</v>
      </c>
      <c r="M873" s="458">
        <f>labcap_sources!$H$131*labcap_sources!$H$130</f>
        <v>1.1692307692307693</v>
      </c>
      <c r="N873" s="362">
        <f t="shared" si="510"/>
        <v>8.0014795876923075E-2</v>
      </c>
      <c r="O873" s="368">
        <f>N873/N875*$F875</f>
        <v>8.6630337370401767E-2</v>
      </c>
    </row>
    <row r="874" spans="1:15" x14ac:dyDescent="0.25">
      <c r="A874" s="2" t="s">
        <v>1206</v>
      </c>
      <c r="B874" s="5" t="s">
        <v>205</v>
      </c>
      <c r="C874" s="2" t="s">
        <v>204</v>
      </c>
      <c r="E874" s="240" t="s">
        <v>375</v>
      </c>
      <c r="F874" s="362">
        <f>opex_det!BR$172</f>
        <v>2.0624667999999999E-2</v>
      </c>
      <c r="G874" s="458">
        <f>labcap_sources!$F$132</f>
        <v>1</v>
      </c>
      <c r="H874" s="362">
        <f t="shared" si="505"/>
        <v>2.0624667999999999E-2</v>
      </c>
      <c r="I874" s="368">
        <f>H874/H875*$F875</f>
        <v>2.0624667999999999E-2</v>
      </c>
      <c r="J874" s="458">
        <f>labcap_sources!$G$132</f>
        <v>1.05</v>
      </c>
      <c r="K874" s="362">
        <f t="shared" si="509"/>
        <v>2.16559014E-2</v>
      </c>
      <c r="L874" s="368">
        <f>K874/K875*$F875</f>
        <v>2.1769063700165528E-2</v>
      </c>
      <c r="M874" s="458">
        <f>labcap_sources!$H$132</f>
        <v>1.2</v>
      </c>
      <c r="N874" s="362">
        <f t="shared" si="510"/>
        <v>2.4749601599999997E-2</v>
      </c>
      <c r="O874" s="368">
        <f>N874/N875*$F875</f>
        <v>2.6795873349336405E-2</v>
      </c>
    </row>
    <row r="875" spans="1:15" x14ac:dyDescent="0.25">
      <c r="A875" s="2" t="s">
        <v>1206</v>
      </c>
      <c r="B875" s="5" t="s">
        <v>205</v>
      </c>
      <c r="C875" s="2" t="s">
        <v>204</v>
      </c>
      <c r="E875" s="19" t="s">
        <v>1077</v>
      </c>
      <c r="F875" s="363">
        <f>SUM(F871:F874)</f>
        <v>0.18023312600000002</v>
      </c>
      <c r="G875" s="458"/>
      <c r="H875" s="363">
        <f>SUM(H871:H874)</f>
        <v>0.18023312600000002</v>
      </c>
      <c r="I875" s="363">
        <f>SUM(I871:I874)</f>
        <v>0.18023312600000002</v>
      </c>
      <c r="J875" s="458"/>
      <c r="K875" s="363">
        <f>SUM(K871:K874)</f>
        <v>0.17929621868119658</v>
      </c>
      <c r="L875" s="363">
        <f>SUM(L871:L874)</f>
        <v>0.18023312600000002</v>
      </c>
      <c r="M875" s="458"/>
      <c r="N875" s="363">
        <f>SUM(N871:N874)</f>
        <v>0.1664695905025641</v>
      </c>
      <c r="O875" s="363">
        <f>SUM(O871:O874)</f>
        <v>0.18023312600000002</v>
      </c>
    </row>
    <row r="876" spans="1:15" x14ac:dyDescent="0.25">
      <c r="A876" s="2" t="s">
        <v>1206</v>
      </c>
      <c r="B876" s="5" t="s">
        <v>205</v>
      </c>
      <c r="C876" s="2" t="s">
        <v>204</v>
      </c>
      <c r="E876" s="367" t="s">
        <v>1068</v>
      </c>
      <c r="F876" s="359">
        <f>opex_det!BR$176</f>
        <v>3.9806900000000003E-4</v>
      </c>
      <c r="G876" s="458">
        <f>labcap_sources!$F$128</f>
        <v>1</v>
      </c>
      <c r="H876" s="369">
        <f t="shared" ref="H876:H885" si="511">$F876*G876</f>
        <v>3.9806900000000003E-4</v>
      </c>
      <c r="I876" s="357"/>
      <c r="J876" s="458">
        <f>labcap_sources!$G$128</f>
        <v>0.7777777777777779</v>
      </c>
      <c r="K876" s="369">
        <f>$H876*J876</f>
        <v>3.0960922222222231E-4</v>
      </c>
      <c r="L876" s="360"/>
      <c r="M876" s="458">
        <f>labcap_sources!$H$128</f>
        <v>0.66666666666666663</v>
      </c>
      <c r="N876" s="369">
        <f>$H876*M876</f>
        <v>2.6537933333333332E-4</v>
      </c>
      <c r="O876" s="360"/>
    </row>
    <row r="877" spans="1:15" x14ac:dyDescent="0.25">
      <c r="A877" s="2" t="s">
        <v>1206</v>
      </c>
      <c r="B877" s="5" t="s">
        <v>205</v>
      </c>
      <c r="C877" s="2" t="s">
        <v>204</v>
      </c>
      <c r="E877" s="367" t="s">
        <v>1069</v>
      </c>
      <c r="F877" s="359">
        <f>opex_det!BR$177</f>
        <v>2.41325E-4</v>
      </c>
      <c r="G877" s="458">
        <f>labcap_sources!$F$128</f>
        <v>1</v>
      </c>
      <c r="H877" s="369">
        <f t="shared" si="511"/>
        <v>2.41325E-4</v>
      </c>
      <c r="I877" s="357"/>
      <c r="J877" s="458">
        <f>labcap_sources!$G$128</f>
        <v>0.7777777777777779</v>
      </c>
      <c r="K877" s="369">
        <f t="shared" ref="K877:K881" si="512">$H877*J877</f>
        <v>1.8769722222222225E-4</v>
      </c>
      <c r="L877" s="360"/>
      <c r="M877" s="458">
        <f>labcap_sources!$H$128</f>
        <v>0.66666666666666663</v>
      </c>
      <c r="N877" s="369">
        <f t="shared" ref="N877" si="513">$H877*M877</f>
        <v>1.6088333333333333E-4</v>
      </c>
      <c r="O877" s="360"/>
    </row>
    <row r="878" spans="1:15" x14ac:dyDescent="0.25">
      <c r="A878" s="2" t="s">
        <v>1206</v>
      </c>
      <c r="B878" s="5" t="s">
        <v>205</v>
      </c>
      <c r="C878" s="2" t="s">
        <v>204</v>
      </c>
      <c r="E878" s="367" t="s">
        <v>1070</v>
      </c>
      <c r="F878" s="359">
        <f>opex_det!BR$178</f>
        <v>5.0583779999999997E-3</v>
      </c>
      <c r="G878" s="458">
        <f>labcap_sources!$F$129</f>
        <v>1</v>
      </c>
      <c r="H878" s="369">
        <f t="shared" si="511"/>
        <v>5.0583779999999997E-3</v>
      </c>
      <c r="I878" s="357"/>
      <c r="J878" s="458">
        <f>labcap_sources!$G$129</f>
        <v>0.96923076923076923</v>
      </c>
      <c r="K878" s="369">
        <f t="shared" si="512"/>
        <v>4.9027355999999994E-3</v>
      </c>
      <c r="L878" s="360"/>
      <c r="M878" s="458">
        <f>labcap_sources!$H$129</f>
        <v>0.86153846153846159</v>
      </c>
      <c r="N878" s="369">
        <f>$H878*M878</f>
        <v>4.3579871999999999E-3</v>
      </c>
      <c r="O878" s="360"/>
    </row>
    <row r="879" spans="1:15" x14ac:dyDescent="0.25">
      <c r="A879" s="2" t="s">
        <v>1206</v>
      </c>
      <c r="B879" s="5" t="s">
        <v>205</v>
      </c>
      <c r="C879" s="2" t="s">
        <v>204</v>
      </c>
      <c r="E879" s="367" t="s">
        <v>1071</v>
      </c>
      <c r="F879" s="359">
        <f>opex_det!BR$179</f>
        <v>1.0056240000000001E-3</v>
      </c>
      <c r="G879" s="458">
        <f>labcap_sources!$F$129</f>
        <v>1</v>
      </c>
      <c r="H879" s="369">
        <f t="shared" si="511"/>
        <v>1.0056240000000001E-3</v>
      </c>
      <c r="I879" s="357"/>
      <c r="J879" s="458">
        <f>labcap_sources!$G$129</f>
        <v>0.96923076923076923</v>
      </c>
      <c r="K879" s="369">
        <f t="shared" si="512"/>
        <v>9.7468172307692313E-4</v>
      </c>
      <c r="L879" s="360"/>
      <c r="M879" s="458">
        <f>labcap_sources!$H$129</f>
        <v>0.86153846153846159</v>
      </c>
      <c r="N879" s="369">
        <f t="shared" ref="N879:N881" si="514">$H879*M879</f>
        <v>8.6638375384615399E-4</v>
      </c>
      <c r="O879" s="360"/>
    </row>
    <row r="880" spans="1:15" x14ac:dyDescent="0.25">
      <c r="A880" s="2" t="s">
        <v>1206</v>
      </c>
      <c r="B880" s="5" t="s">
        <v>205</v>
      </c>
      <c r="C880" s="2" t="s">
        <v>204</v>
      </c>
      <c r="E880" s="367" t="s">
        <v>1072</v>
      </c>
      <c r="F880" s="359">
        <f>opex_det!BR$180</f>
        <v>2.029271E-3</v>
      </c>
      <c r="G880" s="458">
        <f>labcap_sources!$F$130</f>
        <v>1</v>
      </c>
      <c r="H880" s="369">
        <f t="shared" si="511"/>
        <v>2.029271E-3</v>
      </c>
      <c r="I880" s="357"/>
      <c r="J880" s="458">
        <f>labcap_sources!$G$130</f>
        <v>1.1538461538461537</v>
      </c>
      <c r="K880" s="369">
        <f t="shared" si="512"/>
        <v>2.3414665384615383E-3</v>
      </c>
      <c r="L880" s="360"/>
      <c r="M880" s="458">
        <f>labcap_sources!$H$130</f>
        <v>1.4615384615384615</v>
      </c>
      <c r="N880" s="369">
        <f t="shared" si="514"/>
        <v>2.9658576153846154E-3</v>
      </c>
      <c r="O880" s="360"/>
    </row>
    <row r="881" spans="1:15" x14ac:dyDescent="0.25">
      <c r="A881" s="2" t="s">
        <v>1206</v>
      </c>
      <c r="B881" s="5" t="s">
        <v>205</v>
      </c>
      <c r="C881" s="2" t="s">
        <v>204</v>
      </c>
      <c r="E881" s="367" t="s">
        <v>1073</v>
      </c>
      <c r="F881" s="359">
        <f>opex_det!BR$181</f>
        <v>3.4291500000000001E-4</v>
      </c>
      <c r="G881" s="458">
        <f>labcap_sources!$F$130</f>
        <v>1</v>
      </c>
      <c r="H881" s="369">
        <f t="shared" si="511"/>
        <v>3.4291500000000001E-4</v>
      </c>
      <c r="I881" s="357"/>
      <c r="J881" s="458">
        <f>labcap_sources!$G$130</f>
        <v>1.1538461538461537</v>
      </c>
      <c r="K881" s="369">
        <f t="shared" si="512"/>
        <v>3.9567115384615381E-4</v>
      </c>
      <c r="L881" s="360"/>
      <c r="M881" s="458">
        <f>labcap_sources!$H$130</f>
        <v>1.4615384615384615</v>
      </c>
      <c r="N881" s="369">
        <f t="shared" si="514"/>
        <v>5.0118346153846152E-4</v>
      </c>
      <c r="O881" s="360"/>
    </row>
    <row r="882" spans="1:15" x14ac:dyDescent="0.25">
      <c r="A882" s="2" t="s">
        <v>1206</v>
      </c>
      <c r="B882" s="5" t="s">
        <v>207</v>
      </c>
      <c r="C882" s="2" t="s">
        <v>206</v>
      </c>
      <c r="E882" s="241" t="s">
        <v>372</v>
      </c>
      <c r="F882" s="362">
        <f>opex_det!BS$169</f>
        <v>9.9469840000000007E-3</v>
      </c>
      <c r="G882" s="458">
        <f>labcap_sources!$F$131*labcap_sources!$F$128</f>
        <v>1</v>
      </c>
      <c r="H882" s="362">
        <f t="shared" si="511"/>
        <v>9.9469840000000007E-3</v>
      </c>
      <c r="I882" s="368">
        <f>H882/H886*$F886</f>
        <v>9.9469840000000007E-3</v>
      </c>
      <c r="J882" s="458">
        <f>labcap_sources!$G$131*labcap_sources!$G$128</f>
        <v>0.73888888888888893</v>
      </c>
      <c r="K882" s="362">
        <f>$H882*J882</f>
        <v>7.3497159555555563E-3</v>
      </c>
      <c r="L882" s="368">
        <f>K882/K886*$F886</f>
        <v>7.3889164940432947E-3</v>
      </c>
      <c r="M882" s="458">
        <f>labcap_sources!$H$131*labcap_sources!$H$128</f>
        <v>0.53333333333333333</v>
      </c>
      <c r="N882" s="362">
        <f>$H882*M882</f>
        <v>5.3050581333333336E-3</v>
      </c>
      <c r="O882" s="368">
        <f>N882/N886*$F886</f>
        <v>5.6746576082936373E-3</v>
      </c>
    </row>
    <row r="883" spans="1:15" x14ac:dyDescent="0.25">
      <c r="A883" s="2" t="s">
        <v>1206</v>
      </c>
      <c r="B883" s="5" t="s">
        <v>207</v>
      </c>
      <c r="C883" s="2" t="s">
        <v>206</v>
      </c>
      <c r="E883" s="241" t="s">
        <v>373</v>
      </c>
      <c r="F883" s="362">
        <f>opex_det!BS$170</f>
        <v>8.6107845000000002E-2</v>
      </c>
      <c r="G883" s="458">
        <f>labcap_sources!$F$131*labcap_sources!$F$129</f>
        <v>1</v>
      </c>
      <c r="H883" s="362">
        <f t="shared" si="511"/>
        <v>8.6107845000000002E-2</v>
      </c>
      <c r="I883" s="368">
        <f>H883/H886*$F886</f>
        <v>8.6107845000000002E-2</v>
      </c>
      <c r="J883" s="458">
        <f>labcap_sources!$G$131*labcap_sources!$G$129</f>
        <v>0.92076923076923067</v>
      </c>
      <c r="K883" s="362">
        <f t="shared" ref="K883:K885" si="515">$H883*J883</f>
        <v>7.9285454203846153E-2</v>
      </c>
      <c r="L883" s="368">
        <f>K883/K886*$F886</f>
        <v>7.9708332110670077E-2</v>
      </c>
      <c r="M883" s="458">
        <f>labcap_sources!$H$131*labcap_sources!$H$129</f>
        <v>0.68923076923076931</v>
      </c>
      <c r="N883" s="362">
        <f t="shared" ref="N883:N885" si="516">$H883*M883</f>
        <v>5.9348176246153857E-2</v>
      </c>
      <c r="O883" s="368">
        <f>N883/N886*$F886</f>
        <v>6.3482919773770505E-2</v>
      </c>
    </row>
    <row r="884" spans="1:15" x14ac:dyDescent="0.25">
      <c r="A884" s="2" t="s">
        <v>1206</v>
      </c>
      <c r="B884" s="5" t="s">
        <v>207</v>
      </c>
      <c r="C884" s="2" t="s">
        <v>206</v>
      </c>
      <c r="E884" s="241" t="s">
        <v>374</v>
      </c>
      <c r="F884" s="362">
        <f>opex_det!BS$171</f>
        <v>6.9710573999999997E-2</v>
      </c>
      <c r="G884" s="458">
        <f>labcap_sources!$F$131*labcap_sources!$F$130</f>
        <v>1</v>
      </c>
      <c r="H884" s="362">
        <f t="shared" si="511"/>
        <v>6.9710573999999997E-2</v>
      </c>
      <c r="I884" s="368">
        <f>H884/H886*$F886</f>
        <v>6.9710573999999997E-2</v>
      </c>
      <c r="J884" s="458">
        <f>labcap_sources!$G$131*labcap_sources!$G$130</f>
        <v>1.096153846153846</v>
      </c>
      <c r="K884" s="362">
        <f t="shared" si="515"/>
        <v>7.641351380769229E-2</v>
      </c>
      <c r="L884" s="368">
        <f>K884/K886*$F886</f>
        <v>7.6821073896696485E-2</v>
      </c>
      <c r="M884" s="458">
        <f>labcap_sources!$H$131*labcap_sources!$H$130</f>
        <v>1.1692307692307693</v>
      </c>
      <c r="N884" s="362">
        <f t="shared" si="516"/>
        <v>8.150774806153846E-2</v>
      </c>
      <c r="O884" s="368">
        <f>N884/N886*$F886</f>
        <v>8.7186332561763849E-2</v>
      </c>
    </row>
    <row r="885" spans="1:15" x14ac:dyDescent="0.25">
      <c r="A885" s="2" t="s">
        <v>1206</v>
      </c>
      <c r="B885" s="5" t="s">
        <v>207</v>
      </c>
      <c r="C885" s="2" t="s">
        <v>206</v>
      </c>
      <c r="E885" s="240" t="s">
        <v>375</v>
      </c>
      <c r="F885" s="362">
        <f>opex_det!BS$172</f>
        <v>3.3220697E-2</v>
      </c>
      <c r="G885" s="458">
        <f>labcap_sources!$F$132</f>
        <v>1</v>
      </c>
      <c r="H885" s="362">
        <f t="shared" si="511"/>
        <v>3.3220697E-2</v>
      </c>
      <c r="I885" s="368">
        <f>H885/H886*$F886</f>
        <v>3.3220697E-2</v>
      </c>
      <c r="J885" s="458">
        <f>labcap_sources!$G$132</f>
        <v>1.05</v>
      </c>
      <c r="K885" s="362">
        <f t="shared" si="515"/>
        <v>3.488173185E-2</v>
      </c>
      <c r="L885" s="368">
        <f>K885/K886*$F886</f>
        <v>3.5067777498590177E-2</v>
      </c>
      <c r="M885" s="458">
        <f>labcap_sources!$H$132</f>
        <v>1.2</v>
      </c>
      <c r="N885" s="362">
        <f t="shared" si="516"/>
        <v>3.9864836399999999E-2</v>
      </c>
      <c r="O885" s="368">
        <f>N885/N886*$F886</f>
        <v>4.2642190056172015E-2</v>
      </c>
    </row>
    <row r="886" spans="1:15" x14ac:dyDescent="0.25">
      <c r="A886" s="2" t="s">
        <v>1206</v>
      </c>
      <c r="B886" s="5" t="s">
        <v>207</v>
      </c>
      <c r="C886" s="2" t="s">
        <v>206</v>
      </c>
      <c r="E886" s="19" t="s">
        <v>1077</v>
      </c>
      <c r="F886" s="363">
        <f>SUM(F882:F885)</f>
        <v>0.1989861</v>
      </c>
      <c r="G886" s="458"/>
      <c r="H886" s="363">
        <f>SUM(H882:H885)</f>
        <v>0.1989861</v>
      </c>
      <c r="I886" s="363">
        <f>SUM(I882:I885)</f>
        <v>0.1989861</v>
      </c>
      <c r="J886" s="458"/>
      <c r="K886" s="363">
        <f>SUM(K882:K885)</f>
        <v>0.19793041581709397</v>
      </c>
      <c r="L886" s="363">
        <f>SUM(L882:L885)</f>
        <v>0.19898610000000005</v>
      </c>
      <c r="M886" s="458"/>
      <c r="N886" s="363">
        <f>SUM(N882:N885)</f>
        <v>0.18602581884102565</v>
      </c>
      <c r="O886" s="363">
        <f>SUM(O882:O885)</f>
        <v>0.1989861</v>
      </c>
    </row>
    <row r="887" spans="1:15" x14ac:dyDescent="0.25">
      <c r="A887" s="2" t="s">
        <v>1206</v>
      </c>
      <c r="B887" s="5" t="s">
        <v>207</v>
      </c>
      <c r="C887" s="2" t="s">
        <v>206</v>
      </c>
      <c r="E887" s="367" t="s">
        <v>1068</v>
      </c>
      <c r="F887" s="359">
        <f>opex_det!BS$176</f>
        <v>7.5515700000000001E-4</v>
      </c>
      <c r="G887" s="458">
        <f>labcap_sources!$F$128</f>
        <v>1</v>
      </c>
      <c r="H887" s="369">
        <f t="shared" ref="H887:H896" si="517">$F887*G887</f>
        <v>7.5515700000000001E-4</v>
      </c>
      <c r="I887" s="357"/>
      <c r="J887" s="458">
        <f>labcap_sources!$G$128</f>
        <v>0.7777777777777779</v>
      </c>
      <c r="K887" s="369">
        <f>$H887*J887</f>
        <v>5.8734433333333344E-4</v>
      </c>
      <c r="L887" s="360"/>
      <c r="M887" s="458">
        <f>labcap_sources!$H$128</f>
        <v>0.66666666666666663</v>
      </c>
      <c r="N887" s="369">
        <f>$H887*M887</f>
        <v>5.0343799999999993E-4</v>
      </c>
      <c r="O887" s="360"/>
    </row>
    <row r="888" spans="1:15" x14ac:dyDescent="0.25">
      <c r="A888" s="2" t="s">
        <v>1206</v>
      </c>
      <c r="B888" s="5" t="s">
        <v>207</v>
      </c>
      <c r="C888" s="2" t="s">
        <v>206</v>
      </c>
      <c r="E888" s="367" t="s">
        <v>1069</v>
      </c>
      <c r="F888" s="359">
        <f>opex_det!BS$177</f>
        <v>1.276964E-3</v>
      </c>
      <c r="G888" s="458">
        <f>labcap_sources!$F$128</f>
        <v>1</v>
      </c>
      <c r="H888" s="369">
        <f t="shared" si="517"/>
        <v>1.276964E-3</v>
      </c>
      <c r="I888" s="357"/>
      <c r="J888" s="458">
        <f>labcap_sources!$G$128</f>
        <v>0.7777777777777779</v>
      </c>
      <c r="K888" s="369">
        <f t="shared" ref="K888:K892" si="518">$H888*J888</f>
        <v>9.9319422222222237E-4</v>
      </c>
      <c r="L888" s="360"/>
      <c r="M888" s="458">
        <f>labcap_sources!$H$128</f>
        <v>0.66666666666666663</v>
      </c>
      <c r="N888" s="369">
        <f t="shared" ref="N888" si="519">$H888*M888</f>
        <v>8.5130933333333334E-4</v>
      </c>
      <c r="O888" s="360"/>
    </row>
    <row r="889" spans="1:15" x14ac:dyDescent="0.25">
      <c r="A889" s="2" t="s">
        <v>1206</v>
      </c>
      <c r="B889" s="5" t="s">
        <v>207</v>
      </c>
      <c r="C889" s="2" t="s">
        <v>206</v>
      </c>
      <c r="E889" s="367" t="s">
        <v>1070</v>
      </c>
      <c r="F889" s="359">
        <f>opex_det!BS$178</f>
        <v>9.5319930000000008E-3</v>
      </c>
      <c r="G889" s="458">
        <f>labcap_sources!$F$129</f>
        <v>1</v>
      </c>
      <c r="H889" s="369">
        <f t="shared" si="517"/>
        <v>9.5319930000000008E-3</v>
      </c>
      <c r="I889" s="357"/>
      <c r="J889" s="458">
        <f>labcap_sources!$G$129</f>
        <v>0.96923076923076923</v>
      </c>
      <c r="K889" s="369">
        <f t="shared" si="518"/>
        <v>9.2387009076923092E-3</v>
      </c>
      <c r="L889" s="360"/>
      <c r="M889" s="458">
        <f>labcap_sources!$H$129</f>
        <v>0.86153846153846159</v>
      </c>
      <c r="N889" s="369">
        <f>$H889*M889</f>
        <v>8.2121785846153861E-3</v>
      </c>
      <c r="O889" s="360"/>
    </row>
    <row r="890" spans="1:15" x14ac:dyDescent="0.25">
      <c r="A890" s="2" t="s">
        <v>1206</v>
      </c>
      <c r="B890" s="5" t="s">
        <v>207</v>
      </c>
      <c r="C890" s="2" t="s">
        <v>206</v>
      </c>
      <c r="E890" s="367" t="s">
        <v>1071</v>
      </c>
      <c r="F890" s="359">
        <f>opex_det!BS$179</f>
        <v>5.6360569999999999E-3</v>
      </c>
      <c r="G890" s="458">
        <f>labcap_sources!$F$129</f>
        <v>1</v>
      </c>
      <c r="H890" s="369">
        <f t="shared" si="517"/>
        <v>5.6360569999999999E-3</v>
      </c>
      <c r="I890" s="357"/>
      <c r="J890" s="458">
        <f>labcap_sources!$G$129</f>
        <v>0.96923076923076923</v>
      </c>
      <c r="K890" s="369">
        <f t="shared" si="518"/>
        <v>5.4626398615384613E-3</v>
      </c>
      <c r="L890" s="360"/>
      <c r="M890" s="458">
        <f>labcap_sources!$H$129</f>
        <v>0.86153846153846159</v>
      </c>
      <c r="N890" s="369">
        <f t="shared" ref="N890:N892" si="520">$H890*M890</f>
        <v>4.8556798769230775E-3</v>
      </c>
      <c r="O890" s="360"/>
    </row>
    <row r="891" spans="1:15" x14ac:dyDescent="0.25">
      <c r="A891" s="2" t="s">
        <v>1206</v>
      </c>
      <c r="B891" s="5" t="s">
        <v>207</v>
      </c>
      <c r="C891" s="2" t="s">
        <v>206</v>
      </c>
      <c r="E891" s="367" t="s">
        <v>1072</v>
      </c>
      <c r="F891" s="359">
        <f>opex_det!BS$180</f>
        <v>3.8426060000000001E-3</v>
      </c>
      <c r="G891" s="458">
        <f>labcap_sources!$F$130</f>
        <v>1</v>
      </c>
      <c r="H891" s="369">
        <f t="shared" si="517"/>
        <v>3.8426060000000001E-3</v>
      </c>
      <c r="I891" s="357"/>
      <c r="J891" s="458">
        <f>labcap_sources!$G$130</f>
        <v>1.1538461538461537</v>
      </c>
      <c r="K891" s="369">
        <f t="shared" si="518"/>
        <v>4.4337761538461532E-3</v>
      </c>
      <c r="L891" s="360"/>
      <c r="M891" s="458">
        <f>labcap_sources!$H$130</f>
        <v>1.4615384615384615</v>
      </c>
      <c r="N891" s="369">
        <f t="shared" si="520"/>
        <v>5.6161164615384611E-3</v>
      </c>
      <c r="O891" s="360"/>
    </row>
    <row r="892" spans="1:15" x14ac:dyDescent="0.25">
      <c r="A892" s="2" t="s">
        <v>1206</v>
      </c>
      <c r="B892" s="5" t="s">
        <v>207</v>
      </c>
      <c r="C892" s="2" t="s">
        <v>206</v>
      </c>
      <c r="E892" s="367" t="s">
        <v>1073</v>
      </c>
      <c r="F892" s="359">
        <f>opex_det!BS$181</f>
        <v>2.7126009999999998E-3</v>
      </c>
      <c r="G892" s="458">
        <f>labcap_sources!$F$130</f>
        <v>1</v>
      </c>
      <c r="H892" s="369">
        <f t="shared" si="517"/>
        <v>2.7126009999999998E-3</v>
      </c>
      <c r="I892" s="357"/>
      <c r="J892" s="458">
        <f>labcap_sources!$G$130</f>
        <v>1.1538461538461537</v>
      </c>
      <c r="K892" s="369">
        <f t="shared" si="518"/>
        <v>3.1299242307692302E-3</v>
      </c>
      <c r="L892" s="360"/>
      <c r="M892" s="458">
        <f>labcap_sources!$H$130</f>
        <v>1.4615384615384615</v>
      </c>
      <c r="N892" s="369">
        <f t="shared" si="520"/>
        <v>3.9645706923076918E-3</v>
      </c>
      <c r="O892" s="360"/>
    </row>
    <row r="893" spans="1:15" x14ac:dyDescent="0.25">
      <c r="A893" s="2" t="s">
        <v>330</v>
      </c>
      <c r="B893" s="6" t="s">
        <v>209</v>
      </c>
      <c r="C893" s="2" t="s">
        <v>208</v>
      </c>
      <c r="E893" s="241" t="s">
        <v>372</v>
      </c>
      <c r="F893" s="362">
        <f>opex_det!BT$169</f>
        <v>3.4587649999999999E-3</v>
      </c>
      <c r="G893" s="458">
        <f>labcap_sources!$F$131*labcap_sources!$F$128</f>
        <v>1</v>
      </c>
      <c r="H893" s="362">
        <f t="shared" si="517"/>
        <v>3.4587649999999999E-3</v>
      </c>
      <c r="I893" s="368">
        <f>H893/H897*$F897</f>
        <v>3.4587650000000004E-3</v>
      </c>
      <c r="J893" s="458">
        <f>labcap_sources!$G$131*labcap_sources!$G$128</f>
        <v>0.73888888888888893</v>
      </c>
      <c r="K893" s="362">
        <f>$H893*J893</f>
        <v>2.5556430277777777E-3</v>
      </c>
      <c r="L893" s="368">
        <f>K893/K897*$F897</f>
        <v>2.6114657204546524E-3</v>
      </c>
      <c r="M893" s="458">
        <f>labcap_sources!$H$131*labcap_sources!$H$128</f>
        <v>0.53333333333333333</v>
      </c>
      <c r="N893" s="362">
        <f>$H893*M893</f>
        <v>1.8446746666666667E-3</v>
      </c>
      <c r="O893" s="368">
        <f>N893/N897*$F897</f>
        <v>2.0613231411447824E-3</v>
      </c>
    </row>
    <row r="894" spans="1:15" x14ac:dyDescent="0.25">
      <c r="A894" s="2" t="s">
        <v>330</v>
      </c>
      <c r="B894" s="6" t="s">
        <v>209</v>
      </c>
      <c r="C894" s="2" t="s">
        <v>208</v>
      </c>
      <c r="E894" s="241" t="s">
        <v>373</v>
      </c>
      <c r="F894" s="362">
        <f>opex_det!BT$170</f>
        <v>1.6569912999999999E-2</v>
      </c>
      <c r="G894" s="458">
        <f>labcap_sources!$F$131*labcap_sources!$F$129</f>
        <v>1</v>
      </c>
      <c r="H894" s="362">
        <f t="shared" si="517"/>
        <v>1.6569912999999999E-2</v>
      </c>
      <c r="I894" s="368">
        <f>H894/H897*$F897</f>
        <v>1.6569912999999999E-2</v>
      </c>
      <c r="J894" s="458">
        <f>labcap_sources!$G$131*labcap_sources!$G$129</f>
        <v>0.92076923076923067</v>
      </c>
      <c r="K894" s="362">
        <f t="shared" ref="K894:K896" si="521">$H894*J894</f>
        <v>1.5257066046923074E-2</v>
      </c>
      <c r="L894" s="368">
        <f>K894/K897*$F897</f>
        <v>1.5590324839262605E-2</v>
      </c>
      <c r="M894" s="458">
        <f>labcap_sources!$H$131*labcap_sources!$H$129</f>
        <v>0.68923076923076931</v>
      </c>
      <c r="N894" s="362">
        <f t="shared" ref="N894:N896" si="522">$H894*M894</f>
        <v>1.1420493883076923E-2</v>
      </c>
      <c r="O894" s="368">
        <f>N894/N897*$F897</f>
        <v>1.2761777862449943E-2</v>
      </c>
    </row>
    <row r="895" spans="1:15" x14ac:dyDescent="0.25">
      <c r="A895" s="2" t="s">
        <v>330</v>
      </c>
      <c r="B895" s="6" t="s">
        <v>209</v>
      </c>
      <c r="C895" s="2" t="s">
        <v>208</v>
      </c>
      <c r="E895" s="241" t="s">
        <v>374</v>
      </c>
      <c r="F895" s="362">
        <f>opex_det!BT$171</f>
        <v>1.308342E-2</v>
      </c>
      <c r="G895" s="458">
        <f>labcap_sources!$F$131*labcap_sources!$F$130</f>
        <v>1</v>
      </c>
      <c r="H895" s="362">
        <f t="shared" si="517"/>
        <v>1.308342E-2</v>
      </c>
      <c r="I895" s="368">
        <f>H895/H897*$F897</f>
        <v>1.3083419999999998E-2</v>
      </c>
      <c r="J895" s="458">
        <f>labcap_sources!$G$131*labcap_sources!$G$130</f>
        <v>1.096153846153846</v>
      </c>
      <c r="K895" s="362">
        <f t="shared" si="521"/>
        <v>1.4341441153846153E-2</v>
      </c>
      <c r="L895" s="368">
        <f>K895/K897*$F897</f>
        <v>1.4654700029742748E-2</v>
      </c>
      <c r="M895" s="458">
        <f>labcap_sources!$H$131*labcap_sources!$H$130</f>
        <v>1.1692307692307693</v>
      </c>
      <c r="N895" s="362">
        <f t="shared" si="522"/>
        <v>1.5297537230769232E-2</v>
      </c>
      <c r="O895" s="368">
        <f>N895/N897*$F897</f>
        <v>1.7094161949591378E-2</v>
      </c>
    </row>
    <row r="896" spans="1:15" x14ac:dyDescent="0.25">
      <c r="A896" s="2" t="s">
        <v>330</v>
      </c>
      <c r="B896" s="6" t="s">
        <v>209</v>
      </c>
      <c r="C896" s="2" t="s">
        <v>208</v>
      </c>
      <c r="E896" s="240" t="s">
        <v>375</v>
      </c>
      <c r="F896" s="362">
        <f>opex_det!BT$172</f>
        <v>3.5045889999999998E-3</v>
      </c>
      <c r="G896" s="458">
        <f>labcap_sources!$F$132</f>
        <v>1</v>
      </c>
      <c r="H896" s="362">
        <f t="shared" si="517"/>
        <v>3.5045889999999998E-3</v>
      </c>
      <c r="I896" s="368">
        <f>H896/H897*$F897</f>
        <v>3.5045889999999998E-3</v>
      </c>
      <c r="J896" s="458">
        <f>labcap_sources!$G$132</f>
        <v>1.05</v>
      </c>
      <c r="K896" s="362">
        <f t="shared" si="521"/>
        <v>3.67981845E-3</v>
      </c>
      <c r="L896" s="368">
        <f>K896/K897*$F897</f>
        <v>3.7601964105399978E-3</v>
      </c>
      <c r="M896" s="458">
        <f>labcap_sources!$H$132</f>
        <v>1.2</v>
      </c>
      <c r="N896" s="362">
        <f t="shared" si="522"/>
        <v>4.2055067999999998E-3</v>
      </c>
      <c r="O896" s="368">
        <f>N896/N897*$F897</f>
        <v>4.6994240468138963E-3</v>
      </c>
    </row>
    <row r="897" spans="1:15" x14ac:dyDescent="0.25">
      <c r="A897" s="2" t="s">
        <v>330</v>
      </c>
      <c r="B897" s="6" t="s">
        <v>209</v>
      </c>
      <c r="C897" s="2" t="s">
        <v>208</v>
      </c>
      <c r="E897" s="19" t="s">
        <v>1077</v>
      </c>
      <c r="F897" s="363">
        <f>SUM(F893:F896)</f>
        <v>3.6616687000000002E-2</v>
      </c>
      <c r="G897" s="458"/>
      <c r="H897" s="363">
        <f>SUM(H893:H896)</f>
        <v>3.6616687000000002E-2</v>
      </c>
      <c r="I897" s="363">
        <f>SUM(I893:I896)</f>
        <v>3.6616686999999995E-2</v>
      </c>
      <c r="J897" s="458"/>
      <c r="K897" s="363">
        <f>SUM(K893:K896)</f>
        <v>3.5833968678547004E-2</v>
      </c>
      <c r="L897" s="363">
        <f>SUM(L893:L896)</f>
        <v>3.6616687000000002E-2</v>
      </c>
      <c r="M897" s="458"/>
      <c r="N897" s="363">
        <f>SUM(N893:N896)</f>
        <v>3.2768212580512823E-2</v>
      </c>
      <c r="O897" s="363">
        <f>SUM(O893:O896)</f>
        <v>3.6616686999999995E-2</v>
      </c>
    </row>
    <row r="898" spans="1:15" x14ac:dyDescent="0.25">
      <c r="A898" s="2" t="s">
        <v>330</v>
      </c>
      <c r="B898" s="6" t="s">
        <v>209</v>
      </c>
      <c r="C898" s="2" t="s">
        <v>208</v>
      </c>
      <c r="E898" s="367" t="s">
        <v>1068</v>
      </c>
      <c r="F898" s="359">
        <f>opex_det!BT$176</f>
        <v>0</v>
      </c>
      <c r="G898" s="458">
        <f>labcap_sources!$F$128</f>
        <v>1</v>
      </c>
      <c r="H898" s="369">
        <f t="shared" ref="H898:H907" si="523">$F898*G898</f>
        <v>0</v>
      </c>
      <c r="I898" s="357"/>
      <c r="J898" s="458">
        <f>labcap_sources!$G$128</f>
        <v>0.7777777777777779</v>
      </c>
      <c r="K898" s="369">
        <f>$H898*J898</f>
        <v>0</v>
      </c>
      <c r="L898" s="360"/>
      <c r="M898" s="458">
        <f>labcap_sources!$H$128</f>
        <v>0.66666666666666663</v>
      </c>
      <c r="N898" s="369">
        <f>$H898*M898</f>
        <v>0</v>
      </c>
      <c r="O898" s="360"/>
    </row>
    <row r="899" spans="1:15" x14ac:dyDescent="0.25">
      <c r="A899" s="2" t="s">
        <v>330</v>
      </c>
      <c r="B899" s="6" t="s">
        <v>209</v>
      </c>
      <c r="C899" s="2" t="s">
        <v>208</v>
      </c>
      <c r="E899" s="367" t="s">
        <v>1069</v>
      </c>
      <c r="F899" s="359">
        <f>opex_det!BT$177</f>
        <v>8.2183799999999997E-4</v>
      </c>
      <c r="G899" s="458">
        <f>labcap_sources!$F$128</f>
        <v>1</v>
      </c>
      <c r="H899" s="369">
        <f t="shared" si="523"/>
        <v>8.2183799999999997E-4</v>
      </c>
      <c r="I899" s="357"/>
      <c r="J899" s="458">
        <f>labcap_sources!$G$128</f>
        <v>0.7777777777777779</v>
      </c>
      <c r="K899" s="369">
        <f t="shared" ref="K899:K903" si="524">$H899*J899</f>
        <v>6.3920733333333341E-4</v>
      </c>
      <c r="L899" s="360"/>
      <c r="M899" s="458">
        <f>labcap_sources!$H$128</f>
        <v>0.66666666666666663</v>
      </c>
      <c r="N899" s="369">
        <f t="shared" ref="N899" si="525">$H899*M899</f>
        <v>5.4789199999999991E-4</v>
      </c>
      <c r="O899" s="360"/>
    </row>
    <row r="900" spans="1:15" x14ac:dyDescent="0.25">
      <c r="A900" s="2" t="s">
        <v>330</v>
      </c>
      <c r="B900" s="6" t="s">
        <v>209</v>
      </c>
      <c r="C900" s="2" t="s">
        <v>208</v>
      </c>
      <c r="E900" s="367" t="s">
        <v>1070</v>
      </c>
      <c r="F900" s="359">
        <f>opex_det!BT$178</f>
        <v>0</v>
      </c>
      <c r="G900" s="458">
        <f>labcap_sources!$F$129</f>
        <v>1</v>
      </c>
      <c r="H900" s="369">
        <f t="shared" si="523"/>
        <v>0</v>
      </c>
      <c r="I900" s="357"/>
      <c r="J900" s="458">
        <f>labcap_sources!$G$129</f>
        <v>0.96923076923076923</v>
      </c>
      <c r="K900" s="369">
        <f t="shared" si="524"/>
        <v>0</v>
      </c>
      <c r="L900" s="360"/>
      <c r="M900" s="458">
        <f>labcap_sources!$H$129</f>
        <v>0.86153846153846159</v>
      </c>
      <c r="N900" s="369">
        <f>$H900*M900</f>
        <v>0</v>
      </c>
      <c r="O900" s="360"/>
    </row>
    <row r="901" spans="1:15" x14ac:dyDescent="0.25">
      <c r="A901" s="2" t="s">
        <v>330</v>
      </c>
      <c r="B901" s="6" t="s">
        <v>209</v>
      </c>
      <c r="C901" s="2" t="s">
        <v>208</v>
      </c>
      <c r="E901" s="367" t="s">
        <v>1071</v>
      </c>
      <c r="F901" s="359">
        <f>opex_det!BT$179</f>
        <v>3.4246699999999999E-3</v>
      </c>
      <c r="G901" s="458">
        <f>labcap_sources!$F$129</f>
        <v>1</v>
      </c>
      <c r="H901" s="369">
        <f t="shared" si="523"/>
        <v>3.4246699999999999E-3</v>
      </c>
      <c r="I901" s="357"/>
      <c r="J901" s="458">
        <f>labcap_sources!$G$129</f>
        <v>0.96923076923076923</v>
      </c>
      <c r="K901" s="369">
        <f t="shared" si="524"/>
        <v>3.3192955384615383E-3</v>
      </c>
      <c r="L901" s="360"/>
      <c r="M901" s="458">
        <f>labcap_sources!$H$129</f>
        <v>0.86153846153846159</v>
      </c>
      <c r="N901" s="369">
        <f t="shared" ref="N901:N903" si="526">$H901*M901</f>
        <v>2.9504849230769232E-3</v>
      </c>
      <c r="O901" s="360"/>
    </row>
    <row r="902" spans="1:15" x14ac:dyDescent="0.25">
      <c r="A902" s="2" t="s">
        <v>330</v>
      </c>
      <c r="B902" s="6" t="s">
        <v>209</v>
      </c>
      <c r="C902" s="2" t="s">
        <v>208</v>
      </c>
      <c r="E902" s="367" t="s">
        <v>1072</v>
      </c>
      <c r="F902" s="359">
        <f>opex_det!BT$180</f>
        <v>0</v>
      </c>
      <c r="G902" s="458">
        <f>labcap_sources!$F$130</f>
        <v>1</v>
      </c>
      <c r="H902" s="369">
        <f t="shared" si="523"/>
        <v>0</v>
      </c>
      <c r="I902" s="357"/>
      <c r="J902" s="458">
        <f>labcap_sources!$G$130</f>
        <v>1.1538461538461537</v>
      </c>
      <c r="K902" s="369">
        <f t="shared" si="524"/>
        <v>0</v>
      </c>
      <c r="L902" s="360"/>
      <c r="M902" s="458">
        <f>labcap_sources!$H$130</f>
        <v>1.4615384615384615</v>
      </c>
      <c r="N902" s="369">
        <f t="shared" si="526"/>
        <v>0</v>
      </c>
      <c r="O902" s="360"/>
    </row>
    <row r="903" spans="1:15" x14ac:dyDescent="0.25">
      <c r="A903" s="2" t="s">
        <v>330</v>
      </c>
      <c r="B903" s="6" t="s">
        <v>209</v>
      </c>
      <c r="C903" s="2" t="s">
        <v>208</v>
      </c>
      <c r="E903" s="367" t="s">
        <v>1073</v>
      </c>
      <c r="F903" s="359">
        <f>opex_det!BT$181</f>
        <v>1.509575E-3</v>
      </c>
      <c r="G903" s="458">
        <f>labcap_sources!$F$130</f>
        <v>1</v>
      </c>
      <c r="H903" s="369">
        <f t="shared" si="523"/>
        <v>1.509575E-3</v>
      </c>
      <c r="I903" s="357"/>
      <c r="J903" s="458">
        <f>labcap_sources!$G$130</f>
        <v>1.1538461538461537</v>
      </c>
      <c r="K903" s="369">
        <f t="shared" si="524"/>
        <v>1.7418173076923075E-3</v>
      </c>
      <c r="L903" s="360"/>
      <c r="M903" s="458">
        <f>labcap_sources!$H$130</f>
        <v>1.4615384615384615</v>
      </c>
      <c r="N903" s="369">
        <f t="shared" si="526"/>
        <v>2.206301923076923E-3</v>
      </c>
      <c r="O903" s="360"/>
    </row>
    <row r="904" spans="1:15" x14ac:dyDescent="0.25">
      <c r="A904" s="2" t="s">
        <v>330</v>
      </c>
      <c r="B904" s="6" t="s">
        <v>211</v>
      </c>
      <c r="C904" s="2" t="s">
        <v>210</v>
      </c>
      <c r="E904" s="241" t="s">
        <v>372</v>
      </c>
      <c r="F904" s="362">
        <f>opex_det!BU$169</f>
        <v>0</v>
      </c>
      <c r="G904" s="458">
        <f>labcap_sources!$F$131*labcap_sources!$F$128</f>
        <v>1</v>
      </c>
      <c r="H904" s="362">
        <f t="shared" si="523"/>
        <v>0</v>
      </c>
      <c r="I904" s="368">
        <f>IFERROR(H904/H908*$F908,0)</f>
        <v>0</v>
      </c>
      <c r="J904" s="458">
        <f>labcap_sources!$G$131*labcap_sources!$G$128</f>
        <v>0.73888888888888893</v>
      </c>
      <c r="K904" s="362">
        <f>$H904*J904</f>
        <v>0</v>
      </c>
      <c r="L904" s="368">
        <f>IFERROR(K904/K908*$F908,0)</f>
        <v>0</v>
      </c>
      <c r="M904" s="458">
        <f>labcap_sources!$H$131*labcap_sources!$H$128</f>
        <v>0.53333333333333333</v>
      </c>
      <c r="N904" s="362">
        <f>$H904*M904</f>
        <v>0</v>
      </c>
      <c r="O904" s="368">
        <f>IFERROR(N904/N908*$F908,0)</f>
        <v>0</v>
      </c>
    </row>
    <row r="905" spans="1:15" x14ac:dyDescent="0.25">
      <c r="A905" s="2" t="s">
        <v>330</v>
      </c>
      <c r="B905" s="6" t="s">
        <v>211</v>
      </c>
      <c r="C905" s="2" t="s">
        <v>210</v>
      </c>
      <c r="E905" s="241" t="s">
        <v>373</v>
      </c>
      <c r="F905" s="362">
        <f>opex_det!BU$170</f>
        <v>0</v>
      </c>
      <c r="G905" s="458">
        <f>labcap_sources!$F$131*labcap_sources!$F$129</f>
        <v>1</v>
      </c>
      <c r="H905" s="362">
        <f t="shared" si="523"/>
        <v>0</v>
      </c>
      <c r="I905" s="368">
        <f>IFERROR(H905/H908*$F908,0)</f>
        <v>0</v>
      </c>
      <c r="J905" s="458">
        <f>labcap_sources!$G$131*labcap_sources!$G$129</f>
        <v>0.92076923076923067</v>
      </c>
      <c r="K905" s="362">
        <f t="shared" ref="K905:K907" si="527">$H905*J905</f>
        <v>0</v>
      </c>
      <c r="L905" s="368">
        <f>IFERROR(K905/K908*$F908,0)</f>
        <v>0</v>
      </c>
      <c r="M905" s="458">
        <f>labcap_sources!$H$131*labcap_sources!$H$129</f>
        <v>0.68923076923076931</v>
      </c>
      <c r="N905" s="362">
        <f t="shared" ref="N905:N907" si="528">$H905*M905</f>
        <v>0</v>
      </c>
      <c r="O905" s="368">
        <f>IFERROR(N905/N908*$F908,0)</f>
        <v>0</v>
      </c>
    </row>
    <row r="906" spans="1:15" x14ac:dyDescent="0.25">
      <c r="A906" s="2" t="s">
        <v>330</v>
      </c>
      <c r="B906" s="6" t="s">
        <v>211</v>
      </c>
      <c r="C906" s="2" t="s">
        <v>210</v>
      </c>
      <c r="E906" s="241" t="s">
        <v>374</v>
      </c>
      <c r="F906" s="362">
        <f>opex_det!BU$171</f>
        <v>0</v>
      </c>
      <c r="G906" s="458">
        <f>labcap_sources!$F$131*labcap_sources!$F$130</f>
        <v>1</v>
      </c>
      <c r="H906" s="362">
        <f t="shared" si="523"/>
        <v>0</v>
      </c>
      <c r="I906" s="368">
        <f>IFERROR(H906/H908*$F908,0)</f>
        <v>0</v>
      </c>
      <c r="J906" s="458">
        <f>labcap_sources!$G$131*labcap_sources!$G$130</f>
        <v>1.096153846153846</v>
      </c>
      <c r="K906" s="362">
        <f t="shared" si="527"/>
        <v>0</v>
      </c>
      <c r="L906" s="368">
        <f>IFERROR(K906/K908*$F908,0)</f>
        <v>0</v>
      </c>
      <c r="M906" s="458">
        <f>labcap_sources!$H$131*labcap_sources!$H$130</f>
        <v>1.1692307692307693</v>
      </c>
      <c r="N906" s="362">
        <f t="shared" si="528"/>
        <v>0</v>
      </c>
      <c r="O906" s="368">
        <f>IFERROR(N906/N908*$F908,0)</f>
        <v>0</v>
      </c>
    </row>
    <row r="907" spans="1:15" x14ac:dyDescent="0.25">
      <c r="A907" s="2" t="s">
        <v>330</v>
      </c>
      <c r="B907" s="6" t="s">
        <v>211</v>
      </c>
      <c r="C907" s="2" t="s">
        <v>210</v>
      </c>
      <c r="E907" s="240" t="s">
        <v>375</v>
      </c>
      <c r="F907" s="362">
        <f>opex_det!BU$172</f>
        <v>0</v>
      </c>
      <c r="G907" s="458">
        <f>labcap_sources!$F$132</f>
        <v>1</v>
      </c>
      <c r="H907" s="362">
        <f t="shared" si="523"/>
        <v>0</v>
      </c>
      <c r="I907" s="368">
        <f>IFERROR(H907/H908*$F908,0)</f>
        <v>0</v>
      </c>
      <c r="J907" s="458">
        <f>labcap_sources!$G$132</f>
        <v>1.05</v>
      </c>
      <c r="K907" s="362">
        <f t="shared" si="527"/>
        <v>0</v>
      </c>
      <c r="L907" s="368">
        <f>IFERROR(K907/K908*$F908,0)</f>
        <v>0</v>
      </c>
      <c r="M907" s="458">
        <f>labcap_sources!$H$132</f>
        <v>1.2</v>
      </c>
      <c r="N907" s="362">
        <f t="shared" si="528"/>
        <v>0</v>
      </c>
      <c r="O907" s="368">
        <f>IFERROR(N907/N908*$F908,0)</f>
        <v>0</v>
      </c>
    </row>
    <row r="908" spans="1:15" x14ac:dyDescent="0.25">
      <c r="A908" s="2" t="s">
        <v>330</v>
      </c>
      <c r="B908" s="6" t="s">
        <v>211</v>
      </c>
      <c r="C908" s="2" t="s">
        <v>210</v>
      </c>
      <c r="E908" s="19" t="s">
        <v>1077</v>
      </c>
      <c r="F908" s="363">
        <f>SUM(F904:F907)</f>
        <v>0</v>
      </c>
      <c r="G908" s="458"/>
      <c r="H908" s="363">
        <f>SUM(H904:H907)</f>
        <v>0</v>
      </c>
      <c r="I908" s="363">
        <f>SUM(I904:I907)</f>
        <v>0</v>
      </c>
      <c r="J908" s="458"/>
      <c r="K908" s="363">
        <f>SUM(K904:K907)</f>
        <v>0</v>
      </c>
      <c r="L908" s="363">
        <f>SUM(L904:L907)</f>
        <v>0</v>
      </c>
      <c r="M908" s="458"/>
      <c r="N908" s="363">
        <f>SUM(N904:N907)</f>
        <v>0</v>
      </c>
      <c r="O908" s="363">
        <f>SUM(O904:O907)</f>
        <v>0</v>
      </c>
    </row>
    <row r="909" spans="1:15" x14ac:dyDescent="0.25">
      <c r="A909" s="2" t="s">
        <v>330</v>
      </c>
      <c r="B909" s="6" t="s">
        <v>211</v>
      </c>
      <c r="C909" s="2" t="s">
        <v>210</v>
      </c>
      <c r="E909" s="367" t="s">
        <v>1068</v>
      </c>
      <c r="F909" s="359">
        <f>opex_det!BU$176</f>
        <v>0</v>
      </c>
      <c r="G909" s="458">
        <f>labcap_sources!$F$128</f>
        <v>1</v>
      </c>
      <c r="H909" s="369">
        <f t="shared" ref="H909:H918" si="529">$F909*G909</f>
        <v>0</v>
      </c>
      <c r="I909" s="357"/>
      <c r="J909" s="458">
        <f>labcap_sources!$G$128</f>
        <v>0.7777777777777779</v>
      </c>
      <c r="K909" s="369">
        <f>$H909*J909</f>
        <v>0</v>
      </c>
      <c r="L909" s="360"/>
      <c r="M909" s="458">
        <f>labcap_sources!$H$128</f>
        <v>0.66666666666666663</v>
      </c>
      <c r="N909" s="369">
        <f>$H909*M909</f>
        <v>0</v>
      </c>
      <c r="O909" s="360"/>
    </row>
    <row r="910" spans="1:15" x14ac:dyDescent="0.25">
      <c r="A910" s="2" t="s">
        <v>330</v>
      </c>
      <c r="B910" s="6" t="s">
        <v>211</v>
      </c>
      <c r="C910" s="2" t="s">
        <v>210</v>
      </c>
      <c r="E910" s="367" t="s">
        <v>1069</v>
      </c>
      <c r="F910" s="359">
        <f>opex_det!BU$177</f>
        <v>0</v>
      </c>
      <c r="G910" s="458">
        <f>labcap_sources!$F$128</f>
        <v>1</v>
      </c>
      <c r="H910" s="369">
        <f t="shared" si="529"/>
        <v>0</v>
      </c>
      <c r="I910" s="357"/>
      <c r="J910" s="458">
        <f>labcap_sources!$G$128</f>
        <v>0.7777777777777779</v>
      </c>
      <c r="K910" s="369">
        <f t="shared" ref="K910:K914" si="530">$H910*J910</f>
        <v>0</v>
      </c>
      <c r="L910" s="360"/>
      <c r="M910" s="458">
        <f>labcap_sources!$H$128</f>
        <v>0.66666666666666663</v>
      </c>
      <c r="N910" s="369">
        <f t="shared" ref="N910" si="531">$H910*M910</f>
        <v>0</v>
      </c>
      <c r="O910" s="360"/>
    </row>
    <row r="911" spans="1:15" x14ac:dyDescent="0.25">
      <c r="A911" s="2" t="s">
        <v>330</v>
      </c>
      <c r="B911" s="6" t="s">
        <v>211</v>
      </c>
      <c r="C911" s="2" t="s">
        <v>210</v>
      </c>
      <c r="E911" s="367" t="s">
        <v>1070</v>
      </c>
      <c r="F911" s="359">
        <f>opex_det!BU$178</f>
        <v>0</v>
      </c>
      <c r="G911" s="458">
        <f>labcap_sources!$F$129</f>
        <v>1</v>
      </c>
      <c r="H911" s="369">
        <f t="shared" si="529"/>
        <v>0</v>
      </c>
      <c r="I911" s="357"/>
      <c r="J911" s="458">
        <f>labcap_sources!$G$129</f>
        <v>0.96923076923076923</v>
      </c>
      <c r="K911" s="369">
        <f t="shared" si="530"/>
        <v>0</v>
      </c>
      <c r="L911" s="360"/>
      <c r="M911" s="458">
        <f>labcap_sources!$H$129</f>
        <v>0.86153846153846159</v>
      </c>
      <c r="N911" s="369">
        <f>$H911*M911</f>
        <v>0</v>
      </c>
      <c r="O911" s="360"/>
    </row>
    <row r="912" spans="1:15" x14ac:dyDescent="0.25">
      <c r="A912" s="2" t="s">
        <v>330</v>
      </c>
      <c r="B912" s="6" t="s">
        <v>211</v>
      </c>
      <c r="C912" s="2" t="s">
        <v>210</v>
      </c>
      <c r="E912" s="367" t="s">
        <v>1071</v>
      </c>
      <c r="F912" s="359">
        <f>opex_det!BU$179</f>
        <v>0</v>
      </c>
      <c r="G912" s="458">
        <f>labcap_sources!$F$129</f>
        <v>1</v>
      </c>
      <c r="H912" s="369">
        <f t="shared" si="529"/>
        <v>0</v>
      </c>
      <c r="I912" s="357"/>
      <c r="J912" s="458">
        <f>labcap_sources!$G$129</f>
        <v>0.96923076923076923</v>
      </c>
      <c r="K912" s="369">
        <f t="shared" si="530"/>
        <v>0</v>
      </c>
      <c r="L912" s="360"/>
      <c r="M912" s="458">
        <f>labcap_sources!$H$129</f>
        <v>0.86153846153846159</v>
      </c>
      <c r="N912" s="369">
        <f t="shared" ref="N912:N914" si="532">$H912*M912</f>
        <v>0</v>
      </c>
      <c r="O912" s="360"/>
    </row>
    <row r="913" spans="1:15" x14ac:dyDescent="0.25">
      <c r="A913" s="2" t="s">
        <v>330</v>
      </c>
      <c r="B913" s="6" t="s">
        <v>211</v>
      </c>
      <c r="C913" s="2" t="s">
        <v>210</v>
      </c>
      <c r="E913" s="367" t="s">
        <v>1072</v>
      </c>
      <c r="F913" s="359">
        <f>opex_det!BU$180</f>
        <v>0</v>
      </c>
      <c r="G913" s="458">
        <f>labcap_sources!$F$130</f>
        <v>1</v>
      </c>
      <c r="H913" s="369">
        <f t="shared" si="529"/>
        <v>0</v>
      </c>
      <c r="I913" s="357"/>
      <c r="J913" s="458">
        <f>labcap_sources!$G$130</f>
        <v>1.1538461538461537</v>
      </c>
      <c r="K913" s="369">
        <f t="shared" si="530"/>
        <v>0</v>
      </c>
      <c r="L913" s="360"/>
      <c r="M913" s="458">
        <f>labcap_sources!$H$130</f>
        <v>1.4615384615384615</v>
      </c>
      <c r="N913" s="369">
        <f t="shared" si="532"/>
        <v>0</v>
      </c>
      <c r="O913" s="360"/>
    </row>
    <row r="914" spans="1:15" x14ac:dyDescent="0.25">
      <c r="A914" s="2" t="s">
        <v>330</v>
      </c>
      <c r="B914" s="6" t="s">
        <v>211</v>
      </c>
      <c r="C914" s="2" t="s">
        <v>210</v>
      </c>
      <c r="E914" s="367" t="s">
        <v>1073</v>
      </c>
      <c r="F914" s="359">
        <f>opex_det!BU$181</f>
        <v>0</v>
      </c>
      <c r="G914" s="458">
        <f>labcap_sources!$F$130</f>
        <v>1</v>
      </c>
      <c r="H914" s="369">
        <f t="shared" si="529"/>
        <v>0</v>
      </c>
      <c r="I914" s="357"/>
      <c r="J914" s="458">
        <f>labcap_sources!$G$130</f>
        <v>1.1538461538461537</v>
      </c>
      <c r="K914" s="369">
        <f t="shared" si="530"/>
        <v>0</v>
      </c>
      <c r="L914" s="360"/>
      <c r="M914" s="458">
        <f>labcap_sources!$H$130</f>
        <v>1.4615384615384615</v>
      </c>
      <c r="N914" s="369">
        <f t="shared" si="532"/>
        <v>0</v>
      </c>
      <c r="O914" s="360"/>
    </row>
    <row r="915" spans="1:15" x14ac:dyDescent="0.25">
      <c r="A915" s="2" t="s">
        <v>330</v>
      </c>
      <c r="B915" s="5" t="s">
        <v>20</v>
      </c>
      <c r="C915" s="2" t="s">
        <v>21</v>
      </c>
      <c r="E915" s="241" t="s">
        <v>372</v>
      </c>
      <c r="F915" s="362">
        <f>opex_det!CI$169</f>
        <v>9.0061000000000004E-4</v>
      </c>
      <c r="G915" s="458">
        <f>labcap_sources!$F$131*labcap_sources!$F$128</f>
        <v>1</v>
      </c>
      <c r="H915" s="362">
        <f t="shared" si="529"/>
        <v>9.0061000000000004E-4</v>
      </c>
      <c r="I915" s="368">
        <f>H915/H919*$F919</f>
        <v>9.0061000000000004E-4</v>
      </c>
      <c r="J915" s="458">
        <f>labcap_sources!$G$131*labcap_sources!$G$128</f>
        <v>0.73888888888888893</v>
      </c>
      <c r="K915" s="362">
        <f>$H915*J915</f>
        <v>6.6545072222222229E-4</v>
      </c>
      <c r="L915" s="368">
        <f>K915/K919*$F919</f>
        <v>6.3542179886524289E-4</v>
      </c>
      <c r="M915" s="458">
        <f>labcap_sources!$H$131*labcap_sources!$H$128</f>
        <v>0.53333333333333333</v>
      </c>
      <c r="N915" s="362">
        <f>$H915*M915</f>
        <v>4.8032533333333335E-4</v>
      </c>
      <c r="O915" s="368">
        <f>N915/N919*$F919</f>
        <v>4.1249403468305239E-4</v>
      </c>
    </row>
    <row r="916" spans="1:15" x14ac:dyDescent="0.25">
      <c r="A916" s="2" t="s">
        <v>330</v>
      </c>
      <c r="B916" s="5" t="s">
        <v>20</v>
      </c>
      <c r="C916" s="2" t="s">
        <v>21</v>
      </c>
      <c r="E916" s="241" t="s">
        <v>373</v>
      </c>
      <c r="F916" s="362">
        <f>opex_det!CI$170</f>
        <v>1.4002809999999999E-2</v>
      </c>
      <c r="G916" s="458">
        <f>labcap_sources!$F$131*labcap_sources!$F$129</f>
        <v>1</v>
      </c>
      <c r="H916" s="362">
        <f t="shared" si="529"/>
        <v>1.4002809999999999E-2</v>
      </c>
      <c r="I916" s="368">
        <f>H916/H919*$F919</f>
        <v>1.4002809999999999E-2</v>
      </c>
      <c r="J916" s="458">
        <f>labcap_sources!$G$131*labcap_sources!$G$129</f>
        <v>0.92076923076923067</v>
      </c>
      <c r="K916" s="362">
        <f t="shared" ref="K916:K918" si="533">$H916*J916</f>
        <v>1.2893356592307691E-2</v>
      </c>
      <c r="L916" s="368">
        <f>K916/K919*$F919</f>
        <v>1.2311534972771872E-2</v>
      </c>
      <c r="M916" s="458">
        <f>labcap_sources!$H$131*labcap_sources!$H$129</f>
        <v>0.68923076923076931</v>
      </c>
      <c r="N916" s="362">
        <f t="shared" ref="N916:N918" si="534">$H916*M916</f>
        <v>9.6511675076923088E-3</v>
      </c>
      <c r="O916" s="368">
        <f>N916/N919*$F919</f>
        <v>8.2882345534900925E-3</v>
      </c>
    </row>
    <row r="917" spans="1:15" x14ac:dyDescent="0.25">
      <c r="A917" s="2" t="s">
        <v>330</v>
      </c>
      <c r="B917" s="5" t="s">
        <v>20</v>
      </c>
      <c r="C917" s="2" t="s">
        <v>21</v>
      </c>
      <c r="E917" s="241" t="s">
        <v>374</v>
      </c>
      <c r="F917" s="362">
        <f>opex_det!CI$171</f>
        <v>3.0746389999999998E-2</v>
      </c>
      <c r="G917" s="458">
        <f>labcap_sources!$F$131*labcap_sources!$F$130</f>
        <v>1</v>
      </c>
      <c r="H917" s="362">
        <f t="shared" si="529"/>
        <v>3.0746389999999998E-2</v>
      </c>
      <c r="I917" s="368">
        <f>H917/H919*$F919</f>
        <v>3.0746390000000002E-2</v>
      </c>
      <c r="J917" s="458">
        <f>labcap_sources!$G$131*labcap_sources!$G$130</f>
        <v>1.096153846153846</v>
      </c>
      <c r="K917" s="362">
        <f t="shared" si="533"/>
        <v>3.3702773653846149E-2</v>
      </c>
      <c r="L917" s="368">
        <f>K917/K919*$F919</f>
        <v>3.2181912719787382E-2</v>
      </c>
      <c r="M917" s="458">
        <f>labcap_sources!$H$131*labcap_sources!$H$130</f>
        <v>1.1692307692307693</v>
      </c>
      <c r="N917" s="362">
        <f t="shared" si="534"/>
        <v>3.5949625230769229E-2</v>
      </c>
      <c r="O917" s="368">
        <f>N917/N919*$F919</f>
        <v>3.087283748678047E-2</v>
      </c>
    </row>
    <row r="918" spans="1:15" x14ac:dyDescent="0.25">
      <c r="A918" s="2" t="s">
        <v>330</v>
      </c>
      <c r="B918" s="5" t="s">
        <v>20</v>
      </c>
      <c r="C918" s="2" t="s">
        <v>21</v>
      </c>
      <c r="E918" s="240" t="s">
        <v>375</v>
      </c>
      <c r="F918" s="362">
        <f>opex_det!CI$172</f>
        <v>0.198982256</v>
      </c>
      <c r="G918" s="458">
        <f>labcap_sources!$F$132</f>
        <v>1</v>
      </c>
      <c r="H918" s="362">
        <f t="shared" si="529"/>
        <v>0.198982256</v>
      </c>
      <c r="I918" s="368">
        <f>H918/H919*$F919</f>
        <v>0.198982256</v>
      </c>
      <c r="J918" s="458">
        <f>labcap_sources!$G$132</f>
        <v>1.05</v>
      </c>
      <c r="K918" s="362">
        <f t="shared" si="533"/>
        <v>0.20893136880000002</v>
      </c>
      <c r="L918" s="368">
        <f>K918/K919*$F919</f>
        <v>0.19950319650857548</v>
      </c>
      <c r="M918" s="458">
        <f>labcap_sources!$H$132</f>
        <v>1.2</v>
      </c>
      <c r="N918" s="362">
        <f t="shared" si="534"/>
        <v>0.2387787072</v>
      </c>
      <c r="O918" s="368">
        <f>N918/N919*$F919</f>
        <v>0.20505849992504638</v>
      </c>
    </row>
    <row r="919" spans="1:15" x14ac:dyDescent="0.25">
      <c r="A919" s="2" t="s">
        <v>330</v>
      </c>
      <c r="B919" s="5" t="s">
        <v>20</v>
      </c>
      <c r="C919" s="2" t="s">
        <v>21</v>
      </c>
      <c r="E919" s="19" t="s">
        <v>1077</v>
      </c>
      <c r="F919" s="363">
        <f>SUM(F915:F918)</f>
        <v>0.24463206599999998</v>
      </c>
      <c r="G919" s="458"/>
      <c r="H919" s="363">
        <f>SUM(H915:H918)</f>
        <v>0.24463206599999998</v>
      </c>
      <c r="I919" s="363">
        <f>SUM(I915:I918)</f>
        <v>0.24463206599999998</v>
      </c>
      <c r="J919" s="458"/>
      <c r="K919" s="363">
        <f>SUM(K915:K918)</f>
        <v>0.25619294976837609</v>
      </c>
      <c r="L919" s="363">
        <f>SUM(L915:L918)</f>
        <v>0.24463206599999998</v>
      </c>
      <c r="M919" s="458"/>
      <c r="N919" s="363">
        <f>SUM(N915:N918)</f>
        <v>0.28485982527179488</v>
      </c>
      <c r="O919" s="363">
        <f>SUM(O915:O918)</f>
        <v>0.24463206599999998</v>
      </c>
    </row>
    <row r="920" spans="1:15" x14ac:dyDescent="0.25">
      <c r="A920" s="2" t="s">
        <v>330</v>
      </c>
      <c r="B920" s="5" t="s">
        <v>20</v>
      </c>
      <c r="C920" s="2" t="s">
        <v>21</v>
      </c>
      <c r="E920" s="367" t="s">
        <v>1068</v>
      </c>
      <c r="F920" s="359">
        <f>opex_det!CI$176</f>
        <v>5.5300000000000002E-5</v>
      </c>
      <c r="G920" s="458">
        <f>labcap_sources!$F$128</f>
        <v>1</v>
      </c>
      <c r="H920" s="369">
        <f t="shared" ref="H920:H929" si="535">$F920*G920</f>
        <v>5.5300000000000002E-5</v>
      </c>
      <c r="I920" s="357"/>
      <c r="J920" s="458">
        <f>labcap_sources!$G$128</f>
        <v>0.7777777777777779</v>
      </c>
      <c r="K920" s="369">
        <f>$H920*J920</f>
        <v>4.3011111111111121E-5</v>
      </c>
      <c r="L920" s="360"/>
      <c r="M920" s="458">
        <f>labcap_sources!$H$128</f>
        <v>0.66666666666666663</v>
      </c>
      <c r="N920" s="369">
        <f>$H920*M920</f>
        <v>3.6866666666666664E-5</v>
      </c>
      <c r="O920" s="360"/>
    </row>
    <row r="921" spans="1:15" x14ac:dyDescent="0.25">
      <c r="A921" s="2" t="s">
        <v>330</v>
      </c>
      <c r="B921" s="5" t="s">
        <v>20</v>
      </c>
      <c r="C921" s="2" t="s">
        <v>21</v>
      </c>
      <c r="E921" s="367" t="s">
        <v>1069</v>
      </c>
      <c r="F921" s="359">
        <f>opex_det!CI$177</f>
        <v>3.7400000000000001E-5</v>
      </c>
      <c r="G921" s="458">
        <f>labcap_sources!$F$128</f>
        <v>1</v>
      </c>
      <c r="H921" s="369">
        <f t="shared" si="535"/>
        <v>3.7400000000000001E-5</v>
      </c>
      <c r="I921" s="357"/>
      <c r="J921" s="458">
        <f>labcap_sources!$G$128</f>
        <v>0.7777777777777779</v>
      </c>
      <c r="K921" s="369">
        <f t="shared" ref="K921:K925" si="536">$H921*J921</f>
        <v>2.9088888888888893E-5</v>
      </c>
      <c r="L921" s="360"/>
      <c r="M921" s="458">
        <f>labcap_sources!$H$128</f>
        <v>0.66666666666666663</v>
      </c>
      <c r="N921" s="369">
        <f t="shared" ref="N921" si="537">$H921*M921</f>
        <v>2.4933333333333334E-5</v>
      </c>
      <c r="O921" s="360"/>
    </row>
    <row r="922" spans="1:15" x14ac:dyDescent="0.25">
      <c r="A922" s="2" t="s">
        <v>330</v>
      </c>
      <c r="B922" s="5" t="s">
        <v>20</v>
      </c>
      <c r="C922" s="2" t="s">
        <v>21</v>
      </c>
      <c r="E922" s="367" t="s">
        <v>1070</v>
      </c>
      <c r="F922" s="359">
        <f>opex_det!CI$178</f>
        <v>8.31039E-4</v>
      </c>
      <c r="G922" s="458">
        <f>labcap_sources!$F$129</f>
        <v>1</v>
      </c>
      <c r="H922" s="369">
        <f t="shared" si="535"/>
        <v>8.31039E-4</v>
      </c>
      <c r="I922" s="357"/>
      <c r="J922" s="458">
        <f>labcap_sources!$G$129</f>
        <v>0.96923076923076923</v>
      </c>
      <c r="K922" s="369">
        <f t="shared" si="536"/>
        <v>8.0546856923076923E-4</v>
      </c>
      <c r="L922" s="360"/>
      <c r="M922" s="458">
        <f>labcap_sources!$H$129</f>
        <v>0.86153846153846159</v>
      </c>
      <c r="N922" s="369">
        <f>$H922*M922</f>
        <v>7.1597206153846155E-4</v>
      </c>
      <c r="O922" s="360"/>
    </row>
    <row r="923" spans="1:15" x14ac:dyDescent="0.25">
      <c r="A923" s="2" t="s">
        <v>330</v>
      </c>
      <c r="B923" s="5" t="s">
        <v>20</v>
      </c>
      <c r="C923" s="2" t="s">
        <v>21</v>
      </c>
      <c r="E923" s="367" t="s">
        <v>1071</v>
      </c>
      <c r="F923" s="359">
        <f>opex_det!CI$179</f>
        <v>8.7999999999999998E-5</v>
      </c>
      <c r="G923" s="458">
        <f>labcap_sources!$F$129</f>
        <v>1</v>
      </c>
      <c r="H923" s="369">
        <f t="shared" si="535"/>
        <v>8.7999999999999998E-5</v>
      </c>
      <c r="I923" s="357"/>
      <c r="J923" s="458">
        <f>labcap_sources!$G$129</f>
        <v>0.96923076923076923</v>
      </c>
      <c r="K923" s="369">
        <f t="shared" si="536"/>
        <v>8.5292307692307691E-5</v>
      </c>
      <c r="L923" s="360"/>
      <c r="M923" s="458">
        <f>labcap_sources!$H$129</f>
        <v>0.86153846153846159</v>
      </c>
      <c r="N923" s="369">
        <f t="shared" ref="N923:N925" si="538">$H923*M923</f>
        <v>7.5815384615384617E-5</v>
      </c>
      <c r="O923" s="360"/>
    </row>
    <row r="924" spans="1:15" x14ac:dyDescent="0.25">
      <c r="A924" s="2" t="s">
        <v>330</v>
      </c>
      <c r="B924" s="5" t="s">
        <v>20</v>
      </c>
      <c r="C924" s="2" t="s">
        <v>21</v>
      </c>
      <c r="E924" s="367" t="s">
        <v>1072</v>
      </c>
      <c r="F924" s="359">
        <f>opex_det!CI$180</f>
        <v>9.0787400000000003E-4</v>
      </c>
      <c r="G924" s="458">
        <f>labcap_sources!$F$130</f>
        <v>1</v>
      </c>
      <c r="H924" s="369">
        <f t="shared" si="535"/>
        <v>9.0787400000000003E-4</v>
      </c>
      <c r="I924" s="357"/>
      <c r="J924" s="458">
        <f>labcap_sources!$G$130</f>
        <v>1.1538461538461537</v>
      </c>
      <c r="K924" s="369">
        <f t="shared" si="536"/>
        <v>1.047546923076923E-3</v>
      </c>
      <c r="L924" s="360"/>
      <c r="M924" s="458">
        <f>labcap_sources!$H$130</f>
        <v>1.4615384615384615</v>
      </c>
      <c r="N924" s="369">
        <f t="shared" si="538"/>
        <v>1.3268927692307692E-3</v>
      </c>
      <c r="O924" s="360"/>
    </row>
    <row r="925" spans="1:15" x14ac:dyDescent="0.25">
      <c r="A925" s="2" t="s">
        <v>330</v>
      </c>
      <c r="B925" s="5" t="s">
        <v>20</v>
      </c>
      <c r="C925" s="2" t="s">
        <v>21</v>
      </c>
      <c r="E925" s="367" t="s">
        <v>1073</v>
      </c>
      <c r="F925" s="359">
        <f>opex_det!CI$181</f>
        <v>2.1724299999999999E-4</v>
      </c>
      <c r="G925" s="458">
        <f>labcap_sources!$F$130</f>
        <v>1</v>
      </c>
      <c r="H925" s="369">
        <f t="shared" si="535"/>
        <v>2.1724299999999999E-4</v>
      </c>
      <c r="I925" s="357"/>
      <c r="J925" s="458">
        <f>labcap_sources!$G$130</f>
        <v>1.1538461538461537</v>
      </c>
      <c r="K925" s="369">
        <f t="shared" si="536"/>
        <v>2.5066499999999996E-4</v>
      </c>
      <c r="L925" s="360"/>
      <c r="M925" s="458">
        <f>labcap_sources!$H$130</f>
        <v>1.4615384615384615</v>
      </c>
      <c r="N925" s="369">
        <f t="shared" si="538"/>
        <v>3.17509E-4</v>
      </c>
      <c r="O925" s="360"/>
    </row>
    <row r="926" spans="1:15" x14ac:dyDescent="0.25">
      <c r="A926" s="2" t="s">
        <v>330</v>
      </c>
      <c r="B926" s="5" t="s">
        <v>213</v>
      </c>
      <c r="C926" s="2" t="s">
        <v>212</v>
      </c>
      <c r="E926" s="241" t="s">
        <v>372</v>
      </c>
      <c r="F926" s="362">
        <f>opex_det!CJ$169</f>
        <v>7.1392000000000005E-4</v>
      </c>
      <c r="G926" s="458">
        <f>labcap_sources!$F$131*labcap_sources!$F$128</f>
        <v>1</v>
      </c>
      <c r="H926" s="362">
        <f t="shared" si="535"/>
        <v>7.1392000000000005E-4</v>
      </c>
      <c r="I926" s="368">
        <f>H926/H930*$F930</f>
        <v>7.1392000000000005E-4</v>
      </c>
      <c r="J926" s="458">
        <f>labcap_sources!$G$131*labcap_sources!$G$128</f>
        <v>0.73888888888888893</v>
      </c>
      <c r="K926" s="362">
        <f>$H926*J926</f>
        <v>5.2750755555555564E-4</v>
      </c>
      <c r="L926" s="368">
        <f>K926/K930*$F930</f>
        <v>5.0349846282567189E-4</v>
      </c>
      <c r="M926" s="458">
        <f>labcap_sources!$H$131*labcap_sources!$H$128</f>
        <v>0.53333333333333333</v>
      </c>
      <c r="N926" s="362">
        <f>$H926*M926</f>
        <v>3.8075733333333333E-4</v>
      </c>
      <c r="O926" s="368">
        <f>N926/N930*$F930</f>
        <v>3.2544182846565322E-4</v>
      </c>
    </row>
    <row r="927" spans="1:15" x14ac:dyDescent="0.25">
      <c r="A927" s="2" t="s">
        <v>330</v>
      </c>
      <c r="B927" s="5" t="s">
        <v>213</v>
      </c>
      <c r="C927" s="2" t="s">
        <v>212</v>
      </c>
      <c r="E927" s="241" t="s">
        <v>373</v>
      </c>
      <c r="F927" s="362">
        <f>opex_det!CJ$170</f>
        <v>1.110013E-2</v>
      </c>
      <c r="G927" s="458">
        <f>labcap_sources!$F$131*labcap_sources!$F$129</f>
        <v>1</v>
      </c>
      <c r="H927" s="362">
        <f t="shared" si="535"/>
        <v>1.110013E-2</v>
      </c>
      <c r="I927" s="368">
        <f>H927/H930*$F930</f>
        <v>1.110013E-2</v>
      </c>
      <c r="J927" s="458">
        <f>labcap_sources!$G$131*labcap_sources!$G$129</f>
        <v>0.92076923076923067</v>
      </c>
      <c r="K927" s="362">
        <f t="shared" ref="K927:K929" si="539">$H927*J927</f>
        <v>1.022065816153846E-2</v>
      </c>
      <c r="L927" s="368">
        <f>K927/K930*$F930</f>
        <v>9.7554729201585842E-3</v>
      </c>
      <c r="M927" s="458">
        <f>labcap_sources!$H$131*labcap_sources!$H$129</f>
        <v>0.68923076923076931</v>
      </c>
      <c r="N927" s="362">
        <f t="shared" ref="N927:N929" si="540">$H927*M927</f>
        <v>7.6505511384615393E-3</v>
      </c>
      <c r="O927" s="368">
        <f>N927/N930*$F930</f>
        <v>6.5390975650394343E-3</v>
      </c>
    </row>
    <row r="928" spans="1:15" x14ac:dyDescent="0.25">
      <c r="A928" s="2" t="s">
        <v>330</v>
      </c>
      <c r="B928" s="5" t="s">
        <v>213</v>
      </c>
      <c r="C928" s="2" t="s">
        <v>212</v>
      </c>
      <c r="E928" s="241" t="s">
        <v>374</v>
      </c>
      <c r="F928" s="362">
        <f>opex_det!CJ$171</f>
        <v>2.4372887999999999E-2</v>
      </c>
      <c r="G928" s="458">
        <f>labcap_sources!$F$131*labcap_sources!$F$130</f>
        <v>1</v>
      </c>
      <c r="H928" s="362">
        <f t="shared" si="535"/>
        <v>2.4372887999999999E-2</v>
      </c>
      <c r="I928" s="368">
        <f>H928/H930*$F930</f>
        <v>2.4372887999999999E-2</v>
      </c>
      <c r="J928" s="458">
        <f>labcap_sources!$G$131*labcap_sources!$G$130</f>
        <v>1.096153846153846</v>
      </c>
      <c r="K928" s="362">
        <f t="shared" si="539"/>
        <v>2.6716434923076918E-2</v>
      </c>
      <c r="L928" s="368">
        <f>K928/K930*$F930</f>
        <v>2.5500457338064862E-2</v>
      </c>
      <c r="M928" s="458">
        <f>labcap_sources!$H$131*labcap_sources!$H$130</f>
        <v>1.1692307692307693</v>
      </c>
      <c r="N928" s="362">
        <f t="shared" si="540"/>
        <v>2.8497530584615384E-2</v>
      </c>
      <c r="O928" s="368">
        <f>N928/N930*$F930</f>
        <v>2.4357478236916703E-2</v>
      </c>
    </row>
    <row r="929" spans="1:15" x14ac:dyDescent="0.25">
      <c r="A929" s="2" t="s">
        <v>330</v>
      </c>
      <c r="B929" s="5" t="s">
        <v>213</v>
      </c>
      <c r="C929" s="2" t="s">
        <v>212</v>
      </c>
      <c r="E929" s="240" t="s">
        <v>375</v>
      </c>
      <c r="F929" s="362">
        <f>opex_det!CJ$172</f>
        <v>0.19343668899999999</v>
      </c>
      <c r="G929" s="458">
        <f>labcap_sources!$F$132</f>
        <v>1</v>
      </c>
      <c r="H929" s="362">
        <f t="shared" si="535"/>
        <v>0.19343668899999999</v>
      </c>
      <c r="I929" s="368">
        <f>H929/H930*$F930</f>
        <v>0.19343668899999999</v>
      </c>
      <c r="J929" s="458">
        <f>labcap_sources!$G$132</f>
        <v>1.05</v>
      </c>
      <c r="K929" s="362">
        <f t="shared" si="539"/>
        <v>0.20310852344999999</v>
      </c>
      <c r="L929" s="368">
        <f>K929/K930*$F930</f>
        <v>0.19386419827895088</v>
      </c>
      <c r="M929" s="458">
        <f>labcap_sources!$H$132</f>
        <v>1.2</v>
      </c>
      <c r="N929" s="362">
        <f t="shared" si="540"/>
        <v>0.23212402679999999</v>
      </c>
      <c r="O929" s="368">
        <f>N929/N930*$F930</f>
        <v>0.19840160936957824</v>
      </c>
    </row>
    <row r="930" spans="1:15" x14ac:dyDescent="0.25">
      <c r="A930" s="2" t="s">
        <v>330</v>
      </c>
      <c r="B930" s="5" t="s">
        <v>213</v>
      </c>
      <c r="C930" s="2" t="s">
        <v>212</v>
      </c>
      <c r="E930" s="19" t="s">
        <v>1077</v>
      </c>
      <c r="F930" s="363">
        <f>SUM(F926:F929)</f>
        <v>0.229623627</v>
      </c>
      <c r="G930" s="458"/>
      <c r="H930" s="363">
        <f>SUM(H926:H929)</f>
        <v>0.229623627</v>
      </c>
      <c r="I930" s="363">
        <f>SUM(I926:I929)</f>
        <v>0.229623627</v>
      </c>
      <c r="J930" s="458"/>
      <c r="K930" s="363">
        <f>SUM(K926:K929)</f>
        <v>0.24057312409017093</v>
      </c>
      <c r="L930" s="363">
        <f>SUM(L926:L929)</f>
        <v>0.229623627</v>
      </c>
      <c r="M930" s="458"/>
      <c r="N930" s="363">
        <f>SUM(N926:N929)</f>
        <v>0.26865286585641024</v>
      </c>
      <c r="O930" s="363">
        <f>SUM(O926:O929)</f>
        <v>0.22962362700000002</v>
      </c>
    </row>
    <row r="931" spans="1:15" x14ac:dyDescent="0.25">
      <c r="A931" s="2" t="s">
        <v>330</v>
      </c>
      <c r="B931" s="5" t="s">
        <v>213</v>
      </c>
      <c r="C931" s="2" t="s">
        <v>212</v>
      </c>
      <c r="E931" s="367" t="s">
        <v>1068</v>
      </c>
      <c r="F931" s="359">
        <f>opex_det!CJ$176</f>
        <v>2.9499999999999999E-5</v>
      </c>
      <c r="G931" s="458">
        <f>labcap_sources!$F$128</f>
        <v>1</v>
      </c>
      <c r="H931" s="369">
        <f t="shared" ref="H931:H940" si="541">$F931*G931</f>
        <v>2.9499999999999999E-5</v>
      </c>
      <c r="I931" s="357"/>
      <c r="J931" s="458">
        <f>labcap_sources!$G$128</f>
        <v>0.7777777777777779</v>
      </c>
      <c r="K931" s="369">
        <f>$H931*J931</f>
        <v>2.2944444444444446E-5</v>
      </c>
      <c r="L931" s="360"/>
      <c r="M931" s="458">
        <f>labcap_sources!$H$128</f>
        <v>0.66666666666666663</v>
      </c>
      <c r="N931" s="369">
        <f>$H931*M931</f>
        <v>1.9666666666666666E-5</v>
      </c>
      <c r="O931" s="360"/>
    </row>
    <row r="932" spans="1:15" x14ac:dyDescent="0.25">
      <c r="A932" s="2" t="s">
        <v>330</v>
      </c>
      <c r="B932" s="5" t="s">
        <v>213</v>
      </c>
      <c r="C932" s="2" t="s">
        <v>212</v>
      </c>
      <c r="E932" s="367" t="s">
        <v>1069</v>
      </c>
      <c r="F932" s="359">
        <f>opex_det!CJ$177</f>
        <v>2.1100000000000001E-5</v>
      </c>
      <c r="G932" s="458">
        <f>labcap_sources!$F$128</f>
        <v>1</v>
      </c>
      <c r="H932" s="369">
        <f t="shared" si="541"/>
        <v>2.1100000000000001E-5</v>
      </c>
      <c r="I932" s="357"/>
      <c r="J932" s="458">
        <f>labcap_sources!$G$128</f>
        <v>0.7777777777777779</v>
      </c>
      <c r="K932" s="369">
        <f t="shared" ref="K932:K936" si="542">$H932*J932</f>
        <v>1.6411111111111115E-5</v>
      </c>
      <c r="L932" s="360"/>
      <c r="M932" s="458">
        <f>labcap_sources!$H$128</f>
        <v>0.66666666666666663</v>
      </c>
      <c r="N932" s="369">
        <f t="shared" ref="N932" si="543">$H932*M932</f>
        <v>1.4066666666666667E-5</v>
      </c>
      <c r="O932" s="360"/>
    </row>
    <row r="933" spans="1:15" x14ac:dyDescent="0.25">
      <c r="A933" s="2" t="s">
        <v>330</v>
      </c>
      <c r="B933" s="5" t="s">
        <v>213</v>
      </c>
      <c r="C933" s="2" t="s">
        <v>212</v>
      </c>
      <c r="E933" s="367" t="s">
        <v>1070</v>
      </c>
      <c r="F933" s="359">
        <f>opex_det!CJ$178</f>
        <v>4.3680800000000001E-4</v>
      </c>
      <c r="G933" s="458">
        <f>labcap_sources!$F$129</f>
        <v>1</v>
      </c>
      <c r="H933" s="369">
        <f t="shared" si="541"/>
        <v>4.3680800000000001E-4</v>
      </c>
      <c r="I933" s="357"/>
      <c r="J933" s="458">
        <f>labcap_sources!$G$129</f>
        <v>0.96923076923076923</v>
      </c>
      <c r="K933" s="369">
        <f t="shared" si="542"/>
        <v>4.2336775384615386E-4</v>
      </c>
      <c r="L933" s="360"/>
      <c r="M933" s="458">
        <f>labcap_sources!$H$129</f>
        <v>0.86153846153846159</v>
      </c>
      <c r="N933" s="369">
        <f>$H933*M933</f>
        <v>3.7632689230769232E-4</v>
      </c>
      <c r="O933" s="360"/>
    </row>
    <row r="934" spans="1:15" x14ac:dyDescent="0.25">
      <c r="A934" s="2" t="s">
        <v>330</v>
      </c>
      <c r="B934" s="5" t="s">
        <v>213</v>
      </c>
      <c r="C934" s="2" t="s">
        <v>212</v>
      </c>
      <c r="E934" s="367" t="s">
        <v>1071</v>
      </c>
      <c r="F934" s="359">
        <f>opex_det!CJ$179</f>
        <v>4.9700000000000002E-5</v>
      </c>
      <c r="G934" s="458">
        <f>labcap_sources!$F$129</f>
        <v>1</v>
      </c>
      <c r="H934" s="369">
        <f t="shared" si="541"/>
        <v>4.9700000000000002E-5</v>
      </c>
      <c r="I934" s="357"/>
      <c r="J934" s="458">
        <f>labcap_sources!$G$129</f>
        <v>0.96923076923076923</v>
      </c>
      <c r="K934" s="369">
        <f t="shared" si="542"/>
        <v>4.8170769230769232E-5</v>
      </c>
      <c r="L934" s="360"/>
      <c r="M934" s="458">
        <f>labcap_sources!$H$129</f>
        <v>0.86153846153846159</v>
      </c>
      <c r="N934" s="369">
        <f t="shared" ref="N934:N936" si="544">$H934*M934</f>
        <v>4.2818461538461545E-5</v>
      </c>
      <c r="O934" s="360"/>
    </row>
    <row r="935" spans="1:15" x14ac:dyDescent="0.25">
      <c r="A935" s="2" t="s">
        <v>330</v>
      </c>
      <c r="B935" s="5" t="s">
        <v>213</v>
      </c>
      <c r="C935" s="2" t="s">
        <v>212</v>
      </c>
      <c r="E935" s="367" t="s">
        <v>1072</v>
      </c>
      <c r="F935" s="359">
        <f>opex_det!CJ$180</f>
        <v>4.8357499999999998E-4</v>
      </c>
      <c r="G935" s="458">
        <f>labcap_sources!$F$130</f>
        <v>1</v>
      </c>
      <c r="H935" s="369">
        <f t="shared" si="541"/>
        <v>4.8357499999999998E-4</v>
      </c>
      <c r="I935" s="357"/>
      <c r="J935" s="458">
        <f>labcap_sources!$G$130</f>
        <v>1.1538461538461537</v>
      </c>
      <c r="K935" s="369">
        <f t="shared" si="542"/>
        <v>5.5797115384615379E-4</v>
      </c>
      <c r="L935" s="360"/>
      <c r="M935" s="458">
        <f>labcap_sources!$H$130</f>
        <v>1.4615384615384615</v>
      </c>
      <c r="N935" s="369">
        <f t="shared" si="544"/>
        <v>7.0676346153846143E-4</v>
      </c>
      <c r="O935" s="360"/>
    </row>
    <row r="936" spans="1:15" x14ac:dyDescent="0.25">
      <c r="A936" s="2" t="s">
        <v>330</v>
      </c>
      <c r="B936" s="5" t="s">
        <v>213</v>
      </c>
      <c r="C936" s="2" t="s">
        <v>212</v>
      </c>
      <c r="E936" s="367" t="s">
        <v>1073</v>
      </c>
      <c r="F936" s="359">
        <f>opex_det!CJ$181</f>
        <v>1.21248E-4</v>
      </c>
      <c r="G936" s="458">
        <f>labcap_sources!$F$130</f>
        <v>1</v>
      </c>
      <c r="H936" s="369">
        <f t="shared" si="541"/>
        <v>1.21248E-4</v>
      </c>
      <c r="I936" s="357"/>
      <c r="J936" s="458">
        <f>labcap_sources!$G$130</f>
        <v>1.1538461538461537</v>
      </c>
      <c r="K936" s="369">
        <f t="shared" si="542"/>
        <v>1.3990153846153846E-4</v>
      </c>
      <c r="L936" s="360"/>
      <c r="M936" s="458">
        <f>labcap_sources!$H$130</f>
        <v>1.4615384615384615</v>
      </c>
      <c r="N936" s="369">
        <f t="shared" si="544"/>
        <v>1.7720861538461538E-4</v>
      </c>
      <c r="O936" s="360"/>
    </row>
    <row r="937" spans="1:15" x14ac:dyDescent="0.25">
      <c r="A937" s="2" t="s">
        <v>330</v>
      </c>
      <c r="B937" s="5" t="s">
        <v>215</v>
      </c>
      <c r="C937" s="2" t="s">
        <v>214</v>
      </c>
      <c r="E937" s="241" t="s">
        <v>372</v>
      </c>
      <c r="F937" s="362">
        <f>opex_det!CK$169</f>
        <v>8.53804E-4</v>
      </c>
      <c r="G937" s="458">
        <f>labcap_sources!$F$131*labcap_sources!$F$128</f>
        <v>1</v>
      </c>
      <c r="H937" s="362">
        <f t="shared" si="541"/>
        <v>8.53804E-4</v>
      </c>
      <c r="I937" s="368">
        <f>H937/H941*$F941</f>
        <v>8.53804E-4</v>
      </c>
      <c r="J937" s="458">
        <f>labcap_sources!$G$131*labcap_sources!$G$128</f>
        <v>0.73888888888888893</v>
      </c>
      <c r="K937" s="362">
        <f>$H937*J937</f>
        <v>6.3086628888888894E-4</v>
      </c>
      <c r="L937" s="368">
        <f>K937/K941*$F941</f>
        <v>6.0236063287998759E-4</v>
      </c>
      <c r="M937" s="458">
        <f>labcap_sources!$H$131*labcap_sources!$H$128</f>
        <v>0.53333333333333333</v>
      </c>
      <c r="N937" s="362">
        <f>$H937*M937</f>
        <v>4.5536213333333332E-4</v>
      </c>
      <c r="O937" s="368">
        <f>N937/N941*$F941</f>
        <v>3.9077328149776121E-4</v>
      </c>
    </row>
    <row r="938" spans="1:15" x14ac:dyDescent="0.25">
      <c r="A938" s="2" t="s">
        <v>330</v>
      </c>
      <c r="B938" s="5" t="s">
        <v>215</v>
      </c>
      <c r="C938" s="2" t="s">
        <v>214</v>
      </c>
      <c r="E938" s="241" t="s">
        <v>373</v>
      </c>
      <c r="F938" s="362">
        <f>opex_det!CK$170</f>
        <v>1.3275060999999999E-2</v>
      </c>
      <c r="G938" s="458">
        <f>labcap_sources!$F$131*labcap_sources!$F$129</f>
        <v>1</v>
      </c>
      <c r="H938" s="362">
        <f t="shared" si="541"/>
        <v>1.3275060999999999E-2</v>
      </c>
      <c r="I938" s="368">
        <f>H938/H941*$F941</f>
        <v>1.3275060999999999E-2</v>
      </c>
      <c r="J938" s="458">
        <f>labcap_sources!$G$131*labcap_sources!$G$129</f>
        <v>0.92076923076923067</v>
      </c>
      <c r="K938" s="362">
        <f t="shared" ref="K938:K940" si="545">$H938*J938</f>
        <v>1.2223267705384613E-2</v>
      </c>
      <c r="L938" s="368">
        <f>K938/K941*$F941</f>
        <v>1.1670960075937363E-2</v>
      </c>
      <c r="M938" s="458">
        <f>labcap_sources!$H$131*labcap_sources!$H$129</f>
        <v>0.68923076923076931</v>
      </c>
      <c r="N938" s="362">
        <f t="shared" ref="N938:N940" si="546">$H938*M938</f>
        <v>9.1495805046153851E-3</v>
      </c>
      <c r="O938" s="368">
        <f>N938/N941*$F941</f>
        <v>7.8517982422996735E-3</v>
      </c>
    </row>
    <row r="939" spans="1:15" x14ac:dyDescent="0.25">
      <c r="A939" s="2" t="s">
        <v>330</v>
      </c>
      <c r="B939" s="5" t="s">
        <v>215</v>
      </c>
      <c r="C939" s="2" t="s">
        <v>214</v>
      </c>
      <c r="E939" s="241" t="s">
        <v>374</v>
      </c>
      <c r="F939" s="362">
        <f>opex_det!CK$171</f>
        <v>2.9148449E-2</v>
      </c>
      <c r="G939" s="458">
        <f>labcap_sources!$F$131*labcap_sources!$F$130</f>
        <v>1</v>
      </c>
      <c r="H939" s="362">
        <f t="shared" si="541"/>
        <v>2.9148449E-2</v>
      </c>
      <c r="I939" s="368">
        <f>H939/H941*$F941</f>
        <v>2.9148449E-2</v>
      </c>
      <c r="J939" s="458">
        <f>labcap_sources!$G$131*labcap_sources!$G$130</f>
        <v>1.096153846153846</v>
      </c>
      <c r="K939" s="362">
        <f t="shared" si="545"/>
        <v>3.1951184480769231E-2</v>
      </c>
      <c r="L939" s="368">
        <f>K939/K941*$F941</f>
        <v>3.0507472096818776E-2</v>
      </c>
      <c r="M939" s="458">
        <f>labcap_sources!$H$131*labcap_sources!$H$130</f>
        <v>1.1692307692307693</v>
      </c>
      <c r="N939" s="362">
        <f t="shared" si="546"/>
        <v>3.4081263446153851E-2</v>
      </c>
      <c r="O939" s="368">
        <f>N939/N941*$F941</f>
        <v>2.924715557034293E-2</v>
      </c>
    </row>
    <row r="940" spans="1:15" x14ac:dyDescent="0.25">
      <c r="A940" s="2" t="s">
        <v>330</v>
      </c>
      <c r="B940" s="5" t="s">
        <v>215</v>
      </c>
      <c r="C940" s="2" t="s">
        <v>214</v>
      </c>
      <c r="E940" s="240" t="s">
        <v>375</v>
      </c>
      <c r="F940" s="362">
        <f>opex_det!CK$172</f>
        <v>0.19427140700000001</v>
      </c>
      <c r="G940" s="458">
        <f>labcap_sources!$F$132</f>
        <v>1</v>
      </c>
      <c r="H940" s="362">
        <f t="shared" si="541"/>
        <v>0.19427140700000001</v>
      </c>
      <c r="I940" s="368">
        <f>H940/H941*$F941</f>
        <v>0.19427140700000001</v>
      </c>
      <c r="J940" s="458">
        <f>labcap_sources!$G$132</f>
        <v>1.05</v>
      </c>
      <c r="K940" s="362">
        <f t="shared" si="545"/>
        <v>0.20398497735000001</v>
      </c>
      <c r="L940" s="368">
        <f>K940/K941*$F941</f>
        <v>0.19476792819436389</v>
      </c>
      <c r="M940" s="458">
        <f>labcap_sources!$H$132</f>
        <v>1.2</v>
      </c>
      <c r="N940" s="362">
        <f t="shared" si="546"/>
        <v>0.2331256884</v>
      </c>
      <c r="O940" s="368">
        <f>N940/N941*$F941</f>
        <v>0.20005899390585963</v>
      </c>
    </row>
    <row r="941" spans="1:15" x14ac:dyDescent="0.25">
      <c r="A941" s="2" t="s">
        <v>330</v>
      </c>
      <c r="B941" s="5" t="s">
        <v>215</v>
      </c>
      <c r="C941" s="2" t="s">
        <v>214</v>
      </c>
      <c r="E941" s="19" t="s">
        <v>1077</v>
      </c>
      <c r="F941" s="363">
        <f>SUM(F937:F940)</f>
        <v>0.23754872100000002</v>
      </c>
      <c r="G941" s="458"/>
      <c r="H941" s="363">
        <f>SUM(H937:H940)</f>
        <v>0.23754872100000002</v>
      </c>
      <c r="I941" s="363">
        <f>SUM(I937:I940)</f>
        <v>0.23754872100000002</v>
      </c>
      <c r="J941" s="458"/>
      <c r="K941" s="363">
        <f>SUM(K937:K940)</f>
        <v>0.24879029582504275</v>
      </c>
      <c r="L941" s="363">
        <f>SUM(L937:L940)</f>
        <v>0.23754872100000002</v>
      </c>
      <c r="M941" s="458"/>
      <c r="N941" s="363">
        <f>SUM(N937:N940)</f>
        <v>0.27681189448410259</v>
      </c>
      <c r="O941" s="363">
        <f>SUM(O937:O940)</f>
        <v>0.23754872099999999</v>
      </c>
    </row>
    <row r="942" spans="1:15" x14ac:dyDescent="0.25">
      <c r="A942" s="2" t="s">
        <v>330</v>
      </c>
      <c r="B942" s="5" t="s">
        <v>215</v>
      </c>
      <c r="C942" s="2" t="s">
        <v>214</v>
      </c>
      <c r="E942" s="367" t="s">
        <v>1068</v>
      </c>
      <c r="F942" s="359">
        <f>opex_det!CK$176</f>
        <v>3.3599999999999997E-5</v>
      </c>
      <c r="G942" s="458">
        <f>labcap_sources!$F$128</f>
        <v>1</v>
      </c>
      <c r="H942" s="369">
        <f t="shared" ref="H942:H951" si="547">$F942*G942</f>
        <v>3.3599999999999997E-5</v>
      </c>
      <c r="I942" s="357"/>
      <c r="J942" s="458">
        <f>labcap_sources!$G$128</f>
        <v>0.7777777777777779</v>
      </c>
      <c r="K942" s="369">
        <f>$H942*J942</f>
        <v>2.6133333333333336E-5</v>
      </c>
      <c r="L942" s="360"/>
      <c r="M942" s="458">
        <f>labcap_sources!$H$128</f>
        <v>0.66666666666666663</v>
      </c>
      <c r="N942" s="369">
        <f>$H942*M942</f>
        <v>2.2399999999999996E-5</v>
      </c>
      <c r="O942" s="360"/>
    </row>
    <row r="943" spans="1:15" x14ac:dyDescent="0.25">
      <c r="A943" s="2" t="s">
        <v>330</v>
      </c>
      <c r="B943" s="5" t="s">
        <v>215</v>
      </c>
      <c r="C943" s="2" t="s">
        <v>214</v>
      </c>
      <c r="E943" s="367" t="s">
        <v>1069</v>
      </c>
      <c r="F943" s="359">
        <f>opex_det!CK$177</f>
        <v>2.3900000000000002E-5</v>
      </c>
      <c r="G943" s="458">
        <f>labcap_sources!$F$128</f>
        <v>1</v>
      </c>
      <c r="H943" s="369">
        <f t="shared" si="547"/>
        <v>2.3900000000000002E-5</v>
      </c>
      <c r="I943" s="357"/>
      <c r="J943" s="458">
        <f>labcap_sources!$G$128</f>
        <v>0.7777777777777779</v>
      </c>
      <c r="K943" s="369">
        <f t="shared" ref="K943:K947" si="548">$H943*J943</f>
        <v>1.8588888888888892E-5</v>
      </c>
      <c r="L943" s="360"/>
      <c r="M943" s="458">
        <f>labcap_sources!$H$128</f>
        <v>0.66666666666666663</v>
      </c>
      <c r="N943" s="369">
        <f t="shared" ref="N943" si="549">$H943*M943</f>
        <v>1.5933333333333332E-5</v>
      </c>
      <c r="O943" s="360"/>
    </row>
    <row r="944" spans="1:15" x14ac:dyDescent="0.25">
      <c r="A944" s="2" t="s">
        <v>330</v>
      </c>
      <c r="B944" s="5" t="s">
        <v>215</v>
      </c>
      <c r="C944" s="2" t="s">
        <v>214</v>
      </c>
      <c r="E944" s="367" t="s">
        <v>1070</v>
      </c>
      <c r="F944" s="359">
        <f>opex_det!CK$178</f>
        <v>4.8725500000000002E-4</v>
      </c>
      <c r="G944" s="458">
        <f>labcap_sources!$F$129</f>
        <v>1</v>
      </c>
      <c r="H944" s="369">
        <f t="shared" si="547"/>
        <v>4.8725500000000002E-4</v>
      </c>
      <c r="I944" s="357"/>
      <c r="J944" s="458">
        <f>labcap_sources!$G$129</f>
        <v>0.96923076923076923</v>
      </c>
      <c r="K944" s="369">
        <f t="shared" si="548"/>
        <v>4.7226253846153847E-4</v>
      </c>
      <c r="L944" s="360"/>
      <c r="M944" s="458">
        <f>labcap_sources!$H$129</f>
        <v>0.86153846153846159</v>
      </c>
      <c r="N944" s="369">
        <f>$H944*M944</f>
        <v>4.197889230769231E-4</v>
      </c>
      <c r="O944" s="360"/>
    </row>
    <row r="945" spans="1:15" x14ac:dyDescent="0.25">
      <c r="A945" s="2" t="s">
        <v>330</v>
      </c>
      <c r="B945" s="5" t="s">
        <v>215</v>
      </c>
      <c r="C945" s="2" t="s">
        <v>214</v>
      </c>
      <c r="E945" s="367" t="s">
        <v>1071</v>
      </c>
      <c r="F945" s="359">
        <f>opex_det!CK$179</f>
        <v>5.63E-5</v>
      </c>
      <c r="G945" s="458">
        <f>labcap_sources!$F$129</f>
        <v>1</v>
      </c>
      <c r="H945" s="369">
        <f t="shared" si="547"/>
        <v>5.63E-5</v>
      </c>
      <c r="I945" s="357"/>
      <c r="J945" s="458">
        <f>labcap_sources!$G$129</f>
        <v>0.96923076923076923</v>
      </c>
      <c r="K945" s="369">
        <f t="shared" si="548"/>
        <v>5.4567692307692308E-5</v>
      </c>
      <c r="L945" s="360"/>
      <c r="M945" s="458">
        <f>labcap_sources!$H$129</f>
        <v>0.86153846153846159</v>
      </c>
      <c r="N945" s="369">
        <f t="shared" ref="N945:N947" si="550">$H945*M945</f>
        <v>4.8504615384615385E-5</v>
      </c>
      <c r="O945" s="360"/>
    </row>
    <row r="946" spans="1:15" x14ac:dyDescent="0.25">
      <c r="A946" s="2" t="s">
        <v>330</v>
      </c>
      <c r="B946" s="5" t="s">
        <v>215</v>
      </c>
      <c r="C946" s="2" t="s">
        <v>214</v>
      </c>
      <c r="E946" s="367" t="s">
        <v>1072</v>
      </c>
      <c r="F946" s="359">
        <f>opex_det!CK$180</f>
        <v>5.4076500000000002E-4</v>
      </c>
      <c r="G946" s="458">
        <f>labcap_sources!$F$130</f>
        <v>1</v>
      </c>
      <c r="H946" s="369">
        <f t="shared" si="547"/>
        <v>5.4076500000000002E-4</v>
      </c>
      <c r="I946" s="357"/>
      <c r="J946" s="458">
        <f>labcap_sources!$G$130</f>
        <v>1.1538461538461537</v>
      </c>
      <c r="K946" s="369">
        <f t="shared" si="548"/>
        <v>6.2395961538461533E-4</v>
      </c>
      <c r="L946" s="360"/>
      <c r="M946" s="458">
        <f>labcap_sources!$H$130</f>
        <v>1.4615384615384615</v>
      </c>
      <c r="N946" s="369">
        <f t="shared" si="550"/>
        <v>7.9034884615384617E-4</v>
      </c>
      <c r="O946" s="360"/>
    </row>
    <row r="947" spans="1:15" x14ac:dyDescent="0.25">
      <c r="A947" s="2" t="s">
        <v>330</v>
      </c>
      <c r="B947" s="5" t="s">
        <v>215</v>
      </c>
      <c r="C947" s="2" t="s">
        <v>214</v>
      </c>
      <c r="E947" s="367" t="s">
        <v>1073</v>
      </c>
      <c r="F947" s="359">
        <f>opex_det!CK$181</f>
        <v>1.37849E-4</v>
      </c>
      <c r="G947" s="458">
        <f>labcap_sources!$F$130</f>
        <v>1</v>
      </c>
      <c r="H947" s="369">
        <f t="shared" si="547"/>
        <v>1.37849E-4</v>
      </c>
      <c r="I947" s="357"/>
      <c r="J947" s="458">
        <f>labcap_sources!$G$130</f>
        <v>1.1538461538461537</v>
      </c>
      <c r="K947" s="369">
        <f t="shared" si="548"/>
        <v>1.5905653846153844E-4</v>
      </c>
      <c r="L947" s="360"/>
      <c r="M947" s="458">
        <f>labcap_sources!$H$130</f>
        <v>1.4615384615384615</v>
      </c>
      <c r="N947" s="369">
        <f t="shared" si="550"/>
        <v>2.0147161538461539E-4</v>
      </c>
      <c r="O947" s="360"/>
    </row>
    <row r="948" spans="1:15" x14ac:dyDescent="0.25">
      <c r="A948" s="2" t="s">
        <v>330</v>
      </c>
      <c r="B948" s="5" t="s">
        <v>217</v>
      </c>
      <c r="C948" s="2" t="s">
        <v>216</v>
      </c>
      <c r="E948" s="241" t="s">
        <v>372</v>
      </c>
      <c r="F948" s="362">
        <f>opex_det!CL$169</f>
        <v>2.9946299999999998E-4</v>
      </c>
      <c r="G948" s="458">
        <f>labcap_sources!$F$131*labcap_sources!$F$128</f>
        <v>1</v>
      </c>
      <c r="H948" s="362">
        <f t="shared" si="547"/>
        <v>2.9946299999999998E-4</v>
      </c>
      <c r="I948" s="368">
        <f>H948/H952*$F952</f>
        <v>2.9946299999999998E-4</v>
      </c>
      <c r="J948" s="458">
        <f>labcap_sources!$G$131*labcap_sources!$G$128</f>
        <v>0.73888888888888893</v>
      </c>
      <c r="K948" s="362">
        <f>$H948*J948</f>
        <v>2.2126988333333333E-4</v>
      </c>
      <c r="L948" s="368">
        <f>K948/K952*$F952</f>
        <v>2.1291323544331221E-4</v>
      </c>
      <c r="M948" s="458">
        <f>labcap_sources!$H$131*labcap_sources!$H$128</f>
        <v>0.53333333333333333</v>
      </c>
      <c r="N948" s="362">
        <f>$H948*M948</f>
        <v>1.5971359999999998E-4</v>
      </c>
      <c r="O948" s="368">
        <f>N948/N952*$F952</f>
        <v>1.5059225388579608E-4</v>
      </c>
    </row>
    <row r="949" spans="1:15" x14ac:dyDescent="0.25">
      <c r="A949" s="2" t="s">
        <v>330</v>
      </c>
      <c r="B949" s="5" t="s">
        <v>217</v>
      </c>
      <c r="C949" s="2" t="s">
        <v>216</v>
      </c>
      <c r="E949" s="241" t="s">
        <v>373</v>
      </c>
      <c r="F949" s="362">
        <f>opex_det!CL$170</f>
        <v>4.656093E-3</v>
      </c>
      <c r="G949" s="458">
        <f>labcap_sources!$F$131*labcap_sources!$F$129</f>
        <v>1</v>
      </c>
      <c r="H949" s="362">
        <f t="shared" si="547"/>
        <v>4.656093E-3</v>
      </c>
      <c r="I949" s="368">
        <f>H949/H952*$F952</f>
        <v>4.656093E-3</v>
      </c>
      <c r="J949" s="458">
        <f>labcap_sources!$G$131*labcap_sources!$G$129</f>
        <v>0.92076923076923067</v>
      </c>
      <c r="K949" s="362">
        <f t="shared" ref="K949:K951" si="551">$H949*J949</f>
        <v>4.2871871699999998E-3</v>
      </c>
      <c r="L949" s="368">
        <f>K949/K952*$F952</f>
        <v>4.125273975675514E-3</v>
      </c>
      <c r="M949" s="458">
        <f>labcap_sources!$H$131*labcap_sources!$H$129</f>
        <v>0.68923076923076931</v>
      </c>
      <c r="N949" s="362">
        <f t="shared" ref="N949:N951" si="552">$H949*M949</f>
        <v>3.2091225600000004E-3</v>
      </c>
      <c r="O949" s="368">
        <f>N949/N952*$F952</f>
        <v>3.0258475127112284E-3</v>
      </c>
    </row>
    <row r="950" spans="1:15" x14ac:dyDescent="0.25">
      <c r="A950" s="2" t="s">
        <v>330</v>
      </c>
      <c r="B950" s="5" t="s">
        <v>217</v>
      </c>
      <c r="C950" s="2" t="s">
        <v>216</v>
      </c>
      <c r="E950" s="241" t="s">
        <v>374</v>
      </c>
      <c r="F950" s="362">
        <f>opex_det!CL$171</f>
        <v>1.0223522000000001E-2</v>
      </c>
      <c r="G950" s="458">
        <f>labcap_sources!$F$131*labcap_sources!$F$130</f>
        <v>1</v>
      </c>
      <c r="H950" s="362">
        <f t="shared" si="547"/>
        <v>1.0223522000000001E-2</v>
      </c>
      <c r="I950" s="368">
        <f>H950/H952*$F952</f>
        <v>1.0223522000000001E-2</v>
      </c>
      <c r="J950" s="458">
        <f>labcap_sources!$G$131*labcap_sources!$G$130</f>
        <v>1.096153846153846</v>
      </c>
      <c r="K950" s="362">
        <f t="shared" si="551"/>
        <v>1.1206552961538462E-2</v>
      </c>
      <c r="L950" s="368">
        <f>K950/K952*$F952</f>
        <v>1.0783317699018021E-2</v>
      </c>
      <c r="M950" s="458">
        <f>labcap_sources!$H$131*labcap_sources!$H$130</f>
        <v>1.1692307692307693</v>
      </c>
      <c r="N950" s="362">
        <f t="shared" si="552"/>
        <v>1.1953656492307693E-2</v>
      </c>
      <c r="O950" s="368">
        <f>N950/N952*$F952</f>
        <v>1.1270975504610722E-2</v>
      </c>
    </row>
    <row r="951" spans="1:15" x14ac:dyDescent="0.25">
      <c r="A951" s="2" t="s">
        <v>330</v>
      </c>
      <c r="B951" s="5" t="s">
        <v>217</v>
      </c>
      <c r="C951" s="2" t="s">
        <v>216</v>
      </c>
      <c r="E951" s="240" t="s">
        <v>375</v>
      </c>
      <c r="F951" s="362">
        <f>opex_det!CL$172</f>
        <v>5.5653619999999999E-3</v>
      </c>
      <c r="G951" s="458">
        <f>labcap_sources!$F$132</f>
        <v>1</v>
      </c>
      <c r="H951" s="362">
        <f t="shared" si="547"/>
        <v>5.5653619999999999E-3</v>
      </c>
      <c r="I951" s="368">
        <f>H951/H952*$F952</f>
        <v>5.5653619999999999E-3</v>
      </c>
      <c r="J951" s="458">
        <f>labcap_sources!$G$132</f>
        <v>1.05</v>
      </c>
      <c r="K951" s="362">
        <f t="shared" si="551"/>
        <v>5.8436301000000003E-3</v>
      </c>
      <c r="L951" s="368">
        <f>K951/K952*$F952</f>
        <v>5.6229350898631533E-3</v>
      </c>
      <c r="M951" s="458">
        <f>labcap_sources!$H$132</f>
        <v>1.2</v>
      </c>
      <c r="N951" s="362">
        <f t="shared" si="552"/>
        <v>6.6784343999999997E-3</v>
      </c>
      <c r="O951" s="368">
        <f>N951/N952*$F952</f>
        <v>6.2970247287922531E-3</v>
      </c>
    </row>
    <row r="952" spans="1:15" x14ac:dyDescent="0.25">
      <c r="A952" s="2" t="s">
        <v>330</v>
      </c>
      <c r="B952" s="5" t="s">
        <v>217</v>
      </c>
      <c r="C952" s="2" t="s">
        <v>216</v>
      </c>
      <c r="E952" s="19" t="s">
        <v>1077</v>
      </c>
      <c r="F952" s="363">
        <f>SUM(F948:F951)</f>
        <v>2.0744439999999999E-2</v>
      </c>
      <c r="G952" s="458"/>
      <c r="H952" s="363">
        <f>SUM(H948:H951)</f>
        <v>2.0744439999999999E-2</v>
      </c>
      <c r="I952" s="363">
        <f>SUM(I948:I951)</f>
        <v>2.0744439999999999E-2</v>
      </c>
      <c r="J952" s="458"/>
      <c r="K952" s="363">
        <f>SUM(K948:K951)</f>
        <v>2.1558640114871793E-2</v>
      </c>
      <c r="L952" s="363">
        <f>SUM(L948:L951)</f>
        <v>2.0744439999999999E-2</v>
      </c>
      <c r="M952" s="458"/>
      <c r="N952" s="363">
        <f>SUM(N948:N951)</f>
        <v>2.2000927052307693E-2</v>
      </c>
      <c r="O952" s="363">
        <f>SUM(O948:O951)</f>
        <v>2.0744439999999999E-2</v>
      </c>
    </row>
    <row r="953" spans="1:15" x14ac:dyDescent="0.25">
      <c r="A953" s="2" t="s">
        <v>330</v>
      </c>
      <c r="B953" s="5" t="s">
        <v>217</v>
      </c>
      <c r="C953" s="2" t="s">
        <v>216</v>
      </c>
      <c r="E953" s="367" t="s">
        <v>1068</v>
      </c>
      <c r="F953" s="359">
        <f>opex_det!CL$176</f>
        <v>1.2999999999999999E-5</v>
      </c>
      <c r="G953" s="458">
        <f>labcap_sources!$F$128</f>
        <v>1</v>
      </c>
      <c r="H953" s="369">
        <f t="shared" ref="H953:H962" si="553">$F953*G953</f>
        <v>1.2999999999999999E-5</v>
      </c>
      <c r="I953" s="357"/>
      <c r="J953" s="458">
        <f>labcap_sources!$G$128</f>
        <v>0.7777777777777779</v>
      </c>
      <c r="K953" s="369">
        <f>$H953*J953</f>
        <v>1.0111111111111113E-5</v>
      </c>
      <c r="L953" s="360"/>
      <c r="M953" s="458">
        <f>labcap_sources!$H$128</f>
        <v>0.66666666666666663</v>
      </c>
      <c r="N953" s="369">
        <f>$H953*M953</f>
        <v>8.6666666666666661E-6</v>
      </c>
      <c r="O953" s="360"/>
    </row>
    <row r="954" spans="1:15" x14ac:dyDescent="0.25">
      <c r="A954" s="2" t="s">
        <v>330</v>
      </c>
      <c r="B954" s="5" t="s">
        <v>217</v>
      </c>
      <c r="C954" s="2" t="s">
        <v>216</v>
      </c>
      <c r="E954" s="367" t="s">
        <v>1069</v>
      </c>
      <c r="F954" s="359">
        <f>opex_det!CL$177</f>
        <v>7.1600000000000001E-6</v>
      </c>
      <c r="G954" s="458">
        <f>labcap_sources!$F$128</f>
        <v>1</v>
      </c>
      <c r="H954" s="369">
        <f t="shared" si="553"/>
        <v>7.1600000000000001E-6</v>
      </c>
      <c r="I954" s="357"/>
      <c r="J954" s="458">
        <f>labcap_sources!$G$128</f>
        <v>0.7777777777777779</v>
      </c>
      <c r="K954" s="369">
        <f t="shared" ref="K954:K958" si="554">$H954*J954</f>
        <v>5.5688888888888896E-6</v>
      </c>
      <c r="L954" s="360"/>
      <c r="M954" s="458">
        <f>labcap_sources!$H$128</f>
        <v>0.66666666666666663</v>
      </c>
      <c r="N954" s="369">
        <f t="shared" ref="N954" si="555">$H954*M954</f>
        <v>4.7733333333333331E-6</v>
      </c>
      <c r="O954" s="360"/>
    </row>
    <row r="955" spans="1:15" x14ac:dyDescent="0.25">
      <c r="A955" s="2" t="s">
        <v>330</v>
      </c>
      <c r="B955" s="5" t="s">
        <v>217</v>
      </c>
      <c r="C955" s="2" t="s">
        <v>216</v>
      </c>
      <c r="E955" s="367" t="s">
        <v>1070</v>
      </c>
      <c r="F955" s="359">
        <f>opex_det!CL$178</f>
        <v>2.04859E-4</v>
      </c>
      <c r="G955" s="458">
        <f>labcap_sources!$F$129</f>
        <v>1</v>
      </c>
      <c r="H955" s="369">
        <f t="shared" si="553"/>
        <v>2.04859E-4</v>
      </c>
      <c r="I955" s="357"/>
      <c r="J955" s="458">
        <f>labcap_sources!$G$129</f>
        <v>0.96923076923076923</v>
      </c>
      <c r="K955" s="369">
        <f t="shared" si="554"/>
        <v>1.9855564615384614E-4</v>
      </c>
      <c r="L955" s="360"/>
      <c r="M955" s="458">
        <f>labcap_sources!$H$129</f>
        <v>0.86153846153846159</v>
      </c>
      <c r="N955" s="369">
        <f>$H955*M955</f>
        <v>1.7649390769230769E-4</v>
      </c>
      <c r="O955" s="360"/>
    </row>
    <row r="956" spans="1:15" x14ac:dyDescent="0.25">
      <c r="A956" s="2" t="s">
        <v>330</v>
      </c>
      <c r="B956" s="5" t="s">
        <v>217</v>
      </c>
      <c r="C956" s="2" t="s">
        <v>216</v>
      </c>
      <c r="E956" s="367" t="s">
        <v>1071</v>
      </c>
      <c r="F956" s="359">
        <f>opex_det!CL$179</f>
        <v>2.0400000000000001E-5</v>
      </c>
      <c r="G956" s="458">
        <f>labcap_sources!$F$129</f>
        <v>1</v>
      </c>
      <c r="H956" s="369">
        <f t="shared" si="553"/>
        <v>2.0400000000000001E-5</v>
      </c>
      <c r="I956" s="357"/>
      <c r="J956" s="458">
        <f>labcap_sources!$G$129</f>
        <v>0.96923076923076923</v>
      </c>
      <c r="K956" s="369">
        <f t="shared" si="554"/>
        <v>1.9772307692307695E-5</v>
      </c>
      <c r="L956" s="360"/>
      <c r="M956" s="458">
        <f>labcap_sources!$H$129</f>
        <v>0.86153846153846159</v>
      </c>
      <c r="N956" s="369">
        <f t="shared" ref="N956:N958" si="556">$H956*M956</f>
        <v>1.7575384615384616E-5</v>
      </c>
      <c r="O956" s="360"/>
    </row>
    <row r="957" spans="1:15" x14ac:dyDescent="0.25">
      <c r="A957" s="2" t="s">
        <v>330</v>
      </c>
      <c r="B957" s="5" t="s">
        <v>217</v>
      </c>
      <c r="C957" s="2" t="s">
        <v>216</v>
      </c>
      <c r="E957" s="367" t="s">
        <v>1072</v>
      </c>
      <c r="F957" s="359">
        <f>opex_det!CL$180</f>
        <v>2.16109E-4</v>
      </c>
      <c r="G957" s="458">
        <f>labcap_sources!$F$130</f>
        <v>1</v>
      </c>
      <c r="H957" s="369">
        <f t="shared" si="553"/>
        <v>2.16109E-4</v>
      </c>
      <c r="I957" s="357"/>
      <c r="J957" s="458">
        <f>labcap_sources!$G$130</f>
        <v>1.1538461538461537</v>
      </c>
      <c r="K957" s="369">
        <f t="shared" si="554"/>
        <v>2.4935653846153844E-4</v>
      </c>
      <c r="L957" s="360"/>
      <c r="M957" s="458">
        <f>labcap_sources!$H$130</f>
        <v>1.4615384615384615</v>
      </c>
      <c r="N957" s="369">
        <f t="shared" si="556"/>
        <v>3.1585161538461536E-4</v>
      </c>
      <c r="O957" s="360"/>
    </row>
    <row r="958" spans="1:15" x14ac:dyDescent="0.25">
      <c r="A958" s="2" t="s">
        <v>330</v>
      </c>
      <c r="B958" s="5" t="s">
        <v>217</v>
      </c>
      <c r="C958" s="2" t="s">
        <v>216</v>
      </c>
      <c r="E958" s="367" t="s">
        <v>1073</v>
      </c>
      <c r="F958" s="359">
        <f>opex_det!CL$181</f>
        <v>5.1100000000000002E-5</v>
      </c>
      <c r="G958" s="458">
        <f>labcap_sources!$F$130</f>
        <v>1</v>
      </c>
      <c r="H958" s="369">
        <f t="shared" si="553"/>
        <v>5.1100000000000002E-5</v>
      </c>
      <c r="I958" s="357"/>
      <c r="J958" s="458">
        <f>labcap_sources!$G$130</f>
        <v>1.1538461538461537</v>
      </c>
      <c r="K958" s="369">
        <f t="shared" si="554"/>
        <v>5.896153846153846E-5</v>
      </c>
      <c r="L958" s="360"/>
      <c r="M958" s="458">
        <f>labcap_sources!$H$130</f>
        <v>1.4615384615384615</v>
      </c>
      <c r="N958" s="369">
        <f t="shared" si="556"/>
        <v>7.4684615384615382E-5</v>
      </c>
      <c r="O958" s="360"/>
    </row>
    <row r="959" spans="1:15" x14ac:dyDescent="0.25">
      <c r="A959" s="2" t="s">
        <v>330</v>
      </c>
      <c r="B959" s="5" t="s">
        <v>219</v>
      </c>
      <c r="C959" s="2" t="s">
        <v>218</v>
      </c>
      <c r="E959" s="241" t="s">
        <v>372</v>
      </c>
      <c r="F959" s="362">
        <f>opex_det!CM$169</f>
        <v>1.155131E-3</v>
      </c>
      <c r="G959" s="458">
        <f>labcap_sources!$F$131*labcap_sources!$F$128</f>
        <v>1</v>
      </c>
      <c r="H959" s="362">
        <f t="shared" si="553"/>
        <v>1.155131E-3</v>
      </c>
      <c r="I959" s="368">
        <f>H959/H963*$F963</f>
        <v>1.155131E-3</v>
      </c>
      <c r="J959" s="458">
        <f>labcap_sources!$G$131*labcap_sources!$G$128</f>
        <v>0.73888888888888893</v>
      </c>
      <c r="K959" s="362">
        <f>$H959*J959</f>
        <v>8.5351346111111118E-4</v>
      </c>
      <c r="L959" s="368">
        <f>K959/K963*$F963</f>
        <v>8.2002202855789358E-4</v>
      </c>
      <c r="M959" s="458">
        <f>labcap_sources!$H$131*labcap_sources!$H$128</f>
        <v>0.53333333333333333</v>
      </c>
      <c r="N959" s="362">
        <f>$H959*M959</f>
        <v>6.1606986666666661E-4</v>
      </c>
      <c r="O959" s="368">
        <f>N959/N963*$F963</f>
        <v>5.6978606659341163E-4</v>
      </c>
    </row>
    <row r="960" spans="1:15" x14ac:dyDescent="0.25">
      <c r="A960" s="2" t="s">
        <v>330</v>
      </c>
      <c r="B960" s="5" t="s">
        <v>219</v>
      </c>
      <c r="C960" s="2" t="s">
        <v>218</v>
      </c>
      <c r="E960" s="241" t="s">
        <v>373</v>
      </c>
      <c r="F960" s="362">
        <f>opex_det!CM$170</f>
        <v>1.7960133E-2</v>
      </c>
      <c r="G960" s="458">
        <f>labcap_sources!$F$131*labcap_sources!$F$129</f>
        <v>1</v>
      </c>
      <c r="H960" s="362">
        <f t="shared" si="553"/>
        <v>1.7960133E-2</v>
      </c>
      <c r="I960" s="368">
        <f>H960/H963*$F963</f>
        <v>1.7960133E-2</v>
      </c>
      <c r="J960" s="458">
        <f>labcap_sources!$G$131*labcap_sources!$G$129</f>
        <v>0.92076923076923067</v>
      </c>
      <c r="K960" s="362">
        <f t="shared" ref="K960:K962" si="557">$H960*J960</f>
        <v>1.6537137846923074E-2</v>
      </c>
      <c r="L960" s="368">
        <f>K960/K963*$F963</f>
        <v>1.5888228998898021E-2</v>
      </c>
      <c r="M960" s="458">
        <f>labcap_sources!$H$131*labcap_sources!$H$129</f>
        <v>0.68923076923076931</v>
      </c>
      <c r="N960" s="362">
        <f t="shared" ref="N960:N962" si="558">$H960*M960</f>
        <v>1.2378676283076925E-2</v>
      </c>
      <c r="O960" s="368">
        <f>N960/N963*$F963</f>
        <v>1.1448697056276876E-2</v>
      </c>
    </row>
    <row r="961" spans="1:15" x14ac:dyDescent="0.25">
      <c r="A961" s="2" t="s">
        <v>330</v>
      </c>
      <c r="B961" s="5" t="s">
        <v>219</v>
      </c>
      <c r="C961" s="2" t="s">
        <v>218</v>
      </c>
      <c r="E961" s="241" t="s">
        <v>374</v>
      </c>
      <c r="F961" s="362">
        <f>opex_det!CM$171</f>
        <v>3.9435600000000001E-2</v>
      </c>
      <c r="G961" s="458">
        <f>labcap_sources!$F$131*labcap_sources!$F$130</f>
        <v>1</v>
      </c>
      <c r="H961" s="362">
        <f t="shared" si="553"/>
        <v>3.9435600000000001E-2</v>
      </c>
      <c r="I961" s="368">
        <f>H961/H963*$F963</f>
        <v>3.9435600000000001E-2</v>
      </c>
      <c r="J961" s="458">
        <f>labcap_sources!$G$131*labcap_sources!$G$130</f>
        <v>1.096153846153846</v>
      </c>
      <c r="K961" s="362">
        <f t="shared" si="557"/>
        <v>4.3227484615384615E-2</v>
      </c>
      <c r="L961" s="368">
        <f>K961/K963*$F963</f>
        <v>4.1531260183778444E-2</v>
      </c>
      <c r="M961" s="458">
        <f>labcap_sources!$H$131*labcap_sources!$H$130</f>
        <v>1.1692307692307693</v>
      </c>
      <c r="N961" s="362">
        <f t="shared" si="558"/>
        <v>4.6109316923076925E-2</v>
      </c>
      <c r="O961" s="368">
        <f>N961/N963*$F963</f>
        <v>4.2645238380282786E-2</v>
      </c>
    </row>
    <row r="962" spans="1:15" x14ac:dyDescent="0.25">
      <c r="A962" s="2" t="s">
        <v>330</v>
      </c>
      <c r="B962" s="5" t="s">
        <v>219</v>
      </c>
      <c r="C962" s="2" t="s">
        <v>218</v>
      </c>
      <c r="E962" s="240" t="s">
        <v>375</v>
      </c>
      <c r="F962" s="362">
        <f>opex_det!CM$172</f>
        <v>3.5386885999999999E-2</v>
      </c>
      <c r="G962" s="458">
        <f>labcap_sources!$F$132</f>
        <v>1</v>
      </c>
      <c r="H962" s="362">
        <f t="shared" si="553"/>
        <v>3.5386885999999999E-2</v>
      </c>
      <c r="I962" s="368">
        <f>H962/H963*$F963</f>
        <v>3.5386885999999999E-2</v>
      </c>
      <c r="J962" s="458">
        <f>labcap_sources!$G$132</f>
        <v>1.05</v>
      </c>
      <c r="K962" s="362">
        <f t="shared" si="557"/>
        <v>3.7156230300000002E-2</v>
      </c>
      <c r="L962" s="368">
        <f>K962/K963*$F963</f>
        <v>3.5698238788765629E-2</v>
      </c>
      <c r="M962" s="458">
        <f>labcap_sources!$H$132</f>
        <v>1.2</v>
      </c>
      <c r="N962" s="362">
        <f t="shared" si="558"/>
        <v>4.2464263199999998E-2</v>
      </c>
      <c r="O962" s="368">
        <f>N962/N963*$F963</f>
        <v>3.9274028496846934E-2</v>
      </c>
    </row>
    <row r="963" spans="1:15" x14ac:dyDescent="0.25">
      <c r="A963" s="2" t="s">
        <v>330</v>
      </c>
      <c r="B963" s="5" t="s">
        <v>219</v>
      </c>
      <c r="C963" s="2" t="s">
        <v>218</v>
      </c>
      <c r="E963" s="19" t="s">
        <v>1077</v>
      </c>
      <c r="F963" s="363">
        <f>SUM(F959:F962)</f>
        <v>9.393775E-2</v>
      </c>
      <c r="G963" s="458"/>
      <c r="H963" s="363">
        <f>SUM(H959:H962)</f>
        <v>9.393775E-2</v>
      </c>
      <c r="I963" s="363">
        <f>SUM(I959:I962)</f>
        <v>9.393775E-2</v>
      </c>
      <c r="J963" s="458"/>
      <c r="K963" s="363">
        <f>SUM(K959:K962)</f>
        <v>9.7774366223418813E-2</v>
      </c>
      <c r="L963" s="363">
        <f>SUM(L959:L962)</f>
        <v>9.3937749999999987E-2</v>
      </c>
      <c r="M963" s="458"/>
      <c r="N963" s="363">
        <f>SUM(N959:N962)</f>
        <v>0.1015683262728205</v>
      </c>
      <c r="O963" s="363">
        <f>SUM(O959:O962)</f>
        <v>9.3937750000000014E-2</v>
      </c>
    </row>
    <row r="964" spans="1:15" x14ac:dyDescent="0.25">
      <c r="A964" s="2" t="s">
        <v>330</v>
      </c>
      <c r="B964" s="5" t="s">
        <v>219</v>
      </c>
      <c r="C964" s="2" t="s">
        <v>218</v>
      </c>
      <c r="E964" s="367" t="s">
        <v>1068</v>
      </c>
      <c r="F964" s="359">
        <f>opex_det!CM$176</f>
        <v>5.5999999999999999E-5</v>
      </c>
      <c r="G964" s="458">
        <f>labcap_sources!$F$128</f>
        <v>1</v>
      </c>
      <c r="H964" s="369">
        <f t="shared" ref="H964:H973" si="559">$F964*G964</f>
        <v>5.5999999999999999E-5</v>
      </c>
      <c r="I964" s="357"/>
      <c r="J964" s="458">
        <f>labcap_sources!$G$128</f>
        <v>0.7777777777777779</v>
      </c>
      <c r="K964" s="369">
        <f>$H964*J964</f>
        <v>4.3555555555555565E-5</v>
      </c>
      <c r="L964" s="360"/>
      <c r="M964" s="458">
        <f>labcap_sources!$H$128</f>
        <v>0.66666666666666663</v>
      </c>
      <c r="N964" s="369">
        <f>$H964*M964</f>
        <v>3.7333333333333331E-5</v>
      </c>
      <c r="O964" s="360"/>
    </row>
    <row r="965" spans="1:15" x14ac:dyDescent="0.25">
      <c r="A965" s="2" t="s">
        <v>330</v>
      </c>
      <c r="B965" s="5" t="s">
        <v>219</v>
      </c>
      <c r="C965" s="2" t="s">
        <v>218</v>
      </c>
      <c r="E965" s="367" t="s">
        <v>1069</v>
      </c>
      <c r="F965" s="359">
        <f>opex_det!CM$177</f>
        <v>4.1399999999999997E-5</v>
      </c>
      <c r="G965" s="458">
        <f>labcap_sources!$F$128</f>
        <v>1</v>
      </c>
      <c r="H965" s="369">
        <f t="shared" si="559"/>
        <v>4.1399999999999997E-5</v>
      </c>
      <c r="I965" s="357"/>
      <c r="J965" s="458">
        <f>labcap_sources!$G$128</f>
        <v>0.7777777777777779</v>
      </c>
      <c r="K965" s="369">
        <f t="shared" ref="K965:K969" si="560">$H965*J965</f>
        <v>3.2200000000000003E-5</v>
      </c>
      <c r="L965" s="360"/>
      <c r="M965" s="458">
        <f>labcap_sources!$H$128</f>
        <v>0.66666666666666663</v>
      </c>
      <c r="N965" s="369">
        <f t="shared" ref="N965" si="561">$H965*M965</f>
        <v>2.7599999999999997E-5</v>
      </c>
      <c r="O965" s="360"/>
    </row>
    <row r="966" spans="1:15" x14ac:dyDescent="0.25">
      <c r="A966" s="2" t="s">
        <v>330</v>
      </c>
      <c r="B966" s="5" t="s">
        <v>219</v>
      </c>
      <c r="C966" s="2" t="s">
        <v>218</v>
      </c>
      <c r="E966" s="367" t="s">
        <v>1070</v>
      </c>
      <c r="F966" s="359">
        <f>opex_det!CM$178</f>
        <v>1.1015879999999999E-3</v>
      </c>
      <c r="G966" s="458">
        <f>labcap_sources!$F$129</f>
        <v>1</v>
      </c>
      <c r="H966" s="369">
        <f t="shared" si="559"/>
        <v>1.1015879999999999E-3</v>
      </c>
      <c r="I966" s="357"/>
      <c r="J966" s="458">
        <f>labcap_sources!$G$129</f>
        <v>0.96923076923076923</v>
      </c>
      <c r="K966" s="369">
        <f t="shared" si="560"/>
        <v>1.0676929846153845E-3</v>
      </c>
      <c r="L966" s="360"/>
      <c r="M966" s="458">
        <f>labcap_sources!$H$129</f>
        <v>0.86153846153846159</v>
      </c>
      <c r="N966" s="369">
        <f>$H966*M966</f>
        <v>9.4906043076923078E-4</v>
      </c>
      <c r="O966" s="360"/>
    </row>
    <row r="967" spans="1:15" x14ac:dyDescent="0.25">
      <c r="A967" s="2" t="s">
        <v>330</v>
      </c>
      <c r="B967" s="5" t="s">
        <v>219</v>
      </c>
      <c r="C967" s="2" t="s">
        <v>218</v>
      </c>
      <c r="E967" s="367" t="s">
        <v>1071</v>
      </c>
      <c r="F967" s="359">
        <f>opex_det!CM$179</f>
        <v>9.7399999999999996E-5</v>
      </c>
      <c r="G967" s="458">
        <f>labcap_sources!$F$129</f>
        <v>1</v>
      </c>
      <c r="H967" s="369">
        <f t="shared" si="559"/>
        <v>9.7399999999999996E-5</v>
      </c>
      <c r="I967" s="357"/>
      <c r="J967" s="458">
        <f>labcap_sources!$G$129</f>
        <v>0.96923076923076923</v>
      </c>
      <c r="K967" s="369">
        <f t="shared" si="560"/>
        <v>9.4403076923076914E-5</v>
      </c>
      <c r="L967" s="360"/>
      <c r="M967" s="458">
        <f>labcap_sources!$H$129</f>
        <v>0.86153846153846159</v>
      </c>
      <c r="N967" s="369">
        <f t="shared" ref="N967:N969" si="562">$H967*M967</f>
        <v>8.3913846153846149E-5</v>
      </c>
      <c r="O967" s="360"/>
    </row>
    <row r="968" spans="1:15" x14ac:dyDescent="0.25">
      <c r="A968" s="2" t="s">
        <v>330</v>
      </c>
      <c r="B968" s="5" t="s">
        <v>219</v>
      </c>
      <c r="C968" s="2" t="s">
        <v>218</v>
      </c>
      <c r="E968" s="367" t="s">
        <v>1072</v>
      </c>
      <c r="F968" s="359">
        <f>opex_det!CM$180</f>
        <v>9.3691300000000005E-4</v>
      </c>
      <c r="G968" s="458">
        <f>labcap_sources!$F$130</f>
        <v>1</v>
      </c>
      <c r="H968" s="369">
        <f t="shared" si="559"/>
        <v>9.3691300000000005E-4</v>
      </c>
      <c r="I968" s="357"/>
      <c r="J968" s="458">
        <f>labcap_sources!$G$130</f>
        <v>1.1538461538461537</v>
      </c>
      <c r="K968" s="369">
        <f t="shared" si="560"/>
        <v>1.0810534615384615E-3</v>
      </c>
      <c r="L968" s="360"/>
      <c r="M968" s="458">
        <f>labcap_sources!$H$130</f>
        <v>1.4615384615384615</v>
      </c>
      <c r="N968" s="369">
        <f t="shared" si="562"/>
        <v>1.3693343846153845E-3</v>
      </c>
      <c r="O968" s="360"/>
    </row>
    <row r="969" spans="1:15" x14ac:dyDescent="0.25">
      <c r="A969" s="2" t="s">
        <v>330</v>
      </c>
      <c r="B969" s="5" t="s">
        <v>219</v>
      </c>
      <c r="C969" s="2" t="s">
        <v>218</v>
      </c>
      <c r="E969" s="367" t="s">
        <v>1073</v>
      </c>
      <c r="F969" s="359">
        <f>opex_det!CM$181</f>
        <v>2.8969100000000002E-4</v>
      </c>
      <c r="G969" s="458">
        <f>labcap_sources!$F$130</f>
        <v>1</v>
      </c>
      <c r="H969" s="369">
        <f t="shared" si="559"/>
        <v>2.8969100000000002E-4</v>
      </c>
      <c r="I969" s="357"/>
      <c r="J969" s="458">
        <f>labcap_sources!$G$130</f>
        <v>1.1538461538461537</v>
      </c>
      <c r="K969" s="369">
        <f t="shared" si="560"/>
        <v>3.3425884615384614E-4</v>
      </c>
      <c r="L969" s="360"/>
      <c r="M969" s="458">
        <f>labcap_sources!$H$130</f>
        <v>1.4615384615384615</v>
      </c>
      <c r="N969" s="369">
        <f t="shared" si="562"/>
        <v>4.2339453846153844E-4</v>
      </c>
      <c r="O969" s="360"/>
    </row>
    <row r="970" spans="1:15" x14ac:dyDescent="0.25">
      <c r="A970" s="2" t="s">
        <v>330</v>
      </c>
      <c r="B970" s="5" t="s">
        <v>221</v>
      </c>
      <c r="C970" s="2" t="s">
        <v>220</v>
      </c>
      <c r="E970" s="241" t="s">
        <v>372</v>
      </c>
      <c r="F970" s="362">
        <f>opex_det!CN$169</f>
        <v>5.6532980000000002E-3</v>
      </c>
      <c r="G970" s="458">
        <f>labcap_sources!$F$131*labcap_sources!$F$128</f>
        <v>1</v>
      </c>
      <c r="H970" s="362">
        <f t="shared" si="559"/>
        <v>5.6532980000000002E-3</v>
      </c>
      <c r="I970" s="368">
        <f>H970/H974*$F974</f>
        <v>5.6532980000000002E-3</v>
      </c>
      <c r="J970" s="458">
        <f>labcap_sources!$G$131*labcap_sources!$G$128</f>
        <v>0.73888888888888893</v>
      </c>
      <c r="K970" s="362">
        <f>$H970*J970</f>
        <v>4.1771590777777779E-3</v>
      </c>
      <c r="L970" s="368">
        <f>K970/K974*$F974</f>
        <v>4.0105649884297975E-3</v>
      </c>
      <c r="M970" s="458">
        <f>labcap_sources!$H$131*labcap_sources!$H$128</f>
        <v>0.53333333333333333</v>
      </c>
      <c r="N970" s="362">
        <f>$H970*M970</f>
        <v>3.0150922666666666E-3</v>
      </c>
      <c r="O970" s="368">
        <f>N970/N974*$F974</f>
        <v>2.7786566682450756E-3</v>
      </c>
    </row>
    <row r="971" spans="1:15" x14ac:dyDescent="0.25">
      <c r="A971" s="2" t="s">
        <v>330</v>
      </c>
      <c r="B971" s="5" t="s">
        <v>221</v>
      </c>
      <c r="C971" s="2" t="s">
        <v>220</v>
      </c>
      <c r="E971" s="241" t="s">
        <v>373</v>
      </c>
      <c r="F971" s="362">
        <f>opex_det!CN$170</f>
        <v>8.0504987E-2</v>
      </c>
      <c r="G971" s="458">
        <f>labcap_sources!$F$131*labcap_sources!$F$129</f>
        <v>1</v>
      </c>
      <c r="H971" s="362">
        <f t="shared" si="559"/>
        <v>8.0504987E-2</v>
      </c>
      <c r="I971" s="368">
        <f>H971/H974*$F974</f>
        <v>8.0504987E-2</v>
      </c>
      <c r="J971" s="458">
        <f>labcap_sources!$G$131*labcap_sources!$G$129</f>
        <v>0.92076923076923067</v>
      </c>
      <c r="K971" s="362">
        <f t="shared" ref="K971:K973" si="563">$H971*J971</f>
        <v>7.4126514953076914E-2</v>
      </c>
      <c r="L971" s="368">
        <f>K971/K974*$F974</f>
        <v>7.1170190086053436E-2</v>
      </c>
      <c r="M971" s="458">
        <f>labcap_sources!$H$131*labcap_sources!$H$129</f>
        <v>0.68923076923076931</v>
      </c>
      <c r="N971" s="362">
        <f t="shared" ref="N971:N973" si="564">$H971*M971</f>
        <v>5.5486514116923083E-2</v>
      </c>
      <c r="O971" s="368">
        <f>N971/N974*$F974</f>
        <v>5.1135407746282405E-2</v>
      </c>
    </row>
    <row r="972" spans="1:15" x14ac:dyDescent="0.25">
      <c r="A972" s="2" t="s">
        <v>330</v>
      </c>
      <c r="B972" s="5" t="s">
        <v>221</v>
      </c>
      <c r="C972" s="2" t="s">
        <v>220</v>
      </c>
      <c r="E972" s="241" t="s">
        <v>374</v>
      </c>
      <c r="F972" s="362">
        <f>opex_det!CN$171</f>
        <v>0.182927531</v>
      </c>
      <c r="G972" s="458">
        <f>labcap_sources!$F$131*labcap_sources!$F$130</f>
        <v>1</v>
      </c>
      <c r="H972" s="362">
        <f t="shared" si="559"/>
        <v>0.182927531</v>
      </c>
      <c r="I972" s="368">
        <f>H972/H974*$F974</f>
        <v>0.182927531</v>
      </c>
      <c r="J972" s="458">
        <f>labcap_sources!$G$131*labcap_sources!$G$130</f>
        <v>1.096153846153846</v>
      </c>
      <c r="K972" s="362">
        <f t="shared" si="563"/>
        <v>0.20051671667307691</v>
      </c>
      <c r="L972" s="368">
        <f>K972/K974*$F974</f>
        <v>0.19251967868835895</v>
      </c>
      <c r="M972" s="458">
        <f>labcap_sources!$H$131*labcap_sources!$H$130</f>
        <v>1.1692307692307693</v>
      </c>
      <c r="N972" s="362">
        <f t="shared" si="564"/>
        <v>0.21388449778461541</v>
      </c>
      <c r="O972" s="368">
        <f>N972/N974*$F974</f>
        <v>0.1971122385121937</v>
      </c>
    </row>
    <row r="973" spans="1:15" x14ac:dyDescent="0.25">
      <c r="A973" s="2" t="s">
        <v>330</v>
      </c>
      <c r="B973" s="5" t="s">
        <v>221</v>
      </c>
      <c r="C973" s="2" t="s">
        <v>220</v>
      </c>
      <c r="E973" s="240" t="s">
        <v>375</v>
      </c>
      <c r="F973" s="362">
        <f>opex_det!CN$172</f>
        <v>0.17053499999999999</v>
      </c>
      <c r="G973" s="458">
        <f>labcap_sources!$F$132</f>
        <v>1</v>
      </c>
      <c r="H973" s="362">
        <f t="shared" si="559"/>
        <v>0.17053499999999999</v>
      </c>
      <c r="I973" s="368">
        <f>H973/H974*$F974</f>
        <v>0.17053499999999999</v>
      </c>
      <c r="J973" s="458">
        <f>labcap_sources!$G$132</f>
        <v>1.05</v>
      </c>
      <c r="K973" s="362">
        <f t="shared" si="563"/>
        <v>0.17906174999999999</v>
      </c>
      <c r="L973" s="368">
        <f>K973/K974*$F974</f>
        <v>0.17192038223715783</v>
      </c>
      <c r="M973" s="458">
        <f>labcap_sources!$H$132</f>
        <v>1.2</v>
      </c>
      <c r="N973" s="362">
        <f t="shared" si="564"/>
        <v>0.20464199999999999</v>
      </c>
      <c r="O973" s="368">
        <f>N973/N974*$F974</f>
        <v>0.18859451307327887</v>
      </c>
    </row>
    <row r="974" spans="1:15" x14ac:dyDescent="0.25">
      <c r="A974" s="2" t="s">
        <v>330</v>
      </c>
      <c r="B974" s="5" t="s">
        <v>221</v>
      </c>
      <c r="C974" s="2" t="s">
        <v>220</v>
      </c>
      <c r="E974" s="19" t="s">
        <v>1077</v>
      </c>
      <c r="F974" s="363">
        <f>SUM(F970:F973)</f>
        <v>0.43962081600000003</v>
      </c>
      <c r="G974" s="458"/>
      <c r="H974" s="363">
        <f>SUM(H970:H973)</f>
        <v>0.43962081600000003</v>
      </c>
      <c r="I974" s="363">
        <f>SUM(I970:I973)</f>
        <v>0.43962081600000003</v>
      </c>
      <c r="J974" s="458"/>
      <c r="K974" s="363">
        <f>SUM(K970:K973)</f>
        <v>0.45788214070393163</v>
      </c>
      <c r="L974" s="363">
        <f>SUM(L970:L973)</f>
        <v>0.43962081600000003</v>
      </c>
      <c r="M974" s="458"/>
      <c r="N974" s="363">
        <f>SUM(N970:N973)</f>
        <v>0.47702810416820512</v>
      </c>
      <c r="O974" s="363">
        <f>SUM(O970:O973)</f>
        <v>0.43962081600000003</v>
      </c>
    </row>
    <row r="975" spans="1:15" x14ac:dyDescent="0.25">
      <c r="A975" s="2" t="s">
        <v>330</v>
      </c>
      <c r="B975" s="5" t="s">
        <v>221</v>
      </c>
      <c r="C975" s="2" t="s">
        <v>220</v>
      </c>
      <c r="E975" s="367" t="s">
        <v>1068</v>
      </c>
      <c r="F975" s="359">
        <f>opex_det!CN$176</f>
        <v>3.8949200000000002E-4</v>
      </c>
      <c r="G975" s="458">
        <f>labcap_sources!$F$128</f>
        <v>1</v>
      </c>
      <c r="H975" s="369">
        <f t="shared" ref="H975:H984" si="565">$F975*G975</f>
        <v>3.8949200000000002E-4</v>
      </c>
      <c r="I975" s="357"/>
      <c r="J975" s="458">
        <f>labcap_sources!$G$128</f>
        <v>0.7777777777777779</v>
      </c>
      <c r="K975" s="369">
        <f>$H975*J975</f>
        <v>3.0293822222222228E-4</v>
      </c>
      <c r="L975" s="360"/>
      <c r="M975" s="458">
        <f>labcap_sources!$H$128</f>
        <v>0.66666666666666663</v>
      </c>
      <c r="N975" s="369">
        <f>$H975*M975</f>
        <v>2.5966133333333333E-4</v>
      </c>
      <c r="O975" s="360"/>
    </row>
    <row r="976" spans="1:15" x14ac:dyDescent="0.25">
      <c r="A976" s="2" t="s">
        <v>330</v>
      </c>
      <c r="B976" s="5" t="s">
        <v>221</v>
      </c>
      <c r="C976" s="2" t="s">
        <v>220</v>
      </c>
      <c r="E976" s="367" t="s">
        <v>1069</v>
      </c>
      <c r="F976" s="359">
        <f>opex_det!CN$177</f>
        <v>3.5002299999999998E-4</v>
      </c>
      <c r="G976" s="458">
        <f>labcap_sources!$F$128</f>
        <v>1</v>
      </c>
      <c r="H976" s="369">
        <f t="shared" si="565"/>
        <v>3.5002299999999998E-4</v>
      </c>
      <c r="I976" s="357"/>
      <c r="J976" s="458">
        <f>labcap_sources!$G$128</f>
        <v>0.7777777777777779</v>
      </c>
      <c r="K976" s="369">
        <f t="shared" ref="K976:K980" si="566">$H976*J976</f>
        <v>2.7224011111111112E-4</v>
      </c>
      <c r="L976" s="360"/>
      <c r="M976" s="458">
        <f>labcap_sources!$H$128</f>
        <v>0.66666666666666663</v>
      </c>
      <c r="N976" s="369">
        <f t="shared" ref="N976" si="567">$H976*M976</f>
        <v>2.3334866666666664E-4</v>
      </c>
      <c r="O976" s="360"/>
    </row>
    <row r="977" spans="1:15" x14ac:dyDescent="0.25">
      <c r="A977" s="2" t="s">
        <v>330</v>
      </c>
      <c r="B977" s="5" t="s">
        <v>221</v>
      </c>
      <c r="C977" s="2" t="s">
        <v>220</v>
      </c>
      <c r="E977" s="367" t="s">
        <v>1070</v>
      </c>
      <c r="F977" s="359">
        <f>opex_det!CN$178</f>
        <v>6.4790819999999997E-3</v>
      </c>
      <c r="G977" s="458">
        <f>labcap_sources!$F$129</f>
        <v>1</v>
      </c>
      <c r="H977" s="369">
        <f t="shared" si="565"/>
        <v>6.4790819999999997E-3</v>
      </c>
      <c r="I977" s="357"/>
      <c r="J977" s="458">
        <f>labcap_sources!$G$129</f>
        <v>0.96923076923076923</v>
      </c>
      <c r="K977" s="369">
        <f t="shared" si="566"/>
        <v>6.2797256307692301E-3</v>
      </c>
      <c r="L977" s="360"/>
      <c r="M977" s="458">
        <f>labcap_sources!$H$129</f>
        <v>0.86153846153846159</v>
      </c>
      <c r="N977" s="369">
        <f>$H977*M977</f>
        <v>5.5819783384615388E-3</v>
      </c>
      <c r="O977" s="360"/>
    </row>
    <row r="978" spans="1:15" x14ac:dyDescent="0.25">
      <c r="A978" s="2" t="s">
        <v>330</v>
      </c>
      <c r="B978" s="5" t="s">
        <v>221</v>
      </c>
      <c r="C978" s="2" t="s">
        <v>220</v>
      </c>
      <c r="E978" s="367" t="s">
        <v>1071</v>
      </c>
      <c r="F978" s="359">
        <f>opex_det!CN$179</f>
        <v>7.76255E-4</v>
      </c>
      <c r="G978" s="458">
        <f>labcap_sources!$F$129</f>
        <v>1</v>
      </c>
      <c r="H978" s="369">
        <f t="shared" si="565"/>
        <v>7.76255E-4</v>
      </c>
      <c r="I978" s="357"/>
      <c r="J978" s="458">
        <f>labcap_sources!$G$129</f>
        <v>0.96923076923076923</v>
      </c>
      <c r="K978" s="369">
        <f t="shared" si="566"/>
        <v>7.523702307692308E-4</v>
      </c>
      <c r="L978" s="360"/>
      <c r="M978" s="458">
        <f>labcap_sources!$H$129</f>
        <v>0.86153846153846159</v>
      </c>
      <c r="N978" s="369">
        <f t="shared" ref="N978:N980" si="568">$H978*M978</f>
        <v>6.6877353846153849E-4</v>
      </c>
      <c r="O978" s="360"/>
    </row>
    <row r="979" spans="1:15" x14ac:dyDescent="0.25">
      <c r="A979" s="2" t="s">
        <v>330</v>
      </c>
      <c r="B979" s="5" t="s">
        <v>221</v>
      </c>
      <c r="C979" s="2" t="s">
        <v>220</v>
      </c>
      <c r="E979" s="367" t="s">
        <v>1072</v>
      </c>
      <c r="F979" s="359">
        <f>opex_det!CN$180</f>
        <v>6.5292559999999998E-3</v>
      </c>
      <c r="G979" s="458">
        <f>labcap_sources!$F$130</f>
        <v>1</v>
      </c>
      <c r="H979" s="369">
        <f t="shared" si="565"/>
        <v>6.5292559999999998E-3</v>
      </c>
      <c r="I979" s="357"/>
      <c r="J979" s="458">
        <f>labcap_sources!$G$130</f>
        <v>1.1538461538461537</v>
      </c>
      <c r="K979" s="369">
        <f t="shared" si="566"/>
        <v>7.5337569230769222E-3</v>
      </c>
      <c r="L979" s="360"/>
      <c r="M979" s="458">
        <f>labcap_sources!$H$130</f>
        <v>1.4615384615384615</v>
      </c>
      <c r="N979" s="369">
        <f t="shared" si="568"/>
        <v>9.5427587692307678E-3</v>
      </c>
      <c r="O979" s="360"/>
    </row>
    <row r="980" spans="1:15" x14ac:dyDescent="0.25">
      <c r="A980" s="2" t="s">
        <v>330</v>
      </c>
      <c r="B980" s="5" t="s">
        <v>221</v>
      </c>
      <c r="C980" s="2" t="s">
        <v>220</v>
      </c>
      <c r="E980" s="367" t="s">
        <v>1073</v>
      </c>
      <c r="F980" s="359">
        <f>opex_det!CN$181</f>
        <v>2.7404510000000001E-3</v>
      </c>
      <c r="G980" s="458">
        <f>labcap_sources!$F$130</f>
        <v>1</v>
      </c>
      <c r="H980" s="369">
        <f t="shared" si="565"/>
        <v>2.7404510000000001E-3</v>
      </c>
      <c r="I980" s="357"/>
      <c r="J980" s="458">
        <f>labcap_sources!$G$130</f>
        <v>1.1538461538461537</v>
      </c>
      <c r="K980" s="369">
        <f t="shared" si="566"/>
        <v>3.1620588461538459E-3</v>
      </c>
      <c r="L980" s="360"/>
      <c r="M980" s="458">
        <f>labcap_sources!$H$130</f>
        <v>1.4615384615384615</v>
      </c>
      <c r="N980" s="369">
        <f t="shared" si="568"/>
        <v>4.005274538461538E-3</v>
      </c>
      <c r="O980" s="360"/>
    </row>
    <row r="981" spans="1:15" x14ac:dyDescent="0.25">
      <c r="A981" s="2" t="s">
        <v>331</v>
      </c>
      <c r="B981" s="7" t="s">
        <v>223</v>
      </c>
      <c r="C981" s="2" t="s">
        <v>222</v>
      </c>
      <c r="E981" s="241" t="s">
        <v>372</v>
      </c>
      <c r="F981" s="362">
        <f>opex_det!CO$169</f>
        <v>3.757299E-3</v>
      </c>
      <c r="G981" s="458">
        <f>labcap_sources!$F$131*labcap_sources!$F$128</f>
        <v>1</v>
      </c>
      <c r="H981" s="362">
        <f t="shared" si="565"/>
        <v>3.757299E-3</v>
      </c>
      <c r="I981" s="368">
        <f>H981/H985*$F985</f>
        <v>3.757299E-3</v>
      </c>
      <c r="J981" s="458">
        <f>labcap_sources!$G$131*labcap_sources!$G$128</f>
        <v>0.73888888888888893</v>
      </c>
      <c r="K981" s="362">
        <f>$H981*J981</f>
        <v>2.7762264833333336E-3</v>
      </c>
      <c r="L981" s="368">
        <f>K981/K985*$F985</f>
        <v>2.787444696322102E-3</v>
      </c>
      <c r="M981" s="458">
        <f>labcap_sources!$H$131*labcap_sources!$H$128</f>
        <v>0.53333333333333333</v>
      </c>
      <c r="N981" s="362">
        <f>$H981*M981</f>
        <v>2.0038928E-3</v>
      </c>
      <c r="O981" s="368">
        <f>N981/N985*$F985</f>
        <v>2.1375479823110407E-3</v>
      </c>
    </row>
    <row r="982" spans="1:15" x14ac:dyDescent="0.25">
      <c r="A982" s="2" t="s">
        <v>331</v>
      </c>
      <c r="B982" s="7" t="s">
        <v>223</v>
      </c>
      <c r="C982" s="2" t="s">
        <v>222</v>
      </c>
      <c r="E982" s="241" t="s">
        <v>373</v>
      </c>
      <c r="F982" s="362">
        <f>opex_det!CO$170</f>
        <v>6.7552206000000004E-2</v>
      </c>
      <c r="G982" s="458">
        <f>labcap_sources!$F$131*labcap_sources!$F$129</f>
        <v>1</v>
      </c>
      <c r="H982" s="362">
        <f t="shared" si="565"/>
        <v>6.7552206000000004E-2</v>
      </c>
      <c r="I982" s="368">
        <f>H982/H985*$F985</f>
        <v>6.7552206000000004E-2</v>
      </c>
      <c r="J982" s="458">
        <f>labcap_sources!$G$131*labcap_sources!$G$129</f>
        <v>0.92076923076923067</v>
      </c>
      <c r="K982" s="362">
        <f t="shared" ref="K982:K984" si="569">$H982*J982</f>
        <v>6.2199992755384612E-2</v>
      </c>
      <c r="L982" s="368">
        <f>K982/K985*$F985</f>
        <v>6.2451331315411598E-2</v>
      </c>
      <c r="M982" s="458">
        <f>labcap_sources!$H$131*labcap_sources!$H$129</f>
        <v>0.68923076923076931</v>
      </c>
      <c r="N982" s="362">
        <f t="shared" ref="N982:N984" si="570">$H982*M982</f>
        <v>4.655905890461539E-2</v>
      </c>
      <c r="O982" s="368">
        <f>N982/N985*$F985</f>
        <v>4.9664444335476191E-2</v>
      </c>
    </row>
    <row r="983" spans="1:15" x14ac:dyDescent="0.25">
      <c r="A983" s="2" t="s">
        <v>331</v>
      </c>
      <c r="B983" s="7" t="s">
        <v>223</v>
      </c>
      <c r="C983" s="2" t="s">
        <v>222</v>
      </c>
      <c r="E983" s="241" t="s">
        <v>374</v>
      </c>
      <c r="F983" s="362">
        <f>opex_det!CO$171</f>
        <v>4.3496106E-2</v>
      </c>
      <c r="G983" s="458">
        <f>labcap_sources!$F$131*labcap_sources!$F$130</f>
        <v>1</v>
      </c>
      <c r="H983" s="362">
        <f t="shared" si="565"/>
        <v>4.3496106E-2</v>
      </c>
      <c r="I983" s="368">
        <f>H983/H985*$F985</f>
        <v>4.3496106E-2</v>
      </c>
      <c r="J983" s="458">
        <f>labcap_sources!$G$131*labcap_sources!$G$130</f>
        <v>1.096153846153846</v>
      </c>
      <c r="K983" s="362">
        <f t="shared" si="569"/>
        <v>4.7678423884615379E-2</v>
      </c>
      <c r="L983" s="368">
        <f>K983/K985*$F985</f>
        <v>4.7871083495535961E-2</v>
      </c>
      <c r="M983" s="458">
        <f>labcap_sources!$H$131*labcap_sources!$H$130</f>
        <v>1.1692307692307693</v>
      </c>
      <c r="N983" s="362">
        <f t="shared" si="570"/>
        <v>5.0856985476923078E-2</v>
      </c>
      <c r="O983" s="368">
        <f>N983/N985*$F985</f>
        <v>5.4249033028422891E-2</v>
      </c>
    </row>
    <row r="984" spans="1:15" x14ac:dyDescent="0.25">
      <c r="A984" s="2" t="s">
        <v>331</v>
      </c>
      <c r="B984" s="7" t="s">
        <v>223</v>
      </c>
      <c r="C984" s="2" t="s">
        <v>222</v>
      </c>
      <c r="E984" s="240" t="s">
        <v>375</v>
      </c>
      <c r="F984" s="362">
        <f>opex_det!CO$172</f>
        <v>3.1262209999999999E-2</v>
      </c>
      <c r="G984" s="458">
        <f>labcap_sources!$F$132</f>
        <v>1</v>
      </c>
      <c r="H984" s="362">
        <f t="shared" si="565"/>
        <v>3.1262209999999999E-2</v>
      </c>
      <c r="I984" s="368">
        <f>H984/H985*$F985</f>
        <v>3.1262209999999999E-2</v>
      </c>
      <c r="J984" s="458">
        <f>labcap_sources!$G$132</f>
        <v>1.05</v>
      </c>
      <c r="K984" s="362">
        <f t="shared" si="569"/>
        <v>3.2825320499999998E-2</v>
      </c>
      <c r="L984" s="368">
        <f>K984/K985*$F985</f>
        <v>3.2957961492730337E-2</v>
      </c>
      <c r="M984" s="458">
        <f>labcap_sources!$H$132</f>
        <v>1.2</v>
      </c>
      <c r="N984" s="362">
        <f t="shared" si="570"/>
        <v>3.7514651999999996E-2</v>
      </c>
      <c r="O984" s="368">
        <f>N984/N985*$F985</f>
        <v>4.0016795653789884E-2</v>
      </c>
    </row>
    <row r="985" spans="1:15" x14ac:dyDescent="0.25">
      <c r="A985" s="2" t="s">
        <v>331</v>
      </c>
      <c r="B985" s="7" t="s">
        <v>223</v>
      </c>
      <c r="C985" s="2" t="s">
        <v>222</v>
      </c>
      <c r="E985" s="19" t="s">
        <v>1077</v>
      </c>
      <c r="F985" s="363">
        <f>SUM(F981:F984)</f>
        <v>0.14606782099999999</v>
      </c>
      <c r="G985" s="458"/>
      <c r="H985" s="363">
        <f>SUM(H981:H984)</f>
        <v>0.14606782099999999</v>
      </c>
      <c r="I985" s="363">
        <f>SUM(I981:I984)</f>
        <v>0.14606782099999999</v>
      </c>
      <c r="J985" s="458"/>
      <c r="K985" s="363">
        <f>SUM(K981:K984)</f>
        <v>0.14547996362333332</v>
      </c>
      <c r="L985" s="363">
        <f>SUM(L981:L984)</f>
        <v>0.14606782099999999</v>
      </c>
      <c r="M985" s="458"/>
      <c r="N985" s="363">
        <f>SUM(N981:N984)</f>
        <v>0.13693458918153845</v>
      </c>
      <c r="O985" s="363">
        <f>SUM(O981:O984)</f>
        <v>0.14606782100000001</v>
      </c>
    </row>
    <row r="986" spans="1:15" x14ac:dyDescent="0.25">
      <c r="A986" s="2" t="s">
        <v>331</v>
      </c>
      <c r="B986" s="7" t="s">
        <v>223</v>
      </c>
      <c r="C986" s="2" t="s">
        <v>222</v>
      </c>
      <c r="E986" s="367" t="s">
        <v>1068</v>
      </c>
      <c r="F986" s="359">
        <f>opex_det!CO$176</f>
        <v>6.1071499999999996E-4</v>
      </c>
      <c r="G986" s="458">
        <f>labcap_sources!$F$128</f>
        <v>1</v>
      </c>
      <c r="H986" s="369">
        <f t="shared" ref="H986:H995" si="571">$F986*G986</f>
        <v>6.1071499999999996E-4</v>
      </c>
      <c r="I986" s="357"/>
      <c r="J986" s="458">
        <f>labcap_sources!$G$128</f>
        <v>0.7777777777777779</v>
      </c>
      <c r="K986" s="369">
        <f>$H986*J986</f>
        <v>4.7500055555555561E-4</v>
      </c>
      <c r="L986" s="360"/>
      <c r="M986" s="458">
        <f>labcap_sources!$H$128</f>
        <v>0.66666666666666663</v>
      </c>
      <c r="N986" s="369">
        <f>$H986*M986</f>
        <v>4.0714333333333327E-4</v>
      </c>
      <c r="O986" s="360"/>
    </row>
    <row r="987" spans="1:15" x14ac:dyDescent="0.25">
      <c r="A987" s="2" t="s">
        <v>331</v>
      </c>
      <c r="B987" s="7" t="s">
        <v>223</v>
      </c>
      <c r="C987" s="2" t="s">
        <v>222</v>
      </c>
      <c r="E987" s="367" t="s">
        <v>1069</v>
      </c>
      <c r="F987" s="359">
        <f>opex_det!CO$177</f>
        <v>5.0800000000000002E-5</v>
      </c>
      <c r="G987" s="458">
        <f>labcap_sources!$F$128</f>
        <v>1</v>
      </c>
      <c r="H987" s="369">
        <f t="shared" si="571"/>
        <v>5.0800000000000002E-5</v>
      </c>
      <c r="I987" s="357"/>
      <c r="J987" s="458">
        <f>labcap_sources!$G$128</f>
        <v>0.7777777777777779</v>
      </c>
      <c r="K987" s="369">
        <f t="shared" ref="K987:K991" si="572">$H987*J987</f>
        <v>3.9511111111111118E-5</v>
      </c>
      <c r="L987" s="360"/>
      <c r="M987" s="458">
        <f>labcap_sources!$H$128</f>
        <v>0.66666666666666663</v>
      </c>
      <c r="N987" s="369">
        <f t="shared" ref="N987" si="573">$H987*M987</f>
        <v>3.3866666666666665E-5</v>
      </c>
      <c r="O987" s="360"/>
    </row>
    <row r="988" spans="1:15" x14ac:dyDescent="0.25">
      <c r="A988" s="2" t="s">
        <v>331</v>
      </c>
      <c r="B988" s="7" t="s">
        <v>223</v>
      </c>
      <c r="C988" s="2" t="s">
        <v>222</v>
      </c>
      <c r="E988" s="367" t="s">
        <v>1070</v>
      </c>
      <c r="F988" s="359">
        <f>opex_det!CO$178</f>
        <v>9.599659E-3</v>
      </c>
      <c r="G988" s="458">
        <f>labcap_sources!$F$129</f>
        <v>1</v>
      </c>
      <c r="H988" s="369">
        <f t="shared" si="571"/>
        <v>9.599659E-3</v>
      </c>
      <c r="I988" s="357"/>
      <c r="J988" s="458">
        <f>labcap_sources!$G$129</f>
        <v>0.96923076923076923</v>
      </c>
      <c r="K988" s="369">
        <f t="shared" si="572"/>
        <v>9.304284876923077E-3</v>
      </c>
      <c r="L988" s="360"/>
      <c r="M988" s="458">
        <f>labcap_sources!$H$129</f>
        <v>0.86153846153846159</v>
      </c>
      <c r="N988" s="369">
        <f>$H988*M988</f>
        <v>8.2704754461538459E-3</v>
      </c>
      <c r="O988" s="360"/>
    </row>
    <row r="989" spans="1:15" x14ac:dyDescent="0.25">
      <c r="A989" s="2" t="s">
        <v>331</v>
      </c>
      <c r="B989" s="7" t="s">
        <v>223</v>
      </c>
      <c r="C989" s="2" t="s">
        <v>222</v>
      </c>
      <c r="E989" s="367" t="s">
        <v>1071</v>
      </c>
      <c r="F989" s="359">
        <f>opex_det!CO$179</f>
        <v>3.2418300000000002E-4</v>
      </c>
      <c r="G989" s="458">
        <f>labcap_sources!$F$129</f>
        <v>1</v>
      </c>
      <c r="H989" s="369">
        <f t="shared" si="571"/>
        <v>3.2418300000000002E-4</v>
      </c>
      <c r="I989" s="357"/>
      <c r="J989" s="458">
        <f>labcap_sources!$G$129</f>
        <v>0.96923076923076923</v>
      </c>
      <c r="K989" s="369">
        <f t="shared" si="572"/>
        <v>3.1420813846153847E-4</v>
      </c>
      <c r="L989" s="360"/>
      <c r="M989" s="458">
        <f>labcap_sources!$H$129</f>
        <v>0.86153846153846159</v>
      </c>
      <c r="N989" s="369">
        <f t="shared" ref="N989:N991" si="574">$H989*M989</f>
        <v>2.7929612307692311E-4</v>
      </c>
      <c r="O989" s="360"/>
    </row>
    <row r="990" spans="1:15" x14ac:dyDescent="0.25">
      <c r="A990" s="2" t="s">
        <v>331</v>
      </c>
      <c r="B990" s="7" t="s">
        <v>223</v>
      </c>
      <c r="C990" s="2" t="s">
        <v>222</v>
      </c>
      <c r="E990" s="367" t="s">
        <v>1072</v>
      </c>
      <c r="F990" s="359">
        <f>opex_det!CO$180</f>
        <v>2.9126460000000001E-3</v>
      </c>
      <c r="G990" s="458">
        <f>labcap_sources!$F$130</f>
        <v>1</v>
      </c>
      <c r="H990" s="369">
        <f t="shared" si="571"/>
        <v>2.9126460000000001E-3</v>
      </c>
      <c r="I990" s="357"/>
      <c r="J990" s="458">
        <f>labcap_sources!$G$130</f>
        <v>1.1538461538461537</v>
      </c>
      <c r="K990" s="369">
        <f t="shared" si="572"/>
        <v>3.3607453846153843E-3</v>
      </c>
      <c r="L990" s="360"/>
      <c r="M990" s="458">
        <f>labcap_sources!$H$130</f>
        <v>1.4615384615384615</v>
      </c>
      <c r="N990" s="369">
        <f t="shared" si="574"/>
        <v>4.2569441538461541E-3</v>
      </c>
      <c r="O990" s="360"/>
    </row>
    <row r="991" spans="1:15" x14ac:dyDescent="0.25">
      <c r="A991" s="2" t="s">
        <v>331</v>
      </c>
      <c r="B991" s="7" t="s">
        <v>223</v>
      </c>
      <c r="C991" s="2" t="s">
        <v>222</v>
      </c>
      <c r="E991" s="367" t="s">
        <v>1073</v>
      </c>
      <c r="F991" s="359">
        <f>opex_det!CO$181</f>
        <v>7.45702E-4</v>
      </c>
      <c r="G991" s="458">
        <f>labcap_sources!$F$130</f>
        <v>1</v>
      </c>
      <c r="H991" s="369">
        <f t="shared" si="571"/>
        <v>7.45702E-4</v>
      </c>
      <c r="I991" s="357"/>
      <c r="J991" s="458">
        <f>labcap_sources!$G$130</f>
        <v>1.1538461538461537</v>
      </c>
      <c r="K991" s="369">
        <f t="shared" si="572"/>
        <v>8.6042538461538452E-4</v>
      </c>
      <c r="L991" s="360"/>
      <c r="M991" s="458">
        <f>labcap_sources!$H$130</f>
        <v>1.4615384615384615</v>
      </c>
      <c r="N991" s="369">
        <f t="shared" si="574"/>
        <v>1.0898721538461537E-3</v>
      </c>
      <c r="O991" s="360"/>
    </row>
    <row r="992" spans="1:15" x14ac:dyDescent="0.25">
      <c r="A992" s="2" t="s">
        <v>331</v>
      </c>
      <c r="B992" s="5" t="s">
        <v>225</v>
      </c>
      <c r="C992" s="2" t="s">
        <v>224</v>
      </c>
      <c r="E992" s="241" t="s">
        <v>372</v>
      </c>
      <c r="F992" s="362">
        <f>opex_det!CP$169</f>
        <v>1.0304667E-2</v>
      </c>
      <c r="G992" s="458">
        <f>labcap_sources!$F$131*labcap_sources!$F$128</f>
        <v>1</v>
      </c>
      <c r="H992" s="362">
        <f t="shared" si="571"/>
        <v>1.0304667E-2</v>
      </c>
      <c r="I992" s="368">
        <f>H992/H996*$F996</f>
        <v>1.0304667E-2</v>
      </c>
      <c r="J992" s="458">
        <f>labcap_sources!$G$131*labcap_sources!$G$128</f>
        <v>0.73888888888888893</v>
      </c>
      <c r="K992" s="362">
        <f>$H992*J992</f>
        <v>7.6140039500000008E-3</v>
      </c>
      <c r="L992" s="368">
        <f>K992/K996*$F996</f>
        <v>7.6831195430720088E-3</v>
      </c>
      <c r="M992" s="458">
        <f>labcap_sources!$H$131*labcap_sources!$H$128</f>
        <v>0.53333333333333333</v>
      </c>
      <c r="N992" s="362">
        <f>$H992*M992</f>
        <v>5.4958224000000002E-3</v>
      </c>
      <c r="O992" s="368">
        <f>N992/N996*$F996</f>
        <v>6.01744146445834E-3</v>
      </c>
    </row>
    <row r="993" spans="1:15" x14ac:dyDescent="0.25">
      <c r="A993" s="2" t="s">
        <v>331</v>
      </c>
      <c r="B993" s="5" t="s">
        <v>225</v>
      </c>
      <c r="C993" s="2" t="s">
        <v>224</v>
      </c>
      <c r="E993" s="241" t="s">
        <v>373</v>
      </c>
      <c r="F993" s="362">
        <f>opex_det!CP$170</f>
        <v>0.18526683999999999</v>
      </c>
      <c r="G993" s="458">
        <f>labcap_sources!$F$131*labcap_sources!$F$129</f>
        <v>1</v>
      </c>
      <c r="H993" s="362">
        <f t="shared" si="571"/>
        <v>0.18526683999999999</v>
      </c>
      <c r="I993" s="368">
        <f>H993/H996*$F996</f>
        <v>0.18526684000000002</v>
      </c>
      <c r="J993" s="458">
        <f>labcap_sources!$G$131*labcap_sources!$G$129</f>
        <v>0.92076923076923067</v>
      </c>
      <c r="K993" s="362">
        <f t="shared" ref="K993:K995" si="575">$H993*J993</f>
        <v>0.17058800575384611</v>
      </c>
      <c r="L993" s="368">
        <f>K993/K996*$F996</f>
        <v>0.17213650655133364</v>
      </c>
      <c r="M993" s="458">
        <f>labcap_sources!$H$131*labcap_sources!$H$129</f>
        <v>0.68923076923076931</v>
      </c>
      <c r="N993" s="362">
        <f t="shared" ref="N993:N995" si="576">$H993*M993</f>
        <v>0.12769160664615387</v>
      </c>
      <c r="O993" s="368">
        <f>N993/N996*$F996</f>
        <v>0.13981106239820823</v>
      </c>
    </row>
    <row r="994" spans="1:15" x14ac:dyDescent="0.25">
      <c r="A994" s="2" t="s">
        <v>331</v>
      </c>
      <c r="B994" s="5" t="s">
        <v>225</v>
      </c>
      <c r="C994" s="2" t="s">
        <v>224</v>
      </c>
      <c r="E994" s="241" t="s">
        <v>374</v>
      </c>
      <c r="F994" s="362">
        <f>opex_det!CP$171</f>
        <v>0.119291235</v>
      </c>
      <c r="G994" s="458">
        <f>labcap_sources!$F$131*labcap_sources!$F$130</f>
        <v>1</v>
      </c>
      <c r="H994" s="362">
        <f t="shared" si="571"/>
        <v>0.119291235</v>
      </c>
      <c r="I994" s="368">
        <f>H994/H996*$F996</f>
        <v>0.119291235</v>
      </c>
      <c r="J994" s="458">
        <f>labcap_sources!$G$131*labcap_sources!$G$130</f>
        <v>1.096153846153846</v>
      </c>
      <c r="K994" s="362">
        <f t="shared" si="575"/>
        <v>0.1307615460576923</v>
      </c>
      <c r="L994" s="368">
        <f>K994/K996*$F996</f>
        <v>0.13194852492796069</v>
      </c>
      <c r="M994" s="458">
        <f>labcap_sources!$H$131*labcap_sources!$H$130</f>
        <v>1.1692307692307693</v>
      </c>
      <c r="N994" s="362">
        <f t="shared" si="576"/>
        <v>0.13947898246153848</v>
      </c>
      <c r="O994" s="368">
        <f>N994/N996*$F996</f>
        <v>0.15271720070221323</v>
      </c>
    </row>
    <row r="995" spans="1:15" x14ac:dyDescent="0.25">
      <c r="A995" s="2" t="s">
        <v>331</v>
      </c>
      <c r="B995" s="5" t="s">
        <v>225</v>
      </c>
      <c r="C995" s="2" t="s">
        <v>224</v>
      </c>
      <c r="E995" s="240" t="s">
        <v>375</v>
      </c>
      <c r="F995" s="362">
        <f>opex_det!CP$172</f>
        <v>5.1982584999999998E-2</v>
      </c>
      <c r="G995" s="458">
        <f>labcap_sources!$F$132</f>
        <v>1</v>
      </c>
      <c r="H995" s="362">
        <f t="shared" si="571"/>
        <v>5.1982584999999998E-2</v>
      </c>
      <c r="I995" s="368">
        <f>H995/H996*$F996</f>
        <v>5.1982584999999998E-2</v>
      </c>
      <c r="J995" s="458">
        <f>labcap_sources!$G$132</f>
        <v>1.05</v>
      </c>
      <c r="K995" s="362">
        <f t="shared" si="575"/>
        <v>5.4581714250000003E-2</v>
      </c>
      <c r="L995" s="368">
        <f>K995/K996*$F996</f>
        <v>5.5077175977633543E-2</v>
      </c>
      <c r="M995" s="458">
        <f>labcap_sources!$H$132</f>
        <v>1.2</v>
      </c>
      <c r="N995" s="362">
        <f t="shared" si="576"/>
        <v>6.2379101999999992E-2</v>
      </c>
      <c r="O995" s="368">
        <f>N995/N996*$F996</f>
        <v>6.8299622435120194E-2</v>
      </c>
    </row>
    <row r="996" spans="1:15" x14ac:dyDescent="0.25">
      <c r="A996" s="2" t="s">
        <v>331</v>
      </c>
      <c r="B996" s="5" t="s">
        <v>225</v>
      </c>
      <c r="C996" s="2" t="s">
        <v>224</v>
      </c>
      <c r="E996" s="19" t="s">
        <v>1077</v>
      </c>
      <c r="F996" s="363">
        <f>SUM(F992:F995)</f>
        <v>0.36684532699999994</v>
      </c>
      <c r="G996" s="458"/>
      <c r="H996" s="363">
        <f>SUM(H992:H995)</f>
        <v>0.36684532699999994</v>
      </c>
      <c r="I996" s="363">
        <f>SUM(I992:I995)</f>
        <v>0.36684532699999994</v>
      </c>
      <c r="J996" s="458"/>
      <c r="K996" s="363">
        <f>SUM(K992:K995)</f>
        <v>0.36354527001153847</v>
      </c>
      <c r="L996" s="363">
        <f>SUM(L992:L995)</f>
        <v>0.36684532699999989</v>
      </c>
      <c r="M996" s="458"/>
      <c r="N996" s="363">
        <f>SUM(N992:N995)</f>
        <v>0.33504551350769229</v>
      </c>
      <c r="O996" s="363">
        <f>SUM(O992:O995)</f>
        <v>0.36684532700000005</v>
      </c>
    </row>
    <row r="997" spans="1:15" x14ac:dyDescent="0.25">
      <c r="A997" s="2" t="s">
        <v>331</v>
      </c>
      <c r="B997" s="5" t="s">
        <v>225</v>
      </c>
      <c r="C997" s="2" t="s">
        <v>224</v>
      </c>
      <c r="E997" s="367" t="s">
        <v>1068</v>
      </c>
      <c r="F997" s="359">
        <f>opex_det!CP$176</f>
        <v>1.8959599999999999E-3</v>
      </c>
      <c r="G997" s="458">
        <f>labcap_sources!$F$128</f>
        <v>1</v>
      </c>
      <c r="H997" s="369">
        <f t="shared" ref="H997:H1002" si="577">$F997*G997</f>
        <v>1.8959599999999999E-3</v>
      </c>
      <c r="I997" s="357"/>
      <c r="J997" s="458">
        <f>labcap_sources!$G$128</f>
        <v>0.7777777777777779</v>
      </c>
      <c r="K997" s="369">
        <f>$H997*J997</f>
        <v>1.4746355555555557E-3</v>
      </c>
      <c r="L997" s="360"/>
      <c r="M997" s="458">
        <f>labcap_sources!$H$128</f>
        <v>0.66666666666666663</v>
      </c>
      <c r="N997" s="369">
        <f>$H997*M997</f>
        <v>1.2639733333333332E-3</v>
      </c>
      <c r="O997" s="360"/>
    </row>
    <row r="998" spans="1:15" x14ac:dyDescent="0.25">
      <c r="A998" s="2" t="s">
        <v>331</v>
      </c>
      <c r="B998" s="5" t="s">
        <v>225</v>
      </c>
      <c r="C998" s="2" t="s">
        <v>224</v>
      </c>
      <c r="E998" s="367" t="s">
        <v>1069</v>
      </c>
      <c r="F998" s="359">
        <f>opex_det!CP$177</f>
        <v>1.19193E-4</v>
      </c>
      <c r="G998" s="458">
        <f>labcap_sources!$F$128</f>
        <v>1</v>
      </c>
      <c r="H998" s="369">
        <f t="shared" si="577"/>
        <v>1.19193E-4</v>
      </c>
      <c r="I998" s="357"/>
      <c r="J998" s="458">
        <f>labcap_sources!$G$128</f>
        <v>0.7777777777777779</v>
      </c>
      <c r="K998" s="369">
        <f t="shared" ref="K998:K1002" si="578">$H998*J998</f>
        <v>9.2705666666666683E-5</v>
      </c>
      <c r="L998" s="360"/>
      <c r="M998" s="458">
        <f>labcap_sources!$H$128</f>
        <v>0.66666666666666663</v>
      </c>
      <c r="N998" s="369">
        <f t="shared" ref="N998" si="579">$H998*M998</f>
        <v>7.9461999999999992E-5</v>
      </c>
      <c r="O998" s="360"/>
    </row>
    <row r="999" spans="1:15" x14ac:dyDescent="0.25">
      <c r="A999" s="2" t="s">
        <v>331</v>
      </c>
      <c r="B999" s="5" t="s">
        <v>225</v>
      </c>
      <c r="C999" s="2" t="s">
        <v>224</v>
      </c>
      <c r="E999" s="367" t="s">
        <v>1070</v>
      </c>
      <c r="F999" s="359">
        <f>opex_det!CP$178</f>
        <v>3.0386661999999998E-2</v>
      </c>
      <c r="G999" s="458">
        <f>labcap_sources!$F$129</f>
        <v>1</v>
      </c>
      <c r="H999" s="369">
        <f t="shared" si="577"/>
        <v>3.0386661999999998E-2</v>
      </c>
      <c r="I999" s="357"/>
      <c r="J999" s="458">
        <f>labcap_sources!$G$129</f>
        <v>0.96923076923076923</v>
      </c>
      <c r="K999" s="369">
        <f t="shared" si="578"/>
        <v>2.9451687784615384E-2</v>
      </c>
      <c r="L999" s="360"/>
      <c r="M999" s="458">
        <f>labcap_sources!$H$129</f>
        <v>0.86153846153846159</v>
      </c>
      <c r="N999" s="369">
        <f>$H999*M999</f>
        <v>2.6179278030769231E-2</v>
      </c>
      <c r="O999" s="360"/>
    </row>
    <row r="1000" spans="1:15" x14ac:dyDescent="0.25">
      <c r="A1000" s="2" t="s">
        <v>331</v>
      </c>
      <c r="B1000" s="5" t="s">
        <v>225</v>
      </c>
      <c r="C1000" s="2" t="s">
        <v>224</v>
      </c>
      <c r="E1000" s="367" t="s">
        <v>1071</v>
      </c>
      <c r="F1000" s="359">
        <f>opex_det!CP$179</f>
        <v>1.041639E-3</v>
      </c>
      <c r="G1000" s="458">
        <f>labcap_sources!$F$129</f>
        <v>1</v>
      </c>
      <c r="H1000" s="369">
        <f t="shared" si="577"/>
        <v>1.041639E-3</v>
      </c>
      <c r="I1000" s="357"/>
      <c r="J1000" s="458">
        <f>labcap_sources!$G$129</f>
        <v>0.96923076923076923</v>
      </c>
      <c r="K1000" s="369">
        <f t="shared" si="578"/>
        <v>1.0095885692307691E-3</v>
      </c>
      <c r="L1000" s="360"/>
      <c r="M1000" s="458">
        <f>labcap_sources!$H$129</f>
        <v>0.86153846153846159</v>
      </c>
      <c r="N1000" s="369">
        <f t="shared" ref="N1000:N1002" si="580">$H1000*M1000</f>
        <v>8.974120615384616E-4</v>
      </c>
      <c r="O1000" s="360"/>
    </row>
    <row r="1001" spans="1:15" x14ac:dyDescent="0.25">
      <c r="A1001" s="2" t="s">
        <v>331</v>
      </c>
      <c r="B1001" s="5" t="s">
        <v>225</v>
      </c>
      <c r="C1001" s="2" t="s">
        <v>224</v>
      </c>
      <c r="E1001" s="367" t="s">
        <v>1072</v>
      </c>
      <c r="F1001" s="359">
        <f>opex_det!CP$180</f>
        <v>9.0310640000000001E-3</v>
      </c>
      <c r="G1001" s="458">
        <f>labcap_sources!$F$130</f>
        <v>1</v>
      </c>
      <c r="H1001" s="369">
        <f t="shared" si="577"/>
        <v>9.0310640000000001E-3</v>
      </c>
      <c r="I1001" s="357"/>
      <c r="J1001" s="458">
        <f>labcap_sources!$G$130</f>
        <v>1.1538461538461537</v>
      </c>
      <c r="K1001" s="369">
        <f t="shared" si="578"/>
        <v>1.0420458461538461E-2</v>
      </c>
      <c r="L1001" s="360"/>
      <c r="M1001" s="458">
        <f>labcap_sources!$H$130</f>
        <v>1.4615384615384615</v>
      </c>
      <c r="N1001" s="369">
        <f t="shared" si="580"/>
        <v>1.3199247384615384E-2</v>
      </c>
      <c r="O1001" s="360"/>
    </row>
    <row r="1002" spans="1:15" x14ac:dyDescent="0.25">
      <c r="A1002" s="2" t="s">
        <v>331</v>
      </c>
      <c r="B1002" s="5" t="s">
        <v>225</v>
      </c>
      <c r="C1002" s="2" t="s">
        <v>224</v>
      </c>
      <c r="E1002" s="367" t="s">
        <v>1073</v>
      </c>
      <c r="F1002" s="359">
        <f>opex_det!CP$181</f>
        <v>2.3485899999999998E-3</v>
      </c>
      <c r="G1002" s="458">
        <f>labcap_sources!$F$130</f>
        <v>1</v>
      </c>
      <c r="H1002" s="369">
        <f t="shared" si="577"/>
        <v>2.3485899999999998E-3</v>
      </c>
      <c r="I1002" s="357"/>
      <c r="J1002" s="458">
        <f>labcap_sources!$G$130</f>
        <v>1.1538461538461537</v>
      </c>
      <c r="K1002" s="369">
        <f t="shared" si="578"/>
        <v>2.7099115384615381E-3</v>
      </c>
      <c r="L1002" s="360"/>
      <c r="M1002" s="458">
        <f>labcap_sources!$H$130</f>
        <v>1.4615384615384615</v>
      </c>
      <c r="N1002" s="369">
        <f t="shared" si="580"/>
        <v>3.4325546153846148E-3</v>
      </c>
      <c r="O1002" s="360"/>
    </row>
  </sheetData>
  <pageMargins left="0.7" right="0.7" top="0.78740157499999996" bottom="0.78740157499999996"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79"/>
  <sheetViews>
    <sheetView zoomScale="75" zoomScaleNormal="75" workbookViewId="0">
      <pane xSplit="4" ySplit="1" topLeftCell="E37" activePane="bottomRight" state="frozen"/>
      <selection pane="topRight" activeCell="E1" sqref="E1"/>
      <selection pane="bottomLeft" activeCell="A2" sqref="A2"/>
      <selection pane="bottomRight" activeCell="H37" sqref="H37"/>
    </sheetView>
  </sheetViews>
  <sheetFormatPr defaultColWidth="9" defaultRowHeight="15" x14ac:dyDescent="0.25"/>
  <cols>
    <col min="1" max="3" width="44.375" style="1" customWidth="1"/>
    <col min="4" max="4" width="44.375" style="15" customWidth="1"/>
    <col min="5" max="10" width="9.75" style="15" customWidth="1"/>
    <col min="11" max="12" width="44.375" style="20" customWidth="1"/>
    <col min="13" max="14" width="44.375" style="22" customWidth="1"/>
    <col min="15" max="16384" width="9" style="1"/>
  </cols>
  <sheetData>
    <row r="1" spans="1:14" x14ac:dyDescent="0.25">
      <c r="A1" s="18" t="s">
        <v>368</v>
      </c>
      <c r="B1" s="18" t="s">
        <v>0</v>
      </c>
      <c r="C1" s="18" t="s">
        <v>762</v>
      </c>
      <c r="D1" s="19" t="s">
        <v>366</v>
      </c>
      <c r="E1" s="19" t="s">
        <v>417</v>
      </c>
      <c r="F1" s="19" t="s">
        <v>942</v>
      </c>
      <c r="G1" s="19" t="s">
        <v>931</v>
      </c>
      <c r="H1" s="19" t="s">
        <v>941</v>
      </c>
      <c r="I1" s="19" t="s">
        <v>380</v>
      </c>
      <c r="J1" s="19" t="s">
        <v>363</v>
      </c>
      <c r="K1" s="29" t="s">
        <v>1034</v>
      </c>
      <c r="L1" s="29" t="s">
        <v>1029</v>
      </c>
      <c r="M1" s="21" t="s">
        <v>347</v>
      </c>
      <c r="N1" s="21" t="s">
        <v>426</v>
      </c>
    </row>
    <row r="2" spans="1:14" s="54" customFormat="1" ht="14.45" customHeight="1" x14ac:dyDescent="0.25">
      <c r="A2" s="131" t="s">
        <v>921</v>
      </c>
      <c r="B2" s="54" t="s">
        <v>342</v>
      </c>
      <c r="C2" s="54" t="s">
        <v>361</v>
      </c>
      <c r="D2" s="60" t="s">
        <v>381</v>
      </c>
      <c r="E2" s="60"/>
      <c r="F2" s="144"/>
      <c r="G2" s="144"/>
      <c r="H2" s="170">
        <v>0.26</v>
      </c>
      <c r="I2" s="37"/>
      <c r="J2" s="61" t="s">
        <v>365</v>
      </c>
      <c r="K2" s="50" t="s">
        <v>367</v>
      </c>
      <c r="L2" s="173"/>
      <c r="M2" s="54" t="s">
        <v>405</v>
      </c>
      <c r="N2" s="60"/>
    </row>
    <row r="3" spans="1:14" s="54" customFormat="1" ht="14.45" customHeight="1" x14ac:dyDescent="0.25">
      <c r="A3" s="131" t="s">
        <v>921</v>
      </c>
      <c r="B3" s="54" t="s">
        <v>342</v>
      </c>
      <c r="C3" s="54" t="s">
        <v>361</v>
      </c>
      <c r="D3" s="60" t="s">
        <v>382</v>
      </c>
      <c r="E3" s="60"/>
      <c r="F3" s="144"/>
      <c r="G3" s="144"/>
      <c r="H3" s="170">
        <v>0.17</v>
      </c>
      <c r="I3" s="37"/>
      <c r="J3" s="60"/>
      <c r="K3" s="55"/>
      <c r="L3" s="55"/>
    </row>
    <row r="4" spans="1:14" s="54" customFormat="1" ht="14.45" customHeight="1" x14ac:dyDescent="0.25">
      <c r="A4" s="131" t="s">
        <v>921</v>
      </c>
      <c r="B4" s="54" t="s">
        <v>342</v>
      </c>
      <c r="C4" s="54" t="s">
        <v>361</v>
      </c>
      <c r="D4" s="60" t="s">
        <v>383</v>
      </c>
      <c r="E4" s="60"/>
      <c r="F4" s="144"/>
      <c r="G4" s="144"/>
      <c r="H4" s="170">
        <v>0.21</v>
      </c>
      <c r="I4" s="37"/>
      <c r="J4" s="60"/>
      <c r="K4" s="55"/>
      <c r="L4" s="55"/>
    </row>
    <row r="5" spans="1:14" s="54" customFormat="1" ht="14.45" customHeight="1" x14ac:dyDescent="0.25">
      <c r="A5" s="131" t="s">
        <v>921</v>
      </c>
      <c r="B5" s="54" t="s">
        <v>342</v>
      </c>
      <c r="C5" s="54" t="s">
        <v>361</v>
      </c>
      <c r="D5" s="60" t="s">
        <v>384</v>
      </c>
      <c r="E5" s="60"/>
      <c r="F5" s="144"/>
      <c r="G5" s="144"/>
      <c r="H5" s="170">
        <v>0.18</v>
      </c>
      <c r="I5" s="37"/>
      <c r="J5" s="51"/>
      <c r="K5" s="55"/>
      <c r="L5" s="55"/>
    </row>
    <row r="6" spans="1:14" s="70" customFormat="1" ht="14.45" customHeight="1" x14ac:dyDescent="0.25">
      <c r="A6" s="131" t="s">
        <v>921</v>
      </c>
      <c r="B6" s="54" t="s">
        <v>342</v>
      </c>
      <c r="C6" s="54" t="s">
        <v>361</v>
      </c>
      <c r="D6" s="60" t="s">
        <v>385</v>
      </c>
      <c r="E6" s="60"/>
      <c r="F6" s="143"/>
      <c r="G6" s="143"/>
      <c r="H6" s="171">
        <v>0.13</v>
      </c>
      <c r="I6" s="64"/>
      <c r="J6" s="66"/>
      <c r="K6" s="55"/>
      <c r="L6" s="55"/>
      <c r="M6" s="54"/>
    </row>
    <row r="7" spans="1:14" s="51" customFormat="1" ht="14.25" customHeight="1" x14ac:dyDescent="0.25">
      <c r="A7" s="131" t="s">
        <v>921</v>
      </c>
      <c r="B7" s="54" t="s">
        <v>342</v>
      </c>
      <c r="C7" s="54" t="s">
        <v>361</v>
      </c>
      <c r="D7" s="60" t="s">
        <v>386</v>
      </c>
      <c r="E7" s="60"/>
      <c r="F7" s="144"/>
      <c r="G7" s="144"/>
      <c r="H7" s="170">
        <v>0.05</v>
      </c>
      <c r="I7" s="37"/>
      <c r="J7" s="61"/>
      <c r="K7" s="45"/>
      <c r="L7" s="45"/>
      <c r="M7" s="54"/>
      <c r="N7" s="74"/>
    </row>
    <row r="8" spans="1:14" s="51" customFormat="1" ht="14.45" customHeight="1" x14ac:dyDescent="0.25">
      <c r="A8" s="131" t="s">
        <v>921</v>
      </c>
      <c r="B8" s="70" t="s">
        <v>342</v>
      </c>
      <c r="C8" s="70" t="s">
        <v>361</v>
      </c>
      <c r="D8" s="63" t="s">
        <v>346</v>
      </c>
      <c r="E8" s="63"/>
      <c r="F8" s="144"/>
      <c r="G8" s="144"/>
      <c r="H8" s="172">
        <f>SUM(H2:H7)</f>
        <v>1</v>
      </c>
      <c r="I8" s="37"/>
      <c r="J8" s="61"/>
      <c r="K8" s="67"/>
      <c r="L8" s="45"/>
      <c r="M8" s="70"/>
      <c r="N8" s="55"/>
    </row>
    <row r="9" spans="1:14" s="54" customFormat="1" ht="14.45" customHeight="1" x14ac:dyDescent="0.25">
      <c r="A9" s="131" t="s">
        <v>921</v>
      </c>
      <c r="B9" s="54" t="s">
        <v>12</v>
      </c>
      <c r="C9" s="54" t="s">
        <v>514</v>
      </c>
      <c r="D9" s="60" t="s">
        <v>410</v>
      </c>
      <c r="E9" s="60"/>
      <c r="F9" s="144"/>
      <c r="G9" s="144"/>
      <c r="H9" s="37">
        <v>0.2014</v>
      </c>
      <c r="I9" s="37"/>
      <c r="J9" s="61" t="s">
        <v>409</v>
      </c>
      <c r="K9" s="50" t="s">
        <v>1030</v>
      </c>
      <c r="L9" s="45" t="s">
        <v>1031</v>
      </c>
      <c r="M9" s="60" t="s">
        <v>1032</v>
      </c>
      <c r="N9" s="51"/>
    </row>
    <row r="10" spans="1:14" s="54" customFormat="1" ht="14.45" customHeight="1" x14ac:dyDescent="0.25">
      <c r="A10" s="131" t="s">
        <v>921</v>
      </c>
      <c r="B10" s="54" t="s">
        <v>12</v>
      </c>
      <c r="C10" s="54" t="s">
        <v>514</v>
      </c>
      <c r="D10" s="60" t="s">
        <v>403</v>
      </c>
      <c r="E10" s="60"/>
      <c r="F10" s="144"/>
      <c r="G10" s="144"/>
      <c r="H10" s="37">
        <v>7.9299999999999995E-2</v>
      </c>
      <c r="I10" s="37"/>
      <c r="J10" s="60"/>
      <c r="K10" s="60"/>
      <c r="L10" s="60"/>
      <c r="M10" s="60"/>
      <c r="N10" s="74"/>
    </row>
    <row r="11" spans="1:14" s="54" customFormat="1" ht="14.45" customHeight="1" x14ac:dyDescent="0.25">
      <c r="A11" s="131" t="s">
        <v>921</v>
      </c>
      <c r="B11" s="54" t="s">
        <v>12</v>
      </c>
      <c r="C11" s="54" t="s">
        <v>514</v>
      </c>
      <c r="D11" s="60" t="s">
        <v>412</v>
      </c>
      <c r="E11" s="60"/>
      <c r="F11" s="144"/>
      <c r="G11" s="144"/>
      <c r="H11" s="37">
        <v>3.0099999999999998E-2</v>
      </c>
      <c r="I11" s="37"/>
      <c r="J11" s="61"/>
      <c r="K11" s="60"/>
      <c r="L11" s="60"/>
      <c r="M11" s="45"/>
      <c r="N11" s="74"/>
    </row>
    <row r="12" spans="1:14" s="54" customFormat="1" ht="14.45" customHeight="1" x14ac:dyDescent="0.25">
      <c r="A12" s="131" t="s">
        <v>921</v>
      </c>
      <c r="B12" s="54" t="s">
        <v>12</v>
      </c>
      <c r="C12" s="54" t="s">
        <v>514</v>
      </c>
      <c r="D12" s="60" t="s">
        <v>413</v>
      </c>
      <c r="E12" s="60"/>
      <c r="F12" s="144"/>
      <c r="G12" s="144"/>
      <c r="H12" s="37">
        <v>2.2100000000000002E-2</v>
      </c>
      <c r="I12" s="37"/>
      <c r="J12" s="61"/>
      <c r="K12" s="51"/>
      <c r="L12" s="51"/>
      <c r="M12" s="45"/>
      <c r="N12" s="74"/>
    </row>
    <row r="13" spans="1:14" s="54" customFormat="1" ht="14.45" customHeight="1" x14ac:dyDescent="0.25">
      <c r="A13" s="131" t="s">
        <v>921</v>
      </c>
      <c r="B13" s="54" t="s">
        <v>12</v>
      </c>
      <c r="C13" s="54" t="s">
        <v>514</v>
      </c>
      <c r="D13" s="60" t="s">
        <v>333</v>
      </c>
      <c r="E13" s="60"/>
      <c r="F13" s="144"/>
      <c r="G13" s="144"/>
      <c r="H13" s="37">
        <v>5.1999999999999998E-2</v>
      </c>
      <c r="I13" s="37"/>
      <c r="J13" s="61"/>
      <c r="K13" s="51"/>
      <c r="L13" s="51"/>
      <c r="M13" s="45"/>
      <c r="N13" s="74"/>
    </row>
    <row r="14" spans="1:14" s="54" customFormat="1" ht="14.45" customHeight="1" x14ac:dyDescent="0.25">
      <c r="A14" s="131" t="s">
        <v>921</v>
      </c>
      <c r="B14" s="54" t="s">
        <v>12</v>
      </c>
      <c r="C14" s="54" t="s">
        <v>514</v>
      </c>
      <c r="D14" s="60" t="s">
        <v>414</v>
      </c>
      <c r="E14" s="60"/>
      <c r="F14" s="144"/>
      <c r="G14" s="144"/>
      <c r="H14" s="37">
        <v>0.1555</v>
      </c>
      <c r="I14" s="37"/>
      <c r="J14" s="61"/>
      <c r="K14" s="51"/>
      <c r="L14" s="51"/>
      <c r="M14" s="45"/>
      <c r="N14" s="74"/>
    </row>
    <row r="15" spans="1:14" s="54" customFormat="1" ht="14.45" customHeight="1" x14ac:dyDescent="0.25">
      <c r="A15" s="131" t="s">
        <v>921</v>
      </c>
      <c r="B15" s="54" t="s">
        <v>12</v>
      </c>
      <c r="C15" s="54" t="s">
        <v>514</v>
      </c>
      <c r="D15" s="60" t="s">
        <v>335</v>
      </c>
      <c r="E15" s="60"/>
      <c r="F15" s="144"/>
      <c r="G15" s="144"/>
      <c r="H15" s="37">
        <v>7.7700000000000005E-2</v>
      </c>
      <c r="I15" s="37"/>
      <c r="J15" s="61"/>
      <c r="K15" s="51"/>
      <c r="L15" s="51"/>
      <c r="M15" s="45"/>
      <c r="N15" s="74"/>
    </row>
    <row r="16" spans="1:14" s="54" customFormat="1" ht="14.45" customHeight="1" x14ac:dyDescent="0.25">
      <c r="A16" s="131" t="s">
        <v>921</v>
      </c>
      <c r="B16" s="54" t="s">
        <v>12</v>
      </c>
      <c r="C16" s="54" t="s">
        <v>514</v>
      </c>
      <c r="D16" s="60" t="s">
        <v>415</v>
      </c>
      <c r="E16" s="60"/>
      <c r="F16" s="144"/>
      <c r="G16" s="144"/>
      <c r="H16" s="37">
        <v>7.9299999999999995E-2</v>
      </c>
      <c r="I16" s="37"/>
      <c r="J16" s="61"/>
      <c r="K16" s="51"/>
      <c r="L16" s="51"/>
      <c r="M16" s="45"/>
      <c r="N16" s="74"/>
    </row>
    <row r="17" spans="1:14" s="54" customFormat="1" ht="14.45" customHeight="1" x14ac:dyDescent="0.25">
      <c r="A17" s="131" t="s">
        <v>921</v>
      </c>
      <c r="B17" s="54" t="s">
        <v>12</v>
      </c>
      <c r="C17" s="54" t="s">
        <v>514</v>
      </c>
      <c r="D17" s="60" t="s">
        <v>411</v>
      </c>
      <c r="E17" s="60"/>
      <c r="F17" s="144"/>
      <c r="G17" s="144"/>
      <c r="H17" s="37">
        <v>0.30270000000000002</v>
      </c>
      <c r="I17" s="37"/>
      <c r="J17" s="61"/>
      <c r="K17" s="51"/>
      <c r="L17" s="51"/>
      <c r="M17" s="45"/>
      <c r="N17" s="74"/>
    </row>
    <row r="18" spans="1:14" s="70" customFormat="1" ht="14.45" customHeight="1" x14ac:dyDescent="0.25">
      <c r="A18" s="131" t="s">
        <v>921</v>
      </c>
      <c r="B18" s="70" t="s">
        <v>12</v>
      </c>
      <c r="C18" s="70" t="s">
        <v>514</v>
      </c>
      <c r="D18" s="63" t="s">
        <v>346</v>
      </c>
      <c r="E18" s="63"/>
      <c r="F18" s="143"/>
      <c r="G18" s="143"/>
      <c r="H18" s="64">
        <f>SUM(H9:H17)</f>
        <v>1.0001</v>
      </c>
      <c r="I18" s="64"/>
      <c r="J18" s="65"/>
      <c r="K18" s="66"/>
      <c r="L18" s="51"/>
      <c r="M18" s="72"/>
      <c r="N18" s="72"/>
    </row>
    <row r="19" spans="1:14" s="54" customFormat="1" ht="14.45" customHeight="1" x14ac:dyDescent="0.25">
      <c r="A19" s="131" t="s">
        <v>921</v>
      </c>
      <c r="B19" s="54" t="s">
        <v>340</v>
      </c>
      <c r="C19" s="54" t="s">
        <v>924</v>
      </c>
      <c r="D19" s="60" t="s">
        <v>387</v>
      </c>
      <c r="E19" s="73">
        <v>0.31914893617021278</v>
      </c>
      <c r="F19" s="73"/>
      <c r="G19" s="73"/>
      <c r="H19" s="42">
        <f t="shared" ref="H19:H24" si="0">E19/E$25</f>
        <v>0.3824362606232295</v>
      </c>
      <c r="I19" s="42"/>
      <c r="J19" s="61" t="s">
        <v>393</v>
      </c>
      <c r="K19" s="169" t="s">
        <v>407</v>
      </c>
      <c r="L19" s="169"/>
      <c r="M19" s="60" t="s">
        <v>416</v>
      </c>
      <c r="N19" s="60"/>
    </row>
    <row r="20" spans="1:14" s="54" customFormat="1" ht="14.45" customHeight="1" x14ac:dyDescent="0.25">
      <c r="A20" s="131" t="s">
        <v>921</v>
      </c>
      <c r="B20" s="54" t="s">
        <v>340</v>
      </c>
      <c r="C20" s="54" t="s">
        <v>924</v>
      </c>
      <c r="D20" s="60" t="s">
        <v>388</v>
      </c>
      <c r="E20" s="73">
        <v>0.17336485421591805</v>
      </c>
      <c r="F20" s="73"/>
      <c r="G20" s="73"/>
      <c r="H20" s="42">
        <f t="shared" si="0"/>
        <v>0.20774315391879131</v>
      </c>
      <c r="I20" s="42"/>
      <c r="J20" s="60"/>
      <c r="K20" s="74"/>
      <c r="L20" s="74"/>
      <c r="M20" s="74" t="s">
        <v>406</v>
      </c>
      <c r="N20" s="74"/>
    </row>
    <row r="21" spans="1:14" s="54" customFormat="1" ht="14.45" customHeight="1" x14ac:dyDescent="0.25">
      <c r="A21" s="131" t="s">
        <v>921</v>
      </c>
      <c r="B21" s="54" t="s">
        <v>340</v>
      </c>
      <c r="C21" s="54" t="s">
        <v>924</v>
      </c>
      <c r="D21" s="60" t="s">
        <v>389</v>
      </c>
      <c r="E21" s="73">
        <v>0.19858156028368795</v>
      </c>
      <c r="F21" s="73"/>
      <c r="G21" s="73"/>
      <c r="H21" s="42">
        <f t="shared" si="0"/>
        <v>0.23796033994334279</v>
      </c>
      <c r="I21" s="42"/>
      <c r="J21" s="75"/>
      <c r="K21" s="74"/>
      <c r="L21" s="74"/>
      <c r="M21" s="60" t="s">
        <v>1033</v>
      </c>
      <c r="N21" s="74"/>
    </row>
    <row r="22" spans="1:14" s="54" customFormat="1" ht="14.45" customHeight="1" x14ac:dyDescent="0.25">
      <c r="A22" s="131" t="s">
        <v>921</v>
      </c>
      <c r="B22" s="54" t="s">
        <v>340</v>
      </c>
      <c r="C22" s="54" t="s">
        <v>924</v>
      </c>
      <c r="D22" s="60" t="s">
        <v>390</v>
      </c>
      <c r="E22" s="73">
        <v>7.7226162332545326E-2</v>
      </c>
      <c r="F22" s="73"/>
      <c r="G22" s="73"/>
      <c r="H22" s="42">
        <f t="shared" si="0"/>
        <v>9.2540132200188877E-2</v>
      </c>
      <c r="I22" s="42"/>
      <c r="J22" s="75"/>
      <c r="K22" s="74"/>
      <c r="L22" s="74"/>
      <c r="M22" s="74"/>
      <c r="N22" s="74"/>
    </row>
    <row r="23" spans="1:14" s="54" customFormat="1" ht="14.45" customHeight="1" x14ac:dyDescent="0.25">
      <c r="A23" s="131" t="s">
        <v>921</v>
      </c>
      <c r="B23" s="54" t="s">
        <v>340</v>
      </c>
      <c r="C23" s="54" t="s">
        <v>924</v>
      </c>
      <c r="D23" s="60" t="s">
        <v>391</v>
      </c>
      <c r="E23" s="73">
        <v>4.4129235618597322E-2</v>
      </c>
      <c r="F23" s="73"/>
      <c r="G23" s="73"/>
      <c r="H23" s="42">
        <f t="shared" si="0"/>
        <v>5.2880075542965067E-2</v>
      </c>
      <c r="I23" s="42"/>
      <c r="J23" s="75"/>
      <c r="K23" s="74"/>
      <c r="L23" s="74"/>
      <c r="M23" s="74"/>
      <c r="N23" s="74"/>
    </row>
    <row r="24" spans="1:14" s="54" customFormat="1" ht="14.45" customHeight="1" x14ac:dyDescent="0.25">
      <c r="A24" s="131" t="s">
        <v>921</v>
      </c>
      <c r="B24" s="54" t="s">
        <v>340</v>
      </c>
      <c r="C24" s="54" t="s">
        <v>924</v>
      </c>
      <c r="D24" s="60" t="s">
        <v>392</v>
      </c>
      <c r="E24" s="73">
        <v>2.2064617809298661E-2</v>
      </c>
      <c r="F24" s="73"/>
      <c r="G24" s="73"/>
      <c r="H24" s="42">
        <f t="shared" si="0"/>
        <v>2.6440037771482534E-2</v>
      </c>
      <c r="I24" s="42"/>
      <c r="J24" s="75"/>
      <c r="K24" s="74"/>
      <c r="L24" s="74"/>
      <c r="M24" s="74"/>
      <c r="N24" s="74"/>
    </row>
    <row r="25" spans="1:14" s="70" customFormat="1" ht="14.45" customHeight="1" x14ac:dyDescent="0.25">
      <c r="A25" s="131" t="s">
        <v>921</v>
      </c>
      <c r="B25" s="70" t="s">
        <v>340</v>
      </c>
      <c r="C25" s="70" t="s">
        <v>924</v>
      </c>
      <c r="D25" s="63" t="s">
        <v>346</v>
      </c>
      <c r="E25" s="64">
        <f t="shared" ref="E25:H25" si="1">SUM(E19:E24)</f>
        <v>0.83451536643026003</v>
      </c>
      <c r="F25" s="64"/>
      <c r="G25" s="64"/>
      <c r="H25" s="64">
        <f t="shared" si="1"/>
        <v>1</v>
      </c>
      <c r="I25" s="64"/>
      <c r="J25" s="66"/>
      <c r="K25" s="169" t="s">
        <v>408</v>
      </c>
      <c r="L25" s="169"/>
      <c r="M25" s="60"/>
      <c r="N25" s="72"/>
    </row>
    <row r="26" spans="1:14" s="70" customFormat="1" ht="14.45" customHeight="1" x14ac:dyDescent="0.25">
      <c r="A26" s="131" t="s">
        <v>921</v>
      </c>
      <c r="B26" s="54" t="s">
        <v>341</v>
      </c>
      <c r="C26" s="54" t="s">
        <v>925</v>
      </c>
      <c r="D26" s="60" t="s">
        <v>344</v>
      </c>
      <c r="E26" s="60"/>
      <c r="F26" s="143"/>
      <c r="G26" s="143"/>
      <c r="H26" s="37">
        <v>0.3</v>
      </c>
      <c r="I26" s="64"/>
      <c r="J26" s="61" t="s">
        <v>365</v>
      </c>
      <c r="K26" s="169"/>
      <c r="L26" s="169"/>
      <c r="M26" s="60"/>
      <c r="N26" s="72"/>
    </row>
    <row r="27" spans="1:14" s="70" customFormat="1" ht="14.45" customHeight="1" x14ac:dyDescent="0.25">
      <c r="A27" s="131" t="s">
        <v>921</v>
      </c>
      <c r="B27" s="54" t="s">
        <v>341</v>
      </c>
      <c r="C27" s="54" t="s">
        <v>925</v>
      </c>
      <c r="D27" s="60" t="s">
        <v>394</v>
      </c>
      <c r="E27" s="60"/>
      <c r="F27" s="143"/>
      <c r="G27" s="143"/>
      <c r="H27" s="37">
        <v>0.19</v>
      </c>
      <c r="I27" s="64"/>
      <c r="J27" s="66"/>
      <c r="K27" s="169"/>
      <c r="L27" s="169"/>
      <c r="M27" s="60"/>
      <c r="N27" s="72"/>
    </row>
    <row r="28" spans="1:14" s="70" customFormat="1" ht="14.45" customHeight="1" x14ac:dyDescent="0.25">
      <c r="A28" s="131" t="s">
        <v>921</v>
      </c>
      <c r="B28" s="54" t="s">
        <v>341</v>
      </c>
      <c r="C28" s="54" t="s">
        <v>925</v>
      </c>
      <c r="D28" s="60" t="s">
        <v>395</v>
      </c>
      <c r="E28" s="60"/>
      <c r="F28" s="143"/>
      <c r="G28" s="143"/>
      <c r="H28" s="37">
        <v>0.13</v>
      </c>
      <c r="I28" s="64"/>
      <c r="J28" s="66"/>
      <c r="K28" s="169"/>
      <c r="L28" s="169"/>
      <c r="M28" s="60"/>
      <c r="N28" s="72"/>
    </row>
    <row r="29" spans="1:14" s="70" customFormat="1" ht="14.45" customHeight="1" x14ac:dyDescent="0.25">
      <c r="A29" s="131" t="s">
        <v>921</v>
      </c>
      <c r="B29" s="54" t="s">
        <v>341</v>
      </c>
      <c r="C29" s="54" t="s">
        <v>925</v>
      </c>
      <c r="D29" s="60" t="s">
        <v>396</v>
      </c>
      <c r="E29" s="60"/>
      <c r="F29" s="143"/>
      <c r="G29" s="143"/>
      <c r="H29" s="37">
        <v>0.1</v>
      </c>
      <c r="I29" s="64"/>
      <c r="J29" s="66"/>
      <c r="K29" s="169"/>
      <c r="L29" s="169"/>
      <c r="M29" s="60"/>
      <c r="N29" s="72"/>
    </row>
    <row r="30" spans="1:14" s="70" customFormat="1" ht="14.45" customHeight="1" x14ac:dyDescent="0.25">
      <c r="A30" s="131" t="s">
        <v>921</v>
      </c>
      <c r="B30" s="54" t="s">
        <v>341</v>
      </c>
      <c r="C30" s="54" t="s">
        <v>925</v>
      </c>
      <c r="D30" s="60" t="s">
        <v>397</v>
      </c>
      <c r="E30" s="60"/>
      <c r="F30" s="143"/>
      <c r="G30" s="143"/>
      <c r="H30" s="37">
        <v>0.08</v>
      </c>
      <c r="I30" s="64"/>
      <c r="J30" s="66"/>
      <c r="K30" s="169"/>
      <c r="L30" s="169"/>
      <c r="M30" s="60"/>
      <c r="N30" s="72"/>
    </row>
    <row r="31" spans="1:14" s="54" customFormat="1" ht="14.45" customHeight="1" x14ac:dyDescent="0.25">
      <c r="A31" s="131" t="s">
        <v>921</v>
      </c>
      <c r="B31" s="54" t="s">
        <v>341</v>
      </c>
      <c r="C31" s="54" t="s">
        <v>925</v>
      </c>
      <c r="D31" s="60" t="s">
        <v>398</v>
      </c>
      <c r="E31" s="60"/>
      <c r="F31" s="144"/>
      <c r="G31" s="144"/>
      <c r="H31" s="73">
        <v>7.0000000000000007E-2</v>
      </c>
      <c r="I31" s="73"/>
      <c r="J31" s="61"/>
      <c r="K31" s="74"/>
      <c r="L31" s="74"/>
      <c r="M31" s="74"/>
      <c r="N31" s="60"/>
    </row>
    <row r="32" spans="1:14" s="51" customFormat="1" ht="14.45" customHeight="1" x14ac:dyDescent="0.25">
      <c r="A32" s="131" t="s">
        <v>921</v>
      </c>
      <c r="B32" s="54" t="s">
        <v>341</v>
      </c>
      <c r="C32" s="54" t="s">
        <v>925</v>
      </c>
      <c r="D32" s="60" t="s">
        <v>399</v>
      </c>
      <c r="E32" s="60"/>
      <c r="F32" s="144"/>
      <c r="G32" s="144"/>
      <c r="H32" s="73">
        <v>0.05</v>
      </c>
      <c r="I32" s="73"/>
      <c r="K32" s="74"/>
      <c r="L32" s="74"/>
      <c r="M32" s="74"/>
      <c r="N32" s="74"/>
    </row>
    <row r="33" spans="1:14" s="51" customFormat="1" ht="14.45" customHeight="1" x14ac:dyDescent="0.25">
      <c r="A33" s="131" t="s">
        <v>921</v>
      </c>
      <c r="B33" s="54" t="s">
        <v>341</v>
      </c>
      <c r="C33" s="54" t="s">
        <v>925</v>
      </c>
      <c r="D33" s="60" t="s">
        <v>400</v>
      </c>
      <c r="E33" s="60"/>
      <c r="F33" s="144"/>
      <c r="G33" s="144"/>
      <c r="H33" s="73">
        <v>0.04</v>
      </c>
      <c r="I33" s="73"/>
      <c r="K33" s="74"/>
      <c r="L33" s="74"/>
      <c r="M33" s="74"/>
      <c r="N33" s="74"/>
    </row>
    <row r="34" spans="1:14" s="51" customFormat="1" ht="14.45" customHeight="1" x14ac:dyDescent="0.25">
      <c r="A34" s="131" t="s">
        <v>921</v>
      </c>
      <c r="B34" s="54" t="s">
        <v>341</v>
      </c>
      <c r="C34" s="54" t="s">
        <v>925</v>
      </c>
      <c r="D34" s="60" t="s">
        <v>401</v>
      </c>
      <c r="E34" s="60"/>
      <c r="F34" s="144"/>
      <c r="G34" s="144"/>
      <c r="H34" s="73">
        <v>0.02</v>
      </c>
      <c r="I34" s="73"/>
      <c r="K34" s="74"/>
      <c r="L34" s="74"/>
      <c r="M34" s="74"/>
      <c r="N34" s="74"/>
    </row>
    <row r="35" spans="1:14" s="51" customFormat="1" ht="14.45" customHeight="1" x14ac:dyDescent="0.25">
      <c r="A35" s="131" t="s">
        <v>921</v>
      </c>
      <c r="B35" s="54" t="s">
        <v>341</v>
      </c>
      <c r="C35" s="54" t="s">
        <v>925</v>
      </c>
      <c r="D35" s="60" t="s">
        <v>402</v>
      </c>
      <c r="E35" s="60"/>
      <c r="F35" s="144"/>
      <c r="G35" s="144"/>
      <c r="H35" s="73">
        <v>0.02</v>
      </c>
      <c r="I35" s="73"/>
      <c r="K35" s="72"/>
      <c r="L35" s="74"/>
      <c r="M35" s="72"/>
      <c r="N35" s="74"/>
    </row>
    <row r="36" spans="1:14" s="66" customFormat="1" ht="14.45" customHeight="1" x14ac:dyDescent="0.25">
      <c r="A36" s="131" t="s">
        <v>921</v>
      </c>
      <c r="B36" s="70" t="s">
        <v>341</v>
      </c>
      <c r="C36" s="70" t="s">
        <v>925</v>
      </c>
      <c r="D36" s="63" t="s">
        <v>346</v>
      </c>
      <c r="E36" s="63"/>
      <c r="F36" s="143"/>
      <c r="G36" s="143"/>
      <c r="H36" s="64">
        <f>SUM(H26:H35)</f>
        <v>1</v>
      </c>
      <c r="I36" s="64"/>
      <c r="K36" s="72"/>
      <c r="L36" s="72"/>
      <c r="M36" s="72"/>
      <c r="N36" s="72"/>
    </row>
    <row r="37" spans="1:14" s="54" customFormat="1" x14ac:dyDescent="0.25">
      <c r="A37" s="54" t="s">
        <v>944</v>
      </c>
      <c r="B37" s="54" t="s">
        <v>203</v>
      </c>
      <c r="C37" s="54" t="s">
        <v>741</v>
      </c>
      <c r="D37" s="133" t="s">
        <v>952</v>
      </c>
      <c r="E37" s="133"/>
      <c r="F37" s="142">
        <v>3</v>
      </c>
      <c r="G37" s="142">
        <v>3</v>
      </c>
      <c r="H37" s="138">
        <f>F37/SUM(F$37:F$44)*0.63</f>
        <v>0.13499999999999998</v>
      </c>
      <c r="I37" s="138">
        <f>G37/SUM(G$37:G$44)*0.63</f>
        <v>0.13034482758620689</v>
      </c>
      <c r="J37" s="133" t="s">
        <v>932</v>
      </c>
      <c r="K37" s="135" t="s">
        <v>928</v>
      </c>
      <c r="L37" s="74"/>
      <c r="M37" s="74" t="s">
        <v>930</v>
      </c>
      <c r="N37" s="74"/>
    </row>
    <row r="38" spans="1:14" s="466" customFormat="1" x14ac:dyDescent="0.25">
      <c r="A38" s="466" t="s">
        <v>944</v>
      </c>
      <c r="B38" s="466" t="s">
        <v>203</v>
      </c>
      <c r="C38" s="466" t="s">
        <v>741</v>
      </c>
      <c r="D38" s="303" t="s">
        <v>953</v>
      </c>
      <c r="E38" s="303"/>
      <c r="F38" s="467"/>
      <c r="G38" s="467"/>
      <c r="H38" s="468">
        <v>0</v>
      </c>
      <c r="I38" s="468"/>
      <c r="J38" s="303"/>
      <c r="K38" s="469"/>
      <c r="L38" s="470"/>
      <c r="M38" s="470"/>
      <c r="N38" s="470"/>
    </row>
    <row r="39" spans="1:14" s="54" customFormat="1" x14ac:dyDescent="0.25">
      <c r="A39" s="54" t="s">
        <v>944</v>
      </c>
      <c r="B39" s="54" t="s">
        <v>203</v>
      </c>
      <c r="C39" s="54" t="s">
        <v>741</v>
      </c>
      <c r="D39" s="133" t="s">
        <v>1036</v>
      </c>
      <c r="E39" s="133"/>
      <c r="F39" s="142">
        <v>2</v>
      </c>
      <c r="G39" s="142">
        <v>2.1</v>
      </c>
      <c r="H39" s="138">
        <f t="shared" ref="H39:H44" si="2">F39/SUM(F$37:F$44)*0.63</f>
        <v>0.09</v>
      </c>
      <c r="I39" s="138">
        <f t="shared" ref="I39:I44" si="3">G39/SUM(G$37:G$44)*0.63</f>
        <v>9.1241379310344831E-2</v>
      </c>
      <c r="J39" s="133"/>
      <c r="K39" s="135" t="s">
        <v>929</v>
      </c>
      <c r="L39" s="74"/>
      <c r="M39" s="74"/>
      <c r="N39" s="74"/>
    </row>
    <row r="40" spans="1:14" s="54" customFormat="1" x14ac:dyDescent="0.25">
      <c r="A40" s="54" t="s">
        <v>944</v>
      </c>
      <c r="B40" s="54" t="s">
        <v>203</v>
      </c>
      <c r="C40" s="54" t="s">
        <v>741</v>
      </c>
      <c r="D40" s="133" t="s">
        <v>955</v>
      </c>
      <c r="E40" s="133"/>
      <c r="F40" s="142">
        <v>2.7</v>
      </c>
      <c r="G40" s="142">
        <v>2.9</v>
      </c>
      <c r="H40" s="138">
        <f t="shared" si="2"/>
        <v>0.12150000000000001</v>
      </c>
      <c r="I40" s="138">
        <f t="shared" si="3"/>
        <v>0.126</v>
      </c>
      <c r="J40" s="133"/>
      <c r="K40" s="135"/>
      <c r="L40" s="74"/>
      <c r="M40" s="74"/>
      <c r="N40" s="74"/>
    </row>
    <row r="41" spans="1:14" s="54" customFormat="1" x14ac:dyDescent="0.25">
      <c r="A41" s="54" t="s">
        <v>944</v>
      </c>
      <c r="B41" s="54" t="s">
        <v>203</v>
      </c>
      <c r="C41" s="54" t="s">
        <v>741</v>
      </c>
      <c r="D41" s="133" t="s">
        <v>956</v>
      </c>
      <c r="E41" s="133"/>
      <c r="F41" s="142">
        <v>1.7</v>
      </c>
      <c r="G41" s="142">
        <v>1.8</v>
      </c>
      <c r="H41" s="138">
        <f t="shared" si="2"/>
        <v>7.6499999999999999E-2</v>
      </c>
      <c r="I41" s="138">
        <f t="shared" si="3"/>
        <v>7.8206896551724137E-2</v>
      </c>
      <c r="J41" s="133"/>
      <c r="K41" s="135"/>
      <c r="L41" s="74"/>
      <c r="M41" s="74"/>
      <c r="N41" s="74"/>
    </row>
    <row r="42" spans="1:14" s="54" customFormat="1" x14ac:dyDescent="0.25">
      <c r="A42" s="54" t="s">
        <v>944</v>
      </c>
      <c r="B42" s="54" t="s">
        <v>203</v>
      </c>
      <c r="C42" s="54" t="s">
        <v>741</v>
      </c>
      <c r="D42" s="133" t="s">
        <v>957</v>
      </c>
      <c r="E42" s="133"/>
      <c r="F42" s="142">
        <v>1.2</v>
      </c>
      <c r="G42" s="142">
        <v>1.2</v>
      </c>
      <c r="H42" s="138">
        <f t="shared" si="2"/>
        <v>5.3999999999999999E-2</v>
      </c>
      <c r="I42" s="138">
        <f t="shared" si="3"/>
        <v>5.2137931034482755E-2</v>
      </c>
      <c r="J42" s="133"/>
      <c r="K42" s="135"/>
      <c r="L42" s="74"/>
      <c r="M42" s="74"/>
      <c r="N42" s="74"/>
    </row>
    <row r="43" spans="1:14" s="54" customFormat="1" x14ac:dyDescent="0.25">
      <c r="A43" s="54" t="s">
        <v>944</v>
      </c>
      <c r="B43" s="54" t="s">
        <v>203</v>
      </c>
      <c r="C43" s="54" t="s">
        <v>741</v>
      </c>
      <c r="D43" s="133" t="s">
        <v>958</v>
      </c>
      <c r="E43" s="133"/>
      <c r="F43" s="142">
        <v>1.6</v>
      </c>
      <c r="G43" s="142">
        <v>1.6</v>
      </c>
      <c r="H43" s="138">
        <f t="shared" si="2"/>
        <v>7.2000000000000008E-2</v>
      </c>
      <c r="I43" s="138">
        <f t="shared" si="3"/>
        <v>6.9517241379310354E-2</v>
      </c>
      <c r="J43" s="133"/>
      <c r="K43" s="135"/>
      <c r="L43" s="74"/>
      <c r="M43" s="74"/>
      <c r="N43" s="74"/>
    </row>
    <row r="44" spans="1:14" s="54" customFormat="1" x14ac:dyDescent="0.25">
      <c r="A44" s="54" t="s">
        <v>944</v>
      </c>
      <c r="B44" s="54" t="s">
        <v>203</v>
      </c>
      <c r="C44" s="54" t="s">
        <v>741</v>
      </c>
      <c r="D44" s="133" t="s">
        <v>959</v>
      </c>
      <c r="E44" s="133"/>
      <c r="F44" s="142">
        <v>1.8</v>
      </c>
      <c r="G44" s="142">
        <v>1.9</v>
      </c>
      <c r="H44" s="138">
        <f t="shared" si="2"/>
        <v>8.1000000000000016E-2</v>
      </c>
      <c r="I44" s="138">
        <f t="shared" si="3"/>
        <v>8.2551724137931021E-2</v>
      </c>
      <c r="J44" s="133"/>
      <c r="K44" s="135"/>
      <c r="L44" s="74"/>
      <c r="M44" s="74"/>
      <c r="N44" s="74"/>
    </row>
    <row r="45" spans="1:14" s="54" customFormat="1" x14ac:dyDescent="0.25">
      <c r="A45" s="54" t="s">
        <v>944</v>
      </c>
      <c r="B45" s="54" t="s">
        <v>203</v>
      </c>
      <c r="C45" s="54" t="s">
        <v>741</v>
      </c>
      <c r="D45" s="133" t="s">
        <v>946</v>
      </c>
      <c r="E45" s="133"/>
      <c r="F45" s="186">
        <f>H45*1/0.63*SUM(F$37:F$44)</f>
        <v>3.1111111111111112</v>
      </c>
      <c r="G45" s="186">
        <f>I45*1/0.63*SUM(G$37:G$44)</f>
        <v>3.2222222222222223</v>
      </c>
      <c r="H45" s="138">
        <v>0.14000000000000001</v>
      </c>
      <c r="I45" s="138">
        <v>0.14000000000000001</v>
      </c>
      <c r="J45" s="133" t="s">
        <v>964</v>
      </c>
      <c r="K45" s="135" t="s">
        <v>945</v>
      </c>
      <c r="L45" s="74" t="s">
        <v>951</v>
      </c>
      <c r="M45" s="74"/>
      <c r="N45" s="74"/>
    </row>
    <row r="46" spans="1:14" s="54" customFormat="1" x14ac:dyDescent="0.25">
      <c r="A46" s="54" t="s">
        <v>944</v>
      </c>
      <c r="B46" s="54" t="s">
        <v>203</v>
      </c>
      <c r="C46" s="54" t="s">
        <v>741</v>
      </c>
      <c r="D46" s="133" t="s">
        <v>947</v>
      </c>
      <c r="E46" s="133"/>
      <c r="F46" s="186">
        <f t="shared" ref="F46:F49" si="4">H46*1/0.63*SUM(F$37:F$44)</f>
        <v>0.66666666666666663</v>
      </c>
      <c r="G46" s="186">
        <f t="shared" ref="G46:G49" si="5">I46*1/0.63*SUM(G$37:G$44)</f>
        <v>0.69047619047619047</v>
      </c>
      <c r="H46" s="138">
        <v>0.03</v>
      </c>
      <c r="I46" s="138">
        <v>0.03</v>
      </c>
      <c r="J46" s="133"/>
      <c r="K46" s="135"/>
      <c r="L46" s="74"/>
      <c r="M46" s="74"/>
      <c r="N46" s="74"/>
    </row>
    <row r="47" spans="1:14" s="54" customFormat="1" x14ac:dyDescent="0.25">
      <c r="A47" s="54" t="s">
        <v>944</v>
      </c>
      <c r="B47" s="54" t="s">
        <v>203</v>
      </c>
      <c r="C47" s="54" t="s">
        <v>741</v>
      </c>
      <c r="D47" s="133" t="s">
        <v>948</v>
      </c>
      <c r="E47" s="133"/>
      <c r="F47" s="186">
        <f t="shared" si="4"/>
        <v>1.5555555555555556</v>
      </c>
      <c r="G47" s="186">
        <f t="shared" si="5"/>
        <v>1.6111111111111112</v>
      </c>
      <c r="H47" s="138">
        <v>7.0000000000000007E-2</v>
      </c>
      <c r="I47" s="138">
        <v>7.0000000000000007E-2</v>
      </c>
      <c r="J47" s="133"/>
      <c r="K47" s="135"/>
      <c r="L47" s="74"/>
      <c r="M47" s="74"/>
      <c r="N47" s="74"/>
    </row>
    <row r="48" spans="1:14" s="54" customFormat="1" x14ac:dyDescent="0.25">
      <c r="A48" s="54" t="s">
        <v>944</v>
      </c>
      <c r="B48" s="54" t="s">
        <v>203</v>
      </c>
      <c r="C48" s="54" t="s">
        <v>741</v>
      </c>
      <c r="D48" s="133" t="s">
        <v>949</v>
      </c>
      <c r="E48" s="133"/>
      <c r="F48" s="186">
        <f t="shared" si="4"/>
        <v>2</v>
      </c>
      <c r="G48" s="186">
        <f t="shared" si="5"/>
        <v>2.0714285714285712</v>
      </c>
      <c r="H48" s="138">
        <v>0.09</v>
      </c>
      <c r="I48" s="138">
        <v>0.09</v>
      </c>
      <c r="J48" s="133"/>
      <c r="K48" s="135"/>
      <c r="L48" s="74"/>
      <c r="M48" s="74"/>
      <c r="N48" s="74"/>
    </row>
    <row r="49" spans="1:14" s="54" customFormat="1" x14ac:dyDescent="0.25">
      <c r="A49" s="54" t="s">
        <v>944</v>
      </c>
      <c r="B49" s="54" t="s">
        <v>203</v>
      </c>
      <c r="C49" s="54" t="s">
        <v>741</v>
      </c>
      <c r="D49" s="133" t="s">
        <v>950</v>
      </c>
      <c r="E49" s="133"/>
      <c r="F49" s="186">
        <f t="shared" si="4"/>
        <v>0.88888888888888884</v>
      </c>
      <c r="G49" s="186">
        <f t="shared" si="5"/>
        <v>0.92063492063492058</v>
      </c>
      <c r="H49" s="138">
        <v>0.04</v>
      </c>
      <c r="I49" s="138">
        <v>0.04</v>
      </c>
      <c r="J49" s="133"/>
      <c r="K49" s="135"/>
      <c r="L49" s="74"/>
      <c r="M49" s="74"/>
      <c r="N49" s="74"/>
    </row>
    <row r="50" spans="1:14" s="54" customFormat="1" x14ac:dyDescent="0.25">
      <c r="A50" s="54" t="s">
        <v>944</v>
      </c>
      <c r="B50" s="70" t="s">
        <v>203</v>
      </c>
      <c r="C50" s="70" t="s">
        <v>741</v>
      </c>
      <c r="D50" s="63" t="s">
        <v>346</v>
      </c>
      <c r="E50" s="63"/>
      <c r="F50" s="143">
        <f>SUM(F37:F49)</f>
        <v>22.222222222222225</v>
      </c>
      <c r="G50" s="143">
        <f>SUM(G37:G49)</f>
        <v>23.015873015873016</v>
      </c>
      <c r="H50" s="64">
        <f>SUM(H37:H49)</f>
        <v>0.99999999999999989</v>
      </c>
      <c r="I50" s="64">
        <f>SUM(I37:I49)</f>
        <v>1</v>
      </c>
      <c r="J50" s="133"/>
      <c r="K50" s="135"/>
      <c r="L50" s="74"/>
      <c r="M50" s="74"/>
      <c r="N50" s="74"/>
    </row>
    <row r="51" spans="1:14" s="54" customFormat="1" x14ac:dyDescent="0.25">
      <c r="A51" s="54" t="s">
        <v>944</v>
      </c>
      <c r="B51" s="54" t="s">
        <v>203</v>
      </c>
      <c r="C51" s="54" t="s">
        <v>940</v>
      </c>
      <c r="D51" s="133" t="s">
        <v>952</v>
      </c>
      <c r="E51" s="133"/>
      <c r="F51" s="142">
        <v>8</v>
      </c>
      <c r="G51" s="142">
        <v>4</v>
      </c>
      <c r="H51" s="138">
        <f>F51/SUM(F$51:F$58)*0.63</f>
        <v>0.24827586206896557</v>
      </c>
      <c r="I51" s="138">
        <f>G51/SUM(G$51:G$58)*0.63</f>
        <v>0.16050955414012738</v>
      </c>
      <c r="J51" s="133" t="s">
        <v>932</v>
      </c>
      <c r="K51" s="135" t="s">
        <v>928</v>
      </c>
      <c r="L51" s="74"/>
      <c r="M51" s="74" t="s">
        <v>930</v>
      </c>
      <c r="N51" s="74"/>
    </row>
    <row r="52" spans="1:14" s="54" customFormat="1" x14ac:dyDescent="0.25">
      <c r="A52" s="54" t="s">
        <v>944</v>
      </c>
      <c r="B52" s="54" t="s">
        <v>203</v>
      </c>
      <c r="C52" s="54" t="s">
        <v>940</v>
      </c>
      <c r="D52" s="133" t="s">
        <v>953</v>
      </c>
      <c r="E52" s="133"/>
      <c r="F52" s="142">
        <v>2</v>
      </c>
      <c r="G52" s="142">
        <v>1.8</v>
      </c>
      <c r="H52" s="138">
        <f t="shared" ref="H52:H58" si="6">F52/SUM(F$51:F$58)*0.63</f>
        <v>6.2068965517241392E-2</v>
      </c>
      <c r="I52" s="138">
        <f t="shared" ref="I52:I58" si="7">G52/SUM(G$51:G$58)*0.63</f>
        <v>7.2229299363057331E-2</v>
      </c>
      <c r="J52" s="133"/>
      <c r="K52" s="135" t="s">
        <v>929</v>
      </c>
      <c r="L52" s="74"/>
      <c r="M52" s="74"/>
      <c r="N52" s="74"/>
    </row>
    <row r="53" spans="1:14" s="54" customFormat="1" x14ac:dyDescent="0.25">
      <c r="A53" s="54" t="s">
        <v>944</v>
      </c>
      <c r="B53" s="54" t="s">
        <v>203</v>
      </c>
      <c r="C53" s="54" t="s">
        <v>940</v>
      </c>
      <c r="D53" s="133" t="s">
        <v>1036</v>
      </c>
      <c r="E53" s="133"/>
      <c r="F53" s="142">
        <v>0.7</v>
      </c>
      <c r="G53" s="142">
        <v>0.6</v>
      </c>
      <c r="H53" s="138">
        <f t="shared" si="6"/>
        <v>2.1724137931034483E-2</v>
      </c>
      <c r="I53" s="138">
        <f t="shared" si="7"/>
        <v>2.4076433121019109E-2</v>
      </c>
      <c r="J53" s="133"/>
      <c r="K53" s="51"/>
      <c r="L53" s="74"/>
      <c r="M53" s="74"/>
      <c r="N53" s="74"/>
    </row>
    <row r="54" spans="1:14" s="54" customFormat="1" x14ac:dyDescent="0.25">
      <c r="A54" s="54" t="s">
        <v>944</v>
      </c>
      <c r="B54" s="54" t="s">
        <v>203</v>
      </c>
      <c r="C54" s="54" t="s">
        <v>940</v>
      </c>
      <c r="D54" s="133" t="s">
        <v>955</v>
      </c>
      <c r="E54" s="133"/>
      <c r="F54" s="142">
        <v>2.7</v>
      </c>
      <c r="G54" s="142">
        <v>3</v>
      </c>
      <c r="H54" s="138">
        <f t="shared" si="6"/>
        <v>8.3793103448275882E-2</v>
      </c>
      <c r="I54" s="138">
        <f t="shared" si="7"/>
        <v>0.12038216560509556</v>
      </c>
      <c r="J54" s="133"/>
      <c r="K54" s="51"/>
      <c r="L54" s="74"/>
      <c r="M54" s="74"/>
      <c r="N54" s="74"/>
    </row>
    <row r="55" spans="1:14" s="54" customFormat="1" x14ac:dyDescent="0.25">
      <c r="A55" s="54" t="s">
        <v>944</v>
      </c>
      <c r="B55" s="54" t="s">
        <v>203</v>
      </c>
      <c r="C55" s="54" t="s">
        <v>940</v>
      </c>
      <c r="D55" s="133" t="s">
        <v>956</v>
      </c>
      <c r="E55" s="133"/>
      <c r="F55" s="142">
        <v>2.1</v>
      </c>
      <c r="G55" s="142">
        <v>1.8</v>
      </c>
      <c r="H55" s="138">
        <f t="shared" si="6"/>
        <v>6.5172413793103456E-2</v>
      </c>
      <c r="I55" s="138">
        <f t="shared" si="7"/>
        <v>7.2229299363057331E-2</v>
      </c>
      <c r="J55" s="133"/>
      <c r="K55" s="51"/>
      <c r="L55" s="74"/>
      <c r="M55" s="74"/>
      <c r="N55" s="74"/>
    </row>
    <row r="56" spans="1:14" s="54" customFormat="1" x14ac:dyDescent="0.25">
      <c r="A56" s="54" t="s">
        <v>944</v>
      </c>
      <c r="B56" s="54" t="s">
        <v>203</v>
      </c>
      <c r="C56" s="54" t="s">
        <v>940</v>
      </c>
      <c r="D56" s="133" t="s">
        <v>957</v>
      </c>
      <c r="E56" s="133"/>
      <c r="F56" s="142">
        <v>1.3</v>
      </c>
      <c r="G56" s="142">
        <v>1.2</v>
      </c>
      <c r="H56" s="138">
        <f t="shared" si="6"/>
        <v>4.0344827586206902E-2</v>
      </c>
      <c r="I56" s="138">
        <f t="shared" si="7"/>
        <v>4.8152866242038218E-2</v>
      </c>
      <c r="J56" s="133"/>
      <c r="K56" s="51"/>
      <c r="L56" s="74"/>
      <c r="M56" s="74"/>
      <c r="N56" s="74"/>
    </row>
    <row r="57" spans="1:14" s="54" customFormat="1" x14ac:dyDescent="0.25">
      <c r="A57" s="54" t="s">
        <v>944</v>
      </c>
      <c r="B57" s="54" t="s">
        <v>203</v>
      </c>
      <c r="C57" s="54" t="s">
        <v>940</v>
      </c>
      <c r="D57" s="133" t="s">
        <v>958</v>
      </c>
      <c r="E57" s="133"/>
      <c r="F57" s="142">
        <v>1.5</v>
      </c>
      <c r="G57" s="142">
        <v>1.3</v>
      </c>
      <c r="H57" s="138">
        <f t="shared" si="6"/>
        <v>4.6551724137931037E-2</v>
      </c>
      <c r="I57" s="138">
        <f t="shared" si="7"/>
        <v>5.2165605095541405E-2</v>
      </c>
      <c r="J57" s="133"/>
      <c r="K57" s="51"/>
      <c r="L57" s="74"/>
      <c r="M57" s="74"/>
      <c r="N57" s="74"/>
    </row>
    <row r="58" spans="1:14" s="54" customFormat="1" x14ac:dyDescent="0.25">
      <c r="A58" s="54" t="s">
        <v>944</v>
      </c>
      <c r="B58" s="54" t="s">
        <v>203</v>
      </c>
      <c r="C58" s="54" t="s">
        <v>940</v>
      </c>
      <c r="D58" s="133" t="s">
        <v>959</v>
      </c>
      <c r="E58" s="133"/>
      <c r="F58" s="142">
        <v>2</v>
      </c>
      <c r="G58" s="142">
        <v>2</v>
      </c>
      <c r="H58" s="138">
        <f t="shared" si="6"/>
        <v>6.2068965517241392E-2</v>
      </c>
      <c r="I58" s="138">
        <f t="shared" si="7"/>
        <v>8.025477707006369E-2</v>
      </c>
      <c r="J58" s="133"/>
      <c r="K58" s="51"/>
      <c r="L58" s="74"/>
      <c r="M58" s="74"/>
      <c r="N58" s="74"/>
    </row>
    <row r="59" spans="1:14" s="54" customFormat="1" x14ac:dyDescent="0.25">
      <c r="A59" s="54" t="s">
        <v>944</v>
      </c>
      <c r="B59" s="54" t="s">
        <v>203</v>
      </c>
      <c r="C59" s="54" t="s">
        <v>940</v>
      </c>
      <c r="D59" s="133" t="s">
        <v>946</v>
      </c>
      <c r="E59" s="133"/>
      <c r="F59" s="186">
        <f>H59*1/0.63*SUM(F$51:F$58)</f>
        <v>4.5111111111111111</v>
      </c>
      <c r="G59" s="186">
        <f>I59*1/0.63*SUM(G$51:G$58)</f>
        <v>3.4888888888888889</v>
      </c>
      <c r="H59" s="138">
        <v>0.14000000000000001</v>
      </c>
      <c r="I59" s="138">
        <v>0.14000000000000001</v>
      </c>
      <c r="J59" s="133" t="s">
        <v>964</v>
      </c>
      <c r="K59" s="135" t="s">
        <v>945</v>
      </c>
      <c r="L59" s="74" t="s">
        <v>951</v>
      </c>
      <c r="M59" s="74"/>
      <c r="N59" s="74"/>
    </row>
    <row r="60" spans="1:14" s="54" customFormat="1" x14ac:dyDescent="0.25">
      <c r="A60" s="54" t="s">
        <v>944</v>
      </c>
      <c r="B60" s="54" t="s">
        <v>203</v>
      </c>
      <c r="C60" s="54" t="s">
        <v>940</v>
      </c>
      <c r="D60" s="133" t="s">
        <v>947</v>
      </c>
      <c r="E60" s="133"/>
      <c r="F60" s="186">
        <f t="shared" ref="F60:F63" si="8">H60*1/0.63*SUM(F$51:F$58)</f>
        <v>0.96666666666666645</v>
      </c>
      <c r="G60" s="186">
        <f t="shared" ref="G60:G63" si="9">I60*1/0.63*SUM(G$51:G$58)</f>
        <v>0.74761904761904752</v>
      </c>
      <c r="H60" s="138">
        <v>0.03</v>
      </c>
      <c r="I60" s="138">
        <v>0.03</v>
      </c>
      <c r="J60" s="133"/>
      <c r="K60" s="51"/>
      <c r="L60" s="74"/>
      <c r="M60" s="74"/>
      <c r="N60" s="74"/>
    </row>
    <row r="61" spans="1:14" s="54" customFormat="1" x14ac:dyDescent="0.25">
      <c r="A61" s="54" t="s">
        <v>944</v>
      </c>
      <c r="B61" s="54" t="s">
        <v>203</v>
      </c>
      <c r="C61" s="54" t="s">
        <v>940</v>
      </c>
      <c r="D61" s="133" t="s">
        <v>948</v>
      </c>
      <c r="E61" s="133"/>
      <c r="F61" s="186">
        <f t="shared" si="8"/>
        <v>2.2555555555555555</v>
      </c>
      <c r="G61" s="186">
        <f t="shared" si="9"/>
        <v>1.7444444444444445</v>
      </c>
      <c r="H61" s="138">
        <v>7.0000000000000007E-2</v>
      </c>
      <c r="I61" s="138">
        <v>7.0000000000000007E-2</v>
      </c>
      <c r="J61" s="133"/>
      <c r="K61" s="51"/>
      <c r="L61" s="74"/>
      <c r="M61" s="74"/>
      <c r="N61" s="74"/>
    </row>
    <row r="62" spans="1:14" s="54" customFormat="1" x14ac:dyDescent="0.25">
      <c r="A62" s="54" t="s">
        <v>944</v>
      </c>
      <c r="B62" s="54" t="s">
        <v>203</v>
      </c>
      <c r="C62" s="54" t="s">
        <v>940</v>
      </c>
      <c r="D62" s="133" t="s">
        <v>949</v>
      </c>
      <c r="E62" s="133"/>
      <c r="F62" s="186">
        <f t="shared" si="8"/>
        <v>2.8999999999999995</v>
      </c>
      <c r="G62" s="186">
        <f t="shared" si="9"/>
        <v>2.2428571428571424</v>
      </c>
      <c r="H62" s="138">
        <v>0.09</v>
      </c>
      <c r="I62" s="138">
        <v>0.09</v>
      </c>
      <c r="J62" s="133"/>
      <c r="K62" s="51"/>
      <c r="L62" s="74"/>
      <c r="M62" s="74"/>
      <c r="N62" s="74"/>
    </row>
    <row r="63" spans="1:14" s="54" customFormat="1" x14ac:dyDescent="0.25">
      <c r="A63" s="54" t="s">
        <v>944</v>
      </c>
      <c r="B63" s="54" t="s">
        <v>203</v>
      </c>
      <c r="C63" s="54" t="s">
        <v>940</v>
      </c>
      <c r="D63" s="133" t="s">
        <v>950</v>
      </c>
      <c r="E63" s="133"/>
      <c r="F63" s="186">
        <f t="shared" si="8"/>
        <v>1.2888888888888885</v>
      </c>
      <c r="G63" s="186">
        <f t="shared" si="9"/>
        <v>0.99682539682539673</v>
      </c>
      <c r="H63" s="138">
        <v>0.04</v>
      </c>
      <c r="I63" s="138">
        <v>0.04</v>
      </c>
      <c r="J63" s="133"/>
      <c r="K63" s="135"/>
      <c r="L63" s="74"/>
      <c r="M63" s="74"/>
      <c r="N63" s="74"/>
    </row>
    <row r="64" spans="1:14" s="54" customFormat="1" x14ac:dyDescent="0.25">
      <c r="A64" s="54" t="s">
        <v>944</v>
      </c>
      <c r="B64" s="70" t="s">
        <v>203</v>
      </c>
      <c r="C64" s="70" t="s">
        <v>940</v>
      </c>
      <c r="D64" s="63" t="s">
        <v>346</v>
      </c>
      <c r="E64" s="63"/>
      <c r="F64" s="143">
        <f>SUM(F51:F63)</f>
        <v>32.222222222222221</v>
      </c>
      <c r="G64" s="143">
        <f>SUM(G51:G63)</f>
        <v>24.920634920634921</v>
      </c>
      <c r="H64" s="64">
        <f>SUM(H51:H63)</f>
        <v>1.0000000000000002</v>
      </c>
      <c r="I64" s="64">
        <f>SUM(I51:I63)</f>
        <v>1</v>
      </c>
      <c r="J64" s="133"/>
      <c r="K64" s="51"/>
      <c r="L64" s="74"/>
      <c r="M64" s="74"/>
      <c r="N64" s="74"/>
    </row>
    <row r="65" spans="1:14" s="54" customFormat="1" x14ac:dyDescent="0.25">
      <c r="A65" s="54" t="s">
        <v>914</v>
      </c>
      <c r="B65" s="54" t="s">
        <v>165</v>
      </c>
      <c r="C65" s="54" t="s">
        <v>749</v>
      </c>
      <c r="D65" s="133" t="s">
        <v>961</v>
      </c>
      <c r="E65" s="133"/>
      <c r="F65" s="142">
        <v>175</v>
      </c>
      <c r="G65" s="142"/>
      <c r="H65" s="136">
        <f>F65/F$73</f>
        <v>0.32051282051282054</v>
      </c>
      <c r="I65" s="136"/>
      <c r="J65" s="133" t="s">
        <v>963</v>
      </c>
      <c r="K65" s="137" t="s">
        <v>750</v>
      </c>
      <c r="L65" s="51"/>
      <c r="M65" s="74"/>
      <c r="N65" s="74"/>
    </row>
    <row r="66" spans="1:14" s="466" customFormat="1" x14ac:dyDescent="0.25">
      <c r="A66" s="466" t="s">
        <v>914</v>
      </c>
      <c r="B66" s="466" t="s">
        <v>165</v>
      </c>
      <c r="C66" s="466" t="s">
        <v>749</v>
      </c>
      <c r="D66" s="303" t="s">
        <v>967</v>
      </c>
      <c r="E66" s="303"/>
      <c r="F66" s="467"/>
      <c r="G66" s="467"/>
      <c r="H66" s="471">
        <v>0</v>
      </c>
      <c r="I66" s="471"/>
      <c r="J66" s="303"/>
      <c r="K66" s="472"/>
      <c r="L66" s="473"/>
      <c r="M66" s="470"/>
      <c r="N66" s="470"/>
    </row>
    <row r="67" spans="1:14" s="54" customFormat="1" x14ac:dyDescent="0.25">
      <c r="A67" s="54" t="s">
        <v>914</v>
      </c>
      <c r="B67" s="54" t="s">
        <v>165</v>
      </c>
      <c r="C67" s="54" t="s">
        <v>749</v>
      </c>
      <c r="D67" s="133" t="s">
        <v>836</v>
      </c>
      <c r="E67" s="133"/>
      <c r="F67" s="142">
        <v>14</v>
      </c>
      <c r="G67" s="142"/>
      <c r="H67" s="136">
        <f t="shared" ref="H67:H72" si="10">F67/F$73</f>
        <v>2.564102564102564E-2</v>
      </c>
      <c r="I67" s="136"/>
      <c r="J67" s="133"/>
      <c r="K67" s="137"/>
      <c r="L67" s="51"/>
      <c r="M67" s="74"/>
      <c r="N67" s="74"/>
    </row>
    <row r="68" spans="1:14" s="54" customFormat="1" x14ac:dyDescent="0.25">
      <c r="A68" s="54" t="s">
        <v>914</v>
      </c>
      <c r="B68" s="54" t="s">
        <v>165</v>
      </c>
      <c r="C68" s="54" t="s">
        <v>749</v>
      </c>
      <c r="D68" s="133" t="s">
        <v>965</v>
      </c>
      <c r="E68" s="133"/>
      <c r="F68" s="142">
        <v>144</v>
      </c>
      <c r="G68" s="142"/>
      <c r="H68" s="136">
        <f t="shared" si="10"/>
        <v>0.26373626373626374</v>
      </c>
      <c r="I68" s="136"/>
      <c r="J68" s="133"/>
      <c r="K68" s="137"/>
      <c r="L68" s="51"/>
      <c r="M68" s="74"/>
      <c r="N68" s="74"/>
    </row>
    <row r="69" spans="1:14" s="54" customFormat="1" x14ac:dyDescent="0.25">
      <c r="A69" s="54" t="s">
        <v>914</v>
      </c>
      <c r="B69" s="54" t="s">
        <v>165</v>
      </c>
      <c r="C69" s="54" t="s">
        <v>749</v>
      </c>
      <c r="D69" s="133" t="s">
        <v>962</v>
      </c>
      <c r="E69" s="133"/>
      <c r="F69" s="142">
        <v>51</v>
      </c>
      <c r="G69" s="142"/>
      <c r="H69" s="136">
        <f t="shared" si="10"/>
        <v>9.3406593406593408E-2</v>
      </c>
      <c r="I69" s="136"/>
      <c r="J69" s="133"/>
      <c r="K69" s="137"/>
      <c r="L69" s="51"/>
      <c r="M69" s="74"/>
      <c r="N69" s="74"/>
    </row>
    <row r="70" spans="1:14" s="54" customFormat="1" x14ac:dyDescent="0.25">
      <c r="A70" s="54" t="s">
        <v>914</v>
      </c>
      <c r="B70" s="54" t="s">
        <v>165</v>
      </c>
      <c r="C70" s="54" t="s">
        <v>749</v>
      </c>
      <c r="D70" s="133" t="s">
        <v>966</v>
      </c>
      <c r="E70" s="133"/>
      <c r="F70" s="142">
        <v>111</v>
      </c>
      <c r="G70" s="142"/>
      <c r="H70" s="136">
        <f t="shared" si="10"/>
        <v>0.2032967032967033</v>
      </c>
      <c r="I70" s="136"/>
      <c r="J70" s="133"/>
      <c r="K70" s="137"/>
      <c r="L70" s="51"/>
      <c r="M70" s="74"/>
      <c r="N70" s="74"/>
    </row>
    <row r="71" spans="1:14" s="54" customFormat="1" x14ac:dyDescent="0.25">
      <c r="A71" s="54" t="s">
        <v>914</v>
      </c>
      <c r="B71" s="54" t="s">
        <v>165</v>
      </c>
      <c r="C71" s="54" t="s">
        <v>749</v>
      </c>
      <c r="D71" s="133" t="s">
        <v>335</v>
      </c>
      <c r="E71" s="133"/>
      <c r="F71" s="142">
        <v>34</v>
      </c>
      <c r="G71" s="142"/>
      <c r="H71" s="136">
        <f t="shared" si="10"/>
        <v>6.2271062271062272E-2</v>
      </c>
      <c r="I71" s="136"/>
      <c r="J71" s="133"/>
      <c r="K71" s="137"/>
      <c r="L71" s="51"/>
      <c r="M71" s="74"/>
      <c r="N71" s="74"/>
    </row>
    <row r="72" spans="1:14" s="54" customFormat="1" x14ac:dyDescent="0.25">
      <c r="A72" s="54" t="s">
        <v>914</v>
      </c>
      <c r="B72" s="54" t="s">
        <v>165</v>
      </c>
      <c r="C72" s="54" t="s">
        <v>749</v>
      </c>
      <c r="D72" s="133" t="s">
        <v>404</v>
      </c>
      <c r="E72" s="133"/>
      <c r="F72" s="142">
        <v>17</v>
      </c>
      <c r="G72" s="142"/>
      <c r="H72" s="136">
        <f t="shared" si="10"/>
        <v>3.1135531135531136E-2</v>
      </c>
      <c r="I72" s="136"/>
      <c r="J72" s="133"/>
      <c r="K72" s="137"/>
      <c r="L72" s="51"/>
      <c r="M72" s="74"/>
      <c r="N72" s="74"/>
    </row>
    <row r="73" spans="1:14" s="54" customFormat="1" x14ac:dyDescent="0.25">
      <c r="A73" s="54" t="s">
        <v>914</v>
      </c>
      <c r="B73" s="70" t="s">
        <v>165</v>
      </c>
      <c r="C73" s="70" t="s">
        <v>749</v>
      </c>
      <c r="D73" s="63" t="s">
        <v>346</v>
      </c>
      <c r="E73" s="63"/>
      <c r="F73" s="143">
        <f>SUM(F65:F72)</f>
        <v>546</v>
      </c>
      <c r="G73" s="143">
        <f>SUM(G65:G72)</f>
        <v>0</v>
      </c>
      <c r="H73" s="64">
        <f>SUM(H65:H72)</f>
        <v>1</v>
      </c>
      <c r="I73" s="64">
        <f>SUM(I65:I72)</f>
        <v>0</v>
      </c>
      <c r="J73" s="133"/>
      <c r="K73" s="137"/>
      <c r="L73" s="51"/>
      <c r="M73" s="74"/>
      <c r="N73" s="74"/>
    </row>
    <row r="74" spans="1:14" s="54" customFormat="1" x14ac:dyDescent="0.25">
      <c r="A74" s="54" t="s">
        <v>914</v>
      </c>
      <c r="B74" s="54" t="s">
        <v>165</v>
      </c>
      <c r="C74" s="54" t="s">
        <v>763</v>
      </c>
      <c r="D74" s="133" t="s">
        <v>961</v>
      </c>
      <c r="E74" s="133"/>
      <c r="F74" s="142">
        <v>175</v>
      </c>
      <c r="G74" s="142"/>
      <c r="H74" s="136">
        <f>F74/F$82</f>
        <v>0.27131782945736432</v>
      </c>
      <c r="I74" s="136"/>
      <c r="J74" s="133" t="s">
        <v>963</v>
      </c>
      <c r="K74" s="137" t="s">
        <v>750</v>
      </c>
      <c r="L74" s="51"/>
      <c r="M74" s="74"/>
      <c r="N74" s="74"/>
    </row>
    <row r="75" spans="1:14" s="466" customFormat="1" x14ac:dyDescent="0.25">
      <c r="A75" s="466" t="s">
        <v>914</v>
      </c>
      <c r="B75" s="466" t="s">
        <v>165</v>
      </c>
      <c r="C75" s="466" t="s">
        <v>763</v>
      </c>
      <c r="D75" s="303" t="s">
        <v>967</v>
      </c>
      <c r="E75" s="303"/>
      <c r="F75" s="467"/>
      <c r="G75" s="467"/>
      <c r="H75" s="471">
        <v>0</v>
      </c>
      <c r="I75" s="471"/>
      <c r="J75" s="303"/>
      <c r="K75" s="472"/>
      <c r="L75" s="473"/>
      <c r="M75" s="470"/>
      <c r="N75" s="470"/>
    </row>
    <row r="76" spans="1:14" s="54" customFormat="1" x14ac:dyDescent="0.25">
      <c r="A76" s="54" t="s">
        <v>914</v>
      </c>
      <c r="B76" s="54" t="s">
        <v>165</v>
      </c>
      <c r="C76" s="54" t="s">
        <v>763</v>
      </c>
      <c r="D76" s="133" t="s">
        <v>836</v>
      </c>
      <c r="E76" s="133"/>
      <c r="F76" s="142">
        <v>211</v>
      </c>
      <c r="G76" s="142"/>
      <c r="H76" s="136">
        <f t="shared" ref="H76:H81" si="11">F76/F$82</f>
        <v>0.32713178294573642</v>
      </c>
      <c r="I76" s="136"/>
      <c r="J76" s="133"/>
      <c r="K76" s="137"/>
      <c r="L76" s="51"/>
      <c r="M76" s="74"/>
      <c r="N76" s="74"/>
    </row>
    <row r="77" spans="1:14" s="54" customFormat="1" x14ac:dyDescent="0.25">
      <c r="A77" s="54" t="s">
        <v>914</v>
      </c>
      <c r="B77" s="54" t="s">
        <v>165</v>
      </c>
      <c r="C77" s="54" t="s">
        <v>763</v>
      </c>
      <c r="D77" s="133" t="s">
        <v>965</v>
      </c>
      <c r="E77" s="133"/>
      <c r="F77" s="142">
        <v>150</v>
      </c>
      <c r="G77" s="142"/>
      <c r="H77" s="136">
        <f t="shared" si="11"/>
        <v>0.23255813953488372</v>
      </c>
      <c r="I77" s="136"/>
      <c r="J77" s="133"/>
      <c r="K77" s="137"/>
      <c r="L77" s="51"/>
      <c r="M77" s="74"/>
      <c r="N77" s="74"/>
    </row>
    <row r="78" spans="1:14" s="466" customFormat="1" x14ac:dyDescent="0.25">
      <c r="A78" s="466" t="s">
        <v>914</v>
      </c>
      <c r="B78" s="466" t="s">
        <v>165</v>
      </c>
      <c r="C78" s="466" t="s">
        <v>763</v>
      </c>
      <c r="D78" s="303" t="s">
        <v>962</v>
      </c>
      <c r="E78" s="303"/>
      <c r="F78" s="467"/>
      <c r="G78" s="467"/>
      <c r="H78" s="471">
        <v>0</v>
      </c>
      <c r="I78" s="471"/>
      <c r="J78" s="303"/>
      <c r="K78" s="472"/>
      <c r="L78" s="473"/>
      <c r="M78" s="470"/>
      <c r="N78" s="470"/>
    </row>
    <row r="79" spans="1:14" s="466" customFormat="1" x14ac:dyDescent="0.25">
      <c r="A79" s="466" t="s">
        <v>914</v>
      </c>
      <c r="B79" s="466" t="s">
        <v>165</v>
      </c>
      <c r="C79" s="466" t="s">
        <v>763</v>
      </c>
      <c r="D79" s="303" t="s">
        <v>966</v>
      </c>
      <c r="E79" s="303"/>
      <c r="F79" s="467"/>
      <c r="G79" s="467"/>
      <c r="H79" s="471">
        <v>0</v>
      </c>
      <c r="I79" s="471"/>
      <c r="J79" s="303"/>
      <c r="K79" s="472"/>
      <c r="L79" s="473"/>
      <c r="M79" s="470"/>
      <c r="N79" s="470"/>
    </row>
    <row r="80" spans="1:14" s="54" customFormat="1" x14ac:dyDescent="0.25">
      <c r="A80" s="54" t="s">
        <v>914</v>
      </c>
      <c r="B80" s="54" t="s">
        <v>165</v>
      </c>
      <c r="C80" s="54" t="s">
        <v>763</v>
      </c>
      <c r="D80" s="133" t="s">
        <v>335</v>
      </c>
      <c r="E80" s="133"/>
      <c r="F80" s="142">
        <v>51</v>
      </c>
      <c r="G80" s="142"/>
      <c r="H80" s="136">
        <f t="shared" si="11"/>
        <v>7.9069767441860464E-2</v>
      </c>
      <c r="I80" s="136"/>
      <c r="J80" s="133"/>
      <c r="K80" s="137"/>
      <c r="L80" s="51"/>
      <c r="M80" s="74"/>
      <c r="N80" s="74"/>
    </row>
    <row r="81" spans="1:14" s="54" customFormat="1" x14ac:dyDescent="0.25">
      <c r="A81" s="54" t="s">
        <v>914</v>
      </c>
      <c r="B81" s="54" t="s">
        <v>165</v>
      </c>
      <c r="C81" s="54" t="s">
        <v>763</v>
      </c>
      <c r="D81" s="133" t="s">
        <v>404</v>
      </c>
      <c r="E81" s="133"/>
      <c r="F81" s="142">
        <v>58</v>
      </c>
      <c r="G81" s="142"/>
      <c r="H81" s="136">
        <f t="shared" si="11"/>
        <v>8.9922480620155038E-2</v>
      </c>
      <c r="I81" s="136"/>
      <c r="J81" s="133"/>
      <c r="K81" s="137"/>
      <c r="L81" s="51"/>
      <c r="M81" s="74"/>
      <c r="N81" s="74"/>
    </row>
    <row r="82" spans="1:14" s="54" customFormat="1" x14ac:dyDescent="0.25">
      <c r="A82" s="54" t="s">
        <v>914</v>
      </c>
      <c r="B82" s="70" t="s">
        <v>165</v>
      </c>
      <c r="C82" s="70" t="s">
        <v>763</v>
      </c>
      <c r="D82" s="63" t="s">
        <v>346</v>
      </c>
      <c r="E82" s="63"/>
      <c r="F82" s="143">
        <f>SUM(F74:F81)</f>
        <v>645</v>
      </c>
      <c r="G82" s="143">
        <f>SUM(G74:G81)</f>
        <v>0</v>
      </c>
      <c r="H82" s="64">
        <f>SUM(H74:H81)</f>
        <v>0.99999999999999989</v>
      </c>
      <c r="I82" s="64">
        <f>SUM(I74:I81)</f>
        <v>0</v>
      </c>
      <c r="J82" s="133"/>
      <c r="K82" s="137"/>
      <c r="L82" s="51"/>
      <c r="M82" s="74"/>
      <c r="N82" s="74"/>
    </row>
    <row r="83" spans="1:14" s="54" customFormat="1" x14ac:dyDescent="0.25">
      <c r="A83" s="54" t="s">
        <v>914</v>
      </c>
      <c r="B83" s="54" t="s">
        <v>165</v>
      </c>
      <c r="C83" s="54" t="s">
        <v>773</v>
      </c>
      <c r="D83" s="133" t="s">
        <v>961</v>
      </c>
      <c r="E83" s="133"/>
      <c r="F83" s="142">
        <v>175</v>
      </c>
      <c r="G83" s="142"/>
      <c r="H83" s="136">
        <f>F83/F$91</f>
        <v>0.29069767441860467</v>
      </c>
      <c r="I83" s="136"/>
      <c r="J83" s="133" t="s">
        <v>963</v>
      </c>
      <c r="K83" s="137" t="s">
        <v>750</v>
      </c>
      <c r="L83" s="51"/>
      <c r="M83" s="74"/>
      <c r="N83" s="74"/>
    </row>
    <row r="84" spans="1:14" s="54" customFormat="1" x14ac:dyDescent="0.25">
      <c r="A84" s="54" t="s">
        <v>914</v>
      </c>
      <c r="B84" s="54" t="s">
        <v>165</v>
      </c>
      <c r="C84" s="54" t="s">
        <v>773</v>
      </c>
      <c r="D84" s="133" t="s">
        <v>967</v>
      </c>
      <c r="E84" s="133"/>
      <c r="F84" s="142">
        <v>65</v>
      </c>
      <c r="G84" s="142"/>
      <c r="H84" s="136">
        <f t="shared" ref="H84:H90" si="12">F84/F$91</f>
        <v>0.1079734219269103</v>
      </c>
      <c r="I84" s="136"/>
      <c r="J84" s="133"/>
      <c r="K84" s="137"/>
      <c r="L84" s="51"/>
      <c r="M84" s="74"/>
      <c r="N84" s="74"/>
    </row>
    <row r="85" spans="1:14" s="54" customFormat="1" x14ac:dyDescent="0.25">
      <c r="A85" s="54" t="s">
        <v>914</v>
      </c>
      <c r="B85" s="54" t="s">
        <v>165</v>
      </c>
      <c r="C85" s="54" t="s">
        <v>773</v>
      </c>
      <c r="D85" s="133" t="s">
        <v>836</v>
      </c>
      <c r="E85" s="133"/>
      <c r="F85" s="142">
        <v>20</v>
      </c>
      <c r="G85" s="142"/>
      <c r="H85" s="136">
        <f t="shared" si="12"/>
        <v>3.3222591362126248E-2</v>
      </c>
      <c r="I85" s="136"/>
      <c r="J85" s="133"/>
      <c r="K85" s="137"/>
      <c r="L85" s="51"/>
      <c r="M85" s="74"/>
      <c r="N85" s="74"/>
    </row>
    <row r="86" spans="1:14" s="54" customFormat="1" x14ac:dyDescent="0.25">
      <c r="A86" s="54" t="s">
        <v>914</v>
      </c>
      <c r="B86" s="54" t="s">
        <v>165</v>
      </c>
      <c r="C86" s="54" t="s">
        <v>773</v>
      </c>
      <c r="D86" s="133" t="s">
        <v>965</v>
      </c>
      <c r="E86" s="133"/>
      <c r="F86" s="142">
        <v>144</v>
      </c>
      <c r="G86" s="142"/>
      <c r="H86" s="136">
        <f t="shared" si="12"/>
        <v>0.23920265780730898</v>
      </c>
      <c r="I86" s="136"/>
      <c r="J86" s="133"/>
      <c r="K86" s="137"/>
      <c r="L86" s="51"/>
      <c r="M86" s="74"/>
      <c r="N86" s="74"/>
    </row>
    <row r="87" spans="1:14" s="54" customFormat="1" x14ac:dyDescent="0.25">
      <c r="A87" s="54" t="s">
        <v>914</v>
      </c>
      <c r="B87" s="54" t="s">
        <v>165</v>
      </c>
      <c r="C87" s="54" t="s">
        <v>773</v>
      </c>
      <c r="D87" s="133" t="s">
        <v>962</v>
      </c>
      <c r="E87" s="133"/>
      <c r="F87" s="142">
        <v>51</v>
      </c>
      <c r="G87" s="142"/>
      <c r="H87" s="136">
        <f t="shared" si="12"/>
        <v>8.4717607973421927E-2</v>
      </c>
      <c r="I87" s="136"/>
      <c r="J87" s="133"/>
      <c r="K87" s="137"/>
      <c r="L87" s="51"/>
      <c r="M87" s="74"/>
      <c r="N87" s="74"/>
    </row>
    <row r="88" spans="1:14" s="54" customFormat="1" x14ac:dyDescent="0.25">
      <c r="A88" s="54" t="s">
        <v>914</v>
      </c>
      <c r="B88" s="54" t="s">
        <v>165</v>
      </c>
      <c r="C88" s="54" t="s">
        <v>773</v>
      </c>
      <c r="D88" s="133" t="s">
        <v>966</v>
      </c>
      <c r="E88" s="133"/>
      <c r="F88" s="142">
        <v>51</v>
      </c>
      <c r="G88" s="142"/>
      <c r="H88" s="136">
        <f t="shared" si="12"/>
        <v>8.4717607973421927E-2</v>
      </c>
      <c r="I88" s="136"/>
      <c r="J88" s="133"/>
      <c r="K88" s="137"/>
      <c r="L88" s="51"/>
      <c r="M88" s="74"/>
      <c r="N88" s="74"/>
    </row>
    <row r="89" spans="1:14" s="54" customFormat="1" x14ac:dyDescent="0.25">
      <c r="A89" s="54" t="s">
        <v>914</v>
      </c>
      <c r="B89" s="54" t="s">
        <v>165</v>
      </c>
      <c r="C89" s="54" t="s">
        <v>773</v>
      </c>
      <c r="D89" s="133" t="s">
        <v>335</v>
      </c>
      <c r="E89" s="133"/>
      <c r="F89" s="142">
        <v>46</v>
      </c>
      <c r="G89" s="142"/>
      <c r="H89" s="136">
        <f t="shared" si="12"/>
        <v>7.6411960132890366E-2</v>
      </c>
      <c r="I89" s="136"/>
      <c r="J89" s="133"/>
      <c r="K89" s="137"/>
      <c r="L89" s="51"/>
      <c r="M89" s="74"/>
      <c r="N89" s="74"/>
    </row>
    <row r="90" spans="1:14" s="54" customFormat="1" x14ac:dyDescent="0.25">
      <c r="A90" s="54" t="s">
        <v>914</v>
      </c>
      <c r="B90" s="54" t="s">
        <v>165</v>
      </c>
      <c r="C90" s="54" t="s">
        <v>773</v>
      </c>
      <c r="D90" s="133" t="s">
        <v>404</v>
      </c>
      <c r="E90" s="133"/>
      <c r="F90" s="142">
        <v>50</v>
      </c>
      <c r="G90" s="142"/>
      <c r="H90" s="136">
        <f t="shared" si="12"/>
        <v>8.3056478405315617E-2</v>
      </c>
      <c r="I90" s="136"/>
      <c r="J90" s="133"/>
      <c r="K90" s="137"/>
      <c r="L90" s="51"/>
      <c r="M90" s="74"/>
      <c r="N90" s="74"/>
    </row>
    <row r="91" spans="1:14" s="54" customFormat="1" x14ac:dyDescent="0.25">
      <c r="A91" s="54" t="s">
        <v>914</v>
      </c>
      <c r="B91" s="70" t="s">
        <v>165</v>
      </c>
      <c r="C91" s="70" t="s">
        <v>773</v>
      </c>
      <c r="D91" s="63" t="s">
        <v>346</v>
      </c>
      <c r="E91" s="63"/>
      <c r="F91" s="143">
        <f>SUM(F83:F90)</f>
        <v>602</v>
      </c>
      <c r="G91" s="143">
        <f>SUM(G83:G90)</f>
        <v>0</v>
      </c>
      <c r="H91" s="64">
        <f>SUM(H83:H90)</f>
        <v>1</v>
      </c>
      <c r="I91" s="64">
        <f>SUM(I83:I90)</f>
        <v>0</v>
      </c>
      <c r="J91" s="133"/>
      <c r="K91" s="137"/>
      <c r="L91" s="51"/>
      <c r="M91" s="74"/>
      <c r="N91" s="74"/>
    </row>
    <row r="92" spans="1:14" s="2" customFormat="1" x14ac:dyDescent="0.25">
      <c r="A92" s="2" t="s">
        <v>914</v>
      </c>
      <c r="B92" s="2" t="s">
        <v>167</v>
      </c>
      <c r="C92" s="2" t="s">
        <v>757</v>
      </c>
      <c r="D92" s="15" t="s">
        <v>961</v>
      </c>
      <c r="E92" s="15"/>
      <c r="F92" s="140">
        <v>175</v>
      </c>
      <c r="G92" s="140"/>
      <c r="H92" s="116">
        <f>F92/F$97</f>
        <v>0.31362007168458783</v>
      </c>
      <c r="I92" s="116"/>
      <c r="J92" s="15" t="s">
        <v>963</v>
      </c>
      <c r="K92" s="139" t="s">
        <v>750</v>
      </c>
      <c r="L92" s="22" t="s">
        <v>960</v>
      </c>
      <c r="M92" s="22"/>
      <c r="N92" s="22"/>
    </row>
    <row r="93" spans="1:14" s="2" customFormat="1" x14ac:dyDescent="0.25">
      <c r="A93" s="2" t="s">
        <v>914</v>
      </c>
      <c r="B93" s="2" t="s">
        <v>167</v>
      </c>
      <c r="C93" s="2" t="s">
        <v>757</v>
      </c>
      <c r="D93" s="15" t="s">
        <v>836</v>
      </c>
      <c r="E93" s="15"/>
      <c r="F93" s="140">
        <v>27</v>
      </c>
      <c r="G93" s="140"/>
      <c r="H93" s="116">
        <f t="shared" ref="H93:H96" si="13">F93/F$97</f>
        <v>4.8387096774193547E-2</v>
      </c>
      <c r="I93" s="116"/>
      <c r="J93" s="15"/>
      <c r="K93" s="20"/>
      <c r="L93" s="22"/>
      <c r="M93" s="22"/>
      <c r="N93" s="22"/>
    </row>
    <row r="94" spans="1:14" s="2" customFormat="1" x14ac:dyDescent="0.25">
      <c r="A94" s="2" t="s">
        <v>914</v>
      </c>
      <c r="B94" s="2" t="s">
        <v>167</v>
      </c>
      <c r="C94" s="2" t="s">
        <v>757</v>
      </c>
      <c r="D94" s="15" t="s">
        <v>962</v>
      </c>
      <c r="E94" s="15"/>
      <c r="F94" s="140">
        <v>284</v>
      </c>
      <c r="G94" s="140"/>
      <c r="H94" s="116">
        <f t="shared" si="13"/>
        <v>0.50896057347670254</v>
      </c>
      <c r="I94" s="116"/>
      <c r="J94" s="15"/>
      <c r="K94" s="20"/>
      <c r="L94" s="22"/>
      <c r="M94" s="22"/>
      <c r="N94" s="22"/>
    </row>
    <row r="95" spans="1:14" s="2" customFormat="1" x14ac:dyDescent="0.25">
      <c r="A95" s="2" t="s">
        <v>914</v>
      </c>
      <c r="B95" s="2" t="s">
        <v>167</v>
      </c>
      <c r="C95" s="2" t="s">
        <v>757</v>
      </c>
      <c r="D95" s="15" t="s">
        <v>335</v>
      </c>
      <c r="E95" s="15"/>
      <c r="F95" s="140">
        <v>53</v>
      </c>
      <c r="G95" s="140"/>
      <c r="H95" s="116">
        <f t="shared" si="13"/>
        <v>9.4982078853046589E-2</v>
      </c>
      <c r="I95" s="116"/>
      <c r="J95" s="15"/>
      <c r="K95" s="20"/>
      <c r="L95" s="22"/>
      <c r="M95" s="22"/>
      <c r="N95" s="22"/>
    </row>
    <row r="96" spans="1:14" s="2" customFormat="1" x14ac:dyDescent="0.25">
      <c r="A96" s="2" t="s">
        <v>914</v>
      </c>
      <c r="B96" s="2" t="s">
        <v>167</v>
      </c>
      <c r="C96" s="2" t="s">
        <v>757</v>
      </c>
      <c r="D96" s="15" t="s">
        <v>404</v>
      </c>
      <c r="E96" s="15"/>
      <c r="F96" s="140">
        <v>19</v>
      </c>
      <c r="G96" s="140"/>
      <c r="H96" s="116">
        <f t="shared" si="13"/>
        <v>3.4050179211469536E-2</v>
      </c>
      <c r="I96" s="116"/>
      <c r="J96" s="15"/>
      <c r="K96" s="20"/>
      <c r="L96" s="22"/>
      <c r="M96" s="22"/>
      <c r="N96" s="22"/>
    </row>
    <row r="97" spans="1:14" s="2" customFormat="1" x14ac:dyDescent="0.25">
      <c r="A97" s="2" t="s">
        <v>914</v>
      </c>
      <c r="B97" s="24" t="s">
        <v>167</v>
      </c>
      <c r="C97" s="24" t="s">
        <v>757</v>
      </c>
      <c r="D97" s="31" t="s">
        <v>346</v>
      </c>
      <c r="E97" s="31"/>
      <c r="F97" s="141">
        <f>SUM(F92:F96)</f>
        <v>558</v>
      </c>
      <c r="G97" s="141">
        <f>SUM(G92:G96)</f>
        <v>0</v>
      </c>
      <c r="H97" s="34">
        <f>SUM(H92:H96)</f>
        <v>1</v>
      </c>
      <c r="I97" s="34">
        <f>SUM(I92:I96)</f>
        <v>0</v>
      </c>
      <c r="J97" s="15"/>
      <c r="K97" s="20"/>
      <c r="L97" s="22"/>
      <c r="M97" s="22"/>
      <c r="N97" s="22"/>
    </row>
    <row r="98" spans="1:14" s="2" customFormat="1" x14ac:dyDescent="0.25">
      <c r="A98" s="1" t="s">
        <v>917</v>
      </c>
      <c r="B98" s="1" t="s">
        <v>159</v>
      </c>
      <c r="C98" s="2" t="s">
        <v>983</v>
      </c>
      <c r="D98" s="15" t="s">
        <v>976</v>
      </c>
      <c r="E98" s="15"/>
      <c r="F98" s="140">
        <v>5</v>
      </c>
      <c r="G98" s="140"/>
      <c r="H98" s="116">
        <f>F98/F$108</f>
        <v>7.8678206136900089E-2</v>
      </c>
      <c r="I98" s="15"/>
      <c r="J98" s="15" t="s">
        <v>972</v>
      </c>
      <c r="K98" s="71" t="s">
        <v>969</v>
      </c>
      <c r="L98" s="22"/>
      <c r="M98" s="22"/>
      <c r="N98" s="22"/>
    </row>
    <row r="99" spans="1:14" s="2" customFormat="1" x14ac:dyDescent="0.25">
      <c r="A99" s="1" t="s">
        <v>917</v>
      </c>
      <c r="B99" s="1" t="s">
        <v>159</v>
      </c>
      <c r="C99" s="2" t="s">
        <v>983</v>
      </c>
      <c r="D99" s="12" t="s">
        <v>975</v>
      </c>
      <c r="E99" s="12"/>
      <c r="F99" s="145">
        <v>9.41</v>
      </c>
      <c r="G99" s="145"/>
      <c r="H99" s="116">
        <f t="shared" ref="H99:H107" si="14">F99/F$108</f>
        <v>0.14807238394964595</v>
      </c>
      <c r="I99" s="33"/>
      <c r="J99" s="15"/>
      <c r="K99" s="20"/>
      <c r="L99" s="22"/>
      <c r="M99" s="22"/>
      <c r="N99" s="22"/>
    </row>
    <row r="100" spans="1:14" s="2" customFormat="1" x14ac:dyDescent="0.25">
      <c r="A100" s="1" t="s">
        <v>917</v>
      </c>
      <c r="B100" s="1" t="s">
        <v>159</v>
      </c>
      <c r="C100" s="2" t="s">
        <v>983</v>
      </c>
      <c r="D100" s="12" t="s">
        <v>836</v>
      </c>
      <c r="E100" s="12"/>
      <c r="F100" s="145">
        <v>7.65</v>
      </c>
      <c r="G100" s="145"/>
      <c r="H100" s="116">
        <f t="shared" si="14"/>
        <v>0.12037765538945713</v>
      </c>
      <c r="I100" s="33"/>
      <c r="J100" s="15"/>
      <c r="K100" s="20"/>
      <c r="L100" s="22"/>
      <c r="M100" s="22"/>
      <c r="N100" s="22"/>
    </row>
    <row r="101" spans="1:14" s="2" customFormat="1" x14ac:dyDescent="0.25">
      <c r="A101" s="1" t="s">
        <v>917</v>
      </c>
      <c r="B101" s="1" t="s">
        <v>159</v>
      </c>
      <c r="C101" s="2" t="s">
        <v>983</v>
      </c>
      <c r="D101" s="12" t="s">
        <v>977</v>
      </c>
      <c r="E101" s="12"/>
      <c r="F101" s="145">
        <v>0</v>
      </c>
      <c r="G101" s="145"/>
      <c r="H101" s="116">
        <f t="shared" si="14"/>
        <v>0</v>
      </c>
      <c r="I101" s="33"/>
      <c r="J101" s="15"/>
      <c r="K101" s="20"/>
      <c r="L101" s="22"/>
      <c r="M101" s="22"/>
      <c r="N101" s="22"/>
    </row>
    <row r="102" spans="1:14" s="2" customFormat="1" x14ac:dyDescent="0.25">
      <c r="A102" s="1" t="s">
        <v>917</v>
      </c>
      <c r="B102" s="1" t="s">
        <v>159</v>
      </c>
      <c r="C102" s="2" t="s">
        <v>983</v>
      </c>
      <c r="D102" s="12" t="s">
        <v>978</v>
      </c>
      <c r="E102" s="12"/>
      <c r="F102" s="145">
        <v>1.74</v>
      </c>
      <c r="G102" s="145"/>
      <c r="H102" s="116">
        <f t="shared" si="14"/>
        <v>2.7380015735641229E-2</v>
      </c>
      <c r="I102" s="33"/>
      <c r="J102" s="15"/>
      <c r="K102" s="20"/>
      <c r="L102" s="22"/>
      <c r="M102" s="22"/>
      <c r="N102" s="22"/>
    </row>
    <row r="103" spans="1:14" s="2" customFormat="1" x14ac:dyDescent="0.25">
      <c r="A103" s="1" t="s">
        <v>917</v>
      </c>
      <c r="B103" s="1" t="s">
        <v>159</v>
      </c>
      <c r="C103" s="2" t="s">
        <v>983</v>
      </c>
      <c r="D103" s="12" t="s">
        <v>985</v>
      </c>
      <c r="E103" s="12"/>
      <c r="F103" s="145">
        <v>8.93</v>
      </c>
      <c r="G103" s="145"/>
      <c r="H103" s="116">
        <f t="shared" si="14"/>
        <v>0.14051927616050355</v>
      </c>
      <c r="I103" s="33"/>
      <c r="J103" s="15"/>
      <c r="K103" s="20"/>
      <c r="L103" s="22"/>
      <c r="M103" s="22"/>
      <c r="N103" s="22"/>
    </row>
    <row r="104" spans="1:14" s="2" customFormat="1" x14ac:dyDescent="0.25">
      <c r="A104" s="1" t="s">
        <v>917</v>
      </c>
      <c r="B104" s="1" t="s">
        <v>159</v>
      </c>
      <c r="C104" s="2" t="s">
        <v>983</v>
      </c>
      <c r="D104" s="12" t="s">
        <v>979</v>
      </c>
      <c r="E104" s="12"/>
      <c r="F104" s="145">
        <v>4.33</v>
      </c>
      <c r="G104" s="145"/>
      <c r="H104" s="116">
        <f t="shared" si="14"/>
        <v>6.8135326514555478E-2</v>
      </c>
      <c r="I104" s="33"/>
      <c r="J104" s="15"/>
      <c r="K104" s="20"/>
      <c r="L104" s="22"/>
      <c r="M104" s="22"/>
      <c r="N104" s="22"/>
    </row>
    <row r="105" spans="1:14" s="2" customFormat="1" x14ac:dyDescent="0.25">
      <c r="A105" s="1" t="s">
        <v>917</v>
      </c>
      <c r="B105" s="1" t="s">
        <v>159</v>
      </c>
      <c r="C105" s="2" t="s">
        <v>983</v>
      </c>
      <c r="D105" s="12" t="s">
        <v>980</v>
      </c>
      <c r="E105" s="12"/>
      <c r="F105" s="145">
        <v>5.41</v>
      </c>
      <c r="G105" s="145"/>
      <c r="H105" s="116">
        <f t="shared" si="14"/>
        <v>8.5129819040125898E-2</v>
      </c>
      <c r="I105" s="33"/>
      <c r="J105" s="15"/>
      <c r="K105" s="20"/>
      <c r="L105" s="22"/>
      <c r="M105" s="22"/>
      <c r="N105" s="22"/>
    </row>
    <row r="106" spans="1:14" s="2" customFormat="1" x14ac:dyDescent="0.25">
      <c r="A106" s="1" t="s">
        <v>917</v>
      </c>
      <c r="B106" s="1" t="s">
        <v>159</v>
      </c>
      <c r="C106" s="2" t="s">
        <v>983</v>
      </c>
      <c r="D106" s="12" t="s">
        <v>981</v>
      </c>
      <c r="E106" s="12"/>
      <c r="F106" s="145">
        <v>21.08</v>
      </c>
      <c r="G106" s="145"/>
      <c r="H106" s="116">
        <f t="shared" si="14"/>
        <v>0.33170731707317069</v>
      </c>
      <c r="I106" s="33"/>
      <c r="J106" s="15"/>
      <c r="K106" s="20"/>
      <c r="L106" s="22"/>
      <c r="M106" s="22"/>
      <c r="N106" s="22"/>
    </row>
    <row r="107" spans="1:14" s="2" customFormat="1" x14ac:dyDescent="0.25">
      <c r="A107" s="1" t="s">
        <v>917</v>
      </c>
      <c r="B107" s="1" t="s">
        <v>159</v>
      </c>
      <c r="C107" s="2" t="s">
        <v>983</v>
      </c>
      <c r="D107" s="12" t="s">
        <v>982</v>
      </c>
      <c r="E107" s="12"/>
      <c r="F107" s="145">
        <v>0</v>
      </c>
      <c r="G107" s="145"/>
      <c r="H107" s="116">
        <f t="shared" si="14"/>
        <v>0</v>
      </c>
      <c r="I107" s="33"/>
      <c r="J107" s="15"/>
      <c r="K107" s="20"/>
      <c r="L107" s="22"/>
      <c r="M107" s="22"/>
      <c r="N107" s="22"/>
    </row>
    <row r="108" spans="1:14" s="2" customFormat="1" x14ac:dyDescent="0.25">
      <c r="A108" s="1" t="s">
        <v>917</v>
      </c>
      <c r="B108" s="18" t="s">
        <v>159</v>
      </c>
      <c r="C108" s="24" t="s">
        <v>983</v>
      </c>
      <c r="D108" s="31" t="s">
        <v>346</v>
      </c>
      <c r="E108" s="31"/>
      <c r="F108" s="141">
        <f>SUM(F98:F107)</f>
        <v>63.55</v>
      </c>
      <c r="G108" s="141">
        <f>SUM(G98:G107)</f>
        <v>0</v>
      </c>
      <c r="H108" s="34">
        <f>SUM(H98:H107)</f>
        <v>1</v>
      </c>
      <c r="I108" s="34">
        <f>SUM(I98:I107)</f>
        <v>0</v>
      </c>
      <c r="J108" s="15"/>
      <c r="K108" s="20"/>
      <c r="L108" s="22"/>
      <c r="M108" s="22"/>
      <c r="N108" s="22"/>
    </row>
    <row r="109" spans="1:14" x14ac:dyDescent="0.25">
      <c r="A109" s="1" t="s">
        <v>917</v>
      </c>
      <c r="B109" s="1" t="s">
        <v>159</v>
      </c>
      <c r="C109" s="2" t="s">
        <v>984</v>
      </c>
      <c r="D109" s="15" t="s">
        <v>976</v>
      </c>
      <c r="F109" s="140">
        <v>5</v>
      </c>
      <c r="G109" s="140"/>
      <c r="H109" s="116">
        <f>F109/F$119</f>
        <v>4.5339136742836413E-2</v>
      </c>
      <c r="J109" s="15" t="s">
        <v>972</v>
      </c>
      <c r="K109" s="71" t="s">
        <v>969</v>
      </c>
      <c r="L109" s="22" t="s">
        <v>971</v>
      </c>
    </row>
    <row r="110" spans="1:14" x14ac:dyDescent="0.25">
      <c r="A110" s="1" t="s">
        <v>917</v>
      </c>
      <c r="B110" s="1" t="s">
        <v>159</v>
      </c>
      <c r="C110" s="2" t="s">
        <v>984</v>
      </c>
      <c r="D110" s="12" t="s">
        <v>975</v>
      </c>
      <c r="E110" s="12"/>
      <c r="F110" s="140">
        <v>16.309999999999999</v>
      </c>
      <c r="G110" s="140"/>
      <c r="H110" s="116">
        <f>F110/F$119</f>
        <v>0.14789626405513237</v>
      </c>
      <c r="L110" s="22"/>
    </row>
    <row r="111" spans="1:14" x14ac:dyDescent="0.25">
      <c r="A111" s="1" t="s">
        <v>917</v>
      </c>
      <c r="B111" s="1" t="s">
        <v>159</v>
      </c>
      <c r="C111" s="2" t="s">
        <v>984</v>
      </c>
      <c r="D111" s="12" t="s">
        <v>836</v>
      </c>
      <c r="E111" s="12"/>
      <c r="F111" s="140">
        <v>10.11</v>
      </c>
      <c r="G111" s="140"/>
      <c r="H111" s="116">
        <f t="shared" ref="H111:H118" si="15">F111/F$119</f>
        <v>9.1675734494015226E-2</v>
      </c>
      <c r="L111" s="22"/>
    </row>
    <row r="112" spans="1:14" x14ac:dyDescent="0.25">
      <c r="A112" s="1" t="s">
        <v>917</v>
      </c>
      <c r="B112" s="1" t="s">
        <v>159</v>
      </c>
      <c r="C112" s="2" t="s">
        <v>984</v>
      </c>
      <c r="D112" s="12" t="s">
        <v>977</v>
      </c>
      <c r="E112" s="12"/>
      <c r="F112" s="140">
        <v>0.64</v>
      </c>
      <c r="G112" s="140"/>
      <c r="H112" s="116">
        <f t="shared" si="15"/>
        <v>5.8034095030830611E-3</v>
      </c>
      <c r="L112" s="22"/>
    </row>
    <row r="113" spans="1:14" x14ac:dyDescent="0.25">
      <c r="A113" s="1" t="s">
        <v>917</v>
      </c>
      <c r="B113" s="1" t="s">
        <v>159</v>
      </c>
      <c r="C113" s="2" t="s">
        <v>984</v>
      </c>
      <c r="D113" s="12" t="s">
        <v>978</v>
      </c>
      <c r="E113" s="12"/>
      <c r="F113" s="140">
        <v>1.74</v>
      </c>
      <c r="G113" s="140"/>
      <c r="H113" s="116">
        <f t="shared" si="15"/>
        <v>1.5778019586507073E-2</v>
      </c>
      <c r="L113" s="22"/>
    </row>
    <row r="114" spans="1:14" x14ac:dyDescent="0.25">
      <c r="A114" s="1" t="s">
        <v>917</v>
      </c>
      <c r="B114" s="1" t="s">
        <v>159</v>
      </c>
      <c r="C114" s="2" t="s">
        <v>984</v>
      </c>
      <c r="D114" s="12" t="s">
        <v>985</v>
      </c>
      <c r="E114" s="12"/>
      <c r="F114" s="140">
        <v>11.32</v>
      </c>
      <c r="G114" s="140"/>
      <c r="H114" s="116">
        <f t="shared" si="15"/>
        <v>0.10264780558578165</v>
      </c>
      <c r="L114" s="22"/>
    </row>
    <row r="115" spans="1:14" x14ac:dyDescent="0.25">
      <c r="A115" s="1" t="s">
        <v>917</v>
      </c>
      <c r="B115" s="1" t="s">
        <v>159</v>
      </c>
      <c r="C115" s="2" t="s">
        <v>984</v>
      </c>
      <c r="D115" s="12" t="s">
        <v>979</v>
      </c>
      <c r="E115" s="12"/>
      <c r="F115" s="140">
        <v>9.02</v>
      </c>
      <c r="G115" s="140"/>
      <c r="H115" s="116">
        <f t="shared" si="15"/>
        <v>8.1791802684076889E-2</v>
      </c>
      <c r="L115" s="22"/>
    </row>
    <row r="116" spans="1:14" x14ac:dyDescent="0.25">
      <c r="A116" s="1" t="s">
        <v>917</v>
      </c>
      <c r="B116" s="1" t="s">
        <v>159</v>
      </c>
      <c r="C116" s="2" t="s">
        <v>984</v>
      </c>
      <c r="D116" s="12" t="s">
        <v>980</v>
      </c>
      <c r="E116" s="12"/>
      <c r="F116" s="140">
        <v>11.28</v>
      </c>
      <c r="G116" s="140"/>
      <c r="H116" s="116">
        <f t="shared" si="15"/>
        <v>0.10228509249183895</v>
      </c>
      <c r="L116" s="22"/>
    </row>
    <row r="117" spans="1:14" x14ac:dyDescent="0.25">
      <c r="A117" s="1" t="s">
        <v>917</v>
      </c>
      <c r="B117" s="1" t="s">
        <v>159</v>
      </c>
      <c r="C117" s="2" t="s">
        <v>984</v>
      </c>
      <c r="D117" s="12" t="s">
        <v>981</v>
      </c>
      <c r="E117" s="12"/>
      <c r="F117" s="140">
        <v>21.58</v>
      </c>
      <c r="G117" s="140"/>
      <c r="H117" s="116">
        <f t="shared" si="15"/>
        <v>0.19568371418208197</v>
      </c>
      <c r="L117" s="22"/>
    </row>
    <row r="118" spans="1:14" x14ac:dyDescent="0.25">
      <c r="A118" s="1" t="s">
        <v>917</v>
      </c>
      <c r="B118" s="1" t="s">
        <v>159</v>
      </c>
      <c r="C118" s="2" t="s">
        <v>984</v>
      </c>
      <c r="D118" s="12" t="s">
        <v>982</v>
      </c>
      <c r="E118" s="12"/>
      <c r="F118" s="140">
        <v>23.28</v>
      </c>
      <c r="G118" s="140"/>
      <c r="H118" s="116">
        <f t="shared" si="15"/>
        <v>0.21109902067464636</v>
      </c>
      <c r="L118" s="22"/>
    </row>
    <row r="119" spans="1:14" x14ac:dyDescent="0.25">
      <c r="A119" s="1" t="s">
        <v>917</v>
      </c>
      <c r="B119" s="18" t="s">
        <v>159</v>
      </c>
      <c r="C119" s="24" t="s">
        <v>984</v>
      </c>
      <c r="D119" s="31" t="s">
        <v>346</v>
      </c>
      <c r="E119" s="31"/>
      <c r="F119" s="141">
        <f>SUM(F109:F118)</f>
        <v>110.28</v>
      </c>
      <c r="G119" s="141">
        <f>SUM(G109:G118)</f>
        <v>0</v>
      </c>
      <c r="H119" s="34">
        <f>SUM(H109:H118)</f>
        <v>1</v>
      </c>
      <c r="I119" s="34">
        <f>SUM(I109:I118)</f>
        <v>0</v>
      </c>
      <c r="L119" s="22"/>
    </row>
    <row r="120" spans="1:14" s="466" customFormat="1" x14ac:dyDescent="0.25">
      <c r="A120" s="466" t="s">
        <v>917</v>
      </c>
      <c r="B120" s="466" t="s">
        <v>159</v>
      </c>
      <c r="C120" s="466" t="s">
        <v>904</v>
      </c>
      <c r="D120" s="304" t="s">
        <v>967</v>
      </c>
      <c r="E120" s="304"/>
      <c r="F120" s="474"/>
      <c r="G120" s="474"/>
      <c r="H120" s="475">
        <v>0</v>
      </c>
      <c r="I120" s="475"/>
      <c r="J120" s="303"/>
      <c r="K120" s="473"/>
      <c r="L120" s="470"/>
      <c r="M120" s="470"/>
      <c r="N120" s="470"/>
    </row>
    <row r="121" spans="1:14" s="54" customFormat="1" x14ac:dyDescent="0.25">
      <c r="A121" s="54" t="s">
        <v>917</v>
      </c>
      <c r="B121" s="54" t="s">
        <v>159</v>
      </c>
      <c r="C121" s="54" t="s">
        <v>904</v>
      </c>
      <c r="D121" s="133" t="s">
        <v>836</v>
      </c>
      <c r="E121" s="133"/>
      <c r="F121" s="142">
        <v>9</v>
      </c>
      <c r="G121" s="142"/>
      <c r="H121" s="136">
        <f t="shared" ref="H121:H124" si="16">F121/F$125</f>
        <v>0.17647058823529413</v>
      </c>
      <c r="I121" s="133"/>
      <c r="J121" s="133" t="s">
        <v>963</v>
      </c>
      <c r="K121" s="137" t="s">
        <v>750</v>
      </c>
      <c r="L121" s="74"/>
      <c r="M121" s="74"/>
      <c r="N121" s="74"/>
    </row>
    <row r="122" spans="1:14" s="54" customFormat="1" x14ac:dyDescent="0.25">
      <c r="A122" s="54" t="s">
        <v>917</v>
      </c>
      <c r="B122" s="54" t="s">
        <v>159</v>
      </c>
      <c r="C122" s="54" t="s">
        <v>904</v>
      </c>
      <c r="D122" s="133" t="s">
        <v>975</v>
      </c>
      <c r="E122" s="133"/>
      <c r="F122" s="142">
        <v>6</v>
      </c>
      <c r="G122" s="142"/>
      <c r="H122" s="136">
        <f t="shared" si="16"/>
        <v>0.11764705882352941</v>
      </c>
      <c r="I122" s="133"/>
      <c r="J122" s="133"/>
      <c r="K122" s="137"/>
      <c r="L122" s="74"/>
      <c r="M122" s="74"/>
      <c r="N122" s="74"/>
    </row>
    <row r="123" spans="1:14" s="54" customFormat="1" x14ac:dyDescent="0.25">
      <c r="A123" s="54" t="s">
        <v>917</v>
      </c>
      <c r="B123" s="54" t="s">
        <v>159</v>
      </c>
      <c r="C123" s="54" t="s">
        <v>904</v>
      </c>
      <c r="D123" s="133" t="s">
        <v>404</v>
      </c>
      <c r="E123" s="133"/>
      <c r="F123" s="142">
        <v>17</v>
      </c>
      <c r="G123" s="142"/>
      <c r="H123" s="136">
        <f t="shared" si="16"/>
        <v>0.33333333333333331</v>
      </c>
      <c r="I123" s="133"/>
      <c r="J123" s="133"/>
      <c r="K123" s="137"/>
      <c r="L123" s="74"/>
      <c r="M123" s="74"/>
      <c r="N123" s="74"/>
    </row>
    <row r="124" spans="1:14" s="54" customFormat="1" x14ac:dyDescent="0.25">
      <c r="A124" s="54" t="s">
        <v>917</v>
      </c>
      <c r="B124" s="54" t="s">
        <v>159</v>
      </c>
      <c r="C124" s="54" t="s">
        <v>904</v>
      </c>
      <c r="D124" s="133" t="s">
        <v>335</v>
      </c>
      <c r="E124" s="133"/>
      <c r="F124" s="142">
        <v>19</v>
      </c>
      <c r="G124" s="142"/>
      <c r="H124" s="136">
        <f t="shared" si="16"/>
        <v>0.37254901960784315</v>
      </c>
      <c r="I124" s="133"/>
      <c r="J124" s="133"/>
      <c r="K124" s="137"/>
      <c r="L124" s="74"/>
      <c r="M124" s="74"/>
      <c r="N124" s="74"/>
    </row>
    <row r="125" spans="1:14" s="54" customFormat="1" x14ac:dyDescent="0.25">
      <c r="A125" s="54" t="s">
        <v>917</v>
      </c>
      <c r="B125" s="70" t="s">
        <v>159</v>
      </c>
      <c r="C125" s="70" t="s">
        <v>904</v>
      </c>
      <c r="D125" s="63" t="s">
        <v>346</v>
      </c>
      <c r="E125" s="63"/>
      <c r="F125" s="143">
        <f>SUM(F121:F124)</f>
        <v>51</v>
      </c>
      <c r="G125" s="143">
        <f>SUM(G121:G124)</f>
        <v>0</v>
      </c>
      <c r="H125" s="64">
        <f>SUM(H120:H124)</f>
        <v>1</v>
      </c>
      <c r="I125" s="64">
        <f>SUM(I121:I124)</f>
        <v>0</v>
      </c>
      <c r="J125" s="133"/>
      <c r="K125" s="137"/>
      <c r="L125" s="74"/>
      <c r="M125" s="74"/>
      <c r="N125" s="74"/>
    </row>
    <row r="126" spans="1:14" s="54" customFormat="1" x14ac:dyDescent="0.25">
      <c r="A126" s="54" t="s">
        <v>917</v>
      </c>
      <c r="B126" s="54" t="s">
        <v>159</v>
      </c>
      <c r="C126" s="54" t="s">
        <v>970</v>
      </c>
      <c r="D126" s="133" t="s">
        <v>967</v>
      </c>
      <c r="E126" s="133"/>
      <c r="F126" s="142">
        <v>16</v>
      </c>
      <c r="G126" s="142"/>
      <c r="H126" s="136">
        <f>F126/F$131</f>
        <v>0.18181818181818182</v>
      </c>
      <c r="I126" s="133"/>
      <c r="J126" s="133" t="s">
        <v>963</v>
      </c>
      <c r="K126" s="137" t="s">
        <v>750</v>
      </c>
      <c r="L126" s="74" t="s">
        <v>973</v>
      </c>
      <c r="M126" s="74"/>
      <c r="N126" s="74"/>
    </row>
    <row r="127" spans="1:14" s="54" customFormat="1" x14ac:dyDescent="0.25">
      <c r="A127" s="54" t="s">
        <v>917</v>
      </c>
      <c r="B127" s="54" t="s">
        <v>159</v>
      </c>
      <c r="C127" s="54" t="s">
        <v>970</v>
      </c>
      <c r="D127" s="133" t="s">
        <v>836</v>
      </c>
      <c r="E127" s="133"/>
      <c r="F127" s="142">
        <v>18</v>
      </c>
      <c r="G127" s="142"/>
      <c r="H127" s="136">
        <f t="shared" ref="H127:H130" si="17">F127/F$131</f>
        <v>0.20454545454545456</v>
      </c>
      <c r="I127" s="133"/>
      <c r="J127" s="133"/>
      <c r="K127" s="137"/>
      <c r="L127" s="74"/>
      <c r="M127" s="74"/>
      <c r="N127" s="74"/>
    </row>
    <row r="128" spans="1:14" s="54" customFormat="1" x14ac:dyDescent="0.25">
      <c r="A128" s="54" t="s">
        <v>917</v>
      </c>
      <c r="B128" s="54" t="s">
        <v>159</v>
      </c>
      <c r="C128" s="54" t="s">
        <v>970</v>
      </c>
      <c r="D128" s="133" t="s">
        <v>975</v>
      </c>
      <c r="E128" s="133"/>
      <c r="F128" s="142">
        <v>6</v>
      </c>
      <c r="G128" s="142"/>
      <c r="H128" s="136">
        <f t="shared" si="17"/>
        <v>6.8181818181818177E-2</v>
      </c>
      <c r="I128" s="133"/>
      <c r="J128" s="133"/>
      <c r="K128" s="137"/>
      <c r="L128" s="74"/>
      <c r="M128" s="74"/>
      <c r="N128" s="74"/>
    </row>
    <row r="129" spans="1:14" s="54" customFormat="1" x14ac:dyDescent="0.25">
      <c r="A129" s="54" t="s">
        <v>917</v>
      </c>
      <c r="B129" s="54" t="s">
        <v>159</v>
      </c>
      <c r="C129" s="54" t="s">
        <v>970</v>
      </c>
      <c r="D129" s="133" t="s">
        <v>404</v>
      </c>
      <c r="E129" s="133"/>
      <c r="F129" s="142">
        <v>25</v>
      </c>
      <c r="G129" s="142"/>
      <c r="H129" s="136">
        <f t="shared" si="17"/>
        <v>0.28409090909090912</v>
      </c>
      <c r="I129" s="133"/>
      <c r="J129" s="133"/>
      <c r="K129" s="137"/>
      <c r="L129" s="74"/>
      <c r="M129" s="74"/>
      <c r="N129" s="74"/>
    </row>
    <row r="130" spans="1:14" s="54" customFormat="1" x14ac:dyDescent="0.25">
      <c r="A130" s="54" t="s">
        <v>917</v>
      </c>
      <c r="B130" s="54" t="s">
        <v>159</v>
      </c>
      <c r="C130" s="54" t="s">
        <v>970</v>
      </c>
      <c r="D130" s="133" t="s">
        <v>335</v>
      </c>
      <c r="E130" s="133"/>
      <c r="F130" s="142">
        <v>23</v>
      </c>
      <c r="G130" s="142"/>
      <c r="H130" s="136">
        <f t="shared" si="17"/>
        <v>0.26136363636363635</v>
      </c>
      <c r="I130" s="133"/>
      <c r="J130" s="133"/>
      <c r="K130" s="137"/>
      <c r="L130" s="74"/>
      <c r="M130" s="74"/>
      <c r="N130" s="74"/>
    </row>
    <row r="131" spans="1:14" s="54" customFormat="1" x14ac:dyDescent="0.25">
      <c r="A131" s="54" t="s">
        <v>917</v>
      </c>
      <c r="B131" s="70" t="s">
        <v>159</v>
      </c>
      <c r="C131" s="70" t="s">
        <v>970</v>
      </c>
      <c r="D131" s="63" t="s">
        <v>346</v>
      </c>
      <c r="E131" s="63"/>
      <c r="F131" s="143">
        <f>SUM(F126:F130)</f>
        <v>88</v>
      </c>
      <c r="G131" s="143">
        <f>SUM(G126:G130)</f>
        <v>0</v>
      </c>
      <c r="H131" s="64">
        <f>SUM(H126:H130)</f>
        <v>1</v>
      </c>
      <c r="I131" s="64">
        <f>SUM(I126:I130)</f>
        <v>0</v>
      </c>
      <c r="J131" s="133"/>
      <c r="K131" s="137"/>
      <c r="L131" s="74"/>
      <c r="M131" s="74"/>
      <c r="N131" s="74"/>
    </row>
    <row r="132" spans="1:14" s="54" customFormat="1" x14ac:dyDescent="0.25">
      <c r="A132" s="54" t="s">
        <v>917</v>
      </c>
      <c r="B132" s="54" t="s">
        <v>159</v>
      </c>
      <c r="C132" s="54" t="s">
        <v>742</v>
      </c>
      <c r="D132" s="133" t="s">
        <v>967</v>
      </c>
      <c r="E132" s="133"/>
      <c r="F132" s="142">
        <v>11</v>
      </c>
      <c r="G132" s="142"/>
      <c r="H132" s="136">
        <f>F132/F$137</f>
        <v>0.10091743119266056</v>
      </c>
      <c r="I132" s="133"/>
      <c r="J132" s="133" t="s">
        <v>963</v>
      </c>
      <c r="K132" s="137" t="s">
        <v>750</v>
      </c>
      <c r="L132" s="74" t="s">
        <v>974</v>
      </c>
      <c r="M132" s="74"/>
      <c r="N132" s="74"/>
    </row>
    <row r="133" spans="1:14" s="54" customFormat="1" x14ac:dyDescent="0.25">
      <c r="A133" s="54" t="s">
        <v>917</v>
      </c>
      <c r="B133" s="54" t="s">
        <v>159</v>
      </c>
      <c r="C133" s="54" t="s">
        <v>742</v>
      </c>
      <c r="D133" s="133" t="s">
        <v>836</v>
      </c>
      <c r="E133" s="133"/>
      <c r="F133" s="142">
        <v>44</v>
      </c>
      <c r="G133" s="142"/>
      <c r="H133" s="136">
        <f t="shared" ref="H133:H136" si="18">F133/F$137</f>
        <v>0.40366972477064222</v>
      </c>
      <c r="I133" s="133"/>
      <c r="J133" s="133"/>
      <c r="K133" s="51"/>
      <c r="L133" s="74"/>
      <c r="M133" s="74"/>
      <c r="N133" s="74"/>
    </row>
    <row r="134" spans="1:14" s="466" customFormat="1" x14ac:dyDescent="0.25">
      <c r="A134" s="466" t="s">
        <v>917</v>
      </c>
      <c r="B134" s="466" t="s">
        <v>159</v>
      </c>
      <c r="C134" s="466" t="s">
        <v>742</v>
      </c>
      <c r="D134" s="303" t="s">
        <v>975</v>
      </c>
      <c r="E134" s="303"/>
      <c r="F134" s="467"/>
      <c r="G134" s="467"/>
      <c r="H134" s="471">
        <v>0</v>
      </c>
      <c r="I134" s="303"/>
      <c r="J134" s="303"/>
      <c r="K134" s="473"/>
      <c r="L134" s="470"/>
      <c r="M134" s="470"/>
      <c r="N134" s="470"/>
    </row>
    <row r="135" spans="1:14" s="54" customFormat="1" x14ac:dyDescent="0.25">
      <c r="A135" s="54" t="s">
        <v>917</v>
      </c>
      <c r="B135" s="54" t="s">
        <v>159</v>
      </c>
      <c r="C135" s="54" t="s">
        <v>742</v>
      </c>
      <c r="D135" s="133" t="s">
        <v>404</v>
      </c>
      <c r="E135" s="133"/>
      <c r="F135" s="142">
        <v>24</v>
      </c>
      <c r="G135" s="142"/>
      <c r="H135" s="136">
        <f t="shared" si="18"/>
        <v>0.22018348623853212</v>
      </c>
      <c r="I135" s="133"/>
      <c r="J135" s="133"/>
      <c r="K135" s="51"/>
      <c r="L135" s="74"/>
      <c r="M135" s="74"/>
      <c r="N135" s="74"/>
    </row>
    <row r="136" spans="1:14" s="54" customFormat="1" x14ac:dyDescent="0.25">
      <c r="A136" s="54" t="s">
        <v>917</v>
      </c>
      <c r="B136" s="54" t="s">
        <v>159</v>
      </c>
      <c r="C136" s="54" t="s">
        <v>742</v>
      </c>
      <c r="D136" s="133" t="s">
        <v>335</v>
      </c>
      <c r="E136" s="133"/>
      <c r="F136" s="142">
        <v>30</v>
      </c>
      <c r="G136" s="142"/>
      <c r="H136" s="136">
        <f t="shared" si="18"/>
        <v>0.27522935779816515</v>
      </c>
      <c r="I136" s="133"/>
      <c r="J136" s="133"/>
      <c r="K136" s="51"/>
      <c r="L136" s="74"/>
      <c r="M136" s="74"/>
      <c r="N136" s="74"/>
    </row>
    <row r="137" spans="1:14" s="54" customFormat="1" x14ac:dyDescent="0.25">
      <c r="A137" s="54" t="s">
        <v>917</v>
      </c>
      <c r="B137" s="70" t="s">
        <v>159</v>
      </c>
      <c r="C137" s="70" t="s">
        <v>742</v>
      </c>
      <c r="D137" s="63" t="s">
        <v>346</v>
      </c>
      <c r="E137" s="63"/>
      <c r="F137" s="143">
        <f>SUM(F132:F136)</f>
        <v>109</v>
      </c>
      <c r="G137" s="143">
        <f>SUM(G132:G136)</f>
        <v>0</v>
      </c>
      <c r="H137" s="64">
        <f>SUM(H132:H136)</f>
        <v>1</v>
      </c>
      <c r="I137" s="64">
        <f>SUM(I132:I136)</f>
        <v>0</v>
      </c>
      <c r="J137" s="133"/>
      <c r="K137" s="137"/>
      <c r="L137" s="74"/>
      <c r="M137" s="74"/>
      <c r="N137" s="74"/>
    </row>
    <row r="138" spans="1:14" s="54" customFormat="1" x14ac:dyDescent="0.25">
      <c r="A138" s="54" t="s">
        <v>919</v>
      </c>
      <c r="B138" s="54" t="s">
        <v>139</v>
      </c>
      <c r="C138" s="54" t="s">
        <v>817</v>
      </c>
      <c r="D138" s="133" t="s">
        <v>961</v>
      </c>
      <c r="E138" s="133"/>
      <c r="F138" s="142">
        <v>400</v>
      </c>
      <c r="G138" s="142"/>
      <c r="H138" s="136">
        <f>F138/F$145</f>
        <v>0.322061191626409</v>
      </c>
      <c r="I138" s="133"/>
      <c r="J138" s="133" t="s">
        <v>963</v>
      </c>
      <c r="K138" s="137" t="s">
        <v>750</v>
      </c>
      <c r="L138" s="74" t="s">
        <v>987</v>
      </c>
      <c r="M138" s="74"/>
      <c r="N138" s="74"/>
    </row>
    <row r="139" spans="1:14" s="54" customFormat="1" x14ac:dyDescent="0.25">
      <c r="A139" s="54" t="s">
        <v>919</v>
      </c>
      <c r="B139" s="54" t="s">
        <v>139</v>
      </c>
      <c r="C139" s="54" t="s">
        <v>817</v>
      </c>
      <c r="D139" s="133" t="s">
        <v>836</v>
      </c>
      <c r="E139" s="133"/>
      <c r="F139" s="142">
        <v>12</v>
      </c>
      <c r="G139" s="142"/>
      <c r="H139" s="136">
        <f t="shared" ref="H139:H144" si="19">F139/F$145</f>
        <v>9.6618357487922701E-3</v>
      </c>
      <c r="I139" s="133"/>
      <c r="J139" s="133"/>
      <c r="K139" s="137"/>
      <c r="L139" s="74"/>
      <c r="M139" s="74"/>
      <c r="N139" s="74"/>
    </row>
    <row r="140" spans="1:14" s="466" customFormat="1" x14ac:dyDescent="0.25">
      <c r="A140" s="466" t="s">
        <v>919</v>
      </c>
      <c r="B140" s="466" t="s">
        <v>139</v>
      </c>
      <c r="C140" s="466" t="s">
        <v>817</v>
      </c>
      <c r="D140" s="303" t="s">
        <v>994</v>
      </c>
      <c r="E140" s="303"/>
      <c r="F140" s="467"/>
      <c r="G140" s="467"/>
      <c r="H140" s="471">
        <v>0</v>
      </c>
      <c r="I140" s="303"/>
      <c r="J140" s="303"/>
      <c r="K140" s="472"/>
      <c r="L140" s="470"/>
      <c r="M140" s="470"/>
      <c r="N140" s="470"/>
    </row>
    <row r="141" spans="1:14" s="54" customFormat="1" x14ac:dyDescent="0.25">
      <c r="A141" s="54" t="s">
        <v>919</v>
      </c>
      <c r="B141" s="54" t="s">
        <v>139</v>
      </c>
      <c r="C141" s="54" t="s">
        <v>817</v>
      </c>
      <c r="D141" s="133" t="s">
        <v>993</v>
      </c>
      <c r="E141" s="133"/>
      <c r="F141" s="142">
        <v>646</v>
      </c>
      <c r="G141" s="142"/>
      <c r="H141" s="136">
        <f t="shared" si="19"/>
        <v>0.52012882447665054</v>
      </c>
      <c r="I141" s="133"/>
      <c r="J141" s="133"/>
      <c r="K141" s="137"/>
      <c r="L141" s="74"/>
      <c r="M141" s="74"/>
      <c r="N141" s="74"/>
    </row>
    <row r="142" spans="1:14" s="466" customFormat="1" x14ac:dyDescent="0.25">
      <c r="A142" s="466" t="s">
        <v>919</v>
      </c>
      <c r="B142" s="466" t="s">
        <v>139</v>
      </c>
      <c r="C142" s="466" t="s">
        <v>817</v>
      </c>
      <c r="D142" s="303" t="s">
        <v>503</v>
      </c>
      <c r="E142" s="303"/>
      <c r="F142" s="467"/>
      <c r="G142" s="467"/>
      <c r="H142" s="471">
        <v>0</v>
      </c>
      <c r="I142" s="303"/>
      <c r="J142" s="303"/>
      <c r="K142" s="472"/>
      <c r="L142" s="470"/>
      <c r="M142" s="470"/>
      <c r="N142" s="470"/>
    </row>
    <row r="143" spans="1:14" s="54" customFormat="1" x14ac:dyDescent="0.25">
      <c r="A143" s="54" t="s">
        <v>919</v>
      </c>
      <c r="B143" s="54" t="s">
        <v>139</v>
      </c>
      <c r="C143" s="54" t="s">
        <v>817</v>
      </c>
      <c r="D143" s="133" t="s">
        <v>335</v>
      </c>
      <c r="E143" s="133"/>
      <c r="F143" s="142">
        <v>50</v>
      </c>
      <c r="G143" s="142"/>
      <c r="H143" s="136">
        <f t="shared" si="19"/>
        <v>4.0257648953301126E-2</v>
      </c>
      <c r="I143" s="133"/>
      <c r="J143" s="133"/>
      <c r="K143" s="137"/>
      <c r="L143" s="74"/>
      <c r="M143" s="74"/>
      <c r="N143" s="74"/>
    </row>
    <row r="144" spans="1:14" s="54" customFormat="1" x14ac:dyDescent="0.25">
      <c r="A144" s="54" t="s">
        <v>919</v>
      </c>
      <c r="B144" s="54" t="s">
        <v>139</v>
      </c>
      <c r="C144" s="54" t="s">
        <v>817</v>
      </c>
      <c r="D144" s="133" t="s">
        <v>404</v>
      </c>
      <c r="E144" s="133"/>
      <c r="F144" s="142">
        <v>134</v>
      </c>
      <c r="G144" s="142"/>
      <c r="H144" s="136">
        <f t="shared" si="19"/>
        <v>0.10789049919484701</v>
      </c>
      <c r="I144" s="133"/>
      <c r="J144" s="133"/>
      <c r="K144" s="137"/>
      <c r="L144" s="74"/>
      <c r="M144" s="74"/>
      <c r="N144" s="74"/>
    </row>
    <row r="145" spans="1:14" s="54" customFormat="1" x14ac:dyDescent="0.25">
      <c r="A145" s="54" t="s">
        <v>919</v>
      </c>
      <c r="B145" s="70" t="s">
        <v>139</v>
      </c>
      <c r="C145" s="70" t="s">
        <v>817</v>
      </c>
      <c r="D145" s="63" t="s">
        <v>346</v>
      </c>
      <c r="E145" s="63"/>
      <c r="F145" s="143">
        <f>SUM(F138:F144)</f>
        <v>1242</v>
      </c>
      <c r="G145" s="143">
        <f>SUM(G138:G144)</f>
        <v>0</v>
      </c>
      <c r="H145" s="64">
        <f>SUM(H138:H144)</f>
        <v>1</v>
      </c>
      <c r="I145" s="64">
        <f>SUM(I138:I144)</f>
        <v>0</v>
      </c>
      <c r="J145" s="133"/>
      <c r="K145" s="137"/>
      <c r="L145" s="74"/>
      <c r="M145" s="74"/>
      <c r="N145" s="74"/>
    </row>
    <row r="146" spans="1:14" s="54" customFormat="1" x14ac:dyDescent="0.25">
      <c r="A146" s="54" t="s">
        <v>919</v>
      </c>
      <c r="B146" s="54" t="s">
        <v>139</v>
      </c>
      <c r="C146" s="54" t="s">
        <v>819</v>
      </c>
      <c r="D146" s="133" t="s">
        <v>961</v>
      </c>
      <c r="E146" s="133"/>
      <c r="F146" s="142">
        <v>400</v>
      </c>
      <c r="G146" s="142"/>
      <c r="H146" s="136">
        <f>F146/F$153</f>
        <v>0.24198427102238354</v>
      </c>
      <c r="I146" s="133"/>
      <c r="J146" s="133" t="s">
        <v>963</v>
      </c>
      <c r="K146" s="137" t="s">
        <v>750</v>
      </c>
      <c r="L146" s="74" t="s">
        <v>987</v>
      </c>
      <c r="M146" s="74"/>
      <c r="N146" s="74"/>
    </row>
    <row r="147" spans="1:14" s="54" customFormat="1" x14ac:dyDescent="0.25">
      <c r="A147" s="54" t="s">
        <v>919</v>
      </c>
      <c r="B147" s="54" t="s">
        <v>139</v>
      </c>
      <c r="C147" s="54" t="s">
        <v>819</v>
      </c>
      <c r="D147" s="133" t="s">
        <v>836</v>
      </c>
      <c r="E147" s="133"/>
      <c r="F147" s="142">
        <v>383</v>
      </c>
      <c r="G147" s="142"/>
      <c r="H147" s="136">
        <f t="shared" ref="H147:H152" si="20">F147/F$153</f>
        <v>0.23169993950393225</v>
      </c>
      <c r="I147" s="133"/>
      <c r="J147" s="133"/>
      <c r="K147" s="137"/>
      <c r="L147" s="74"/>
      <c r="M147" s="74"/>
      <c r="N147" s="74"/>
    </row>
    <row r="148" spans="1:14" s="54" customFormat="1" x14ac:dyDescent="0.25">
      <c r="A148" s="54" t="s">
        <v>919</v>
      </c>
      <c r="B148" s="54" t="s">
        <v>139</v>
      </c>
      <c r="C148" s="54" t="s">
        <v>819</v>
      </c>
      <c r="D148" s="133" t="s">
        <v>994</v>
      </c>
      <c r="E148" s="133"/>
      <c r="F148" s="142">
        <v>28</v>
      </c>
      <c r="G148" s="142"/>
      <c r="H148" s="136">
        <f t="shared" si="20"/>
        <v>1.6938898971566849E-2</v>
      </c>
      <c r="I148" s="133"/>
      <c r="J148" s="133"/>
      <c r="K148" s="137"/>
      <c r="L148" s="74"/>
      <c r="M148" s="74"/>
      <c r="N148" s="74"/>
    </row>
    <row r="149" spans="1:14" s="54" customFormat="1" x14ac:dyDescent="0.25">
      <c r="A149" s="54" t="s">
        <v>919</v>
      </c>
      <c r="B149" s="54" t="s">
        <v>139</v>
      </c>
      <c r="C149" s="54" t="s">
        <v>819</v>
      </c>
      <c r="D149" s="133" t="s">
        <v>993</v>
      </c>
      <c r="E149" s="133"/>
      <c r="F149" s="142">
        <v>542</v>
      </c>
      <c r="G149" s="142"/>
      <c r="H149" s="136">
        <f t="shared" si="20"/>
        <v>0.32788868723532971</v>
      </c>
      <c r="I149" s="133"/>
      <c r="J149" s="133"/>
      <c r="K149" s="137"/>
      <c r="L149" s="74"/>
      <c r="M149" s="74"/>
      <c r="N149" s="74"/>
    </row>
    <row r="150" spans="1:14" s="466" customFormat="1" x14ac:dyDescent="0.25">
      <c r="A150" s="466" t="s">
        <v>919</v>
      </c>
      <c r="B150" s="466" t="s">
        <v>139</v>
      </c>
      <c r="C150" s="466" t="s">
        <v>819</v>
      </c>
      <c r="D150" s="303" t="s">
        <v>503</v>
      </c>
      <c r="E150" s="303"/>
      <c r="F150" s="467"/>
      <c r="G150" s="467"/>
      <c r="H150" s="471">
        <v>0</v>
      </c>
      <c r="I150" s="303"/>
      <c r="J150" s="303"/>
      <c r="K150" s="472"/>
      <c r="L150" s="470"/>
      <c r="M150" s="470"/>
      <c r="N150" s="470"/>
    </row>
    <row r="151" spans="1:14" s="54" customFormat="1" x14ac:dyDescent="0.25">
      <c r="A151" s="54" t="s">
        <v>919</v>
      </c>
      <c r="B151" s="54" t="s">
        <v>139</v>
      </c>
      <c r="C151" s="54" t="s">
        <v>819</v>
      </c>
      <c r="D151" s="133" t="s">
        <v>335</v>
      </c>
      <c r="E151" s="133"/>
      <c r="F151" s="142">
        <v>80</v>
      </c>
      <c r="G151" s="142"/>
      <c r="H151" s="136">
        <f t="shared" si="20"/>
        <v>4.8396854204476709E-2</v>
      </c>
      <c r="I151" s="133"/>
      <c r="J151" s="133"/>
      <c r="K151" s="137"/>
      <c r="L151" s="74"/>
      <c r="M151" s="74"/>
      <c r="N151" s="74"/>
    </row>
    <row r="152" spans="1:14" s="54" customFormat="1" x14ac:dyDescent="0.25">
      <c r="A152" s="54" t="s">
        <v>919</v>
      </c>
      <c r="B152" s="54" t="s">
        <v>139</v>
      </c>
      <c r="C152" s="54" t="s">
        <v>819</v>
      </c>
      <c r="D152" s="133" t="s">
        <v>404</v>
      </c>
      <c r="E152" s="133"/>
      <c r="F152" s="142">
        <v>220</v>
      </c>
      <c r="G152" s="142"/>
      <c r="H152" s="136">
        <f t="shared" si="20"/>
        <v>0.13309134906231096</v>
      </c>
      <c r="I152" s="133"/>
      <c r="J152" s="133"/>
      <c r="K152" s="137"/>
      <c r="L152" s="74"/>
      <c r="M152" s="74"/>
      <c r="N152" s="74"/>
    </row>
    <row r="153" spans="1:14" s="54" customFormat="1" x14ac:dyDescent="0.25">
      <c r="A153" s="54" t="s">
        <v>919</v>
      </c>
      <c r="B153" s="70" t="s">
        <v>139</v>
      </c>
      <c r="C153" s="70" t="s">
        <v>819</v>
      </c>
      <c r="D153" s="63" t="s">
        <v>346</v>
      </c>
      <c r="E153" s="63"/>
      <c r="F153" s="143">
        <f>SUM(F146:F152)</f>
        <v>1653</v>
      </c>
      <c r="G153" s="143">
        <f>SUM(G146:G152)</f>
        <v>0</v>
      </c>
      <c r="H153" s="64">
        <f>SUM(H146:H152)</f>
        <v>1</v>
      </c>
      <c r="I153" s="64">
        <f>SUM(I146:I152)</f>
        <v>0</v>
      </c>
      <c r="J153" s="133"/>
      <c r="K153" s="137"/>
      <c r="L153" s="74"/>
      <c r="M153" s="74"/>
      <c r="N153" s="74"/>
    </row>
    <row r="154" spans="1:14" s="54" customFormat="1" x14ac:dyDescent="0.25">
      <c r="A154" s="54" t="s">
        <v>919</v>
      </c>
      <c r="B154" s="54" t="s">
        <v>139</v>
      </c>
      <c r="C154" s="54" t="s">
        <v>820</v>
      </c>
      <c r="D154" s="133" t="s">
        <v>961</v>
      </c>
      <c r="E154" s="133"/>
      <c r="F154" s="142">
        <v>400</v>
      </c>
      <c r="G154" s="142"/>
      <c r="H154" s="136">
        <f>F154/F$161</f>
        <v>0.21953896816684962</v>
      </c>
      <c r="I154" s="133"/>
      <c r="J154" s="133" t="s">
        <v>963</v>
      </c>
      <c r="K154" s="137" t="s">
        <v>750</v>
      </c>
      <c r="L154" s="74" t="s">
        <v>987</v>
      </c>
      <c r="M154" s="74"/>
      <c r="N154" s="74"/>
    </row>
    <row r="155" spans="1:14" s="54" customFormat="1" x14ac:dyDescent="0.25">
      <c r="A155" s="54" t="s">
        <v>919</v>
      </c>
      <c r="B155" s="54" t="s">
        <v>139</v>
      </c>
      <c r="C155" s="54" t="s">
        <v>820</v>
      </c>
      <c r="D155" s="133" t="s">
        <v>836</v>
      </c>
      <c r="E155" s="133"/>
      <c r="F155" s="142">
        <v>411</v>
      </c>
      <c r="G155" s="142"/>
      <c r="H155" s="136">
        <f t="shared" ref="H155:H160" si="21">F155/F$161</f>
        <v>0.22557628979143798</v>
      </c>
      <c r="I155" s="133"/>
      <c r="J155" s="133"/>
      <c r="K155" s="137"/>
      <c r="L155" s="74"/>
      <c r="M155" s="74"/>
      <c r="N155" s="74"/>
    </row>
    <row r="156" spans="1:14" s="466" customFormat="1" x14ac:dyDescent="0.25">
      <c r="A156" s="466" t="s">
        <v>919</v>
      </c>
      <c r="B156" s="466" t="s">
        <v>139</v>
      </c>
      <c r="C156" s="466" t="s">
        <v>820</v>
      </c>
      <c r="D156" s="303" t="s">
        <v>994</v>
      </c>
      <c r="E156" s="303"/>
      <c r="F156" s="467"/>
      <c r="G156" s="467"/>
      <c r="H156" s="471">
        <v>0</v>
      </c>
      <c r="I156" s="303"/>
      <c r="J156" s="303"/>
      <c r="K156" s="472"/>
      <c r="L156" s="470"/>
      <c r="M156" s="470"/>
      <c r="N156" s="470"/>
    </row>
    <row r="157" spans="1:14" s="466" customFormat="1" x14ac:dyDescent="0.25">
      <c r="A157" s="466" t="s">
        <v>919</v>
      </c>
      <c r="B157" s="466" t="s">
        <v>139</v>
      </c>
      <c r="C157" s="466" t="s">
        <v>820</v>
      </c>
      <c r="D157" s="303" t="s">
        <v>993</v>
      </c>
      <c r="E157" s="303"/>
      <c r="F157" s="467"/>
      <c r="G157" s="467"/>
      <c r="H157" s="471">
        <v>0</v>
      </c>
      <c r="I157" s="303"/>
      <c r="J157" s="303"/>
      <c r="K157" s="472"/>
      <c r="L157" s="470"/>
      <c r="M157" s="470"/>
      <c r="N157" s="470"/>
    </row>
    <row r="158" spans="1:14" s="54" customFormat="1" x14ac:dyDescent="0.25">
      <c r="A158" s="54" t="s">
        <v>919</v>
      </c>
      <c r="B158" s="54" t="s">
        <v>139</v>
      </c>
      <c r="C158" s="54" t="s">
        <v>820</v>
      </c>
      <c r="D158" s="133" t="s">
        <v>503</v>
      </c>
      <c r="E158" s="133"/>
      <c r="F158" s="142">
        <v>561</v>
      </c>
      <c r="G158" s="142"/>
      <c r="H158" s="136">
        <f t="shared" si="21"/>
        <v>0.30790340285400658</v>
      </c>
      <c r="I158" s="133"/>
      <c r="J158" s="133"/>
      <c r="K158" s="137"/>
      <c r="L158" s="74"/>
      <c r="M158" s="74"/>
      <c r="N158" s="74"/>
    </row>
    <row r="159" spans="1:14" s="54" customFormat="1" x14ac:dyDescent="0.25">
      <c r="A159" s="54" t="s">
        <v>919</v>
      </c>
      <c r="B159" s="54" t="s">
        <v>139</v>
      </c>
      <c r="C159" s="54" t="s">
        <v>820</v>
      </c>
      <c r="D159" s="133" t="s">
        <v>335</v>
      </c>
      <c r="E159" s="133"/>
      <c r="F159" s="142">
        <v>112</v>
      </c>
      <c r="G159" s="142"/>
      <c r="H159" s="136">
        <f t="shared" si="21"/>
        <v>6.1470911086717893E-2</v>
      </c>
      <c r="I159" s="133"/>
      <c r="J159" s="133"/>
      <c r="K159" s="137"/>
      <c r="L159" s="74"/>
      <c r="M159" s="74"/>
      <c r="N159" s="74"/>
    </row>
    <row r="160" spans="1:14" s="54" customFormat="1" x14ac:dyDescent="0.25">
      <c r="A160" s="54" t="s">
        <v>919</v>
      </c>
      <c r="B160" s="54" t="s">
        <v>139</v>
      </c>
      <c r="C160" s="54" t="s">
        <v>820</v>
      </c>
      <c r="D160" s="133" t="s">
        <v>404</v>
      </c>
      <c r="E160" s="133"/>
      <c r="F160" s="142">
        <v>338</v>
      </c>
      <c r="G160" s="142"/>
      <c r="H160" s="136">
        <f t="shared" si="21"/>
        <v>0.18551042810098792</v>
      </c>
      <c r="I160" s="133"/>
      <c r="J160" s="133"/>
      <c r="K160" s="137"/>
      <c r="L160" s="74"/>
      <c r="M160" s="74"/>
      <c r="N160" s="74"/>
    </row>
    <row r="161" spans="1:14" s="54" customFormat="1" x14ac:dyDescent="0.25">
      <c r="A161" s="54" t="s">
        <v>919</v>
      </c>
      <c r="B161" s="70" t="s">
        <v>139</v>
      </c>
      <c r="C161" s="70" t="s">
        <v>820</v>
      </c>
      <c r="D161" s="63" t="s">
        <v>346</v>
      </c>
      <c r="E161" s="63"/>
      <c r="F161" s="143">
        <f>SUM(F154:F160)</f>
        <v>1822</v>
      </c>
      <c r="G161" s="143">
        <f>SUM(G154:G160)</f>
        <v>0</v>
      </c>
      <c r="H161" s="64">
        <f>SUM(H154:H160)</f>
        <v>1</v>
      </c>
      <c r="I161" s="64">
        <f>SUM(I154:I160)</f>
        <v>0</v>
      </c>
      <c r="J161" s="133"/>
      <c r="K161" s="137"/>
      <c r="L161" s="74"/>
      <c r="M161" s="74"/>
      <c r="N161" s="74"/>
    </row>
    <row r="162" spans="1:14" s="54" customFormat="1" x14ac:dyDescent="0.25">
      <c r="A162" s="54" t="s">
        <v>919</v>
      </c>
      <c r="B162" s="54" t="s">
        <v>143</v>
      </c>
      <c r="C162" s="54" t="s">
        <v>827</v>
      </c>
      <c r="D162" s="133" t="s">
        <v>836</v>
      </c>
      <c r="E162" s="133"/>
      <c r="F162" s="142">
        <v>124</v>
      </c>
      <c r="G162" s="142"/>
      <c r="H162" s="136">
        <f>F162/F$167</f>
        <v>0.29665071770334928</v>
      </c>
      <c r="I162" s="133"/>
      <c r="J162" s="133" t="s">
        <v>963</v>
      </c>
      <c r="K162" s="137" t="s">
        <v>750</v>
      </c>
      <c r="L162" s="74" t="s">
        <v>989</v>
      </c>
      <c r="M162" s="74"/>
      <c r="N162" s="74"/>
    </row>
    <row r="163" spans="1:14" s="54" customFormat="1" x14ac:dyDescent="0.25">
      <c r="A163" s="54" t="s">
        <v>919</v>
      </c>
      <c r="B163" s="54" t="s">
        <v>143</v>
      </c>
      <c r="C163" s="54" t="s">
        <v>827</v>
      </c>
      <c r="D163" s="133" t="s">
        <v>990</v>
      </c>
      <c r="E163" s="133"/>
      <c r="F163" s="142">
        <v>154</v>
      </c>
      <c r="G163" s="142"/>
      <c r="H163" s="136">
        <f t="shared" ref="H163:H166" si="22">F163/F$167</f>
        <v>0.36842105263157893</v>
      </c>
      <c r="I163" s="133"/>
      <c r="J163" s="133"/>
      <c r="K163" s="137"/>
      <c r="L163" s="74"/>
      <c r="M163" s="74"/>
      <c r="N163" s="74"/>
    </row>
    <row r="164" spans="1:14" s="466" customFormat="1" x14ac:dyDescent="0.25">
      <c r="A164" s="466" t="s">
        <v>919</v>
      </c>
      <c r="B164" s="466" t="s">
        <v>143</v>
      </c>
      <c r="C164" s="466" t="s">
        <v>827</v>
      </c>
      <c r="D164" s="303" t="s">
        <v>992</v>
      </c>
      <c r="E164" s="303"/>
      <c r="F164" s="467"/>
      <c r="G164" s="467"/>
      <c r="H164" s="471">
        <v>0</v>
      </c>
      <c r="I164" s="303"/>
      <c r="J164" s="303"/>
      <c r="K164" s="472"/>
      <c r="L164" s="470"/>
      <c r="M164" s="470"/>
      <c r="N164" s="470"/>
    </row>
    <row r="165" spans="1:14" s="54" customFormat="1" x14ac:dyDescent="0.25">
      <c r="A165" s="54" t="s">
        <v>919</v>
      </c>
      <c r="B165" s="54" t="s">
        <v>143</v>
      </c>
      <c r="C165" s="54" t="s">
        <v>827</v>
      </c>
      <c r="D165" s="133" t="s">
        <v>991</v>
      </c>
      <c r="E165" s="133"/>
      <c r="F165" s="142">
        <v>21</v>
      </c>
      <c r="G165" s="142"/>
      <c r="H165" s="136">
        <f t="shared" si="22"/>
        <v>5.0239234449760764E-2</v>
      </c>
      <c r="I165" s="133"/>
      <c r="J165" s="133"/>
      <c r="K165" s="137"/>
      <c r="L165" s="74"/>
      <c r="M165" s="74"/>
      <c r="N165" s="74"/>
    </row>
    <row r="166" spans="1:14" s="54" customFormat="1" x14ac:dyDescent="0.25">
      <c r="A166" s="54" t="s">
        <v>919</v>
      </c>
      <c r="B166" s="54" t="s">
        <v>143</v>
      </c>
      <c r="C166" s="54" t="s">
        <v>827</v>
      </c>
      <c r="D166" s="133" t="s">
        <v>404</v>
      </c>
      <c r="E166" s="133"/>
      <c r="F166" s="142">
        <v>119</v>
      </c>
      <c r="G166" s="142"/>
      <c r="H166" s="136">
        <f t="shared" si="22"/>
        <v>0.28468899521531099</v>
      </c>
      <c r="I166" s="133"/>
      <c r="J166" s="133"/>
      <c r="K166" s="137"/>
      <c r="L166" s="74"/>
      <c r="M166" s="74"/>
      <c r="N166" s="74"/>
    </row>
    <row r="167" spans="1:14" s="54" customFormat="1" x14ac:dyDescent="0.25">
      <c r="A167" s="54" t="s">
        <v>919</v>
      </c>
      <c r="B167" s="70" t="s">
        <v>143</v>
      </c>
      <c r="C167" s="70" t="s">
        <v>827</v>
      </c>
      <c r="D167" s="63" t="s">
        <v>346</v>
      </c>
      <c r="E167" s="63"/>
      <c r="F167" s="143">
        <f>SUM(F162:F166)</f>
        <v>418</v>
      </c>
      <c r="G167" s="143">
        <f>SUM(G162:G166)</f>
        <v>0</v>
      </c>
      <c r="H167" s="64">
        <f>SUM(H162:H166)</f>
        <v>1</v>
      </c>
      <c r="I167" s="64">
        <f>SUM(I162:I166)</f>
        <v>0</v>
      </c>
      <c r="J167" s="133"/>
      <c r="K167" s="137"/>
      <c r="L167" s="74"/>
      <c r="M167" s="74"/>
      <c r="N167" s="74"/>
    </row>
    <row r="168" spans="1:14" s="54" customFormat="1" x14ac:dyDescent="0.25">
      <c r="A168" s="54" t="s">
        <v>919</v>
      </c>
      <c r="B168" s="54" t="s">
        <v>143</v>
      </c>
      <c r="C168" s="54" t="s">
        <v>828</v>
      </c>
      <c r="D168" s="60" t="s">
        <v>836</v>
      </c>
      <c r="E168" s="60"/>
      <c r="F168" s="144">
        <v>69</v>
      </c>
      <c r="G168" s="144"/>
      <c r="H168" s="136">
        <f>F168/F$173</f>
        <v>0.12477396021699819</v>
      </c>
      <c r="I168" s="37"/>
      <c r="J168" s="133" t="s">
        <v>963</v>
      </c>
      <c r="K168" s="137" t="s">
        <v>750</v>
      </c>
      <c r="L168" s="74" t="s">
        <v>989</v>
      </c>
      <c r="M168" s="74"/>
      <c r="N168" s="74"/>
    </row>
    <row r="169" spans="1:14" s="466" customFormat="1" x14ac:dyDescent="0.25">
      <c r="A169" s="466" t="s">
        <v>919</v>
      </c>
      <c r="B169" s="466" t="s">
        <v>143</v>
      </c>
      <c r="C169" s="466" t="s">
        <v>828</v>
      </c>
      <c r="D169" s="303" t="s">
        <v>990</v>
      </c>
      <c r="E169" s="304"/>
      <c r="F169" s="474"/>
      <c r="G169" s="474"/>
      <c r="H169" s="471">
        <v>0</v>
      </c>
      <c r="I169" s="475"/>
      <c r="J169" s="303"/>
      <c r="K169" s="472"/>
      <c r="L169" s="470"/>
      <c r="M169" s="470"/>
      <c r="N169" s="470"/>
    </row>
    <row r="170" spans="1:14" s="54" customFormat="1" x14ac:dyDescent="0.25">
      <c r="A170" s="54" t="s">
        <v>919</v>
      </c>
      <c r="B170" s="54" t="s">
        <v>143</v>
      </c>
      <c r="C170" s="54" t="s">
        <v>828</v>
      </c>
      <c r="D170" s="133" t="s">
        <v>992</v>
      </c>
      <c r="E170" s="133"/>
      <c r="F170" s="142">
        <v>403</v>
      </c>
      <c r="G170" s="142"/>
      <c r="H170" s="136">
        <f t="shared" ref="H170:H172" si="23">F170/F$173</f>
        <v>0.72875226039783003</v>
      </c>
      <c r="I170" s="133"/>
      <c r="J170" s="133"/>
      <c r="K170" s="137"/>
      <c r="L170" s="74"/>
      <c r="M170" s="74"/>
      <c r="N170" s="74"/>
    </row>
    <row r="171" spans="1:14" s="54" customFormat="1" x14ac:dyDescent="0.25">
      <c r="A171" s="54" t="s">
        <v>919</v>
      </c>
      <c r="B171" s="54" t="s">
        <v>143</v>
      </c>
      <c r="C171" s="54" t="s">
        <v>828</v>
      </c>
      <c r="D171" s="133" t="s">
        <v>991</v>
      </c>
      <c r="E171" s="133"/>
      <c r="F171" s="142">
        <v>21</v>
      </c>
      <c r="G171" s="142"/>
      <c r="H171" s="136">
        <f t="shared" si="23"/>
        <v>3.7974683544303799E-2</v>
      </c>
      <c r="I171" s="133"/>
      <c r="J171" s="133"/>
      <c r="K171" s="137"/>
      <c r="L171" s="74"/>
      <c r="M171" s="74"/>
      <c r="N171" s="74"/>
    </row>
    <row r="172" spans="1:14" s="54" customFormat="1" x14ac:dyDescent="0.25">
      <c r="A172" s="54" t="s">
        <v>919</v>
      </c>
      <c r="B172" s="54" t="s">
        <v>143</v>
      </c>
      <c r="C172" s="54" t="s">
        <v>828</v>
      </c>
      <c r="D172" s="133" t="s">
        <v>404</v>
      </c>
      <c r="E172" s="133"/>
      <c r="F172" s="142">
        <v>60</v>
      </c>
      <c r="G172" s="142"/>
      <c r="H172" s="136">
        <f t="shared" si="23"/>
        <v>0.10849909584086799</v>
      </c>
      <c r="I172" s="133"/>
      <c r="J172" s="133"/>
      <c r="K172" s="137"/>
      <c r="L172" s="74"/>
      <c r="M172" s="74"/>
      <c r="N172" s="74"/>
    </row>
    <row r="173" spans="1:14" s="54" customFormat="1" x14ac:dyDescent="0.25">
      <c r="A173" s="54" t="s">
        <v>919</v>
      </c>
      <c r="B173" s="70" t="s">
        <v>143</v>
      </c>
      <c r="C173" s="70" t="s">
        <v>828</v>
      </c>
      <c r="D173" s="63" t="s">
        <v>346</v>
      </c>
      <c r="E173" s="63"/>
      <c r="F173" s="143">
        <f>SUM(F168:F172)</f>
        <v>553</v>
      </c>
      <c r="G173" s="143">
        <f>SUM(G168:G172)</f>
        <v>0</v>
      </c>
      <c r="H173" s="64">
        <f>SUM(H168:H172)</f>
        <v>1</v>
      </c>
      <c r="I173" s="64">
        <f>SUM(I168:I172)</f>
        <v>0</v>
      </c>
      <c r="J173" s="133"/>
      <c r="K173" s="51"/>
      <c r="L173" s="74"/>
      <c r="M173" s="74"/>
      <c r="N173" s="74"/>
    </row>
    <row r="174" spans="1:14" s="54" customFormat="1" x14ac:dyDescent="0.25">
      <c r="A174" s="54" t="s">
        <v>919</v>
      </c>
      <c r="B174" s="54" t="s">
        <v>143</v>
      </c>
      <c r="C174" s="54" t="s">
        <v>829</v>
      </c>
      <c r="D174" s="133" t="s">
        <v>836</v>
      </c>
      <c r="E174" s="133"/>
      <c r="F174" s="142">
        <v>104</v>
      </c>
      <c r="G174" s="142"/>
      <c r="H174" s="136">
        <f>F174/F$179</f>
        <v>0.13903743315508021</v>
      </c>
      <c r="I174" s="133"/>
      <c r="J174" s="133" t="s">
        <v>963</v>
      </c>
      <c r="K174" s="137" t="s">
        <v>750</v>
      </c>
      <c r="L174" s="74" t="s">
        <v>989</v>
      </c>
      <c r="M174" s="74"/>
      <c r="N174" s="74"/>
    </row>
    <row r="175" spans="1:14" s="466" customFormat="1" x14ac:dyDescent="0.25">
      <c r="A175" s="466" t="s">
        <v>919</v>
      </c>
      <c r="B175" s="466" t="s">
        <v>143</v>
      </c>
      <c r="C175" s="466" t="s">
        <v>829</v>
      </c>
      <c r="D175" s="303" t="s">
        <v>990</v>
      </c>
      <c r="E175" s="303"/>
      <c r="F175" s="467"/>
      <c r="G175" s="467"/>
      <c r="H175" s="471">
        <v>0</v>
      </c>
      <c r="I175" s="303"/>
      <c r="J175" s="303"/>
      <c r="K175" s="472"/>
      <c r="L175" s="470"/>
      <c r="M175" s="470"/>
      <c r="N175" s="470"/>
    </row>
    <row r="176" spans="1:14" s="54" customFormat="1" x14ac:dyDescent="0.25">
      <c r="A176" s="54" t="s">
        <v>919</v>
      </c>
      <c r="B176" s="54" t="s">
        <v>143</v>
      </c>
      <c r="C176" s="54" t="s">
        <v>829</v>
      </c>
      <c r="D176" s="133" t="s">
        <v>992</v>
      </c>
      <c r="E176" s="133"/>
      <c r="F176" s="142">
        <v>563</v>
      </c>
      <c r="G176" s="142"/>
      <c r="H176" s="136">
        <f t="shared" ref="H176:H178" si="24">F176/F$179</f>
        <v>0.75267379679144386</v>
      </c>
      <c r="I176" s="133"/>
      <c r="J176" s="133"/>
      <c r="K176" s="51"/>
      <c r="L176" s="74"/>
      <c r="M176" s="74"/>
      <c r="N176" s="74"/>
    </row>
    <row r="177" spans="1:14" s="54" customFormat="1" x14ac:dyDescent="0.25">
      <c r="A177" s="54" t="s">
        <v>919</v>
      </c>
      <c r="B177" s="54" t="s">
        <v>143</v>
      </c>
      <c r="C177" s="54" t="s">
        <v>829</v>
      </c>
      <c r="D177" s="133" t="s">
        <v>991</v>
      </c>
      <c r="E177" s="133"/>
      <c r="F177" s="142">
        <v>21</v>
      </c>
      <c r="G177" s="142"/>
      <c r="H177" s="136">
        <f t="shared" si="24"/>
        <v>2.8074866310160429E-2</v>
      </c>
      <c r="I177" s="133"/>
      <c r="J177" s="133"/>
      <c r="K177" s="51"/>
      <c r="L177" s="74"/>
      <c r="M177" s="74"/>
      <c r="N177" s="74"/>
    </row>
    <row r="178" spans="1:14" s="54" customFormat="1" x14ac:dyDescent="0.25">
      <c r="A178" s="54" t="s">
        <v>919</v>
      </c>
      <c r="B178" s="54" t="s">
        <v>143</v>
      </c>
      <c r="C178" s="54" t="s">
        <v>829</v>
      </c>
      <c r="D178" s="133" t="s">
        <v>404</v>
      </c>
      <c r="E178" s="133"/>
      <c r="F178" s="142">
        <v>60</v>
      </c>
      <c r="G178" s="142"/>
      <c r="H178" s="136">
        <f t="shared" si="24"/>
        <v>8.0213903743315509E-2</v>
      </c>
      <c r="I178" s="133"/>
      <c r="J178" s="133"/>
      <c r="K178" s="51"/>
      <c r="L178" s="74"/>
      <c r="M178" s="74"/>
      <c r="N178" s="74"/>
    </row>
    <row r="179" spans="1:14" s="54" customFormat="1" x14ac:dyDescent="0.25">
      <c r="A179" s="54" t="s">
        <v>919</v>
      </c>
      <c r="B179" s="70" t="s">
        <v>143</v>
      </c>
      <c r="C179" s="70" t="s">
        <v>829</v>
      </c>
      <c r="D179" s="63" t="s">
        <v>346</v>
      </c>
      <c r="E179" s="63"/>
      <c r="F179" s="143">
        <f>SUM(F174:F178)</f>
        <v>748</v>
      </c>
      <c r="G179" s="143">
        <f>SUM(G174:G178)</f>
        <v>0</v>
      </c>
      <c r="H179" s="64">
        <f>SUM(H174:H178)</f>
        <v>1</v>
      </c>
      <c r="I179" s="64">
        <f>SUM(I174:I178)</f>
        <v>0</v>
      </c>
      <c r="J179" s="133"/>
      <c r="K179" s="51"/>
      <c r="L179" s="74"/>
      <c r="M179" s="74"/>
      <c r="N179" s="74"/>
    </row>
  </sheetData>
  <hyperlinks>
    <hyperlink ref="K92" r:id="rId1"/>
    <hyperlink ref="K65" r:id="rId2"/>
    <hyperlink ref="K74" r:id="rId3"/>
    <hyperlink ref="K83" r:id="rId4"/>
    <hyperlink ref="K109" r:id="rId5"/>
    <hyperlink ref="K98" r:id="rId6"/>
    <hyperlink ref="K121" r:id="rId7"/>
    <hyperlink ref="K126" r:id="rId8"/>
    <hyperlink ref="K132" r:id="rId9"/>
    <hyperlink ref="K138" r:id="rId10"/>
    <hyperlink ref="K162" r:id="rId11"/>
    <hyperlink ref="K168" r:id="rId12"/>
    <hyperlink ref="K174" r:id="rId13"/>
    <hyperlink ref="K146" r:id="rId14"/>
    <hyperlink ref="K154" r:id="rId15"/>
    <hyperlink ref="K37" r:id="rId16"/>
    <hyperlink ref="K51" r:id="rId17"/>
    <hyperlink ref="K59" r:id="rId18"/>
    <hyperlink ref="K9" r:id="rId19" display="https://www.researchgate.net/figure/Cost-breakdown-for-base-case-scenario_fig4_326255004"/>
  </hyperlinks>
  <pageMargins left="0.7" right="0.7" top="0.78740157499999996" bottom="0.78740157499999996" header="0.3" footer="0.3"/>
  <pageSetup paperSize="9" orientation="portrait" r:id="rId20"/>
  <legacyDrawing r:id="rId2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02"/>
  <sheetViews>
    <sheetView topLeftCell="B1" zoomScale="75" zoomScaleNormal="75" workbookViewId="0">
      <pane ySplit="1" topLeftCell="A74" activePane="bottomLeft" state="frozen"/>
      <selection pane="bottomLeft" activeCell="M74" sqref="M74"/>
    </sheetView>
  </sheetViews>
  <sheetFormatPr defaultColWidth="9" defaultRowHeight="15" x14ac:dyDescent="0.25"/>
  <cols>
    <col min="1" max="1" width="44.375" style="1" customWidth="1"/>
    <col min="2" max="2" width="44.375" style="2" customWidth="1"/>
    <col min="3" max="3" width="12" style="2" customWidth="1"/>
    <col min="4" max="4" width="44.375" style="2" customWidth="1"/>
    <col min="5" max="6" width="44.375" style="15" customWidth="1"/>
    <col min="7" max="9" width="12" style="183" customWidth="1"/>
    <col min="10" max="13" width="12" style="220" customWidth="1"/>
    <col min="14" max="15" width="12" style="187" customWidth="1"/>
    <col min="16" max="16" width="12" style="1" customWidth="1"/>
    <col min="17" max="16384" width="9" style="1"/>
  </cols>
  <sheetData>
    <row r="1" spans="1:16" x14ac:dyDescent="0.25">
      <c r="A1" s="18" t="s">
        <v>368</v>
      </c>
      <c r="B1" s="18" t="s">
        <v>0</v>
      </c>
      <c r="C1" s="18" t="s">
        <v>1</v>
      </c>
      <c r="D1" s="18" t="s">
        <v>762</v>
      </c>
      <c r="E1" s="19" t="s">
        <v>366</v>
      </c>
      <c r="F1" s="249" t="s">
        <v>995</v>
      </c>
      <c r="G1" s="185" t="s">
        <v>1061</v>
      </c>
      <c r="H1" s="185" t="s">
        <v>1066</v>
      </c>
      <c r="I1" s="185" t="s">
        <v>1059</v>
      </c>
      <c r="J1" s="212" t="s">
        <v>1060</v>
      </c>
      <c r="K1" s="212" t="s">
        <v>1062</v>
      </c>
      <c r="L1" s="212" t="s">
        <v>1063</v>
      </c>
      <c r="M1" s="250" t="s">
        <v>1079</v>
      </c>
      <c r="N1" s="212" t="s">
        <v>1065</v>
      </c>
      <c r="O1" s="212" t="s">
        <v>1064</v>
      </c>
      <c r="P1" s="212" t="s">
        <v>1067</v>
      </c>
    </row>
    <row r="2" spans="1:16" ht="15" customHeight="1" x14ac:dyDescent="0.25">
      <c r="A2" s="132" t="s">
        <v>921</v>
      </c>
      <c r="B2" s="2" t="s">
        <v>342</v>
      </c>
      <c r="C2" s="2" t="s">
        <v>336</v>
      </c>
      <c r="D2" s="2" t="s">
        <v>361</v>
      </c>
      <c r="E2" s="12" t="s">
        <v>381</v>
      </c>
      <c r="F2" s="39" t="s">
        <v>223</v>
      </c>
      <c r="G2" s="178"/>
      <c r="H2" s="178"/>
      <c r="I2" s="178"/>
      <c r="J2" s="213"/>
      <c r="K2" s="213"/>
      <c r="L2" s="213"/>
      <c r="M2" s="213"/>
    </row>
    <row r="3" spans="1:16" ht="15" customHeight="1" x14ac:dyDescent="0.25">
      <c r="A3" s="132" t="s">
        <v>921</v>
      </c>
      <c r="B3" s="2" t="s">
        <v>342</v>
      </c>
      <c r="C3" s="2" t="s">
        <v>336</v>
      </c>
      <c r="D3" s="2" t="s">
        <v>361</v>
      </c>
      <c r="E3" s="12" t="s">
        <v>381</v>
      </c>
      <c r="F3" s="6" t="s">
        <v>197</v>
      </c>
      <c r="G3" s="178"/>
      <c r="H3" s="178"/>
      <c r="I3" s="178"/>
      <c r="J3" s="213"/>
      <c r="K3" s="213"/>
      <c r="L3" s="213"/>
      <c r="M3" s="213"/>
    </row>
    <row r="4" spans="1:16" ht="15" customHeight="1" x14ac:dyDescent="0.25">
      <c r="A4" s="132" t="s">
        <v>921</v>
      </c>
      <c r="B4" s="2" t="s">
        <v>342</v>
      </c>
      <c r="C4" s="2" t="s">
        <v>336</v>
      </c>
      <c r="D4" s="2" t="s">
        <v>361</v>
      </c>
      <c r="E4" s="12" t="s">
        <v>382</v>
      </c>
      <c r="F4" s="38" t="s">
        <v>372</v>
      </c>
      <c r="G4" s="180"/>
      <c r="H4" s="180"/>
      <c r="I4" s="180"/>
      <c r="J4" s="214"/>
      <c r="K4" s="214"/>
      <c r="L4" s="214"/>
      <c r="M4" s="214"/>
    </row>
    <row r="5" spans="1:16" ht="15" customHeight="1" x14ac:dyDescent="0.25">
      <c r="A5" s="132" t="s">
        <v>921</v>
      </c>
      <c r="B5" s="2" t="s">
        <v>342</v>
      </c>
      <c r="C5" s="2" t="s">
        <v>336</v>
      </c>
      <c r="D5" s="2" t="s">
        <v>361</v>
      </c>
      <c r="E5" s="12" t="s">
        <v>382</v>
      </c>
      <c r="F5" s="38" t="s">
        <v>373</v>
      </c>
      <c r="G5" s="180"/>
      <c r="H5" s="180"/>
      <c r="I5" s="180"/>
      <c r="J5" s="214"/>
      <c r="K5" s="214"/>
      <c r="L5" s="214"/>
      <c r="M5" s="214"/>
    </row>
    <row r="6" spans="1:16" ht="15" customHeight="1" x14ac:dyDescent="0.25">
      <c r="A6" s="132" t="s">
        <v>921</v>
      </c>
      <c r="B6" s="2" t="s">
        <v>342</v>
      </c>
      <c r="C6" s="2" t="s">
        <v>336</v>
      </c>
      <c r="D6" s="2" t="s">
        <v>361</v>
      </c>
      <c r="E6" s="12" t="s">
        <v>382</v>
      </c>
      <c r="F6" s="38" t="s">
        <v>374</v>
      </c>
      <c r="G6" s="180"/>
      <c r="H6" s="180"/>
      <c r="I6" s="180"/>
      <c r="J6" s="214"/>
      <c r="K6" s="214"/>
      <c r="L6" s="214"/>
      <c r="M6" s="214"/>
    </row>
    <row r="7" spans="1:16" ht="15" customHeight="1" x14ac:dyDescent="0.25">
      <c r="A7" s="132" t="s">
        <v>921</v>
      </c>
      <c r="B7" s="2" t="s">
        <v>342</v>
      </c>
      <c r="C7" s="2" t="s">
        <v>336</v>
      </c>
      <c r="D7" s="2" t="s">
        <v>361</v>
      </c>
      <c r="E7" s="12" t="s">
        <v>383</v>
      </c>
      <c r="F7" s="5" t="s">
        <v>269</v>
      </c>
      <c r="G7" s="181"/>
      <c r="H7" s="181"/>
      <c r="I7" s="181"/>
      <c r="J7" s="86"/>
      <c r="K7" s="86"/>
      <c r="L7" s="86"/>
      <c r="M7" s="86"/>
    </row>
    <row r="8" spans="1:16" ht="15" customHeight="1" x14ac:dyDescent="0.25">
      <c r="A8" s="132" t="s">
        <v>921</v>
      </c>
      <c r="B8" s="2" t="s">
        <v>342</v>
      </c>
      <c r="C8" s="2" t="s">
        <v>336</v>
      </c>
      <c r="D8" s="2" t="s">
        <v>361</v>
      </c>
      <c r="E8" s="12" t="s">
        <v>384</v>
      </c>
      <c r="F8" s="38" t="s">
        <v>376</v>
      </c>
      <c r="G8" s="180"/>
      <c r="H8" s="180"/>
      <c r="I8" s="180"/>
      <c r="J8" s="214"/>
      <c r="K8" s="214"/>
      <c r="L8" s="214"/>
      <c r="M8" s="214"/>
    </row>
    <row r="9" spans="1:16" ht="15" customHeight="1" x14ac:dyDescent="0.25">
      <c r="A9" s="132" t="s">
        <v>921</v>
      </c>
      <c r="B9" s="2" t="s">
        <v>342</v>
      </c>
      <c r="C9" s="2" t="s">
        <v>336</v>
      </c>
      <c r="D9" s="2" t="s">
        <v>361</v>
      </c>
      <c r="E9" s="12" t="s">
        <v>385</v>
      </c>
      <c r="F9" s="5" t="s">
        <v>255</v>
      </c>
      <c r="G9" s="181"/>
      <c r="H9" s="181"/>
      <c r="I9" s="181"/>
      <c r="J9" s="86"/>
      <c r="K9" s="86"/>
      <c r="L9" s="86"/>
      <c r="M9" s="86"/>
    </row>
    <row r="10" spans="1:16" ht="15" customHeight="1" x14ac:dyDescent="0.25">
      <c r="A10" s="132" t="s">
        <v>921</v>
      </c>
      <c r="B10" s="2" t="s">
        <v>342</v>
      </c>
      <c r="C10" s="2" t="s">
        <v>336</v>
      </c>
      <c r="D10" s="2" t="s">
        <v>361</v>
      </c>
      <c r="E10" s="12" t="s">
        <v>385</v>
      </c>
      <c r="F10" s="5" t="s">
        <v>257</v>
      </c>
      <c r="G10" s="181"/>
      <c r="H10" s="181"/>
      <c r="I10" s="181"/>
      <c r="J10" s="86"/>
      <c r="K10" s="86"/>
      <c r="L10" s="86"/>
      <c r="M10" s="86"/>
    </row>
    <row r="11" spans="1:16" ht="15" customHeight="1" x14ac:dyDescent="0.25">
      <c r="A11" s="132" t="s">
        <v>921</v>
      </c>
      <c r="B11" s="2" t="s">
        <v>342</v>
      </c>
      <c r="C11" s="2" t="s">
        <v>336</v>
      </c>
      <c r="D11" s="2" t="s">
        <v>361</v>
      </c>
      <c r="E11" s="12" t="s">
        <v>386</v>
      </c>
      <c r="F11" s="5" t="s">
        <v>215</v>
      </c>
      <c r="G11" s="181"/>
      <c r="H11" s="181"/>
      <c r="I11" s="181"/>
      <c r="J11" s="86"/>
      <c r="K11" s="86"/>
      <c r="L11" s="86"/>
      <c r="M11" s="86"/>
    </row>
    <row r="12" spans="1:16" ht="15" customHeight="1" x14ac:dyDescent="0.25">
      <c r="A12" s="132" t="s">
        <v>921</v>
      </c>
      <c r="B12" s="24" t="s">
        <v>342</v>
      </c>
      <c r="C12" s="24" t="s">
        <v>336</v>
      </c>
      <c r="D12" s="24" t="s">
        <v>361</v>
      </c>
      <c r="E12" s="31" t="s">
        <v>346</v>
      </c>
      <c r="F12" s="153"/>
      <c r="G12" s="182"/>
      <c r="H12" s="182"/>
      <c r="I12" s="182"/>
      <c r="J12" s="215"/>
      <c r="K12" s="215"/>
      <c r="L12" s="215"/>
      <c r="M12" s="215"/>
    </row>
    <row r="13" spans="1:16" ht="15" customHeight="1" x14ac:dyDescent="0.25">
      <c r="A13" s="132" t="s">
        <v>921</v>
      </c>
      <c r="B13" s="2" t="s">
        <v>12</v>
      </c>
      <c r="C13" s="2" t="s">
        <v>13</v>
      </c>
      <c r="D13" s="2" t="s">
        <v>514</v>
      </c>
      <c r="E13" s="12" t="s">
        <v>410</v>
      </c>
      <c r="F13" s="6" t="s">
        <v>147</v>
      </c>
      <c r="G13" s="178"/>
      <c r="H13" s="178"/>
      <c r="I13" s="178"/>
      <c r="J13" s="213"/>
      <c r="K13" s="213"/>
      <c r="L13" s="213"/>
      <c r="M13" s="213"/>
    </row>
    <row r="14" spans="1:16" ht="15" customHeight="1" x14ac:dyDescent="0.25">
      <c r="A14" s="132" t="s">
        <v>921</v>
      </c>
      <c r="B14" s="2" t="s">
        <v>12</v>
      </c>
      <c r="C14" s="2" t="s">
        <v>13</v>
      </c>
      <c r="D14" s="2" t="s">
        <v>514</v>
      </c>
      <c r="E14" s="12" t="s">
        <v>403</v>
      </c>
      <c r="F14" s="38" t="s">
        <v>372</v>
      </c>
      <c r="G14" s="180"/>
      <c r="H14" s="180"/>
      <c r="I14" s="180"/>
      <c r="J14" s="214"/>
      <c r="K14" s="214"/>
      <c r="L14" s="214"/>
      <c r="M14" s="214"/>
    </row>
    <row r="15" spans="1:16" ht="15" customHeight="1" x14ac:dyDescent="0.25">
      <c r="A15" s="132" t="s">
        <v>921</v>
      </c>
      <c r="B15" s="2" t="s">
        <v>12</v>
      </c>
      <c r="C15" s="2" t="s">
        <v>13</v>
      </c>
      <c r="D15" s="2" t="s">
        <v>514</v>
      </c>
      <c r="E15" s="12" t="s">
        <v>403</v>
      </c>
      <c r="F15" s="38" t="s">
        <v>373</v>
      </c>
      <c r="G15" s="180"/>
      <c r="H15" s="180"/>
      <c r="I15" s="180"/>
      <c r="J15" s="214"/>
      <c r="K15" s="214"/>
      <c r="L15" s="214"/>
      <c r="M15" s="214"/>
    </row>
    <row r="16" spans="1:16" ht="15" customHeight="1" x14ac:dyDescent="0.25">
      <c r="A16" s="132" t="s">
        <v>921</v>
      </c>
      <c r="B16" s="2" t="s">
        <v>12</v>
      </c>
      <c r="C16" s="2" t="s">
        <v>13</v>
      </c>
      <c r="D16" s="2" t="s">
        <v>514</v>
      </c>
      <c r="E16" s="12" t="s">
        <v>403</v>
      </c>
      <c r="F16" s="38" t="s">
        <v>374</v>
      </c>
      <c r="G16" s="180"/>
      <c r="H16" s="180"/>
      <c r="I16" s="180"/>
      <c r="J16" s="214"/>
      <c r="K16" s="214"/>
      <c r="L16" s="214"/>
      <c r="M16" s="214"/>
    </row>
    <row r="17" spans="1:13" ht="15" customHeight="1" x14ac:dyDescent="0.25">
      <c r="A17" s="132" t="s">
        <v>921</v>
      </c>
      <c r="B17" s="2" t="s">
        <v>12</v>
      </c>
      <c r="C17" s="2" t="s">
        <v>13</v>
      </c>
      <c r="D17" s="2" t="s">
        <v>514</v>
      </c>
      <c r="E17" s="12" t="s">
        <v>412</v>
      </c>
      <c r="F17" s="6" t="s">
        <v>197</v>
      </c>
      <c r="G17" s="178"/>
      <c r="H17" s="178"/>
      <c r="I17" s="178"/>
      <c r="J17" s="213"/>
      <c r="K17" s="213"/>
      <c r="L17" s="213"/>
      <c r="M17" s="213"/>
    </row>
    <row r="18" spans="1:13" ht="15" customHeight="1" x14ac:dyDescent="0.25">
      <c r="A18" s="132" t="s">
        <v>921</v>
      </c>
      <c r="B18" s="2" t="s">
        <v>12</v>
      </c>
      <c r="C18" s="2" t="s">
        <v>13</v>
      </c>
      <c r="D18" s="2" t="s">
        <v>514</v>
      </c>
      <c r="E18" s="12" t="s">
        <v>413</v>
      </c>
      <c r="F18" s="5" t="s">
        <v>249</v>
      </c>
      <c r="G18" s="181"/>
      <c r="H18" s="181"/>
      <c r="I18" s="181"/>
      <c r="J18" s="86"/>
      <c r="K18" s="86"/>
      <c r="L18" s="86"/>
      <c r="M18" s="86"/>
    </row>
    <row r="19" spans="1:13" ht="15" customHeight="1" x14ac:dyDescent="0.25">
      <c r="A19" s="132" t="s">
        <v>921</v>
      </c>
      <c r="B19" s="2" t="s">
        <v>12</v>
      </c>
      <c r="C19" s="2" t="s">
        <v>13</v>
      </c>
      <c r="D19" s="2" t="s">
        <v>514</v>
      </c>
      <c r="E19" s="12" t="s">
        <v>333</v>
      </c>
      <c r="F19" s="5" t="s">
        <v>239</v>
      </c>
      <c r="G19" s="181"/>
      <c r="H19" s="181"/>
      <c r="I19" s="181"/>
      <c r="J19" s="86"/>
      <c r="K19" s="86"/>
      <c r="L19" s="86"/>
      <c r="M19" s="86"/>
    </row>
    <row r="20" spans="1:13" ht="15" customHeight="1" x14ac:dyDescent="0.25">
      <c r="A20" s="132" t="s">
        <v>921</v>
      </c>
      <c r="B20" s="2" t="s">
        <v>12</v>
      </c>
      <c r="C20" s="2" t="s">
        <v>13</v>
      </c>
      <c r="D20" s="2" t="s">
        <v>514</v>
      </c>
      <c r="E20" s="12" t="s">
        <v>414</v>
      </c>
      <c r="F20" s="39" t="s">
        <v>223</v>
      </c>
      <c r="G20" s="178"/>
      <c r="H20" s="178"/>
      <c r="I20" s="178"/>
      <c r="J20" s="213"/>
      <c r="K20" s="213"/>
      <c r="L20" s="213"/>
      <c r="M20" s="213"/>
    </row>
    <row r="21" spans="1:13" ht="15" customHeight="1" x14ac:dyDescent="0.25">
      <c r="A21" s="132" t="s">
        <v>921</v>
      </c>
      <c r="B21" s="2" t="s">
        <v>12</v>
      </c>
      <c r="C21" s="2" t="s">
        <v>13</v>
      </c>
      <c r="D21" s="2" t="s">
        <v>514</v>
      </c>
      <c r="E21" s="12" t="s">
        <v>335</v>
      </c>
      <c r="F21" s="5" t="s">
        <v>255</v>
      </c>
      <c r="G21" s="181"/>
      <c r="H21" s="181"/>
      <c r="I21" s="181"/>
      <c r="J21" s="86"/>
      <c r="K21" s="86"/>
      <c r="L21" s="86"/>
      <c r="M21" s="86"/>
    </row>
    <row r="22" spans="1:13" ht="15" customHeight="1" x14ac:dyDescent="0.25">
      <c r="A22" s="132" t="s">
        <v>921</v>
      </c>
      <c r="B22" s="2" t="s">
        <v>12</v>
      </c>
      <c r="C22" s="2" t="s">
        <v>13</v>
      </c>
      <c r="D22" s="2" t="s">
        <v>514</v>
      </c>
      <c r="E22" s="12" t="s">
        <v>335</v>
      </c>
      <c r="F22" s="5" t="s">
        <v>257</v>
      </c>
      <c r="G22" s="181"/>
      <c r="H22" s="181"/>
      <c r="I22" s="181"/>
      <c r="J22" s="86"/>
      <c r="K22" s="86"/>
      <c r="L22" s="86"/>
      <c r="M22" s="86"/>
    </row>
    <row r="23" spans="1:13" ht="15" customHeight="1" x14ac:dyDescent="0.25">
      <c r="A23" s="132" t="s">
        <v>921</v>
      </c>
      <c r="B23" s="2" t="s">
        <v>12</v>
      </c>
      <c r="C23" s="2" t="s">
        <v>13</v>
      </c>
      <c r="D23" s="2" t="s">
        <v>514</v>
      </c>
      <c r="E23" s="12" t="s">
        <v>335</v>
      </c>
      <c r="F23" s="5" t="s">
        <v>269</v>
      </c>
      <c r="G23" s="181"/>
      <c r="H23" s="181"/>
      <c r="I23" s="181"/>
      <c r="J23" s="86"/>
      <c r="K23" s="86"/>
      <c r="L23" s="86"/>
      <c r="M23" s="86"/>
    </row>
    <row r="24" spans="1:13" ht="15" customHeight="1" x14ac:dyDescent="0.25">
      <c r="A24" s="132" t="s">
        <v>921</v>
      </c>
      <c r="B24" s="2" t="s">
        <v>12</v>
      </c>
      <c r="C24" s="2" t="s">
        <v>13</v>
      </c>
      <c r="D24" s="2" t="s">
        <v>514</v>
      </c>
      <c r="E24" s="12" t="s">
        <v>415</v>
      </c>
      <c r="F24" s="6" t="s">
        <v>275</v>
      </c>
      <c r="G24" s="178"/>
      <c r="H24" s="178"/>
      <c r="I24" s="178"/>
      <c r="J24" s="213"/>
      <c r="K24" s="213"/>
      <c r="L24" s="213"/>
      <c r="M24" s="213"/>
    </row>
    <row r="25" spans="1:13" ht="15" customHeight="1" x14ac:dyDescent="0.25">
      <c r="A25" s="132" t="s">
        <v>921</v>
      </c>
      <c r="B25" s="2" t="s">
        <v>12</v>
      </c>
      <c r="C25" s="2" t="s">
        <v>13</v>
      </c>
      <c r="D25" s="2" t="s">
        <v>514</v>
      </c>
      <c r="E25" s="12" t="s">
        <v>415</v>
      </c>
      <c r="F25" s="6" t="s">
        <v>277</v>
      </c>
      <c r="G25" s="178"/>
      <c r="H25" s="178"/>
      <c r="I25" s="178"/>
      <c r="J25" s="213"/>
      <c r="K25" s="213"/>
      <c r="L25" s="213"/>
      <c r="M25" s="213"/>
    </row>
    <row r="26" spans="1:13" ht="15" customHeight="1" x14ac:dyDescent="0.25">
      <c r="A26" s="132" t="s">
        <v>921</v>
      </c>
      <c r="B26" s="2" t="s">
        <v>12</v>
      </c>
      <c r="C26" s="2" t="s">
        <v>13</v>
      </c>
      <c r="D26" s="2" t="s">
        <v>514</v>
      </c>
      <c r="E26" s="12" t="s">
        <v>415</v>
      </c>
      <c r="F26" s="6" t="s">
        <v>279</v>
      </c>
      <c r="G26" s="178"/>
      <c r="H26" s="178"/>
      <c r="I26" s="178"/>
      <c r="J26" s="213"/>
      <c r="K26" s="213"/>
      <c r="L26" s="213"/>
      <c r="M26" s="213"/>
    </row>
    <row r="27" spans="1:13" ht="15" customHeight="1" x14ac:dyDescent="0.25">
      <c r="A27" s="132" t="s">
        <v>921</v>
      </c>
      <c r="B27" s="2" t="s">
        <v>12</v>
      </c>
      <c r="C27" s="2" t="s">
        <v>13</v>
      </c>
      <c r="D27" s="2" t="s">
        <v>514</v>
      </c>
      <c r="E27" s="12" t="s">
        <v>415</v>
      </c>
      <c r="F27" s="6" t="s">
        <v>281</v>
      </c>
      <c r="G27" s="178"/>
      <c r="H27" s="178"/>
      <c r="I27" s="178"/>
      <c r="J27" s="213"/>
      <c r="K27" s="213"/>
      <c r="L27" s="213"/>
      <c r="M27" s="213"/>
    </row>
    <row r="28" spans="1:13" ht="15" customHeight="1" x14ac:dyDescent="0.25">
      <c r="A28" s="132" t="s">
        <v>921</v>
      </c>
      <c r="B28" s="2" t="s">
        <v>12</v>
      </c>
      <c r="C28" s="2" t="s">
        <v>13</v>
      </c>
      <c r="D28" s="2" t="s">
        <v>514</v>
      </c>
      <c r="E28" s="12" t="s">
        <v>415</v>
      </c>
      <c r="F28" s="6" t="s">
        <v>283</v>
      </c>
      <c r="G28" s="178"/>
      <c r="H28" s="178"/>
      <c r="I28" s="178"/>
      <c r="J28" s="213"/>
      <c r="K28" s="213"/>
      <c r="L28" s="213"/>
      <c r="M28" s="213"/>
    </row>
    <row r="29" spans="1:13" ht="15" customHeight="1" x14ac:dyDescent="0.25">
      <c r="A29" s="132" t="s">
        <v>921</v>
      </c>
      <c r="B29" s="2" t="s">
        <v>12</v>
      </c>
      <c r="C29" s="2" t="s">
        <v>13</v>
      </c>
      <c r="D29" s="2" t="s">
        <v>514</v>
      </c>
      <c r="E29" s="12" t="s">
        <v>415</v>
      </c>
      <c r="F29" s="6" t="s">
        <v>285</v>
      </c>
      <c r="G29" s="178"/>
      <c r="H29" s="178"/>
      <c r="I29" s="178"/>
      <c r="J29" s="213"/>
      <c r="K29" s="213"/>
      <c r="L29" s="213"/>
      <c r="M29" s="213"/>
    </row>
    <row r="30" spans="1:13" ht="15" customHeight="1" x14ac:dyDescent="0.25">
      <c r="A30" s="132" t="s">
        <v>921</v>
      </c>
      <c r="B30" s="2" t="s">
        <v>12</v>
      </c>
      <c r="C30" s="2" t="s">
        <v>13</v>
      </c>
      <c r="D30" s="2" t="s">
        <v>514</v>
      </c>
      <c r="E30" s="12" t="s">
        <v>415</v>
      </c>
      <c r="F30" s="6" t="s">
        <v>287</v>
      </c>
      <c r="G30" s="178"/>
      <c r="H30" s="178"/>
      <c r="I30" s="178"/>
      <c r="J30" s="213"/>
      <c r="K30" s="213"/>
      <c r="L30" s="213"/>
      <c r="M30" s="213"/>
    </row>
    <row r="31" spans="1:13" ht="15" customHeight="1" x14ac:dyDescent="0.25">
      <c r="A31" s="132" t="s">
        <v>921</v>
      </c>
      <c r="B31" s="2" t="s">
        <v>12</v>
      </c>
      <c r="C31" s="2" t="s">
        <v>13</v>
      </c>
      <c r="D31" s="2" t="s">
        <v>514</v>
      </c>
      <c r="E31" s="12" t="s">
        <v>415</v>
      </c>
      <c r="F31" s="6" t="s">
        <v>289</v>
      </c>
      <c r="G31" s="178"/>
      <c r="H31" s="178"/>
      <c r="I31" s="178"/>
      <c r="J31" s="213"/>
      <c r="K31" s="213"/>
      <c r="L31" s="213"/>
      <c r="M31" s="213"/>
    </row>
    <row r="32" spans="1:13" ht="15" customHeight="1" x14ac:dyDescent="0.25">
      <c r="A32" s="132" t="s">
        <v>921</v>
      </c>
      <c r="B32" s="2" t="s">
        <v>12</v>
      </c>
      <c r="C32" s="2" t="s">
        <v>13</v>
      </c>
      <c r="D32" s="2" t="s">
        <v>514</v>
      </c>
      <c r="E32" s="12" t="s">
        <v>415</v>
      </c>
      <c r="F32" s="6" t="s">
        <v>291</v>
      </c>
      <c r="G32" s="178"/>
      <c r="H32" s="178"/>
      <c r="I32" s="178"/>
      <c r="J32" s="213"/>
      <c r="K32" s="213"/>
      <c r="L32" s="213"/>
      <c r="M32" s="213"/>
    </row>
    <row r="33" spans="1:13" ht="15" customHeight="1" x14ac:dyDescent="0.25">
      <c r="A33" s="132" t="s">
        <v>921</v>
      </c>
      <c r="B33" s="2" t="s">
        <v>12</v>
      </c>
      <c r="C33" s="2" t="s">
        <v>13</v>
      </c>
      <c r="D33" s="2" t="s">
        <v>514</v>
      </c>
      <c r="E33" s="12" t="s">
        <v>415</v>
      </c>
      <c r="F33" s="6" t="s">
        <v>293</v>
      </c>
      <c r="G33" s="178"/>
      <c r="H33" s="178"/>
      <c r="I33" s="178"/>
      <c r="J33" s="213"/>
      <c r="K33" s="213"/>
      <c r="L33" s="213"/>
      <c r="M33" s="213"/>
    </row>
    <row r="34" spans="1:13" ht="15" customHeight="1" x14ac:dyDescent="0.25">
      <c r="A34" s="132" t="s">
        <v>921</v>
      </c>
      <c r="B34" s="2" t="s">
        <v>12</v>
      </c>
      <c r="C34" s="2" t="s">
        <v>13</v>
      </c>
      <c r="D34" s="2" t="s">
        <v>514</v>
      </c>
      <c r="E34" s="12" t="s">
        <v>415</v>
      </c>
      <c r="F34" s="6" t="s">
        <v>295</v>
      </c>
      <c r="G34" s="178"/>
      <c r="H34" s="178"/>
      <c r="I34" s="178"/>
      <c r="J34" s="213"/>
      <c r="K34" s="213"/>
      <c r="L34" s="213"/>
      <c r="M34" s="213"/>
    </row>
    <row r="35" spans="1:13" ht="15" customHeight="1" x14ac:dyDescent="0.25">
      <c r="A35" s="132" t="s">
        <v>921</v>
      </c>
      <c r="B35" s="2" t="s">
        <v>12</v>
      </c>
      <c r="C35" s="2" t="s">
        <v>13</v>
      </c>
      <c r="D35" s="2" t="s">
        <v>514</v>
      </c>
      <c r="E35" s="12" t="s">
        <v>415</v>
      </c>
      <c r="F35" s="6" t="s">
        <v>297</v>
      </c>
      <c r="G35" s="178"/>
      <c r="H35" s="178"/>
      <c r="I35" s="178"/>
      <c r="J35" s="213"/>
      <c r="K35" s="213"/>
      <c r="L35" s="213"/>
      <c r="M35" s="213"/>
    </row>
    <row r="36" spans="1:13" ht="15" customHeight="1" x14ac:dyDescent="0.25">
      <c r="A36" s="132" t="s">
        <v>921</v>
      </c>
      <c r="B36" s="2" t="s">
        <v>12</v>
      </c>
      <c r="C36" s="2" t="s">
        <v>13</v>
      </c>
      <c r="D36" s="2" t="s">
        <v>514</v>
      </c>
      <c r="E36" s="12" t="s">
        <v>415</v>
      </c>
      <c r="F36" s="6" t="s">
        <v>299</v>
      </c>
      <c r="G36" s="178"/>
      <c r="H36" s="178"/>
      <c r="I36" s="178"/>
      <c r="J36" s="213"/>
      <c r="K36" s="213"/>
      <c r="L36" s="213"/>
      <c r="M36" s="213"/>
    </row>
    <row r="37" spans="1:13" ht="15" customHeight="1" x14ac:dyDescent="0.25">
      <c r="A37" s="132" t="s">
        <v>921</v>
      </c>
      <c r="B37" s="2" t="s">
        <v>12</v>
      </c>
      <c r="C37" s="2" t="s">
        <v>13</v>
      </c>
      <c r="D37" s="2" t="s">
        <v>514</v>
      </c>
      <c r="E37" s="12" t="s">
        <v>415</v>
      </c>
      <c r="F37" s="6" t="s">
        <v>301</v>
      </c>
      <c r="G37" s="178"/>
      <c r="H37" s="178"/>
      <c r="I37" s="178"/>
      <c r="J37" s="213"/>
      <c r="K37" s="213"/>
      <c r="L37" s="213"/>
      <c r="M37" s="213"/>
    </row>
    <row r="38" spans="1:13" ht="15" customHeight="1" x14ac:dyDescent="0.25">
      <c r="A38" s="132" t="s">
        <v>921</v>
      </c>
      <c r="B38" s="2" t="s">
        <v>12</v>
      </c>
      <c r="C38" s="2" t="s">
        <v>13</v>
      </c>
      <c r="D38" s="2" t="s">
        <v>514</v>
      </c>
      <c r="E38" s="12" t="s">
        <v>415</v>
      </c>
      <c r="F38" s="6" t="s">
        <v>303</v>
      </c>
      <c r="G38" s="178"/>
      <c r="H38" s="178"/>
      <c r="I38" s="178"/>
      <c r="J38" s="213"/>
      <c r="K38" s="213"/>
      <c r="L38" s="213"/>
      <c r="M38" s="213"/>
    </row>
    <row r="39" spans="1:13" ht="15" customHeight="1" x14ac:dyDescent="0.25">
      <c r="A39" s="132" t="s">
        <v>921</v>
      </c>
      <c r="B39" s="2" t="s">
        <v>12</v>
      </c>
      <c r="C39" s="2" t="s">
        <v>13</v>
      </c>
      <c r="D39" s="2" t="s">
        <v>514</v>
      </c>
      <c r="E39" s="12" t="s">
        <v>415</v>
      </c>
      <c r="F39" s="6" t="s">
        <v>305</v>
      </c>
      <c r="G39" s="178"/>
      <c r="H39" s="178"/>
      <c r="I39" s="178"/>
      <c r="J39" s="213"/>
      <c r="K39" s="213"/>
      <c r="L39" s="213"/>
      <c r="M39" s="213"/>
    </row>
    <row r="40" spans="1:13" ht="15" customHeight="1" x14ac:dyDescent="0.25">
      <c r="A40" s="132" t="s">
        <v>921</v>
      </c>
      <c r="B40" s="2" t="s">
        <v>12</v>
      </c>
      <c r="C40" s="2" t="s">
        <v>13</v>
      </c>
      <c r="D40" s="2" t="s">
        <v>514</v>
      </c>
      <c r="E40" s="12" t="s">
        <v>415</v>
      </c>
      <c r="F40" s="6" t="s">
        <v>307</v>
      </c>
      <c r="G40" s="178"/>
      <c r="H40" s="178"/>
      <c r="I40" s="178"/>
      <c r="J40" s="213"/>
      <c r="K40" s="213"/>
      <c r="L40" s="213"/>
      <c r="M40" s="213"/>
    </row>
    <row r="41" spans="1:13" ht="15" customHeight="1" x14ac:dyDescent="0.25">
      <c r="A41" s="132" t="s">
        <v>921</v>
      </c>
      <c r="B41" s="2" t="s">
        <v>12</v>
      </c>
      <c r="C41" s="2" t="s">
        <v>13</v>
      </c>
      <c r="D41" s="2" t="s">
        <v>514</v>
      </c>
      <c r="E41" s="12" t="s">
        <v>415</v>
      </c>
      <c r="F41" s="6" t="s">
        <v>309</v>
      </c>
      <c r="G41" s="178"/>
      <c r="H41" s="178"/>
      <c r="I41" s="178"/>
      <c r="J41" s="213"/>
      <c r="K41" s="213"/>
      <c r="L41" s="213"/>
      <c r="M41" s="213"/>
    </row>
    <row r="42" spans="1:13" ht="15" customHeight="1" x14ac:dyDescent="0.25">
      <c r="A42" s="132" t="s">
        <v>921</v>
      </c>
      <c r="B42" s="2" t="s">
        <v>12</v>
      </c>
      <c r="C42" s="2" t="s">
        <v>13</v>
      </c>
      <c r="D42" s="2" t="s">
        <v>514</v>
      </c>
      <c r="E42" s="12" t="s">
        <v>415</v>
      </c>
      <c r="F42" s="6" t="s">
        <v>311</v>
      </c>
      <c r="G42" s="178"/>
      <c r="H42" s="178"/>
      <c r="I42" s="178"/>
      <c r="J42" s="213"/>
      <c r="K42" s="213"/>
      <c r="L42" s="213"/>
      <c r="M42" s="213"/>
    </row>
    <row r="43" spans="1:13" ht="15" customHeight="1" x14ac:dyDescent="0.25">
      <c r="A43" s="132" t="s">
        <v>921</v>
      </c>
      <c r="B43" s="2" t="s">
        <v>12</v>
      </c>
      <c r="C43" s="2" t="s">
        <v>13</v>
      </c>
      <c r="D43" s="2" t="s">
        <v>514</v>
      </c>
      <c r="E43" s="12" t="s">
        <v>415</v>
      </c>
      <c r="F43" s="6" t="s">
        <v>313</v>
      </c>
      <c r="G43" s="178"/>
      <c r="H43" s="178"/>
      <c r="I43" s="178"/>
      <c r="J43" s="213"/>
      <c r="K43" s="213"/>
      <c r="L43" s="213"/>
      <c r="M43" s="213"/>
    </row>
    <row r="44" spans="1:13" ht="15" customHeight="1" x14ac:dyDescent="0.25">
      <c r="A44" s="132" t="s">
        <v>921</v>
      </c>
      <c r="B44" s="2" t="s">
        <v>12</v>
      </c>
      <c r="C44" s="2" t="s">
        <v>13</v>
      </c>
      <c r="D44" s="2" t="s">
        <v>514</v>
      </c>
      <c r="E44" s="12" t="s">
        <v>411</v>
      </c>
      <c r="F44" s="6" t="s">
        <v>375</v>
      </c>
      <c r="G44" s="178"/>
      <c r="H44" s="178"/>
      <c r="I44" s="178"/>
      <c r="J44" s="213"/>
      <c r="K44" s="213"/>
      <c r="L44" s="213"/>
      <c r="M44" s="213"/>
    </row>
    <row r="45" spans="1:13" ht="15" customHeight="1" x14ac:dyDescent="0.25">
      <c r="A45" s="132" t="s">
        <v>921</v>
      </c>
      <c r="B45" s="24" t="s">
        <v>12</v>
      </c>
      <c r="C45" s="24" t="s">
        <v>13</v>
      </c>
      <c r="D45" s="24" t="s">
        <v>514</v>
      </c>
      <c r="E45" s="31" t="s">
        <v>346</v>
      </c>
      <c r="F45" s="154"/>
      <c r="G45" s="182"/>
      <c r="H45" s="182"/>
      <c r="I45" s="182"/>
      <c r="J45" s="215"/>
      <c r="K45" s="215"/>
      <c r="L45" s="215"/>
      <c r="M45" s="215"/>
    </row>
    <row r="46" spans="1:13" ht="15" customHeight="1" x14ac:dyDescent="0.25">
      <c r="A46" s="132" t="s">
        <v>921</v>
      </c>
      <c r="B46" s="2" t="s">
        <v>340</v>
      </c>
      <c r="C46" s="2" t="s">
        <v>338</v>
      </c>
      <c r="D46" s="2" t="s">
        <v>924</v>
      </c>
      <c r="E46" s="12" t="s">
        <v>387</v>
      </c>
      <c r="F46" s="38" t="s">
        <v>372</v>
      </c>
      <c r="G46" s="180"/>
      <c r="H46" s="180"/>
      <c r="I46" s="180"/>
      <c r="J46" s="214"/>
      <c r="K46" s="214"/>
      <c r="L46" s="214"/>
      <c r="M46" s="214"/>
    </row>
    <row r="47" spans="1:13" ht="15" customHeight="1" x14ac:dyDescent="0.25">
      <c r="A47" s="132" t="s">
        <v>921</v>
      </c>
      <c r="B47" s="2" t="s">
        <v>340</v>
      </c>
      <c r="C47" s="2" t="s">
        <v>338</v>
      </c>
      <c r="D47" s="2" t="s">
        <v>924</v>
      </c>
      <c r="E47" s="12" t="s">
        <v>387</v>
      </c>
      <c r="F47" s="38" t="s">
        <v>373</v>
      </c>
      <c r="G47" s="180"/>
      <c r="H47" s="180"/>
      <c r="I47" s="180"/>
      <c r="J47" s="214"/>
      <c r="K47" s="214"/>
      <c r="L47" s="214"/>
      <c r="M47" s="214"/>
    </row>
    <row r="48" spans="1:13" ht="15" customHeight="1" x14ac:dyDescent="0.25">
      <c r="A48" s="132" t="s">
        <v>921</v>
      </c>
      <c r="B48" s="2" t="s">
        <v>340</v>
      </c>
      <c r="C48" s="2" t="s">
        <v>338</v>
      </c>
      <c r="D48" s="2" t="s">
        <v>924</v>
      </c>
      <c r="E48" s="12" t="s">
        <v>387</v>
      </c>
      <c r="F48" s="38" t="s">
        <v>374</v>
      </c>
      <c r="G48" s="180"/>
      <c r="H48" s="180"/>
      <c r="I48" s="180"/>
      <c r="J48" s="214"/>
      <c r="K48" s="214"/>
      <c r="L48" s="214"/>
      <c r="M48" s="214"/>
    </row>
    <row r="49" spans="1:13" ht="15" customHeight="1" x14ac:dyDescent="0.25">
      <c r="A49" s="132" t="s">
        <v>921</v>
      </c>
      <c r="B49" s="2" t="s">
        <v>340</v>
      </c>
      <c r="C49" s="2" t="s">
        <v>338</v>
      </c>
      <c r="D49" s="2" t="s">
        <v>924</v>
      </c>
      <c r="E49" s="12" t="s">
        <v>388</v>
      </c>
      <c r="F49" s="39" t="s">
        <v>223</v>
      </c>
      <c r="G49" s="178"/>
      <c r="H49" s="178"/>
      <c r="I49" s="178"/>
      <c r="J49" s="213"/>
      <c r="K49" s="213"/>
      <c r="L49" s="213"/>
      <c r="M49" s="213"/>
    </row>
    <row r="50" spans="1:13" ht="15" customHeight="1" x14ac:dyDescent="0.25">
      <c r="A50" s="132" t="s">
        <v>921</v>
      </c>
      <c r="B50" s="2" t="s">
        <v>340</v>
      </c>
      <c r="C50" s="2" t="s">
        <v>338</v>
      </c>
      <c r="D50" s="2" t="s">
        <v>924</v>
      </c>
      <c r="E50" s="12" t="s">
        <v>388</v>
      </c>
      <c r="F50" s="6" t="s">
        <v>197</v>
      </c>
      <c r="G50" s="178"/>
      <c r="H50" s="178"/>
      <c r="I50" s="178"/>
      <c r="J50" s="213"/>
      <c r="K50" s="213"/>
      <c r="L50" s="213"/>
      <c r="M50" s="213"/>
    </row>
    <row r="51" spans="1:13" ht="15" customHeight="1" x14ac:dyDescent="0.25">
      <c r="A51" s="132" t="s">
        <v>921</v>
      </c>
      <c r="B51" s="2" t="s">
        <v>340</v>
      </c>
      <c r="C51" s="2" t="s">
        <v>338</v>
      </c>
      <c r="D51" s="2" t="s">
        <v>924</v>
      </c>
      <c r="E51" s="12" t="s">
        <v>389</v>
      </c>
      <c r="F51" s="38" t="s">
        <v>376</v>
      </c>
      <c r="G51" s="180"/>
      <c r="H51" s="180"/>
      <c r="I51" s="180"/>
      <c r="J51" s="214"/>
      <c r="K51" s="214"/>
      <c r="L51" s="214"/>
      <c r="M51" s="214"/>
    </row>
    <row r="52" spans="1:13" ht="15" customHeight="1" x14ac:dyDescent="0.25">
      <c r="A52" s="132" t="s">
        <v>921</v>
      </c>
      <c r="B52" s="2" t="s">
        <v>340</v>
      </c>
      <c r="C52" s="2" t="s">
        <v>338</v>
      </c>
      <c r="D52" s="2" t="s">
        <v>924</v>
      </c>
      <c r="E52" s="12" t="s">
        <v>390</v>
      </c>
      <c r="F52" s="5" t="s">
        <v>255</v>
      </c>
      <c r="G52" s="181"/>
      <c r="H52" s="181"/>
      <c r="I52" s="181"/>
      <c r="J52" s="86"/>
      <c r="K52" s="86"/>
      <c r="L52" s="86"/>
      <c r="M52" s="86"/>
    </row>
    <row r="53" spans="1:13" ht="15" customHeight="1" x14ac:dyDescent="0.25">
      <c r="A53" s="132" t="s">
        <v>921</v>
      </c>
      <c r="B53" s="2" t="s">
        <v>340</v>
      </c>
      <c r="C53" s="2" t="s">
        <v>338</v>
      </c>
      <c r="D53" s="2" t="s">
        <v>924</v>
      </c>
      <c r="E53" s="12" t="s">
        <v>390</v>
      </c>
      <c r="F53" s="5" t="s">
        <v>257</v>
      </c>
      <c r="G53" s="181"/>
      <c r="H53" s="181"/>
      <c r="I53" s="181"/>
      <c r="J53" s="86"/>
      <c r="K53" s="86"/>
      <c r="L53" s="86"/>
      <c r="M53" s="86"/>
    </row>
    <row r="54" spans="1:13" ht="15" customHeight="1" x14ac:dyDescent="0.25">
      <c r="A54" s="132" t="s">
        <v>921</v>
      </c>
      <c r="B54" s="2" t="s">
        <v>340</v>
      </c>
      <c r="C54" s="2" t="s">
        <v>338</v>
      </c>
      <c r="D54" s="2" t="s">
        <v>924</v>
      </c>
      <c r="E54" s="12" t="s">
        <v>391</v>
      </c>
      <c r="F54" s="5" t="s">
        <v>269</v>
      </c>
      <c r="G54" s="181"/>
      <c r="H54" s="181"/>
      <c r="I54" s="181"/>
      <c r="J54" s="86"/>
      <c r="K54" s="86"/>
      <c r="L54" s="86"/>
      <c r="M54" s="86"/>
    </row>
    <row r="55" spans="1:13" ht="15" customHeight="1" x14ac:dyDescent="0.25">
      <c r="A55" s="132" t="s">
        <v>921</v>
      </c>
      <c r="B55" s="2" t="s">
        <v>340</v>
      </c>
      <c r="C55" s="2" t="s">
        <v>338</v>
      </c>
      <c r="D55" s="2" t="s">
        <v>924</v>
      </c>
      <c r="E55" s="12" t="s">
        <v>391</v>
      </c>
      <c r="F55" s="5" t="s">
        <v>267</v>
      </c>
      <c r="G55" s="181"/>
      <c r="H55" s="181"/>
      <c r="I55" s="181"/>
      <c r="J55" s="86"/>
      <c r="K55" s="86"/>
      <c r="L55" s="86"/>
      <c r="M55" s="86"/>
    </row>
    <row r="56" spans="1:13" ht="15" customHeight="1" x14ac:dyDescent="0.25">
      <c r="A56" s="132" t="s">
        <v>921</v>
      </c>
      <c r="B56" s="2" t="s">
        <v>340</v>
      </c>
      <c r="C56" s="2" t="s">
        <v>338</v>
      </c>
      <c r="D56" s="2" t="s">
        <v>924</v>
      </c>
      <c r="E56" s="12" t="s">
        <v>392</v>
      </c>
      <c r="F56" s="5" t="s">
        <v>215</v>
      </c>
      <c r="G56" s="181"/>
      <c r="H56" s="181"/>
      <c r="I56" s="181"/>
      <c r="J56" s="86"/>
      <c r="K56" s="86"/>
      <c r="L56" s="86"/>
      <c r="M56" s="86"/>
    </row>
    <row r="57" spans="1:13" ht="15" customHeight="1" x14ac:dyDescent="0.25">
      <c r="A57" s="132" t="s">
        <v>921</v>
      </c>
      <c r="B57" s="24" t="s">
        <v>340</v>
      </c>
      <c r="C57" s="24" t="s">
        <v>338</v>
      </c>
      <c r="D57" s="24" t="s">
        <v>924</v>
      </c>
      <c r="E57" s="31" t="s">
        <v>346</v>
      </c>
      <c r="F57" s="153"/>
      <c r="G57" s="182"/>
      <c r="H57" s="182"/>
      <c r="I57" s="182"/>
      <c r="J57" s="215"/>
      <c r="K57" s="215"/>
      <c r="L57" s="215"/>
      <c r="M57" s="215"/>
    </row>
    <row r="58" spans="1:13" ht="15" customHeight="1" x14ac:dyDescent="0.25">
      <c r="A58" s="132" t="s">
        <v>921</v>
      </c>
      <c r="B58" s="2" t="s">
        <v>341</v>
      </c>
      <c r="C58" s="2" t="s">
        <v>339</v>
      </c>
      <c r="D58" s="2" t="s">
        <v>925</v>
      </c>
      <c r="E58" s="12" t="s">
        <v>344</v>
      </c>
      <c r="F58" s="6" t="s">
        <v>197</v>
      </c>
      <c r="G58" s="178"/>
      <c r="H58" s="178"/>
      <c r="I58" s="178"/>
      <c r="J58" s="213"/>
      <c r="K58" s="213"/>
      <c r="L58" s="213"/>
      <c r="M58" s="213"/>
    </row>
    <row r="59" spans="1:13" ht="15" customHeight="1" x14ac:dyDescent="0.25">
      <c r="A59" s="132" t="s">
        <v>921</v>
      </c>
      <c r="B59" s="2" t="s">
        <v>341</v>
      </c>
      <c r="C59" s="2" t="s">
        <v>339</v>
      </c>
      <c r="D59" s="2" t="s">
        <v>925</v>
      </c>
      <c r="E59" s="12" t="s">
        <v>344</v>
      </c>
      <c r="F59" s="39" t="s">
        <v>223</v>
      </c>
      <c r="G59" s="178"/>
      <c r="H59" s="178"/>
      <c r="I59" s="178"/>
      <c r="J59" s="213"/>
      <c r="K59" s="213"/>
      <c r="L59" s="213"/>
      <c r="M59" s="213"/>
    </row>
    <row r="60" spans="1:13" ht="15" customHeight="1" x14ac:dyDescent="0.25">
      <c r="A60" s="132" t="s">
        <v>921</v>
      </c>
      <c r="B60" s="2" t="s">
        <v>341</v>
      </c>
      <c r="C60" s="2" t="s">
        <v>339</v>
      </c>
      <c r="D60" s="2" t="s">
        <v>925</v>
      </c>
      <c r="E60" s="12" t="s">
        <v>394</v>
      </c>
      <c r="F60" s="38" t="s">
        <v>372</v>
      </c>
      <c r="G60" s="180"/>
      <c r="H60" s="180"/>
      <c r="I60" s="180"/>
      <c r="J60" s="214"/>
      <c r="K60" s="214"/>
      <c r="L60" s="214"/>
      <c r="M60" s="214"/>
    </row>
    <row r="61" spans="1:13" ht="15" customHeight="1" x14ac:dyDescent="0.25">
      <c r="A61" s="132" t="s">
        <v>921</v>
      </c>
      <c r="B61" s="2" t="s">
        <v>341</v>
      </c>
      <c r="C61" s="2" t="s">
        <v>339</v>
      </c>
      <c r="D61" s="2" t="s">
        <v>925</v>
      </c>
      <c r="E61" s="12" t="s">
        <v>394</v>
      </c>
      <c r="F61" s="38" t="s">
        <v>373</v>
      </c>
      <c r="G61" s="180"/>
      <c r="H61" s="180"/>
      <c r="I61" s="180"/>
      <c r="J61" s="214"/>
      <c r="K61" s="214"/>
      <c r="L61" s="214"/>
      <c r="M61" s="214"/>
    </row>
    <row r="62" spans="1:13" ht="15" customHeight="1" x14ac:dyDescent="0.25">
      <c r="A62" s="132" t="s">
        <v>921</v>
      </c>
      <c r="B62" s="2" t="s">
        <v>341</v>
      </c>
      <c r="C62" s="2" t="s">
        <v>339</v>
      </c>
      <c r="D62" s="2" t="s">
        <v>925</v>
      </c>
      <c r="E62" s="12" t="s">
        <v>394</v>
      </c>
      <c r="F62" s="38" t="s">
        <v>374</v>
      </c>
      <c r="G62" s="180"/>
      <c r="H62" s="180"/>
      <c r="I62" s="180"/>
      <c r="J62" s="214"/>
      <c r="K62" s="214"/>
      <c r="L62" s="214"/>
      <c r="M62" s="214"/>
    </row>
    <row r="63" spans="1:13" ht="15" customHeight="1" x14ac:dyDescent="0.25">
      <c r="A63" s="132" t="s">
        <v>921</v>
      </c>
      <c r="B63" s="2" t="s">
        <v>341</v>
      </c>
      <c r="C63" s="2" t="s">
        <v>339</v>
      </c>
      <c r="D63" s="2" t="s">
        <v>925</v>
      </c>
      <c r="E63" s="12" t="s">
        <v>395</v>
      </c>
      <c r="F63" s="6" t="s">
        <v>197</v>
      </c>
      <c r="G63" s="178"/>
      <c r="H63" s="178"/>
      <c r="I63" s="178"/>
      <c r="J63" s="213"/>
      <c r="K63" s="213"/>
      <c r="L63" s="213"/>
      <c r="M63" s="213"/>
    </row>
    <row r="64" spans="1:13" ht="15" customHeight="1" x14ac:dyDescent="0.25">
      <c r="A64" s="132" t="s">
        <v>921</v>
      </c>
      <c r="B64" s="2" t="s">
        <v>341</v>
      </c>
      <c r="C64" s="2" t="s">
        <v>339</v>
      </c>
      <c r="D64" s="2" t="s">
        <v>925</v>
      </c>
      <c r="E64" s="12" t="s">
        <v>396</v>
      </c>
      <c r="F64" s="6" t="s">
        <v>197</v>
      </c>
      <c r="G64" s="178"/>
      <c r="H64" s="178"/>
      <c r="I64" s="178"/>
      <c r="J64" s="213"/>
      <c r="K64" s="213"/>
      <c r="L64" s="213"/>
      <c r="M64" s="213"/>
    </row>
    <row r="65" spans="1:16" ht="15" customHeight="1" x14ac:dyDescent="0.25">
      <c r="A65" s="132" t="s">
        <v>921</v>
      </c>
      <c r="B65" s="2" t="s">
        <v>341</v>
      </c>
      <c r="C65" s="2" t="s">
        <v>339</v>
      </c>
      <c r="D65" s="2" t="s">
        <v>925</v>
      </c>
      <c r="E65" s="12" t="s">
        <v>397</v>
      </c>
      <c r="F65" s="5" t="s">
        <v>269</v>
      </c>
      <c r="G65" s="181"/>
      <c r="H65" s="181"/>
      <c r="I65" s="181"/>
      <c r="J65" s="86"/>
      <c r="K65" s="86"/>
      <c r="L65" s="86"/>
      <c r="M65" s="86"/>
    </row>
    <row r="66" spans="1:16" ht="15" customHeight="1" x14ac:dyDescent="0.25">
      <c r="A66" s="132" t="s">
        <v>921</v>
      </c>
      <c r="B66" s="2" t="s">
        <v>341</v>
      </c>
      <c r="C66" s="2" t="s">
        <v>339</v>
      </c>
      <c r="D66" s="2" t="s">
        <v>925</v>
      </c>
      <c r="E66" s="12" t="s">
        <v>397</v>
      </c>
      <c r="F66" s="5" t="s">
        <v>255</v>
      </c>
      <c r="G66" s="181"/>
      <c r="H66" s="181"/>
      <c r="I66" s="181"/>
      <c r="J66" s="86"/>
      <c r="K66" s="86"/>
      <c r="L66" s="86"/>
      <c r="M66" s="86"/>
    </row>
    <row r="67" spans="1:16" ht="15" customHeight="1" x14ac:dyDescent="0.25">
      <c r="A67" s="132" t="s">
        <v>921</v>
      </c>
      <c r="B67" s="2" t="s">
        <v>341</v>
      </c>
      <c r="C67" s="2" t="s">
        <v>339</v>
      </c>
      <c r="D67" s="2" t="s">
        <v>925</v>
      </c>
      <c r="E67" s="12" t="s">
        <v>398</v>
      </c>
      <c r="F67" s="6" t="s">
        <v>197</v>
      </c>
      <c r="G67" s="178"/>
      <c r="H67" s="178"/>
      <c r="I67" s="178"/>
      <c r="J67" s="213"/>
      <c r="K67" s="213"/>
      <c r="L67" s="213"/>
      <c r="M67" s="213"/>
    </row>
    <row r="68" spans="1:16" ht="15" customHeight="1" x14ac:dyDescent="0.25">
      <c r="A68" s="132" t="s">
        <v>921</v>
      </c>
      <c r="B68" s="2" t="s">
        <v>341</v>
      </c>
      <c r="C68" s="2" t="s">
        <v>339</v>
      </c>
      <c r="D68" s="2" t="s">
        <v>925</v>
      </c>
      <c r="E68" s="12" t="s">
        <v>399</v>
      </c>
      <c r="F68" s="6" t="s">
        <v>197</v>
      </c>
      <c r="G68" s="178"/>
      <c r="H68" s="178"/>
      <c r="I68" s="178"/>
      <c r="J68" s="213"/>
      <c r="K68" s="213"/>
      <c r="L68" s="213"/>
      <c r="M68" s="213"/>
    </row>
    <row r="69" spans="1:16" ht="15" customHeight="1" x14ac:dyDescent="0.25">
      <c r="A69" s="132" t="s">
        <v>921</v>
      </c>
      <c r="B69" s="2" t="s">
        <v>341</v>
      </c>
      <c r="C69" s="2" t="s">
        <v>339</v>
      </c>
      <c r="D69" s="2" t="s">
        <v>925</v>
      </c>
      <c r="E69" s="12" t="s">
        <v>400</v>
      </c>
      <c r="F69" s="39" t="s">
        <v>223</v>
      </c>
      <c r="G69" s="178"/>
      <c r="H69" s="178"/>
      <c r="I69" s="178"/>
      <c r="J69" s="213"/>
      <c r="K69" s="213"/>
      <c r="L69" s="213"/>
      <c r="M69" s="213"/>
    </row>
    <row r="70" spans="1:16" ht="15" customHeight="1" x14ac:dyDescent="0.25">
      <c r="A70" s="132" t="s">
        <v>921</v>
      </c>
      <c r="B70" s="2" t="s">
        <v>341</v>
      </c>
      <c r="C70" s="2" t="s">
        <v>339</v>
      </c>
      <c r="D70" s="2" t="s">
        <v>925</v>
      </c>
      <c r="E70" s="12" t="s">
        <v>401</v>
      </c>
      <c r="F70" s="6" t="s">
        <v>253</v>
      </c>
      <c r="G70" s="178"/>
      <c r="H70" s="178"/>
      <c r="I70" s="178"/>
      <c r="J70" s="213"/>
      <c r="K70" s="213"/>
      <c r="L70" s="213"/>
      <c r="M70" s="213"/>
    </row>
    <row r="71" spans="1:16" ht="15" customHeight="1" x14ac:dyDescent="0.25">
      <c r="A71" s="132" t="s">
        <v>921</v>
      </c>
      <c r="B71" s="2" t="s">
        <v>341</v>
      </c>
      <c r="C71" s="2" t="s">
        <v>339</v>
      </c>
      <c r="D71" s="2" t="s">
        <v>925</v>
      </c>
      <c r="E71" s="12" t="s">
        <v>401</v>
      </c>
      <c r="F71" s="6" t="s">
        <v>257</v>
      </c>
      <c r="G71" s="178"/>
      <c r="H71" s="178"/>
      <c r="I71" s="178"/>
      <c r="J71" s="213"/>
      <c r="K71" s="213"/>
      <c r="L71" s="213"/>
      <c r="M71" s="213"/>
    </row>
    <row r="72" spans="1:16" ht="15" customHeight="1" x14ac:dyDescent="0.25">
      <c r="A72" s="132" t="s">
        <v>921</v>
      </c>
      <c r="B72" s="2" t="s">
        <v>341</v>
      </c>
      <c r="C72" s="2" t="s">
        <v>339</v>
      </c>
      <c r="D72" s="2" t="s">
        <v>925</v>
      </c>
      <c r="E72" s="12" t="s">
        <v>402</v>
      </c>
      <c r="F72" s="6" t="s">
        <v>197</v>
      </c>
      <c r="G72" s="178"/>
      <c r="H72" s="178"/>
      <c r="I72" s="178"/>
      <c r="J72" s="213"/>
      <c r="K72" s="213"/>
      <c r="L72" s="213"/>
      <c r="M72" s="213"/>
    </row>
    <row r="73" spans="1:16" ht="15" customHeight="1" x14ac:dyDescent="0.25">
      <c r="A73" s="132" t="s">
        <v>921</v>
      </c>
      <c r="B73" s="24" t="s">
        <v>341</v>
      </c>
      <c r="C73" s="24" t="s">
        <v>339</v>
      </c>
      <c r="D73" s="24" t="s">
        <v>925</v>
      </c>
      <c r="E73" s="31" t="s">
        <v>346</v>
      </c>
      <c r="F73" s="153"/>
      <c r="G73" s="182"/>
      <c r="H73" s="182"/>
      <c r="I73" s="182"/>
      <c r="J73" s="215"/>
      <c r="K73" s="215"/>
      <c r="L73" s="215"/>
      <c r="M73" s="215"/>
    </row>
    <row r="74" spans="1:16" ht="15" customHeight="1" x14ac:dyDescent="0.25">
      <c r="A74" s="2" t="s">
        <v>944</v>
      </c>
      <c r="B74" s="5" t="s">
        <v>203</v>
      </c>
      <c r="C74" s="2" t="s">
        <v>733</v>
      </c>
      <c r="D74" s="2" t="s">
        <v>741</v>
      </c>
      <c r="E74" s="15" t="s">
        <v>952</v>
      </c>
      <c r="F74" s="199" t="s">
        <v>193</v>
      </c>
      <c r="G74" s="200">
        <f>opex_sources!H37/(0.95*opex_sources!H37+0.05*opex_sources!H51)</f>
        <v>0.95973524544953115</v>
      </c>
      <c r="H74" s="200">
        <f>opex_sources!H37/(opex_sources!H37+opex_sources!H39+opex_sources!H40+opex_sources!H42)</f>
        <v>0.33707865168539325</v>
      </c>
      <c r="I74" s="200">
        <f>G74*H74</f>
        <v>0.32350626251107789</v>
      </c>
      <c r="J74" s="216">
        <f>opex_orig!$BH$87</f>
        <v>1.8263956074753999E-2</v>
      </c>
      <c r="K74" s="216">
        <f>opex_orig!$BH$87*(opex_concordance!I74+opex_concordance!I78+opex_concordance!I82+opex_concordance!I94)</f>
        <v>1.8296754048129273E-2</v>
      </c>
      <c r="L74" s="216">
        <f>K74*H74</f>
        <v>6.1674451847626762E-3</v>
      </c>
      <c r="M74" s="216">
        <f>K74/$K$116*$J$116</f>
        <v>1.8174287759905285E-2</v>
      </c>
      <c r="N74" s="187">
        <f>opex_sources!H37</f>
        <v>0.13499999999999998</v>
      </c>
      <c r="O74" s="187">
        <f>SUM(L74:L77)/L$116</f>
        <v>9.8894874473601097E-2</v>
      </c>
      <c r="P74" s="15" t="s">
        <v>952</v>
      </c>
    </row>
    <row r="75" spans="1:16" ht="15" customHeight="1" x14ac:dyDescent="0.25">
      <c r="A75" s="2" t="s">
        <v>944</v>
      </c>
      <c r="B75" s="5" t="s">
        <v>203</v>
      </c>
      <c r="C75" s="2" t="s">
        <v>733</v>
      </c>
      <c r="D75" s="2" t="s">
        <v>741</v>
      </c>
      <c r="E75" s="15" t="s">
        <v>952</v>
      </c>
      <c r="F75" s="194" t="s">
        <v>197</v>
      </c>
      <c r="G75" s="196">
        <f>opex_sources!H37/(0.95*opex_sources!H37+0.05*opex_sources!H51)</f>
        <v>0.95973524544953115</v>
      </c>
      <c r="H75" s="198">
        <f>opex_sources!H37/(opex_sources!H37+opex_sources!H39+opex_sources!H40)</f>
        <v>0.38961038961038957</v>
      </c>
      <c r="I75" s="198">
        <f>G75*H75</f>
        <v>0.37392282290241469</v>
      </c>
      <c r="J75" s="208">
        <f>opex_orig!$BH$89</f>
        <v>6.7916756976679094E-2</v>
      </c>
      <c r="K75" s="208">
        <f>opex_orig!$BH$89*(opex_concordance!I75+opex_concordance!I79+opex_concordance!I83)</f>
        <v>6.7922187676702883E-2</v>
      </c>
      <c r="L75" s="208">
        <f>K75*H75</f>
        <v>2.6463190003910213E-2</v>
      </c>
      <c r="M75" s="208">
        <f t="shared" ref="M75:M115" si="0">K75/$K$116*$J$116</f>
        <v>6.7467561780167468E-2</v>
      </c>
      <c r="P75" s="15"/>
    </row>
    <row r="76" spans="1:16" ht="15" customHeight="1" x14ac:dyDescent="0.25">
      <c r="A76" s="2" t="s">
        <v>944</v>
      </c>
      <c r="B76" s="5" t="s">
        <v>203</v>
      </c>
      <c r="C76" s="2" t="s">
        <v>733</v>
      </c>
      <c r="D76" s="2" t="s">
        <v>741</v>
      </c>
      <c r="E76" s="15" t="s">
        <v>952</v>
      </c>
      <c r="F76" s="209" t="s">
        <v>203</v>
      </c>
      <c r="G76" s="210">
        <f>opex_sources!H37/(0.95*opex_sources!H37+0.05*opex_sources!H51)</f>
        <v>0.95973524544953115</v>
      </c>
      <c r="H76" s="210">
        <f>opex_sources!H37/(opex_sources!H37+opex_sources!H39+opex_sources!H40+opex_sources!H41+opex_sources!H42+opex_sources!H44+opex_sources!H45+opex_sources!H46)</f>
        <v>0.18543956043956039</v>
      </c>
      <c r="I76" s="210">
        <f t="shared" ref="I76:I80" si="1">G76*H76</f>
        <v>0.17797288205451467</v>
      </c>
      <c r="J76" s="218">
        <f>opex_orig!$BH$92</f>
        <v>0.31634159702885301</v>
      </c>
      <c r="K76" s="218">
        <f>opex_orig!$BH$92*(opex_concordance!I76+opex_concordance!I80+opex_concordance!I84+opex_concordance!I91+opex_concordance!I95+opex_concordance!I101+opex_concordance!I104+opex_concordance!I105)</f>
        <v>0.31731823908695089</v>
      </c>
      <c r="L76" s="218">
        <f t="shared" ref="L76:L80" si="2">K76*H76</f>
        <v>5.8843354775739508E-2</v>
      </c>
      <c r="M76" s="218">
        <f t="shared" si="0"/>
        <v>0.31519432208918574</v>
      </c>
      <c r="P76" s="15"/>
    </row>
    <row r="77" spans="1:16" ht="15" customHeight="1" x14ac:dyDescent="0.25">
      <c r="A77" s="2" t="s">
        <v>944</v>
      </c>
      <c r="B77" s="5" t="s">
        <v>203</v>
      </c>
      <c r="C77" s="2" t="s">
        <v>733</v>
      </c>
      <c r="D77" s="2" t="s">
        <v>741</v>
      </c>
      <c r="E77" s="303" t="s">
        <v>953</v>
      </c>
      <c r="F77" s="194" t="s">
        <v>197</v>
      </c>
      <c r="G77" s="196">
        <f>0/(0.95*0+0.05*opex_sources!H52)</f>
        <v>0</v>
      </c>
      <c r="H77" s="198">
        <f>0/(opex_sources!H37+opex_sources!H39+opex_sources!H40)</f>
        <v>0</v>
      </c>
      <c r="I77" s="198">
        <f>G77*H77</f>
        <v>0</v>
      </c>
      <c r="J77" s="208">
        <f>opex_orig!$BH$89</f>
        <v>6.7916756976679094E-2</v>
      </c>
      <c r="K77" s="208">
        <f>opex_orig!$BH$89*(opex_concordance!I75+opex_concordance!I79+opex_concordance!I83)</f>
        <v>6.7922187676702883E-2</v>
      </c>
      <c r="L77" s="208">
        <f>K77*H77</f>
        <v>0</v>
      </c>
      <c r="M77" s="208">
        <f t="shared" si="0"/>
        <v>6.7467561780167468E-2</v>
      </c>
      <c r="P77" s="15"/>
    </row>
    <row r="78" spans="1:16" ht="15" customHeight="1" x14ac:dyDescent="0.25">
      <c r="A78" s="2" t="s">
        <v>944</v>
      </c>
      <c r="B78" s="5" t="s">
        <v>203</v>
      </c>
      <c r="C78" s="2" t="s">
        <v>733</v>
      </c>
      <c r="D78" s="2" t="s">
        <v>741</v>
      </c>
      <c r="E78" s="15" t="s">
        <v>1036</v>
      </c>
      <c r="F78" s="199" t="s">
        <v>193</v>
      </c>
      <c r="G78" s="200">
        <f>opex_sources!H39/(0.95*opex_sources!H39+0.05*opex_sources!H53)</f>
        <v>1.0394265232974911</v>
      </c>
      <c r="H78" s="200">
        <f>opex_sources!H39/(opex_sources!H37+opex_sources!H39+opex_sources!H40+opex_sources!H42)</f>
        <v>0.22471910112359553</v>
      </c>
      <c r="I78" s="200">
        <f t="shared" si="1"/>
        <v>0.23357899399943621</v>
      </c>
      <c r="J78" s="216">
        <f>opex_orig!$BH$87</f>
        <v>1.8263956074753999E-2</v>
      </c>
      <c r="K78" s="216">
        <f>opex_orig!$BH$87*(opex_concordance!I74+opex_concordance!I78+opex_concordance!I82+opex_concordance!I94)</f>
        <v>1.8296754048129273E-2</v>
      </c>
      <c r="L78" s="216">
        <f t="shared" si="2"/>
        <v>4.1116301231751183E-3</v>
      </c>
      <c r="M78" s="216">
        <f t="shared" si="0"/>
        <v>1.8174287759905285E-2</v>
      </c>
      <c r="N78" s="187">
        <f>opex_sources!H39</f>
        <v>0.09</v>
      </c>
      <c r="O78" s="187">
        <f>SUM(L78:L80)/L$116</f>
        <v>6.5929916315734069E-2</v>
      </c>
      <c r="P78" s="15" t="s">
        <v>1036</v>
      </c>
    </row>
    <row r="79" spans="1:16" ht="15" customHeight="1" x14ac:dyDescent="0.25">
      <c r="A79" s="2" t="s">
        <v>944</v>
      </c>
      <c r="B79" s="5" t="s">
        <v>203</v>
      </c>
      <c r="C79" s="2" t="s">
        <v>733</v>
      </c>
      <c r="D79" s="2" t="s">
        <v>741</v>
      </c>
      <c r="E79" s="15" t="s">
        <v>1036</v>
      </c>
      <c r="F79" s="194" t="s">
        <v>197</v>
      </c>
      <c r="G79" s="196">
        <f>opex_sources!H39/(0.95*opex_sources!H39+0.05*opex_sources!H53)</f>
        <v>1.0394265232974911</v>
      </c>
      <c r="H79" s="196">
        <f>opex_sources!H39/(opex_sources!H37+opex_sources!H39+opex_sources!H40)</f>
        <v>0.25974025974025977</v>
      </c>
      <c r="I79" s="196">
        <f t="shared" si="1"/>
        <v>0.26998091514220551</v>
      </c>
      <c r="J79" s="208">
        <f>opex_orig!$BH$89</f>
        <v>6.7916756976679094E-2</v>
      </c>
      <c r="K79" s="208">
        <f>opex_orig!$BH$89*(opex_concordance!I75+opex_concordance!I79+opex_concordance!I83)</f>
        <v>6.7922187676702883E-2</v>
      </c>
      <c r="L79" s="208">
        <f t="shared" si="2"/>
        <v>1.7642126669273478E-2</v>
      </c>
      <c r="M79" s="208">
        <f t="shared" si="0"/>
        <v>6.7467561780167468E-2</v>
      </c>
      <c r="P79" s="15"/>
    </row>
    <row r="80" spans="1:16" ht="15" customHeight="1" x14ac:dyDescent="0.25">
      <c r="A80" s="2" t="s">
        <v>944</v>
      </c>
      <c r="B80" s="5" t="s">
        <v>203</v>
      </c>
      <c r="C80" s="2" t="s">
        <v>733</v>
      </c>
      <c r="D80" s="2" t="s">
        <v>741</v>
      </c>
      <c r="E80" s="15" t="s">
        <v>1036</v>
      </c>
      <c r="F80" s="209" t="s">
        <v>203</v>
      </c>
      <c r="G80" s="210">
        <f>opex_sources!H39/(0.95*opex_sources!H39+0.05*opex_sources!H53)</f>
        <v>1.0394265232974911</v>
      </c>
      <c r="H80" s="210">
        <f>opex_sources!H39/(opex_sources!H37+opex_sources!H39+opex_sources!H40+opex_sources!H41+opex_sources!H42+opex_sources!H44+opex_sources!H45+opex_sources!H46)</f>
        <v>0.1236263736263736</v>
      </c>
      <c r="I80" s="210">
        <f t="shared" si="1"/>
        <v>0.12850053172633816</v>
      </c>
      <c r="J80" s="218">
        <f>opex_orig!$BH$92</f>
        <v>0.31634159702885301</v>
      </c>
      <c r="K80" s="218">
        <f>opex_orig!$BH$92*(opex_concordance!I76+opex_concordance!I80+opex_concordance!I84+opex_concordance!I91+opex_concordance!I95+opex_concordance!I101+opex_concordance!I104+opex_concordance!I105)</f>
        <v>0.31731823908695089</v>
      </c>
      <c r="L80" s="218">
        <f t="shared" si="2"/>
        <v>3.9228903183826339E-2</v>
      </c>
      <c r="M80" s="218">
        <f t="shared" si="0"/>
        <v>0.31519432208918574</v>
      </c>
      <c r="P80" s="15"/>
    </row>
    <row r="81" spans="1:16" ht="15" customHeight="1" x14ac:dyDescent="0.25">
      <c r="A81" s="2" t="s">
        <v>944</v>
      </c>
      <c r="B81" s="5" t="s">
        <v>203</v>
      </c>
      <c r="C81" s="2" t="s">
        <v>733</v>
      </c>
      <c r="D81" s="2" t="s">
        <v>741</v>
      </c>
      <c r="E81" s="15" t="s">
        <v>955</v>
      </c>
      <c r="F81" s="191" t="s">
        <v>149</v>
      </c>
      <c r="G81" s="192">
        <f>opex_sources!H40/(0.95*opex_sources!H40+0.05*opex_sources!H54)</f>
        <v>1.0157618213660247</v>
      </c>
      <c r="H81" s="192">
        <f>opex_sources!H40/(opex_sources!H40+opex_sources!H41)</f>
        <v>0.61363636363636365</v>
      </c>
      <c r="I81" s="192">
        <f t="shared" ref="I81:I163" si="3">G81*H81</f>
        <v>0.62330839038369701</v>
      </c>
      <c r="J81" s="217">
        <f>opex_orig!$BH$65</f>
        <v>0.107099642501538</v>
      </c>
      <c r="K81" s="217">
        <f>opex_orig!$BH$65*(opex_concordance!I81+opex_concordance!I88)</f>
        <v>0.10844415689459785</v>
      </c>
      <c r="L81" s="217">
        <f t="shared" ref="L81:L115" si="4">K81*H81</f>
        <v>6.6545278094412325E-2</v>
      </c>
      <c r="M81" s="217">
        <f t="shared" si="0"/>
        <v>0.10771830391873523</v>
      </c>
      <c r="N81" s="187">
        <f>opex_sources!H40</f>
        <v>0.12150000000000001</v>
      </c>
      <c r="O81" s="187">
        <f>SUM(L81:L87)/L$116</f>
        <v>0.19462267370742548</v>
      </c>
      <c r="P81" s="15" t="s">
        <v>955</v>
      </c>
    </row>
    <row r="82" spans="1:16" ht="15" customHeight="1" x14ac:dyDescent="0.25">
      <c r="A82" s="2" t="s">
        <v>944</v>
      </c>
      <c r="B82" s="5" t="s">
        <v>203</v>
      </c>
      <c r="C82" s="2" t="s">
        <v>733</v>
      </c>
      <c r="D82" s="2" t="s">
        <v>741</v>
      </c>
      <c r="E82" s="15" t="s">
        <v>955</v>
      </c>
      <c r="F82" s="199" t="s">
        <v>193</v>
      </c>
      <c r="G82" s="200">
        <f>opex_sources!H40/(0.95*opex_sources!H40+0.05*opex_sources!H54)</f>
        <v>1.0157618213660247</v>
      </c>
      <c r="H82" s="200">
        <f>opex_sources!H40/(opex_sources!H37+opex_sources!H39+opex_sources!H40+opex_sources!H42)</f>
        <v>0.30337078651685401</v>
      </c>
      <c r="I82" s="200">
        <f t="shared" si="3"/>
        <v>0.30815246266160307</v>
      </c>
      <c r="J82" s="216">
        <f>opex_orig!$BH$87</f>
        <v>1.8263956074753999E-2</v>
      </c>
      <c r="K82" s="216">
        <f>opex_orig!$BH$87*(opex_concordance!I74+opex_concordance!I78+opex_concordance!I82+opex_concordance!I94)</f>
        <v>1.8296754048129273E-2</v>
      </c>
      <c r="L82" s="216">
        <f t="shared" si="4"/>
        <v>5.5507006662864102E-3</v>
      </c>
      <c r="M82" s="216">
        <f t="shared" si="0"/>
        <v>1.8174287759905285E-2</v>
      </c>
      <c r="P82" s="15"/>
    </row>
    <row r="83" spans="1:16" ht="15" customHeight="1" x14ac:dyDescent="0.25">
      <c r="A83" s="2" t="s">
        <v>944</v>
      </c>
      <c r="B83" s="5" t="s">
        <v>203</v>
      </c>
      <c r="C83" s="2" t="s">
        <v>733</v>
      </c>
      <c r="D83" s="2" t="s">
        <v>741</v>
      </c>
      <c r="E83" s="15" t="s">
        <v>955</v>
      </c>
      <c r="F83" s="194" t="s">
        <v>197</v>
      </c>
      <c r="G83" s="196">
        <f>opex_sources!H40/(0.95*opex_sources!H40+0.05*opex_sources!H54)</f>
        <v>1.0157618213660247</v>
      </c>
      <c r="H83" s="196">
        <f>opex_sources!H40/(opex_sources!H37+opex_sources!H39+opex_sources!H40)</f>
        <v>0.35064935064935071</v>
      </c>
      <c r="I83" s="196">
        <f t="shared" si="3"/>
        <v>0.35617622307639835</v>
      </c>
      <c r="J83" s="208">
        <f>opex_orig!$BH$89</f>
        <v>6.7916756976679094E-2</v>
      </c>
      <c r="K83" s="208">
        <f>opex_orig!$BH$89*(opex_concordance!I75+opex_concordance!I79+opex_concordance!I83)</f>
        <v>6.7922187676702883E-2</v>
      </c>
      <c r="L83" s="208">
        <f t="shared" si="4"/>
        <v>2.3816871003519195E-2</v>
      </c>
      <c r="M83" s="208">
        <f t="shared" si="0"/>
        <v>6.7467561780167468E-2</v>
      </c>
      <c r="P83" s="15"/>
    </row>
    <row r="84" spans="1:16" ht="15" customHeight="1" x14ac:dyDescent="0.25">
      <c r="A84" s="2" t="s">
        <v>944</v>
      </c>
      <c r="B84" s="5" t="s">
        <v>203</v>
      </c>
      <c r="C84" s="2" t="s">
        <v>733</v>
      </c>
      <c r="D84" s="2" t="s">
        <v>741</v>
      </c>
      <c r="E84" s="15" t="s">
        <v>955</v>
      </c>
      <c r="F84" s="209" t="s">
        <v>203</v>
      </c>
      <c r="G84" s="210">
        <f>opex_sources!H40/(0.95*opex_sources!H40+0.05*opex_sources!H54)</f>
        <v>1.0157618213660247</v>
      </c>
      <c r="H84" s="210">
        <f>opex_sources!H40/(opex_sources!H37+opex_sources!H39+opex_sources!H40+opex_sources!H41+opex_sources!H42+opex_sources!H44+opex_sources!H45+opex_sources!H46)</f>
        <v>0.16689560439560439</v>
      </c>
      <c r="I84" s="210">
        <f t="shared" si="3"/>
        <v>0.16952618309886261</v>
      </c>
      <c r="J84" s="218">
        <f>opex_orig!$BH$92</f>
        <v>0.31634159702885301</v>
      </c>
      <c r="K84" s="218">
        <f>opex_orig!$BH$92*(opex_concordance!I76+opex_concordance!I80+opex_concordance!I84+opex_concordance!I91+opex_concordance!I95+opex_concordance!I101+opex_concordance!I104+opex_concordance!I105)</f>
        <v>0.31731823908695089</v>
      </c>
      <c r="L84" s="218">
        <f t="shared" si="4"/>
        <v>5.2959019298165565E-2</v>
      </c>
      <c r="M84" s="218">
        <f t="shared" si="0"/>
        <v>0.31519432208918574</v>
      </c>
      <c r="P84" s="15"/>
    </row>
    <row r="85" spans="1:16" ht="15" customHeight="1" x14ac:dyDescent="0.25">
      <c r="A85" s="2" t="s">
        <v>944</v>
      </c>
      <c r="B85" s="5" t="s">
        <v>203</v>
      </c>
      <c r="C85" s="2" t="s">
        <v>733</v>
      </c>
      <c r="D85" s="2" t="s">
        <v>741</v>
      </c>
      <c r="E85" s="15" t="s">
        <v>955</v>
      </c>
      <c r="F85" s="193" t="s">
        <v>115</v>
      </c>
      <c r="G85" s="197">
        <f>opex_sources!H40/(0.95*opex_sources!H40+0.05*opex_sources!H54)</f>
        <v>1.0157618213660247</v>
      </c>
      <c r="H85" s="197">
        <f>opex_sources!H40/opex_sources!H40</f>
        <v>1</v>
      </c>
      <c r="I85" s="197">
        <f t="shared" si="3"/>
        <v>1.0157618213660247</v>
      </c>
      <c r="J85" s="219">
        <f>opex_orig!$BH$48</f>
        <v>1.0376635322431301E-2</v>
      </c>
      <c r="K85" s="219">
        <f>opex_orig!$BH$48*opex_concordance!I85</f>
        <v>1.0540189994763844E-2</v>
      </c>
      <c r="L85" s="219">
        <f t="shared" si="4"/>
        <v>1.0540189994763844E-2</v>
      </c>
      <c r="M85" s="219">
        <f t="shared" si="0"/>
        <v>1.0469640981401207E-2</v>
      </c>
      <c r="P85" s="15"/>
    </row>
    <row r="86" spans="1:16" ht="15" customHeight="1" x14ac:dyDescent="0.25">
      <c r="A86" s="2" t="s">
        <v>944</v>
      </c>
      <c r="B86" s="5" t="s">
        <v>203</v>
      </c>
      <c r="C86" s="2" t="s">
        <v>733</v>
      </c>
      <c r="D86" s="2" t="s">
        <v>741</v>
      </c>
      <c r="E86" s="15" t="s">
        <v>955</v>
      </c>
      <c r="F86" s="319" t="s">
        <v>121</v>
      </c>
      <c r="G86" s="313">
        <f>opex_sources!H40/(0.95*opex_sources!H40+0.05*opex_sources!H54)</f>
        <v>1.0157618213660247</v>
      </c>
      <c r="H86" s="313">
        <f>opex_sources!H40/opex_sources!H40</f>
        <v>1</v>
      </c>
      <c r="I86" s="313">
        <f t="shared" si="3"/>
        <v>1.0157618213660247</v>
      </c>
      <c r="J86" s="284">
        <f>opex_orig!$BH$51</f>
        <v>1.3233677161854E-2</v>
      </c>
      <c r="K86" s="284">
        <f>opex_orig!$BH$51*I86</f>
        <v>1.3442264017294783E-2</v>
      </c>
      <c r="L86" s="284">
        <f t="shared" si="4"/>
        <v>1.3442264017294783E-2</v>
      </c>
      <c r="M86" s="284">
        <f t="shared" si="0"/>
        <v>1.3352290452847526E-2</v>
      </c>
      <c r="P86" s="15"/>
    </row>
    <row r="87" spans="1:16" ht="15" customHeight="1" x14ac:dyDescent="0.25">
      <c r="A87" s="2" t="s">
        <v>944</v>
      </c>
      <c r="B87" s="5" t="s">
        <v>203</v>
      </c>
      <c r="C87" s="2" t="s">
        <v>733</v>
      </c>
      <c r="D87" s="2" t="s">
        <v>741</v>
      </c>
      <c r="E87" s="15" t="s">
        <v>955</v>
      </c>
      <c r="F87" s="320" t="s">
        <v>199</v>
      </c>
      <c r="G87" s="321">
        <f>opex_sources!H40/(0.95*opex_sources!H40+0.05*opex_sources!H54)</f>
        <v>1.0157618213660247</v>
      </c>
      <c r="H87" s="321">
        <f>opex_sources!H40/opex_sources!H40</f>
        <v>1</v>
      </c>
      <c r="I87" s="321">
        <f t="shared" si="3"/>
        <v>1.0157618213660247</v>
      </c>
      <c r="J87" s="261">
        <f>opex_orig!$BH$90</f>
        <v>7.0530638240300899E-3</v>
      </c>
      <c r="K87" s="261">
        <f>opex_orig!$BH$90*I87</f>
        <v>7.1642329561076232E-3</v>
      </c>
      <c r="L87" s="261">
        <f t="shared" si="4"/>
        <v>7.1642329561076232E-3</v>
      </c>
      <c r="M87" s="261">
        <f t="shared" si="0"/>
        <v>7.116280351192098E-3</v>
      </c>
      <c r="P87" s="15"/>
    </row>
    <row r="88" spans="1:16" ht="15" customHeight="1" x14ac:dyDescent="0.25">
      <c r="A88" s="2" t="s">
        <v>944</v>
      </c>
      <c r="B88" s="5" t="s">
        <v>203</v>
      </c>
      <c r="C88" s="2" t="s">
        <v>733</v>
      </c>
      <c r="D88" s="2" t="s">
        <v>741</v>
      </c>
      <c r="E88" s="15" t="s">
        <v>956</v>
      </c>
      <c r="F88" s="191" t="s">
        <v>149</v>
      </c>
      <c r="G88" s="192">
        <f>opex_sources!H41/(0.95*opex_sources!H41+0.05*opex_sources!H55)</f>
        <v>1.0074588740165527</v>
      </c>
      <c r="H88" s="192">
        <f>opex_sources!H41/(opex_sources!H40+opex_sources!H41)</f>
        <v>0.38636363636363635</v>
      </c>
      <c r="I88" s="192">
        <f t="shared" si="3"/>
        <v>0.38924547405184989</v>
      </c>
      <c r="J88" s="217">
        <f>opex_orig!$BH$65</f>
        <v>0.107099642501538</v>
      </c>
      <c r="K88" s="217">
        <f>opex_orig!$BH$65*(opex_concordance!I81+opex_concordance!I88)</f>
        <v>0.10844415689459785</v>
      </c>
      <c r="L88" s="217">
        <f t="shared" si="4"/>
        <v>4.1898878800185536E-2</v>
      </c>
      <c r="M88" s="217">
        <f t="shared" si="0"/>
        <v>0.10771830391873523</v>
      </c>
      <c r="N88" s="187">
        <f>opex_sources!H41</f>
        <v>7.6499999999999999E-2</v>
      </c>
      <c r="O88" s="187">
        <f>SUM(L88:L91)/L$116</f>
        <v>0.10510590398059935</v>
      </c>
      <c r="P88" s="15" t="s">
        <v>956</v>
      </c>
    </row>
    <row r="89" spans="1:16" ht="15" customHeight="1" x14ac:dyDescent="0.25">
      <c r="A89" s="2" t="s">
        <v>944</v>
      </c>
      <c r="B89" s="5" t="s">
        <v>203</v>
      </c>
      <c r="C89" s="2" t="s">
        <v>733</v>
      </c>
      <c r="D89" s="2" t="s">
        <v>741</v>
      </c>
      <c r="E89" s="15" t="s">
        <v>956</v>
      </c>
      <c r="F89" s="232" t="s">
        <v>189</v>
      </c>
      <c r="G89" s="233">
        <f>opex_sources!H41/(0.95*opex_sources!H41+0.05*opex_sources!H55)</f>
        <v>1.0074588740165527</v>
      </c>
      <c r="H89" s="233">
        <f>opex_sources!H41/(opex_sources!H41+opex_sources!H42)</f>
        <v>0.58620689655172409</v>
      </c>
      <c r="I89" s="233">
        <f t="shared" si="3"/>
        <v>0.59057933994073775</v>
      </c>
      <c r="J89" s="234">
        <f>opex_orig!$BH$85</f>
        <v>1.4726229696442199E-2</v>
      </c>
      <c r="K89" s="234">
        <f>opex_orig!$BH$85*(opex_concordance!I89+opex_concordance!I92)</f>
        <v>1.486865158986508E-2</v>
      </c>
      <c r="L89" s="234">
        <f t="shared" si="4"/>
        <v>8.7161061044036675E-3</v>
      </c>
      <c r="M89" s="234">
        <f t="shared" si="0"/>
        <v>1.4769130736804663E-2</v>
      </c>
      <c r="P89" s="15"/>
    </row>
    <row r="90" spans="1:16" ht="15" customHeight="1" x14ac:dyDescent="0.25">
      <c r="A90" s="2" t="s">
        <v>944</v>
      </c>
      <c r="B90" s="5" t="s">
        <v>203</v>
      </c>
      <c r="C90" s="2" t="s">
        <v>733</v>
      </c>
      <c r="D90" s="2" t="s">
        <v>741</v>
      </c>
      <c r="E90" s="15" t="s">
        <v>956</v>
      </c>
      <c r="F90" s="222" t="s">
        <v>191</v>
      </c>
      <c r="G90" s="223">
        <f>opex_sources!H41/(0.95*opex_sources!H41+0.05*opex_sources!H55)</f>
        <v>1.0074588740165527</v>
      </c>
      <c r="H90" s="223">
        <f>opex_sources!H41/(opex_sources!H41+opex_sources!H42)</f>
        <v>0.58620689655172409</v>
      </c>
      <c r="I90" s="223">
        <f t="shared" si="3"/>
        <v>0.59057933994073775</v>
      </c>
      <c r="J90" s="224">
        <f>opex_orig!$BH$86</f>
        <v>2.2402321751589301E-2</v>
      </c>
      <c r="K90" s="224">
        <f>opex_orig!$BH$86*(opex_concordance!I90+opex_concordance!I93)</f>
        <v>2.2618981490483688E-2</v>
      </c>
      <c r="L90" s="224">
        <f t="shared" si="4"/>
        <v>1.3259402942697333E-2</v>
      </c>
      <c r="M90" s="224">
        <f t="shared" si="0"/>
        <v>2.2467585089829233E-2</v>
      </c>
      <c r="P90" s="15"/>
    </row>
    <row r="91" spans="1:16" ht="15" customHeight="1" x14ac:dyDescent="0.25">
      <c r="A91" s="2" t="s">
        <v>944</v>
      </c>
      <c r="B91" s="5" t="s">
        <v>203</v>
      </c>
      <c r="C91" s="2" t="s">
        <v>733</v>
      </c>
      <c r="D91" s="2" t="s">
        <v>741</v>
      </c>
      <c r="E91" s="15" t="s">
        <v>956</v>
      </c>
      <c r="F91" s="209" t="s">
        <v>203</v>
      </c>
      <c r="G91" s="210">
        <f>opex_sources!H41/(0.95*opex_sources!H41+0.05*opex_sources!H55)</f>
        <v>1.0074588740165527</v>
      </c>
      <c r="H91" s="210">
        <f>opex_sources!H41/(opex_sources!H37+opex_sources!H39+opex_sources!H40+opex_sources!H41+opex_sources!H42+opex_sources!H44+opex_sources!H45+opex_sources!H46)</f>
        <v>0.10508241758241757</v>
      </c>
      <c r="I91" s="210">
        <f t="shared" si="3"/>
        <v>0.1058662140965196</v>
      </c>
      <c r="J91" s="218">
        <f>opex_orig!$BH$92</f>
        <v>0.31634159702885301</v>
      </c>
      <c r="K91" s="218">
        <f>opex_orig!$BH$92*(opex_concordance!I76+opex_concordance!I80+opex_concordance!I84+opex_concordance!I91+opex_concordance!I95+opex_concordance!I101+opex_concordance!I104+opex_concordance!I105)</f>
        <v>0.31731823908695089</v>
      </c>
      <c r="L91" s="218">
        <f t="shared" si="4"/>
        <v>3.3344567706252388E-2</v>
      </c>
      <c r="M91" s="218">
        <f t="shared" si="0"/>
        <v>0.31519432208918574</v>
      </c>
      <c r="P91" s="15"/>
    </row>
    <row r="92" spans="1:16" ht="15" customHeight="1" x14ac:dyDescent="0.25">
      <c r="A92" s="2" t="s">
        <v>944</v>
      </c>
      <c r="B92" s="5" t="s">
        <v>203</v>
      </c>
      <c r="C92" s="2" t="s">
        <v>733</v>
      </c>
      <c r="D92" s="2" t="s">
        <v>741</v>
      </c>
      <c r="E92" s="15" t="s">
        <v>957</v>
      </c>
      <c r="F92" s="232" t="s">
        <v>189</v>
      </c>
      <c r="G92" s="233">
        <f>opex_sources!H42/(0.95*opex_sources!H42+0.05*opex_sources!H56)</f>
        <v>1.0128055878928988</v>
      </c>
      <c r="H92" s="233">
        <f>opex_sources!H42/(opex_sources!H41+opex_sources!H42)</f>
        <v>0.41379310344827586</v>
      </c>
      <c r="I92" s="233">
        <f t="shared" si="3"/>
        <v>0.4190919674039581</v>
      </c>
      <c r="J92" s="234">
        <f>opex_orig!$BH$85</f>
        <v>1.4726229696442199E-2</v>
      </c>
      <c r="K92" s="234">
        <f>opex_orig!$BH$85*(opex_concordance!I89+opex_concordance!I92)</f>
        <v>1.486865158986508E-2</v>
      </c>
      <c r="L92" s="234">
        <f t="shared" si="4"/>
        <v>6.1525454854614121E-3</v>
      </c>
      <c r="M92" s="234">
        <f t="shared" si="0"/>
        <v>1.4769130736804663E-2</v>
      </c>
      <c r="N92" s="187">
        <f>opex_sources!H42</f>
        <v>5.3999999999999999E-2</v>
      </c>
      <c r="O92" s="187">
        <f>SUM(L92:L96)/L$116</f>
        <v>5.1694588289226143E-2</v>
      </c>
      <c r="P92" s="15" t="s">
        <v>957</v>
      </c>
    </row>
    <row r="93" spans="1:16" ht="15" customHeight="1" x14ac:dyDescent="0.25">
      <c r="A93" s="2" t="s">
        <v>944</v>
      </c>
      <c r="B93" s="5" t="s">
        <v>203</v>
      </c>
      <c r="C93" s="2" t="s">
        <v>733</v>
      </c>
      <c r="D93" s="2" t="s">
        <v>741</v>
      </c>
      <c r="E93" s="15" t="s">
        <v>957</v>
      </c>
      <c r="F93" s="222" t="s">
        <v>191</v>
      </c>
      <c r="G93" s="223">
        <f>opex_sources!H42/(0.95*opex_sources!H42+0.05*opex_sources!H56)</f>
        <v>1.0128055878928988</v>
      </c>
      <c r="H93" s="223">
        <f>opex_sources!H42/(opex_sources!H41+opex_sources!H42)</f>
        <v>0.41379310344827586</v>
      </c>
      <c r="I93" s="223">
        <f t="shared" si="3"/>
        <v>0.4190919674039581</v>
      </c>
      <c r="J93" s="224">
        <f>opex_orig!$BH$86</f>
        <v>2.2402321751589301E-2</v>
      </c>
      <c r="K93" s="224">
        <f>opex_orig!$BH$86*(opex_concordance!I90+opex_concordance!I93)</f>
        <v>2.2618981490483688E-2</v>
      </c>
      <c r="L93" s="224">
        <f t="shared" si="4"/>
        <v>9.3595785477863531E-3</v>
      </c>
      <c r="M93" s="224">
        <f t="shared" si="0"/>
        <v>2.2467585089829233E-2</v>
      </c>
      <c r="P93" s="15"/>
    </row>
    <row r="94" spans="1:16" ht="15" customHeight="1" x14ac:dyDescent="0.25">
      <c r="A94" s="2" t="s">
        <v>944</v>
      </c>
      <c r="B94" s="5" t="s">
        <v>203</v>
      </c>
      <c r="C94" s="2" t="s">
        <v>733</v>
      </c>
      <c r="D94" s="2" t="s">
        <v>741</v>
      </c>
      <c r="E94" s="15" t="s">
        <v>957</v>
      </c>
      <c r="F94" s="199" t="s">
        <v>193</v>
      </c>
      <c r="G94" s="200">
        <f>opex_sources!H42/(0.95*opex_sources!H42+0.05*opex_sources!H56)</f>
        <v>1.0128055878928988</v>
      </c>
      <c r="H94" s="200">
        <f>opex_sources!H42/(opex_sources!H37+opex_sources!H39+opex_sources!H40+opex_sources!H42)</f>
        <v>0.1348314606741573</v>
      </c>
      <c r="I94" s="200">
        <f t="shared" si="3"/>
        <v>0.13655805679454813</v>
      </c>
      <c r="J94" s="216">
        <f>opex_orig!$BH$87</f>
        <v>1.8263956074753999E-2</v>
      </c>
      <c r="K94" s="216">
        <f>opex_orig!$BH$87*(opex_concordance!I74+opex_concordance!I78+opex_concordance!I82+opex_concordance!I94)</f>
        <v>1.8296754048129273E-2</v>
      </c>
      <c r="L94" s="216">
        <f t="shared" si="4"/>
        <v>2.4669780739050703E-3</v>
      </c>
      <c r="M94" s="216">
        <f t="shared" si="0"/>
        <v>1.8174287759905285E-2</v>
      </c>
      <c r="P94" s="15"/>
    </row>
    <row r="95" spans="1:16" ht="15" customHeight="1" x14ac:dyDescent="0.25">
      <c r="A95" s="2" t="s">
        <v>944</v>
      </c>
      <c r="B95" s="5" t="s">
        <v>203</v>
      </c>
      <c r="C95" s="2" t="s">
        <v>733</v>
      </c>
      <c r="D95" s="2" t="s">
        <v>741</v>
      </c>
      <c r="E95" s="15" t="s">
        <v>957</v>
      </c>
      <c r="F95" s="209" t="s">
        <v>203</v>
      </c>
      <c r="G95" s="210">
        <f>opex_sources!H42/(0.95*opex_sources!H42+0.05*opex_sources!H56)</f>
        <v>1.0128055878928988</v>
      </c>
      <c r="H95" s="210">
        <f>opex_sources!H42/(opex_sources!H37+opex_sources!H39+opex_sources!H40+opex_sources!H41+opex_sources!H42+opex_sources!H44+opex_sources!H45+opex_sources!H46)</f>
        <v>7.4175824175824162E-2</v>
      </c>
      <c r="I95" s="210">
        <f t="shared" si="3"/>
        <v>7.5125689211835878E-2</v>
      </c>
      <c r="J95" s="218">
        <f>opex_orig!$BH$92</f>
        <v>0.31634159702885301</v>
      </c>
      <c r="K95" s="218">
        <f>opex_orig!$BH$92*(opex_concordance!I76+opex_concordance!I80+opex_concordance!I84+opex_concordance!I91+opex_concordance!I95+opex_concordance!I101+opex_concordance!I104+opex_concordance!I105)</f>
        <v>0.31731823908695089</v>
      </c>
      <c r="L95" s="218">
        <f t="shared" si="4"/>
        <v>2.3537341910295804E-2</v>
      </c>
      <c r="M95" s="218">
        <f t="shared" si="0"/>
        <v>0.31519432208918574</v>
      </c>
      <c r="P95" s="15"/>
    </row>
    <row r="96" spans="1:16" ht="15" customHeight="1" x14ac:dyDescent="0.25">
      <c r="A96" s="2" t="s">
        <v>944</v>
      </c>
      <c r="B96" s="5" t="s">
        <v>203</v>
      </c>
      <c r="C96" s="2" t="s">
        <v>733</v>
      </c>
      <c r="D96" s="2" t="s">
        <v>741</v>
      </c>
      <c r="E96" s="15" t="s">
        <v>957</v>
      </c>
      <c r="F96" s="318" t="s">
        <v>165</v>
      </c>
      <c r="G96" s="312">
        <f>opex_sources!H42/(0.95*opex_sources!H42+0.05*opex_sources!H56)</f>
        <v>1.0128055878928988</v>
      </c>
      <c r="H96" s="312">
        <f>opex_sources!H42/opex_sources!H42</f>
        <v>1</v>
      </c>
      <c r="I96" s="312">
        <f t="shared" si="3"/>
        <v>1.0128055878928988</v>
      </c>
      <c r="J96" s="293">
        <f>opex_orig!$BH$73</f>
        <v>6.2194365075736203E-3</v>
      </c>
      <c r="K96" s="293">
        <f>opex_orig!$BH$73*I96</f>
        <v>6.2990800484156581E-3</v>
      </c>
      <c r="L96" s="293">
        <f t="shared" ref="L96" si="5">K96*H96</f>
        <v>6.2990800484156581E-3</v>
      </c>
      <c r="M96" s="293">
        <f t="shared" si="0"/>
        <v>6.2569182009794399E-3</v>
      </c>
      <c r="P96" s="15"/>
    </row>
    <row r="97" spans="1:16" ht="15" customHeight="1" x14ac:dyDescent="0.25">
      <c r="A97" s="2" t="s">
        <v>944</v>
      </c>
      <c r="B97" s="5" t="s">
        <v>203</v>
      </c>
      <c r="C97" s="2" t="s">
        <v>733</v>
      </c>
      <c r="D97" s="2" t="s">
        <v>741</v>
      </c>
      <c r="E97" s="15" t="s">
        <v>958</v>
      </c>
      <c r="F97" s="241" t="s">
        <v>372</v>
      </c>
      <c r="G97" s="242">
        <f>opex_sources!H43/(0.95*opex_sources!H43+0.05*opex_sources!H57)</f>
        <v>1.0179903466432647</v>
      </c>
      <c r="H97" s="242">
        <f>opex_sources!H43/opex_sources!H43</f>
        <v>1</v>
      </c>
      <c r="I97" s="242">
        <f t="shared" si="3"/>
        <v>1.0179903466432647</v>
      </c>
      <c r="J97" s="227">
        <f>opex_orig!$BH$169</f>
        <v>6.2817762371068699E-3</v>
      </c>
      <c r="K97" s="227">
        <f>opex_orig!$BH$169*opex_concordance!I97</f>
        <v>6.3947875691478459E-3</v>
      </c>
      <c r="L97" s="227">
        <f t="shared" si="4"/>
        <v>6.3947875691478459E-3</v>
      </c>
      <c r="M97" s="227">
        <f t="shared" si="0"/>
        <v>6.351985119297212E-3</v>
      </c>
      <c r="N97" s="187">
        <f>opex_sources!H43</f>
        <v>7.2000000000000008E-2</v>
      </c>
      <c r="O97" s="187">
        <f>SUM(L97:L100)/L$116</f>
        <v>0.16707516323359592</v>
      </c>
      <c r="P97" s="15" t="s">
        <v>958</v>
      </c>
    </row>
    <row r="98" spans="1:16" ht="15" customHeight="1" x14ac:dyDescent="0.25">
      <c r="A98" s="2" t="s">
        <v>944</v>
      </c>
      <c r="B98" s="5" t="s">
        <v>203</v>
      </c>
      <c r="C98" s="2" t="s">
        <v>733</v>
      </c>
      <c r="D98" s="2" t="s">
        <v>741</v>
      </c>
      <c r="E98" s="15" t="s">
        <v>958</v>
      </c>
      <c r="F98" s="241" t="s">
        <v>373</v>
      </c>
      <c r="G98" s="242">
        <f>opex_sources!H43/(0.95*opex_sources!H43+0.05*opex_sources!H57)</f>
        <v>1.0179903466432647</v>
      </c>
      <c r="H98" s="242">
        <f>opex_sources!H43/opex_sources!H43</f>
        <v>1</v>
      </c>
      <c r="I98" s="242">
        <f t="shared" si="3"/>
        <v>1.0179903466432647</v>
      </c>
      <c r="J98" s="227">
        <f>opex_orig!$BH$170</f>
        <v>5.9386267088479397E-2</v>
      </c>
      <c r="K98" s="227">
        <f>opex_orig!$BH$170*opex_concordance!I98</f>
        <v>6.0454646619250645E-2</v>
      </c>
      <c r="L98" s="227">
        <f t="shared" si="4"/>
        <v>6.0454646619250645E-2</v>
      </c>
      <c r="M98" s="227">
        <f t="shared" si="0"/>
        <v>6.0050003470095481E-2</v>
      </c>
      <c r="P98" s="15"/>
    </row>
    <row r="99" spans="1:16" ht="15" customHeight="1" x14ac:dyDescent="0.25">
      <c r="A99" s="2" t="s">
        <v>944</v>
      </c>
      <c r="B99" s="5" t="s">
        <v>203</v>
      </c>
      <c r="C99" s="2" t="s">
        <v>733</v>
      </c>
      <c r="D99" s="2" t="s">
        <v>741</v>
      </c>
      <c r="E99" s="15" t="s">
        <v>958</v>
      </c>
      <c r="F99" s="241" t="s">
        <v>374</v>
      </c>
      <c r="G99" s="242">
        <f>opex_sources!H43/(0.95*opex_sources!H43+0.05*opex_sources!H57)</f>
        <v>1.0179903466432647</v>
      </c>
      <c r="H99" s="242">
        <f>opex_sources!H43/opex_sources!H43</f>
        <v>1</v>
      </c>
      <c r="I99" s="242">
        <f>G99*H99</f>
        <v>1.0179903466432647</v>
      </c>
      <c r="J99" s="227">
        <f>opex_orig!$BH$171</f>
        <v>4.8201502616191702E-2</v>
      </c>
      <c r="K99" s="227">
        <f>opex_orig!$BH$171*opex_concordance!I99</f>
        <v>4.9068664356983219E-2</v>
      </c>
      <c r="L99" s="227">
        <f t="shared" si="4"/>
        <v>4.9068664356983219E-2</v>
      </c>
      <c r="M99" s="227">
        <f t="shared" si="0"/>
        <v>4.8740231391436364E-2</v>
      </c>
      <c r="P99" s="15"/>
    </row>
    <row r="100" spans="1:16" ht="15" customHeight="1" x14ac:dyDescent="0.25">
      <c r="A100" s="2" t="s">
        <v>944</v>
      </c>
      <c r="B100" s="5" t="s">
        <v>203</v>
      </c>
      <c r="C100" s="2" t="s">
        <v>733</v>
      </c>
      <c r="D100" s="2" t="s">
        <v>741</v>
      </c>
      <c r="E100" s="15" t="s">
        <v>958</v>
      </c>
      <c r="F100" s="240" t="s">
        <v>375</v>
      </c>
      <c r="G100" s="353">
        <f>opex_sources!H43/(0.95*opex_sources!H43+0.05*opex_sources!H57)</f>
        <v>1.0179903466432647</v>
      </c>
      <c r="H100" s="353">
        <f>opex_sources!H43/opex_sources!H43</f>
        <v>1</v>
      </c>
      <c r="I100" s="353">
        <f>G100*H100</f>
        <v>1.0179903466432647</v>
      </c>
      <c r="J100" s="239">
        <f>opex_orig!$BH$172</f>
        <v>3.7937550460069698E-2</v>
      </c>
      <c r="K100" s="239">
        <f>opex_orig!$BH$172*I100</f>
        <v>3.86200601436427E-2</v>
      </c>
      <c r="L100" s="239">
        <f t="shared" si="4"/>
        <v>3.86200601436427E-2</v>
      </c>
      <c r="M100" s="239">
        <f t="shared" si="0"/>
        <v>3.8361563177222439E-2</v>
      </c>
      <c r="P100" s="15"/>
    </row>
    <row r="101" spans="1:16" ht="15" customHeight="1" x14ac:dyDescent="0.25">
      <c r="A101" s="2" t="s">
        <v>944</v>
      </c>
      <c r="B101" s="5" t="s">
        <v>203</v>
      </c>
      <c r="C101" s="2" t="s">
        <v>733</v>
      </c>
      <c r="D101" s="2" t="s">
        <v>741</v>
      </c>
      <c r="E101" s="15" t="s">
        <v>959</v>
      </c>
      <c r="F101" s="209" t="s">
        <v>203</v>
      </c>
      <c r="G101" s="210">
        <f>opex_sources!H44/(0.95*opex_sources!H44+0.05*opex_sources!H58)</f>
        <v>1.0118239968986238</v>
      </c>
      <c r="H101" s="210">
        <f>opex_sources!H44/(opex_sources!H37+opex_sources!H39+opex_sources!H40+opex_sources!H41+opex_sources!H42+opex_sources!H44+opex_sources!H45+opex_sources!H46)</f>
        <v>0.11126373626373627</v>
      </c>
      <c r="I101" s="210">
        <f t="shared" si="3"/>
        <v>0.11257931833624799</v>
      </c>
      <c r="J101" s="218">
        <f>opex_orig!$BH$92</f>
        <v>0.31634159702885301</v>
      </c>
      <c r="K101" s="218">
        <f>opex_orig!$BH$92*(opex_concordance!I76+opex_concordance!I80+opex_concordance!I84+opex_concordance!I91+opex_concordance!I95+opex_concordance!I101+opex_concordance!I104+opex_concordance!I105)</f>
        <v>0.31731823908695089</v>
      </c>
      <c r="L101" s="218">
        <f t="shared" si="4"/>
        <v>3.5306012865443714E-2</v>
      </c>
      <c r="M101" s="218">
        <f t="shared" si="0"/>
        <v>0.31519432208918574</v>
      </c>
      <c r="N101" s="187">
        <f>opex_sources!H44</f>
        <v>8.1000000000000016E-2</v>
      </c>
      <c r="O101" s="187">
        <f>SUM(L101:L103)/L$116</f>
        <v>5.4693197406675539E-2</v>
      </c>
      <c r="P101" s="15" t="s">
        <v>959</v>
      </c>
    </row>
    <row r="102" spans="1:16" ht="15" customHeight="1" x14ac:dyDescent="0.25">
      <c r="A102" s="2" t="s">
        <v>944</v>
      </c>
      <c r="B102" s="5" t="s">
        <v>203</v>
      </c>
      <c r="C102" s="2" t="s">
        <v>733</v>
      </c>
      <c r="D102" s="2" t="s">
        <v>741</v>
      </c>
      <c r="E102" s="15" t="s">
        <v>959</v>
      </c>
      <c r="F102" s="323" t="s">
        <v>239</v>
      </c>
      <c r="G102" s="324">
        <f>opex_sources!H44/(0.95*opex_sources!H44+0.05*opex_sources!H58)</f>
        <v>1.0118239968986238</v>
      </c>
      <c r="H102" s="324">
        <f>opex_sources!H44/opex_sources!H44</f>
        <v>1</v>
      </c>
      <c r="I102" s="324">
        <f t="shared" si="3"/>
        <v>1.0118239968986238</v>
      </c>
      <c r="J102" s="217">
        <f>opex_orig!$BH$124</f>
        <v>1.19151453333908E-2</v>
      </c>
      <c r="K102" s="217">
        <f>opex_orig!$BH$124*I102</f>
        <v>1.2056029974859463E-2</v>
      </c>
      <c r="L102" s="217">
        <f t="shared" ref="L102:L103" si="6">K102*H102</f>
        <v>1.2056029974859463E-2</v>
      </c>
      <c r="M102" s="217">
        <f t="shared" si="0"/>
        <v>1.1975334938031927E-2</v>
      </c>
      <c r="P102" s="15"/>
    </row>
    <row r="103" spans="1:16" ht="15" customHeight="1" x14ac:dyDescent="0.25">
      <c r="A103" s="2" t="s">
        <v>944</v>
      </c>
      <c r="B103" s="5" t="s">
        <v>203</v>
      </c>
      <c r="C103" s="2" t="s">
        <v>733</v>
      </c>
      <c r="D103" s="2" t="s">
        <v>741</v>
      </c>
      <c r="E103" s="15" t="s">
        <v>959</v>
      </c>
      <c r="F103" s="350" t="s">
        <v>263</v>
      </c>
      <c r="G103" s="351">
        <f>opex_sources!H44/(0.95*opex_sources!H44+0.05*opex_sources!H58)</f>
        <v>1.0118239968986238</v>
      </c>
      <c r="H103" s="351">
        <f>opex_sources!H44/opex_sources!H44</f>
        <v>1</v>
      </c>
      <c r="I103" s="351">
        <f>G103*H103</f>
        <v>1.0118239968986238</v>
      </c>
      <c r="J103" s="352">
        <f>opex_orig!$BH$136</f>
        <v>3.18936928842057E-3</v>
      </c>
      <c r="K103" s="352">
        <f>opex_orig!$BH$136*I103</f>
        <v>3.2270803809954208E-3</v>
      </c>
      <c r="L103" s="352">
        <f t="shared" si="6"/>
        <v>3.2270803809954208E-3</v>
      </c>
      <c r="M103" s="352">
        <f t="shared" si="0"/>
        <v>3.2054804537612583E-3</v>
      </c>
      <c r="P103" s="15"/>
    </row>
    <row r="104" spans="1:16" ht="15" customHeight="1" x14ac:dyDescent="0.25">
      <c r="A104" s="2" t="s">
        <v>944</v>
      </c>
      <c r="B104" s="5" t="s">
        <v>203</v>
      </c>
      <c r="C104" s="2" t="s">
        <v>733</v>
      </c>
      <c r="D104" s="2" t="s">
        <v>741</v>
      </c>
      <c r="E104" s="15" t="s">
        <v>946</v>
      </c>
      <c r="F104" s="209" t="s">
        <v>203</v>
      </c>
      <c r="G104" s="210">
        <f>opex_sources!H45/(0.95*opex_sources!H45+0.05*opex_sources!H59)</f>
        <v>1</v>
      </c>
      <c r="H104" s="210">
        <f>opex_sources!H45/(opex_sources!H37+opex_sources!H39+opex_sources!H40+opex_sources!H41+opex_sources!H42+opex_sources!H44+opex_sources!H45+opex_sources!H46)</f>
        <v>0.19230769230769229</v>
      </c>
      <c r="I104" s="210">
        <f t="shared" si="3"/>
        <v>0.19230769230769229</v>
      </c>
      <c r="J104" s="218">
        <f>opex_orig!$BH$92</f>
        <v>0.31634159702885301</v>
      </c>
      <c r="K104" s="218">
        <f>opex_orig!$BH$92*(opex_concordance!I76+opex_concordance!I80+opex_concordance!I84+opex_concordance!I91+opex_concordance!I95+opex_concordance!I101+opex_concordance!I104+opex_concordance!I105)</f>
        <v>0.31731823908695089</v>
      </c>
      <c r="L104" s="218">
        <f t="shared" si="4"/>
        <v>6.1022738285952088E-2</v>
      </c>
      <c r="M104" s="218">
        <f t="shared" si="0"/>
        <v>0.31519432208918574</v>
      </c>
      <c r="N104" s="187">
        <f>opex_sources!H45</f>
        <v>0.14000000000000001</v>
      </c>
      <c r="O104" s="187">
        <f>L104/L$116</f>
        <v>6.5973246003289826E-2</v>
      </c>
      <c r="P104" s="15" t="s">
        <v>946</v>
      </c>
    </row>
    <row r="105" spans="1:16" ht="15" customHeight="1" x14ac:dyDescent="0.25">
      <c r="A105" s="2" t="s">
        <v>944</v>
      </c>
      <c r="B105" s="5" t="s">
        <v>203</v>
      </c>
      <c r="C105" s="2" t="s">
        <v>733</v>
      </c>
      <c r="D105" s="2" t="s">
        <v>741</v>
      </c>
      <c r="E105" s="15" t="s">
        <v>947</v>
      </c>
      <c r="F105" s="209" t="s">
        <v>203</v>
      </c>
      <c r="G105" s="210">
        <f>opex_sources!H46/(0.95*opex_sources!H46+0.05*opex_sources!H60)</f>
        <v>1</v>
      </c>
      <c r="H105" s="210">
        <f>opex_sources!H46/(opex_sources!H37+opex_sources!H39+opex_sources!H40+opex_sources!H41+opex_sources!H42+opex_sources!H44+opex_sources!H45+opex_sources!H46)</f>
        <v>4.1208791208791201E-2</v>
      </c>
      <c r="I105" s="210">
        <f t="shared" si="3"/>
        <v>4.1208791208791201E-2</v>
      </c>
      <c r="J105" s="218">
        <f>opex_orig!$BH$92</f>
        <v>0.31634159702885301</v>
      </c>
      <c r="K105" s="218">
        <f>opex_orig!$BH$92*(opex_concordance!I76+opex_concordance!I80+opex_concordance!I84+opex_concordance!I91+opex_concordance!I95+opex_concordance!I101+opex_concordance!I104+opex_concordance!I105)</f>
        <v>0.31731823908695089</v>
      </c>
      <c r="L105" s="218">
        <f t="shared" si="4"/>
        <v>1.3076301061275447E-2</v>
      </c>
      <c r="M105" s="218">
        <f t="shared" si="0"/>
        <v>0.31519432208918574</v>
      </c>
      <c r="N105" s="187">
        <f>opex_sources!H46</f>
        <v>0.03</v>
      </c>
      <c r="O105" s="187">
        <f>SUM(L105:L106)/L$116</f>
        <v>1.9752053678732038E-2</v>
      </c>
      <c r="P105" s="15" t="s">
        <v>947</v>
      </c>
    </row>
    <row r="106" spans="1:16" ht="15" customHeight="1" x14ac:dyDescent="0.25">
      <c r="A106" s="2" t="s">
        <v>944</v>
      </c>
      <c r="B106" s="5" t="s">
        <v>203</v>
      </c>
      <c r="C106" s="2" t="s">
        <v>733</v>
      </c>
      <c r="D106" s="2" t="s">
        <v>741</v>
      </c>
      <c r="E106" s="15" t="s">
        <v>947</v>
      </c>
      <c r="F106" s="322" t="s">
        <v>265</v>
      </c>
      <c r="G106" s="314">
        <f>opex_sources!H46/(0.95*opex_sources!H46+0.05*opex_sources!H60)</f>
        <v>1</v>
      </c>
      <c r="H106" s="314">
        <f>opex_sources!H46/opex_sources!H46</f>
        <v>1</v>
      </c>
      <c r="I106" s="314">
        <f t="shared" si="3"/>
        <v>1</v>
      </c>
      <c r="J106" s="302">
        <f>opex_orig!$BH$137</f>
        <v>5.1935958327963896E-3</v>
      </c>
      <c r="K106" s="302">
        <f>opex_orig!$BH$137*I106</f>
        <v>5.1935958327963896E-3</v>
      </c>
      <c r="L106" s="302">
        <f t="shared" ref="L106" si="7">K106*H106</f>
        <v>5.1935958327963896E-3</v>
      </c>
      <c r="M106" s="302">
        <f t="shared" si="0"/>
        <v>5.1588333605838291E-3</v>
      </c>
      <c r="P106" s="15"/>
    </row>
    <row r="107" spans="1:16" ht="15" customHeight="1" x14ac:dyDescent="0.25">
      <c r="A107" s="2" t="s">
        <v>944</v>
      </c>
      <c r="B107" s="5" t="s">
        <v>203</v>
      </c>
      <c r="C107" s="2" t="s">
        <v>733</v>
      </c>
      <c r="D107" s="2" t="s">
        <v>741</v>
      </c>
      <c r="E107" s="15" t="s">
        <v>948</v>
      </c>
      <c r="F107" s="235" t="s">
        <v>227</v>
      </c>
      <c r="G107" s="236">
        <f>opex_sources!H47/(0.95*opex_sources!H47+0.05*opex_sources!H61)</f>
        <v>1</v>
      </c>
      <c r="H107" s="236">
        <f>opex_sources!H47/(opex_sources!H47+opex_sources!H48)</f>
        <v>0.43750000000000006</v>
      </c>
      <c r="I107" s="236">
        <f t="shared" si="3"/>
        <v>0.43750000000000006</v>
      </c>
      <c r="J107" s="238">
        <f>opex_orig!$BH$118</f>
        <v>1.7256748018028501E-2</v>
      </c>
      <c r="K107" s="238">
        <f>opex_orig!$BH$118*(opex_concordance!I107+opex_concordance!I111)</f>
        <v>1.7256748018028501E-2</v>
      </c>
      <c r="L107" s="238">
        <f t="shared" si="4"/>
        <v>7.5498272578874703E-3</v>
      </c>
      <c r="M107" s="238">
        <f t="shared" si="0"/>
        <v>1.7141242837654683E-2</v>
      </c>
      <c r="N107" s="187">
        <f>opex_sources!H47</f>
        <v>7.0000000000000007E-2</v>
      </c>
      <c r="O107" s="187">
        <f>SUM(L107:L110)/L$116</f>
        <v>3.6497815808810126E-2</v>
      </c>
      <c r="P107" s="15" t="s">
        <v>948</v>
      </c>
    </row>
    <row r="108" spans="1:16" ht="15" customHeight="1" x14ac:dyDescent="0.25">
      <c r="A108" s="2" t="s">
        <v>944</v>
      </c>
      <c r="B108" s="5" t="s">
        <v>203</v>
      </c>
      <c r="C108" s="2" t="s">
        <v>733</v>
      </c>
      <c r="D108" s="2" t="s">
        <v>741</v>
      </c>
      <c r="E108" s="15" t="s">
        <v>948</v>
      </c>
      <c r="F108" s="228" t="s">
        <v>231</v>
      </c>
      <c r="G108" s="229">
        <f>opex_sources!H47/(0.95*opex_sources!H47+0.05*opex_sources!H61)</f>
        <v>1</v>
      </c>
      <c r="H108" s="229">
        <f>opex_sources!H47/(opex_sources!H47+opex_sources!H48)</f>
        <v>0.43750000000000006</v>
      </c>
      <c r="I108" s="229">
        <f t="shared" si="3"/>
        <v>0.43750000000000006</v>
      </c>
      <c r="J108" s="231">
        <f>opex_orig!$BH$120</f>
        <v>3.7184161981443697E-2</v>
      </c>
      <c r="K108" s="231">
        <f>opex_orig!$BH$120*(opex_concordance!I108+opex_concordance!I112)</f>
        <v>3.7184161981443697E-2</v>
      </c>
      <c r="L108" s="231">
        <f t="shared" si="4"/>
        <v>1.6268070866881621E-2</v>
      </c>
      <c r="M108" s="231">
        <f t="shared" si="0"/>
        <v>3.6935275961190693E-2</v>
      </c>
      <c r="P108" s="15"/>
    </row>
    <row r="109" spans="1:16" ht="15" customHeight="1" x14ac:dyDescent="0.25">
      <c r="A109" s="2" t="s">
        <v>944</v>
      </c>
      <c r="B109" s="5" t="s">
        <v>203</v>
      </c>
      <c r="C109" s="2" t="s">
        <v>733</v>
      </c>
      <c r="D109" s="2" t="s">
        <v>741</v>
      </c>
      <c r="E109" s="15" t="s">
        <v>948</v>
      </c>
      <c r="F109" s="315" t="s">
        <v>233</v>
      </c>
      <c r="G109" s="316">
        <f>opex_sources!H47/(0.95*opex_sources!H47+0.05*opex_sources!H61)</f>
        <v>1</v>
      </c>
      <c r="H109" s="316">
        <f>opex_sources!H47/(opex_sources!H47+opex_sources!H48)</f>
        <v>0.43750000000000006</v>
      </c>
      <c r="I109" s="316">
        <f t="shared" si="3"/>
        <v>0.43750000000000006</v>
      </c>
      <c r="J109" s="317">
        <f>opex_orig!$BH$121</f>
        <v>7.3893807528986801E-3</v>
      </c>
      <c r="K109" s="317">
        <f>opex_orig!$BH$121*(I109+I113)</f>
        <v>7.3893807528986801E-3</v>
      </c>
      <c r="L109" s="317">
        <f t="shared" ref="L109" si="8">K109*H109</f>
        <v>3.2328540793931729E-3</v>
      </c>
      <c r="M109" s="317">
        <f t="shared" si="0"/>
        <v>7.3399211585520102E-3</v>
      </c>
      <c r="P109" s="15"/>
    </row>
    <row r="110" spans="1:16" ht="15" customHeight="1" x14ac:dyDescent="0.25">
      <c r="A110" s="2" t="s">
        <v>944</v>
      </c>
      <c r="B110" s="5" t="s">
        <v>203</v>
      </c>
      <c r="C110" s="2" t="s">
        <v>733</v>
      </c>
      <c r="D110" s="2" t="s">
        <v>741</v>
      </c>
      <c r="E110" s="15" t="s">
        <v>948</v>
      </c>
      <c r="F110" s="225" t="s">
        <v>267</v>
      </c>
      <c r="G110" s="201">
        <f>opex_sources!H47/(0.95*opex_sources!H47+0.05*opex_sources!H61)</f>
        <v>1</v>
      </c>
      <c r="H110" s="201">
        <f>opex_sources!H47/(opex_sources!H47+opex_sources!H48)</f>
        <v>0.43750000000000006</v>
      </c>
      <c r="I110" s="201">
        <f t="shared" si="3"/>
        <v>0.43750000000000006</v>
      </c>
      <c r="J110" s="226">
        <f>opex_orig!$BH$138</f>
        <v>1.53333405084879E-2</v>
      </c>
      <c r="K110" s="226">
        <f>opex_orig!$BH$138*(opex_concordance!I110+opex_concordance!I114)</f>
        <v>1.53333405084879E-2</v>
      </c>
      <c r="L110" s="226">
        <f t="shared" si="4"/>
        <v>6.7083364724634569E-3</v>
      </c>
      <c r="M110" s="226">
        <f t="shared" si="0"/>
        <v>1.5230709337231542E-2</v>
      </c>
      <c r="P110" s="15"/>
    </row>
    <row r="111" spans="1:16" ht="15" customHeight="1" x14ac:dyDescent="0.25">
      <c r="A111" s="2" t="s">
        <v>944</v>
      </c>
      <c r="B111" s="5" t="s">
        <v>203</v>
      </c>
      <c r="C111" s="2" t="s">
        <v>733</v>
      </c>
      <c r="D111" s="2" t="s">
        <v>741</v>
      </c>
      <c r="E111" s="15" t="s">
        <v>949</v>
      </c>
      <c r="F111" s="235" t="s">
        <v>227</v>
      </c>
      <c r="G111" s="236">
        <f>opex_sources!H48/(0.95*opex_sources!H48+0.05*opex_sources!H62)</f>
        <v>1</v>
      </c>
      <c r="H111" s="236">
        <f>opex_sources!H48/(opex_sources!H47+opex_sources!H48)</f>
        <v>0.5625</v>
      </c>
      <c r="I111" s="236">
        <f t="shared" si="3"/>
        <v>0.5625</v>
      </c>
      <c r="J111" s="238">
        <f>opex_orig!$BH$118</f>
        <v>1.7256748018028501E-2</v>
      </c>
      <c r="K111" s="238">
        <f>opex_orig!$BH$118*(opex_concordance!I107+opex_concordance!I111)</f>
        <v>1.7256748018028501E-2</v>
      </c>
      <c r="L111" s="238">
        <f t="shared" si="4"/>
        <v>9.7069207601410325E-3</v>
      </c>
      <c r="M111" s="238">
        <f t="shared" si="0"/>
        <v>1.7141242837654683E-2</v>
      </c>
      <c r="N111" s="187">
        <f>opex_sources!H48</f>
        <v>0.09</v>
      </c>
      <c r="O111" s="187">
        <f>SUM(L111:L114)/L$116</f>
        <v>4.6925763182755875E-2</v>
      </c>
      <c r="P111" s="15" t="s">
        <v>949</v>
      </c>
    </row>
    <row r="112" spans="1:16" ht="15" customHeight="1" x14ac:dyDescent="0.25">
      <c r="A112" s="2" t="s">
        <v>944</v>
      </c>
      <c r="B112" s="5" t="s">
        <v>203</v>
      </c>
      <c r="C112" s="2" t="s">
        <v>733</v>
      </c>
      <c r="D112" s="2" t="s">
        <v>741</v>
      </c>
      <c r="E112" s="15" t="s">
        <v>949</v>
      </c>
      <c r="F112" s="228" t="s">
        <v>231</v>
      </c>
      <c r="G112" s="229">
        <f>opex_sources!H48/(0.95*opex_sources!H48+0.05*opex_sources!H62)</f>
        <v>1</v>
      </c>
      <c r="H112" s="229">
        <f>opex_sources!H48/(opex_sources!H47+opex_sources!H48)</f>
        <v>0.5625</v>
      </c>
      <c r="I112" s="229">
        <f t="shared" si="3"/>
        <v>0.5625</v>
      </c>
      <c r="J112" s="231">
        <f>opex_orig!$BH$120</f>
        <v>3.7184161981443697E-2</v>
      </c>
      <c r="K112" s="231">
        <f>opex_orig!$BH$120*(opex_concordance!I108+opex_concordance!I112)</f>
        <v>3.7184161981443697E-2</v>
      </c>
      <c r="L112" s="231">
        <f t="shared" si="4"/>
        <v>2.091609111456208E-2</v>
      </c>
      <c r="M112" s="231">
        <f t="shared" si="0"/>
        <v>3.6935275961190693E-2</v>
      </c>
      <c r="P112" s="15"/>
    </row>
    <row r="113" spans="1:16" ht="15" customHeight="1" x14ac:dyDescent="0.25">
      <c r="A113" s="2" t="s">
        <v>944</v>
      </c>
      <c r="B113" s="5" t="s">
        <v>203</v>
      </c>
      <c r="C113" s="2" t="s">
        <v>733</v>
      </c>
      <c r="D113" s="2" t="s">
        <v>741</v>
      </c>
      <c r="E113" s="15" t="s">
        <v>949</v>
      </c>
      <c r="F113" s="315" t="s">
        <v>233</v>
      </c>
      <c r="G113" s="316">
        <f>opex_sources!H48/(0.95*opex_sources!H48+0.05*opex_sources!H62)</f>
        <v>1</v>
      </c>
      <c r="H113" s="316">
        <f>opex_sources!H48/(opex_sources!H47+opex_sources!H48)</f>
        <v>0.5625</v>
      </c>
      <c r="I113" s="316">
        <f t="shared" si="3"/>
        <v>0.5625</v>
      </c>
      <c r="J113" s="317">
        <f>opex_orig!$BH$121</f>
        <v>7.3893807528986801E-3</v>
      </c>
      <c r="K113" s="317">
        <f>opex_orig!$BH$121*(I109+I113)</f>
        <v>7.3893807528986801E-3</v>
      </c>
      <c r="L113" s="317">
        <f t="shared" ref="L113" si="9">K113*H113</f>
        <v>4.1565266735055072E-3</v>
      </c>
      <c r="M113" s="317">
        <f t="shared" si="0"/>
        <v>7.3399211585520102E-3</v>
      </c>
      <c r="P113" s="15"/>
    </row>
    <row r="114" spans="1:16" ht="15" customHeight="1" x14ac:dyDescent="0.25">
      <c r="A114" s="2" t="s">
        <v>944</v>
      </c>
      <c r="B114" s="5" t="s">
        <v>203</v>
      </c>
      <c r="C114" s="2" t="s">
        <v>733</v>
      </c>
      <c r="D114" s="2" t="s">
        <v>741</v>
      </c>
      <c r="E114" s="15" t="s">
        <v>949</v>
      </c>
      <c r="F114" s="225" t="s">
        <v>267</v>
      </c>
      <c r="G114" s="201">
        <f>opex_sources!H48/(0.95*opex_sources!H48+0.05*opex_sources!H62)</f>
        <v>1</v>
      </c>
      <c r="H114" s="201">
        <f>opex_sources!H48/(opex_sources!H47+opex_sources!H48)</f>
        <v>0.5625</v>
      </c>
      <c r="I114" s="201">
        <f t="shared" si="3"/>
        <v>0.5625</v>
      </c>
      <c r="J114" s="226">
        <f>opex_orig!$BH$138</f>
        <v>1.53333405084879E-2</v>
      </c>
      <c r="K114" s="226">
        <f>opex_orig!$BH$138*(opex_concordance!I110+opex_concordance!I114)</f>
        <v>1.53333405084879E-2</v>
      </c>
      <c r="L114" s="226">
        <f t="shared" si="4"/>
        <v>8.6250040360244442E-3</v>
      </c>
      <c r="M114" s="226">
        <f t="shared" si="0"/>
        <v>1.5230709337231542E-2</v>
      </c>
      <c r="P114" s="15"/>
    </row>
    <row r="115" spans="1:16" ht="15" customHeight="1" x14ac:dyDescent="0.25">
      <c r="A115" s="2" t="s">
        <v>944</v>
      </c>
      <c r="B115" s="5" t="s">
        <v>203</v>
      </c>
      <c r="C115" s="2" t="s">
        <v>733</v>
      </c>
      <c r="D115" s="2" t="s">
        <v>741</v>
      </c>
      <c r="E115" s="15" t="s">
        <v>950</v>
      </c>
      <c r="F115" s="240" t="s">
        <v>378</v>
      </c>
      <c r="G115" s="202">
        <f>opex_sources!H49/(0.95*opex_sources!H49+0.05*opex_sources!H63)</f>
        <v>1</v>
      </c>
      <c r="H115" s="202">
        <f>opex_sources!H49/opex_sources!H49</f>
        <v>1</v>
      </c>
      <c r="I115" s="202">
        <f t="shared" si="3"/>
        <v>1</v>
      </c>
      <c r="J115" s="239">
        <f>opex_orig!$BH$175</f>
        <v>8.5868655653659504E-2</v>
      </c>
      <c r="K115" s="239">
        <f>opex_orig!$BH$175*opex_concordance!I115</f>
        <v>8.5868655653659504E-2</v>
      </c>
      <c r="L115" s="239">
        <f t="shared" si="4"/>
        <v>8.5868655653659504E-2</v>
      </c>
      <c r="M115" s="239">
        <f t="shared" si="0"/>
        <v>8.5293908050613348E-2</v>
      </c>
      <c r="N115" s="187">
        <f>opex_sources!H63</f>
        <v>0.04</v>
      </c>
      <c r="O115" s="187">
        <f>L115/L$116</f>
        <v>9.2834803919554648E-2</v>
      </c>
      <c r="P115" s="15" t="s">
        <v>950</v>
      </c>
    </row>
    <row r="116" spans="1:16" ht="15" customHeight="1" x14ac:dyDescent="0.25">
      <c r="A116" s="2" t="s">
        <v>944</v>
      </c>
      <c r="B116" s="89" t="s">
        <v>203</v>
      </c>
      <c r="C116" s="24" t="s">
        <v>733</v>
      </c>
      <c r="D116" s="24" t="s">
        <v>741</v>
      </c>
      <c r="E116" s="31" t="s">
        <v>346</v>
      </c>
      <c r="F116" s="19"/>
      <c r="G116" s="184"/>
      <c r="H116" s="184"/>
      <c r="I116" s="184"/>
      <c r="J116" s="221">
        <f>SUM(J74:J76,J81,J85:J87,J89:J90,J96:J100,J102:J103,J106:J110,J115)</f>
        <v>0.91877081061671828</v>
      </c>
      <c r="K116" s="221">
        <f>SUM(K74:K76,K81,K85:K87,K89:K90,K96:K100,K102:K103,K106:K110,K115)</f>
        <v>0.92496188959550518</v>
      </c>
      <c r="L116" s="221">
        <f>SUM(L74:L115)</f>
        <v>0.9249618895955054</v>
      </c>
      <c r="M116" s="221">
        <f>SUM(M74:M76,M81,M85:M87,M89:M90,M96:M100,M102:M103,M106:M110,M115)</f>
        <v>0.91877081061671872</v>
      </c>
      <c r="N116" s="277">
        <f>SUM(N74:N115)</f>
        <v>0.99999999999999989</v>
      </c>
      <c r="O116" s="277">
        <f>SUM(O74:O115)</f>
        <v>1</v>
      </c>
    </row>
    <row r="117" spans="1:16" ht="15" customHeight="1" x14ac:dyDescent="0.25">
      <c r="A117" s="2" t="s">
        <v>944</v>
      </c>
      <c r="B117" s="5" t="s">
        <v>203</v>
      </c>
      <c r="C117" s="2" t="s">
        <v>734</v>
      </c>
      <c r="D117" s="2" t="s">
        <v>940</v>
      </c>
      <c r="E117" s="15" t="s">
        <v>952</v>
      </c>
      <c r="F117" s="199" t="s">
        <v>193</v>
      </c>
      <c r="G117" s="200">
        <f>opex_sources!H51/(0.95*opex_sources!H37+0.05*opex_sources!H51)</f>
        <v>1.7650303364589084</v>
      </c>
      <c r="H117" s="200">
        <f>opex_sources!H51/(opex_sources!H51+opex_sources!H53+opex_sources!H54+opex_sources!H56)</f>
        <v>0.62992125984251968</v>
      </c>
      <c r="I117" s="200">
        <f t="shared" si="3"/>
        <v>1.111830133202462</v>
      </c>
      <c r="J117" s="216">
        <f>opex_orig!$BH$87</f>
        <v>1.8263956074753999E-2</v>
      </c>
      <c r="K117" s="216">
        <f>opex_orig!$BH$87*(opex_concordance!I117+opex_concordance!I121+opex_concordance!I125+opex_concordance!I137)</f>
        <v>2.469371777885478E-2</v>
      </c>
      <c r="L117" s="216">
        <f>K117*H117</f>
        <v>1.5555097813451829E-2</v>
      </c>
      <c r="M117" s="216">
        <f t="shared" ref="M117:M158" si="10">K117/$K$159*$J$159</f>
        <v>2.1027945039963334E-2</v>
      </c>
      <c r="N117" s="187">
        <f>opex_sources!H51</f>
        <v>0.24827586206896557</v>
      </c>
      <c r="O117" s="187">
        <f>SUM(L117:L119)/L$159</f>
        <v>0.28906819383627408</v>
      </c>
      <c r="P117" s="15" t="s">
        <v>952</v>
      </c>
    </row>
    <row r="118" spans="1:16" ht="15" customHeight="1" x14ac:dyDescent="0.25">
      <c r="A118" s="2" t="s">
        <v>944</v>
      </c>
      <c r="B118" s="5" t="s">
        <v>203</v>
      </c>
      <c r="C118" s="2" t="s">
        <v>734</v>
      </c>
      <c r="D118" s="2" t="s">
        <v>940</v>
      </c>
      <c r="E118" s="15" t="s">
        <v>952</v>
      </c>
      <c r="F118" s="194" t="s">
        <v>197</v>
      </c>
      <c r="G118" s="196">
        <f>opex_sources!H51/(0.95*opex_sources!H37+0.05*opex_sources!H51)</f>
        <v>1.7650303364589084</v>
      </c>
      <c r="H118" s="198">
        <f>opex_sources!H51/(opex_sources!H51+opex_sources!H52+opex_sources!H53+opex_sources!H54)</f>
        <v>0.59701492537313428</v>
      </c>
      <c r="I118" s="198">
        <f t="shared" si="3"/>
        <v>1.0537494546023334</v>
      </c>
      <c r="J118" s="208">
        <f>opex_orig!$BH$89</f>
        <v>6.7916756976679094E-2</v>
      </c>
      <c r="K118" s="208">
        <f>opex_orig!$BH$89*(opex_concordance!I118+opex_concordance!I120+opex_concordance!I122+opex_concordance!I126)</f>
        <v>0.28478047895101238</v>
      </c>
      <c r="L118" s="208">
        <f>K118*H118</f>
        <v>0.17001819638866408</v>
      </c>
      <c r="M118" s="208">
        <f t="shared" si="10"/>
        <v>0.24250492831679413</v>
      </c>
      <c r="P118" s="15"/>
    </row>
    <row r="119" spans="1:16" ht="15" customHeight="1" x14ac:dyDescent="0.25">
      <c r="A119" s="2" t="s">
        <v>944</v>
      </c>
      <c r="B119" s="5" t="s">
        <v>203</v>
      </c>
      <c r="C119" s="2" t="s">
        <v>734</v>
      </c>
      <c r="D119" s="2" t="s">
        <v>940</v>
      </c>
      <c r="E119" s="15" t="s">
        <v>952</v>
      </c>
      <c r="F119" s="209" t="s">
        <v>203</v>
      </c>
      <c r="G119" s="210">
        <f>opex_sources!H51/(0.95*opex_sources!H37+0.05*opex_sources!H51)</f>
        <v>1.7650303364589084</v>
      </c>
      <c r="H119" s="210">
        <f>opex_sources!H51/(opex_sources!H51+opex_sources!H53+opex_sources!H54+opex_sources!H55+opex_sources!H56+opex_sources!H58+opex_sources!H59+opex_sources!H60)</f>
        <v>0.35910224438902744</v>
      </c>
      <c r="I119" s="210">
        <f t="shared" si="3"/>
        <v>0.63382635523711428</v>
      </c>
      <c r="J119" s="218">
        <f>opex_orig!$BH$92</f>
        <v>0.31634159702885301</v>
      </c>
      <c r="K119" s="218">
        <f>opex_orig!$BH$92*(opex_concordance!I119+opex_concordance!I123+opex_concordance!I127+opex_concordance!I134+opex_concordance!I138+opex_concordance!I144+opex_concordance!I147+opex_concordance!I148)</f>
        <v>0.35174832793763305</v>
      </c>
      <c r="L119" s="218">
        <f t="shared" ref="L119:L123" si="11">K119*H119</f>
        <v>0.12631361402249167</v>
      </c>
      <c r="M119" s="218">
        <f t="shared" si="10"/>
        <v>0.29953142633326785</v>
      </c>
      <c r="P119" s="15"/>
    </row>
    <row r="120" spans="1:16" ht="15" customHeight="1" x14ac:dyDescent="0.25">
      <c r="A120" s="2" t="s">
        <v>944</v>
      </c>
      <c r="B120" s="5" t="s">
        <v>203</v>
      </c>
      <c r="C120" s="2" t="s">
        <v>734</v>
      </c>
      <c r="D120" s="2" t="s">
        <v>940</v>
      </c>
      <c r="E120" s="15" t="s">
        <v>953</v>
      </c>
      <c r="F120" s="194" t="s">
        <v>197</v>
      </c>
      <c r="G120" s="196">
        <f>opex_sources!H52/(0.95*0+0.05*opex_sources!H52)</f>
        <v>20</v>
      </c>
      <c r="H120" s="196">
        <f>opex_sources!H52/(opex_sources!H51+opex_sources!H52+opex_sources!H53+opex_sources!H54)</f>
        <v>0.14925373134328357</v>
      </c>
      <c r="I120" s="196">
        <f t="shared" si="3"/>
        <v>2.9850746268656714</v>
      </c>
      <c r="J120" s="208">
        <f>opex_orig!$BH$89</f>
        <v>6.7916756976679094E-2</v>
      </c>
      <c r="K120" s="208">
        <f>opex_orig!$BH$89*(opex_concordance!I118+opex_concordance!I120+opex_concordance!I122+opex_concordance!I126)</f>
        <v>0.28478047895101238</v>
      </c>
      <c r="L120" s="208">
        <f t="shared" si="11"/>
        <v>4.2504549097166021E-2</v>
      </c>
      <c r="M120" s="208">
        <f t="shared" si="10"/>
        <v>0.24250492831679413</v>
      </c>
      <c r="N120" s="187">
        <f>opex_sources!H52</f>
        <v>6.2068965517241392E-2</v>
      </c>
      <c r="O120" s="187">
        <f>L120/L$159</f>
        <v>3.9394770711230535E-2</v>
      </c>
      <c r="P120" s="15" t="s">
        <v>953</v>
      </c>
    </row>
    <row r="121" spans="1:16" ht="15" customHeight="1" x14ac:dyDescent="0.25">
      <c r="A121" s="2" t="s">
        <v>944</v>
      </c>
      <c r="B121" s="5" t="s">
        <v>203</v>
      </c>
      <c r="C121" s="2" t="s">
        <v>734</v>
      </c>
      <c r="D121" s="2" t="s">
        <v>940</v>
      </c>
      <c r="E121" s="15" t="s">
        <v>1036</v>
      </c>
      <c r="F121" s="199" t="s">
        <v>193</v>
      </c>
      <c r="G121" s="200">
        <f>opex_sources!H53/(0.95*opex_sources!H39+0.05*opex_sources!H53)</f>
        <v>0.25089605734767029</v>
      </c>
      <c r="H121" s="200">
        <f>opex_sources!H53/(opex_sources!H51+opex_sources!H53+opex_sources!H54+opex_sources!H56)</f>
        <v>5.5118110236220458E-2</v>
      </c>
      <c r="I121" s="200">
        <f t="shared" si="3"/>
        <v>1.382891654672198E-2</v>
      </c>
      <c r="J121" s="216">
        <f>opex_orig!$BH$87</f>
        <v>1.8263956074753999E-2</v>
      </c>
      <c r="K121" s="216">
        <f>opex_orig!$BH$87*(opex_concordance!I117+opex_concordance!I121+opex_concordance!I125+opex_concordance!I137)</f>
        <v>2.469371777885478E-2</v>
      </c>
      <c r="L121" s="216">
        <f t="shared" si="11"/>
        <v>1.3610710586770347E-3</v>
      </c>
      <c r="M121" s="216">
        <f t="shared" si="10"/>
        <v>2.1027945039963334E-2</v>
      </c>
      <c r="N121" s="187">
        <f>opex_sources!H53</f>
        <v>2.1724137931034483E-2</v>
      </c>
      <c r="O121" s="187">
        <f>SUM(L121:L123)/L$159</f>
        <v>2.5293466960673982E-2</v>
      </c>
      <c r="P121" s="15" t="s">
        <v>1036</v>
      </c>
    </row>
    <row r="122" spans="1:16" ht="15" customHeight="1" x14ac:dyDescent="0.25">
      <c r="A122" s="2" t="s">
        <v>944</v>
      </c>
      <c r="B122" s="5" t="s">
        <v>203</v>
      </c>
      <c r="C122" s="2" t="s">
        <v>734</v>
      </c>
      <c r="D122" s="2" t="s">
        <v>940</v>
      </c>
      <c r="E122" s="15" t="s">
        <v>1036</v>
      </c>
      <c r="F122" s="194" t="s">
        <v>197</v>
      </c>
      <c r="G122" s="196">
        <f>opex_sources!H53/(0.95*opex_sources!H39+0.05*opex_sources!H53)</f>
        <v>0.25089605734767029</v>
      </c>
      <c r="H122" s="198">
        <f>opex_sources!H53/(opex_sources!H51+opex_sources!H52+opex_sources!H53+opex_sources!H54)</f>
        <v>5.2238805970149238E-2</v>
      </c>
      <c r="I122" s="198">
        <f t="shared" si="3"/>
        <v>1.3106510458460384E-2</v>
      </c>
      <c r="J122" s="208">
        <f>opex_orig!$BH$89</f>
        <v>6.7916756976679094E-2</v>
      </c>
      <c r="K122" s="208">
        <f>opex_orig!$BH$89*(opex_concordance!I118+opex_concordance!I120+opex_concordance!I122+opex_concordance!I126)</f>
        <v>0.28478047895101238</v>
      </c>
      <c r="L122" s="208">
        <f t="shared" si="11"/>
        <v>1.4876592184008105E-2</v>
      </c>
      <c r="M122" s="208">
        <f t="shared" si="10"/>
        <v>0.24250492831679413</v>
      </c>
      <c r="P122" s="15"/>
    </row>
    <row r="123" spans="1:16" ht="15" customHeight="1" x14ac:dyDescent="0.25">
      <c r="A123" s="2" t="s">
        <v>944</v>
      </c>
      <c r="B123" s="5" t="s">
        <v>203</v>
      </c>
      <c r="C123" s="2" t="s">
        <v>734</v>
      </c>
      <c r="D123" s="2" t="s">
        <v>940</v>
      </c>
      <c r="E123" s="15" t="s">
        <v>1036</v>
      </c>
      <c r="F123" s="209" t="s">
        <v>203</v>
      </c>
      <c r="G123" s="210">
        <f>opex_sources!H53/(0.95*opex_sources!H39+0.05*opex_sources!H53)</f>
        <v>0.25089605734767029</v>
      </c>
      <c r="H123" s="210">
        <f>opex_sources!H53/(opex_sources!H51+opex_sources!H53+opex_sources!H54+opex_sources!H55+opex_sources!H56+opex_sources!H58+opex_sources!H59+opex_sources!H60)</f>
        <v>3.1421446384039896E-2</v>
      </c>
      <c r="I123" s="210">
        <f t="shared" si="3"/>
        <v>7.8835170139168204E-3</v>
      </c>
      <c r="J123" s="218">
        <f>opex_orig!$BH$92</f>
        <v>0.31634159702885301</v>
      </c>
      <c r="K123" s="218">
        <f>opex_orig!$BH$92*(opex_concordance!I119+opex_concordance!I123+opex_concordance!I127+opex_concordance!I134+opex_concordance!I138+opex_concordance!I144+opex_concordance!I147+opex_concordance!I148)</f>
        <v>0.35174832793763305</v>
      </c>
      <c r="L123" s="218">
        <f t="shared" si="11"/>
        <v>1.105244122696802E-2</v>
      </c>
      <c r="M123" s="218">
        <f t="shared" si="10"/>
        <v>0.29953142633326785</v>
      </c>
      <c r="P123" s="15"/>
    </row>
    <row r="124" spans="1:16" ht="15" customHeight="1" x14ac:dyDescent="0.25">
      <c r="A124" s="2" t="s">
        <v>944</v>
      </c>
      <c r="B124" s="5" t="s">
        <v>203</v>
      </c>
      <c r="C124" s="2" t="s">
        <v>734</v>
      </c>
      <c r="D124" s="2" t="s">
        <v>940</v>
      </c>
      <c r="E124" s="15" t="s">
        <v>955</v>
      </c>
      <c r="F124" s="191" t="s">
        <v>149</v>
      </c>
      <c r="G124" s="192">
        <f>opex_sources!H54/(0.95*opex_sources!H40+0.05*opex_sources!H54)</f>
        <v>0.70052539404553438</v>
      </c>
      <c r="H124" s="192">
        <f>opex_sources!H54/(opex_sources!H54+opex_sources!H55)</f>
        <v>0.5625</v>
      </c>
      <c r="I124" s="192">
        <f t="shared" si="3"/>
        <v>0.39404553415061311</v>
      </c>
      <c r="J124" s="217">
        <f>opex_orig!$BH$65</f>
        <v>0.107099642501538</v>
      </c>
      <c r="K124" s="217">
        <f>opex_orig!$BH$65*(opex_concordance!I124+opex_concordance!I131)</f>
        <v>8.2417849149737793E-2</v>
      </c>
      <c r="L124" s="217">
        <f t="shared" ref="L124:L207" si="12">K124*H124</f>
        <v>4.636004014672751E-2</v>
      </c>
      <c r="M124" s="217">
        <f t="shared" si="10"/>
        <v>7.0182951702667834E-2</v>
      </c>
      <c r="N124" s="187">
        <f>opex_sources!H54</f>
        <v>8.3793103448275882E-2</v>
      </c>
      <c r="O124" s="187">
        <f>SUM(L124:L130)/L$159</f>
        <v>0.16043758499216126</v>
      </c>
      <c r="P124" s="15" t="s">
        <v>955</v>
      </c>
    </row>
    <row r="125" spans="1:16" ht="15" customHeight="1" x14ac:dyDescent="0.25">
      <c r="A125" s="2" t="s">
        <v>944</v>
      </c>
      <c r="B125" s="5" t="s">
        <v>203</v>
      </c>
      <c r="C125" s="2" t="s">
        <v>734</v>
      </c>
      <c r="D125" s="2" t="s">
        <v>940</v>
      </c>
      <c r="E125" s="15" t="s">
        <v>955</v>
      </c>
      <c r="F125" s="199" t="s">
        <v>193</v>
      </c>
      <c r="G125" s="200">
        <f>opex_sources!H54/(0.95*opex_sources!H40+0.05*opex_sources!H54)</f>
        <v>0.70052539404553438</v>
      </c>
      <c r="H125" s="200">
        <f>opex_sources!H54/(opex_sources!H51+opex_sources!H53+opex_sources!H54+opex_sources!H56)</f>
        <v>0.2125984251968504</v>
      </c>
      <c r="I125" s="200">
        <f t="shared" si="3"/>
        <v>0.14893059558448368</v>
      </c>
      <c r="J125" s="216">
        <f>opex_orig!$BH$87</f>
        <v>1.8263956074753999E-2</v>
      </c>
      <c r="K125" s="216">
        <f>opex_orig!$BH$87*(opex_concordance!I117+opex_concordance!I121+opex_concordance!I125+opex_concordance!I137)</f>
        <v>2.469371777885478E-2</v>
      </c>
      <c r="L125" s="216">
        <f t="shared" si="12"/>
        <v>5.2498455120399924E-3</v>
      </c>
      <c r="M125" s="216">
        <f t="shared" si="10"/>
        <v>2.1027945039963334E-2</v>
      </c>
      <c r="P125" s="15"/>
    </row>
    <row r="126" spans="1:16" ht="15" customHeight="1" x14ac:dyDescent="0.25">
      <c r="A126" s="2" t="s">
        <v>944</v>
      </c>
      <c r="B126" s="5" t="s">
        <v>203</v>
      </c>
      <c r="C126" s="2" t="s">
        <v>734</v>
      </c>
      <c r="D126" s="2" t="s">
        <v>940</v>
      </c>
      <c r="E126" s="15" t="s">
        <v>955</v>
      </c>
      <c r="F126" s="194" t="s">
        <v>197</v>
      </c>
      <c r="G126" s="196">
        <f>opex_sources!H54/(0.95*opex_sources!H40+0.05*opex_sources!H54)</f>
        <v>0.70052539404553438</v>
      </c>
      <c r="H126" s="196">
        <f>opex_sources!H54/(opex_sources!H51+opex_sources!H52+opex_sources!H53+opex_sources!H54)</f>
        <v>0.20149253731343283</v>
      </c>
      <c r="I126" s="196">
        <f t="shared" si="3"/>
        <v>0.14115063909872708</v>
      </c>
      <c r="J126" s="208">
        <f>opex_orig!$BH$89</f>
        <v>6.7916756976679094E-2</v>
      </c>
      <c r="K126" s="208">
        <f>opex_orig!$BH$89*(opex_concordance!I118+opex_concordance!I120+opex_concordance!I122+opex_concordance!I126)</f>
        <v>0.28478047895101238</v>
      </c>
      <c r="L126" s="208">
        <f t="shared" si="12"/>
        <v>5.7381141281174136E-2</v>
      </c>
      <c r="M126" s="208">
        <f t="shared" si="10"/>
        <v>0.24250492831679413</v>
      </c>
      <c r="P126" s="15"/>
    </row>
    <row r="127" spans="1:16" ht="15" customHeight="1" x14ac:dyDescent="0.25">
      <c r="A127" s="2" t="s">
        <v>944</v>
      </c>
      <c r="B127" s="5" t="s">
        <v>203</v>
      </c>
      <c r="C127" s="2" t="s">
        <v>734</v>
      </c>
      <c r="D127" s="2" t="s">
        <v>940</v>
      </c>
      <c r="E127" s="15" t="s">
        <v>955</v>
      </c>
      <c r="F127" s="209" t="s">
        <v>203</v>
      </c>
      <c r="G127" s="210">
        <f>opex_sources!H54/(0.95*opex_sources!H40+0.05*opex_sources!H54)</f>
        <v>0.70052539404553438</v>
      </c>
      <c r="H127" s="210">
        <f>opex_sources!H54/(opex_sources!H51+opex_sources!H53+opex_sources!H54+opex_sources!H55+opex_sources!H56+opex_sources!H58+opex_sources!H59+opex_sources!H60)</f>
        <v>0.12119700748129678</v>
      </c>
      <c r="I127" s="210">
        <f t="shared" si="3"/>
        <v>8.4901581422975006E-2</v>
      </c>
      <c r="J127" s="218">
        <f>opex_orig!$BH$92</f>
        <v>0.31634159702885301</v>
      </c>
      <c r="K127" s="218">
        <f>opex_orig!$BH$92*(opex_concordance!I119+opex_concordance!I123+opex_concordance!I127+opex_concordance!I134+opex_concordance!I138+opex_concordance!I144+opex_concordance!I147+opex_concordance!I148)</f>
        <v>0.35174832793763305</v>
      </c>
      <c r="L127" s="218">
        <f t="shared" si="12"/>
        <v>4.2630844732590947E-2</v>
      </c>
      <c r="M127" s="218">
        <f t="shared" si="10"/>
        <v>0.29953142633326785</v>
      </c>
      <c r="P127" s="15"/>
    </row>
    <row r="128" spans="1:16" ht="15" customHeight="1" x14ac:dyDescent="0.25">
      <c r="A128" s="2" t="s">
        <v>944</v>
      </c>
      <c r="B128" s="5" t="s">
        <v>203</v>
      </c>
      <c r="C128" s="2" t="s">
        <v>734</v>
      </c>
      <c r="D128" s="2" t="s">
        <v>940</v>
      </c>
      <c r="E128" s="15" t="s">
        <v>955</v>
      </c>
      <c r="F128" s="193" t="s">
        <v>115</v>
      </c>
      <c r="G128" s="197">
        <f>opex_sources!H54/(0.95*opex_sources!H40+0.05*opex_sources!H54)</f>
        <v>0.70052539404553438</v>
      </c>
      <c r="H128" s="197">
        <f>opex_sources!H54/opex_sources!H54</f>
        <v>1</v>
      </c>
      <c r="I128" s="197">
        <f t="shared" si="3"/>
        <v>0.70052539404553438</v>
      </c>
      <c r="J128" s="219">
        <f>opex_orig!$BH$48</f>
        <v>1.0376635322431301E-2</v>
      </c>
      <c r="K128" s="219">
        <f>opex_orig!$BH$48*opex_concordance!I128</f>
        <v>7.2690965481129978E-3</v>
      </c>
      <c r="L128" s="219">
        <f t="shared" si="12"/>
        <v>7.2690965481129978E-3</v>
      </c>
      <c r="M128" s="219">
        <f t="shared" si="10"/>
        <v>6.1900020107460794E-3</v>
      </c>
      <c r="P128" s="15"/>
    </row>
    <row r="129" spans="1:16" ht="15" customHeight="1" x14ac:dyDescent="0.25">
      <c r="A129" s="2" t="s">
        <v>944</v>
      </c>
      <c r="B129" s="5" t="s">
        <v>203</v>
      </c>
      <c r="C129" s="2" t="s">
        <v>734</v>
      </c>
      <c r="D129" s="2" t="s">
        <v>940</v>
      </c>
      <c r="E129" s="15" t="s">
        <v>955</v>
      </c>
      <c r="F129" s="319" t="s">
        <v>121</v>
      </c>
      <c r="G129" s="313">
        <f>opex_sources!H54/(0.95*opex_sources!H40+0.05*opex_sources!H54)</f>
        <v>0.70052539404553438</v>
      </c>
      <c r="H129" s="313">
        <f>opex_sources!H54/opex_sources!H54</f>
        <v>1</v>
      </c>
      <c r="I129" s="313">
        <f t="shared" si="3"/>
        <v>0.70052539404553438</v>
      </c>
      <c r="J129" s="284">
        <f>opex_orig!$BH$51</f>
        <v>1.3233677161854E-2</v>
      </c>
      <c r="K129" s="284">
        <f>opex_orig!$BH$51*I129</f>
        <v>9.2705269084791628E-3</v>
      </c>
      <c r="L129" s="284">
        <f t="shared" si="12"/>
        <v>9.2705269084791628E-3</v>
      </c>
      <c r="M129" s="284">
        <f t="shared" si="10"/>
        <v>7.8943208174966743E-3</v>
      </c>
      <c r="P129" s="15"/>
    </row>
    <row r="130" spans="1:16" ht="15" customHeight="1" x14ac:dyDescent="0.25">
      <c r="A130" s="2" t="s">
        <v>944</v>
      </c>
      <c r="B130" s="5" t="s">
        <v>203</v>
      </c>
      <c r="C130" s="2" t="s">
        <v>734</v>
      </c>
      <c r="D130" s="2" t="s">
        <v>940</v>
      </c>
      <c r="E130" s="15" t="s">
        <v>955</v>
      </c>
      <c r="F130" s="320" t="s">
        <v>199</v>
      </c>
      <c r="G130" s="321">
        <f>opex_sources!H54/(0.95*opex_sources!H40+0.05*opex_sources!H54)</f>
        <v>0.70052539404553438</v>
      </c>
      <c r="H130" s="321">
        <f>opex_sources!H54/opex_sources!H54</f>
        <v>1</v>
      </c>
      <c r="I130" s="321">
        <f t="shared" si="3"/>
        <v>0.70052539404553438</v>
      </c>
      <c r="J130" s="261">
        <f>opex_orig!$BH$90</f>
        <v>7.0530638240300899E-3</v>
      </c>
      <c r="K130" s="261">
        <f>opex_orig!$BH$90*I130</f>
        <v>4.9408503145569821E-3</v>
      </c>
      <c r="L130" s="261">
        <f t="shared" si="12"/>
        <v>4.9408503145569821E-3</v>
      </c>
      <c r="M130" s="261">
        <f t="shared" si="10"/>
        <v>4.2073830192615146E-3</v>
      </c>
      <c r="P130" s="15"/>
    </row>
    <row r="131" spans="1:16" ht="15" customHeight="1" x14ac:dyDescent="0.25">
      <c r="A131" s="2" t="s">
        <v>944</v>
      </c>
      <c r="B131" s="5" t="s">
        <v>203</v>
      </c>
      <c r="C131" s="2" t="s">
        <v>734</v>
      </c>
      <c r="D131" s="2" t="s">
        <v>940</v>
      </c>
      <c r="E131" s="15" t="s">
        <v>956</v>
      </c>
      <c r="F131" s="191" t="s">
        <v>149</v>
      </c>
      <c r="G131" s="192">
        <f>opex_sources!H55/(0.95*opex_sources!H41+0.05*opex_sources!H55)</f>
        <v>0.85828139368550138</v>
      </c>
      <c r="H131" s="192">
        <f>opex_sources!H55/(opex_sources!H54+opex_sources!H55)</f>
        <v>0.43749999999999994</v>
      </c>
      <c r="I131" s="192">
        <f t="shared" si="3"/>
        <v>0.37549810973740683</v>
      </c>
      <c r="J131" s="217">
        <f>opex_orig!$BH$65</f>
        <v>0.107099642501538</v>
      </c>
      <c r="K131" s="217">
        <f>opex_orig!$BH$65*(opex_concordance!I124+opex_concordance!I131)</f>
        <v>8.2417849149737793E-2</v>
      </c>
      <c r="L131" s="217">
        <f t="shared" si="12"/>
        <v>3.6057809003010283E-2</v>
      </c>
      <c r="M131" s="217">
        <f t="shared" si="10"/>
        <v>7.0182951702667834E-2</v>
      </c>
      <c r="N131" s="187">
        <f>opex_sources!H55</f>
        <v>6.5172413793103456E-2</v>
      </c>
      <c r="O131" s="187">
        <f>SUM(L131:L134)/L$159</f>
        <v>8.1567910897819534E-2</v>
      </c>
      <c r="P131" s="15" t="s">
        <v>956</v>
      </c>
    </row>
    <row r="132" spans="1:16" ht="15" customHeight="1" x14ac:dyDescent="0.25">
      <c r="A132" s="2" t="s">
        <v>944</v>
      </c>
      <c r="B132" s="5" t="s">
        <v>203</v>
      </c>
      <c r="C132" s="2" t="s">
        <v>734</v>
      </c>
      <c r="D132" s="2" t="s">
        <v>940</v>
      </c>
      <c r="E132" s="15" t="s">
        <v>956</v>
      </c>
      <c r="F132" s="232" t="s">
        <v>189</v>
      </c>
      <c r="G132" s="233">
        <f>opex_sources!H55/(0.95*opex_sources!H41+0.05*opex_sources!H55)</f>
        <v>0.85828139368550138</v>
      </c>
      <c r="H132" s="233">
        <f>opex_sources!H55/(opex_sources!H55+opex_sources!H56)</f>
        <v>0.61764705882352944</v>
      </c>
      <c r="I132" s="233">
        <f t="shared" si="3"/>
        <v>0.53011497845280975</v>
      </c>
      <c r="J132" s="234">
        <f>opex_orig!$BH$85</f>
        <v>1.4726229696442199E-2</v>
      </c>
      <c r="K132" s="234">
        <f>opex_orig!$BH$85*(opex_concordance!I132+opex_concordance!I135)</f>
        <v>1.206724826065216E-2</v>
      </c>
      <c r="L132" s="234">
        <f t="shared" si="12"/>
        <v>7.4533003962851578E-3</v>
      </c>
      <c r="M132" s="234">
        <f t="shared" si="10"/>
        <v>1.0275869979605595E-2</v>
      </c>
      <c r="P132" s="15"/>
    </row>
    <row r="133" spans="1:16" ht="15" customHeight="1" x14ac:dyDescent="0.25">
      <c r="A133" s="2" t="s">
        <v>944</v>
      </c>
      <c r="B133" s="5" t="s">
        <v>203</v>
      </c>
      <c r="C133" s="2" t="s">
        <v>734</v>
      </c>
      <c r="D133" s="2" t="s">
        <v>940</v>
      </c>
      <c r="E133" s="15" t="s">
        <v>956</v>
      </c>
      <c r="F133" s="222" t="s">
        <v>191</v>
      </c>
      <c r="G133" s="223">
        <f>opex_sources!H55/(0.95*opex_sources!H41+0.05*opex_sources!H55)</f>
        <v>0.85828139368550138</v>
      </c>
      <c r="H133" s="223">
        <f>opex_sources!H55/(opex_sources!H55+opex_sources!H56)</f>
        <v>0.61764705882352944</v>
      </c>
      <c r="I133" s="223">
        <f t="shared" si="3"/>
        <v>0.53011497845280975</v>
      </c>
      <c r="J133" s="224">
        <f>opex_orig!$BH$86</f>
        <v>2.2402321751589301E-2</v>
      </c>
      <c r="K133" s="224">
        <f>opex_orig!$BH$86*(opex_concordance!I133+opex_concordance!I136)</f>
        <v>1.8357338148592629E-2</v>
      </c>
      <c r="L133" s="224">
        <f t="shared" si="12"/>
        <v>1.1338355915307212E-2</v>
      </c>
      <c r="M133" s="224">
        <f t="shared" si="10"/>
        <v>1.5632198485688302E-2</v>
      </c>
      <c r="P133" s="15"/>
    </row>
    <row r="134" spans="1:16" ht="15" customHeight="1" x14ac:dyDescent="0.25">
      <c r="A134" s="2" t="s">
        <v>944</v>
      </c>
      <c r="B134" s="5" t="s">
        <v>203</v>
      </c>
      <c r="C134" s="2" t="s">
        <v>734</v>
      </c>
      <c r="D134" s="2" t="s">
        <v>940</v>
      </c>
      <c r="E134" s="15" t="s">
        <v>956</v>
      </c>
      <c r="F134" s="209" t="s">
        <v>203</v>
      </c>
      <c r="G134" s="210">
        <f>opex_sources!H55/(0.95*opex_sources!H41+0.05*opex_sources!H55)</f>
        <v>0.85828139368550138</v>
      </c>
      <c r="H134" s="210">
        <f>opex_sources!H55/(opex_sources!H51+opex_sources!H53+opex_sources!H54+opex_sources!H55+opex_sources!H56+opex_sources!H58+opex_sources!H59+opex_sources!H60)</f>
        <v>9.4264339152119694E-2</v>
      </c>
      <c r="I134" s="210">
        <f t="shared" si="3"/>
        <v>8.090532838232406E-2</v>
      </c>
      <c r="J134" s="218">
        <f>opex_orig!$BH$92</f>
        <v>0.31634159702885301</v>
      </c>
      <c r="K134" s="218">
        <f>opex_orig!$BH$92*(opex_concordance!I119+opex_concordance!I123+opex_concordance!I127+opex_concordance!I134+opex_concordance!I138+opex_concordance!I144+opex_concordance!I147+opex_concordance!I148)</f>
        <v>0.35174832793763305</v>
      </c>
      <c r="L134" s="218">
        <f t="shared" si="12"/>
        <v>3.3157323680904058E-2</v>
      </c>
      <c r="M134" s="218">
        <f t="shared" si="10"/>
        <v>0.29953142633326785</v>
      </c>
      <c r="P134" s="15"/>
    </row>
    <row r="135" spans="1:16" ht="15" customHeight="1" x14ac:dyDescent="0.25">
      <c r="A135" s="2" t="s">
        <v>944</v>
      </c>
      <c r="B135" s="5" t="s">
        <v>203</v>
      </c>
      <c r="C135" s="2" t="s">
        <v>734</v>
      </c>
      <c r="D135" s="2" t="s">
        <v>940</v>
      </c>
      <c r="E135" s="15" t="s">
        <v>957</v>
      </c>
      <c r="F135" s="232" t="s">
        <v>189</v>
      </c>
      <c r="G135" s="233">
        <f>opex_sources!H56/(0.95*opex_sources!H42+0.05*opex_sources!H56)</f>
        <v>0.75669383003492452</v>
      </c>
      <c r="H135" s="233">
        <f>opex_sources!H56/(opex_sources!H55+opex_sources!H56)</f>
        <v>0.38235294117647062</v>
      </c>
      <c r="I135" s="233">
        <f t="shared" si="3"/>
        <v>0.28932411148394177</v>
      </c>
      <c r="J135" s="234">
        <f>opex_orig!$BH$85</f>
        <v>1.4726229696442199E-2</v>
      </c>
      <c r="K135" s="234">
        <f>opex_orig!$BH$85*(opex_concordance!I132+opex_concordance!I135)</f>
        <v>1.206724826065216E-2</v>
      </c>
      <c r="L135" s="234">
        <f t="shared" si="12"/>
        <v>4.6139478643670026E-3</v>
      </c>
      <c r="M135" s="234">
        <f t="shared" si="10"/>
        <v>1.0275869979605595E-2</v>
      </c>
      <c r="N135" s="187">
        <f>opex_sources!H56</f>
        <v>4.0344827586206902E-2</v>
      </c>
      <c r="O135" s="187">
        <f>SUM(L135:L139)/L$159</f>
        <v>3.651069247201727E-2</v>
      </c>
      <c r="P135" s="15" t="s">
        <v>957</v>
      </c>
    </row>
    <row r="136" spans="1:16" ht="15" customHeight="1" x14ac:dyDescent="0.25">
      <c r="A136" s="2" t="s">
        <v>944</v>
      </c>
      <c r="B136" s="5" t="s">
        <v>203</v>
      </c>
      <c r="C136" s="2" t="s">
        <v>734</v>
      </c>
      <c r="D136" s="2" t="s">
        <v>940</v>
      </c>
      <c r="E136" s="15" t="s">
        <v>957</v>
      </c>
      <c r="F136" s="222" t="s">
        <v>191</v>
      </c>
      <c r="G136" s="223">
        <f>opex_sources!H56/(0.95*opex_sources!H42+0.05*opex_sources!H56)</f>
        <v>0.75669383003492452</v>
      </c>
      <c r="H136" s="223">
        <f>opex_sources!H56/(opex_sources!H55+opex_sources!H56)</f>
        <v>0.38235294117647062</v>
      </c>
      <c r="I136" s="223">
        <f t="shared" si="3"/>
        <v>0.28932411148394177</v>
      </c>
      <c r="J136" s="224">
        <f>opex_orig!$BH$86</f>
        <v>2.2402321751589301E-2</v>
      </c>
      <c r="K136" s="224">
        <f>opex_orig!$BH$86*(opex_concordance!I133+opex_concordance!I136)</f>
        <v>1.8357338148592629E-2</v>
      </c>
      <c r="L136" s="224">
        <f t="shared" si="12"/>
        <v>7.018982233285417E-3</v>
      </c>
      <c r="M136" s="224">
        <f t="shared" si="10"/>
        <v>1.5632198485688302E-2</v>
      </c>
      <c r="P136" s="15"/>
    </row>
    <row r="137" spans="1:16" ht="15" customHeight="1" x14ac:dyDescent="0.25">
      <c r="A137" s="2" t="s">
        <v>944</v>
      </c>
      <c r="B137" s="5" t="s">
        <v>203</v>
      </c>
      <c r="C137" s="2" t="s">
        <v>734</v>
      </c>
      <c r="D137" s="2" t="s">
        <v>940</v>
      </c>
      <c r="E137" s="15" t="s">
        <v>957</v>
      </c>
      <c r="F137" s="199" t="s">
        <v>193</v>
      </c>
      <c r="G137" s="200">
        <f>opex_sources!H56/(0.95*opex_sources!H42+0.05*opex_sources!H56)</f>
        <v>0.75669383003492452</v>
      </c>
      <c r="H137" s="200">
        <f>opex_sources!H56/(opex_sources!H51+opex_sources!H53+opex_sources!H54+opex_sources!H56)</f>
        <v>0.10236220472440943</v>
      </c>
      <c r="I137" s="200">
        <f t="shared" si="3"/>
        <v>7.7456848743732418E-2</v>
      </c>
      <c r="J137" s="216">
        <f>opex_orig!$BH$87</f>
        <v>1.8263956074753999E-2</v>
      </c>
      <c r="K137" s="216">
        <f>opex_orig!$BH$87*(opex_concordance!I117+opex_concordance!I121+opex_concordance!I125+opex_concordance!I137)</f>
        <v>2.469371777885478E-2</v>
      </c>
      <c r="L137" s="216">
        <f t="shared" si="12"/>
        <v>2.527703394685922E-3</v>
      </c>
      <c r="M137" s="216">
        <f t="shared" si="10"/>
        <v>2.1027945039963334E-2</v>
      </c>
      <c r="P137" s="15"/>
    </row>
    <row r="138" spans="1:16" ht="15" customHeight="1" x14ac:dyDescent="0.25">
      <c r="A138" s="2" t="s">
        <v>944</v>
      </c>
      <c r="B138" s="5" t="s">
        <v>203</v>
      </c>
      <c r="C138" s="2" t="s">
        <v>734</v>
      </c>
      <c r="D138" s="2" t="s">
        <v>940</v>
      </c>
      <c r="E138" s="15" t="s">
        <v>957</v>
      </c>
      <c r="F138" s="209" t="s">
        <v>203</v>
      </c>
      <c r="G138" s="210">
        <f>opex_sources!H56/(0.95*opex_sources!H42+0.05*opex_sources!H56)</f>
        <v>0.75669383003492452</v>
      </c>
      <c r="H138" s="210">
        <f>opex_sources!H56/(opex_sources!H51+opex_sources!H53+opex_sources!H54+opex_sources!H55+opex_sources!H56+opex_sources!H58+opex_sources!H59+opex_sources!H60)</f>
        <v>5.8354114713216956E-2</v>
      </c>
      <c r="I138" s="210">
        <f t="shared" si="3"/>
        <v>4.4156198560641478E-2</v>
      </c>
      <c r="J138" s="218">
        <f>opex_orig!$BH$92</f>
        <v>0.31634159702885301</v>
      </c>
      <c r="K138" s="218">
        <f>opex_orig!$BH$92*(opex_concordance!I119+opex_concordance!I123+opex_concordance!I127+opex_concordance!I134+opex_concordance!I138+opex_concordance!I144+opex_concordance!I147+opex_concordance!I148)</f>
        <v>0.35174832793763305</v>
      </c>
      <c r="L138" s="218">
        <f t="shared" si="12"/>
        <v>2.0525962278654896E-2</v>
      </c>
      <c r="M138" s="218">
        <f t="shared" si="10"/>
        <v>0.29953142633326785</v>
      </c>
      <c r="P138" s="15"/>
    </row>
    <row r="139" spans="1:16" ht="15" customHeight="1" x14ac:dyDescent="0.25">
      <c r="A139" s="2" t="s">
        <v>944</v>
      </c>
      <c r="B139" s="5" t="s">
        <v>203</v>
      </c>
      <c r="C139" s="2" t="s">
        <v>734</v>
      </c>
      <c r="D139" s="2" t="s">
        <v>940</v>
      </c>
      <c r="E139" s="15" t="s">
        <v>957</v>
      </c>
      <c r="F139" s="318" t="s">
        <v>165</v>
      </c>
      <c r="G139" s="312">
        <f>opex_sources!H56/(0.95*opex_sources!H42+0.05*opex_sources!H56)</f>
        <v>0.75669383003492452</v>
      </c>
      <c r="H139" s="312">
        <f>opex_sources!H56/opex_sources!H56</f>
        <v>1</v>
      </c>
      <c r="I139" s="312">
        <f t="shared" si="3"/>
        <v>0.75669383003492452</v>
      </c>
      <c r="J139" s="293">
        <f>opex_orig!$BH$73</f>
        <v>6.2194365075736203E-3</v>
      </c>
      <c r="K139" s="293">
        <f>opex_orig!$BH$73*I139</f>
        <v>4.7062092315749175E-3</v>
      </c>
      <c r="L139" s="293">
        <f t="shared" si="12"/>
        <v>4.7062092315749175E-3</v>
      </c>
      <c r="M139" s="293">
        <f t="shared" si="10"/>
        <v>4.0075743132071632E-3</v>
      </c>
      <c r="P139" s="15"/>
    </row>
    <row r="140" spans="1:16" ht="15" customHeight="1" x14ac:dyDescent="0.25">
      <c r="A140" s="2" t="s">
        <v>944</v>
      </c>
      <c r="B140" s="5" t="s">
        <v>203</v>
      </c>
      <c r="C140" s="2" t="s">
        <v>734</v>
      </c>
      <c r="D140" s="2" t="s">
        <v>940</v>
      </c>
      <c r="E140" s="15" t="s">
        <v>958</v>
      </c>
      <c r="F140" s="241" t="s">
        <v>372</v>
      </c>
      <c r="G140" s="242">
        <f>opex_sources!H57/(0.95*opex_sources!H43+0.05*opex_sources!H57)</f>
        <v>0.65818341377797285</v>
      </c>
      <c r="H140" s="242">
        <f>opex_sources!H57/opex_sources!H57</f>
        <v>1</v>
      </c>
      <c r="I140" s="242">
        <f t="shared" si="3"/>
        <v>0.65818341377797285</v>
      </c>
      <c r="J140" s="227">
        <f>opex_orig!$BH$169</f>
        <v>6.2817762371068699E-3</v>
      </c>
      <c r="K140" s="227">
        <f>opex_orig!$BH$169*opex_concordance!I140</f>
        <v>4.134560928328348E-3</v>
      </c>
      <c r="L140" s="227">
        <f t="shared" si="12"/>
        <v>4.134560928328348E-3</v>
      </c>
      <c r="M140" s="227">
        <f t="shared" si="10"/>
        <v>3.5207869768284182E-3</v>
      </c>
      <c r="N140" s="187">
        <f>opex_sources!H57</f>
        <v>4.6551724137931037E-2</v>
      </c>
      <c r="O140" s="187">
        <f>SUM(L140:L143)/L$159</f>
        <v>9.2606649388594559E-2</v>
      </c>
      <c r="P140" s="15" t="s">
        <v>958</v>
      </c>
    </row>
    <row r="141" spans="1:16" ht="15" customHeight="1" x14ac:dyDescent="0.25">
      <c r="A141" s="2" t="s">
        <v>944</v>
      </c>
      <c r="B141" s="5" t="s">
        <v>203</v>
      </c>
      <c r="C141" s="2" t="s">
        <v>734</v>
      </c>
      <c r="D141" s="2" t="s">
        <v>940</v>
      </c>
      <c r="E141" s="15" t="s">
        <v>958</v>
      </c>
      <c r="F141" s="241" t="s">
        <v>373</v>
      </c>
      <c r="G141" s="242">
        <f>opex_sources!H57/(0.95*opex_sources!H43+0.05*opex_sources!H57)</f>
        <v>0.65818341377797285</v>
      </c>
      <c r="H141" s="242">
        <f>opex_sources!H57/opex_sources!H57</f>
        <v>1</v>
      </c>
      <c r="I141" s="242">
        <f t="shared" si="3"/>
        <v>0.65818341377797285</v>
      </c>
      <c r="J141" s="227">
        <f>opex_orig!$BH$170</f>
        <v>5.9386267088479397E-2</v>
      </c>
      <c r="K141" s="227">
        <f>opex_orig!$BH$170*opex_concordance!I141</f>
        <v>3.9087056003825844E-2</v>
      </c>
      <c r="L141" s="227">
        <f t="shared" si="12"/>
        <v>3.9087056003825844E-2</v>
      </c>
      <c r="M141" s="227">
        <f t="shared" si="10"/>
        <v>3.3284597839140645E-2</v>
      </c>
      <c r="P141" s="15"/>
    </row>
    <row r="142" spans="1:16" ht="15" customHeight="1" x14ac:dyDescent="0.25">
      <c r="A142" s="2" t="s">
        <v>944</v>
      </c>
      <c r="B142" s="5" t="s">
        <v>203</v>
      </c>
      <c r="C142" s="2" t="s">
        <v>734</v>
      </c>
      <c r="D142" s="2" t="s">
        <v>940</v>
      </c>
      <c r="E142" s="15" t="s">
        <v>958</v>
      </c>
      <c r="F142" s="241" t="s">
        <v>374</v>
      </c>
      <c r="G142" s="242">
        <f>opex_sources!H57/(0.95*opex_sources!H43+0.05*opex_sources!H57)</f>
        <v>0.65818341377797285</v>
      </c>
      <c r="H142" s="242">
        <f>opex_sources!H57/opex_sources!H57</f>
        <v>1</v>
      </c>
      <c r="I142" s="242">
        <f t="shared" si="3"/>
        <v>0.65818341377797285</v>
      </c>
      <c r="J142" s="227">
        <f>opex_orig!$BH$171</f>
        <v>4.8201502616191702E-2</v>
      </c>
      <c r="K142" s="227">
        <f>opex_orig!$BH$171*opex_concordance!I142</f>
        <v>3.1725429541152941E-2</v>
      </c>
      <c r="L142" s="227">
        <f t="shared" si="12"/>
        <v>3.1725429541152941E-2</v>
      </c>
      <c r="M142" s="227">
        <f t="shared" si="10"/>
        <v>2.7015801943433899E-2</v>
      </c>
      <c r="P142" s="15"/>
    </row>
    <row r="143" spans="1:16" ht="15" customHeight="1" x14ac:dyDescent="0.25">
      <c r="A143" s="2" t="s">
        <v>944</v>
      </c>
      <c r="B143" s="5" t="s">
        <v>203</v>
      </c>
      <c r="C143" s="2" t="s">
        <v>734</v>
      </c>
      <c r="D143" s="2" t="s">
        <v>940</v>
      </c>
      <c r="E143" s="15" t="s">
        <v>958</v>
      </c>
      <c r="F143" s="240" t="s">
        <v>375</v>
      </c>
      <c r="G143" s="353">
        <f>opex_sources!H57/(0.95*opex_sources!H43+0.05*opex_sources!H57)</f>
        <v>0.65818341377797285</v>
      </c>
      <c r="H143" s="353">
        <f>opex_sources!H57/opex_sources!H57</f>
        <v>1</v>
      </c>
      <c r="I143" s="353">
        <f t="shared" si="3"/>
        <v>0.65818341377797285</v>
      </c>
      <c r="J143" s="239">
        <f>opex_orig!$BH$172</f>
        <v>3.7937550460069698E-2</v>
      </c>
      <c r="K143" s="239">
        <f>opex_orig!$BH$172*I143</f>
        <v>2.4969866472182779E-2</v>
      </c>
      <c r="L143" s="239">
        <f t="shared" si="12"/>
        <v>2.4969866472182779E-2</v>
      </c>
      <c r="M143" s="239">
        <f t="shared" si="10"/>
        <v>2.1263099567854278E-2</v>
      </c>
      <c r="P143" s="15"/>
    </row>
    <row r="144" spans="1:16" ht="15" customHeight="1" x14ac:dyDescent="0.25">
      <c r="A144" s="2" t="s">
        <v>944</v>
      </c>
      <c r="B144" s="5" t="s">
        <v>203</v>
      </c>
      <c r="C144" s="2" t="s">
        <v>734</v>
      </c>
      <c r="D144" s="2" t="s">
        <v>940</v>
      </c>
      <c r="E144" s="15" t="s">
        <v>959</v>
      </c>
      <c r="F144" s="209" t="s">
        <v>203</v>
      </c>
      <c r="G144" s="210">
        <f>opex_sources!H58/(0.95*opex_sources!H44+0.05*opex_sources!H58)</f>
        <v>0.77534405892614855</v>
      </c>
      <c r="H144" s="210">
        <f>opex_sources!H58/(opex_sources!H51+opex_sources!H53+opex_sources!H54+opex_sources!H55+opex_sources!H56+opex_sources!H58+opex_sources!H59+opex_sources!H60)</f>
        <v>8.9775561097256859E-2</v>
      </c>
      <c r="I144" s="210">
        <f t="shared" si="3"/>
        <v>6.960694793351957E-2</v>
      </c>
      <c r="J144" s="218">
        <f>opex_orig!$BH$92</f>
        <v>0.31634159702885301</v>
      </c>
      <c r="K144" s="218">
        <f>opex_orig!$BH$92*(opex_concordance!I119+opex_concordance!I123+opex_concordance!I127+opex_concordance!I134+opex_concordance!I138+opex_concordance!I144+opex_concordance!I147+opex_concordance!I148)</f>
        <v>0.35174832793763305</v>
      </c>
      <c r="L144" s="218">
        <f t="shared" si="12"/>
        <v>3.1578403505622916E-2</v>
      </c>
      <c r="M144" s="218">
        <f t="shared" si="10"/>
        <v>0.29953142633326785</v>
      </c>
      <c r="N144" s="187">
        <f>opex_sources!H58</f>
        <v>6.2068965517241392E-2</v>
      </c>
      <c r="O144" s="187">
        <f>SUM(L144:L146)/L$159</f>
        <v>4.0122383841846514E-2</v>
      </c>
      <c r="P144" s="15" t="s">
        <v>959</v>
      </c>
    </row>
    <row r="145" spans="1:16" ht="15" customHeight="1" x14ac:dyDescent="0.25">
      <c r="A145" s="2" t="s">
        <v>944</v>
      </c>
      <c r="B145" s="5" t="s">
        <v>203</v>
      </c>
      <c r="C145" s="2" t="s">
        <v>734</v>
      </c>
      <c r="D145" s="2" t="s">
        <v>940</v>
      </c>
      <c r="E145" s="15" t="s">
        <v>959</v>
      </c>
      <c r="F145" s="323" t="s">
        <v>239</v>
      </c>
      <c r="G145" s="324">
        <f>opex_sources!H58/(0.95*opex_sources!H44+0.05*opex_sources!H58)</f>
        <v>0.77534405892614855</v>
      </c>
      <c r="H145" s="324">
        <f>opex_sources!H58/opex_sources!H58</f>
        <v>1</v>
      </c>
      <c r="I145" s="324">
        <f t="shared" si="3"/>
        <v>0.77534405892614855</v>
      </c>
      <c r="J145" s="217">
        <f>opex_orig!$BH$124</f>
        <v>1.19151453333908E-2</v>
      </c>
      <c r="K145" s="217">
        <f>opex_orig!$BH$124*I145</f>
        <v>9.2383371454861796E-3</v>
      </c>
      <c r="L145" s="217">
        <f t="shared" si="12"/>
        <v>9.2383371454861796E-3</v>
      </c>
      <c r="M145" s="217">
        <f t="shared" si="10"/>
        <v>7.8669096122205903E-3</v>
      </c>
      <c r="P145" s="15"/>
    </row>
    <row r="146" spans="1:16" ht="15" customHeight="1" x14ac:dyDescent="0.25">
      <c r="A146" s="2" t="s">
        <v>944</v>
      </c>
      <c r="B146" s="5" t="s">
        <v>203</v>
      </c>
      <c r="C146" s="2" t="s">
        <v>734</v>
      </c>
      <c r="D146" s="2" t="s">
        <v>940</v>
      </c>
      <c r="E146" s="15" t="s">
        <v>959</v>
      </c>
      <c r="F146" s="350" t="s">
        <v>263</v>
      </c>
      <c r="G146" s="351">
        <f>opex_sources!H58/(0.95*opex_sources!H44+0.05*opex_sources!H58)</f>
        <v>0.77534405892614855</v>
      </c>
      <c r="H146" s="351">
        <f>opex_sources!H58/opex_sources!H58</f>
        <v>1</v>
      </c>
      <c r="I146" s="351">
        <f t="shared" si="3"/>
        <v>0.77534405892614855</v>
      </c>
      <c r="J146" s="352">
        <f>opex_orig!$BH$136</f>
        <v>3.18936928842057E-3</v>
      </c>
      <c r="K146" s="352">
        <f>opex_orig!$BH$136*I146</f>
        <v>2.472858529498407E-3</v>
      </c>
      <c r="L146" s="352">
        <f t="shared" si="12"/>
        <v>2.472858529498407E-3</v>
      </c>
      <c r="M146" s="352">
        <f t="shared" si="10"/>
        <v>2.105763648697074E-3</v>
      </c>
      <c r="P146" s="15"/>
    </row>
    <row r="147" spans="1:16" ht="15" customHeight="1" x14ac:dyDescent="0.25">
      <c r="A147" s="2" t="s">
        <v>944</v>
      </c>
      <c r="B147" s="5" t="s">
        <v>203</v>
      </c>
      <c r="C147" s="2" t="s">
        <v>734</v>
      </c>
      <c r="D147" s="2" t="s">
        <v>940</v>
      </c>
      <c r="E147" s="15" t="s">
        <v>946</v>
      </c>
      <c r="F147" s="209" t="s">
        <v>203</v>
      </c>
      <c r="G147" s="210">
        <f>opex_sources!H58/(0.95*opex_sources!H44+0.05*opex_sources!H58)</f>
        <v>0.77534405892614855</v>
      </c>
      <c r="H147" s="210">
        <f>opex_sources!H59/(opex_sources!H51+opex_sources!H53+opex_sources!H54+opex_sources!H55+opex_sources!H56+opex_sources!H58+opex_sources!H59+opex_sources!H60)</f>
        <v>0.20249376558603491</v>
      </c>
      <c r="I147" s="210">
        <f t="shared" si="3"/>
        <v>0.15700233811671635</v>
      </c>
      <c r="J147" s="218">
        <f>opex_orig!$BH$92</f>
        <v>0.31634159702885301</v>
      </c>
      <c r="K147" s="218">
        <f>opex_orig!$BH$92*(opex_concordance!I119+opex_concordance!I123+opex_concordance!I127+opex_concordance!I134+opex_concordance!I138+opex_concordance!I144+opex_concordance!I147+opex_concordance!I148)</f>
        <v>0.35174832793763305</v>
      </c>
      <c r="L147" s="218">
        <f t="shared" si="12"/>
        <v>7.1226843462682807E-2</v>
      </c>
      <c r="M147" s="218">
        <f t="shared" si="10"/>
        <v>0.29953142633326785</v>
      </c>
      <c r="N147" s="187">
        <f>opex_sources!H59</f>
        <v>0.14000000000000001</v>
      </c>
      <c r="O147" s="187">
        <f>L147/L$159</f>
        <v>6.6015643649874306E-2</v>
      </c>
      <c r="P147" s="15" t="s">
        <v>946</v>
      </c>
    </row>
    <row r="148" spans="1:16" ht="15" customHeight="1" x14ac:dyDescent="0.25">
      <c r="A148" s="2" t="s">
        <v>944</v>
      </c>
      <c r="B148" s="5" t="s">
        <v>203</v>
      </c>
      <c r="C148" s="2" t="s">
        <v>734</v>
      </c>
      <c r="D148" s="2" t="s">
        <v>940</v>
      </c>
      <c r="E148" s="15" t="s">
        <v>947</v>
      </c>
      <c r="F148" s="209" t="s">
        <v>203</v>
      </c>
      <c r="G148" s="210">
        <f>opex_sources!H58/(0.95*opex_sources!H44+0.05*opex_sources!H58)</f>
        <v>0.77534405892614855</v>
      </c>
      <c r="H148" s="210">
        <f>opex_sources!H60/(opex_sources!H51+opex_sources!H53+opex_sources!H54+opex_sources!H55+opex_sources!H56+opex_sources!H58+opex_sources!H59+opex_sources!H60)</f>
        <v>4.3391521197007475E-2</v>
      </c>
      <c r="I148" s="210">
        <f t="shared" si="3"/>
        <v>3.3643358167867787E-2</v>
      </c>
      <c r="J148" s="218">
        <f>opex_orig!$BH$92</f>
        <v>0.31634159702885301</v>
      </c>
      <c r="K148" s="218">
        <f>opex_orig!$BH$92*(opex_concordance!I119+opex_concordance!I123+opex_concordance!I127+opex_concordance!I134+opex_concordance!I138+opex_concordance!I144+opex_concordance!I147+opex_concordance!I148)</f>
        <v>0.35174832793763305</v>
      </c>
      <c r="L148" s="218">
        <f t="shared" si="12"/>
        <v>1.5262895027717742E-2</v>
      </c>
      <c r="M148" s="218">
        <f t="shared" si="10"/>
        <v>0.29953142633326785</v>
      </c>
      <c r="N148" s="187">
        <f>opex_sources!H60</f>
        <v>0.03</v>
      </c>
      <c r="O148" s="187">
        <f>SUM(L148:L149)/L$159</f>
        <v>1.7878416815535966E-2</v>
      </c>
      <c r="P148" s="15" t="s">
        <v>947</v>
      </c>
    </row>
    <row r="149" spans="1:16" ht="15" customHeight="1" x14ac:dyDescent="0.25">
      <c r="A149" s="2" t="s">
        <v>944</v>
      </c>
      <c r="B149" s="5" t="s">
        <v>203</v>
      </c>
      <c r="C149" s="2" t="s">
        <v>734</v>
      </c>
      <c r="D149" s="2" t="s">
        <v>940</v>
      </c>
      <c r="E149" s="15" t="s">
        <v>947</v>
      </c>
      <c r="F149" s="322" t="s">
        <v>265</v>
      </c>
      <c r="G149" s="314">
        <f>opex_sources!H58/(0.95*opex_sources!H44+0.05*opex_sources!H58)</f>
        <v>0.77534405892614855</v>
      </c>
      <c r="H149" s="314">
        <f>opex_sources!H60/opex_sources!H60</f>
        <v>1</v>
      </c>
      <c r="I149" s="314">
        <f t="shared" si="3"/>
        <v>0.77534405892614855</v>
      </c>
      <c r="J149" s="302">
        <f>opex_orig!$BH$137</f>
        <v>5.1935958327963896E-3</v>
      </c>
      <c r="K149" s="302">
        <f>opex_orig!$BH$137*I149</f>
        <v>4.0268236734222838E-3</v>
      </c>
      <c r="L149" s="302">
        <f t="shared" si="12"/>
        <v>4.0268236734222838E-3</v>
      </c>
      <c r="M149" s="302">
        <f t="shared" si="10"/>
        <v>3.4290432752436704E-3</v>
      </c>
      <c r="P149" s="15"/>
    </row>
    <row r="150" spans="1:16" ht="15" customHeight="1" x14ac:dyDescent="0.25">
      <c r="A150" s="2" t="s">
        <v>944</v>
      </c>
      <c r="B150" s="5" t="s">
        <v>203</v>
      </c>
      <c r="C150" s="2" t="s">
        <v>734</v>
      </c>
      <c r="D150" s="2" t="s">
        <v>940</v>
      </c>
      <c r="E150" s="15" t="s">
        <v>948</v>
      </c>
      <c r="F150" s="235" t="s">
        <v>227</v>
      </c>
      <c r="G150" s="236">
        <f>opex_sources!H61/(0.95*opex_sources!H47+0.05*opex_sources!H61)</f>
        <v>1</v>
      </c>
      <c r="H150" s="236">
        <f>opex_sources!H61/(opex_sources!H61+opex_sources!H62)</f>
        <v>0.43750000000000006</v>
      </c>
      <c r="I150" s="236">
        <f t="shared" si="3"/>
        <v>0.43750000000000006</v>
      </c>
      <c r="J150" s="238">
        <f>opex_orig!$BH$118</f>
        <v>1.7256748018028501E-2</v>
      </c>
      <c r="K150" s="238">
        <f>opex_orig!$BH$118*(opex_concordance!I150+opex_concordance!I154)</f>
        <v>1.7256748018028501E-2</v>
      </c>
      <c r="L150" s="238">
        <f t="shared" si="12"/>
        <v>7.5498272578874703E-3</v>
      </c>
      <c r="M150" s="238">
        <f t="shared" si="10"/>
        <v>1.4694990529223927E-2</v>
      </c>
      <c r="N150" s="187">
        <f>opex_sources!H61</f>
        <v>7.0000000000000007E-2</v>
      </c>
      <c r="O150" s="187">
        <f>SUM(L150:L153)/L$159</f>
        <v>3.1289158127416582E-2</v>
      </c>
      <c r="P150" s="15" t="s">
        <v>948</v>
      </c>
    </row>
    <row r="151" spans="1:16" ht="15" customHeight="1" x14ac:dyDescent="0.25">
      <c r="A151" s="2" t="s">
        <v>944</v>
      </c>
      <c r="B151" s="5" t="s">
        <v>203</v>
      </c>
      <c r="C151" s="2" t="s">
        <v>734</v>
      </c>
      <c r="D151" s="2" t="s">
        <v>940</v>
      </c>
      <c r="E151" s="15" t="s">
        <v>948</v>
      </c>
      <c r="F151" s="228" t="s">
        <v>231</v>
      </c>
      <c r="G151" s="229">
        <f>opex_sources!H61/(0.95*opex_sources!H47+0.05*opex_sources!H61)</f>
        <v>1</v>
      </c>
      <c r="H151" s="229">
        <f>opex_sources!H61/(opex_sources!H61+opex_sources!H62)</f>
        <v>0.43750000000000006</v>
      </c>
      <c r="I151" s="229">
        <f t="shared" si="3"/>
        <v>0.43750000000000006</v>
      </c>
      <c r="J151" s="231">
        <f>opex_orig!$BH$120</f>
        <v>3.7184161981443697E-2</v>
      </c>
      <c r="K151" s="231">
        <f>opex_orig!$BH$120*(opex_concordance!I151+opex_concordance!I155)</f>
        <v>3.7184161981443697E-2</v>
      </c>
      <c r="L151" s="231">
        <f t="shared" si="12"/>
        <v>1.6268070866881621E-2</v>
      </c>
      <c r="M151" s="231">
        <f t="shared" si="10"/>
        <v>3.1664187689568489E-2</v>
      </c>
      <c r="P151" s="15"/>
    </row>
    <row r="152" spans="1:16" ht="15" customHeight="1" x14ac:dyDescent="0.25">
      <c r="A152" s="2" t="s">
        <v>944</v>
      </c>
      <c r="B152" s="5" t="s">
        <v>203</v>
      </c>
      <c r="C152" s="2" t="s">
        <v>734</v>
      </c>
      <c r="D152" s="2" t="s">
        <v>940</v>
      </c>
      <c r="E152" s="15" t="s">
        <v>948</v>
      </c>
      <c r="F152" s="315" t="s">
        <v>233</v>
      </c>
      <c r="G152" s="316">
        <f>opex_sources!H61/(0.95*opex_sources!H47+0.05*opex_sources!H61)</f>
        <v>1</v>
      </c>
      <c r="H152" s="316">
        <f>opex_sources!H61/(opex_sources!H61+opex_sources!H62)</f>
        <v>0.43750000000000006</v>
      </c>
      <c r="I152" s="316">
        <f t="shared" si="3"/>
        <v>0.43750000000000006</v>
      </c>
      <c r="J152" s="317">
        <f>opex_orig!$BH$121</f>
        <v>7.3893807528986801E-3</v>
      </c>
      <c r="K152" s="317">
        <f>opex_orig!$BH$121*(I152+I156)</f>
        <v>7.3893807528986801E-3</v>
      </c>
      <c r="L152" s="317">
        <f t="shared" si="12"/>
        <v>3.2328540793931729E-3</v>
      </c>
      <c r="M152" s="317">
        <f t="shared" si="10"/>
        <v>6.2924300724118238E-3</v>
      </c>
      <c r="P152" s="15"/>
    </row>
    <row r="153" spans="1:16" ht="15" customHeight="1" x14ac:dyDescent="0.25">
      <c r="A153" s="2" t="s">
        <v>944</v>
      </c>
      <c r="B153" s="5" t="s">
        <v>203</v>
      </c>
      <c r="C153" s="2" t="s">
        <v>734</v>
      </c>
      <c r="D153" s="2" t="s">
        <v>940</v>
      </c>
      <c r="E153" s="15" t="s">
        <v>948</v>
      </c>
      <c r="F153" s="225" t="s">
        <v>267</v>
      </c>
      <c r="G153" s="201">
        <f>opex_sources!H61/(0.95*opex_sources!H47+0.05*opex_sources!H61)</f>
        <v>1</v>
      </c>
      <c r="H153" s="201">
        <f>opex_sources!H61/(opex_sources!H61+opex_sources!H62)</f>
        <v>0.43750000000000006</v>
      </c>
      <c r="I153" s="201">
        <f t="shared" si="3"/>
        <v>0.43750000000000006</v>
      </c>
      <c r="J153" s="226">
        <f>opex_orig!$BH$138</f>
        <v>1.53333405084879E-2</v>
      </c>
      <c r="K153" s="226">
        <f>opex_orig!$BH$138*(opex_concordance!I153+opex_concordance!I157)</f>
        <v>1.53333405084879E-2</v>
      </c>
      <c r="L153" s="226">
        <f t="shared" si="12"/>
        <v>6.7083364724634569E-3</v>
      </c>
      <c r="M153" s="226">
        <f t="shared" si="10"/>
        <v>1.3057112111632801E-2</v>
      </c>
      <c r="P153" s="15"/>
    </row>
    <row r="154" spans="1:16" ht="15" customHeight="1" x14ac:dyDescent="0.25">
      <c r="A154" s="2" t="s">
        <v>944</v>
      </c>
      <c r="B154" s="5" t="s">
        <v>203</v>
      </c>
      <c r="C154" s="2" t="s">
        <v>734</v>
      </c>
      <c r="D154" s="2" t="s">
        <v>940</v>
      </c>
      <c r="E154" s="15" t="s">
        <v>949</v>
      </c>
      <c r="F154" s="235" t="s">
        <v>227</v>
      </c>
      <c r="G154" s="236">
        <f>opex_sources!H62/(0.95*opex_sources!H48+0.05*opex_sources!H62)</f>
        <v>1</v>
      </c>
      <c r="H154" s="236">
        <f>opex_sources!H62/(opex_sources!H61+opex_sources!H62)</f>
        <v>0.5625</v>
      </c>
      <c r="I154" s="236">
        <f t="shared" si="3"/>
        <v>0.5625</v>
      </c>
      <c r="J154" s="238">
        <f>opex_orig!$BH$118</f>
        <v>1.7256748018028501E-2</v>
      </c>
      <c r="K154" s="238">
        <f>opex_orig!$BH$118*(opex_concordance!I150+opex_concordance!I154)</f>
        <v>1.7256748018028501E-2</v>
      </c>
      <c r="L154" s="238">
        <f t="shared" si="12"/>
        <v>9.7069207601410325E-3</v>
      </c>
      <c r="M154" s="238">
        <f t="shared" si="10"/>
        <v>1.4694990529223927E-2</v>
      </c>
      <c r="N154" s="187">
        <f>opex_sources!H62</f>
        <v>0.09</v>
      </c>
      <c r="O154" s="187">
        <f>SUM(L154:L157)/L$159</f>
        <v>4.0228917592392749E-2</v>
      </c>
      <c r="P154" s="15" t="s">
        <v>949</v>
      </c>
    </row>
    <row r="155" spans="1:16" ht="15" customHeight="1" x14ac:dyDescent="0.25">
      <c r="A155" s="2" t="s">
        <v>944</v>
      </c>
      <c r="B155" s="5" t="s">
        <v>203</v>
      </c>
      <c r="C155" s="2" t="s">
        <v>734</v>
      </c>
      <c r="D155" s="2" t="s">
        <v>940</v>
      </c>
      <c r="E155" s="15" t="s">
        <v>949</v>
      </c>
      <c r="F155" s="228" t="s">
        <v>231</v>
      </c>
      <c r="G155" s="229">
        <f>opex_sources!H62/(0.95*opex_sources!H48+0.05*opex_sources!H62)</f>
        <v>1</v>
      </c>
      <c r="H155" s="229">
        <f>opex_sources!H62/(opex_sources!H61+opex_sources!H62)</f>
        <v>0.5625</v>
      </c>
      <c r="I155" s="229">
        <f t="shared" si="3"/>
        <v>0.5625</v>
      </c>
      <c r="J155" s="231">
        <f>opex_orig!$BH$120</f>
        <v>3.7184161981443697E-2</v>
      </c>
      <c r="K155" s="231">
        <f>opex_orig!$BH$120*(opex_concordance!I151+opex_concordance!I155)</f>
        <v>3.7184161981443697E-2</v>
      </c>
      <c r="L155" s="231">
        <f t="shared" si="12"/>
        <v>2.091609111456208E-2</v>
      </c>
      <c r="M155" s="231">
        <f t="shared" si="10"/>
        <v>3.1664187689568489E-2</v>
      </c>
      <c r="P155" s="15"/>
    </row>
    <row r="156" spans="1:16" ht="15" customHeight="1" x14ac:dyDescent="0.25">
      <c r="A156" s="2" t="s">
        <v>944</v>
      </c>
      <c r="B156" s="5" t="s">
        <v>203</v>
      </c>
      <c r="C156" s="2" t="s">
        <v>734</v>
      </c>
      <c r="D156" s="2" t="s">
        <v>940</v>
      </c>
      <c r="E156" s="15" t="s">
        <v>949</v>
      </c>
      <c r="F156" s="315" t="s">
        <v>233</v>
      </c>
      <c r="G156" s="316">
        <f>opex_sources!H62/(0.95*opex_sources!H48+0.05*opex_sources!H62)</f>
        <v>1</v>
      </c>
      <c r="H156" s="316">
        <f>opex_sources!H62/(opex_sources!H61+opex_sources!H62)</f>
        <v>0.5625</v>
      </c>
      <c r="I156" s="316">
        <f t="shared" si="3"/>
        <v>0.5625</v>
      </c>
      <c r="J156" s="317">
        <f>opex_orig!$BH$121</f>
        <v>7.3893807528986801E-3</v>
      </c>
      <c r="K156" s="317">
        <f>opex_orig!$BH$121*(I152+I156)</f>
        <v>7.3893807528986801E-3</v>
      </c>
      <c r="L156" s="317">
        <f t="shared" si="12"/>
        <v>4.1565266735055072E-3</v>
      </c>
      <c r="M156" s="317">
        <f t="shared" si="10"/>
        <v>6.2924300724118238E-3</v>
      </c>
      <c r="P156" s="15"/>
    </row>
    <row r="157" spans="1:16" ht="15" customHeight="1" x14ac:dyDescent="0.25">
      <c r="A157" s="2" t="s">
        <v>944</v>
      </c>
      <c r="B157" s="5" t="s">
        <v>203</v>
      </c>
      <c r="C157" s="2" t="s">
        <v>734</v>
      </c>
      <c r="D157" s="2" t="s">
        <v>940</v>
      </c>
      <c r="E157" s="15" t="s">
        <v>949</v>
      </c>
      <c r="F157" s="225" t="s">
        <v>267</v>
      </c>
      <c r="G157" s="201">
        <f>opex_sources!H62/(0.95*opex_sources!H48+0.05*opex_sources!H62)</f>
        <v>1</v>
      </c>
      <c r="H157" s="201">
        <f>opex_sources!H62/(opex_sources!H61+opex_sources!H62)</f>
        <v>0.5625</v>
      </c>
      <c r="I157" s="201">
        <f t="shared" si="3"/>
        <v>0.5625</v>
      </c>
      <c r="J157" s="226">
        <f>opex_orig!$BH$138</f>
        <v>1.53333405084879E-2</v>
      </c>
      <c r="K157" s="226">
        <f>opex_orig!$BH$138*(opex_concordance!I153+opex_concordance!I157)</f>
        <v>1.53333405084879E-2</v>
      </c>
      <c r="L157" s="226">
        <f t="shared" si="12"/>
        <v>8.6250040360244442E-3</v>
      </c>
      <c r="M157" s="226">
        <f t="shared" si="10"/>
        <v>1.3057112111632801E-2</v>
      </c>
      <c r="P157" s="15"/>
    </row>
    <row r="158" spans="1:16" ht="15" customHeight="1" x14ac:dyDescent="0.25">
      <c r="A158" s="2" t="s">
        <v>944</v>
      </c>
      <c r="B158" s="5" t="s">
        <v>203</v>
      </c>
      <c r="C158" s="2" t="s">
        <v>734</v>
      </c>
      <c r="D158" s="2" t="s">
        <v>940</v>
      </c>
      <c r="E158" s="15" t="s">
        <v>950</v>
      </c>
      <c r="F158" s="240" t="s">
        <v>378</v>
      </c>
      <c r="G158" s="202">
        <f>opex_sources!H63/(0.95*opex_sources!H49+0.05*opex_sources!H63)</f>
        <v>1</v>
      </c>
      <c r="H158" s="202">
        <f>opex_sources!H63/opex_sources!H63</f>
        <v>1</v>
      </c>
      <c r="I158" s="202">
        <f t="shared" si="3"/>
        <v>1</v>
      </c>
      <c r="J158" s="239">
        <f>opex_orig!$BH$175</f>
        <v>8.5868655653659504E-2</v>
      </c>
      <c r="K158" s="239">
        <f>opex_orig!$BH$175*opex_concordance!I158</f>
        <v>8.5868655653659504E-2</v>
      </c>
      <c r="L158" s="239">
        <f t="shared" si="12"/>
        <v>8.5868655653659504E-2</v>
      </c>
      <c r="M158" s="239">
        <f t="shared" si="10"/>
        <v>7.3121487331764143E-2</v>
      </c>
      <c r="N158" s="187">
        <f>opex_sources!H63</f>
        <v>0.04</v>
      </c>
      <c r="O158" s="187">
        <f>L158/L$159</f>
        <v>7.9586210714162622E-2</v>
      </c>
      <c r="P158" s="15" t="s">
        <v>950</v>
      </c>
    </row>
    <row r="159" spans="1:16" ht="15" customHeight="1" x14ac:dyDescent="0.25">
      <c r="A159" s="2" t="s">
        <v>944</v>
      </c>
      <c r="B159" s="89" t="s">
        <v>203</v>
      </c>
      <c r="C159" s="24" t="s">
        <v>734</v>
      </c>
      <c r="D159" s="24" t="s">
        <v>940</v>
      </c>
      <c r="E159" s="31" t="s">
        <v>346</v>
      </c>
      <c r="F159" s="19"/>
      <c r="G159" s="184"/>
      <c r="H159" s="184"/>
      <c r="I159" s="184"/>
      <c r="J159" s="221">
        <f>SUM(J117:J119,J124,J128:J130,J132:J133,J139:J143,J145:J146,J149:J153,J158)</f>
        <v>0.91877081061671828</v>
      </c>
      <c r="K159" s="221">
        <f>SUM(K117:K119,K124,K128:K130,K132:K133,K139:K143,K145:K146,K149:K153,K158)</f>
        <v>1.0789388624376219</v>
      </c>
      <c r="L159" s="221">
        <f>SUM(L117:L158)</f>
        <v>1.0789388624376219</v>
      </c>
      <c r="M159" s="221">
        <f>SUM(M117:M119,M124,M128:M130,M132:M133,M139:M143,M145:M146,M149:M153,M158)</f>
        <v>0.91877081061671828</v>
      </c>
      <c r="N159" s="277">
        <f>SUM(N117:N158)</f>
        <v>1.0000000000000002</v>
      </c>
      <c r="O159" s="277">
        <f>SUM(O117:O158)</f>
        <v>1</v>
      </c>
    </row>
    <row r="160" spans="1:16" ht="15" customHeight="1" x14ac:dyDescent="0.25">
      <c r="A160" s="2" t="s">
        <v>919</v>
      </c>
      <c r="B160" s="2" t="s">
        <v>139</v>
      </c>
      <c r="C160" s="2" t="s">
        <v>737</v>
      </c>
      <c r="D160" s="2" t="s">
        <v>817</v>
      </c>
      <c r="E160" s="15" t="s">
        <v>961</v>
      </c>
      <c r="F160" s="258" t="s">
        <v>227</v>
      </c>
      <c r="G160" s="237">
        <f>opex_sources!H138/(opex_sources!H138+0*opex_sources!H146+0*opex_sources!H154)</f>
        <v>1</v>
      </c>
      <c r="H160" s="237">
        <f>opex_sources!H138/(opex_sources!H138+opex_sources!H141)</f>
        <v>0.38240917782026768</v>
      </c>
      <c r="I160" s="237">
        <f t="shared" ref="I160" si="13">G160*H160</f>
        <v>0.38240917782026768</v>
      </c>
      <c r="J160" s="238">
        <f>opex_orig!$AB$118</f>
        <v>0.240626506061244</v>
      </c>
      <c r="K160" s="238">
        <f>opex_orig!$AB$118*(I160+I191)</f>
        <v>0.240626506061244</v>
      </c>
      <c r="L160" s="238">
        <f t="shared" ref="L160" si="14">K160*H160</f>
        <v>9.2017784344643971E-2</v>
      </c>
      <c r="M160" s="238">
        <f t="shared" ref="M160:M177" si="15">K160/$K$204*$J$204</f>
        <v>0.24062650606124397</v>
      </c>
      <c r="N160" s="187">
        <f>opex_sources!H138</f>
        <v>0.322061191626409</v>
      </c>
      <c r="O160" s="187">
        <f>SUM(L160:L162)/L$204</f>
        <v>0.28059822820898106</v>
      </c>
      <c r="P160" s="15" t="s">
        <v>961</v>
      </c>
    </row>
    <row r="161" spans="1:16" ht="15" customHeight="1" x14ac:dyDescent="0.25">
      <c r="A161" s="2" t="s">
        <v>919</v>
      </c>
      <c r="B161" s="2" t="s">
        <v>139</v>
      </c>
      <c r="C161" s="2" t="s">
        <v>737</v>
      </c>
      <c r="D161" s="2" t="s">
        <v>817</v>
      </c>
      <c r="E161" s="15" t="s">
        <v>961</v>
      </c>
      <c r="F161" s="264" t="s">
        <v>231</v>
      </c>
      <c r="G161" s="230">
        <f>opex_sources!H138/(opex_sources!H138+0*opex_sources!H146+0*opex_sources!H154)</f>
        <v>1</v>
      </c>
      <c r="H161" s="230">
        <f>opex_sources!H138/(opex_sources!H138+opex_sources!H141)</f>
        <v>0.38240917782026768</v>
      </c>
      <c r="I161" s="230">
        <f t="shared" si="3"/>
        <v>0.38240917782026768</v>
      </c>
      <c r="J161" s="231">
        <f>opex_orig!$AB$120</f>
        <v>0.357646054898278</v>
      </c>
      <c r="K161" s="231">
        <f>opex_orig!$AB$120*(I161+I193)</f>
        <v>0.357646054898278</v>
      </c>
      <c r="L161" s="231">
        <f>K161*H161</f>
        <v>0.1367671338043128</v>
      </c>
      <c r="M161" s="231">
        <f t="shared" si="15"/>
        <v>0.357646054898278</v>
      </c>
    </row>
    <row r="162" spans="1:16" ht="15" customHeight="1" x14ac:dyDescent="0.25">
      <c r="A162" s="2" t="s">
        <v>919</v>
      </c>
      <c r="B162" s="2" t="s">
        <v>139</v>
      </c>
      <c r="C162" s="2" t="s">
        <v>737</v>
      </c>
      <c r="D162" s="2" t="s">
        <v>817</v>
      </c>
      <c r="E162" s="15" t="s">
        <v>961</v>
      </c>
      <c r="F162" s="281" t="s">
        <v>233</v>
      </c>
      <c r="G162" s="289">
        <f>opex_sources!H138/(opex_sources!H138+0*opex_sources!H146+0*opex_sources!H154)</f>
        <v>1</v>
      </c>
      <c r="H162" s="289">
        <f>opex_sources!H138/(opex_sources!H138+opex_sources!H141)</f>
        <v>0.38240917782026768</v>
      </c>
      <c r="I162" s="289">
        <f t="shared" si="3"/>
        <v>0.38240917782026768</v>
      </c>
      <c r="J162" s="226">
        <f>opex_orig!$AB$121</f>
        <v>5.3624669526973701E-2</v>
      </c>
      <c r="K162" s="226">
        <f>opex_orig!$AB$121*(I162+I194)</f>
        <v>5.3624669526973701E-2</v>
      </c>
      <c r="L162" s="226">
        <f>K162*H162</f>
        <v>2.0506565784693575E-2</v>
      </c>
      <c r="M162" s="226">
        <f t="shared" si="15"/>
        <v>5.3624669526973701E-2</v>
      </c>
    </row>
    <row r="163" spans="1:16" ht="15" customHeight="1" x14ac:dyDescent="0.25">
      <c r="A163" s="2" t="s">
        <v>919</v>
      </c>
      <c r="B163" s="2" t="s">
        <v>139</v>
      </c>
      <c r="C163" s="2" t="s">
        <v>737</v>
      </c>
      <c r="D163" s="2" t="s">
        <v>817</v>
      </c>
      <c r="E163" s="15" t="s">
        <v>836</v>
      </c>
      <c r="F163" s="259" t="s">
        <v>2</v>
      </c>
      <c r="G163" s="260">
        <f>opex_sources!H139/(opex_sources!H139+0*opex_sources!H147+0*opex_sources!H155)</f>
        <v>1</v>
      </c>
      <c r="H163" s="260">
        <f>opex_sources!H139/opex_sources!H139</f>
        <v>1</v>
      </c>
      <c r="I163" s="260">
        <f t="shared" si="3"/>
        <v>1</v>
      </c>
      <c r="J163" s="261">
        <f>opex_orig!$AB$97</f>
        <v>2.4474877346843799E-4</v>
      </c>
      <c r="K163" s="261">
        <f>opex_orig!$AB$97*I163</f>
        <v>2.4474877346843799E-4</v>
      </c>
      <c r="L163" s="261">
        <f t="shared" si="12"/>
        <v>2.4474877346843799E-4</v>
      </c>
      <c r="M163" s="261">
        <f t="shared" si="15"/>
        <v>2.4474877346843799E-4</v>
      </c>
      <c r="N163" s="187">
        <f>opex_sources!H139</f>
        <v>9.6618357487922701E-3</v>
      </c>
      <c r="O163" s="187">
        <f>SUM(L163:L178)/L$204</f>
        <v>1.632621902512964E-3</v>
      </c>
      <c r="P163" s="15" t="s">
        <v>836</v>
      </c>
    </row>
    <row r="164" spans="1:16" ht="15" customHeight="1" x14ac:dyDescent="0.25">
      <c r="A164" s="2" t="s">
        <v>919</v>
      </c>
      <c r="B164" s="2" t="s">
        <v>139</v>
      </c>
      <c r="C164" s="2" t="s">
        <v>737</v>
      </c>
      <c r="D164" s="2" t="s">
        <v>817</v>
      </c>
      <c r="E164" s="15" t="s">
        <v>836</v>
      </c>
      <c r="F164" s="259" t="s">
        <v>4</v>
      </c>
      <c r="G164" s="260">
        <f>opex_sources!H139/(opex_sources!H139+0*opex_sources!H147+0*opex_sources!H155)</f>
        <v>1</v>
      </c>
      <c r="H164" s="260">
        <f>opex_sources!H139/opex_sources!H139</f>
        <v>1</v>
      </c>
      <c r="I164" s="260">
        <f t="shared" ref="I164:I203" si="16">G164*H164</f>
        <v>1</v>
      </c>
      <c r="J164" s="261">
        <f>opex_orig!$AB$98</f>
        <v>2.2462004639810701E-5</v>
      </c>
      <c r="K164" s="261">
        <f>opex_orig!$AB$98*I164</f>
        <v>2.2462004639810701E-5</v>
      </c>
      <c r="L164" s="261">
        <f t="shared" si="12"/>
        <v>2.2462004639810701E-5</v>
      </c>
      <c r="M164" s="261">
        <f t="shared" si="15"/>
        <v>2.2462004639810701E-5</v>
      </c>
    </row>
    <row r="165" spans="1:16" ht="15" customHeight="1" x14ac:dyDescent="0.25">
      <c r="A165" s="2" t="s">
        <v>919</v>
      </c>
      <c r="B165" s="2" t="s">
        <v>139</v>
      </c>
      <c r="C165" s="2" t="s">
        <v>737</v>
      </c>
      <c r="D165" s="2" t="s">
        <v>817</v>
      </c>
      <c r="E165" s="15" t="s">
        <v>836</v>
      </c>
      <c r="F165" s="259" t="s">
        <v>6</v>
      </c>
      <c r="G165" s="260">
        <f>opex_sources!H139/(opex_sources!H139+0*opex_sources!H147+0*opex_sources!H155)</f>
        <v>1</v>
      </c>
      <c r="H165" s="260">
        <f>opex_sources!H139/opex_sources!H139</f>
        <v>1</v>
      </c>
      <c r="I165" s="260">
        <f t="shared" si="16"/>
        <v>1</v>
      </c>
      <c r="J165" s="261">
        <f>opex_orig!$AB$99</f>
        <v>2.9041342622646802E-4</v>
      </c>
      <c r="K165" s="261">
        <f>opex_orig!$AB$99*I165</f>
        <v>2.9041342622646802E-4</v>
      </c>
      <c r="L165" s="261">
        <f t="shared" si="12"/>
        <v>2.9041342622646802E-4</v>
      </c>
      <c r="M165" s="261">
        <f t="shared" si="15"/>
        <v>2.9041342622646802E-4</v>
      </c>
    </row>
    <row r="166" spans="1:16" ht="15" customHeight="1" x14ac:dyDescent="0.25">
      <c r="A166" s="2" t="s">
        <v>919</v>
      </c>
      <c r="B166" s="2" t="s">
        <v>139</v>
      </c>
      <c r="C166" s="2" t="s">
        <v>737</v>
      </c>
      <c r="D166" s="2" t="s">
        <v>817</v>
      </c>
      <c r="E166" s="15" t="s">
        <v>836</v>
      </c>
      <c r="F166" s="259" t="s">
        <v>8</v>
      </c>
      <c r="G166" s="260">
        <f>opex_sources!H139/(opex_sources!H139+0*opex_sources!H147+0*opex_sources!H155)</f>
        <v>1</v>
      </c>
      <c r="H166" s="260">
        <f>opex_sources!H139/opex_sources!H139</f>
        <v>1</v>
      </c>
      <c r="I166" s="260">
        <f t="shared" si="16"/>
        <v>1</v>
      </c>
      <c r="J166" s="261">
        <f>opex_orig!$AB$100</f>
        <v>2.0023637119714199E-5</v>
      </c>
      <c r="K166" s="261">
        <f>opex_orig!$AB$100*I166</f>
        <v>2.0023637119714199E-5</v>
      </c>
      <c r="L166" s="261">
        <f t="shared" si="12"/>
        <v>2.0023637119714199E-5</v>
      </c>
      <c r="M166" s="261">
        <f t="shared" si="15"/>
        <v>2.0023637119714199E-5</v>
      </c>
    </row>
    <row r="167" spans="1:16" ht="15" customHeight="1" x14ac:dyDescent="0.25">
      <c r="A167" s="2" t="s">
        <v>919</v>
      </c>
      <c r="B167" s="2" t="s">
        <v>139</v>
      </c>
      <c r="C167" s="2" t="s">
        <v>737</v>
      </c>
      <c r="D167" s="2" t="s">
        <v>817</v>
      </c>
      <c r="E167" s="15" t="s">
        <v>836</v>
      </c>
      <c r="F167" s="259" t="s">
        <v>342</v>
      </c>
      <c r="G167" s="260">
        <f>opex_sources!H139/(opex_sources!H139+0*opex_sources!H147+0*opex_sources!H155)</f>
        <v>1</v>
      </c>
      <c r="H167" s="260">
        <f>opex_sources!H139/opex_sources!H139</f>
        <v>1</v>
      </c>
      <c r="I167" s="260">
        <f t="shared" si="16"/>
        <v>1</v>
      </c>
      <c r="J167" s="261">
        <f>opex_orig!$AB$101</f>
        <v>1.37298155196492E-5</v>
      </c>
      <c r="K167" s="261">
        <f>opex_orig!$AB$101*I167</f>
        <v>1.37298155196492E-5</v>
      </c>
      <c r="L167" s="261">
        <f t="shared" si="12"/>
        <v>1.37298155196492E-5</v>
      </c>
      <c r="M167" s="261">
        <f t="shared" si="15"/>
        <v>1.3729815519649202E-5</v>
      </c>
    </row>
    <row r="168" spans="1:16" ht="15" customHeight="1" x14ac:dyDescent="0.25">
      <c r="A168" s="2" t="s">
        <v>919</v>
      </c>
      <c r="B168" s="2" t="s">
        <v>139</v>
      </c>
      <c r="C168" s="2" t="s">
        <v>737</v>
      </c>
      <c r="D168" s="2" t="s">
        <v>817</v>
      </c>
      <c r="E168" s="15" t="s">
        <v>836</v>
      </c>
      <c r="F168" s="259" t="s">
        <v>343</v>
      </c>
      <c r="G168" s="260">
        <f>opex_sources!H139/(opex_sources!H139+0*opex_sources!H147+0*opex_sources!H155)</f>
        <v>1</v>
      </c>
      <c r="H168" s="260">
        <f>opex_sources!H139/opex_sources!H139</f>
        <v>1</v>
      </c>
      <c r="I168" s="260">
        <f t="shared" si="16"/>
        <v>1</v>
      </c>
      <c r="J168" s="261">
        <f>opex_orig!$AB$102</f>
        <v>5.3072151691515202E-8</v>
      </c>
      <c r="K168" s="261">
        <f>opex_orig!$AB$102*I168</f>
        <v>5.3072151691515202E-8</v>
      </c>
      <c r="L168" s="261">
        <f t="shared" si="12"/>
        <v>5.3072151691515202E-8</v>
      </c>
      <c r="M168" s="261">
        <f t="shared" si="15"/>
        <v>5.3072151691515196E-8</v>
      </c>
    </row>
    <row r="169" spans="1:16" ht="15" customHeight="1" x14ac:dyDescent="0.25">
      <c r="A169" s="2" t="s">
        <v>919</v>
      </c>
      <c r="B169" s="2" t="s">
        <v>139</v>
      </c>
      <c r="C169" s="2" t="s">
        <v>737</v>
      </c>
      <c r="D169" s="2" t="s">
        <v>817</v>
      </c>
      <c r="E169" s="15" t="s">
        <v>836</v>
      </c>
      <c r="F169" s="259" t="s">
        <v>10</v>
      </c>
      <c r="G169" s="260">
        <f>opex_sources!H139/(opex_sources!H139+0*opex_sources!H147+0*opex_sources!H155)</f>
        <v>1</v>
      </c>
      <c r="H169" s="260">
        <f>opex_sources!H139/opex_sources!H139</f>
        <v>1</v>
      </c>
      <c r="I169" s="260">
        <f t="shared" si="16"/>
        <v>1</v>
      </c>
      <c r="J169" s="261">
        <f>opex_orig!$AB$103</f>
        <v>1.0694007351382899E-5</v>
      </c>
      <c r="K169" s="261">
        <f>opex_orig!$AB$103*I169</f>
        <v>1.0694007351382899E-5</v>
      </c>
      <c r="L169" s="261">
        <f t="shared" si="12"/>
        <v>1.0694007351382899E-5</v>
      </c>
      <c r="M169" s="261">
        <f t="shared" si="15"/>
        <v>1.0694007351382899E-5</v>
      </c>
    </row>
    <row r="170" spans="1:16" ht="15" customHeight="1" x14ac:dyDescent="0.25">
      <c r="A170" s="2" t="s">
        <v>919</v>
      </c>
      <c r="B170" s="2" t="s">
        <v>139</v>
      </c>
      <c r="C170" s="2" t="s">
        <v>737</v>
      </c>
      <c r="D170" s="2" t="s">
        <v>817</v>
      </c>
      <c r="E170" s="15" t="s">
        <v>836</v>
      </c>
      <c r="F170" s="259" t="s">
        <v>12</v>
      </c>
      <c r="G170" s="260">
        <f>opex_sources!H139/(opex_sources!H139+0*opex_sources!H147+0*opex_sources!H155)</f>
        <v>1</v>
      </c>
      <c r="H170" s="260">
        <f>opex_sources!H139/opex_sources!H139</f>
        <v>1</v>
      </c>
      <c r="I170" s="260">
        <f t="shared" si="16"/>
        <v>1</v>
      </c>
      <c r="J170" s="261">
        <f>opex_orig!$AB$104</f>
        <v>6.1171648027476502E-5</v>
      </c>
      <c r="K170" s="261">
        <f>opex_orig!$AB$104*I170</f>
        <v>6.1171648027476502E-5</v>
      </c>
      <c r="L170" s="261">
        <f t="shared" si="12"/>
        <v>6.1171648027476502E-5</v>
      </c>
      <c r="M170" s="261">
        <f t="shared" si="15"/>
        <v>6.1171648027476502E-5</v>
      </c>
    </row>
    <row r="171" spans="1:16" ht="15" customHeight="1" x14ac:dyDescent="0.25">
      <c r="A171" s="2" t="s">
        <v>919</v>
      </c>
      <c r="B171" s="2" t="s">
        <v>139</v>
      </c>
      <c r="C171" s="2" t="s">
        <v>737</v>
      </c>
      <c r="D171" s="2" t="s">
        <v>817</v>
      </c>
      <c r="E171" s="15" t="s">
        <v>836</v>
      </c>
      <c r="F171" s="259" t="s">
        <v>340</v>
      </c>
      <c r="G171" s="260">
        <f>opex_sources!H139/(opex_sources!H139+0*opex_sources!H147+0*opex_sources!H155)</f>
        <v>1</v>
      </c>
      <c r="H171" s="260">
        <f>opex_sources!H139/opex_sources!H139</f>
        <v>1</v>
      </c>
      <c r="I171" s="260">
        <f t="shared" si="16"/>
        <v>1</v>
      </c>
      <c r="J171" s="261">
        <f>opex_orig!$AB$105</f>
        <v>9.8509742840008501E-6</v>
      </c>
      <c r="K171" s="261">
        <f>opex_orig!$AB$105*I171</f>
        <v>9.8509742840008501E-6</v>
      </c>
      <c r="L171" s="261">
        <f t="shared" si="12"/>
        <v>9.8509742840008501E-6</v>
      </c>
      <c r="M171" s="261">
        <f t="shared" si="15"/>
        <v>9.8509742840008501E-6</v>
      </c>
    </row>
    <row r="172" spans="1:16" ht="15" customHeight="1" x14ac:dyDescent="0.25">
      <c r="A172" s="2" t="s">
        <v>919</v>
      </c>
      <c r="B172" s="2" t="s">
        <v>139</v>
      </c>
      <c r="C172" s="2" t="s">
        <v>737</v>
      </c>
      <c r="D172" s="2" t="s">
        <v>817</v>
      </c>
      <c r="E172" s="15" t="s">
        <v>836</v>
      </c>
      <c r="F172" s="259" t="s">
        <v>341</v>
      </c>
      <c r="G172" s="260">
        <f>opex_sources!H139/(opex_sources!H139+0*opex_sources!H147+0*opex_sources!H155)</f>
        <v>1</v>
      </c>
      <c r="H172" s="260">
        <f>opex_sources!H139/opex_sources!H139</f>
        <v>1</v>
      </c>
      <c r="I172" s="260">
        <f t="shared" si="16"/>
        <v>1</v>
      </c>
      <c r="J172" s="261">
        <f>opex_orig!$AB$106</f>
        <v>3.2366965306455799E-6</v>
      </c>
      <c r="K172" s="261">
        <f>opex_orig!$AB$106*I172</f>
        <v>3.2366965306455799E-6</v>
      </c>
      <c r="L172" s="261">
        <f t="shared" si="12"/>
        <v>3.2366965306455799E-6</v>
      </c>
      <c r="M172" s="261">
        <f t="shared" si="15"/>
        <v>3.2366965306455799E-6</v>
      </c>
    </row>
    <row r="173" spans="1:16" ht="15" customHeight="1" x14ac:dyDescent="0.25">
      <c r="A173" s="2" t="s">
        <v>919</v>
      </c>
      <c r="B173" s="2" t="s">
        <v>139</v>
      </c>
      <c r="C173" s="2" t="s">
        <v>737</v>
      </c>
      <c r="D173" s="2" t="s">
        <v>817</v>
      </c>
      <c r="E173" s="15" t="s">
        <v>836</v>
      </c>
      <c r="F173" s="259" t="s">
        <v>14</v>
      </c>
      <c r="G173" s="260">
        <f>opex_sources!H139/(opex_sources!H139+0*opex_sources!H147+0*opex_sources!H155)</f>
        <v>1</v>
      </c>
      <c r="H173" s="260">
        <f>opex_sources!H139/opex_sources!H139</f>
        <v>1</v>
      </c>
      <c r="I173" s="260">
        <f t="shared" si="16"/>
        <v>1</v>
      </c>
      <c r="J173" s="261">
        <f>opex_orig!$AB$107</f>
        <v>1.51912372898467E-9</v>
      </c>
      <c r="K173" s="261">
        <f>opex_orig!$AB$107*I173</f>
        <v>1.51912372898467E-9</v>
      </c>
      <c r="L173" s="261">
        <f t="shared" si="12"/>
        <v>1.51912372898467E-9</v>
      </c>
      <c r="M173" s="261">
        <f t="shared" si="15"/>
        <v>1.51912372898467E-9</v>
      </c>
    </row>
    <row r="174" spans="1:16" ht="15" customHeight="1" x14ac:dyDescent="0.25">
      <c r="A174" s="2" t="s">
        <v>919</v>
      </c>
      <c r="B174" s="2" t="s">
        <v>139</v>
      </c>
      <c r="C174" s="2" t="s">
        <v>737</v>
      </c>
      <c r="D174" s="2" t="s">
        <v>817</v>
      </c>
      <c r="E174" s="15" t="s">
        <v>836</v>
      </c>
      <c r="F174" s="259" t="s">
        <v>16</v>
      </c>
      <c r="G174" s="260">
        <f>opex_sources!H139/(opex_sources!H139+0*opex_sources!H147+0*opex_sources!H155)</f>
        <v>1</v>
      </c>
      <c r="H174" s="260">
        <f>opex_sources!H139/opex_sources!H139</f>
        <v>1</v>
      </c>
      <c r="I174" s="260">
        <f t="shared" si="16"/>
        <v>1</v>
      </c>
      <c r="J174" s="261">
        <f>opex_orig!$AB$108</f>
        <v>9.9952413843299992E-10</v>
      </c>
      <c r="K174" s="261">
        <f>opex_orig!$AB$108*I174</f>
        <v>9.9952413843299992E-10</v>
      </c>
      <c r="L174" s="261">
        <f t="shared" si="12"/>
        <v>9.9952413843299992E-10</v>
      </c>
      <c r="M174" s="261">
        <f t="shared" si="15"/>
        <v>9.9952413843299992E-10</v>
      </c>
    </row>
    <row r="175" spans="1:16" ht="15" customHeight="1" x14ac:dyDescent="0.25">
      <c r="A175" s="2" t="s">
        <v>919</v>
      </c>
      <c r="B175" s="2" t="s">
        <v>139</v>
      </c>
      <c r="C175" s="2" t="s">
        <v>737</v>
      </c>
      <c r="D175" s="2" t="s">
        <v>817</v>
      </c>
      <c r="E175" s="15" t="s">
        <v>836</v>
      </c>
      <c r="F175" s="259" t="s">
        <v>18</v>
      </c>
      <c r="G175" s="260">
        <f>opex_sources!H139/(opex_sources!H139+0*opex_sources!H147+0*opex_sources!H155)</f>
        <v>1</v>
      </c>
      <c r="H175" s="260">
        <f>opex_sources!H139/opex_sources!H139</f>
        <v>1</v>
      </c>
      <c r="I175" s="260">
        <f t="shared" si="16"/>
        <v>1</v>
      </c>
      <c r="J175" s="261">
        <f>opex_orig!$AB$109</f>
        <v>1.11890862601421E-7</v>
      </c>
      <c r="K175" s="261">
        <f>opex_orig!$AB$109*I175</f>
        <v>1.11890862601421E-7</v>
      </c>
      <c r="L175" s="261">
        <f t="shared" si="12"/>
        <v>1.11890862601421E-7</v>
      </c>
      <c r="M175" s="261">
        <f t="shared" si="15"/>
        <v>1.11890862601421E-7</v>
      </c>
    </row>
    <row r="176" spans="1:16" ht="15" customHeight="1" x14ac:dyDescent="0.25">
      <c r="A176" s="2" t="s">
        <v>919</v>
      </c>
      <c r="B176" s="2" t="s">
        <v>139</v>
      </c>
      <c r="C176" s="2" t="s">
        <v>737</v>
      </c>
      <c r="D176" s="2" t="s">
        <v>817</v>
      </c>
      <c r="E176" s="15" t="s">
        <v>836</v>
      </c>
      <c r="F176" s="259" t="s">
        <v>20</v>
      </c>
      <c r="G176" s="260">
        <f>opex_sources!H139/(opex_sources!H139+0*opex_sources!H147+0*opex_sources!H155)</f>
        <v>1</v>
      </c>
      <c r="H176" s="260">
        <f>opex_sources!H139/opex_sources!H139</f>
        <v>1</v>
      </c>
      <c r="I176" s="260">
        <f t="shared" si="16"/>
        <v>1</v>
      </c>
      <c r="J176" s="261">
        <f>opex_orig!$AB$110</f>
        <v>1.52739607723571E-5</v>
      </c>
      <c r="K176" s="261">
        <f>opex_orig!$AB$110*I176</f>
        <v>1.52739607723571E-5</v>
      </c>
      <c r="L176" s="261">
        <f t="shared" si="12"/>
        <v>1.52739607723571E-5</v>
      </c>
      <c r="M176" s="261">
        <f t="shared" si="15"/>
        <v>1.52739607723571E-5</v>
      </c>
    </row>
    <row r="177" spans="1:16" ht="15" customHeight="1" x14ac:dyDescent="0.25">
      <c r="A177" s="2" t="s">
        <v>919</v>
      </c>
      <c r="B177" s="2" t="s">
        <v>139</v>
      </c>
      <c r="C177" s="2" t="s">
        <v>737</v>
      </c>
      <c r="D177" s="2" t="s">
        <v>817</v>
      </c>
      <c r="E177" s="15" t="s">
        <v>836</v>
      </c>
      <c r="F177" s="259" t="s">
        <v>213</v>
      </c>
      <c r="G177" s="260">
        <f>opex_sources!H139/(opex_sources!H139+0*opex_sources!H147+0*opex_sources!H155)</f>
        <v>1</v>
      </c>
      <c r="H177" s="260">
        <f>opex_sources!H139/opex_sources!H139</f>
        <v>1</v>
      </c>
      <c r="I177" s="260">
        <f t="shared" si="16"/>
        <v>1</v>
      </c>
      <c r="J177" s="261">
        <f>opex_orig!$AB$111</f>
        <v>1.0946893180591399E-4</v>
      </c>
      <c r="K177" s="261">
        <f>opex_orig!$AB$111*I177</f>
        <v>1.0946893180591399E-4</v>
      </c>
      <c r="L177" s="261">
        <f t="shared" si="12"/>
        <v>1.0946893180591399E-4</v>
      </c>
      <c r="M177" s="261">
        <f t="shared" si="15"/>
        <v>1.0946893180591401E-4</v>
      </c>
    </row>
    <row r="178" spans="1:16" ht="15" customHeight="1" x14ac:dyDescent="0.25">
      <c r="A178" s="2" t="s">
        <v>919</v>
      </c>
      <c r="B178" s="2" t="s">
        <v>139</v>
      </c>
      <c r="C178" s="2" t="s">
        <v>737</v>
      </c>
      <c r="D178" s="2" t="s">
        <v>817</v>
      </c>
      <c r="E178" s="15" t="s">
        <v>836</v>
      </c>
      <c r="F178" s="259" t="s">
        <v>215</v>
      </c>
      <c r="G178" s="260">
        <f>opex_sources!H139/(opex_sources!H139+0*opex_sources!H147+0*opex_sources!H155)</f>
        <v>1</v>
      </c>
      <c r="H178" s="260">
        <f>opex_sources!H139/opex_sources!H139</f>
        <v>1</v>
      </c>
      <c r="I178" s="260">
        <f t="shared" si="16"/>
        <v>1</v>
      </c>
      <c r="J178" s="261">
        <f>opex_orig!$AB$112</f>
        <v>6.4922659236433795E-4</v>
      </c>
      <c r="K178" s="261">
        <f>opex_orig!$AB$112*I178</f>
        <v>6.4922659236433795E-4</v>
      </c>
      <c r="L178" s="261">
        <f t="shared" si="12"/>
        <v>6.4922659236433795E-4</v>
      </c>
      <c r="M178" s="261">
        <f>K178/$K$204*$J$204</f>
        <v>6.4922659236433795E-4</v>
      </c>
    </row>
    <row r="179" spans="1:16" ht="15" customHeight="1" x14ac:dyDescent="0.25">
      <c r="A179" s="2" t="s">
        <v>919</v>
      </c>
      <c r="B179" s="2" t="s">
        <v>139</v>
      </c>
      <c r="C179" s="2" t="s">
        <v>737</v>
      </c>
      <c r="D179" s="2" t="s">
        <v>817</v>
      </c>
      <c r="E179" s="303" t="s">
        <v>994</v>
      </c>
      <c r="F179" s="253" t="s">
        <v>237</v>
      </c>
      <c r="G179" s="307"/>
      <c r="H179" s="251">
        <f>0/opex_sources!H143</f>
        <v>0</v>
      </c>
      <c r="I179" s="251">
        <f t="shared" si="16"/>
        <v>0</v>
      </c>
      <c r="J179" s="254">
        <f>opex_orig!$AB$123</f>
        <v>1.4535611744200601E-2</v>
      </c>
      <c r="K179" s="254">
        <f>opex_orig!$AB$123*I195</f>
        <v>1.4535611744200601E-2</v>
      </c>
      <c r="L179" s="254">
        <f>K179*I179</f>
        <v>0</v>
      </c>
      <c r="M179" s="254">
        <f t="shared" ref="M179:M188" si="17">K179/$K$204*$J$204</f>
        <v>1.4535611744200599E-2</v>
      </c>
    </row>
    <row r="180" spans="1:16" ht="15" customHeight="1" x14ac:dyDescent="0.25">
      <c r="A180" s="2" t="s">
        <v>919</v>
      </c>
      <c r="B180" s="2" t="s">
        <v>139</v>
      </c>
      <c r="C180" s="2" t="s">
        <v>737</v>
      </c>
      <c r="D180" s="2" t="s">
        <v>817</v>
      </c>
      <c r="E180" s="303" t="s">
        <v>994</v>
      </c>
      <c r="F180" s="191" t="s">
        <v>239</v>
      </c>
      <c r="G180" s="307"/>
      <c r="H180" s="192">
        <f>0/opex_sources!H143</f>
        <v>0</v>
      </c>
      <c r="I180" s="192">
        <f t="shared" si="16"/>
        <v>0</v>
      </c>
      <c r="J180" s="217">
        <f>opex_orig!$AB$124</f>
        <v>5.6700519893351398E-2</v>
      </c>
      <c r="K180" s="217">
        <f>opex_orig!$AB$124*I196</f>
        <v>5.6700519893351398E-2</v>
      </c>
      <c r="L180" s="217">
        <f t="shared" ref="L180:L188" si="18">K180*I180</f>
        <v>0</v>
      </c>
      <c r="M180" s="217">
        <f t="shared" si="17"/>
        <v>5.6700519893351398E-2</v>
      </c>
    </row>
    <row r="181" spans="1:16" ht="15" customHeight="1" x14ac:dyDescent="0.25">
      <c r="A181" s="2" t="s">
        <v>919</v>
      </c>
      <c r="B181" s="2" t="s">
        <v>139</v>
      </c>
      <c r="C181" s="2" t="s">
        <v>737</v>
      </c>
      <c r="D181" s="2" t="s">
        <v>817</v>
      </c>
      <c r="E181" s="303" t="s">
        <v>994</v>
      </c>
      <c r="F181" s="252" t="s">
        <v>241</v>
      </c>
      <c r="G181" s="307"/>
      <c r="H181" s="195">
        <f>0/opex_sources!H143</f>
        <v>0</v>
      </c>
      <c r="I181" s="195">
        <f t="shared" si="16"/>
        <v>0</v>
      </c>
      <c r="J181" s="219">
        <f>opex_orig!$AB$125</f>
        <v>1.48073809005072E-2</v>
      </c>
      <c r="K181" s="219">
        <f>opex_orig!$AB$125*I197</f>
        <v>1.48073809005072E-2</v>
      </c>
      <c r="L181" s="219">
        <f t="shared" si="18"/>
        <v>0</v>
      </c>
      <c r="M181" s="219">
        <f t="shared" si="17"/>
        <v>1.48073809005072E-2</v>
      </c>
    </row>
    <row r="182" spans="1:16" ht="15" customHeight="1" x14ac:dyDescent="0.25">
      <c r="A182" s="2" t="s">
        <v>919</v>
      </c>
      <c r="B182" s="2" t="s">
        <v>139</v>
      </c>
      <c r="C182" s="2" t="s">
        <v>737</v>
      </c>
      <c r="D182" s="2" t="s">
        <v>817</v>
      </c>
      <c r="E182" s="303" t="s">
        <v>994</v>
      </c>
      <c r="F182" s="255" t="s">
        <v>249</v>
      </c>
      <c r="G182" s="307"/>
      <c r="H182" s="256">
        <f>0/opex_sources!H143</f>
        <v>0</v>
      </c>
      <c r="I182" s="256">
        <f t="shared" si="16"/>
        <v>0</v>
      </c>
      <c r="J182" s="257">
        <f>opex_orig!$AB$129</f>
        <v>8.6195502111505104E-3</v>
      </c>
      <c r="K182" s="257">
        <f>opex_orig!$AB$129*I198</f>
        <v>8.6195502111505104E-3</v>
      </c>
      <c r="L182" s="257">
        <f t="shared" si="18"/>
        <v>0</v>
      </c>
      <c r="M182" s="257">
        <f t="shared" si="17"/>
        <v>8.6195502111505104E-3</v>
      </c>
    </row>
    <row r="183" spans="1:16" ht="15" customHeight="1" x14ac:dyDescent="0.25">
      <c r="A183" s="2" t="s">
        <v>919</v>
      </c>
      <c r="B183" s="2" t="s">
        <v>139</v>
      </c>
      <c r="C183" s="2" t="s">
        <v>737</v>
      </c>
      <c r="D183" s="2" t="s">
        <v>817</v>
      </c>
      <c r="E183" s="303" t="s">
        <v>503</v>
      </c>
      <c r="F183" s="279" t="s">
        <v>53</v>
      </c>
      <c r="G183" s="307"/>
      <c r="H183" s="307">
        <v>0</v>
      </c>
      <c r="I183" s="285">
        <f t="shared" si="16"/>
        <v>0</v>
      </c>
      <c r="J183" s="224">
        <f>opex_orig!$AB$17</f>
        <v>0</v>
      </c>
      <c r="K183" s="286">
        <f>opex_orig!$AB$17</f>
        <v>0</v>
      </c>
      <c r="L183" s="224">
        <f t="shared" si="18"/>
        <v>0</v>
      </c>
      <c r="M183" s="224">
        <f t="shared" si="17"/>
        <v>0</v>
      </c>
    </row>
    <row r="184" spans="1:16" ht="15" customHeight="1" x14ac:dyDescent="0.25">
      <c r="A184" s="2" t="s">
        <v>919</v>
      </c>
      <c r="B184" s="2" t="s">
        <v>139</v>
      </c>
      <c r="C184" s="2" t="s">
        <v>737</v>
      </c>
      <c r="D184" s="2" t="s">
        <v>817</v>
      </c>
      <c r="E184" s="303" t="s">
        <v>503</v>
      </c>
      <c r="F184" s="280" t="s">
        <v>55</v>
      </c>
      <c r="G184" s="307"/>
      <c r="H184" s="307">
        <v>0</v>
      </c>
      <c r="I184" s="282">
        <f t="shared" si="16"/>
        <v>0</v>
      </c>
      <c r="J184" s="234">
        <f>opex_orig!$AB$18</f>
        <v>0</v>
      </c>
      <c r="K184" s="286">
        <f>opex_orig!$AB$18</f>
        <v>0</v>
      </c>
      <c r="L184" s="234">
        <f t="shared" si="18"/>
        <v>0</v>
      </c>
      <c r="M184" s="234">
        <f t="shared" si="17"/>
        <v>0</v>
      </c>
    </row>
    <row r="185" spans="1:16" ht="15" customHeight="1" x14ac:dyDescent="0.25">
      <c r="A185" s="2" t="s">
        <v>919</v>
      </c>
      <c r="B185" s="2" t="s">
        <v>139</v>
      </c>
      <c r="C185" s="2" t="s">
        <v>737</v>
      </c>
      <c r="D185" s="2" t="s">
        <v>817</v>
      </c>
      <c r="E185" s="303" t="s">
        <v>503</v>
      </c>
      <c r="F185" s="278" t="s">
        <v>57</v>
      </c>
      <c r="G185" s="307"/>
      <c r="H185" s="307">
        <v>0</v>
      </c>
      <c r="I185" s="283">
        <f t="shared" si="16"/>
        <v>0</v>
      </c>
      <c r="J185" s="284">
        <f>opex_orig!$AB$19</f>
        <v>1.7549611960191201E-4</v>
      </c>
      <c r="K185" s="286">
        <f>opex_orig!$AB$19</f>
        <v>1.7549611960191201E-4</v>
      </c>
      <c r="L185" s="284">
        <f t="shared" si="18"/>
        <v>0</v>
      </c>
      <c r="M185" s="284">
        <f t="shared" si="17"/>
        <v>1.7549611960191201E-4</v>
      </c>
    </row>
    <row r="186" spans="1:16" ht="15" customHeight="1" x14ac:dyDescent="0.25">
      <c r="A186" s="2" t="s">
        <v>919</v>
      </c>
      <c r="B186" s="2" t="s">
        <v>139</v>
      </c>
      <c r="C186" s="2" t="s">
        <v>737</v>
      </c>
      <c r="D186" s="2" t="s">
        <v>817</v>
      </c>
      <c r="E186" s="303" t="s">
        <v>503</v>
      </c>
      <c r="F186" s="258" t="s">
        <v>227</v>
      </c>
      <c r="G186" s="307"/>
      <c r="H186" s="237">
        <f>0/(opex_sources!H138+opex_sources!H141)</f>
        <v>0</v>
      </c>
      <c r="I186" s="237">
        <f t="shared" si="16"/>
        <v>0</v>
      </c>
      <c r="J186" s="238">
        <f>opex_orig!$AB$118</f>
        <v>0.240626506061244</v>
      </c>
      <c r="K186" s="238">
        <f>opex_orig!$AB$118*(I160+I191)</f>
        <v>0.240626506061244</v>
      </c>
      <c r="L186" s="238">
        <f>K186*I186</f>
        <v>0</v>
      </c>
      <c r="M186" s="238">
        <f>K186/$K$204*$J$204</f>
        <v>0.24062650606124397</v>
      </c>
    </row>
    <row r="187" spans="1:16" ht="15" customHeight="1" x14ac:dyDescent="0.25">
      <c r="A187" s="2" t="s">
        <v>919</v>
      </c>
      <c r="B187" s="2" t="s">
        <v>139</v>
      </c>
      <c r="C187" s="2" t="s">
        <v>737</v>
      </c>
      <c r="D187" s="2" t="s">
        <v>817</v>
      </c>
      <c r="E187" s="303" t="s">
        <v>503</v>
      </c>
      <c r="F187" s="264" t="s">
        <v>231</v>
      </c>
      <c r="G187" s="307"/>
      <c r="H187" s="230">
        <f>0/(opex_sources!H138+opex_sources!H141)</f>
        <v>0</v>
      </c>
      <c r="I187" s="230">
        <f t="shared" si="16"/>
        <v>0</v>
      </c>
      <c r="J187" s="231">
        <f>opex_orig!$AB$120</f>
        <v>0.357646054898278</v>
      </c>
      <c r="K187" s="231">
        <f>opex_orig!$AB$120*(I161+I193)</f>
        <v>0.357646054898278</v>
      </c>
      <c r="L187" s="231">
        <f t="shared" si="18"/>
        <v>0</v>
      </c>
      <c r="M187" s="231">
        <f t="shared" si="17"/>
        <v>0.357646054898278</v>
      </c>
    </row>
    <row r="188" spans="1:16" ht="15" customHeight="1" x14ac:dyDescent="0.25">
      <c r="A188" s="2" t="s">
        <v>919</v>
      </c>
      <c r="B188" s="2" t="s">
        <v>139</v>
      </c>
      <c r="C188" s="2" t="s">
        <v>737</v>
      </c>
      <c r="D188" s="2" t="s">
        <v>817</v>
      </c>
      <c r="E188" s="303" t="s">
        <v>503</v>
      </c>
      <c r="F188" s="281" t="s">
        <v>233</v>
      </c>
      <c r="G188" s="307"/>
      <c r="H188" s="289">
        <f>0/(opex_sources!H138+opex_sources!H141)</f>
        <v>0</v>
      </c>
      <c r="I188" s="289">
        <f t="shared" si="16"/>
        <v>0</v>
      </c>
      <c r="J188" s="226">
        <f>opex_orig!$AB$121</f>
        <v>5.3624669526973701E-2</v>
      </c>
      <c r="K188" s="226">
        <f>opex_orig!$AB$121*(I162+I194)</f>
        <v>5.3624669526973701E-2</v>
      </c>
      <c r="L188" s="226">
        <f t="shared" si="18"/>
        <v>0</v>
      </c>
      <c r="M188" s="226">
        <f t="shared" si="17"/>
        <v>5.3624669526973701E-2</v>
      </c>
    </row>
    <row r="189" spans="1:16" ht="15" customHeight="1" x14ac:dyDescent="0.25">
      <c r="A189" s="2" t="s">
        <v>919</v>
      </c>
      <c r="B189" s="2" t="s">
        <v>139</v>
      </c>
      <c r="C189" s="2" t="s">
        <v>737</v>
      </c>
      <c r="D189" s="2" t="s">
        <v>817</v>
      </c>
      <c r="E189" s="15" t="s">
        <v>993</v>
      </c>
      <c r="F189" s="267" t="s">
        <v>61</v>
      </c>
      <c r="G189" s="265">
        <f>opex_sources!H141/(opex_sources!H141+0*opex_sources!H149+0*0)</f>
        <v>1</v>
      </c>
      <c r="H189" s="265">
        <f>opex_sources!H141/opex_sources!H141</f>
        <v>1</v>
      </c>
      <c r="I189" s="265">
        <f t="shared" si="16"/>
        <v>1</v>
      </c>
      <c r="J189" s="266">
        <f>opex_orig!$AB$21</f>
        <v>1.89845054350701E-2</v>
      </c>
      <c r="K189" s="266">
        <f>opex_orig!$AB$21*I189</f>
        <v>1.89845054350701E-2</v>
      </c>
      <c r="L189" s="266">
        <f t="shared" si="12"/>
        <v>1.89845054350701E-2</v>
      </c>
      <c r="M189" s="266">
        <f t="shared" ref="M189:M197" si="19">K189/$K$204*$J$204</f>
        <v>1.89845054350701E-2</v>
      </c>
      <c r="N189" s="187">
        <f>opex_sources!H141</f>
        <v>0.52012882447665054</v>
      </c>
      <c r="O189" s="187">
        <f>SUM(L189:L194)/L$204</f>
        <v>0.54118713143339359</v>
      </c>
      <c r="P189" s="15" t="s">
        <v>993</v>
      </c>
    </row>
    <row r="190" spans="1:16" ht="15" customHeight="1" x14ac:dyDescent="0.25">
      <c r="A190" s="2" t="s">
        <v>919</v>
      </c>
      <c r="B190" s="2" t="s">
        <v>139</v>
      </c>
      <c r="C190" s="2" t="s">
        <v>737</v>
      </c>
      <c r="D190" s="2" t="s">
        <v>817</v>
      </c>
      <c r="E190" s="15" t="s">
        <v>993</v>
      </c>
      <c r="F190" s="271" t="s">
        <v>135</v>
      </c>
      <c r="G190" s="262">
        <f>opex_sources!H141/(opex_sources!H141+0*opex_sources!H149+0*0)</f>
        <v>1</v>
      </c>
      <c r="H190" s="262">
        <f>opex_sources!H141/opex_sources!H141</f>
        <v>1</v>
      </c>
      <c r="I190" s="262">
        <f t="shared" si="16"/>
        <v>1</v>
      </c>
      <c r="J190" s="263">
        <f>opex_orig!$AB$58</f>
        <v>1.8100147387346398E-2</v>
      </c>
      <c r="K190" s="263">
        <f>opex_orig!$AB$58*I190</f>
        <v>1.8100147387346398E-2</v>
      </c>
      <c r="L190" s="263">
        <f t="shared" si="12"/>
        <v>1.8100147387346398E-2</v>
      </c>
      <c r="M190" s="263">
        <f t="shared" si="19"/>
        <v>1.8100147387346398E-2</v>
      </c>
    </row>
    <row r="191" spans="1:16" ht="15" customHeight="1" x14ac:dyDescent="0.25">
      <c r="A191" s="2" t="s">
        <v>919</v>
      </c>
      <c r="B191" s="2" t="s">
        <v>139</v>
      </c>
      <c r="C191" s="2" t="s">
        <v>737</v>
      </c>
      <c r="D191" s="2" t="s">
        <v>817</v>
      </c>
      <c r="E191" s="15" t="s">
        <v>993</v>
      </c>
      <c r="F191" s="258" t="s">
        <v>227</v>
      </c>
      <c r="G191" s="237">
        <f>opex_sources!H141/(opex_sources!H141+0*opex_sources!H149+0*0)</f>
        <v>1</v>
      </c>
      <c r="H191" s="237">
        <f>opex_sources!H141/(opex_sources!H138+opex_sources!H141)</f>
        <v>0.61759082217973227</v>
      </c>
      <c r="I191" s="237">
        <f t="shared" si="16"/>
        <v>0.61759082217973227</v>
      </c>
      <c r="J191" s="238">
        <f>opex_orig!$AB$118</f>
        <v>0.240626506061244</v>
      </c>
      <c r="K191" s="238">
        <f>opex_orig!$AB$118*(I160+I191)</f>
        <v>0.240626506061244</v>
      </c>
      <c r="L191" s="238">
        <f t="shared" ref="L191" si="20">K191*H191</f>
        <v>0.1486087217166</v>
      </c>
      <c r="M191" s="238">
        <f t="shared" si="19"/>
        <v>0.24062650606124397</v>
      </c>
    </row>
    <row r="192" spans="1:16" ht="15" customHeight="1" x14ac:dyDescent="0.25">
      <c r="A192" s="2" t="s">
        <v>919</v>
      </c>
      <c r="B192" s="2" t="s">
        <v>139</v>
      </c>
      <c r="C192" s="2" t="s">
        <v>737</v>
      </c>
      <c r="D192" s="2" t="s">
        <v>817</v>
      </c>
      <c r="E192" s="15" t="s">
        <v>993</v>
      </c>
      <c r="F192" s="268" t="s">
        <v>229</v>
      </c>
      <c r="G192" s="269">
        <f>opex_sources!H141/(opex_sources!H141+0*opex_sources!H149+0*0)</f>
        <v>1</v>
      </c>
      <c r="H192" s="269">
        <f>opex_sources!H141/opex_sources!H141</f>
        <v>1</v>
      </c>
      <c r="I192" s="269">
        <f t="shared" si="16"/>
        <v>1</v>
      </c>
      <c r="J192" s="270">
        <f>opex_orig!$AB$119</f>
        <v>4.1115712416530302E-2</v>
      </c>
      <c r="K192" s="270">
        <f>opex_orig!$AB$119*I192</f>
        <v>4.1115712416530302E-2</v>
      </c>
      <c r="L192" s="270">
        <f t="shared" si="12"/>
        <v>4.1115712416530302E-2</v>
      </c>
      <c r="M192" s="270">
        <f t="shared" si="19"/>
        <v>4.1115712416530302E-2</v>
      </c>
    </row>
    <row r="193" spans="1:16" ht="15" customHeight="1" x14ac:dyDescent="0.25">
      <c r="A193" s="2" t="s">
        <v>919</v>
      </c>
      <c r="B193" s="2" t="s">
        <v>139</v>
      </c>
      <c r="C193" s="2" t="s">
        <v>737</v>
      </c>
      <c r="D193" s="2" t="s">
        <v>817</v>
      </c>
      <c r="E193" s="15" t="s">
        <v>993</v>
      </c>
      <c r="F193" s="264" t="s">
        <v>231</v>
      </c>
      <c r="G193" s="230">
        <f>opex_sources!H141/(opex_sources!H141+0*opex_sources!H149+0*0)</f>
        <v>1</v>
      </c>
      <c r="H193" s="230">
        <f>opex_sources!H141/(opex_sources!H138+opex_sources!H141)</f>
        <v>0.61759082217973227</v>
      </c>
      <c r="I193" s="230">
        <f t="shared" si="16"/>
        <v>0.61759082217973227</v>
      </c>
      <c r="J193" s="231">
        <f>opex_orig!$AB$120</f>
        <v>0.357646054898278</v>
      </c>
      <c r="K193" s="231">
        <f>opex_orig!$AB$120*(I161+I193)</f>
        <v>0.357646054898278</v>
      </c>
      <c r="L193" s="231">
        <f>K193*H193</f>
        <v>0.22087892109396517</v>
      </c>
      <c r="M193" s="231">
        <f t="shared" si="19"/>
        <v>0.357646054898278</v>
      </c>
    </row>
    <row r="194" spans="1:16" ht="15" customHeight="1" x14ac:dyDescent="0.25">
      <c r="A194" s="2" t="s">
        <v>919</v>
      </c>
      <c r="B194" s="2" t="s">
        <v>139</v>
      </c>
      <c r="C194" s="2" t="s">
        <v>737</v>
      </c>
      <c r="D194" s="2" t="s">
        <v>817</v>
      </c>
      <c r="E194" s="15" t="s">
        <v>993</v>
      </c>
      <c r="F194" s="281" t="s">
        <v>233</v>
      </c>
      <c r="G194" s="289">
        <f>opex_sources!H141/(opex_sources!H141+0*opex_sources!H149+0*0)</f>
        <v>1</v>
      </c>
      <c r="H194" s="289">
        <f>opex_sources!H141/(opex_sources!H138+opex_sources!H141)</f>
        <v>0.61759082217973227</v>
      </c>
      <c r="I194" s="289">
        <f t="shared" si="16"/>
        <v>0.61759082217973227</v>
      </c>
      <c r="J194" s="226">
        <f>opex_orig!$AB$121</f>
        <v>5.3624669526973701E-2</v>
      </c>
      <c r="K194" s="226">
        <f>opex_orig!$AB$121*(I162+I194)</f>
        <v>5.3624669526973701E-2</v>
      </c>
      <c r="L194" s="226">
        <f t="shared" ref="L194" si="21">K194*H194</f>
        <v>3.3118103742280122E-2</v>
      </c>
      <c r="M194" s="226">
        <f t="shared" si="19"/>
        <v>5.3624669526973701E-2</v>
      </c>
    </row>
    <row r="195" spans="1:16" ht="15" customHeight="1" x14ac:dyDescent="0.25">
      <c r="A195" s="2" t="s">
        <v>919</v>
      </c>
      <c r="B195" s="2" t="s">
        <v>139</v>
      </c>
      <c r="C195" s="2" t="s">
        <v>737</v>
      </c>
      <c r="D195" s="2" t="s">
        <v>817</v>
      </c>
      <c r="E195" s="15" t="s">
        <v>335</v>
      </c>
      <c r="F195" s="253" t="s">
        <v>237</v>
      </c>
      <c r="G195" s="251">
        <f>opex_sources!H143/(opex_sources!H143+0*opex_sources!H151+0*opex_sources!H159)</f>
        <v>1</v>
      </c>
      <c r="H195" s="251">
        <f>opex_sources!H143/opex_sources!H143</f>
        <v>1</v>
      </c>
      <c r="I195" s="251">
        <f t="shared" si="16"/>
        <v>1</v>
      </c>
      <c r="J195" s="254">
        <f>opex_orig!$AB$123</f>
        <v>1.4535611744200601E-2</v>
      </c>
      <c r="K195" s="254">
        <f>opex_orig!$AB$123*I195</f>
        <v>1.4535611744200601E-2</v>
      </c>
      <c r="L195" s="254">
        <f t="shared" si="12"/>
        <v>1.4535611744200601E-2</v>
      </c>
      <c r="M195" s="254">
        <f t="shared" si="19"/>
        <v>1.4535611744200599E-2</v>
      </c>
      <c r="N195" s="187">
        <f>opex_sources!H143</f>
        <v>4.0257648953301126E-2</v>
      </c>
      <c r="O195" s="187">
        <f>SUM(L195:L202)/L$204</f>
        <v>0.15748440814843725</v>
      </c>
      <c r="P195" s="15" t="s">
        <v>335</v>
      </c>
    </row>
    <row r="196" spans="1:16" ht="15" customHeight="1" x14ac:dyDescent="0.25">
      <c r="A196" s="2" t="s">
        <v>919</v>
      </c>
      <c r="B196" s="2" t="s">
        <v>139</v>
      </c>
      <c r="C196" s="2" t="s">
        <v>737</v>
      </c>
      <c r="D196" s="2" t="s">
        <v>817</v>
      </c>
      <c r="E196" s="15" t="s">
        <v>335</v>
      </c>
      <c r="F196" s="191" t="s">
        <v>239</v>
      </c>
      <c r="G196" s="192">
        <f>opex_sources!H143/(opex_sources!H143+0*opex_sources!H151+0*opex_sources!H159)</f>
        <v>1</v>
      </c>
      <c r="H196" s="192">
        <f>opex_sources!H143/opex_sources!H143</f>
        <v>1</v>
      </c>
      <c r="I196" s="192">
        <f t="shared" si="16"/>
        <v>1</v>
      </c>
      <c r="J196" s="217">
        <f>opex_orig!$AB$124</f>
        <v>5.6700519893351398E-2</v>
      </c>
      <c r="K196" s="217">
        <f>opex_orig!$AB$124*I196</f>
        <v>5.6700519893351398E-2</v>
      </c>
      <c r="L196" s="217">
        <f t="shared" si="12"/>
        <v>5.6700519893351398E-2</v>
      </c>
      <c r="M196" s="217">
        <f t="shared" si="19"/>
        <v>5.6700519893351398E-2</v>
      </c>
    </row>
    <row r="197" spans="1:16" ht="15" customHeight="1" x14ac:dyDescent="0.25">
      <c r="A197" s="2" t="s">
        <v>919</v>
      </c>
      <c r="B197" s="2" t="s">
        <v>139</v>
      </c>
      <c r="C197" s="2" t="s">
        <v>737</v>
      </c>
      <c r="D197" s="2" t="s">
        <v>817</v>
      </c>
      <c r="E197" s="15" t="s">
        <v>335</v>
      </c>
      <c r="F197" s="252" t="s">
        <v>241</v>
      </c>
      <c r="G197" s="195">
        <f>opex_sources!H143/(opex_sources!H143+0*opex_sources!H151+0*opex_sources!H159)</f>
        <v>1</v>
      </c>
      <c r="H197" s="195">
        <f>opex_sources!H143/opex_sources!H143</f>
        <v>1</v>
      </c>
      <c r="I197" s="195">
        <f t="shared" si="16"/>
        <v>1</v>
      </c>
      <c r="J197" s="219">
        <f>opex_orig!$AB$125</f>
        <v>1.48073809005072E-2</v>
      </c>
      <c r="K197" s="219">
        <f>opex_orig!$AB$125*I197</f>
        <v>1.48073809005072E-2</v>
      </c>
      <c r="L197" s="219">
        <f t="shared" si="12"/>
        <v>1.48073809005072E-2</v>
      </c>
      <c r="M197" s="219">
        <f t="shared" si="19"/>
        <v>1.48073809005072E-2</v>
      </c>
    </row>
    <row r="198" spans="1:16" ht="15" customHeight="1" x14ac:dyDescent="0.25">
      <c r="A198" s="2" t="s">
        <v>919</v>
      </c>
      <c r="B198" s="2" t="s">
        <v>139</v>
      </c>
      <c r="C198" s="2" t="s">
        <v>737</v>
      </c>
      <c r="D198" s="2" t="s">
        <v>817</v>
      </c>
      <c r="E198" s="15" t="s">
        <v>335</v>
      </c>
      <c r="F198" s="255" t="s">
        <v>249</v>
      </c>
      <c r="G198" s="256">
        <f>opex_sources!H143/(opex_sources!H143+0*opex_sources!H151+0*opex_sources!H159)</f>
        <v>1</v>
      </c>
      <c r="H198" s="256">
        <f>opex_sources!H143/opex_sources!H143</f>
        <v>1</v>
      </c>
      <c r="I198" s="256">
        <f t="shared" si="16"/>
        <v>1</v>
      </c>
      <c r="J198" s="257">
        <f>opex_orig!$AB$129</f>
        <v>8.6195502111505104E-3</v>
      </c>
      <c r="K198" s="257">
        <f>opex_orig!$AB$129*I198</f>
        <v>8.6195502111505104E-3</v>
      </c>
      <c r="L198" s="257">
        <f>K198*H198</f>
        <v>8.6195502111505104E-3</v>
      </c>
      <c r="M198" s="257">
        <f t="shared" ref="M198:M199" si="22">K198/$K$204*$J$204</f>
        <v>8.6195502111505104E-3</v>
      </c>
    </row>
    <row r="199" spans="1:16" ht="15" customHeight="1" x14ac:dyDescent="0.25">
      <c r="A199" s="2" t="s">
        <v>919</v>
      </c>
      <c r="B199" s="2" t="s">
        <v>139</v>
      </c>
      <c r="C199" s="2" t="s">
        <v>737</v>
      </c>
      <c r="D199" s="2" t="s">
        <v>817</v>
      </c>
      <c r="E199" s="15" t="s">
        <v>335</v>
      </c>
      <c r="F199" s="194" t="s">
        <v>259</v>
      </c>
      <c r="G199" s="198">
        <f>opex_sources!H143/(opex_sources!H143+0*opex_sources!H151+0*opex_sources!H159)</f>
        <v>1</v>
      </c>
      <c r="H199" s="198">
        <f>opex_sources!H143/opex_sources!H143</f>
        <v>1</v>
      </c>
      <c r="I199" s="198">
        <f t="shared" si="16"/>
        <v>1</v>
      </c>
      <c r="J199" s="208">
        <f>opex_orig!$AB$134</f>
        <v>8.53981541354361E-3</v>
      </c>
      <c r="K199" s="208">
        <f>opex_orig!$AB$134*I199</f>
        <v>8.53981541354361E-3</v>
      </c>
      <c r="L199" s="208">
        <f t="shared" si="12"/>
        <v>8.53981541354361E-3</v>
      </c>
      <c r="M199" s="208">
        <f t="shared" si="22"/>
        <v>8.53981541354361E-3</v>
      </c>
    </row>
    <row r="200" spans="1:16" ht="15" customHeight="1" x14ac:dyDescent="0.25">
      <c r="A200" s="2" t="s">
        <v>919</v>
      </c>
      <c r="B200" s="2" t="s">
        <v>139</v>
      </c>
      <c r="C200" s="2" t="s">
        <v>737</v>
      </c>
      <c r="D200" s="2" t="s">
        <v>817</v>
      </c>
      <c r="E200" s="15" t="s">
        <v>335</v>
      </c>
      <c r="F200" s="241" t="s">
        <v>372</v>
      </c>
      <c r="G200" s="203">
        <f>opex_sources!H143/(opex_sources!H143+0*opex_sources!H151+0*opex_sources!H159)</f>
        <v>1</v>
      </c>
      <c r="H200" s="203">
        <f>opex_sources!H143/opex_sources!H143</f>
        <v>1</v>
      </c>
      <c r="I200" s="203">
        <f t="shared" si="16"/>
        <v>1</v>
      </c>
      <c r="J200" s="227">
        <f>opex_orig!$AB$169</f>
        <v>2.0894772559803799E-3</v>
      </c>
      <c r="K200" s="227">
        <f>opex_orig!$AB$169*I200</f>
        <v>2.0894772559803799E-3</v>
      </c>
      <c r="L200" s="227">
        <f t="shared" si="12"/>
        <v>2.0894772559803799E-3</v>
      </c>
      <c r="M200" s="227">
        <f>K200/$K$204*$J$204</f>
        <v>2.0894772559803799E-3</v>
      </c>
    </row>
    <row r="201" spans="1:16" ht="15" customHeight="1" x14ac:dyDescent="0.25">
      <c r="A201" s="2" t="s">
        <v>919</v>
      </c>
      <c r="B201" s="2" t="s">
        <v>139</v>
      </c>
      <c r="C201" s="2" t="s">
        <v>737</v>
      </c>
      <c r="D201" s="2" t="s">
        <v>817</v>
      </c>
      <c r="E201" s="15" t="s">
        <v>335</v>
      </c>
      <c r="F201" s="241" t="s">
        <v>373</v>
      </c>
      <c r="G201" s="203">
        <f>opex_sources!H143/(opex_sources!H143+0*opex_sources!H151+0*opex_sources!H159)</f>
        <v>1</v>
      </c>
      <c r="H201" s="203">
        <f>opex_sources!H143/opex_sources!H143</f>
        <v>1</v>
      </c>
      <c r="I201" s="203">
        <f t="shared" si="16"/>
        <v>1</v>
      </c>
      <c r="J201" s="227">
        <f>opex_orig!$AB$170</f>
        <v>1.9118201818306101E-2</v>
      </c>
      <c r="K201" s="227">
        <f>opex_orig!$AB$170*I201</f>
        <v>1.9118201818306101E-2</v>
      </c>
      <c r="L201" s="227">
        <f>K201*H201</f>
        <v>1.9118201818306101E-2</v>
      </c>
      <c r="M201" s="227">
        <f>K201/$K$204*$J$204</f>
        <v>1.9118201818306101E-2</v>
      </c>
    </row>
    <row r="202" spans="1:16" ht="15" customHeight="1" x14ac:dyDescent="0.25">
      <c r="A202" s="2" t="s">
        <v>919</v>
      </c>
      <c r="B202" s="2" t="s">
        <v>139</v>
      </c>
      <c r="C202" s="2" t="s">
        <v>737</v>
      </c>
      <c r="D202" s="2" t="s">
        <v>817</v>
      </c>
      <c r="E202" s="15" t="s">
        <v>335</v>
      </c>
      <c r="F202" s="241" t="s">
        <v>374</v>
      </c>
      <c r="G202" s="203">
        <f>opex_sources!H143/(opex_sources!H143+0*opex_sources!H151+0*opex_sources!H159)</f>
        <v>1</v>
      </c>
      <c r="H202" s="203">
        <f>opex_sources!H143/opex_sources!H143</f>
        <v>1</v>
      </c>
      <c r="I202" s="203">
        <f t="shared" si="16"/>
        <v>1</v>
      </c>
      <c r="J202" s="227">
        <f>opex_orig!$AB$171</f>
        <v>1.55030910219837E-2</v>
      </c>
      <c r="K202" s="227">
        <f>opex_orig!$AB$171*I202</f>
        <v>1.55030910219837E-2</v>
      </c>
      <c r="L202" s="227">
        <f t="shared" si="12"/>
        <v>1.55030910219837E-2</v>
      </c>
      <c r="M202" s="227">
        <f>K202/$K$204*$J$204</f>
        <v>1.55030910219837E-2</v>
      </c>
    </row>
    <row r="203" spans="1:16" ht="15" customHeight="1" x14ac:dyDescent="0.25">
      <c r="A203" s="2" t="s">
        <v>919</v>
      </c>
      <c r="B203" s="2" t="s">
        <v>139</v>
      </c>
      <c r="C203" s="2" t="s">
        <v>737</v>
      </c>
      <c r="D203" s="2" t="s">
        <v>817</v>
      </c>
      <c r="E203" s="15" t="s">
        <v>404</v>
      </c>
      <c r="F203" s="240" t="s">
        <v>375</v>
      </c>
      <c r="G203" s="202">
        <f>opex_sources!H144/(opex_sources!H144+0*opex_sources!H152+0*opex_sources!H160)</f>
        <v>1</v>
      </c>
      <c r="H203" s="202">
        <f>opex_sources!H144/opex_sources!H144</f>
        <v>1</v>
      </c>
      <c r="I203" s="202">
        <f t="shared" si="16"/>
        <v>1</v>
      </c>
      <c r="J203" s="239">
        <f>opex_orig!$AB$172</f>
        <v>1.6966862703751199E-2</v>
      </c>
      <c r="K203" s="239">
        <f>opex_orig!$AB$172*I203</f>
        <v>1.6966862703751199E-2</v>
      </c>
      <c r="L203" s="239">
        <f t="shared" si="12"/>
        <v>1.6966862703751199E-2</v>
      </c>
      <c r="M203" s="239">
        <f>K203/$K$204*$J$204</f>
        <v>1.6966862703751199E-2</v>
      </c>
      <c r="N203" s="187">
        <f>opex_sources!H144</f>
        <v>0.10789049919484701</v>
      </c>
      <c r="O203" s="187">
        <f>L203/L$204</f>
        <v>1.9097610306675169E-2</v>
      </c>
      <c r="P203" s="15" t="s">
        <v>404</v>
      </c>
    </row>
    <row r="204" spans="1:16" ht="15" customHeight="1" x14ac:dyDescent="0.25">
      <c r="A204" s="2" t="s">
        <v>919</v>
      </c>
      <c r="B204" s="24" t="s">
        <v>139</v>
      </c>
      <c r="C204" s="24" t="s">
        <v>737</v>
      </c>
      <c r="D204" s="24" t="s">
        <v>817</v>
      </c>
      <c r="E204" s="31" t="s">
        <v>346</v>
      </c>
      <c r="F204" s="19"/>
      <c r="G204" s="184"/>
      <c r="H204" s="184"/>
      <c r="I204" s="184"/>
      <c r="J204" s="221">
        <f>SUM(J160:J185,J189:J190,J192,J199:J203)</f>
        <v>0.88860407075759162</v>
      </c>
      <c r="K204" s="221">
        <f>SUM(K160:K185,K189:K190,K192,K199:K203)</f>
        <v>0.88860407075759162</v>
      </c>
      <c r="L204" s="221">
        <f>SUM(L160:L203)</f>
        <v>0.88842857463798952</v>
      </c>
      <c r="M204" s="221">
        <f>SUM(M160:M185,M189:M190,M192,M199:M203)</f>
        <v>0.88860407075759162</v>
      </c>
      <c r="N204" s="277">
        <f>SUM(N160:N203)</f>
        <v>1</v>
      </c>
      <c r="O204" s="277">
        <f>SUM(O160:O203)</f>
        <v>1</v>
      </c>
    </row>
    <row r="205" spans="1:16" ht="15" customHeight="1" x14ac:dyDescent="0.25">
      <c r="A205" s="2" t="s">
        <v>919</v>
      </c>
      <c r="B205" s="2" t="s">
        <v>139</v>
      </c>
      <c r="C205" s="2" t="s">
        <v>738</v>
      </c>
      <c r="D205" s="2" t="s">
        <v>819</v>
      </c>
      <c r="E205" s="15" t="s">
        <v>961</v>
      </c>
      <c r="F205" s="258" t="s">
        <v>227</v>
      </c>
      <c r="G205" s="237">
        <f>opex_sources!H146/(opex_sources!H138+0*opex_sources!H146+0*opex_sources!H154)</f>
        <v>0.75136116152450094</v>
      </c>
      <c r="H205" s="237">
        <f>opex_sources!H146/(opex_sources!H146+opex_sources!H149)</f>
        <v>0.42462845010615713</v>
      </c>
      <c r="I205" s="237">
        <f t="shared" ref="I205:I248" si="23">G205*H205</f>
        <v>0.31904932548811082</v>
      </c>
      <c r="J205" s="238">
        <f>opex_orig!$AB$118</f>
        <v>0.240626506061244</v>
      </c>
      <c r="K205" s="238">
        <f>opex_orig!$AB$118*(I205+I236)</f>
        <v>0.16405024172247504</v>
      </c>
      <c r="L205" s="238">
        <f t="shared" si="12"/>
        <v>6.9660399882155014E-2</v>
      </c>
      <c r="M205" s="238">
        <f t="shared" ref="M205:M227" si="24">K205/$K$249*$J$249</f>
        <v>0.20669734244665436</v>
      </c>
      <c r="N205" s="187">
        <f>opex_sources!H146</f>
        <v>0.24198427102238354</v>
      </c>
      <c r="O205" s="187">
        <f>SUM(L205:L207)/L$249</f>
        <v>0.26765751183261255</v>
      </c>
      <c r="P205" s="15" t="s">
        <v>961</v>
      </c>
    </row>
    <row r="206" spans="1:16" ht="15" customHeight="1" x14ac:dyDescent="0.25">
      <c r="A206" s="2" t="s">
        <v>919</v>
      </c>
      <c r="B206" s="2" t="s">
        <v>139</v>
      </c>
      <c r="C206" s="2" t="s">
        <v>738</v>
      </c>
      <c r="D206" s="2" t="s">
        <v>819</v>
      </c>
      <c r="E206" s="15" t="s">
        <v>961</v>
      </c>
      <c r="F206" s="264" t="s">
        <v>231</v>
      </c>
      <c r="G206" s="230">
        <f>opex_sources!H146/(opex_sources!H138+0*opex_sources!H146+0*opex_sources!H154)</f>
        <v>0.75136116152450094</v>
      </c>
      <c r="H206" s="230">
        <f>opex_sources!H146/(opex_sources!H146+opex_sources!H149)</f>
        <v>0.42462845010615713</v>
      </c>
      <c r="I206" s="230">
        <f t="shared" si="23"/>
        <v>0.31904932548811082</v>
      </c>
      <c r="J206" s="231">
        <f>opex_orig!$AB$120</f>
        <v>0.357646054898278</v>
      </c>
      <c r="K206" s="231">
        <f>opex_orig!$AB$120*(I206+I238)</f>
        <v>0.24382983702642869</v>
      </c>
      <c r="L206" s="231">
        <f t="shared" si="12"/>
        <v>0.1035370857861693</v>
      </c>
      <c r="M206" s="231">
        <f t="shared" si="24"/>
        <v>0.30721673307756514</v>
      </c>
      <c r="P206" s="15"/>
    </row>
    <row r="207" spans="1:16" ht="15" customHeight="1" x14ac:dyDescent="0.25">
      <c r="A207" s="2" t="s">
        <v>919</v>
      </c>
      <c r="B207" s="2" t="s">
        <v>139</v>
      </c>
      <c r="C207" s="2" t="s">
        <v>738</v>
      </c>
      <c r="D207" s="2" t="s">
        <v>819</v>
      </c>
      <c r="E207" s="15" t="s">
        <v>961</v>
      </c>
      <c r="F207" s="281" t="s">
        <v>233</v>
      </c>
      <c r="G207" s="289">
        <f>opex_sources!H146/(opex_sources!H138+0*opex_sources!H146+0*opex_sources!H154)</f>
        <v>0.75136116152450094</v>
      </c>
      <c r="H207" s="289">
        <f>opex_sources!H146/(opex_sources!H146+opex_sources!H149)</f>
        <v>0.42462845010615713</v>
      </c>
      <c r="I207" s="289">
        <f t="shared" si="23"/>
        <v>0.31904932548811082</v>
      </c>
      <c r="J207" s="226">
        <f>opex_orig!$AB$121</f>
        <v>5.3624669526973701E-2</v>
      </c>
      <c r="K207" s="226">
        <f>opex_orig!$AB$121*(I207+I239)</f>
        <v>3.6559314026480681E-2</v>
      </c>
      <c r="L207" s="226">
        <f t="shared" si="12"/>
        <v>1.5524124852008783E-2</v>
      </c>
      <c r="M207" s="226">
        <f t="shared" si="24"/>
        <v>4.6063406988025024E-2</v>
      </c>
      <c r="P207" s="220"/>
    </row>
    <row r="208" spans="1:16" ht="15" customHeight="1" x14ac:dyDescent="0.25">
      <c r="A208" s="2" t="s">
        <v>919</v>
      </c>
      <c r="B208" s="2" t="s">
        <v>139</v>
      </c>
      <c r="C208" s="2" t="s">
        <v>738</v>
      </c>
      <c r="D208" s="2" t="s">
        <v>819</v>
      </c>
      <c r="E208" s="15" t="s">
        <v>836</v>
      </c>
      <c r="F208" s="259" t="s">
        <v>2</v>
      </c>
      <c r="G208" s="260">
        <f>opex_sources!H147/(opex_sources!H139+0*opex_sources!H147+0*opex_sources!H155)</f>
        <v>23.98094373865699</v>
      </c>
      <c r="H208" s="260">
        <f>opex_sources!H147/opex_sources!H147</f>
        <v>1</v>
      </c>
      <c r="I208" s="260">
        <f t="shared" si="23"/>
        <v>23.98094373865699</v>
      </c>
      <c r="J208" s="261">
        <f>opex_orig!$AB$97</f>
        <v>2.4474877346843799E-4</v>
      </c>
      <c r="K208" s="261">
        <f>opex_orig!$AB$97*I208</f>
        <v>5.8693065666519158E-3</v>
      </c>
      <c r="L208" s="261">
        <f t="shared" ref="L208:L248" si="25">K208*H208</f>
        <v>5.8693065666519158E-3</v>
      </c>
      <c r="M208" s="261">
        <f t="shared" si="24"/>
        <v>7.3951129641367831E-3</v>
      </c>
      <c r="N208" s="187">
        <f>opex_sources!H147</f>
        <v>0.23169993950393225</v>
      </c>
      <c r="O208" s="187">
        <f>SUM(L208:L223)/L$249</f>
        <v>4.9332396041747516E-2</v>
      </c>
      <c r="P208" s="15" t="s">
        <v>836</v>
      </c>
    </row>
    <row r="209" spans="1:16" ht="15" customHeight="1" x14ac:dyDescent="0.25">
      <c r="A209" s="2" t="s">
        <v>919</v>
      </c>
      <c r="B209" s="2" t="s">
        <v>139</v>
      </c>
      <c r="C209" s="2" t="s">
        <v>738</v>
      </c>
      <c r="D209" s="2" t="s">
        <v>819</v>
      </c>
      <c r="E209" s="15" t="s">
        <v>836</v>
      </c>
      <c r="F209" s="259" t="s">
        <v>4</v>
      </c>
      <c r="G209" s="260">
        <f>opex_sources!H147/(opex_sources!H139+0*opex_sources!H147+0*opex_sources!H155)</f>
        <v>23.98094373865699</v>
      </c>
      <c r="H209" s="260">
        <f>opex_sources!H147/opex_sources!H147</f>
        <v>1</v>
      </c>
      <c r="I209" s="260">
        <f t="shared" si="23"/>
        <v>23.98094373865699</v>
      </c>
      <c r="J209" s="261">
        <f>opex_orig!$AB$98</f>
        <v>2.2462004639810701E-5</v>
      </c>
      <c r="K209" s="261">
        <f>opex_orig!$AB$98*I209</f>
        <v>5.3866006952475265E-4</v>
      </c>
      <c r="L209" s="261">
        <f t="shared" si="25"/>
        <v>5.3866006952475265E-4</v>
      </c>
      <c r="M209" s="261">
        <f t="shared" si="24"/>
        <v>6.7869211092812926E-4</v>
      </c>
      <c r="P209" s="15"/>
    </row>
    <row r="210" spans="1:16" ht="15" customHeight="1" x14ac:dyDescent="0.25">
      <c r="A210" s="2" t="s">
        <v>919</v>
      </c>
      <c r="B210" s="2" t="s">
        <v>139</v>
      </c>
      <c r="C210" s="2" t="s">
        <v>738</v>
      </c>
      <c r="D210" s="2" t="s">
        <v>819</v>
      </c>
      <c r="E210" s="15" t="s">
        <v>836</v>
      </c>
      <c r="F210" s="259" t="s">
        <v>6</v>
      </c>
      <c r="G210" s="260">
        <f>opex_sources!H147/(opex_sources!H139+0*opex_sources!H147+0*opex_sources!H155)</f>
        <v>23.98094373865699</v>
      </c>
      <c r="H210" s="260">
        <f>opex_sources!H147/opex_sources!H147</f>
        <v>1</v>
      </c>
      <c r="I210" s="260">
        <f t="shared" si="23"/>
        <v>23.98094373865699</v>
      </c>
      <c r="J210" s="261">
        <f>opex_orig!$AB$99</f>
        <v>2.9041342622646802E-4</v>
      </c>
      <c r="K210" s="261">
        <f>opex_orig!$AB$99*I210</f>
        <v>6.9643880352875422E-3</v>
      </c>
      <c r="L210" s="261">
        <f t="shared" si="25"/>
        <v>6.9643880352875422E-3</v>
      </c>
      <c r="M210" s="261">
        <f t="shared" si="24"/>
        <v>8.7748758157666033E-3</v>
      </c>
      <c r="P210" s="15"/>
    </row>
    <row r="211" spans="1:16" ht="15" customHeight="1" x14ac:dyDescent="0.25">
      <c r="A211" s="2" t="s">
        <v>919</v>
      </c>
      <c r="B211" s="2" t="s">
        <v>139</v>
      </c>
      <c r="C211" s="2" t="s">
        <v>738</v>
      </c>
      <c r="D211" s="2" t="s">
        <v>819</v>
      </c>
      <c r="E211" s="15" t="s">
        <v>836</v>
      </c>
      <c r="F211" s="259" t="s">
        <v>8</v>
      </c>
      <c r="G211" s="260">
        <f>opex_sources!H147/(opex_sources!H139+0*opex_sources!H147+0*opex_sources!H155)</f>
        <v>23.98094373865699</v>
      </c>
      <c r="H211" s="260">
        <f>opex_sources!H147/opex_sources!H147</f>
        <v>1</v>
      </c>
      <c r="I211" s="260">
        <f t="shared" si="23"/>
        <v>23.98094373865699</v>
      </c>
      <c r="J211" s="261">
        <f>opex_orig!$AB$100</f>
        <v>2.0023637119714199E-5</v>
      </c>
      <c r="K211" s="261">
        <f>opex_orig!$AB$100*I211</f>
        <v>4.801857152111499E-4</v>
      </c>
      <c r="L211" s="261">
        <f t="shared" si="25"/>
        <v>4.801857152111499E-4</v>
      </c>
      <c r="M211" s="261">
        <f t="shared" si="24"/>
        <v>6.0501654964274841E-4</v>
      </c>
    </row>
    <row r="212" spans="1:16" ht="15" customHeight="1" x14ac:dyDescent="0.25">
      <c r="A212" s="2" t="s">
        <v>919</v>
      </c>
      <c r="B212" s="2" t="s">
        <v>139</v>
      </c>
      <c r="C212" s="2" t="s">
        <v>738</v>
      </c>
      <c r="D212" s="2" t="s">
        <v>819</v>
      </c>
      <c r="E212" s="15" t="s">
        <v>836</v>
      </c>
      <c r="F212" s="259" t="s">
        <v>342</v>
      </c>
      <c r="G212" s="260">
        <f>opex_sources!H147/(opex_sources!H139+0*opex_sources!H147+0*opex_sources!H155)</f>
        <v>23.98094373865699</v>
      </c>
      <c r="H212" s="260">
        <f>opex_sources!H147/opex_sources!H147</f>
        <v>1</v>
      </c>
      <c r="I212" s="260">
        <f t="shared" si="23"/>
        <v>23.98094373865699</v>
      </c>
      <c r="J212" s="261">
        <f>opex_orig!$AB$101</f>
        <v>1.37298155196492E-5</v>
      </c>
      <c r="K212" s="261">
        <f>opex_orig!$AB$101*I212</f>
        <v>3.2925393351884708E-4</v>
      </c>
      <c r="L212" s="261">
        <f t="shared" si="25"/>
        <v>3.2925393351884708E-4</v>
      </c>
      <c r="M212" s="261">
        <f t="shared" si="24"/>
        <v>4.1484799006626138E-4</v>
      </c>
    </row>
    <row r="213" spans="1:16" ht="15" customHeight="1" x14ac:dyDescent="0.25">
      <c r="A213" s="2" t="s">
        <v>919</v>
      </c>
      <c r="B213" s="2" t="s">
        <v>139</v>
      </c>
      <c r="C213" s="2" t="s">
        <v>738</v>
      </c>
      <c r="D213" s="2" t="s">
        <v>819</v>
      </c>
      <c r="E213" s="15" t="s">
        <v>836</v>
      </c>
      <c r="F213" s="259" t="s">
        <v>343</v>
      </c>
      <c r="G213" s="260">
        <f>opex_sources!H147/(opex_sources!H139+0*opex_sources!H147+0*opex_sources!H155)</f>
        <v>23.98094373865699</v>
      </c>
      <c r="H213" s="260">
        <f>opex_sources!H147/opex_sources!H147</f>
        <v>1</v>
      </c>
      <c r="I213" s="260">
        <f t="shared" si="23"/>
        <v>23.98094373865699</v>
      </c>
      <c r="J213" s="261">
        <f>opex_orig!$AB$102</f>
        <v>5.3072151691515202E-8</v>
      </c>
      <c r="K213" s="261">
        <f>opex_orig!$AB$102*I213</f>
        <v>1.2727202838036955E-6</v>
      </c>
      <c r="L213" s="261">
        <f t="shared" si="25"/>
        <v>1.2727202838036955E-6</v>
      </c>
      <c r="M213" s="261">
        <f t="shared" si="24"/>
        <v>1.6035813027646092E-6</v>
      </c>
    </row>
    <row r="214" spans="1:16" ht="15" customHeight="1" x14ac:dyDescent="0.25">
      <c r="A214" s="2" t="s">
        <v>919</v>
      </c>
      <c r="B214" s="2" t="s">
        <v>139</v>
      </c>
      <c r="C214" s="2" t="s">
        <v>738</v>
      </c>
      <c r="D214" s="2" t="s">
        <v>819</v>
      </c>
      <c r="E214" s="15" t="s">
        <v>836</v>
      </c>
      <c r="F214" s="259" t="s">
        <v>10</v>
      </c>
      <c r="G214" s="260">
        <f>opex_sources!H147/(opex_sources!H139+0*opex_sources!H147+0*opex_sources!H155)</f>
        <v>23.98094373865699</v>
      </c>
      <c r="H214" s="260">
        <f>opex_sources!H147/opex_sources!H147</f>
        <v>1</v>
      </c>
      <c r="I214" s="260">
        <f t="shared" si="23"/>
        <v>23.98094373865699</v>
      </c>
      <c r="J214" s="261">
        <f>opex_orig!$AB$103</f>
        <v>1.0694007351382899E-5</v>
      </c>
      <c r="K214" s="261">
        <f>opex_orig!$AB$103*I214</f>
        <v>2.5645238863429754E-4</v>
      </c>
      <c r="L214" s="261">
        <f t="shared" si="25"/>
        <v>2.5645238863429754E-4</v>
      </c>
      <c r="M214" s="261">
        <f t="shared" si="24"/>
        <v>3.2312068935856826E-4</v>
      </c>
    </row>
    <row r="215" spans="1:16" ht="15" customHeight="1" x14ac:dyDescent="0.25">
      <c r="A215" s="2" t="s">
        <v>919</v>
      </c>
      <c r="B215" s="2" t="s">
        <v>139</v>
      </c>
      <c r="C215" s="2" t="s">
        <v>738</v>
      </c>
      <c r="D215" s="2" t="s">
        <v>819</v>
      </c>
      <c r="E215" s="15" t="s">
        <v>836</v>
      </c>
      <c r="F215" s="259" t="s">
        <v>12</v>
      </c>
      <c r="G215" s="260">
        <f>opex_sources!H147/(opex_sources!H139+0*opex_sources!H147+0*opex_sources!H155)</f>
        <v>23.98094373865699</v>
      </c>
      <c r="H215" s="260">
        <f>opex_sources!H147/opex_sources!H147</f>
        <v>1</v>
      </c>
      <c r="I215" s="260">
        <f t="shared" si="23"/>
        <v>23.98094373865699</v>
      </c>
      <c r="J215" s="261">
        <f>opex_orig!$AB$104</f>
        <v>6.1171648027476502E-5</v>
      </c>
      <c r="K215" s="261">
        <f>opex_orig!$AB$104*I215</f>
        <v>1.4669538497478418E-3</v>
      </c>
      <c r="L215" s="261">
        <f t="shared" si="25"/>
        <v>1.4669538497478418E-3</v>
      </c>
      <c r="M215" s="261">
        <f t="shared" si="24"/>
        <v>1.8483085367696037E-3</v>
      </c>
    </row>
    <row r="216" spans="1:16" ht="15" customHeight="1" x14ac:dyDescent="0.25">
      <c r="A216" s="2" t="s">
        <v>919</v>
      </c>
      <c r="B216" s="2" t="s">
        <v>139</v>
      </c>
      <c r="C216" s="2" t="s">
        <v>738</v>
      </c>
      <c r="D216" s="2" t="s">
        <v>819</v>
      </c>
      <c r="E216" s="15" t="s">
        <v>836</v>
      </c>
      <c r="F216" s="259" t="s">
        <v>340</v>
      </c>
      <c r="G216" s="260">
        <f>opex_sources!H147/(opex_sources!H139+0*opex_sources!H147+0*opex_sources!H155)</f>
        <v>23.98094373865699</v>
      </c>
      <c r="H216" s="260">
        <f>opex_sources!H147/opex_sources!H147</f>
        <v>1</v>
      </c>
      <c r="I216" s="260">
        <f t="shared" si="23"/>
        <v>23.98094373865699</v>
      </c>
      <c r="J216" s="261">
        <f>opex_orig!$AB$105</f>
        <v>9.8509742840008501E-6</v>
      </c>
      <c r="K216" s="261">
        <f>opex_orig!$AB$105*I216</f>
        <v>2.3623566007558122E-4</v>
      </c>
      <c r="L216" s="261">
        <f t="shared" si="25"/>
        <v>2.3623566007558122E-4</v>
      </c>
      <c r="M216" s="261">
        <f t="shared" si="24"/>
        <v>2.9764834611678711E-4</v>
      </c>
    </row>
    <row r="217" spans="1:16" ht="15" customHeight="1" x14ac:dyDescent="0.25">
      <c r="A217" s="2" t="s">
        <v>919</v>
      </c>
      <c r="B217" s="2" t="s">
        <v>139</v>
      </c>
      <c r="C217" s="2" t="s">
        <v>738</v>
      </c>
      <c r="D217" s="2" t="s">
        <v>819</v>
      </c>
      <c r="E217" s="15" t="s">
        <v>836</v>
      </c>
      <c r="F217" s="259" t="s">
        <v>341</v>
      </c>
      <c r="G217" s="260">
        <f>opex_sources!H147/(opex_sources!H139+0*opex_sources!H147+0*opex_sources!H155)</f>
        <v>23.98094373865699</v>
      </c>
      <c r="H217" s="260">
        <f>opex_sources!H147/opex_sources!H147</f>
        <v>1</v>
      </c>
      <c r="I217" s="260">
        <f t="shared" si="23"/>
        <v>23.98094373865699</v>
      </c>
      <c r="J217" s="261">
        <f>opex_orig!$AB$106</f>
        <v>3.2366965306455799E-6</v>
      </c>
      <c r="K217" s="261">
        <f>opex_orig!$AB$106*I217</f>
        <v>7.7619037400517921E-5</v>
      </c>
      <c r="L217" s="261">
        <f t="shared" si="25"/>
        <v>7.7619037400517921E-5</v>
      </c>
      <c r="M217" s="261">
        <f t="shared" si="24"/>
        <v>9.7797166194339905E-5</v>
      </c>
    </row>
    <row r="218" spans="1:16" ht="15" customHeight="1" x14ac:dyDescent="0.25">
      <c r="A218" s="2" t="s">
        <v>919</v>
      </c>
      <c r="B218" s="2" t="s">
        <v>139</v>
      </c>
      <c r="C218" s="2" t="s">
        <v>738</v>
      </c>
      <c r="D218" s="2" t="s">
        <v>819</v>
      </c>
      <c r="E218" s="15" t="s">
        <v>836</v>
      </c>
      <c r="F218" s="259" t="s">
        <v>14</v>
      </c>
      <c r="G218" s="260">
        <f>opex_sources!H147/(opex_sources!H139+0*opex_sources!H147+0*opex_sources!H155)</f>
        <v>23.98094373865699</v>
      </c>
      <c r="H218" s="260">
        <f>opex_sources!H147/opex_sources!H147</f>
        <v>1</v>
      </c>
      <c r="I218" s="260">
        <f t="shared" si="23"/>
        <v>23.98094373865699</v>
      </c>
      <c r="J218" s="261">
        <f>opex_orig!$AB$107</f>
        <v>1.51912372898467E-9</v>
      </c>
      <c r="K218" s="261">
        <f>opex_orig!$AB$107*I218</f>
        <v>3.6430020676840181E-8</v>
      </c>
      <c r="L218" s="261">
        <f t="shared" si="25"/>
        <v>3.6430020676840181E-8</v>
      </c>
      <c r="M218" s="261">
        <f t="shared" si="24"/>
        <v>4.5900502066422248E-8</v>
      </c>
    </row>
    <row r="219" spans="1:16" ht="15" customHeight="1" x14ac:dyDescent="0.25">
      <c r="A219" s="2" t="s">
        <v>919</v>
      </c>
      <c r="B219" s="2" t="s">
        <v>139</v>
      </c>
      <c r="C219" s="2" t="s">
        <v>738</v>
      </c>
      <c r="D219" s="2" t="s">
        <v>819</v>
      </c>
      <c r="E219" s="15" t="s">
        <v>836</v>
      </c>
      <c r="F219" s="259" t="s">
        <v>16</v>
      </c>
      <c r="G219" s="260">
        <f>opex_sources!H147/(opex_sources!H139+0*opex_sources!H147+0*opex_sources!H155)</f>
        <v>23.98094373865699</v>
      </c>
      <c r="H219" s="260">
        <f>opex_sources!H147/opex_sources!H147</f>
        <v>1</v>
      </c>
      <c r="I219" s="260">
        <f t="shared" si="23"/>
        <v>23.98094373865699</v>
      </c>
      <c r="J219" s="261">
        <f>opex_orig!$AB$108</f>
        <v>9.9952413843299992E-10</v>
      </c>
      <c r="K219" s="261">
        <f>opex_orig!$AB$108*I219</f>
        <v>2.3969532129191373E-8</v>
      </c>
      <c r="L219" s="261">
        <f t="shared" si="25"/>
        <v>2.3969532129191373E-8</v>
      </c>
      <c r="M219" s="261">
        <f t="shared" si="24"/>
        <v>3.0200739351393411E-8</v>
      </c>
    </row>
    <row r="220" spans="1:16" ht="15" customHeight="1" x14ac:dyDescent="0.25">
      <c r="A220" s="2" t="s">
        <v>919</v>
      </c>
      <c r="B220" s="2" t="s">
        <v>139</v>
      </c>
      <c r="C220" s="2" t="s">
        <v>738</v>
      </c>
      <c r="D220" s="2" t="s">
        <v>819</v>
      </c>
      <c r="E220" s="15" t="s">
        <v>836</v>
      </c>
      <c r="F220" s="259" t="s">
        <v>18</v>
      </c>
      <c r="G220" s="260">
        <f>opex_sources!H147/(opex_sources!H139+0*opex_sources!H147+0*opex_sources!H155)</f>
        <v>23.98094373865699</v>
      </c>
      <c r="H220" s="260">
        <f>opex_sources!H147/opex_sources!H147</f>
        <v>1</v>
      </c>
      <c r="I220" s="260">
        <f t="shared" si="23"/>
        <v>23.98094373865699</v>
      </c>
      <c r="J220" s="261">
        <f>opex_orig!$AB$109</f>
        <v>1.11890862601421E-7</v>
      </c>
      <c r="K220" s="261">
        <f>opex_orig!$AB$109*I220</f>
        <v>2.6832484809144763E-6</v>
      </c>
      <c r="L220" s="261">
        <f t="shared" si="25"/>
        <v>2.6832484809144763E-6</v>
      </c>
      <c r="M220" s="261">
        <f t="shared" si="24"/>
        <v>3.3807955679047388E-6</v>
      </c>
    </row>
    <row r="221" spans="1:16" ht="15" customHeight="1" x14ac:dyDescent="0.25">
      <c r="A221" s="2" t="s">
        <v>919</v>
      </c>
      <c r="B221" s="2" t="s">
        <v>139</v>
      </c>
      <c r="C221" s="2" t="s">
        <v>738</v>
      </c>
      <c r="D221" s="2" t="s">
        <v>819</v>
      </c>
      <c r="E221" s="15" t="s">
        <v>836</v>
      </c>
      <c r="F221" s="259" t="s">
        <v>20</v>
      </c>
      <c r="G221" s="260">
        <f>opex_sources!H147/(opex_sources!H139+0*opex_sources!H147+0*opex_sources!H155)</f>
        <v>23.98094373865699</v>
      </c>
      <c r="H221" s="260">
        <f>opex_sources!H147/opex_sources!H147</f>
        <v>1</v>
      </c>
      <c r="I221" s="260">
        <f t="shared" si="23"/>
        <v>23.98094373865699</v>
      </c>
      <c r="J221" s="261">
        <f>opex_orig!$AB$110</f>
        <v>1.52739607723571E-5</v>
      </c>
      <c r="K221" s="261">
        <f>opex_orig!$AB$110*I221</f>
        <v>3.6628399394834948E-4</v>
      </c>
      <c r="L221" s="261">
        <f t="shared" si="25"/>
        <v>3.6628399394834948E-4</v>
      </c>
      <c r="M221" s="261">
        <f t="shared" si="24"/>
        <v>4.6150452041362604E-4</v>
      </c>
    </row>
    <row r="222" spans="1:16" ht="15" customHeight="1" x14ac:dyDescent="0.25">
      <c r="A222" s="2" t="s">
        <v>919</v>
      </c>
      <c r="B222" s="2" t="s">
        <v>139</v>
      </c>
      <c r="C222" s="2" t="s">
        <v>738</v>
      </c>
      <c r="D222" s="2" t="s">
        <v>819</v>
      </c>
      <c r="E222" s="15" t="s">
        <v>836</v>
      </c>
      <c r="F222" s="259" t="s">
        <v>213</v>
      </c>
      <c r="G222" s="260">
        <f>opex_sources!H147/(opex_sources!H139+0*opex_sources!H147+0*opex_sources!H155)</f>
        <v>23.98094373865699</v>
      </c>
      <c r="H222" s="260">
        <f>opex_sources!H147/opex_sources!H147</f>
        <v>1</v>
      </c>
      <c r="I222" s="260">
        <f t="shared" si="23"/>
        <v>23.98094373865699</v>
      </c>
      <c r="J222" s="261">
        <f>opex_orig!$AB$111</f>
        <v>1.0946893180591399E-4</v>
      </c>
      <c r="K222" s="261">
        <f>opex_orig!$AB$111*I222</f>
        <v>2.6251682947685023E-3</v>
      </c>
      <c r="L222" s="261">
        <f t="shared" si="25"/>
        <v>2.6251682947685023E-3</v>
      </c>
      <c r="M222" s="261">
        <f t="shared" si="24"/>
        <v>3.3076166441852062E-3</v>
      </c>
    </row>
    <row r="223" spans="1:16" ht="15" customHeight="1" x14ac:dyDescent="0.25">
      <c r="A223" s="2" t="s">
        <v>919</v>
      </c>
      <c r="B223" s="2" t="s">
        <v>139</v>
      </c>
      <c r="C223" s="2" t="s">
        <v>738</v>
      </c>
      <c r="D223" s="2" t="s">
        <v>819</v>
      </c>
      <c r="E223" s="15" t="s">
        <v>836</v>
      </c>
      <c r="F223" s="259" t="s">
        <v>215</v>
      </c>
      <c r="G223" s="260">
        <f>opex_sources!H147/(opex_sources!H139+0*opex_sources!H147+0*opex_sources!H155)</f>
        <v>23.98094373865699</v>
      </c>
      <c r="H223" s="260">
        <f>opex_sources!H147/opex_sources!H147</f>
        <v>1</v>
      </c>
      <c r="I223" s="260">
        <f t="shared" si="23"/>
        <v>23.98094373865699</v>
      </c>
      <c r="J223" s="261">
        <f>opex_orig!$AB$112</f>
        <v>6.4922659236433795E-4</v>
      </c>
      <c r="K223" s="261">
        <f>opex_orig!$AB$112*I223</f>
        <v>1.5569066385129183E-2</v>
      </c>
      <c r="L223" s="261">
        <f t="shared" si="25"/>
        <v>1.5569066385129183E-2</v>
      </c>
      <c r="M223" s="261">
        <f t="shared" si="24"/>
        <v>1.9616457814343236E-2</v>
      </c>
    </row>
    <row r="224" spans="1:16" ht="15" customHeight="1" x14ac:dyDescent="0.25">
      <c r="A224" s="2" t="s">
        <v>919</v>
      </c>
      <c r="B224" s="2" t="s">
        <v>139</v>
      </c>
      <c r="C224" s="2" t="s">
        <v>738</v>
      </c>
      <c r="D224" s="2" t="s">
        <v>819</v>
      </c>
      <c r="E224" s="286" t="s">
        <v>994</v>
      </c>
      <c r="F224" s="253" t="s">
        <v>237</v>
      </c>
      <c r="G224" s="251"/>
      <c r="H224" s="251">
        <f>opex_sources!H148/(opex_sources!H148+opex_sources!H151)</f>
        <v>0.25925925925925924</v>
      </c>
      <c r="I224" s="251"/>
      <c r="J224" s="254">
        <f>opex_orig!$AB$123</f>
        <v>1.4535611744200601E-2</v>
      </c>
      <c r="K224" s="286">
        <f>opex_orig!$AB$123*I240+L224</f>
        <v>1.7178717778259703E-2</v>
      </c>
      <c r="L224" s="287">
        <f>opex_sources!$H$148*$H224/SUM($H$224:$H$227)</f>
        <v>4.2347247428917122E-3</v>
      </c>
      <c r="M224" s="254">
        <f>K224/$K$249*$J$249</f>
        <v>2.1644560069678416E-2</v>
      </c>
      <c r="N224" s="187">
        <f>opex_sources!H148</f>
        <v>1.6938898971566849E-2</v>
      </c>
      <c r="O224" s="187">
        <f>SUM(L224:L227)/L$249</f>
        <v>2.4023870607150753E-2</v>
      </c>
      <c r="P224" s="1" t="s">
        <v>994</v>
      </c>
    </row>
    <row r="225" spans="1:16" ht="15" customHeight="1" x14ac:dyDescent="0.25">
      <c r="A225" s="2" t="s">
        <v>919</v>
      </c>
      <c r="B225" s="2" t="s">
        <v>139</v>
      </c>
      <c r="C225" s="2" t="s">
        <v>738</v>
      </c>
      <c r="D225" s="2" t="s">
        <v>819</v>
      </c>
      <c r="E225" s="288" t="s">
        <v>994</v>
      </c>
      <c r="F225" s="191" t="s">
        <v>239</v>
      </c>
      <c r="G225" s="192"/>
      <c r="H225" s="192">
        <f>opex_sources!H148/(opex_sources!H148+opex_sources!H151)</f>
        <v>0.25925925925925924</v>
      </c>
      <c r="I225" s="192"/>
      <c r="J225" s="217">
        <f>opex_orig!$AB$124</f>
        <v>5.6700519893351398E-2</v>
      </c>
      <c r="K225" s="286">
        <f>opex_orig!$AB$124*I241+L225</f>
        <v>5.4726657763468398E-2</v>
      </c>
      <c r="L225" s="287">
        <f>opex_sources!$H$148*$H225/SUM($H$224:$H$227)</f>
        <v>4.2347247428917122E-3</v>
      </c>
      <c r="M225" s="217">
        <f t="shared" si="24"/>
        <v>6.895359983579194E-2</v>
      </c>
    </row>
    <row r="226" spans="1:16" ht="15" customHeight="1" x14ac:dyDescent="0.25">
      <c r="A226" s="2" t="s">
        <v>919</v>
      </c>
      <c r="B226" s="2" t="s">
        <v>139</v>
      </c>
      <c r="C226" s="2" t="s">
        <v>738</v>
      </c>
      <c r="D226" s="2" t="s">
        <v>819</v>
      </c>
      <c r="E226" s="288" t="s">
        <v>994</v>
      </c>
      <c r="F226" s="252" t="s">
        <v>241</v>
      </c>
      <c r="G226" s="195"/>
      <c r="H226" s="195">
        <f>opex_sources!H148/(opex_sources!H148+opex_sources!H151)</f>
        <v>0.25925925925925924</v>
      </c>
      <c r="I226" s="195"/>
      <c r="J226" s="219">
        <f>opex_orig!$AB$125</f>
        <v>1.48073809005072E-2</v>
      </c>
      <c r="K226" s="286">
        <f>opex_orig!$AB$125*I242+L226</f>
        <v>1.7420728787384515E-2</v>
      </c>
      <c r="L226" s="287">
        <f>opex_sources!$H$148*$H226/SUM($H$224:$H$227)</f>
        <v>4.2347247428917122E-3</v>
      </c>
      <c r="M226" s="219">
        <f>K226/$K$249*$J$249</f>
        <v>2.1949485145702115E-2</v>
      </c>
    </row>
    <row r="227" spans="1:16" ht="15" customHeight="1" x14ac:dyDescent="0.25">
      <c r="A227" s="2" t="s">
        <v>919</v>
      </c>
      <c r="B227" s="2" t="s">
        <v>139</v>
      </c>
      <c r="C227" s="2" t="s">
        <v>738</v>
      </c>
      <c r="D227" s="2" t="s">
        <v>819</v>
      </c>
      <c r="E227" s="288" t="s">
        <v>994</v>
      </c>
      <c r="F227" s="255" t="s">
        <v>249</v>
      </c>
      <c r="G227" s="256"/>
      <c r="H227" s="256">
        <f>opex_sources!H148/(opex_sources!H148+opex_sources!H151)</f>
        <v>0.25925925925925924</v>
      </c>
      <c r="I227" s="256"/>
      <c r="J227" s="257">
        <f>opex_orig!$AB$129</f>
        <v>8.6195502111505104E-3</v>
      </c>
      <c r="K227" s="286">
        <f>opex_orig!$AB$129*I243+L227</f>
        <v>1.1910452456632518E-2</v>
      </c>
      <c r="L227" s="287">
        <f>opex_sources!$H$148*$H227/SUM($H$224:$H$227)</f>
        <v>4.2347247428917122E-3</v>
      </c>
      <c r="M227" s="257">
        <f t="shared" si="24"/>
        <v>1.5006737230463283E-2</v>
      </c>
    </row>
    <row r="228" spans="1:16" ht="15" customHeight="1" x14ac:dyDescent="0.25">
      <c r="A228" s="2" t="s">
        <v>919</v>
      </c>
      <c r="B228" s="2" t="s">
        <v>139</v>
      </c>
      <c r="C228" s="2" t="s">
        <v>738</v>
      </c>
      <c r="D228" s="2" t="s">
        <v>819</v>
      </c>
      <c r="E228" s="303" t="s">
        <v>503</v>
      </c>
      <c r="F228" s="279" t="s">
        <v>53</v>
      </c>
      <c r="G228" s="307"/>
      <c r="H228" s="307">
        <v>0</v>
      </c>
      <c r="I228" s="285">
        <f t="shared" si="23"/>
        <v>0</v>
      </c>
      <c r="J228" s="224">
        <f>opex_orig!$AB$17</f>
        <v>0</v>
      </c>
      <c r="K228" s="286">
        <f>opex_orig!$AB$17</f>
        <v>0</v>
      </c>
      <c r="L228" s="224">
        <f t="shared" ref="L228:L233" si="26">K228*I228</f>
        <v>0</v>
      </c>
      <c r="M228" s="224">
        <f t="shared" ref="M228:M233" si="27">K228/$K$249*$J$249</f>
        <v>0</v>
      </c>
    </row>
    <row r="229" spans="1:16" ht="15" customHeight="1" x14ac:dyDescent="0.25">
      <c r="A229" s="2" t="s">
        <v>919</v>
      </c>
      <c r="B229" s="2" t="s">
        <v>139</v>
      </c>
      <c r="C229" s="2" t="s">
        <v>738</v>
      </c>
      <c r="D229" s="2" t="s">
        <v>819</v>
      </c>
      <c r="E229" s="303" t="s">
        <v>503</v>
      </c>
      <c r="F229" s="280" t="s">
        <v>55</v>
      </c>
      <c r="G229" s="307"/>
      <c r="H229" s="307">
        <v>0</v>
      </c>
      <c r="I229" s="282">
        <f t="shared" si="23"/>
        <v>0</v>
      </c>
      <c r="J229" s="234">
        <f>opex_orig!$AB$18</f>
        <v>0</v>
      </c>
      <c r="K229" s="286">
        <f>opex_orig!$AB$18</f>
        <v>0</v>
      </c>
      <c r="L229" s="234">
        <f t="shared" si="26"/>
        <v>0</v>
      </c>
      <c r="M229" s="234">
        <f t="shared" si="27"/>
        <v>0</v>
      </c>
    </row>
    <row r="230" spans="1:16" ht="15" customHeight="1" x14ac:dyDescent="0.25">
      <c r="A230" s="2" t="s">
        <v>919</v>
      </c>
      <c r="B230" s="2" t="s">
        <v>139</v>
      </c>
      <c r="C230" s="2" t="s">
        <v>738</v>
      </c>
      <c r="D230" s="2" t="s">
        <v>819</v>
      </c>
      <c r="E230" s="303" t="s">
        <v>503</v>
      </c>
      <c r="F230" s="278" t="s">
        <v>57</v>
      </c>
      <c r="G230" s="307"/>
      <c r="H230" s="307">
        <v>0</v>
      </c>
      <c r="I230" s="283">
        <f t="shared" si="23"/>
        <v>0</v>
      </c>
      <c r="J230" s="284">
        <f>opex_orig!$AB$19</f>
        <v>1.7549611960191201E-4</v>
      </c>
      <c r="K230" s="286">
        <f>opex_orig!$AB$19</f>
        <v>1.7549611960191201E-4</v>
      </c>
      <c r="L230" s="284">
        <f t="shared" si="26"/>
        <v>0</v>
      </c>
      <c r="M230" s="284">
        <f t="shared" si="27"/>
        <v>2.2111873259401461E-4</v>
      </c>
    </row>
    <row r="231" spans="1:16" ht="15" customHeight="1" x14ac:dyDescent="0.25">
      <c r="A231" s="2" t="s">
        <v>919</v>
      </c>
      <c r="B231" s="2" t="s">
        <v>139</v>
      </c>
      <c r="C231" s="2" t="s">
        <v>738</v>
      </c>
      <c r="D231" s="2" t="s">
        <v>819</v>
      </c>
      <c r="E231" s="303" t="s">
        <v>503</v>
      </c>
      <c r="F231" s="258" t="s">
        <v>227</v>
      </c>
      <c r="G231" s="307"/>
      <c r="H231" s="237">
        <f>0/(opex_sources!H146+opex_sources!H149)</f>
        <v>0</v>
      </c>
      <c r="I231" s="237">
        <f t="shared" si="23"/>
        <v>0</v>
      </c>
      <c r="J231" s="238">
        <f>opex_orig!$AB$118</f>
        <v>0.240626506061244</v>
      </c>
      <c r="K231" s="238">
        <f>opex_orig!$AB$118*(I205+I236)</f>
        <v>0.16405024172247504</v>
      </c>
      <c r="L231" s="238">
        <f>K231*I231</f>
        <v>0</v>
      </c>
      <c r="M231" s="238">
        <f t="shared" si="27"/>
        <v>0.20669734244665436</v>
      </c>
    </row>
    <row r="232" spans="1:16" ht="15" customHeight="1" x14ac:dyDescent="0.25">
      <c r="A232" s="2" t="s">
        <v>919</v>
      </c>
      <c r="B232" s="2" t="s">
        <v>139</v>
      </c>
      <c r="C232" s="2" t="s">
        <v>738</v>
      </c>
      <c r="D232" s="2" t="s">
        <v>819</v>
      </c>
      <c r="E232" s="303" t="s">
        <v>503</v>
      </c>
      <c r="F232" s="264" t="s">
        <v>231</v>
      </c>
      <c r="G232" s="307"/>
      <c r="H232" s="230">
        <f>0/(opex_sources!H146+opex_sources!H149)</f>
        <v>0</v>
      </c>
      <c r="I232" s="230">
        <f t="shared" si="23"/>
        <v>0</v>
      </c>
      <c r="J232" s="231">
        <f>opex_orig!$AB$120</f>
        <v>0.357646054898278</v>
      </c>
      <c r="K232" s="231">
        <f>opex_orig!$AB$120*(I206+I238)</f>
        <v>0.24382983702642869</v>
      </c>
      <c r="L232" s="231">
        <f t="shared" si="26"/>
        <v>0</v>
      </c>
      <c r="M232" s="231">
        <f t="shared" si="27"/>
        <v>0.30721673307756514</v>
      </c>
    </row>
    <row r="233" spans="1:16" ht="15" customHeight="1" x14ac:dyDescent="0.25">
      <c r="A233" s="2" t="s">
        <v>919</v>
      </c>
      <c r="B233" s="2" t="s">
        <v>139</v>
      </c>
      <c r="C233" s="2" t="s">
        <v>738</v>
      </c>
      <c r="D233" s="2" t="s">
        <v>819</v>
      </c>
      <c r="E233" s="303" t="s">
        <v>503</v>
      </c>
      <c r="F233" s="281" t="s">
        <v>233</v>
      </c>
      <c r="G233" s="307"/>
      <c r="H233" s="289">
        <f>0/(opex_sources!H146+opex_sources!H149)</f>
        <v>0</v>
      </c>
      <c r="I233" s="289">
        <f t="shared" si="23"/>
        <v>0</v>
      </c>
      <c r="J233" s="226">
        <f>opex_orig!$AB$121</f>
        <v>5.3624669526973701E-2</v>
      </c>
      <c r="K233" s="226">
        <f>opex_orig!$AB$121*(I207+I239)</f>
        <v>3.6559314026480681E-2</v>
      </c>
      <c r="L233" s="226">
        <f t="shared" si="26"/>
        <v>0</v>
      </c>
      <c r="M233" s="226">
        <f t="shared" si="27"/>
        <v>4.6063406988025024E-2</v>
      </c>
    </row>
    <row r="234" spans="1:16" ht="15" customHeight="1" x14ac:dyDescent="0.25">
      <c r="A234" s="2" t="s">
        <v>919</v>
      </c>
      <c r="B234" s="2" t="s">
        <v>139</v>
      </c>
      <c r="C234" s="2" t="s">
        <v>738</v>
      </c>
      <c r="D234" s="2" t="s">
        <v>819</v>
      </c>
      <c r="E234" s="15" t="s">
        <v>993</v>
      </c>
      <c r="F234" s="267" t="s">
        <v>61</v>
      </c>
      <c r="G234" s="265">
        <f>opex_sources!H149/(opex_sources!H141+0*opex_sources!H149+0*0)</f>
        <v>0.6303989931056958</v>
      </c>
      <c r="H234" s="265">
        <f>opex_sources!H149/opex_sources!H149</f>
        <v>1</v>
      </c>
      <c r="I234" s="265">
        <f t="shared" si="23"/>
        <v>0.6303989931056958</v>
      </c>
      <c r="J234" s="266">
        <f>opex_orig!$AB$21</f>
        <v>1.89845054350701E-2</v>
      </c>
      <c r="K234" s="266">
        <f>opex_orig!$AB$21*I234</f>
        <v>1.1967813110877801E-2</v>
      </c>
      <c r="L234" s="266">
        <f t="shared" si="25"/>
        <v>1.1967813110877801E-2</v>
      </c>
      <c r="M234" s="266">
        <f t="shared" ref="M234:M242" si="28">K234/$K$249*$J$249</f>
        <v>1.5079009570138094E-2</v>
      </c>
      <c r="N234" s="187">
        <f>opex_sources!H149</f>
        <v>0.32788868723532971</v>
      </c>
      <c r="O234" s="187">
        <f>SUM(L234:L239)/L$249</f>
        <v>0.4325928173333487</v>
      </c>
      <c r="P234" s="15" t="s">
        <v>993</v>
      </c>
    </row>
    <row r="235" spans="1:16" ht="15" customHeight="1" x14ac:dyDescent="0.25">
      <c r="A235" s="2" t="s">
        <v>919</v>
      </c>
      <c r="B235" s="2" t="s">
        <v>139</v>
      </c>
      <c r="C235" s="2" t="s">
        <v>738</v>
      </c>
      <c r="D235" s="2" t="s">
        <v>819</v>
      </c>
      <c r="E235" s="15" t="s">
        <v>993</v>
      </c>
      <c r="F235" s="271" t="s">
        <v>135</v>
      </c>
      <c r="G235" s="262">
        <f>opex_sources!H149/(opex_sources!H141+0*opex_sources!H149+0*0)</f>
        <v>0.6303989931056958</v>
      </c>
      <c r="H235" s="262">
        <f>opex_sources!H149/opex_sources!H149</f>
        <v>1</v>
      </c>
      <c r="I235" s="262">
        <f t="shared" si="23"/>
        <v>0.6303989931056958</v>
      </c>
      <c r="J235" s="263">
        <f>opex_orig!$AB$58</f>
        <v>1.8100147387346398E-2</v>
      </c>
      <c r="K235" s="263">
        <f>opex_orig!$AB$58*I235</f>
        <v>1.141031468804786E-2</v>
      </c>
      <c r="L235" s="263">
        <f t="shared" si="25"/>
        <v>1.141031468804786E-2</v>
      </c>
      <c r="M235" s="263">
        <f t="shared" si="28"/>
        <v>1.4376581818692953E-2</v>
      </c>
    </row>
    <row r="236" spans="1:16" ht="15" customHeight="1" x14ac:dyDescent="0.25">
      <c r="A236" s="2" t="s">
        <v>919</v>
      </c>
      <c r="B236" s="2" t="s">
        <v>139</v>
      </c>
      <c r="C236" s="2" t="s">
        <v>738</v>
      </c>
      <c r="D236" s="2" t="s">
        <v>819</v>
      </c>
      <c r="E236" s="15" t="s">
        <v>993</v>
      </c>
      <c r="F236" s="258" t="s">
        <v>227</v>
      </c>
      <c r="G236" s="237">
        <f>opex_sources!H149/(opex_sources!H141+0*opex_sources!H149+0*0)</f>
        <v>0.6303989931056958</v>
      </c>
      <c r="H236" s="237">
        <f>opex_sources!H149/(opex_sources!H146+opex_sources!H149)</f>
        <v>0.57537154989384298</v>
      </c>
      <c r="I236" s="237">
        <f t="shared" si="23"/>
        <v>0.36271364571474224</v>
      </c>
      <c r="J236" s="238">
        <f>opex_orig!$AB$118</f>
        <v>0.240626506061244</v>
      </c>
      <c r="K236" s="238">
        <f>opex_orig!$AB$118*(I205+I236)</f>
        <v>0.16405024172247504</v>
      </c>
      <c r="L236" s="238">
        <f t="shared" si="25"/>
        <v>9.4389841840320052E-2</v>
      </c>
      <c r="M236" s="238">
        <f t="shared" si="28"/>
        <v>0.20669734244665436</v>
      </c>
    </row>
    <row r="237" spans="1:16" ht="15" customHeight="1" x14ac:dyDescent="0.25">
      <c r="A237" s="2" t="s">
        <v>919</v>
      </c>
      <c r="B237" s="2" t="s">
        <v>139</v>
      </c>
      <c r="C237" s="2" t="s">
        <v>738</v>
      </c>
      <c r="D237" s="2" t="s">
        <v>819</v>
      </c>
      <c r="E237" s="15" t="s">
        <v>993</v>
      </c>
      <c r="F237" s="268" t="s">
        <v>229</v>
      </c>
      <c r="G237" s="269">
        <f>opex_sources!H149/(opex_sources!H141+0*opex_sources!H149+0*0)</f>
        <v>0.6303989931056958</v>
      </c>
      <c r="H237" s="269">
        <f>opex_sources!H151/opex_sources!H151</f>
        <v>1</v>
      </c>
      <c r="I237" s="269">
        <f t="shared" si="23"/>
        <v>0.6303989931056958</v>
      </c>
      <c r="J237" s="270">
        <f>opex_orig!$AB$119</f>
        <v>4.1115712416530302E-2</v>
      </c>
      <c r="K237" s="270">
        <f>opex_orig!$AB$119*I237</f>
        <v>2.5919303708204056E-2</v>
      </c>
      <c r="L237" s="270">
        <f t="shared" si="25"/>
        <v>2.5919303708204056E-2</v>
      </c>
      <c r="M237" s="270">
        <f t="shared" si="28"/>
        <v>3.2657380679857392E-2</v>
      </c>
    </row>
    <row r="238" spans="1:16" ht="15" customHeight="1" x14ac:dyDescent="0.25">
      <c r="A238" s="2" t="s">
        <v>919</v>
      </c>
      <c r="B238" s="2" t="s">
        <v>139</v>
      </c>
      <c r="C238" s="2" t="s">
        <v>738</v>
      </c>
      <c r="D238" s="2" t="s">
        <v>819</v>
      </c>
      <c r="E238" s="15" t="s">
        <v>993</v>
      </c>
      <c r="F238" s="264" t="s">
        <v>231</v>
      </c>
      <c r="G238" s="230">
        <f>opex_sources!H149/(opex_sources!H141+0*opex_sources!H149+0*0)</f>
        <v>0.6303989931056958</v>
      </c>
      <c r="H238" s="230">
        <f>opex_sources!H149/(opex_sources!H146+opex_sources!H149)</f>
        <v>0.57537154989384298</v>
      </c>
      <c r="I238" s="230">
        <f t="shared" si="23"/>
        <v>0.36271364571474224</v>
      </c>
      <c r="J238" s="231">
        <f>opex_orig!$AB$120</f>
        <v>0.357646054898278</v>
      </c>
      <c r="K238" s="231">
        <f>opex_orig!$AB$120*(I206+I238)</f>
        <v>0.24382983702642869</v>
      </c>
      <c r="L238" s="231">
        <f t="shared" si="25"/>
        <v>0.14029275124025942</v>
      </c>
      <c r="M238" s="231">
        <f t="shared" si="28"/>
        <v>0.30721673307756514</v>
      </c>
    </row>
    <row r="239" spans="1:16" ht="15" customHeight="1" x14ac:dyDescent="0.25">
      <c r="A239" s="2" t="s">
        <v>919</v>
      </c>
      <c r="B239" s="2" t="s">
        <v>139</v>
      </c>
      <c r="C239" s="2" t="s">
        <v>738</v>
      </c>
      <c r="D239" s="2" t="s">
        <v>819</v>
      </c>
      <c r="E239" s="15" t="s">
        <v>993</v>
      </c>
      <c r="F239" s="281" t="s">
        <v>233</v>
      </c>
      <c r="G239" s="289">
        <f>opex_sources!H149/(opex_sources!H141+0*opex_sources!H149+0*0)</f>
        <v>0.6303989931056958</v>
      </c>
      <c r="H239" s="289">
        <f>opex_sources!H149/(opex_sources!H146+opex_sources!H149)</f>
        <v>0.57537154989384298</v>
      </c>
      <c r="I239" s="289">
        <f t="shared" si="23"/>
        <v>0.36271364571474224</v>
      </c>
      <c r="J239" s="226">
        <f>opex_orig!$AB$121</f>
        <v>5.3624669526973701E-2</v>
      </c>
      <c r="K239" s="226">
        <f>opex_orig!$AB$121*(I207+I239)</f>
        <v>3.6559314026480681E-2</v>
      </c>
      <c r="L239" s="226">
        <f t="shared" si="25"/>
        <v>2.1035189174471901E-2</v>
      </c>
      <c r="M239" s="226">
        <f t="shared" si="28"/>
        <v>4.6063406988025024E-2</v>
      </c>
    </row>
    <row r="240" spans="1:16" ht="15" customHeight="1" x14ac:dyDescent="0.25">
      <c r="A240" s="2" t="s">
        <v>919</v>
      </c>
      <c r="B240" s="2" t="s">
        <v>139</v>
      </c>
      <c r="C240" s="2" t="s">
        <v>738</v>
      </c>
      <c r="D240" s="2" t="s">
        <v>819</v>
      </c>
      <c r="E240" s="15" t="s">
        <v>335</v>
      </c>
      <c r="F240" s="253" t="s">
        <v>237</v>
      </c>
      <c r="G240" s="251">
        <f>opex_sources!H151/(opex_sources!H143+0*opex_sources!H151+0*opex_sources!H159)</f>
        <v>1.2021778584392016</v>
      </c>
      <c r="H240" s="251">
        <f>opex_sources!H151/(opex_sources!H148+opex_sources!H151)</f>
        <v>0.7407407407407407</v>
      </c>
      <c r="I240" s="251">
        <f t="shared" si="23"/>
        <v>0.8905021173623715</v>
      </c>
      <c r="J240" s="254">
        <f>opex_orig!$AB$123</f>
        <v>1.4535611744200601E-2</v>
      </c>
      <c r="K240" s="286">
        <f>opex_orig!$AB$123*I240+L224</f>
        <v>1.7178717778259703E-2</v>
      </c>
      <c r="L240" s="286">
        <f>K240-L224</f>
        <v>1.2943993035367991E-2</v>
      </c>
      <c r="M240" s="254">
        <f>K240/$K$249*$J$249</f>
        <v>2.1644560069678416E-2</v>
      </c>
      <c r="N240" s="187">
        <f>opex_sources!H151</f>
        <v>4.8396854204476709E-2</v>
      </c>
      <c r="O240" s="187">
        <f>SUM(L240:L247)/L$249</f>
        <v>0.19670916156542884</v>
      </c>
      <c r="P240" s="15" t="s">
        <v>335</v>
      </c>
    </row>
    <row r="241" spans="1:16" ht="15" customHeight="1" x14ac:dyDescent="0.25">
      <c r="A241" s="2" t="s">
        <v>919</v>
      </c>
      <c r="B241" s="2" t="s">
        <v>139</v>
      </c>
      <c r="C241" s="2" t="s">
        <v>738</v>
      </c>
      <c r="D241" s="2" t="s">
        <v>819</v>
      </c>
      <c r="E241" s="15" t="s">
        <v>335</v>
      </c>
      <c r="F241" s="191" t="s">
        <v>239</v>
      </c>
      <c r="G241" s="192">
        <f>opex_sources!H151/(opex_sources!H143+0*opex_sources!H151+0*opex_sources!H159)</f>
        <v>1.2021778584392016</v>
      </c>
      <c r="H241" s="192">
        <f>opex_sources!H151/(opex_sources!H148+opex_sources!H151)</f>
        <v>0.7407407407407407</v>
      </c>
      <c r="I241" s="192">
        <f t="shared" si="23"/>
        <v>0.8905021173623715</v>
      </c>
      <c r="J241" s="217">
        <f>opex_orig!$AB$124</f>
        <v>5.6700519893351398E-2</v>
      </c>
      <c r="K241" s="286">
        <f>opex_orig!$AB$124*I241+L225</f>
        <v>5.4726657763468398E-2</v>
      </c>
      <c r="L241" s="286">
        <f t="shared" ref="L241" si="29">K241-L225</f>
        <v>5.0491933020576682E-2</v>
      </c>
      <c r="M241" s="217">
        <f t="shared" si="28"/>
        <v>6.895359983579194E-2</v>
      </c>
    </row>
    <row r="242" spans="1:16" ht="15" customHeight="1" x14ac:dyDescent="0.25">
      <c r="A242" s="2" t="s">
        <v>919</v>
      </c>
      <c r="B242" s="2" t="s">
        <v>139</v>
      </c>
      <c r="C242" s="2" t="s">
        <v>738</v>
      </c>
      <c r="D242" s="2" t="s">
        <v>819</v>
      </c>
      <c r="E242" s="15" t="s">
        <v>335</v>
      </c>
      <c r="F242" s="252" t="s">
        <v>241</v>
      </c>
      <c r="G242" s="195">
        <f>opex_sources!H151/(opex_sources!H143+0*opex_sources!H151+0*opex_sources!H159)</f>
        <v>1.2021778584392016</v>
      </c>
      <c r="H242" s="195">
        <f>opex_sources!H151/(opex_sources!H148+opex_sources!H151)</f>
        <v>0.7407407407407407</v>
      </c>
      <c r="I242" s="195">
        <f t="shared" si="23"/>
        <v>0.8905021173623715</v>
      </c>
      <c r="J242" s="219">
        <f>opex_orig!$AB$125</f>
        <v>1.48073809005072E-2</v>
      </c>
      <c r="K242" s="286">
        <f>opex_orig!$AB$125*I242+L226</f>
        <v>1.7420728787384515E-2</v>
      </c>
      <c r="L242" s="286">
        <f>K242-L226</f>
        <v>1.3186004044492803E-2</v>
      </c>
      <c r="M242" s="219">
        <f t="shared" si="28"/>
        <v>2.1949485145702115E-2</v>
      </c>
    </row>
    <row r="243" spans="1:16" ht="15" customHeight="1" x14ac:dyDescent="0.25">
      <c r="A243" s="2" t="s">
        <v>919</v>
      </c>
      <c r="B243" s="2" t="s">
        <v>139</v>
      </c>
      <c r="C243" s="2" t="s">
        <v>738</v>
      </c>
      <c r="D243" s="2" t="s">
        <v>819</v>
      </c>
      <c r="E243" s="15" t="s">
        <v>335</v>
      </c>
      <c r="F243" s="255" t="s">
        <v>249</v>
      </c>
      <c r="G243" s="256">
        <f>opex_sources!H151/(opex_sources!H143+0*opex_sources!H151+0*opex_sources!H159)</f>
        <v>1.2021778584392016</v>
      </c>
      <c r="H243" s="256">
        <f>opex_sources!H151/(opex_sources!H148+opex_sources!H151)</f>
        <v>0.7407407407407407</v>
      </c>
      <c r="I243" s="256">
        <f t="shared" si="23"/>
        <v>0.8905021173623715</v>
      </c>
      <c r="J243" s="257">
        <f>opex_orig!$AB$129</f>
        <v>8.6195502111505104E-3</v>
      </c>
      <c r="K243" s="286">
        <f>opex_orig!$AB$129*I243+L227</f>
        <v>1.1910452456632518E-2</v>
      </c>
      <c r="L243" s="286">
        <f>K243-L227</f>
        <v>7.6757277137408063E-3</v>
      </c>
      <c r="M243" s="257">
        <f t="shared" ref="M243:M244" si="30">K243/$K$249*$J$249</f>
        <v>1.5006737230463283E-2</v>
      </c>
    </row>
    <row r="244" spans="1:16" ht="15" customHeight="1" x14ac:dyDescent="0.25">
      <c r="A244" s="2" t="s">
        <v>919</v>
      </c>
      <c r="B244" s="2" t="s">
        <v>139</v>
      </c>
      <c r="C244" s="2" t="s">
        <v>738</v>
      </c>
      <c r="D244" s="2" t="s">
        <v>819</v>
      </c>
      <c r="E244" s="15" t="s">
        <v>335</v>
      </c>
      <c r="F244" s="194" t="s">
        <v>259</v>
      </c>
      <c r="G244" s="198">
        <f>opex_sources!H151/(opex_sources!H143+0*opex_sources!H151+0*opex_sources!H159)</f>
        <v>1.2021778584392016</v>
      </c>
      <c r="H244" s="198">
        <f>opex_sources!H151/opex_sources!H151</f>
        <v>1</v>
      </c>
      <c r="I244" s="198">
        <f t="shared" si="23"/>
        <v>1.2021778584392016</v>
      </c>
      <c r="J244" s="208">
        <f>opex_orig!$AB$134</f>
        <v>8.53981541354361E-3</v>
      </c>
      <c r="K244" s="208">
        <f>opex_orig!$AB$134*I244</f>
        <v>1.0266377005319941E-2</v>
      </c>
      <c r="L244" s="208">
        <f t="shared" ref="L244" si="31">K244*H244</f>
        <v>1.0266377005319941E-2</v>
      </c>
      <c r="M244" s="208">
        <f t="shared" si="30"/>
        <v>1.2935261912901851E-2</v>
      </c>
    </row>
    <row r="245" spans="1:16" ht="15" customHeight="1" x14ac:dyDescent="0.25">
      <c r="A245" s="2" t="s">
        <v>919</v>
      </c>
      <c r="B245" s="2" t="s">
        <v>139</v>
      </c>
      <c r="C245" s="2" t="s">
        <v>738</v>
      </c>
      <c r="D245" s="2" t="s">
        <v>819</v>
      </c>
      <c r="E245" s="15" t="s">
        <v>335</v>
      </c>
      <c r="F245" s="241" t="s">
        <v>372</v>
      </c>
      <c r="G245" s="203">
        <f>opex_sources!H151/(opex_sources!H143+0*opex_sources!H151+0*opex_sources!H159)</f>
        <v>1.2021778584392016</v>
      </c>
      <c r="H245" s="203">
        <f>opex_sources!H151/opex_sources!H151</f>
        <v>1</v>
      </c>
      <c r="I245" s="203">
        <f t="shared" si="23"/>
        <v>1.2021778584392016</v>
      </c>
      <c r="J245" s="227">
        <f>opex_orig!$AB$169</f>
        <v>2.0894772559803799E-3</v>
      </c>
      <c r="K245" s="227">
        <f>opex_orig!$AB$169*I245</f>
        <v>2.5119232928519125E-3</v>
      </c>
      <c r="L245" s="227">
        <f t="shared" si="25"/>
        <v>2.5119232928519125E-3</v>
      </c>
      <c r="M245" s="227">
        <f>K245/$K$249*$J$249</f>
        <v>3.1649320574649751E-3</v>
      </c>
    </row>
    <row r="246" spans="1:16" ht="15" customHeight="1" x14ac:dyDescent="0.25">
      <c r="A246" s="2" t="s">
        <v>919</v>
      </c>
      <c r="B246" s="2" t="s">
        <v>139</v>
      </c>
      <c r="C246" s="2" t="s">
        <v>738</v>
      </c>
      <c r="D246" s="2" t="s">
        <v>819</v>
      </c>
      <c r="E246" s="15" t="s">
        <v>335</v>
      </c>
      <c r="F246" s="241" t="s">
        <v>373</v>
      </c>
      <c r="G246" s="203">
        <f>opex_sources!H151/(opex_sources!H143+0*opex_sources!H151+0*opex_sources!H159)</f>
        <v>1.2021778584392016</v>
      </c>
      <c r="H246" s="203">
        <f>opex_sources!H151/opex_sources!H151</f>
        <v>1</v>
      </c>
      <c r="I246" s="203">
        <f t="shared" si="23"/>
        <v>1.2021778584392016</v>
      </c>
      <c r="J246" s="227">
        <f>opex_orig!$AB$170</f>
        <v>1.9118201818306101E-2</v>
      </c>
      <c r="K246" s="227">
        <f>opex_orig!$AB$170*I246</f>
        <v>2.2983478919139679E-2</v>
      </c>
      <c r="L246" s="227">
        <f t="shared" si="25"/>
        <v>2.2983478919139679E-2</v>
      </c>
      <c r="M246" s="227">
        <f>K246/$K$249*$J$249</f>
        <v>2.8958348143134957E-2</v>
      </c>
    </row>
    <row r="247" spans="1:16" ht="15" customHeight="1" x14ac:dyDescent="0.25">
      <c r="A247" s="2" t="s">
        <v>919</v>
      </c>
      <c r="B247" s="2" t="s">
        <v>139</v>
      </c>
      <c r="C247" s="2" t="s">
        <v>738</v>
      </c>
      <c r="D247" s="2" t="s">
        <v>819</v>
      </c>
      <c r="E247" s="15" t="s">
        <v>335</v>
      </c>
      <c r="F247" s="241" t="s">
        <v>374</v>
      </c>
      <c r="G247" s="203">
        <f>opex_sources!H151/(opex_sources!H143+0*opex_sources!H151+0*opex_sources!H159)</f>
        <v>1.2021778584392016</v>
      </c>
      <c r="H247" s="203">
        <f>opex_sources!H151/opex_sources!H151</f>
        <v>1</v>
      </c>
      <c r="I247" s="203">
        <f t="shared" si="23"/>
        <v>1.2021778584392016</v>
      </c>
      <c r="J247" s="227">
        <f>opex_orig!$AB$171</f>
        <v>1.55030910219837E-2</v>
      </c>
      <c r="K247" s="227">
        <f>opex_orig!$AB$171*I247</f>
        <v>1.8637472763996375E-2</v>
      </c>
      <c r="L247" s="227">
        <f t="shared" si="25"/>
        <v>1.8637472763996375E-2</v>
      </c>
      <c r="M247" s="227">
        <f>K247/$K$249*$J$249</f>
        <v>2.3482538335767546E-2</v>
      </c>
    </row>
    <row r="248" spans="1:16" ht="15" customHeight="1" x14ac:dyDescent="0.25">
      <c r="A248" s="2" t="s">
        <v>919</v>
      </c>
      <c r="B248" s="2" t="s">
        <v>139</v>
      </c>
      <c r="C248" s="2" t="s">
        <v>738</v>
      </c>
      <c r="D248" s="2" t="s">
        <v>819</v>
      </c>
      <c r="E248" s="15" t="s">
        <v>404</v>
      </c>
      <c r="F248" s="240" t="s">
        <v>375</v>
      </c>
      <c r="G248" s="202">
        <f>opex_sources!H152/(opex_sources!H144+0*opex_sources!H152+0*opex_sources!H160)</f>
        <v>1.2335780263835092</v>
      </c>
      <c r="H248" s="202">
        <f>opex_sources!H152/opex_sources!H152</f>
        <v>1</v>
      </c>
      <c r="I248" s="202">
        <f t="shared" si="23"/>
        <v>1.2335780263835092</v>
      </c>
      <c r="J248" s="239">
        <f>opex_orig!$AB$172</f>
        <v>1.6966862703751199E-2</v>
      </c>
      <c r="K248" s="239">
        <f>opex_orig!$AB$172*I248</f>
        <v>2.0929949008013374E-2</v>
      </c>
      <c r="L248" s="239">
        <f t="shared" si="25"/>
        <v>2.0929949008013374E-2</v>
      </c>
      <c r="M248" s="239">
        <f>K248/$K$249*$J$249</f>
        <v>2.6370975087125798E-2</v>
      </c>
      <c r="N248" s="187">
        <f>opex_sources!H152</f>
        <v>0.13309134906231096</v>
      </c>
      <c r="O248" s="187">
        <f>L248/L$249</f>
        <v>2.9684242619711771E-2</v>
      </c>
      <c r="P248" s="15" t="s">
        <v>404</v>
      </c>
    </row>
    <row r="249" spans="1:16" ht="15" customHeight="1" x14ac:dyDescent="0.25">
      <c r="A249" s="2" t="s">
        <v>919</v>
      </c>
      <c r="B249" s="24" t="s">
        <v>139</v>
      </c>
      <c r="C249" s="24" t="s">
        <v>738</v>
      </c>
      <c r="D249" s="24" t="s">
        <v>819</v>
      </c>
      <c r="E249" s="31" t="s">
        <v>346</v>
      </c>
      <c r="F249" s="19"/>
      <c r="G249" s="184"/>
      <c r="H249" s="184"/>
      <c r="I249" s="184"/>
      <c r="J249" s="221">
        <f>SUM(J205:J230,J234:J235,J237,J244:J248)</f>
        <v>0.88860407075759162</v>
      </c>
      <c r="K249" s="221">
        <f>SUM(K205:K230,K234:K235,K237,K244:K248)</f>
        <v>0.70526166847539828</v>
      </c>
      <c r="L249" s="221">
        <f>SUM(L205:L248)</f>
        <v>0.70508617235579651</v>
      </c>
      <c r="M249" s="221">
        <f>SUM(M205:M230,M234:M235,M237,M244:M248)</f>
        <v>0.88860407075759185</v>
      </c>
      <c r="N249" s="277">
        <f>SUM(N205:N248)</f>
        <v>1</v>
      </c>
      <c r="O249" s="277">
        <f>SUM(O205:O248)</f>
        <v>1</v>
      </c>
    </row>
    <row r="250" spans="1:16" ht="15" customHeight="1" x14ac:dyDescent="0.25">
      <c r="A250" s="2" t="s">
        <v>919</v>
      </c>
      <c r="B250" s="2" t="s">
        <v>139</v>
      </c>
      <c r="C250" s="2" t="s">
        <v>748</v>
      </c>
      <c r="D250" s="2" t="s">
        <v>820</v>
      </c>
      <c r="E250" s="15" t="s">
        <v>961</v>
      </c>
      <c r="F250" s="258" t="s">
        <v>227</v>
      </c>
      <c r="G250" s="237">
        <f>opex_sources!H154/(opex_sources!H138+0*opex_sources!H146+0*opex_sources!H154)</f>
        <v>0.68166849615806813</v>
      </c>
      <c r="H250" s="237">
        <f>opex_sources!H154/(opex_sources!H154+opex_sources!H158)</f>
        <v>0.41623309053069718</v>
      </c>
      <c r="I250" s="237">
        <f t="shared" ref="I250:I292" si="32">G250*H250</f>
        <v>0.28373298487328535</v>
      </c>
      <c r="J250" s="238">
        <f>opex_orig!$AB$118</f>
        <v>0.240626506061244</v>
      </c>
      <c r="K250" s="286">
        <f>opex_orig!$AB$118*I250+L276+L281</f>
        <v>0.10610412117606793</v>
      </c>
      <c r="L250" s="286">
        <f>K250-L276</f>
        <v>6.8273676804386452E-2</v>
      </c>
      <c r="M250" s="238">
        <f t="shared" ref="M250:M293" si="33">K250/$K$294*$J$294</f>
        <v>0.12249190477104857</v>
      </c>
      <c r="N250" s="187">
        <f>opex_sources!H154</f>
        <v>0.21953896816684962</v>
      </c>
      <c r="O250" s="187">
        <f>SUM(L250:L252)/L$294</f>
        <v>0.24035592379115592</v>
      </c>
      <c r="P250" s="15" t="s">
        <v>404</v>
      </c>
    </row>
    <row r="251" spans="1:16" ht="15" customHeight="1" x14ac:dyDescent="0.25">
      <c r="A251" s="2" t="s">
        <v>919</v>
      </c>
      <c r="B251" s="2" t="s">
        <v>139</v>
      </c>
      <c r="C251" s="2" t="s">
        <v>748</v>
      </c>
      <c r="D251" s="2" t="s">
        <v>820</v>
      </c>
      <c r="E251" s="15" t="s">
        <v>961</v>
      </c>
      <c r="F251" s="264" t="s">
        <v>231</v>
      </c>
      <c r="G251" s="230">
        <f>opex_sources!H154/(opex_sources!H138+0*opex_sources!H146+0*opex_sources!H154)</f>
        <v>0.68166849615806813</v>
      </c>
      <c r="H251" s="230">
        <f>opex_sources!H154/(opex_sources!H154+opex_sources!H158)</f>
        <v>0.41623309053069718</v>
      </c>
      <c r="I251" s="230">
        <f t="shared" si="32"/>
        <v>0.28373298487328535</v>
      </c>
      <c r="J251" s="231">
        <f>opex_orig!$AB$120</f>
        <v>0.357646054898278</v>
      </c>
      <c r="K251" s="286">
        <f>opex_orig!$AB$120*I251+L277+L283</f>
        <v>0.13930642705612478</v>
      </c>
      <c r="L251" s="286">
        <f t="shared" ref="L251" si="34">K251-L277</f>
        <v>0.1014759826844433</v>
      </c>
      <c r="M251" s="231">
        <f t="shared" si="33"/>
        <v>0.16082230744495032</v>
      </c>
    </row>
    <row r="252" spans="1:16" ht="15" customHeight="1" x14ac:dyDescent="0.25">
      <c r="A252" s="2" t="s">
        <v>919</v>
      </c>
      <c r="B252" s="2" t="s">
        <v>139</v>
      </c>
      <c r="C252" s="2" t="s">
        <v>748</v>
      </c>
      <c r="D252" s="2" t="s">
        <v>820</v>
      </c>
      <c r="E252" s="15" t="s">
        <v>961</v>
      </c>
      <c r="F252" s="281" t="s">
        <v>233</v>
      </c>
      <c r="G252" s="289">
        <f>opex_sources!H154/(opex_sources!H138+0*opex_sources!H146+0*opex_sources!H154)</f>
        <v>0.68166849615806813</v>
      </c>
      <c r="H252" s="289">
        <f>opex_sources!H154/(opex_sources!H154+opex_sources!H158)</f>
        <v>0.41623309053069718</v>
      </c>
      <c r="I252" s="289">
        <f t="shared" si="32"/>
        <v>0.28373298487328535</v>
      </c>
      <c r="J252" s="226">
        <f>opex_orig!$AB$121</f>
        <v>5.3624669526973701E-2</v>
      </c>
      <c r="K252" s="286">
        <f>opex_orig!$AB$121*I252+L278+L284</f>
        <v>5.3045531919413247E-2</v>
      </c>
      <c r="L252" s="286">
        <f>K252-L278</f>
        <v>1.5215087547731758E-2</v>
      </c>
      <c r="M252" s="226">
        <f t="shared" si="33"/>
        <v>6.1238415363907159E-2</v>
      </c>
    </row>
    <row r="253" spans="1:16" ht="15" customHeight="1" x14ac:dyDescent="0.25">
      <c r="A253" s="2" t="s">
        <v>919</v>
      </c>
      <c r="B253" s="2" t="s">
        <v>139</v>
      </c>
      <c r="C253" s="2" t="s">
        <v>748</v>
      </c>
      <c r="D253" s="2" t="s">
        <v>820</v>
      </c>
      <c r="E253" s="15" t="s">
        <v>836</v>
      </c>
      <c r="F253" s="259" t="s">
        <v>2</v>
      </c>
      <c r="G253" s="260">
        <f>opex_sources!H155/(opex_sources!H139+0*opex_sources!H147+0*opex_sources!H155)</f>
        <v>23.347145993413832</v>
      </c>
      <c r="H253" s="260">
        <f>opex_sources!H155/opex_sources!H155</f>
        <v>1</v>
      </c>
      <c r="I253" s="260">
        <f t="shared" ref="I253:I293" si="35">G253*H253</f>
        <v>23.347145993413832</v>
      </c>
      <c r="J253" s="261">
        <f>opex_orig!$AB$97</f>
        <v>2.4474877346843799E-4</v>
      </c>
      <c r="K253" s="261">
        <f>opex_orig!$AB$97*I253</f>
        <v>5.7141853458765914E-3</v>
      </c>
      <c r="L253" s="261">
        <f t="shared" ref="L253:L290" si="36">K253*H253</f>
        <v>5.7141853458765914E-3</v>
      </c>
      <c r="M253" s="261">
        <f t="shared" si="33"/>
        <v>6.5967413845289006E-3</v>
      </c>
      <c r="N253" s="187">
        <f>opex_sources!H155</f>
        <v>0.22557628979143798</v>
      </c>
      <c r="O253" s="187">
        <f>SUM(L253:L268)/L$294</f>
        <v>4.4005585450849337E-2</v>
      </c>
      <c r="P253" s="15" t="s">
        <v>836</v>
      </c>
    </row>
    <row r="254" spans="1:16" ht="15" customHeight="1" x14ac:dyDescent="0.25">
      <c r="A254" s="2" t="s">
        <v>919</v>
      </c>
      <c r="B254" s="2" t="s">
        <v>139</v>
      </c>
      <c r="C254" s="2" t="s">
        <v>748</v>
      </c>
      <c r="D254" s="2" t="s">
        <v>820</v>
      </c>
      <c r="E254" s="15" t="s">
        <v>836</v>
      </c>
      <c r="F254" s="259" t="s">
        <v>4</v>
      </c>
      <c r="G254" s="260">
        <f>opex_sources!H155/(opex_sources!H139+0*opex_sources!H147+0*opex_sources!H155)</f>
        <v>23.347145993413832</v>
      </c>
      <c r="H254" s="260">
        <f>opex_sources!H155/opex_sources!H155</f>
        <v>1</v>
      </c>
      <c r="I254" s="260">
        <f t="shared" si="32"/>
        <v>23.347145993413832</v>
      </c>
      <c r="J254" s="261">
        <f>opex_orig!$AB$98</f>
        <v>2.2462004639810701E-5</v>
      </c>
      <c r="K254" s="261">
        <f>opex_orig!$AB$98*I254</f>
        <v>5.2442370163039928E-4</v>
      </c>
      <c r="L254" s="261">
        <f t="shared" ref="L254:L293" si="37">K254*H254</f>
        <v>5.2442370163039928E-4</v>
      </c>
      <c r="M254" s="261">
        <f t="shared" si="33"/>
        <v>6.0542095262441724E-4</v>
      </c>
    </row>
    <row r="255" spans="1:16" ht="15" customHeight="1" x14ac:dyDescent="0.25">
      <c r="A255" s="2" t="s">
        <v>919</v>
      </c>
      <c r="B255" s="2" t="s">
        <v>139</v>
      </c>
      <c r="C255" s="2" t="s">
        <v>748</v>
      </c>
      <c r="D255" s="2" t="s">
        <v>820</v>
      </c>
      <c r="E255" s="15" t="s">
        <v>836</v>
      </c>
      <c r="F255" s="259" t="s">
        <v>6</v>
      </c>
      <c r="G255" s="260">
        <f>opex_sources!H155/(opex_sources!H139+0*opex_sources!H147+0*opex_sources!H155)</f>
        <v>23.347145993413832</v>
      </c>
      <c r="H255" s="260">
        <f>opex_sources!H155/opex_sources!H155</f>
        <v>1</v>
      </c>
      <c r="I255" s="260">
        <f t="shared" si="32"/>
        <v>23.347145993413832</v>
      </c>
      <c r="J255" s="261">
        <f>opex_orig!$AB$99</f>
        <v>2.9041342622646802E-4</v>
      </c>
      <c r="K255" s="261">
        <f>opex_orig!$AB$99*I255</f>
        <v>6.780324660556866E-3</v>
      </c>
      <c r="L255" s="261">
        <f t="shared" si="37"/>
        <v>6.780324660556866E-3</v>
      </c>
      <c r="M255" s="261">
        <f t="shared" si="33"/>
        <v>7.8275459372548206E-3</v>
      </c>
    </row>
    <row r="256" spans="1:16" ht="15" customHeight="1" x14ac:dyDescent="0.25">
      <c r="A256" s="2" t="s">
        <v>919</v>
      </c>
      <c r="B256" s="2" t="s">
        <v>139</v>
      </c>
      <c r="C256" s="2" t="s">
        <v>748</v>
      </c>
      <c r="D256" s="2" t="s">
        <v>820</v>
      </c>
      <c r="E256" s="15" t="s">
        <v>836</v>
      </c>
      <c r="F256" s="259" t="s">
        <v>8</v>
      </c>
      <c r="G256" s="260">
        <f>opex_sources!H155/(opex_sources!H139+0*opex_sources!H147+0*opex_sources!H155)</f>
        <v>23.347145993413832</v>
      </c>
      <c r="H256" s="260">
        <f>opex_sources!H155/opex_sources!H155</f>
        <v>1</v>
      </c>
      <c r="I256" s="260">
        <f t="shared" si="32"/>
        <v>23.347145993413832</v>
      </c>
      <c r="J256" s="261">
        <f>opex_orig!$AB$100</f>
        <v>2.0023637119714199E-5</v>
      </c>
      <c r="K256" s="261">
        <f>opex_orig!$AB$100*I256</f>
        <v>4.6749477915310786E-4</v>
      </c>
      <c r="L256" s="261">
        <f t="shared" si="37"/>
        <v>4.6749477915310786E-4</v>
      </c>
      <c r="M256" s="261">
        <f t="shared" si="33"/>
        <v>5.3969935695486436E-4</v>
      </c>
    </row>
    <row r="257" spans="1:13" ht="15" customHeight="1" x14ac:dyDescent="0.25">
      <c r="A257" s="2" t="s">
        <v>919</v>
      </c>
      <c r="B257" s="2" t="s">
        <v>139</v>
      </c>
      <c r="C257" s="2" t="s">
        <v>748</v>
      </c>
      <c r="D257" s="2" t="s">
        <v>820</v>
      </c>
      <c r="E257" s="15" t="s">
        <v>836</v>
      </c>
      <c r="F257" s="259" t="s">
        <v>342</v>
      </c>
      <c r="G257" s="260">
        <f>opex_sources!H155/(opex_sources!H139+0*opex_sources!H147+0*opex_sources!H155)</f>
        <v>23.347145993413832</v>
      </c>
      <c r="H257" s="260">
        <f>opex_sources!H155/opex_sources!H155</f>
        <v>1</v>
      </c>
      <c r="I257" s="260">
        <f t="shared" si="35"/>
        <v>23.347145993413832</v>
      </c>
      <c r="J257" s="261">
        <f>opex_orig!$AB$101</f>
        <v>1.37298155196492E-5</v>
      </c>
      <c r="K257" s="261">
        <f>opex_orig!$AB$101*I257</f>
        <v>3.2055200739988891E-4</v>
      </c>
      <c r="L257" s="261">
        <f t="shared" si="36"/>
        <v>3.2055200739988891E-4</v>
      </c>
      <c r="M257" s="261">
        <f t="shared" si="33"/>
        <v>3.7006127122470316E-4</v>
      </c>
    </row>
    <row r="258" spans="1:13" ht="15" customHeight="1" x14ac:dyDescent="0.25">
      <c r="A258" s="2" t="s">
        <v>919</v>
      </c>
      <c r="B258" s="2" t="s">
        <v>139</v>
      </c>
      <c r="C258" s="2" t="s">
        <v>748</v>
      </c>
      <c r="D258" s="2" t="s">
        <v>820</v>
      </c>
      <c r="E258" s="15" t="s">
        <v>836</v>
      </c>
      <c r="F258" s="259" t="s">
        <v>343</v>
      </c>
      <c r="G258" s="260">
        <f>opex_sources!H155/(opex_sources!H139+0*opex_sources!H147+0*opex_sources!H155)</f>
        <v>23.347145993413832</v>
      </c>
      <c r="H258" s="260">
        <f>opex_sources!H155/opex_sources!H155</f>
        <v>1</v>
      </c>
      <c r="I258" s="260">
        <f t="shared" si="32"/>
        <v>23.347145993413832</v>
      </c>
      <c r="J258" s="261">
        <f>opex_orig!$AB$102</f>
        <v>5.3072151691515202E-8</v>
      </c>
      <c r="K258" s="261">
        <f>opex_orig!$AB$102*I258</f>
        <v>1.2390832737264103E-6</v>
      </c>
      <c r="L258" s="261">
        <f t="shared" si="37"/>
        <v>1.2390832737264103E-6</v>
      </c>
      <c r="M258" s="261">
        <f t="shared" si="33"/>
        <v>1.4304597096359383E-6</v>
      </c>
    </row>
    <row r="259" spans="1:13" ht="15" customHeight="1" x14ac:dyDescent="0.25">
      <c r="A259" s="2" t="s">
        <v>919</v>
      </c>
      <c r="B259" s="2" t="s">
        <v>139</v>
      </c>
      <c r="C259" s="2" t="s">
        <v>748</v>
      </c>
      <c r="D259" s="2" t="s">
        <v>820</v>
      </c>
      <c r="E259" s="15" t="s">
        <v>836</v>
      </c>
      <c r="F259" s="259" t="s">
        <v>10</v>
      </c>
      <c r="G259" s="260">
        <f>opex_sources!H155/(opex_sources!H139+0*opex_sources!H147+0*opex_sources!H155)</f>
        <v>23.347145993413832</v>
      </c>
      <c r="H259" s="260">
        <f>opex_sources!H155/opex_sources!H155</f>
        <v>1</v>
      </c>
      <c r="I259" s="260">
        <f t="shared" si="32"/>
        <v>23.347145993413832</v>
      </c>
      <c r="J259" s="261">
        <f>opex_orig!$AB$103</f>
        <v>1.0694007351382899E-5</v>
      </c>
      <c r="K259" s="261">
        <f>opex_orig!$AB$103*I259</f>
        <v>2.4967455088737735E-4</v>
      </c>
      <c r="L259" s="261">
        <f t="shared" si="37"/>
        <v>2.4967455088737735E-4</v>
      </c>
      <c r="M259" s="261">
        <f t="shared" si="33"/>
        <v>2.8823679016483903E-4</v>
      </c>
    </row>
    <row r="260" spans="1:13" ht="15" customHeight="1" x14ac:dyDescent="0.25">
      <c r="A260" s="2" t="s">
        <v>919</v>
      </c>
      <c r="B260" s="2" t="s">
        <v>139</v>
      </c>
      <c r="C260" s="2" t="s">
        <v>748</v>
      </c>
      <c r="D260" s="2" t="s">
        <v>820</v>
      </c>
      <c r="E260" s="15" t="s">
        <v>836</v>
      </c>
      <c r="F260" s="259" t="s">
        <v>12</v>
      </c>
      <c r="G260" s="260">
        <f>opex_sources!H155/(opex_sources!H139+0*opex_sources!H147+0*opex_sources!H155)</f>
        <v>23.347145993413832</v>
      </c>
      <c r="H260" s="260">
        <f>opex_sources!H155/opex_sources!H155</f>
        <v>1</v>
      </c>
      <c r="I260" s="260">
        <f t="shared" si="32"/>
        <v>23.347145993413832</v>
      </c>
      <c r="J260" s="261">
        <f>opex_orig!$AB$104</f>
        <v>6.1171648027476502E-5</v>
      </c>
      <c r="K260" s="261">
        <f>opex_orig!$AB$104*I260</f>
        <v>1.4281833971552193E-3</v>
      </c>
      <c r="L260" s="261">
        <f t="shared" si="37"/>
        <v>1.4281833971552193E-3</v>
      </c>
      <c r="M260" s="261">
        <f t="shared" si="33"/>
        <v>1.6487663508341478E-3</v>
      </c>
    </row>
    <row r="261" spans="1:13" ht="15" customHeight="1" x14ac:dyDescent="0.25">
      <c r="A261" s="2" t="s">
        <v>919</v>
      </c>
      <c r="B261" s="2" t="s">
        <v>139</v>
      </c>
      <c r="C261" s="2" t="s">
        <v>748</v>
      </c>
      <c r="D261" s="2" t="s">
        <v>820</v>
      </c>
      <c r="E261" s="15" t="s">
        <v>836</v>
      </c>
      <c r="F261" s="259" t="s">
        <v>340</v>
      </c>
      <c r="G261" s="260">
        <f>opex_sources!H155/(opex_sources!H139+0*opex_sources!H147+0*opex_sources!H155)</f>
        <v>23.347145993413832</v>
      </c>
      <c r="H261" s="260">
        <f>opex_sources!H155/opex_sources!H155</f>
        <v>1</v>
      </c>
      <c r="I261" s="260">
        <f t="shared" si="35"/>
        <v>23.347145993413832</v>
      </c>
      <c r="J261" s="261">
        <f>opex_orig!$AB$105</f>
        <v>9.8509742840008501E-6</v>
      </c>
      <c r="K261" s="261">
        <f>opex_orig!$AB$105*I261</f>
        <v>2.2999213478593314E-4</v>
      </c>
      <c r="L261" s="261">
        <f t="shared" si="36"/>
        <v>2.2999213478593314E-4</v>
      </c>
      <c r="M261" s="261">
        <f t="shared" si="33"/>
        <v>2.6551442451080781E-4</v>
      </c>
    </row>
    <row r="262" spans="1:13" ht="15" customHeight="1" x14ac:dyDescent="0.25">
      <c r="A262" s="2" t="s">
        <v>919</v>
      </c>
      <c r="B262" s="2" t="s">
        <v>139</v>
      </c>
      <c r="C262" s="2" t="s">
        <v>748</v>
      </c>
      <c r="D262" s="2" t="s">
        <v>820</v>
      </c>
      <c r="E262" s="15" t="s">
        <v>836</v>
      </c>
      <c r="F262" s="259" t="s">
        <v>341</v>
      </c>
      <c r="G262" s="260">
        <f>opex_sources!H155/(opex_sources!H139+0*opex_sources!H147+0*opex_sources!H155)</f>
        <v>23.347145993413832</v>
      </c>
      <c r="H262" s="260">
        <f>opex_sources!H155/opex_sources!H155</f>
        <v>1</v>
      </c>
      <c r="I262" s="260">
        <f t="shared" si="32"/>
        <v>23.347145993413832</v>
      </c>
      <c r="J262" s="261">
        <f>opex_orig!$AB$106</f>
        <v>3.2366965306455799E-6</v>
      </c>
      <c r="K262" s="261">
        <f>opex_orig!$AB$106*I262</f>
        <v>7.5567626437358397E-5</v>
      </c>
      <c r="L262" s="261">
        <f t="shared" si="37"/>
        <v>7.5567626437358397E-5</v>
      </c>
      <c r="M262" s="261">
        <f t="shared" si="33"/>
        <v>8.7239047821517494E-5</v>
      </c>
    </row>
    <row r="263" spans="1:13" ht="15" customHeight="1" x14ac:dyDescent="0.25">
      <c r="A263" s="2" t="s">
        <v>919</v>
      </c>
      <c r="B263" s="2" t="s">
        <v>139</v>
      </c>
      <c r="C263" s="2" t="s">
        <v>748</v>
      </c>
      <c r="D263" s="2" t="s">
        <v>820</v>
      </c>
      <c r="E263" s="15" t="s">
        <v>836</v>
      </c>
      <c r="F263" s="259" t="s">
        <v>14</v>
      </c>
      <c r="G263" s="260">
        <f>opex_sources!H155/(opex_sources!H139+0*opex_sources!H147+0*opex_sources!H155)</f>
        <v>23.347145993413832</v>
      </c>
      <c r="H263" s="260">
        <f>opex_sources!H155/opex_sources!H155</f>
        <v>1</v>
      </c>
      <c r="I263" s="260">
        <f t="shared" si="32"/>
        <v>23.347145993413832</v>
      </c>
      <c r="J263" s="261">
        <f>opex_orig!$AB$107</f>
        <v>1.51912372898467E-9</v>
      </c>
      <c r="K263" s="261">
        <f>opex_orig!$AB$107*I263</f>
        <v>3.5467203482664319E-8</v>
      </c>
      <c r="L263" s="261">
        <f t="shared" si="37"/>
        <v>3.5467203482664319E-8</v>
      </c>
      <c r="M263" s="261">
        <f t="shared" si="33"/>
        <v>4.0945113755617446E-8</v>
      </c>
    </row>
    <row r="264" spans="1:13" ht="15" customHeight="1" x14ac:dyDescent="0.25">
      <c r="A264" s="2" t="s">
        <v>919</v>
      </c>
      <c r="B264" s="2" t="s">
        <v>139</v>
      </c>
      <c r="C264" s="2" t="s">
        <v>748</v>
      </c>
      <c r="D264" s="2" t="s">
        <v>820</v>
      </c>
      <c r="E264" s="15" t="s">
        <v>836</v>
      </c>
      <c r="F264" s="259" t="s">
        <v>16</v>
      </c>
      <c r="G264" s="260">
        <f>opex_sources!H155/(opex_sources!H139+0*opex_sources!H147+0*opex_sources!H155)</f>
        <v>23.347145993413832</v>
      </c>
      <c r="H264" s="260">
        <f>opex_sources!H155/opex_sources!H155</f>
        <v>1</v>
      </c>
      <c r="I264" s="260">
        <f t="shared" si="32"/>
        <v>23.347145993413832</v>
      </c>
      <c r="J264" s="261">
        <f>opex_orig!$AB$108</f>
        <v>9.9952413843299992E-10</v>
      </c>
      <c r="K264" s="261">
        <f>opex_orig!$AB$108*I264</f>
        <v>2.3336035983936427E-8</v>
      </c>
      <c r="L264" s="261">
        <f t="shared" si="37"/>
        <v>2.3336035983936427E-8</v>
      </c>
      <c r="M264" s="261">
        <f t="shared" si="33"/>
        <v>2.6940287198974889E-8</v>
      </c>
    </row>
    <row r="265" spans="1:13" ht="15" customHeight="1" x14ac:dyDescent="0.25">
      <c r="A265" s="2" t="s">
        <v>919</v>
      </c>
      <c r="B265" s="2" t="s">
        <v>139</v>
      </c>
      <c r="C265" s="2" t="s">
        <v>748</v>
      </c>
      <c r="D265" s="2" t="s">
        <v>820</v>
      </c>
      <c r="E265" s="15" t="s">
        <v>836</v>
      </c>
      <c r="F265" s="259" t="s">
        <v>18</v>
      </c>
      <c r="G265" s="260">
        <f>opex_sources!H155/(opex_sources!H139+0*opex_sources!H147+0*opex_sources!H155)</f>
        <v>23.347145993413832</v>
      </c>
      <c r="H265" s="260">
        <f>opex_sources!H155/opex_sources!H155</f>
        <v>1</v>
      </c>
      <c r="I265" s="260">
        <f t="shared" si="35"/>
        <v>23.347145993413832</v>
      </c>
      <c r="J265" s="261">
        <f>opex_orig!$AB$109</f>
        <v>1.11890862601421E-7</v>
      </c>
      <c r="K265" s="261">
        <f>opex_orig!$AB$109*I265</f>
        <v>2.6123323044843837E-6</v>
      </c>
      <c r="L265" s="261">
        <f t="shared" si="36"/>
        <v>2.6123323044843837E-6</v>
      </c>
      <c r="M265" s="261">
        <f t="shared" si="33"/>
        <v>3.0158070801062296E-6</v>
      </c>
    </row>
    <row r="266" spans="1:13" ht="15" customHeight="1" x14ac:dyDescent="0.25">
      <c r="A266" s="2" t="s">
        <v>919</v>
      </c>
      <c r="B266" s="2" t="s">
        <v>139</v>
      </c>
      <c r="C266" s="2" t="s">
        <v>748</v>
      </c>
      <c r="D266" s="2" t="s">
        <v>820</v>
      </c>
      <c r="E266" s="15" t="s">
        <v>836</v>
      </c>
      <c r="F266" s="259" t="s">
        <v>20</v>
      </c>
      <c r="G266" s="260">
        <f>opex_sources!H155/(opex_sources!H139+0*opex_sources!H147+0*opex_sources!H155)</f>
        <v>23.347145993413832</v>
      </c>
      <c r="H266" s="260">
        <f>opex_sources!H155/opex_sources!H155</f>
        <v>1</v>
      </c>
      <c r="I266" s="260">
        <f t="shared" si="32"/>
        <v>23.347145993413832</v>
      </c>
      <c r="J266" s="261">
        <f>opex_orig!$AB$110</f>
        <v>1.52739607723571E-5</v>
      </c>
      <c r="K266" s="261">
        <f>opex_orig!$AB$110*I266</f>
        <v>3.5660339204989709E-4</v>
      </c>
      <c r="L266" s="261">
        <f t="shared" si="37"/>
        <v>3.5660339204989709E-4</v>
      </c>
      <c r="M266" s="261">
        <f t="shared" si="33"/>
        <v>4.1168079294040907E-4</v>
      </c>
    </row>
    <row r="267" spans="1:13" ht="15" customHeight="1" x14ac:dyDescent="0.25">
      <c r="A267" s="2" t="s">
        <v>919</v>
      </c>
      <c r="B267" s="2" t="s">
        <v>139</v>
      </c>
      <c r="C267" s="2" t="s">
        <v>748</v>
      </c>
      <c r="D267" s="2" t="s">
        <v>820</v>
      </c>
      <c r="E267" s="15" t="s">
        <v>836</v>
      </c>
      <c r="F267" s="259" t="s">
        <v>213</v>
      </c>
      <c r="G267" s="260">
        <f>opex_sources!H155/(opex_sources!H139+0*opex_sources!H147+0*opex_sources!H155)</f>
        <v>23.347145993413832</v>
      </c>
      <c r="H267" s="260">
        <f>opex_sources!H155/opex_sources!H155</f>
        <v>1</v>
      </c>
      <c r="I267" s="260">
        <f t="shared" si="32"/>
        <v>23.347145993413832</v>
      </c>
      <c r="J267" s="261">
        <f>opex_orig!$AB$111</f>
        <v>1.0946893180591399E-4</v>
      </c>
      <c r="K267" s="261">
        <f>opex_orig!$AB$111*I267</f>
        <v>2.5557871326157369E-3</v>
      </c>
      <c r="L267" s="261">
        <f t="shared" si="37"/>
        <v>2.5557871326157369E-3</v>
      </c>
      <c r="M267" s="261">
        <f t="shared" si="33"/>
        <v>2.9505285053343464E-3</v>
      </c>
    </row>
    <row r="268" spans="1:13" ht="15" customHeight="1" x14ac:dyDescent="0.25">
      <c r="A268" s="2" t="s">
        <v>919</v>
      </c>
      <c r="B268" s="2" t="s">
        <v>139</v>
      </c>
      <c r="C268" s="2" t="s">
        <v>748</v>
      </c>
      <c r="D268" s="2" t="s">
        <v>820</v>
      </c>
      <c r="E268" s="15" t="s">
        <v>836</v>
      </c>
      <c r="F268" s="259" t="s">
        <v>215</v>
      </c>
      <c r="G268" s="260">
        <f>opex_sources!H155/(opex_sources!H139+0*opex_sources!H147+0*opex_sources!H155)</f>
        <v>23.347145993413832</v>
      </c>
      <c r="H268" s="260">
        <f>opex_sources!H155/opex_sources!H155</f>
        <v>1</v>
      </c>
      <c r="I268" s="260">
        <f t="shared" si="32"/>
        <v>23.347145993413832</v>
      </c>
      <c r="J268" s="261">
        <f>opex_orig!$AB$112</f>
        <v>6.4922659236433795E-4</v>
      </c>
      <c r="K268" s="261">
        <f>opex_orig!$AB$112*I268</f>
        <v>1.5157588034736769E-2</v>
      </c>
      <c r="L268" s="261">
        <f>K268*H268</f>
        <v>1.5157588034736769E-2</v>
      </c>
      <c r="M268" s="261">
        <f t="shared" si="33"/>
        <v>1.7498677803747181E-2</v>
      </c>
    </row>
    <row r="269" spans="1:13" ht="15" customHeight="1" x14ac:dyDescent="0.25">
      <c r="A269" s="2" t="s">
        <v>919</v>
      </c>
      <c r="B269" s="2" t="s">
        <v>139</v>
      </c>
      <c r="C269" s="2" t="s">
        <v>748</v>
      </c>
      <c r="D269" s="2" t="s">
        <v>820</v>
      </c>
      <c r="E269" s="303" t="s">
        <v>994</v>
      </c>
      <c r="F269" s="253" t="s">
        <v>237</v>
      </c>
      <c r="G269" s="307"/>
      <c r="H269" s="251">
        <f>0/opex_sources!H159</f>
        <v>0</v>
      </c>
      <c r="I269" s="251">
        <f t="shared" si="32"/>
        <v>0</v>
      </c>
      <c r="J269" s="254">
        <f>opex_orig!$AB$123</f>
        <v>1.4535611744200601E-2</v>
      </c>
      <c r="K269" s="254">
        <f>opex_orig!$AB$123*(I269+I285)</f>
        <v>2.219496966043118E-2</v>
      </c>
      <c r="L269" s="254">
        <f t="shared" ref="L269:L272" si="38">K269*H269</f>
        <v>0</v>
      </c>
      <c r="M269" s="254">
        <f t="shared" si="33"/>
        <v>2.5622983159442628E-2</v>
      </c>
    </row>
    <row r="270" spans="1:13" ht="15" customHeight="1" x14ac:dyDescent="0.25">
      <c r="A270" s="2" t="s">
        <v>919</v>
      </c>
      <c r="B270" s="2" t="s">
        <v>139</v>
      </c>
      <c r="C270" s="2" t="s">
        <v>748</v>
      </c>
      <c r="D270" s="2" t="s">
        <v>820</v>
      </c>
      <c r="E270" s="303" t="s">
        <v>994</v>
      </c>
      <c r="F270" s="191" t="s">
        <v>239</v>
      </c>
      <c r="G270" s="307"/>
      <c r="H270" s="192">
        <f>0/opex_sources!H159</f>
        <v>0</v>
      </c>
      <c r="I270" s="192">
        <f t="shared" si="32"/>
        <v>0</v>
      </c>
      <c r="J270" s="217">
        <f>opex_orig!$AB$124</f>
        <v>5.6700519893351398E-2</v>
      </c>
      <c r="K270" s="217">
        <f>opex_orig!$AB$124*(I270+I286)</f>
        <v>8.657814620466249E-2</v>
      </c>
      <c r="L270" s="217">
        <f t="shared" si="38"/>
        <v>0</v>
      </c>
      <c r="M270" s="217">
        <f t="shared" si="33"/>
        <v>9.9950142582656359E-2</v>
      </c>
    </row>
    <row r="271" spans="1:13" ht="15" customHeight="1" x14ac:dyDescent="0.25">
      <c r="A271" s="2" t="s">
        <v>919</v>
      </c>
      <c r="B271" s="2" t="s">
        <v>139</v>
      </c>
      <c r="C271" s="2" t="s">
        <v>748</v>
      </c>
      <c r="D271" s="2" t="s">
        <v>820</v>
      </c>
      <c r="E271" s="303" t="s">
        <v>994</v>
      </c>
      <c r="F271" s="252" t="s">
        <v>241</v>
      </c>
      <c r="G271" s="307"/>
      <c r="H271" s="195">
        <f>0/opex_sources!H159</f>
        <v>0</v>
      </c>
      <c r="I271" s="195">
        <f t="shared" si="32"/>
        <v>0</v>
      </c>
      <c r="J271" s="219">
        <f>opex_orig!$AB$125</f>
        <v>1.48073809005072E-2</v>
      </c>
      <c r="K271" s="219">
        <f>opex_orig!$AB$125*(I271+I287)</f>
        <v>2.2609944157894111E-2</v>
      </c>
      <c r="L271" s="219">
        <f t="shared" si="38"/>
        <v>0</v>
      </c>
      <c r="M271" s="219">
        <f t="shared" si="33"/>
        <v>2.6102050476171017E-2</v>
      </c>
    </row>
    <row r="272" spans="1:13" ht="15" customHeight="1" x14ac:dyDescent="0.25">
      <c r="A272" s="2" t="s">
        <v>919</v>
      </c>
      <c r="B272" s="2" t="s">
        <v>139</v>
      </c>
      <c r="C272" s="2" t="s">
        <v>748</v>
      </c>
      <c r="D272" s="2" t="s">
        <v>820</v>
      </c>
      <c r="E272" s="303" t="s">
        <v>994</v>
      </c>
      <c r="F272" s="255" t="s">
        <v>249</v>
      </c>
      <c r="G272" s="307"/>
      <c r="H272" s="256">
        <f>0/opex_sources!H159</f>
        <v>0</v>
      </c>
      <c r="I272" s="256">
        <f t="shared" si="32"/>
        <v>0</v>
      </c>
      <c r="J272" s="257">
        <f>opex_orig!$AB$129</f>
        <v>8.6195502111505104E-3</v>
      </c>
      <c r="K272" s="257">
        <f>opex_orig!$AB$129*(I272+I288)</f>
        <v>1.3161513859186395E-2</v>
      </c>
      <c r="L272" s="257">
        <f t="shared" si="38"/>
        <v>0</v>
      </c>
      <c r="M272" s="257">
        <f t="shared" si="33"/>
        <v>1.5194309932665717E-2</v>
      </c>
    </row>
    <row r="273" spans="1:16" ht="15" customHeight="1" x14ac:dyDescent="0.25">
      <c r="A273" s="2" t="s">
        <v>919</v>
      </c>
      <c r="B273" s="2" t="s">
        <v>139</v>
      </c>
      <c r="C273" s="2" t="s">
        <v>748</v>
      </c>
      <c r="D273" s="2" t="s">
        <v>820</v>
      </c>
      <c r="E273" s="286" t="s">
        <v>503</v>
      </c>
      <c r="F273" s="279" t="s">
        <v>53</v>
      </c>
      <c r="G273" s="285"/>
      <c r="H273" s="285">
        <f>opex_sources!H158/opex_sources!H158</f>
        <v>1</v>
      </c>
      <c r="I273" s="285"/>
      <c r="J273" s="224">
        <f>opex_orig!$AB$17</f>
        <v>0</v>
      </c>
      <c r="K273" s="286">
        <f>J273+L273</f>
        <v>6.4804023246320702E-2</v>
      </c>
      <c r="L273" s="287">
        <f>opex_sources!$H$158*$H273/SUM($H$273:$H$278)</f>
        <v>6.4804023246320702E-2</v>
      </c>
      <c r="M273" s="224">
        <f t="shared" si="33"/>
        <v>7.4813005906688212E-2</v>
      </c>
      <c r="N273" s="187">
        <f>opex_sources!H158</f>
        <v>0.30790340285400658</v>
      </c>
      <c r="O273" s="187">
        <f>SUM(L273:L278)/L$294</f>
        <v>0.40011087527282441</v>
      </c>
      <c r="P273" s="1" t="s">
        <v>503</v>
      </c>
    </row>
    <row r="274" spans="1:16" ht="15" customHeight="1" x14ac:dyDescent="0.25">
      <c r="A274" s="2" t="s">
        <v>919</v>
      </c>
      <c r="B274" s="2" t="s">
        <v>139</v>
      </c>
      <c r="C274" s="2" t="s">
        <v>748</v>
      </c>
      <c r="D274" s="2" t="s">
        <v>820</v>
      </c>
      <c r="E274" s="288" t="s">
        <v>503</v>
      </c>
      <c r="F274" s="280" t="s">
        <v>55</v>
      </c>
      <c r="G274" s="282"/>
      <c r="H274" s="282">
        <f>opex_sources!H158/opex_sources!H158</f>
        <v>1</v>
      </c>
      <c r="I274" s="282"/>
      <c r="J274" s="234">
        <f>opex_orig!$AB$18</f>
        <v>0</v>
      </c>
      <c r="K274" s="286">
        <f>J274+L274</f>
        <v>6.4804023246320702E-2</v>
      </c>
      <c r="L274" s="287">
        <f>opex_sources!$H$158*$H274/SUM($H$273:$H$278)</f>
        <v>6.4804023246320702E-2</v>
      </c>
      <c r="M274" s="234">
        <f t="shared" si="33"/>
        <v>7.4813005906688212E-2</v>
      </c>
    </row>
    <row r="275" spans="1:16" ht="15" customHeight="1" x14ac:dyDescent="0.25">
      <c r="A275" s="2" t="s">
        <v>919</v>
      </c>
      <c r="B275" s="2" t="s">
        <v>139</v>
      </c>
      <c r="C275" s="2" t="s">
        <v>748</v>
      </c>
      <c r="D275" s="2" t="s">
        <v>820</v>
      </c>
      <c r="E275" s="288" t="s">
        <v>503</v>
      </c>
      <c r="F275" s="278" t="s">
        <v>57</v>
      </c>
      <c r="G275" s="283"/>
      <c r="H275" s="283">
        <f>opex_sources!H158/opex_sources!H158</f>
        <v>1</v>
      </c>
      <c r="I275" s="283"/>
      <c r="J275" s="284">
        <f>opex_orig!$AB$19</f>
        <v>1.7549611960191201E-4</v>
      </c>
      <c r="K275" s="286">
        <f>J275+L275</f>
        <v>6.4979519365922611E-2</v>
      </c>
      <c r="L275" s="287">
        <f>opex_sources!$H$158*$H275/SUM($H$273:$H$278)</f>
        <v>6.4804023246320702E-2</v>
      </c>
      <c r="M275" s="284">
        <f t="shared" si="33"/>
        <v>7.5015607405401863E-2</v>
      </c>
    </row>
    <row r="276" spans="1:16" ht="15" customHeight="1" x14ac:dyDescent="0.25">
      <c r="A276" s="2" t="s">
        <v>919</v>
      </c>
      <c r="B276" s="2" t="s">
        <v>139</v>
      </c>
      <c r="C276" s="2" t="s">
        <v>748</v>
      </c>
      <c r="D276" s="2" t="s">
        <v>820</v>
      </c>
      <c r="E276" s="288" t="s">
        <v>503</v>
      </c>
      <c r="F276" s="258" t="s">
        <v>227</v>
      </c>
      <c r="G276" s="237"/>
      <c r="H276" s="237">
        <f>opex_sources!H158/(opex_sources!H154+opex_sources!H158)</f>
        <v>0.58376690946930276</v>
      </c>
      <c r="I276" s="237"/>
      <c r="J276" s="238">
        <f>opex_orig!$AB$118</f>
        <v>0.240626506061244</v>
      </c>
      <c r="K276" s="286">
        <f>opex_orig!$AB$118*I250+L276+L281</f>
        <v>0.10610412117606793</v>
      </c>
      <c r="L276" s="287">
        <f>opex_sources!$H$158*$H276/SUM($H$273:$H$278)</f>
        <v>3.7830444371681489E-2</v>
      </c>
      <c r="M276" s="238">
        <f t="shared" si="33"/>
        <v>0.12249190477104857</v>
      </c>
    </row>
    <row r="277" spans="1:16" ht="15" customHeight="1" x14ac:dyDescent="0.25">
      <c r="A277" s="2" t="s">
        <v>919</v>
      </c>
      <c r="B277" s="2" t="s">
        <v>139</v>
      </c>
      <c r="C277" s="2" t="s">
        <v>748</v>
      </c>
      <c r="D277" s="2" t="s">
        <v>820</v>
      </c>
      <c r="E277" s="288" t="s">
        <v>503</v>
      </c>
      <c r="F277" s="264" t="s">
        <v>231</v>
      </c>
      <c r="G277" s="230"/>
      <c r="H277" s="230">
        <f>opex_sources!H158/(opex_sources!H154+opex_sources!H158)</f>
        <v>0.58376690946930276</v>
      </c>
      <c r="I277" s="230"/>
      <c r="J277" s="231">
        <f>opex_orig!$AB$120</f>
        <v>0.357646054898278</v>
      </c>
      <c r="K277" s="286">
        <f>opex_orig!$AB$120*I251+L277+L283</f>
        <v>0.13930642705612478</v>
      </c>
      <c r="L277" s="287">
        <f>opex_sources!$H$158*$H277/SUM($H$273:$H$278)</f>
        <v>3.7830444371681489E-2</v>
      </c>
      <c r="M277" s="231">
        <f t="shared" si="33"/>
        <v>0.16082230744495032</v>
      </c>
    </row>
    <row r="278" spans="1:16" ht="15" customHeight="1" x14ac:dyDescent="0.25">
      <c r="A278" s="2" t="s">
        <v>919</v>
      </c>
      <c r="B278" s="2" t="s">
        <v>139</v>
      </c>
      <c r="C278" s="2" t="s">
        <v>748</v>
      </c>
      <c r="D278" s="2" t="s">
        <v>820</v>
      </c>
      <c r="E278" s="288" t="s">
        <v>503</v>
      </c>
      <c r="F278" s="281" t="s">
        <v>233</v>
      </c>
      <c r="G278" s="289"/>
      <c r="H278" s="289">
        <f>opex_sources!H158/(opex_sources!H154+opex_sources!H158)</f>
        <v>0.58376690946930276</v>
      </c>
      <c r="I278" s="289"/>
      <c r="J278" s="226">
        <f>opex_orig!$AB$121</f>
        <v>5.3624669526973701E-2</v>
      </c>
      <c r="K278" s="286">
        <f>opex_orig!$AB$121*I252+L278+L284</f>
        <v>5.3045531919413247E-2</v>
      </c>
      <c r="L278" s="287">
        <f>opex_sources!$H$158*$H278/SUM($H$273:$H$278)</f>
        <v>3.7830444371681489E-2</v>
      </c>
      <c r="M278" s="226">
        <f t="shared" si="33"/>
        <v>6.1238415363907159E-2</v>
      </c>
    </row>
    <row r="279" spans="1:16" ht="15" customHeight="1" x14ac:dyDescent="0.25">
      <c r="A279" s="2" t="s">
        <v>919</v>
      </c>
      <c r="B279" s="2" t="s">
        <v>139</v>
      </c>
      <c r="C279" s="2" t="s">
        <v>748</v>
      </c>
      <c r="D279" s="2" t="s">
        <v>820</v>
      </c>
      <c r="E279" s="303" t="s">
        <v>993</v>
      </c>
      <c r="F279" s="267" t="s">
        <v>61</v>
      </c>
      <c r="G279" s="307"/>
      <c r="H279" s="307">
        <v>0</v>
      </c>
      <c r="I279" s="265">
        <f t="shared" si="32"/>
        <v>0</v>
      </c>
      <c r="J279" s="266">
        <f>opex_orig!$AB$21</f>
        <v>1.89845054350701E-2</v>
      </c>
      <c r="K279" s="266">
        <f>opex_orig!$AB$21*I279</f>
        <v>0</v>
      </c>
      <c r="L279" s="266">
        <f t="shared" ref="L279:L282" si="39">K279*H279</f>
        <v>0</v>
      </c>
      <c r="M279" s="266">
        <f t="shared" si="33"/>
        <v>0</v>
      </c>
    </row>
    <row r="280" spans="1:16" ht="15" customHeight="1" x14ac:dyDescent="0.25">
      <c r="A280" s="2" t="s">
        <v>919</v>
      </c>
      <c r="B280" s="2" t="s">
        <v>139</v>
      </c>
      <c r="C280" s="2" t="s">
        <v>748</v>
      </c>
      <c r="D280" s="2" t="s">
        <v>820</v>
      </c>
      <c r="E280" s="303" t="s">
        <v>993</v>
      </c>
      <c r="F280" s="271" t="s">
        <v>135</v>
      </c>
      <c r="G280" s="307"/>
      <c r="H280" s="307">
        <v>0</v>
      </c>
      <c r="I280" s="262">
        <f t="shared" si="32"/>
        <v>0</v>
      </c>
      <c r="J280" s="263">
        <f>opex_orig!$AB$58</f>
        <v>1.8100147387346398E-2</v>
      </c>
      <c r="K280" s="263">
        <f>opex_orig!$AB$58*I280</f>
        <v>0</v>
      </c>
      <c r="L280" s="263">
        <f t="shared" si="39"/>
        <v>0</v>
      </c>
      <c r="M280" s="263">
        <f t="shared" si="33"/>
        <v>0</v>
      </c>
    </row>
    <row r="281" spans="1:16" ht="15" customHeight="1" x14ac:dyDescent="0.25">
      <c r="A281" s="2" t="s">
        <v>919</v>
      </c>
      <c r="B281" s="2" t="s">
        <v>139</v>
      </c>
      <c r="C281" s="2" t="s">
        <v>748</v>
      </c>
      <c r="D281" s="2" t="s">
        <v>820</v>
      </c>
      <c r="E281" s="303" t="s">
        <v>993</v>
      </c>
      <c r="F281" s="258" t="s">
        <v>227</v>
      </c>
      <c r="G281" s="307"/>
      <c r="H281" s="237">
        <f>0/(opex_sources!H154+opex_sources!H158)</f>
        <v>0</v>
      </c>
      <c r="I281" s="237">
        <f t="shared" si="32"/>
        <v>0</v>
      </c>
      <c r="J281" s="238">
        <f>opex_orig!$AB$118</f>
        <v>0.240626506061244</v>
      </c>
      <c r="K281" s="286">
        <f>opex_orig!$AB$118*I250+L276</f>
        <v>0.10610412117606793</v>
      </c>
      <c r="L281" s="238">
        <f>K281*H281</f>
        <v>0</v>
      </c>
      <c r="M281" s="238">
        <f t="shared" si="33"/>
        <v>0.12249190477104857</v>
      </c>
    </row>
    <row r="282" spans="1:16" ht="15" customHeight="1" x14ac:dyDescent="0.25">
      <c r="A282" s="2" t="s">
        <v>919</v>
      </c>
      <c r="B282" s="2" t="s">
        <v>139</v>
      </c>
      <c r="C282" s="2" t="s">
        <v>748</v>
      </c>
      <c r="D282" s="2" t="s">
        <v>820</v>
      </c>
      <c r="E282" s="303" t="s">
        <v>993</v>
      </c>
      <c r="F282" s="268" t="s">
        <v>229</v>
      </c>
      <c r="G282" s="307"/>
      <c r="H282" s="307">
        <v>0</v>
      </c>
      <c r="I282" s="269">
        <f t="shared" si="32"/>
        <v>0</v>
      </c>
      <c r="J282" s="270">
        <f>opex_orig!$AB$119</f>
        <v>4.1115712416530302E-2</v>
      </c>
      <c r="K282" s="270">
        <f>opex_orig!$AB$119*I282</f>
        <v>0</v>
      </c>
      <c r="L282" s="270">
        <f t="shared" si="39"/>
        <v>0</v>
      </c>
      <c r="M282" s="270">
        <f t="shared" si="33"/>
        <v>0</v>
      </c>
    </row>
    <row r="283" spans="1:16" ht="15" customHeight="1" x14ac:dyDescent="0.25">
      <c r="A283" s="2" t="s">
        <v>919</v>
      </c>
      <c r="B283" s="2" t="s">
        <v>139</v>
      </c>
      <c r="C283" s="2" t="s">
        <v>748</v>
      </c>
      <c r="D283" s="2" t="s">
        <v>820</v>
      </c>
      <c r="E283" s="303" t="s">
        <v>993</v>
      </c>
      <c r="F283" s="264" t="s">
        <v>231</v>
      </c>
      <c r="G283" s="307"/>
      <c r="H283" s="230">
        <f>0/(opex_sources!H154+opex_sources!H158)</f>
        <v>0</v>
      </c>
      <c r="I283" s="230">
        <f t="shared" si="32"/>
        <v>0</v>
      </c>
      <c r="J283" s="231">
        <f>opex_orig!$AB$120</f>
        <v>0.357646054898278</v>
      </c>
      <c r="K283" s="286">
        <f>opex_orig!$AB$120*I251+L277</f>
        <v>0.13930642705612478</v>
      </c>
      <c r="L283" s="231">
        <f>K283*H283</f>
        <v>0</v>
      </c>
      <c r="M283" s="231">
        <f t="shared" si="33"/>
        <v>0.16082230744495032</v>
      </c>
    </row>
    <row r="284" spans="1:16" ht="15" customHeight="1" x14ac:dyDescent="0.25">
      <c r="A284" s="2" t="s">
        <v>919</v>
      </c>
      <c r="B284" s="2" t="s">
        <v>139</v>
      </c>
      <c r="C284" s="2" t="s">
        <v>748</v>
      </c>
      <c r="D284" s="2" t="s">
        <v>820</v>
      </c>
      <c r="E284" s="303" t="s">
        <v>993</v>
      </c>
      <c r="F284" s="281" t="s">
        <v>233</v>
      </c>
      <c r="G284" s="307"/>
      <c r="H284" s="289">
        <f>0/(opex_sources!H154+opex_sources!H158)</f>
        <v>0</v>
      </c>
      <c r="I284" s="289">
        <f t="shared" si="32"/>
        <v>0</v>
      </c>
      <c r="J284" s="226">
        <f>opex_orig!$AB$121</f>
        <v>5.3624669526973701E-2</v>
      </c>
      <c r="K284" s="286">
        <f>opex_orig!$AB$121*I252+L278</f>
        <v>5.3045531919413247E-2</v>
      </c>
      <c r="L284" s="226">
        <f>K284*H284</f>
        <v>0</v>
      </c>
      <c r="M284" s="226">
        <f t="shared" si="33"/>
        <v>6.1238415363907159E-2</v>
      </c>
    </row>
    <row r="285" spans="1:16" ht="15" customHeight="1" x14ac:dyDescent="0.25">
      <c r="A285" s="2" t="s">
        <v>919</v>
      </c>
      <c r="B285" s="2" t="s">
        <v>139</v>
      </c>
      <c r="C285" s="2" t="s">
        <v>748</v>
      </c>
      <c r="D285" s="2" t="s">
        <v>820</v>
      </c>
      <c r="E285" s="15" t="s">
        <v>335</v>
      </c>
      <c r="F285" s="253" t="s">
        <v>237</v>
      </c>
      <c r="G285" s="251">
        <f>opex_sources!H159/(opex_sources!H143+0*opex_sources!H151+0*opex_sources!H159)</f>
        <v>1.5269374313940725</v>
      </c>
      <c r="H285" s="251">
        <f>opex_sources!H159/opex_sources!H159</f>
        <v>1</v>
      </c>
      <c r="I285" s="251">
        <f t="shared" si="32"/>
        <v>1.5269374313940725</v>
      </c>
      <c r="J285" s="254">
        <f>opex_orig!$AB$123</f>
        <v>1.4535611744200601E-2</v>
      </c>
      <c r="K285" s="254">
        <f>opex_orig!$AB$123*I285</f>
        <v>2.219496966043118E-2</v>
      </c>
      <c r="L285" s="254">
        <f t="shared" si="37"/>
        <v>2.219496966043118E-2</v>
      </c>
      <c r="M285" s="254">
        <f t="shared" si="33"/>
        <v>2.5622983159442628E-2</v>
      </c>
      <c r="N285" s="187">
        <f>opex_sources!H159</f>
        <v>6.1470911086717893E-2</v>
      </c>
      <c r="O285" s="187">
        <f>SUM(L285:L292)/L$294</f>
        <v>0.27761772428886872</v>
      </c>
      <c r="P285" s="15" t="s">
        <v>335</v>
      </c>
    </row>
    <row r="286" spans="1:16" ht="15" customHeight="1" x14ac:dyDescent="0.25">
      <c r="A286" s="2" t="s">
        <v>919</v>
      </c>
      <c r="B286" s="2" t="s">
        <v>139</v>
      </c>
      <c r="C286" s="2" t="s">
        <v>748</v>
      </c>
      <c r="D286" s="2" t="s">
        <v>820</v>
      </c>
      <c r="E286" s="15" t="s">
        <v>335</v>
      </c>
      <c r="F286" s="191" t="s">
        <v>239</v>
      </c>
      <c r="G286" s="192">
        <f>opex_sources!H159/(opex_sources!H143+0*opex_sources!H151+0*opex_sources!H159)</f>
        <v>1.5269374313940725</v>
      </c>
      <c r="H286" s="192">
        <f>opex_sources!H159/opex_sources!H159</f>
        <v>1</v>
      </c>
      <c r="I286" s="192">
        <f t="shared" si="32"/>
        <v>1.5269374313940725</v>
      </c>
      <c r="J286" s="217">
        <f>opex_orig!$AB$124</f>
        <v>5.6700519893351398E-2</v>
      </c>
      <c r="K286" s="217">
        <f>opex_orig!$AB$124*I286</f>
        <v>8.657814620466249E-2</v>
      </c>
      <c r="L286" s="217">
        <f t="shared" si="37"/>
        <v>8.657814620466249E-2</v>
      </c>
      <c r="M286" s="217">
        <f t="shared" si="33"/>
        <v>9.9950142582656359E-2</v>
      </c>
    </row>
    <row r="287" spans="1:16" ht="15" customHeight="1" x14ac:dyDescent="0.25">
      <c r="A287" s="2" t="s">
        <v>919</v>
      </c>
      <c r="B287" s="2" t="s">
        <v>139</v>
      </c>
      <c r="C287" s="2" t="s">
        <v>748</v>
      </c>
      <c r="D287" s="2" t="s">
        <v>820</v>
      </c>
      <c r="E287" s="15" t="s">
        <v>335</v>
      </c>
      <c r="F287" s="252" t="s">
        <v>241</v>
      </c>
      <c r="G287" s="195">
        <f>opex_sources!H159/(opex_sources!H143+0*opex_sources!H151+0*opex_sources!H159)</f>
        <v>1.5269374313940725</v>
      </c>
      <c r="H287" s="195">
        <f>opex_sources!H159/opex_sources!H159</f>
        <v>1</v>
      </c>
      <c r="I287" s="195">
        <f t="shared" si="35"/>
        <v>1.5269374313940725</v>
      </c>
      <c r="J287" s="219">
        <f>opex_orig!$AB$125</f>
        <v>1.48073809005072E-2</v>
      </c>
      <c r="K287" s="219">
        <f>opex_orig!$AB$125*I287</f>
        <v>2.2609944157894111E-2</v>
      </c>
      <c r="L287" s="219">
        <f t="shared" si="37"/>
        <v>2.2609944157894111E-2</v>
      </c>
      <c r="M287" s="219">
        <f t="shared" si="33"/>
        <v>2.6102050476171017E-2</v>
      </c>
    </row>
    <row r="288" spans="1:16" ht="15" customHeight="1" x14ac:dyDescent="0.25">
      <c r="A288" s="2" t="s">
        <v>919</v>
      </c>
      <c r="B288" s="2" t="s">
        <v>139</v>
      </c>
      <c r="C288" s="2" t="s">
        <v>748</v>
      </c>
      <c r="D288" s="2" t="s">
        <v>820</v>
      </c>
      <c r="E288" s="15" t="s">
        <v>335</v>
      </c>
      <c r="F288" s="255" t="s">
        <v>249</v>
      </c>
      <c r="G288" s="256">
        <f>opex_sources!H159/(opex_sources!H143+0*opex_sources!H151+0*opex_sources!H159)</f>
        <v>1.5269374313940725</v>
      </c>
      <c r="H288" s="256">
        <f>opex_sources!H159/opex_sources!H159</f>
        <v>1</v>
      </c>
      <c r="I288" s="256">
        <f t="shared" si="35"/>
        <v>1.5269374313940725</v>
      </c>
      <c r="J288" s="257">
        <f>opex_orig!$AB$129</f>
        <v>8.6195502111505104E-3</v>
      </c>
      <c r="K288" s="257">
        <f>opex_orig!$AB$129*I288</f>
        <v>1.3161513859186395E-2</v>
      </c>
      <c r="L288" s="257">
        <f t="shared" si="37"/>
        <v>1.3161513859186395E-2</v>
      </c>
      <c r="M288" s="257">
        <f t="shared" si="33"/>
        <v>1.5194309932665717E-2</v>
      </c>
    </row>
    <row r="289" spans="1:16" ht="15" customHeight="1" x14ac:dyDescent="0.25">
      <c r="A289" s="2" t="s">
        <v>919</v>
      </c>
      <c r="B289" s="2" t="s">
        <v>139</v>
      </c>
      <c r="C289" s="2" t="s">
        <v>748</v>
      </c>
      <c r="D289" s="2" t="s">
        <v>820</v>
      </c>
      <c r="E289" s="15" t="s">
        <v>335</v>
      </c>
      <c r="F289" s="194" t="s">
        <v>259</v>
      </c>
      <c r="G289" s="198">
        <f>opex_sources!H159/(opex_sources!H143+0*opex_sources!H151+0*opex_sources!H159)</f>
        <v>1.5269374313940725</v>
      </c>
      <c r="H289" s="198">
        <f>opex_sources!H159/opex_sources!H159</f>
        <v>1</v>
      </c>
      <c r="I289" s="198">
        <f t="shared" si="35"/>
        <v>1.5269374313940725</v>
      </c>
      <c r="J289" s="208">
        <f>opex_orig!$AB$134</f>
        <v>8.53981541354361E-3</v>
      </c>
      <c r="K289" s="208">
        <f>opex_orig!$AB$134*I289</f>
        <v>1.3039763812135789E-2</v>
      </c>
      <c r="L289" s="208">
        <f t="shared" si="37"/>
        <v>1.3039763812135789E-2</v>
      </c>
      <c r="M289" s="208">
        <f t="shared" si="33"/>
        <v>1.5053755588462192E-2</v>
      </c>
    </row>
    <row r="290" spans="1:16" ht="15" customHeight="1" x14ac:dyDescent="0.25">
      <c r="A290" s="2" t="s">
        <v>919</v>
      </c>
      <c r="B290" s="2" t="s">
        <v>139</v>
      </c>
      <c r="C290" s="2" t="s">
        <v>748</v>
      </c>
      <c r="D290" s="2" t="s">
        <v>820</v>
      </c>
      <c r="E290" s="15" t="s">
        <v>335</v>
      </c>
      <c r="F290" s="241" t="s">
        <v>372</v>
      </c>
      <c r="G290" s="203">
        <f>opex_sources!H159/(opex_sources!H143+0*opex_sources!H151+0*opex_sources!H159)</f>
        <v>1.5269374313940725</v>
      </c>
      <c r="H290" s="203">
        <f>opex_sources!H159/opex_sources!H159</f>
        <v>1</v>
      </c>
      <c r="I290" s="203">
        <f t="shared" si="32"/>
        <v>1.5269374313940725</v>
      </c>
      <c r="J290" s="227">
        <f>opex_orig!$AB$169</f>
        <v>2.0894772559803799E-3</v>
      </c>
      <c r="K290" s="227">
        <f>opex_orig!$AB$169*I290</f>
        <v>3.190501034203016E-3</v>
      </c>
      <c r="L290" s="227">
        <f t="shared" si="36"/>
        <v>3.190501034203016E-3</v>
      </c>
      <c r="M290" s="227">
        <f t="shared" si="33"/>
        <v>3.6832739814603556E-3</v>
      </c>
    </row>
    <row r="291" spans="1:16" ht="15" customHeight="1" x14ac:dyDescent="0.25">
      <c r="A291" s="2" t="s">
        <v>919</v>
      </c>
      <c r="B291" s="2" t="s">
        <v>139</v>
      </c>
      <c r="C291" s="2" t="s">
        <v>748</v>
      </c>
      <c r="D291" s="2" t="s">
        <v>820</v>
      </c>
      <c r="E291" s="15" t="s">
        <v>335</v>
      </c>
      <c r="F291" s="241" t="s">
        <v>373</v>
      </c>
      <c r="G291" s="203">
        <f>opex_sources!H159/(opex_sources!H143+0*opex_sources!H151+0*opex_sources!H159)</f>
        <v>1.5269374313940725</v>
      </c>
      <c r="H291" s="203">
        <f>opex_sources!H159/opex_sources!H159</f>
        <v>1</v>
      </c>
      <c r="I291" s="203">
        <f t="shared" si="32"/>
        <v>1.5269374313940725</v>
      </c>
      <c r="J291" s="227">
        <f>opex_orig!$AB$170</f>
        <v>1.9118201818306101E-2</v>
      </c>
      <c r="K291" s="227">
        <f>opex_orig!$AB$170*I291</f>
        <v>2.9192297977317802E-2</v>
      </c>
      <c r="L291" s="227">
        <f t="shared" si="37"/>
        <v>2.9192297977317802E-2</v>
      </c>
      <c r="M291" s="227">
        <f t="shared" si="33"/>
        <v>3.3701048971999985E-2</v>
      </c>
    </row>
    <row r="292" spans="1:16" ht="15" customHeight="1" x14ac:dyDescent="0.25">
      <c r="A292" s="2" t="s">
        <v>919</v>
      </c>
      <c r="B292" s="2" t="s">
        <v>139</v>
      </c>
      <c r="C292" s="2" t="s">
        <v>748</v>
      </c>
      <c r="D292" s="2" t="s">
        <v>820</v>
      </c>
      <c r="E292" s="15" t="s">
        <v>335</v>
      </c>
      <c r="F292" s="241" t="s">
        <v>374</v>
      </c>
      <c r="G292" s="203">
        <f>opex_sources!H159/(opex_sources!H143+0*opex_sources!H151+0*opex_sources!H159)</f>
        <v>1.5269374313940725</v>
      </c>
      <c r="H292" s="203">
        <f>opex_sources!H159/opex_sources!H159</f>
        <v>1</v>
      </c>
      <c r="I292" s="203">
        <f t="shared" si="32"/>
        <v>1.5269374313940725</v>
      </c>
      <c r="J292" s="227">
        <f>opex_orig!$AB$171</f>
        <v>1.55030910219837E-2</v>
      </c>
      <c r="K292" s="227">
        <f>opex_orig!$AB$171*I292</f>
        <v>2.3672249983776296E-2</v>
      </c>
      <c r="L292" s="227">
        <f>K292*H292</f>
        <v>2.3672249983776296E-2</v>
      </c>
      <c r="M292" s="227">
        <f t="shared" si="33"/>
        <v>2.7328429457678858E-2</v>
      </c>
    </row>
    <row r="293" spans="1:16" ht="15" customHeight="1" x14ac:dyDescent="0.25">
      <c r="A293" s="2" t="s">
        <v>919</v>
      </c>
      <c r="B293" s="2" t="s">
        <v>139</v>
      </c>
      <c r="C293" s="2" t="s">
        <v>748</v>
      </c>
      <c r="D293" s="2" t="s">
        <v>820</v>
      </c>
      <c r="E293" s="15" t="s">
        <v>404</v>
      </c>
      <c r="F293" s="240" t="s">
        <v>375</v>
      </c>
      <c r="G293" s="202">
        <f>opex_sources!H160/(opex_sources!H144+0*opex_sources!H152+0*opex_sources!H160)</f>
        <v>1.7194324753837837</v>
      </c>
      <c r="H293" s="202">
        <f>opex_sources!H160/opex_sources!H160</f>
        <v>1</v>
      </c>
      <c r="I293" s="202">
        <f t="shared" si="35"/>
        <v>1.7194324753837837</v>
      </c>
      <c r="J293" s="239">
        <f>opex_orig!$AB$172</f>
        <v>1.6966862703751199E-2</v>
      </c>
      <c r="K293" s="239">
        <f>opex_orig!$AB$172*I293</f>
        <v>2.9173374738207723E-2</v>
      </c>
      <c r="L293" s="239">
        <f t="shared" si="37"/>
        <v>2.9173374738207723E-2</v>
      </c>
      <c r="M293" s="239">
        <f t="shared" si="33"/>
        <v>3.3679203038238514E-2</v>
      </c>
      <c r="N293" s="187">
        <f>opex_sources!H160</f>
        <v>0.18551042810098792</v>
      </c>
      <c r="O293" s="187">
        <f>L293/L$294</f>
        <v>3.7909891196301559E-2</v>
      </c>
      <c r="P293" s="15" t="s">
        <v>404</v>
      </c>
    </row>
    <row r="294" spans="1:16" ht="15" customHeight="1" x14ac:dyDescent="0.25">
      <c r="A294" s="2" t="s">
        <v>919</v>
      </c>
      <c r="B294" s="24" t="s">
        <v>139</v>
      </c>
      <c r="C294" s="24" t="s">
        <v>748</v>
      </c>
      <c r="D294" s="24" t="s">
        <v>820</v>
      </c>
      <c r="E294" s="31" t="s">
        <v>346</v>
      </c>
      <c r="F294" s="19"/>
      <c r="G294" s="184"/>
      <c r="H294" s="184"/>
      <c r="I294" s="184"/>
      <c r="J294" s="221">
        <f>SUM(J250:J275,J279:J280,J282,J289:J293)</f>
        <v>0.88860407075759162</v>
      </c>
      <c r="K294" s="221">
        <f>SUM(K250:K275,K279:K280,K282,K289:K293)</f>
        <v>0.76972069442008761</v>
      </c>
      <c r="L294" s="221">
        <f>SUM(L250:L293)</f>
        <v>0.76954519830048573</v>
      </c>
      <c r="M294" s="221">
        <f>SUM(M250:M275,M279:M280,M282,M289:M293)</f>
        <v>0.88860407075759151</v>
      </c>
      <c r="N294" s="277">
        <f>SUM(N250:N293)</f>
        <v>1</v>
      </c>
      <c r="O294" s="277">
        <f>SUM(O250:O293)</f>
        <v>1</v>
      </c>
    </row>
    <row r="295" spans="1:16" ht="15" customHeight="1" x14ac:dyDescent="0.25">
      <c r="A295" s="2" t="s">
        <v>919</v>
      </c>
      <c r="B295" s="2" t="s">
        <v>143</v>
      </c>
      <c r="C295" s="2" t="s">
        <v>739</v>
      </c>
      <c r="D295" s="2" t="s">
        <v>827</v>
      </c>
      <c r="E295" s="15" t="s">
        <v>836</v>
      </c>
      <c r="F295" s="259" t="s">
        <v>2</v>
      </c>
      <c r="G295" s="260">
        <f>opex_sources!H162/(opex_sources!H162+0*opex_sources!H168+0*opex_sources!H174)</f>
        <v>1</v>
      </c>
      <c r="H295" s="260">
        <f>opex_sources!H162/opex_sources!H162</f>
        <v>1</v>
      </c>
      <c r="I295" s="260">
        <f t="shared" ref="I295:I368" si="40">G295*H295</f>
        <v>1</v>
      </c>
      <c r="J295" s="261">
        <f>opex_orig!$AD$97</f>
        <v>4.5176509017278103E-3</v>
      </c>
      <c r="K295" s="261">
        <f>J295*I295</f>
        <v>4.5176509017278103E-3</v>
      </c>
      <c r="L295" s="261">
        <f>K295*H295</f>
        <v>4.5176509017278103E-3</v>
      </c>
      <c r="M295" s="261">
        <f t="shared" ref="M295:M329" si="41">K295/$K$330*$J$330</f>
        <v>4.5176509017278103E-3</v>
      </c>
      <c r="N295" s="187">
        <f>opex_sources!H162</f>
        <v>0.29665071770334928</v>
      </c>
      <c r="O295" s="187">
        <f>SUM(L295:L310)/L$330</f>
        <v>1.9911957854839086E-2</v>
      </c>
      <c r="P295" s="15" t="s">
        <v>836</v>
      </c>
    </row>
    <row r="296" spans="1:16" ht="15" customHeight="1" x14ac:dyDescent="0.25">
      <c r="A296" s="2" t="s">
        <v>919</v>
      </c>
      <c r="B296" s="2" t="s">
        <v>143</v>
      </c>
      <c r="C296" s="2" t="s">
        <v>739</v>
      </c>
      <c r="D296" s="2" t="s">
        <v>827</v>
      </c>
      <c r="E296" s="15" t="s">
        <v>836</v>
      </c>
      <c r="F296" s="259" t="s">
        <v>4</v>
      </c>
      <c r="G296" s="260">
        <f>opex_sources!H162/(opex_sources!H162+0*opex_sources!H168+0*opex_sources!H174)</f>
        <v>1</v>
      </c>
      <c r="H296" s="260">
        <f>opex_sources!H162/opex_sources!H162</f>
        <v>1</v>
      </c>
      <c r="I296" s="260">
        <f t="shared" si="40"/>
        <v>1</v>
      </c>
      <c r="J296" s="261">
        <f>opex_orig!$AD$98</f>
        <v>7.0137183206178306E-5</v>
      </c>
      <c r="K296" s="261">
        <f t="shared" ref="K296:K367" si="42">J296*I296</f>
        <v>7.0137183206178306E-5</v>
      </c>
      <c r="L296" s="261">
        <f t="shared" ref="L296:L329" si="43">K296*H296</f>
        <v>7.0137183206178306E-5</v>
      </c>
      <c r="M296" s="261">
        <f t="shared" si="41"/>
        <v>7.0137183206178306E-5</v>
      </c>
    </row>
    <row r="297" spans="1:16" ht="15" customHeight="1" x14ac:dyDescent="0.25">
      <c r="A297" s="2" t="s">
        <v>919</v>
      </c>
      <c r="B297" s="2" t="s">
        <v>143</v>
      </c>
      <c r="C297" s="2" t="s">
        <v>739</v>
      </c>
      <c r="D297" s="2" t="s">
        <v>827</v>
      </c>
      <c r="E297" s="15" t="s">
        <v>836</v>
      </c>
      <c r="F297" s="259" t="s">
        <v>6</v>
      </c>
      <c r="G297" s="260">
        <f>opex_sources!H162/(opex_sources!H162+0*opex_sources!H168+0*opex_sources!H174)</f>
        <v>1</v>
      </c>
      <c r="H297" s="260">
        <f>opex_sources!H162/opex_sources!H162</f>
        <v>1</v>
      </c>
      <c r="I297" s="260">
        <f t="shared" si="40"/>
        <v>1</v>
      </c>
      <c r="J297" s="261">
        <f>opex_orig!$AD$99</f>
        <v>3.3409401562030502E-3</v>
      </c>
      <c r="K297" s="261">
        <f t="shared" si="42"/>
        <v>3.3409401562030502E-3</v>
      </c>
      <c r="L297" s="261">
        <f t="shared" si="43"/>
        <v>3.3409401562030502E-3</v>
      </c>
      <c r="M297" s="261">
        <f t="shared" si="41"/>
        <v>3.3409401562030502E-3</v>
      </c>
    </row>
    <row r="298" spans="1:16" ht="15" customHeight="1" x14ac:dyDescent="0.25">
      <c r="A298" s="2" t="s">
        <v>919</v>
      </c>
      <c r="B298" s="2" t="s">
        <v>143</v>
      </c>
      <c r="C298" s="2" t="s">
        <v>739</v>
      </c>
      <c r="D298" s="2" t="s">
        <v>827</v>
      </c>
      <c r="E298" s="15" t="s">
        <v>836</v>
      </c>
      <c r="F298" s="259" t="s">
        <v>8</v>
      </c>
      <c r="G298" s="260">
        <f>opex_sources!H162/(opex_sources!H162+0*opex_sources!H168+0*opex_sources!H174)</f>
        <v>1</v>
      </c>
      <c r="H298" s="260">
        <f>opex_sources!H162/opex_sources!H162</f>
        <v>1</v>
      </c>
      <c r="I298" s="260">
        <f t="shared" si="40"/>
        <v>1</v>
      </c>
      <c r="J298" s="261">
        <f>opex_orig!$AD$100</f>
        <v>2.12120146280756E-4</v>
      </c>
      <c r="K298" s="261">
        <f t="shared" si="42"/>
        <v>2.12120146280756E-4</v>
      </c>
      <c r="L298" s="261">
        <f t="shared" si="43"/>
        <v>2.12120146280756E-4</v>
      </c>
      <c r="M298" s="261">
        <f t="shared" si="41"/>
        <v>2.12120146280756E-4</v>
      </c>
    </row>
    <row r="299" spans="1:16" ht="15" customHeight="1" x14ac:dyDescent="0.25">
      <c r="A299" s="2" t="s">
        <v>919</v>
      </c>
      <c r="B299" s="2" t="s">
        <v>143</v>
      </c>
      <c r="C299" s="2" t="s">
        <v>739</v>
      </c>
      <c r="D299" s="2" t="s">
        <v>827</v>
      </c>
      <c r="E299" s="15" t="s">
        <v>836</v>
      </c>
      <c r="F299" s="259" t="s">
        <v>342</v>
      </c>
      <c r="G299" s="260">
        <f>opex_sources!H162/(opex_sources!H162+0*opex_sources!H168+0*opex_sources!H174)</f>
        <v>1</v>
      </c>
      <c r="H299" s="260">
        <f>opex_sources!H162/opex_sources!H162</f>
        <v>1</v>
      </c>
      <c r="I299" s="260">
        <f t="shared" si="40"/>
        <v>1</v>
      </c>
      <c r="J299" s="261">
        <f>opex_orig!$AD$101</f>
        <v>4.0171547932160302E-5</v>
      </c>
      <c r="K299" s="261">
        <f t="shared" si="42"/>
        <v>4.0171547932160302E-5</v>
      </c>
      <c r="L299" s="261">
        <f t="shared" si="43"/>
        <v>4.0171547932160302E-5</v>
      </c>
      <c r="M299" s="261">
        <f t="shared" si="41"/>
        <v>4.0171547932160302E-5</v>
      </c>
    </row>
    <row r="300" spans="1:16" ht="15" customHeight="1" x14ac:dyDescent="0.25">
      <c r="A300" s="2" t="s">
        <v>919</v>
      </c>
      <c r="B300" s="2" t="s">
        <v>143</v>
      </c>
      <c r="C300" s="2" t="s">
        <v>739</v>
      </c>
      <c r="D300" s="2" t="s">
        <v>827</v>
      </c>
      <c r="E300" s="15" t="s">
        <v>836</v>
      </c>
      <c r="F300" s="259" t="s">
        <v>343</v>
      </c>
      <c r="G300" s="260">
        <f>opex_sources!H162/(opex_sources!H162+0*opex_sources!H168+0*opex_sources!H174)</f>
        <v>1</v>
      </c>
      <c r="H300" s="260">
        <f>opex_sources!H162/opex_sources!H162</f>
        <v>1</v>
      </c>
      <c r="I300" s="260">
        <f t="shared" si="40"/>
        <v>1</v>
      </c>
      <c r="J300" s="261">
        <f>opex_orig!$AD$102</f>
        <v>9.4850640097901204E-8</v>
      </c>
      <c r="K300" s="261">
        <f t="shared" si="42"/>
        <v>9.4850640097901204E-8</v>
      </c>
      <c r="L300" s="261">
        <f t="shared" si="43"/>
        <v>9.4850640097901204E-8</v>
      </c>
      <c r="M300" s="261">
        <f t="shared" si="41"/>
        <v>9.4850640097901204E-8</v>
      </c>
    </row>
    <row r="301" spans="1:16" ht="15" customHeight="1" x14ac:dyDescent="0.25">
      <c r="A301" s="2" t="s">
        <v>919</v>
      </c>
      <c r="B301" s="2" t="s">
        <v>143</v>
      </c>
      <c r="C301" s="2" t="s">
        <v>739</v>
      </c>
      <c r="D301" s="2" t="s">
        <v>827</v>
      </c>
      <c r="E301" s="15" t="s">
        <v>836</v>
      </c>
      <c r="F301" s="259" t="s">
        <v>10</v>
      </c>
      <c r="G301" s="260">
        <f>opex_sources!H162/(opex_sources!H162+0*opex_sources!H168+0*opex_sources!H174)</f>
        <v>1</v>
      </c>
      <c r="H301" s="260">
        <f>opex_sources!H162/opex_sources!H162</f>
        <v>1</v>
      </c>
      <c r="I301" s="260">
        <f t="shared" si="40"/>
        <v>1</v>
      </c>
      <c r="J301" s="261">
        <f>opex_orig!$AD$103</f>
        <v>1.5827195035048702E-5</v>
      </c>
      <c r="K301" s="261">
        <f t="shared" si="42"/>
        <v>1.5827195035048702E-5</v>
      </c>
      <c r="L301" s="261">
        <f t="shared" si="43"/>
        <v>1.5827195035048702E-5</v>
      </c>
      <c r="M301" s="261">
        <f t="shared" si="41"/>
        <v>1.5827195035048702E-5</v>
      </c>
    </row>
    <row r="302" spans="1:16" ht="15" customHeight="1" x14ac:dyDescent="0.25">
      <c r="A302" s="2" t="s">
        <v>919</v>
      </c>
      <c r="B302" s="2" t="s">
        <v>143</v>
      </c>
      <c r="C302" s="2" t="s">
        <v>739</v>
      </c>
      <c r="D302" s="2" t="s">
        <v>827</v>
      </c>
      <c r="E302" s="15" t="s">
        <v>836</v>
      </c>
      <c r="F302" s="259" t="s">
        <v>12</v>
      </c>
      <c r="G302" s="260">
        <f>opex_sources!H162/(opex_sources!H162+0*opex_sources!H168+0*opex_sources!H174)</f>
        <v>1</v>
      </c>
      <c r="H302" s="260">
        <f>opex_sources!H162/opex_sources!H162</f>
        <v>1</v>
      </c>
      <c r="I302" s="260">
        <f t="shared" si="40"/>
        <v>1</v>
      </c>
      <c r="J302" s="261">
        <f>opex_orig!$AD$104</f>
        <v>5.3236548635258595E-4</v>
      </c>
      <c r="K302" s="261">
        <f t="shared" si="42"/>
        <v>5.3236548635258595E-4</v>
      </c>
      <c r="L302" s="261">
        <f t="shared" si="43"/>
        <v>5.3236548635258595E-4</v>
      </c>
      <c r="M302" s="261">
        <f t="shared" si="41"/>
        <v>5.3236548635258595E-4</v>
      </c>
    </row>
    <row r="303" spans="1:16" ht="15" customHeight="1" x14ac:dyDescent="0.25">
      <c r="A303" s="2" t="s">
        <v>919</v>
      </c>
      <c r="B303" s="2" t="s">
        <v>143</v>
      </c>
      <c r="C303" s="2" t="s">
        <v>739</v>
      </c>
      <c r="D303" s="2" t="s">
        <v>827</v>
      </c>
      <c r="E303" s="15" t="s">
        <v>836</v>
      </c>
      <c r="F303" s="259" t="s">
        <v>340</v>
      </c>
      <c r="G303" s="260">
        <f>opex_sources!H162/(opex_sources!H162+0*opex_sources!H168+0*opex_sources!H174)</f>
        <v>1</v>
      </c>
      <c r="H303" s="260">
        <f>opex_sources!H162/opex_sources!H162</f>
        <v>1</v>
      </c>
      <c r="I303" s="260">
        <f t="shared" si="40"/>
        <v>1</v>
      </c>
      <c r="J303" s="261">
        <f>opex_orig!$AD$105</f>
        <v>1.2474597341853799E-4</v>
      </c>
      <c r="K303" s="261">
        <f t="shared" si="42"/>
        <v>1.2474597341853799E-4</v>
      </c>
      <c r="L303" s="261">
        <f t="shared" si="43"/>
        <v>1.2474597341853799E-4</v>
      </c>
      <c r="M303" s="261">
        <f t="shared" si="41"/>
        <v>1.2474597341853799E-4</v>
      </c>
    </row>
    <row r="304" spans="1:16" ht="15" customHeight="1" x14ac:dyDescent="0.25">
      <c r="A304" s="2" t="s">
        <v>919</v>
      </c>
      <c r="B304" s="2" t="s">
        <v>143</v>
      </c>
      <c r="C304" s="2" t="s">
        <v>739</v>
      </c>
      <c r="D304" s="2" t="s">
        <v>827</v>
      </c>
      <c r="E304" s="15" t="s">
        <v>836</v>
      </c>
      <c r="F304" s="259" t="s">
        <v>341</v>
      </c>
      <c r="G304" s="260">
        <f>opex_sources!H162/(opex_sources!H162+0*opex_sources!H168+0*opex_sources!H174)</f>
        <v>1</v>
      </c>
      <c r="H304" s="260">
        <f>opex_sources!H162/opex_sources!H162</f>
        <v>1</v>
      </c>
      <c r="I304" s="260">
        <f t="shared" si="40"/>
        <v>1</v>
      </c>
      <c r="J304" s="261">
        <f>opex_orig!$AD$106</f>
        <v>6.5658863174722495E-5</v>
      </c>
      <c r="K304" s="261">
        <f t="shared" si="42"/>
        <v>6.5658863174722495E-5</v>
      </c>
      <c r="L304" s="261">
        <f t="shared" si="43"/>
        <v>6.5658863174722495E-5</v>
      </c>
      <c r="M304" s="261">
        <f t="shared" si="41"/>
        <v>6.5658863174722495E-5</v>
      </c>
    </row>
    <row r="305" spans="1:16" ht="15" customHeight="1" x14ac:dyDescent="0.25">
      <c r="A305" s="2" t="s">
        <v>919</v>
      </c>
      <c r="B305" s="2" t="s">
        <v>143</v>
      </c>
      <c r="C305" s="2" t="s">
        <v>739</v>
      </c>
      <c r="D305" s="2" t="s">
        <v>827</v>
      </c>
      <c r="E305" s="15" t="s">
        <v>836</v>
      </c>
      <c r="F305" s="259" t="s">
        <v>14</v>
      </c>
      <c r="G305" s="260">
        <f>opex_sources!H162/(opex_sources!H162+0*opex_sources!H168+0*opex_sources!H174)</f>
        <v>1</v>
      </c>
      <c r="H305" s="260">
        <f>opex_sources!H162/opex_sources!H162</f>
        <v>1</v>
      </c>
      <c r="I305" s="260">
        <f t="shared" si="40"/>
        <v>1</v>
      </c>
      <c r="J305" s="261">
        <f>opex_orig!$AD$107</f>
        <v>1.9287146365628901E-9</v>
      </c>
      <c r="K305" s="261">
        <f t="shared" si="42"/>
        <v>1.9287146365628901E-9</v>
      </c>
      <c r="L305" s="261">
        <f t="shared" si="43"/>
        <v>1.9287146365628901E-9</v>
      </c>
      <c r="M305" s="261">
        <f t="shared" si="41"/>
        <v>1.9287146365628901E-9</v>
      </c>
    </row>
    <row r="306" spans="1:16" ht="15" customHeight="1" x14ac:dyDescent="0.25">
      <c r="A306" s="2" t="s">
        <v>919</v>
      </c>
      <c r="B306" s="2" t="s">
        <v>143</v>
      </c>
      <c r="C306" s="2" t="s">
        <v>739</v>
      </c>
      <c r="D306" s="2" t="s">
        <v>827</v>
      </c>
      <c r="E306" s="15" t="s">
        <v>836</v>
      </c>
      <c r="F306" s="259" t="s">
        <v>16</v>
      </c>
      <c r="G306" s="260">
        <f>opex_sources!H162/(opex_sources!H162+0*opex_sources!H168+0*opex_sources!H174)</f>
        <v>1</v>
      </c>
      <c r="H306" s="260">
        <f>opex_sources!H162/opex_sources!H162</f>
        <v>1</v>
      </c>
      <c r="I306" s="260">
        <f t="shared" si="40"/>
        <v>1</v>
      </c>
      <c r="J306" s="261">
        <f>opex_orig!$AD$108</f>
        <v>3.1313078810900002E-10</v>
      </c>
      <c r="K306" s="261">
        <f t="shared" si="42"/>
        <v>3.1313078810900002E-10</v>
      </c>
      <c r="L306" s="261">
        <f t="shared" si="43"/>
        <v>3.1313078810900002E-10</v>
      </c>
      <c r="M306" s="261">
        <f t="shared" si="41"/>
        <v>3.1313078810900002E-10</v>
      </c>
    </row>
    <row r="307" spans="1:16" ht="15" customHeight="1" x14ac:dyDescent="0.25">
      <c r="A307" s="2" t="s">
        <v>919</v>
      </c>
      <c r="B307" s="2" t="s">
        <v>143</v>
      </c>
      <c r="C307" s="2" t="s">
        <v>739</v>
      </c>
      <c r="D307" s="2" t="s">
        <v>827</v>
      </c>
      <c r="E307" s="15" t="s">
        <v>836</v>
      </c>
      <c r="F307" s="259" t="s">
        <v>18</v>
      </c>
      <c r="G307" s="260">
        <f>opex_sources!H162/(opex_sources!H162+0*opex_sources!H168+0*opex_sources!H174)</f>
        <v>1</v>
      </c>
      <c r="H307" s="260">
        <f>opex_sources!H162/opex_sources!H162</f>
        <v>1</v>
      </c>
      <c r="I307" s="260">
        <f t="shared" si="40"/>
        <v>1</v>
      </c>
      <c r="J307" s="261">
        <f>opex_orig!$AD$109</f>
        <v>5.5313346936039598E-8</v>
      </c>
      <c r="K307" s="261">
        <f t="shared" si="42"/>
        <v>5.5313346936039598E-8</v>
      </c>
      <c r="L307" s="261">
        <f t="shared" si="43"/>
        <v>5.5313346936039598E-8</v>
      </c>
      <c r="M307" s="261">
        <f t="shared" si="41"/>
        <v>5.5313346936039598E-8</v>
      </c>
    </row>
    <row r="308" spans="1:16" ht="15" customHeight="1" x14ac:dyDescent="0.25">
      <c r="A308" s="2" t="s">
        <v>919</v>
      </c>
      <c r="B308" s="2" t="s">
        <v>143</v>
      </c>
      <c r="C308" s="2" t="s">
        <v>739</v>
      </c>
      <c r="D308" s="2" t="s">
        <v>827</v>
      </c>
      <c r="E308" s="15" t="s">
        <v>836</v>
      </c>
      <c r="F308" s="259" t="s">
        <v>20</v>
      </c>
      <c r="G308" s="260">
        <f>opex_sources!H162/(opex_sources!H162+0*opex_sources!H168+0*opex_sources!H174)</f>
        <v>1</v>
      </c>
      <c r="H308" s="260">
        <f>opex_sources!H162/opex_sources!H162</f>
        <v>1</v>
      </c>
      <c r="I308" s="260">
        <f t="shared" si="40"/>
        <v>1</v>
      </c>
      <c r="J308" s="261">
        <f>opex_orig!$AD$110</f>
        <v>3.2757700900063201E-4</v>
      </c>
      <c r="K308" s="261">
        <f t="shared" si="42"/>
        <v>3.2757700900063201E-4</v>
      </c>
      <c r="L308" s="261">
        <f t="shared" si="43"/>
        <v>3.2757700900063201E-4</v>
      </c>
      <c r="M308" s="261">
        <f t="shared" si="41"/>
        <v>3.2757700900063201E-4</v>
      </c>
    </row>
    <row r="309" spans="1:16" ht="15" customHeight="1" x14ac:dyDescent="0.25">
      <c r="A309" s="2" t="s">
        <v>919</v>
      </c>
      <c r="B309" s="2" t="s">
        <v>143</v>
      </c>
      <c r="C309" s="2" t="s">
        <v>739</v>
      </c>
      <c r="D309" s="2" t="s">
        <v>827</v>
      </c>
      <c r="E309" s="15" t="s">
        <v>836</v>
      </c>
      <c r="F309" s="259" t="s">
        <v>213</v>
      </c>
      <c r="G309" s="260">
        <f>opex_sources!H162/(opex_sources!H162+0*opex_sources!H168+0*opex_sources!H174)</f>
        <v>1</v>
      </c>
      <c r="H309" s="260">
        <f>opex_sources!H162/opex_sources!H162</f>
        <v>1</v>
      </c>
      <c r="I309" s="260">
        <f t="shared" si="40"/>
        <v>1</v>
      </c>
      <c r="J309" s="261">
        <f>opex_orig!$AD$111</f>
        <v>1.8073528375023801E-3</v>
      </c>
      <c r="K309" s="261">
        <f t="shared" si="42"/>
        <v>1.8073528375023801E-3</v>
      </c>
      <c r="L309" s="261">
        <f t="shared" si="43"/>
        <v>1.8073528375023801E-3</v>
      </c>
      <c r="M309" s="261">
        <f t="shared" si="41"/>
        <v>1.8073528375023801E-3</v>
      </c>
    </row>
    <row r="310" spans="1:16" ht="15" customHeight="1" x14ac:dyDescent="0.25">
      <c r="A310" s="2" t="s">
        <v>919</v>
      </c>
      <c r="B310" s="2" t="s">
        <v>143</v>
      </c>
      <c r="C310" s="2" t="s">
        <v>739</v>
      </c>
      <c r="D310" s="2" t="s">
        <v>827</v>
      </c>
      <c r="E310" s="15" t="s">
        <v>836</v>
      </c>
      <c r="F310" s="259" t="s">
        <v>215</v>
      </c>
      <c r="G310" s="260">
        <f>opex_sources!H162/(opex_sources!H162+0*opex_sources!H168+0*opex_sources!H174)</f>
        <v>1</v>
      </c>
      <c r="H310" s="260">
        <f>opex_sources!H162/opex_sources!H162</f>
        <v>1</v>
      </c>
      <c r="I310" s="260">
        <f t="shared" si="40"/>
        <v>1</v>
      </c>
      <c r="J310" s="261">
        <f>opex_orig!$AD$112</f>
        <v>2.7859504172782199E-3</v>
      </c>
      <c r="K310" s="261">
        <f t="shared" si="42"/>
        <v>2.7859504172782199E-3</v>
      </c>
      <c r="L310" s="261">
        <f t="shared" si="43"/>
        <v>2.7859504172782199E-3</v>
      </c>
      <c r="M310" s="261">
        <f t="shared" si="41"/>
        <v>2.7859504172782195E-3</v>
      </c>
    </row>
    <row r="311" spans="1:16" ht="15" customHeight="1" x14ac:dyDescent="0.25">
      <c r="A311" s="2" t="s">
        <v>919</v>
      </c>
      <c r="B311" s="2" t="s">
        <v>143</v>
      </c>
      <c r="C311" s="2" t="s">
        <v>739</v>
      </c>
      <c r="D311" s="2" t="s">
        <v>827</v>
      </c>
      <c r="E311" s="15" t="s">
        <v>990</v>
      </c>
      <c r="F311" s="267" t="s">
        <v>61</v>
      </c>
      <c r="G311" s="265">
        <f>opex_sources!H163/opex_sources!H163</f>
        <v>1</v>
      </c>
      <c r="H311" s="265">
        <f>opex_sources!H163/opex_sources!H163</f>
        <v>1</v>
      </c>
      <c r="I311" s="265">
        <f t="shared" si="40"/>
        <v>1</v>
      </c>
      <c r="J311" s="266">
        <f>opex_orig!$AD$21</f>
        <v>1.5464210803373899E-2</v>
      </c>
      <c r="K311" s="266">
        <f>J311*I311</f>
        <v>1.5464210803373899E-2</v>
      </c>
      <c r="L311" s="266">
        <f t="shared" si="43"/>
        <v>1.5464210803373899E-2</v>
      </c>
      <c r="M311" s="266">
        <f t="shared" si="41"/>
        <v>1.5464210803373898E-2</v>
      </c>
      <c r="N311" s="187">
        <f>opex_sources!H163</f>
        <v>0.36842105263157893</v>
      </c>
      <c r="O311" s="187">
        <f>SUM(L311:L312)/L$330</f>
        <v>2.2331058421714275E-2</v>
      </c>
      <c r="P311" s="15" t="s">
        <v>990</v>
      </c>
    </row>
    <row r="312" spans="1:16" ht="15" customHeight="1" x14ac:dyDescent="0.25">
      <c r="A312" s="2" t="s">
        <v>919</v>
      </c>
      <c r="B312" s="2" t="s">
        <v>143</v>
      </c>
      <c r="C312" s="2" t="s">
        <v>739</v>
      </c>
      <c r="D312" s="2" t="s">
        <v>827</v>
      </c>
      <c r="E312" s="15" t="s">
        <v>990</v>
      </c>
      <c r="F312" s="291" t="s">
        <v>65</v>
      </c>
      <c r="G312" s="292">
        <f>opex_sources!H163/opex_sources!H163</f>
        <v>1</v>
      </c>
      <c r="H312" s="292">
        <f>opex_sources!H163/opex_sources!H163</f>
        <v>1</v>
      </c>
      <c r="I312" s="292">
        <f t="shared" si="40"/>
        <v>1</v>
      </c>
      <c r="J312" s="293">
        <f>opex_orig!$AD$23</f>
        <v>5.7937683640318899E-5</v>
      </c>
      <c r="K312" s="293">
        <f>J312*I312</f>
        <v>5.7937683640318899E-5</v>
      </c>
      <c r="L312" s="293">
        <f t="shared" si="43"/>
        <v>5.7937683640318899E-5</v>
      </c>
      <c r="M312" s="293">
        <f t="shared" si="41"/>
        <v>5.7937683640318899E-5</v>
      </c>
    </row>
    <row r="313" spans="1:16" ht="15" customHeight="1" x14ac:dyDescent="0.25">
      <c r="A313" s="2" t="s">
        <v>919</v>
      </c>
      <c r="B313" s="2" t="s">
        <v>143</v>
      </c>
      <c r="C313" s="2" t="s">
        <v>739</v>
      </c>
      <c r="D313" s="2" t="s">
        <v>827</v>
      </c>
      <c r="E313" s="15" t="s">
        <v>990</v>
      </c>
      <c r="F313" s="271" t="s">
        <v>135</v>
      </c>
      <c r="G313" s="262">
        <f>opex_sources!H163/opex_sources!H163</f>
        <v>1</v>
      </c>
      <c r="H313" s="262">
        <f>opex_sources!H163/opex_sources!H163</f>
        <v>1</v>
      </c>
      <c r="I313" s="262">
        <f t="shared" si="40"/>
        <v>1</v>
      </c>
      <c r="J313" s="263">
        <f>opex_orig!$AD$58</f>
        <v>1.0076354723968201E-2</v>
      </c>
      <c r="K313" s="263">
        <f>J313*I313</f>
        <v>1.0076354723968201E-2</v>
      </c>
      <c r="L313" s="263">
        <f t="shared" ref="L313" si="44">K313*H313</f>
        <v>1.0076354723968201E-2</v>
      </c>
      <c r="M313" s="263">
        <f t="shared" si="41"/>
        <v>1.0076354723968201E-2</v>
      </c>
    </row>
    <row r="314" spans="1:16" ht="15" customHeight="1" x14ac:dyDescent="0.25">
      <c r="A314" s="2" t="s">
        <v>919</v>
      </c>
      <c r="B314" s="2" t="s">
        <v>143</v>
      </c>
      <c r="C314" s="2" t="s">
        <v>739</v>
      </c>
      <c r="D314" s="2" t="s">
        <v>827</v>
      </c>
      <c r="E314" s="303" t="s">
        <v>992</v>
      </c>
      <c r="F314" s="278" t="s">
        <v>1035</v>
      </c>
      <c r="G314" s="307"/>
      <c r="H314" s="283">
        <f>0/opex_sources!H165</f>
        <v>0</v>
      </c>
      <c r="I314" s="283">
        <f t="shared" si="40"/>
        <v>0</v>
      </c>
      <c r="J314" s="284">
        <f>opex_orig!$AD$64</f>
        <v>1.1406303800218899E-2</v>
      </c>
      <c r="K314" s="284">
        <f>J314*(I314+I316)</f>
        <v>1.1406303800218899E-2</v>
      </c>
      <c r="L314" s="284">
        <f t="shared" si="43"/>
        <v>0</v>
      </c>
      <c r="M314" s="284">
        <f t="shared" si="41"/>
        <v>1.1406303800218899E-2</v>
      </c>
    </row>
    <row r="315" spans="1:16" ht="15" customHeight="1" x14ac:dyDescent="0.25">
      <c r="A315" s="2" t="s">
        <v>919</v>
      </c>
      <c r="B315" s="2" t="s">
        <v>143</v>
      </c>
      <c r="C315" s="2" t="s">
        <v>739</v>
      </c>
      <c r="D315" s="2" t="s">
        <v>827</v>
      </c>
      <c r="E315" s="15" t="s">
        <v>991</v>
      </c>
      <c r="F315" s="311" t="s">
        <v>129</v>
      </c>
      <c r="G315" s="306">
        <f>opex_sources!H165/(opex_sources!H165+0*opex_sources!H171+0*opex_sources!H177)</f>
        <v>1</v>
      </c>
      <c r="H315" s="306">
        <f>opex_sources!H165/opex_sources!H165</f>
        <v>1</v>
      </c>
      <c r="I315" s="306">
        <f t="shared" si="40"/>
        <v>1</v>
      </c>
      <c r="J315" s="305">
        <f>opex_orig!$AD$55</f>
        <v>7.2731977315082796E-3</v>
      </c>
      <c r="K315" s="305">
        <f>J315*I315</f>
        <v>7.2731977315082796E-3</v>
      </c>
      <c r="L315" s="305">
        <f t="shared" ref="L315" si="45">K315*H315</f>
        <v>7.2731977315082796E-3</v>
      </c>
      <c r="M315" s="305">
        <f t="shared" si="41"/>
        <v>7.2731977315082796E-3</v>
      </c>
      <c r="N315" s="187">
        <f>opex_sources!H165</f>
        <v>5.0239234449760764E-2</v>
      </c>
      <c r="O315" s="187">
        <f>SUM(L315:L328)/L$330</f>
        <v>0.80374973377034342</v>
      </c>
      <c r="P315" s="15" t="s">
        <v>991</v>
      </c>
    </row>
    <row r="316" spans="1:16" ht="15" customHeight="1" x14ac:dyDescent="0.25">
      <c r="A316" s="2" t="s">
        <v>919</v>
      </c>
      <c r="B316" s="2" t="s">
        <v>143</v>
      </c>
      <c r="C316" s="2" t="s">
        <v>739</v>
      </c>
      <c r="D316" s="2" t="s">
        <v>827</v>
      </c>
      <c r="E316" s="15" t="s">
        <v>991</v>
      </c>
      <c r="F316" s="278" t="s">
        <v>1035</v>
      </c>
      <c r="G316" s="283">
        <f>opex_sources!H165/(opex_sources!H165+0*opex_sources!H171+0*opex_sources!H177)</f>
        <v>1</v>
      </c>
      <c r="H316" s="283">
        <f>opex_sources!H165/opex_sources!H165</f>
        <v>1</v>
      </c>
      <c r="I316" s="283">
        <f t="shared" si="40"/>
        <v>1</v>
      </c>
      <c r="J316" s="284">
        <f>opex_orig!$AD$64</f>
        <v>1.1406303800218899E-2</v>
      </c>
      <c r="K316" s="284">
        <f>J316*(I314+I316)</f>
        <v>1.1406303800218899E-2</v>
      </c>
      <c r="L316" s="284">
        <f t="shared" si="43"/>
        <v>1.1406303800218899E-2</v>
      </c>
      <c r="M316" s="284">
        <f t="shared" si="41"/>
        <v>1.1406303800218899E-2</v>
      </c>
      <c r="P316" s="15"/>
    </row>
    <row r="317" spans="1:16" ht="15" customHeight="1" x14ac:dyDescent="0.25">
      <c r="A317" s="2" t="s">
        <v>919</v>
      </c>
      <c r="B317" s="2" t="s">
        <v>143</v>
      </c>
      <c r="C317" s="2" t="s">
        <v>739</v>
      </c>
      <c r="D317" s="2" t="s">
        <v>827</v>
      </c>
      <c r="E317" s="15" t="s">
        <v>991</v>
      </c>
      <c r="F317" s="294" t="s">
        <v>223</v>
      </c>
      <c r="G317" s="295">
        <f>opex_sources!H165/(opex_sources!H165+0*opex_sources!H171+0*opex_sources!H177)</f>
        <v>1</v>
      </c>
      <c r="H317" s="295">
        <f>opex_sources!H165/opex_sources!H165</f>
        <v>1</v>
      </c>
      <c r="I317" s="295">
        <f t="shared" si="40"/>
        <v>1</v>
      </c>
      <c r="J317" s="296">
        <f>opex_orig!$AD$116</f>
        <v>9.3494861544835706E-3</v>
      </c>
      <c r="K317" s="296">
        <f t="shared" si="42"/>
        <v>9.3494861544835706E-3</v>
      </c>
      <c r="L317" s="296">
        <f t="shared" si="43"/>
        <v>9.3494861544835706E-3</v>
      </c>
      <c r="M317" s="296">
        <f t="shared" si="41"/>
        <v>9.3494861544835706E-3</v>
      </c>
    </row>
    <row r="318" spans="1:16" ht="15" customHeight="1" x14ac:dyDescent="0.25">
      <c r="A318" s="2" t="s">
        <v>919</v>
      </c>
      <c r="B318" s="2" t="s">
        <v>143</v>
      </c>
      <c r="C318" s="2" t="s">
        <v>739</v>
      </c>
      <c r="D318" s="2" t="s">
        <v>827</v>
      </c>
      <c r="E318" s="15" t="s">
        <v>991</v>
      </c>
      <c r="F318" s="258" t="s">
        <v>227</v>
      </c>
      <c r="G318" s="237">
        <f>opex_sources!H165/(opex_sources!H165+0*opex_sources!H171+0*opex_sources!H177)</f>
        <v>1</v>
      </c>
      <c r="H318" s="237">
        <f>opex_sources!H165/opex_sources!H165</f>
        <v>1</v>
      </c>
      <c r="I318" s="237">
        <f t="shared" si="40"/>
        <v>1</v>
      </c>
      <c r="J318" s="238">
        <f>opex_orig!$AD$118</f>
        <v>1.0960305363634499E-2</v>
      </c>
      <c r="K318" s="238">
        <f t="shared" si="42"/>
        <v>1.0960305363634499E-2</v>
      </c>
      <c r="L318" s="238">
        <f t="shared" si="43"/>
        <v>1.0960305363634499E-2</v>
      </c>
      <c r="M318" s="238">
        <f t="shared" si="41"/>
        <v>1.0960305363634499E-2</v>
      </c>
    </row>
    <row r="319" spans="1:16" ht="15" customHeight="1" x14ac:dyDescent="0.25">
      <c r="A319" s="2" t="s">
        <v>919</v>
      </c>
      <c r="B319" s="2" t="s">
        <v>143</v>
      </c>
      <c r="C319" s="2" t="s">
        <v>739</v>
      </c>
      <c r="D319" s="2" t="s">
        <v>827</v>
      </c>
      <c r="E319" s="15" t="s">
        <v>991</v>
      </c>
      <c r="F319" s="264" t="s">
        <v>231</v>
      </c>
      <c r="G319" s="230">
        <f>opex_sources!H165/(opex_sources!H165+0*opex_sources!H171+0*opex_sources!H177)</f>
        <v>1</v>
      </c>
      <c r="H319" s="230">
        <f>opex_sources!H165/opex_sources!H165</f>
        <v>1</v>
      </c>
      <c r="I319" s="230">
        <f t="shared" si="40"/>
        <v>1</v>
      </c>
      <c r="J319" s="231">
        <f>opex_orig!$AD$120</f>
        <v>5.2021404617691697E-2</v>
      </c>
      <c r="K319" s="231">
        <f t="shared" si="42"/>
        <v>5.2021404617691697E-2</v>
      </c>
      <c r="L319" s="231">
        <f t="shared" si="43"/>
        <v>5.2021404617691697E-2</v>
      </c>
      <c r="M319" s="231">
        <f t="shared" si="41"/>
        <v>5.2021404617691697E-2</v>
      </c>
    </row>
    <row r="320" spans="1:16" ht="15" customHeight="1" x14ac:dyDescent="0.25">
      <c r="A320" s="2" t="s">
        <v>919</v>
      </c>
      <c r="B320" s="2" t="s">
        <v>143</v>
      </c>
      <c r="C320" s="2" t="s">
        <v>739</v>
      </c>
      <c r="D320" s="2" t="s">
        <v>827</v>
      </c>
      <c r="E320" s="15" t="s">
        <v>991</v>
      </c>
      <c r="F320" s="281" t="s">
        <v>233</v>
      </c>
      <c r="G320" s="289">
        <f>opex_sources!H165/(opex_sources!H165+0*opex_sources!H171+0*opex_sources!H177)</f>
        <v>1</v>
      </c>
      <c r="H320" s="289">
        <f>opex_sources!H165/opex_sources!H165</f>
        <v>1</v>
      </c>
      <c r="I320" s="289">
        <f t="shared" si="40"/>
        <v>1</v>
      </c>
      <c r="J320" s="226">
        <f>opex_orig!$AD$121</f>
        <v>2.7457674285480502E-2</v>
      </c>
      <c r="K320" s="226">
        <f t="shared" si="42"/>
        <v>2.7457674285480502E-2</v>
      </c>
      <c r="L320" s="226">
        <f t="shared" si="43"/>
        <v>2.7457674285480502E-2</v>
      </c>
      <c r="M320" s="226">
        <f t="shared" si="41"/>
        <v>2.7457674285480502E-2</v>
      </c>
    </row>
    <row r="321" spans="1:16" ht="15" customHeight="1" x14ac:dyDescent="0.25">
      <c r="A321" s="2" t="s">
        <v>919</v>
      </c>
      <c r="B321" s="2" t="s">
        <v>143</v>
      </c>
      <c r="C321" s="2" t="s">
        <v>739</v>
      </c>
      <c r="D321" s="2" t="s">
        <v>827</v>
      </c>
      <c r="E321" s="15" t="s">
        <v>991</v>
      </c>
      <c r="F321" s="191" t="s">
        <v>239</v>
      </c>
      <c r="G321" s="192">
        <f>opex_sources!H165/(opex_sources!H165+0*opex_sources!H171+0*opex_sources!H177)</f>
        <v>1</v>
      </c>
      <c r="H321" s="192">
        <f>opex_sources!H165/opex_sources!H165</f>
        <v>1</v>
      </c>
      <c r="I321" s="192">
        <f t="shared" si="40"/>
        <v>1</v>
      </c>
      <c r="J321" s="217">
        <f>opex_orig!$AD$124</f>
        <v>4.4291695162636098E-2</v>
      </c>
      <c r="K321" s="217">
        <f t="shared" si="42"/>
        <v>4.4291695162636098E-2</v>
      </c>
      <c r="L321" s="217">
        <f t="shared" si="43"/>
        <v>4.4291695162636098E-2</v>
      </c>
      <c r="M321" s="217">
        <f t="shared" si="41"/>
        <v>4.4291695162636098E-2</v>
      </c>
    </row>
    <row r="322" spans="1:16" ht="15" customHeight="1" x14ac:dyDescent="0.25">
      <c r="A322" s="2" t="s">
        <v>919</v>
      </c>
      <c r="B322" s="2" t="s">
        <v>143</v>
      </c>
      <c r="C322" s="2" t="s">
        <v>739</v>
      </c>
      <c r="D322" s="2" t="s">
        <v>827</v>
      </c>
      <c r="E322" s="15" t="s">
        <v>991</v>
      </c>
      <c r="F322" s="255" t="s">
        <v>249</v>
      </c>
      <c r="G322" s="256">
        <f>opex_sources!H165/(opex_sources!H165+0*opex_sources!H171+0*opex_sources!H177)</f>
        <v>1</v>
      </c>
      <c r="H322" s="256">
        <f>opex_sources!H165/opex_sources!H165</f>
        <v>1</v>
      </c>
      <c r="I322" s="256">
        <f t="shared" si="40"/>
        <v>1</v>
      </c>
      <c r="J322" s="257">
        <f>opex_orig!$AD$129</f>
        <v>5.5702518711760098E-3</v>
      </c>
      <c r="K322" s="257">
        <f t="shared" si="42"/>
        <v>5.5702518711760098E-3</v>
      </c>
      <c r="L322" s="257">
        <f t="shared" si="43"/>
        <v>5.5702518711760098E-3</v>
      </c>
      <c r="M322" s="257">
        <f t="shared" si="41"/>
        <v>5.5702518711760098E-3</v>
      </c>
    </row>
    <row r="323" spans="1:16" ht="15" customHeight="1" x14ac:dyDescent="0.25">
      <c r="A323" s="2" t="s">
        <v>919</v>
      </c>
      <c r="B323" s="2" t="s">
        <v>143</v>
      </c>
      <c r="C323" s="2" t="s">
        <v>739</v>
      </c>
      <c r="D323" s="2" t="s">
        <v>827</v>
      </c>
      <c r="E323" s="15" t="s">
        <v>991</v>
      </c>
      <c r="F323" s="300" t="s">
        <v>255</v>
      </c>
      <c r="G323" s="301">
        <f>opex_sources!H165/(opex_sources!H165+0*opex_sources!H171+0*opex_sources!H177)</f>
        <v>1</v>
      </c>
      <c r="H323" s="301">
        <f>opex_sources!H165/opex_sources!H165</f>
        <v>1</v>
      </c>
      <c r="I323" s="301">
        <f t="shared" si="40"/>
        <v>1</v>
      </c>
      <c r="J323" s="302">
        <f>opex_orig!$AD$132</f>
        <v>8.0393532307613397E-3</v>
      </c>
      <c r="K323" s="302">
        <f t="shared" si="42"/>
        <v>8.0393532307613397E-3</v>
      </c>
      <c r="L323" s="302">
        <f t="shared" si="43"/>
        <v>8.0393532307613397E-3</v>
      </c>
      <c r="M323" s="302">
        <f t="shared" si="41"/>
        <v>8.0393532307613397E-3</v>
      </c>
    </row>
    <row r="324" spans="1:16" ht="15" customHeight="1" x14ac:dyDescent="0.25">
      <c r="A324" s="2" t="s">
        <v>919</v>
      </c>
      <c r="B324" s="2" t="s">
        <v>143</v>
      </c>
      <c r="C324" s="2" t="s">
        <v>739</v>
      </c>
      <c r="D324" s="2" t="s">
        <v>827</v>
      </c>
      <c r="E324" s="15" t="s">
        <v>991</v>
      </c>
      <c r="F324" s="297" t="s">
        <v>257</v>
      </c>
      <c r="G324" s="298">
        <f>opex_sources!H165/(opex_sources!H165+0*opex_sources!H171+0*opex_sources!H177)</f>
        <v>1</v>
      </c>
      <c r="H324" s="298">
        <f>opex_sources!H165/opex_sources!H165</f>
        <v>1</v>
      </c>
      <c r="I324" s="298">
        <f t="shared" si="40"/>
        <v>1</v>
      </c>
      <c r="J324" s="299">
        <f>opex_orig!$AD$133</f>
        <v>8.8305151998102405E-2</v>
      </c>
      <c r="K324" s="299">
        <f t="shared" si="42"/>
        <v>8.8305151998102405E-2</v>
      </c>
      <c r="L324" s="299">
        <f t="shared" si="43"/>
        <v>8.8305151998102405E-2</v>
      </c>
      <c r="M324" s="299">
        <f t="shared" si="41"/>
        <v>8.8305151998102391E-2</v>
      </c>
    </row>
    <row r="325" spans="1:16" ht="15" customHeight="1" x14ac:dyDescent="0.25">
      <c r="A325" s="2" t="s">
        <v>919</v>
      </c>
      <c r="B325" s="2" t="s">
        <v>143</v>
      </c>
      <c r="C325" s="2" t="s">
        <v>739</v>
      </c>
      <c r="D325" s="2" t="s">
        <v>827</v>
      </c>
      <c r="E325" s="15" t="s">
        <v>991</v>
      </c>
      <c r="F325" s="290" t="s">
        <v>267</v>
      </c>
      <c r="G325" s="198">
        <f>opex_sources!H165/(opex_sources!H165+0*opex_sources!H171+0*opex_sources!H177)</f>
        <v>1</v>
      </c>
      <c r="H325" s="198">
        <f>opex_sources!H165/opex_sources!H165</f>
        <v>1</v>
      </c>
      <c r="I325" s="198">
        <f t="shared" si="40"/>
        <v>1</v>
      </c>
      <c r="J325" s="208">
        <f>opex_orig!$AD$138</f>
        <v>4.1270669160376701E-2</v>
      </c>
      <c r="K325" s="208">
        <f t="shared" si="42"/>
        <v>4.1270669160376701E-2</v>
      </c>
      <c r="L325" s="208">
        <f t="shared" si="43"/>
        <v>4.1270669160376701E-2</v>
      </c>
      <c r="M325" s="208">
        <f t="shared" si="41"/>
        <v>4.1270669160376701E-2</v>
      </c>
    </row>
    <row r="326" spans="1:16" ht="15" customHeight="1" x14ac:dyDescent="0.25">
      <c r="A326" s="2" t="s">
        <v>919</v>
      </c>
      <c r="B326" s="2" t="s">
        <v>143</v>
      </c>
      <c r="C326" s="2" t="s">
        <v>739</v>
      </c>
      <c r="D326" s="2" t="s">
        <v>827</v>
      </c>
      <c r="E326" s="15" t="s">
        <v>991</v>
      </c>
      <c r="F326" s="241" t="s">
        <v>372</v>
      </c>
      <c r="G326" s="203">
        <f>opex_sources!H165/(opex_sources!H165+0*opex_sources!H171+0*opex_sources!H177)</f>
        <v>1</v>
      </c>
      <c r="H326" s="203">
        <f>opex_sources!H165/opex_sources!H165</f>
        <v>1</v>
      </c>
      <c r="I326" s="203">
        <f t="shared" si="40"/>
        <v>1</v>
      </c>
      <c r="J326" s="227">
        <f>opex_orig!$AD$169</f>
        <v>1.3590283572723801E-2</v>
      </c>
      <c r="K326" s="227">
        <f t="shared" si="42"/>
        <v>1.3590283572723801E-2</v>
      </c>
      <c r="L326" s="227">
        <f t="shared" si="43"/>
        <v>1.3590283572723801E-2</v>
      </c>
      <c r="M326" s="227">
        <f t="shared" si="41"/>
        <v>1.3590283572723801E-2</v>
      </c>
    </row>
    <row r="327" spans="1:16" ht="15" customHeight="1" x14ac:dyDescent="0.25">
      <c r="A327" s="2" t="s">
        <v>919</v>
      </c>
      <c r="B327" s="2" t="s">
        <v>143</v>
      </c>
      <c r="C327" s="2" t="s">
        <v>739</v>
      </c>
      <c r="D327" s="2" t="s">
        <v>827</v>
      </c>
      <c r="E327" s="15" t="s">
        <v>991</v>
      </c>
      <c r="F327" s="241" t="s">
        <v>373</v>
      </c>
      <c r="G327" s="203">
        <f>opex_sources!H165/(opex_sources!H165+0*opex_sources!H171+0*opex_sources!H177)</f>
        <v>1</v>
      </c>
      <c r="H327" s="203">
        <f>opex_sources!H165/opex_sources!H165</f>
        <v>1</v>
      </c>
      <c r="I327" s="203">
        <f t="shared" si="40"/>
        <v>1</v>
      </c>
      <c r="J327" s="227">
        <f>opex_orig!$AD$170</f>
        <v>0.131959371148891</v>
      </c>
      <c r="K327" s="227">
        <f t="shared" si="42"/>
        <v>0.131959371148891</v>
      </c>
      <c r="L327" s="227">
        <f t="shared" si="43"/>
        <v>0.131959371148891</v>
      </c>
      <c r="M327" s="227">
        <f t="shared" si="41"/>
        <v>0.131959371148891</v>
      </c>
    </row>
    <row r="328" spans="1:16" ht="15" customHeight="1" x14ac:dyDescent="0.25">
      <c r="A328" s="2" t="s">
        <v>919</v>
      </c>
      <c r="B328" s="2" t="s">
        <v>143</v>
      </c>
      <c r="C328" s="2" t="s">
        <v>739</v>
      </c>
      <c r="D328" s="2" t="s">
        <v>827</v>
      </c>
      <c r="E328" s="15" t="s">
        <v>991</v>
      </c>
      <c r="F328" s="241" t="s">
        <v>374</v>
      </c>
      <c r="G328" s="203">
        <f>opex_sources!H165/(opex_sources!H165+0*opex_sources!H171+0*opex_sources!H177)</f>
        <v>1</v>
      </c>
      <c r="H328" s="203">
        <f>opex_sources!H165/opex_sources!H165</f>
        <v>1</v>
      </c>
      <c r="I328" s="203">
        <f t="shared" si="40"/>
        <v>1</v>
      </c>
      <c r="J328" s="227">
        <f>opex_orig!$AD$171</f>
        <v>0.10718516514040501</v>
      </c>
      <c r="K328" s="227">
        <f t="shared" si="42"/>
        <v>0.10718516514040501</v>
      </c>
      <c r="L328" s="227">
        <f t="shared" si="43"/>
        <v>0.10718516514040501</v>
      </c>
      <c r="M328" s="227">
        <f t="shared" si="41"/>
        <v>0.10718516514040501</v>
      </c>
    </row>
    <row r="329" spans="1:16" ht="15" customHeight="1" x14ac:dyDescent="0.25">
      <c r="A329" s="2" t="s">
        <v>919</v>
      </c>
      <c r="B329" s="2" t="s">
        <v>143</v>
      </c>
      <c r="C329" s="2" t="s">
        <v>739</v>
      </c>
      <c r="D329" s="2" t="s">
        <v>827</v>
      </c>
      <c r="E329" s="15" t="s">
        <v>404</v>
      </c>
      <c r="F329" s="240" t="s">
        <v>375</v>
      </c>
      <c r="G329" s="202">
        <f>opex_sources!H166/(opex_sources!H166+0*opex_sources!H172+0*opex_sources!H178)</f>
        <v>1</v>
      </c>
      <c r="H329" s="202">
        <f>opex_sources!H166/opex_sources!H166</f>
        <v>1</v>
      </c>
      <c r="I329" s="202">
        <f t="shared" si="40"/>
        <v>1</v>
      </c>
      <c r="J329" s="239">
        <f>opex_orig!$AD$172</f>
        <v>9.6972910774539706E-2</v>
      </c>
      <c r="K329" s="239">
        <f t="shared" si="42"/>
        <v>9.6972910774539706E-2</v>
      </c>
      <c r="L329" s="239">
        <f t="shared" si="43"/>
        <v>9.6972910774539706E-2</v>
      </c>
      <c r="M329" s="239">
        <f t="shared" si="41"/>
        <v>9.6972910774539706E-2</v>
      </c>
      <c r="N329" s="187">
        <f>opex_sources!H166</f>
        <v>0.28468899521531099</v>
      </c>
      <c r="O329" s="187">
        <f>L329/L$330</f>
        <v>0.13951082465430537</v>
      </c>
      <c r="P329" s="15" t="s">
        <v>404</v>
      </c>
    </row>
    <row r="330" spans="1:16" ht="15" customHeight="1" x14ac:dyDescent="0.25">
      <c r="A330" s="2" t="s">
        <v>919</v>
      </c>
      <c r="B330" s="24" t="s">
        <v>143</v>
      </c>
      <c r="C330" s="24" t="s">
        <v>739</v>
      </c>
      <c r="D330" s="24" t="s">
        <v>827</v>
      </c>
      <c r="E330" s="31" t="s">
        <v>346</v>
      </c>
      <c r="F330" s="19"/>
      <c r="G330" s="184"/>
      <c r="H330" s="184"/>
      <c r="I330" s="184"/>
      <c r="J330" s="221">
        <f>SUM(J295:J313,J315:J329)</f>
        <v>0.69509237734655649</v>
      </c>
      <c r="K330" s="221">
        <f>SUM(K295:K313,K315:K329)</f>
        <v>0.69509237734655649</v>
      </c>
      <c r="L330" s="221">
        <f>SUM(L295:L329)</f>
        <v>0.69509237734655649</v>
      </c>
      <c r="M330" s="221">
        <f>SUM(M295:M313,M315:M329)</f>
        <v>0.69509237734655649</v>
      </c>
      <c r="N330" s="277">
        <f>SUM(N295:N329)</f>
        <v>1</v>
      </c>
      <c r="O330" s="277">
        <f>SUM(O295:O329)</f>
        <v>0.9855035747012022</v>
      </c>
    </row>
    <row r="331" spans="1:16" ht="15" customHeight="1" x14ac:dyDescent="0.25">
      <c r="A331" s="2" t="s">
        <v>919</v>
      </c>
      <c r="B331" s="2" t="s">
        <v>143</v>
      </c>
      <c r="C331" s="2" t="s">
        <v>740</v>
      </c>
      <c r="D331" s="2" t="s">
        <v>828</v>
      </c>
      <c r="E331" s="12" t="s">
        <v>836</v>
      </c>
      <c r="F331" s="259" t="s">
        <v>2</v>
      </c>
      <c r="G331" s="260">
        <f>opex_sources!H168/(opex_sources!H162+0*opex_sources!H168+0*opex_sources!H174)</f>
        <v>0.42060899492504228</v>
      </c>
      <c r="H331" s="260">
        <f>opex_sources!H168/opex_sources!H168</f>
        <v>1</v>
      </c>
      <c r="I331" s="260">
        <f t="shared" si="40"/>
        <v>0.42060899492504228</v>
      </c>
      <c r="J331" s="261">
        <f>opex_orig!$AD$97</f>
        <v>4.5176509017278103E-3</v>
      </c>
      <c r="K331" s="261">
        <f t="shared" si="42"/>
        <v>1.9001646051979451E-3</v>
      </c>
      <c r="L331" s="261">
        <f>K331*H331</f>
        <v>1.9001646051979451E-3</v>
      </c>
      <c r="M331" s="261">
        <f t="shared" ref="M331:M365" si="46">K331/$K$366*$J$366</f>
        <v>1.1139980150779451E-3</v>
      </c>
      <c r="N331" s="187">
        <f>opex_sources!H168</f>
        <v>0.12477396021699819</v>
      </c>
      <c r="O331" s="187">
        <f>SUM(L331:L346)/L$366</f>
        <v>4.9100477237235879E-3</v>
      </c>
      <c r="P331" s="12" t="s">
        <v>836</v>
      </c>
    </row>
    <row r="332" spans="1:16" ht="15" customHeight="1" x14ac:dyDescent="0.25">
      <c r="A332" s="2" t="s">
        <v>919</v>
      </c>
      <c r="B332" s="2" t="s">
        <v>143</v>
      </c>
      <c r="C332" s="2" t="s">
        <v>740</v>
      </c>
      <c r="D332" s="2" t="s">
        <v>828</v>
      </c>
      <c r="E332" s="12" t="s">
        <v>836</v>
      </c>
      <c r="F332" s="259" t="s">
        <v>4</v>
      </c>
      <c r="G332" s="260">
        <f>opex_sources!H168/(opex_sources!H162+0*opex_sources!H168+0*opex_sources!H174)</f>
        <v>0.42060899492504228</v>
      </c>
      <c r="H332" s="260">
        <f>opex_sources!H168/opex_sources!H168</f>
        <v>1</v>
      </c>
      <c r="I332" s="260">
        <f t="shared" si="40"/>
        <v>0.42060899492504228</v>
      </c>
      <c r="J332" s="261">
        <f>opex_orig!$AD$98</f>
        <v>7.0137183206178306E-5</v>
      </c>
      <c r="K332" s="261">
        <f t="shared" si="42"/>
        <v>2.950033013522421E-5</v>
      </c>
      <c r="L332" s="261">
        <f t="shared" ref="L332:L365" si="47">K332*H332</f>
        <v>2.950033013522421E-5</v>
      </c>
      <c r="M332" s="261">
        <f t="shared" si="46"/>
        <v>1.7294980195339657E-5</v>
      </c>
    </row>
    <row r="333" spans="1:16" ht="15" customHeight="1" x14ac:dyDescent="0.25">
      <c r="A333" s="2" t="s">
        <v>919</v>
      </c>
      <c r="B333" s="2" t="s">
        <v>143</v>
      </c>
      <c r="C333" s="2" t="s">
        <v>740</v>
      </c>
      <c r="D333" s="2" t="s">
        <v>828</v>
      </c>
      <c r="E333" s="12" t="s">
        <v>836</v>
      </c>
      <c r="F333" s="259" t="s">
        <v>6</v>
      </c>
      <c r="G333" s="260">
        <f>opex_sources!H168/(opex_sources!H162+0*opex_sources!H168+0*opex_sources!H174)</f>
        <v>0.42060899492504228</v>
      </c>
      <c r="H333" s="260">
        <f>opex_sources!H168/opex_sources!H168</f>
        <v>1</v>
      </c>
      <c r="I333" s="260">
        <f t="shared" si="40"/>
        <v>0.42060899492504228</v>
      </c>
      <c r="J333" s="261">
        <f>opex_orig!$AD$99</f>
        <v>3.3409401562030502E-3</v>
      </c>
      <c r="K333" s="261">
        <f t="shared" si="42"/>
        <v>1.4052294812052788E-3</v>
      </c>
      <c r="L333" s="261">
        <f t="shared" si="47"/>
        <v>1.4052294812052788E-3</v>
      </c>
      <c r="M333" s="261">
        <f t="shared" si="46"/>
        <v>8.2383539221256947E-4</v>
      </c>
    </row>
    <row r="334" spans="1:16" ht="15" customHeight="1" x14ac:dyDescent="0.25">
      <c r="A334" s="2" t="s">
        <v>919</v>
      </c>
      <c r="B334" s="2" t="s">
        <v>143</v>
      </c>
      <c r="C334" s="2" t="s">
        <v>740</v>
      </c>
      <c r="D334" s="2" t="s">
        <v>828</v>
      </c>
      <c r="E334" s="12" t="s">
        <v>836</v>
      </c>
      <c r="F334" s="259" t="s">
        <v>8</v>
      </c>
      <c r="G334" s="260">
        <f>opex_sources!H168/(opex_sources!H162+0*opex_sources!H168+0*opex_sources!H174)</f>
        <v>0.42060899492504228</v>
      </c>
      <c r="H334" s="260">
        <f>opex_sources!H168/opex_sources!H168</f>
        <v>1</v>
      </c>
      <c r="I334" s="260">
        <f t="shared" si="40"/>
        <v>0.42060899492504228</v>
      </c>
      <c r="J334" s="261">
        <f>opex_orig!$AD$100</f>
        <v>2.12120146280756E-4</v>
      </c>
      <c r="K334" s="261">
        <f t="shared" si="42"/>
        <v>8.9219641530501723E-5</v>
      </c>
      <c r="L334" s="261">
        <f t="shared" si="47"/>
        <v>8.9219641530501723E-5</v>
      </c>
      <c r="M334" s="261">
        <f t="shared" si="46"/>
        <v>5.2306259836152964E-5</v>
      </c>
    </row>
    <row r="335" spans="1:16" ht="15" customHeight="1" x14ac:dyDescent="0.25">
      <c r="A335" s="2" t="s">
        <v>919</v>
      </c>
      <c r="B335" s="2" t="s">
        <v>143</v>
      </c>
      <c r="C335" s="2" t="s">
        <v>740</v>
      </c>
      <c r="D335" s="2" t="s">
        <v>828</v>
      </c>
      <c r="E335" s="12" t="s">
        <v>836</v>
      </c>
      <c r="F335" s="259" t="s">
        <v>342</v>
      </c>
      <c r="G335" s="260">
        <f>opex_sources!H168/(opex_sources!H162+0*opex_sources!H168+0*opex_sources!H174)</f>
        <v>0.42060899492504228</v>
      </c>
      <c r="H335" s="260">
        <f>opex_sources!H168/opex_sources!H168</f>
        <v>1</v>
      </c>
      <c r="I335" s="260">
        <f t="shared" si="40"/>
        <v>0.42060899492504228</v>
      </c>
      <c r="J335" s="261">
        <f>opex_orig!$AD$101</f>
        <v>4.0171547932160302E-5</v>
      </c>
      <c r="K335" s="261">
        <f t="shared" si="42"/>
        <v>1.6896514400329104E-5</v>
      </c>
      <c r="L335" s="261">
        <f t="shared" si="47"/>
        <v>1.6896514400329104E-5</v>
      </c>
      <c r="M335" s="261">
        <f t="shared" si="46"/>
        <v>9.905817344567227E-6</v>
      </c>
    </row>
    <row r="336" spans="1:16" ht="15" customHeight="1" x14ac:dyDescent="0.25">
      <c r="A336" s="2" t="s">
        <v>919</v>
      </c>
      <c r="B336" s="2" t="s">
        <v>143</v>
      </c>
      <c r="C336" s="2" t="s">
        <v>740</v>
      </c>
      <c r="D336" s="2" t="s">
        <v>828</v>
      </c>
      <c r="E336" s="12" t="s">
        <v>836</v>
      </c>
      <c r="F336" s="259" t="s">
        <v>343</v>
      </c>
      <c r="G336" s="260">
        <f>opex_sources!H168/(opex_sources!H162+0*opex_sources!H168+0*opex_sources!H174)</f>
        <v>0.42060899492504228</v>
      </c>
      <c r="H336" s="260">
        <f>opex_sources!H168/opex_sources!H168</f>
        <v>1</v>
      </c>
      <c r="I336" s="260">
        <f t="shared" si="40"/>
        <v>0.42060899492504228</v>
      </c>
      <c r="J336" s="261">
        <f>opex_orig!$AD$102</f>
        <v>9.4850640097901204E-8</v>
      </c>
      <c r="K336" s="261">
        <f t="shared" si="42"/>
        <v>3.9895032399575138E-8</v>
      </c>
      <c r="L336" s="261">
        <f t="shared" si="47"/>
        <v>3.9895032399575138E-8</v>
      </c>
      <c r="M336" s="261">
        <f t="shared" si="46"/>
        <v>2.3389019447590055E-8</v>
      </c>
    </row>
    <row r="337" spans="1:16" ht="15" customHeight="1" x14ac:dyDescent="0.25">
      <c r="A337" s="2" t="s">
        <v>919</v>
      </c>
      <c r="B337" s="2" t="s">
        <v>143</v>
      </c>
      <c r="C337" s="2" t="s">
        <v>740</v>
      </c>
      <c r="D337" s="2" t="s">
        <v>828</v>
      </c>
      <c r="E337" s="12" t="s">
        <v>836</v>
      </c>
      <c r="F337" s="259" t="s">
        <v>10</v>
      </c>
      <c r="G337" s="260">
        <f>opex_sources!H168/(opex_sources!H162+0*opex_sources!H168+0*opex_sources!H174)</f>
        <v>0.42060899492504228</v>
      </c>
      <c r="H337" s="260">
        <f>opex_sources!H168/opex_sources!H168</f>
        <v>1</v>
      </c>
      <c r="I337" s="260">
        <f t="shared" si="40"/>
        <v>0.42060899492504228</v>
      </c>
      <c r="J337" s="261">
        <f>opex_orig!$AD$103</f>
        <v>1.5827195035048702E-5</v>
      </c>
      <c r="K337" s="261">
        <f t="shared" si="42"/>
        <v>6.657060596174454E-6</v>
      </c>
      <c r="L337" s="261">
        <f t="shared" si="47"/>
        <v>6.657060596174454E-6</v>
      </c>
      <c r="M337" s="261">
        <f t="shared" si="46"/>
        <v>3.9027946684752641E-6</v>
      </c>
    </row>
    <row r="338" spans="1:16" ht="15" customHeight="1" x14ac:dyDescent="0.25">
      <c r="A338" s="2" t="s">
        <v>919</v>
      </c>
      <c r="B338" s="2" t="s">
        <v>143</v>
      </c>
      <c r="C338" s="2" t="s">
        <v>740</v>
      </c>
      <c r="D338" s="2" t="s">
        <v>828</v>
      </c>
      <c r="E338" s="12" t="s">
        <v>836</v>
      </c>
      <c r="F338" s="259" t="s">
        <v>12</v>
      </c>
      <c r="G338" s="260">
        <f>opex_sources!H168/(opex_sources!H162+0*opex_sources!H168+0*opex_sources!H174)</f>
        <v>0.42060899492504228</v>
      </c>
      <c r="H338" s="260">
        <f>opex_sources!H168/opex_sources!H168</f>
        <v>1</v>
      </c>
      <c r="I338" s="260">
        <f t="shared" si="40"/>
        <v>0.42060899492504228</v>
      </c>
      <c r="J338" s="261">
        <f>opex_orig!$AD$104</f>
        <v>5.3236548635258595E-4</v>
      </c>
      <c r="K338" s="261">
        <f t="shared" si="42"/>
        <v>2.2391771214754248E-4</v>
      </c>
      <c r="L338" s="261">
        <f t="shared" si="47"/>
        <v>2.2391771214754248E-4</v>
      </c>
      <c r="M338" s="261">
        <f t="shared" si="46"/>
        <v>1.3127488333947355E-4</v>
      </c>
    </row>
    <row r="339" spans="1:16" ht="15" customHeight="1" x14ac:dyDescent="0.25">
      <c r="A339" s="2" t="s">
        <v>919</v>
      </c>
      <c r="B339" s="2" t="s">
        <v>143</v>
      </c>
      <c r="C339" s="2" t="s">
        <v>740</v>
      </c>
      <c r="D339" s="2" t="s">
        <v>828</v>
      </c>
      <c r="E339" s="12" t="s">
        <v>836</v>
      </c>
      <c r="F339" s="259" t="s">
        <v>340</v>
      </c>
      <c r="G339" s="260">
        <f>opex_sources!H168/(opex_sources!H162+0*opex_sources!H168+0*opex_sources!H174)</f>
        <v>0.42060899492504228</v>
      </c>
      <c r="H339" s="260">
        <f>opex_sources!H168/opex_sources!H168</f>
        <v>1</v>
      </c>
      <c r="I339" s="260">
        <f t="shared" si="40"/>
        <v>0.42060899492504228</v>
      </c>
      <c r="J339" s="261">
        <f>opex_orig!$AD$105</f>
        <v>1.2474597341853799E-4</v>
      </c>
      <c r="K339" s="261">
        <f t="shared" si="42"/>
        <v>5.2469278500517307E-5</v>
      </c>
      <c r="L339" s="261">
        <f t="shared" si="47"/>
        <v>5.2469278500517307E-5</v>
      </c>
      <c r="M339" s="261">
        <f t="shared" si="46"/>
        <v>3.0760846687836938E-5</v>
      </c>
    </row>
    <row r="340" spans="1:16" ht="15" customHeight="1" x14ac:dyDescent="0.25">
      <c r="A340" s="2" t="s">
        <v>919</v>
      </c>
      <c r="B340" s="2" t="s">
        <v>143</v>
      </c>
      <c r="C340" s="2" t="s">
        <v>740</v>
      </c>
      <c r="D340" s="2" t="s">
        <v>828</v>
      </c>
      <c r="E340" s="12" t="s">
        <v>836</v>
      </c>
      <c r="F340" s="259" t="s">
        <v>341</v>
      </c>
      <c r="G340" s="260">
        <f>opex_sources!H168/(opex_sources!H162+0*opex_sources!H168+0*opex_sources!H174)</f>
        <v>0.42060899492504228</v>
      </c>
      <c r="H340" s="260">
        <f>opex_sources!H168/opex_sources!H168</f>
        <v>1</v>
      </c>
      <c r="I340" s="260">
        <f t="shared" si="40"/>
        <v>0.42060899492504228</v>
      </c>
      <c r="J340" s="261">
        <f>opex_orig!$AD$106</f>
        <v>6.5658863174722495E-5</v>
      </c>
      <c r="K340" s="261">
        <f t="shared" si="42"/>
        <v>2.76167084478409E-5</v>
      </c>
      <c r="L340" s="261">
        <f t="shared" si="47"/>
        <v>2.76167084478409E-5</v>
      </c>
      <c r="M340" s="261">
        <f t="shared" si="46"/>
        <v>1.619068069667376E-5</v>
      </c>
    </row>
    <row r="341" spans="1:16" ht="15" customHeight="1" x14ac:dyDescent="0.25">
      <c r="A341" s="2" t="s">
        <v>919</v>
      </c>
      <c r="B341" s="2" t="s">
        <v>143</v>
      </c>
      <c r="C341" s="2" t="s">
        <v>740</v>
      </c>
      <c r="D341" s="2" t="s">
        <v>828</v>
      </c>
      <c r="E341" s="12" t="s">
        <v>836</v>
      </c>
      <c r="F341" s="259" t="s">
        <v>14</v>
      </c>
      <c r="G341" s="260">
        <f>opex_sources!H168/(opex_sources!H162+0*opex_sources!H168+0*opex_sources!H174)</f>
        <v>0.42060899492504228</v>
      </c>
      <c r="H341" s="260">
        <f>opex_sources!H168/opex_sources!H168</f>
        <v>1</v>
      </c>
      <c r="I341" s="260">
        <f t="shared" si="40"/>
        <v>0.42060899492504228</v>
      </c>
      <c r="J341" s="261">
        <f>opex_orig!$AD$107</f>
        <v>1.9287146365628901E-9</v>
      </c>
      <c r="K341" s="261">
        <f t="shared" si="42"/>
        <v>8.112347247819354E-10</v>
      </c>
      <c r="L341" s="261">
        <f t="shared" si="47"/>
        <v>8.112347247819354E-10</v>
      </c>
      <c r="M341" s="261">
        <f t="shared" si="46"/>
        <v>4.7559767753659275E-10</v>
      </c>
    </row>
    <row r="342" spans="1:16" ht="15" customHeight="1" x14ac:dyDescent="0.25">
      <c r="A342" s="2" t="s">
        <v>919</v>
      </c>
      <c r="B342" s="2" t="s">
        <v>143</v>
      </c>
      <c r="C342" s="2" t="s">
        <v>740</v>
      </c>
      <c r="D342" s="2" t="s">
        <v>828</v>
      </c>
      <c r="E342" s="12" t="s">
        <v>836</v>
      </c>
      <c r="F342" s="259" t="s">
        <v>16</v>
      </c>
      <c r="G342" s="260">
        <f>opex_sources!H168/(opex_sources!H162+0*opex_sources!H168+0*opex_sources!H174)</f>
        <v>0.42060899492504228</v>
      </c>
      <c r="H342" s="260">
        <f>opex_sources!H168/opex_sources!H168</f>
        <v>1</v>
      </c>
      <c r="I342" s="260">
        <f t="shared" si="40"/>
        <v>0.42060899492504228</v>
      </c>
      <c r="J342" s="261">
        <f>opex_orig!$AD$108</f>
        <v>3.1313078810900002E-10</v>
      </c>
      <c r="K342" s="261">
        <f t="shared" si="42"/>
        <v>1.3170562606661288E-10</v>
      </c>
      <c r="L342" s="261">
        <f t="shared" si="47"/>
        <v>1.3170562606661288E-10</v>
      </c>
      <c r="M342" s="261">
        <f t="shared" si="46"/>
        <v>7.7214261128456634E-11</v>
      </c>
    </row>
    <row r="343" spans="1:16" ht="15" customHeight="1" x14ac:dyDescent="0.25">
      <c r="A343" s="2" t="s">
        <v>919</v>
      </c>
      <c r="B343" s="2" t="s">
        <v>143</v>
      </c>
      <c r="C343" s="2" t="s">
        <v>740</v>
      </c>
      <c r="D343" s="2" t="s">
        <v>828</v>
      </c>
      <c r="E343" s="12" t="s">
        <v>836</v>
      </c>
      <c r="F343" s="259" t="s">
        <v>18</v>
      </c>
      <c r="G343" s="260">
        <f>opex_sources!H168/(opex_sources!H162+0*opex_sources!H168+0*opex_sources!H174)</f>
        <v>0.42060899492504228</v>
      </c>
      <c r="H343" s="260">
        <f>opex_sources!H168/opex_sources!H168</f>
        <v>1</v>
      </c>
      <c r="I343" s="260">
        <f t="shared" si="40"/>
        <v>0.42060899492504228</v>
      </c>
      <c r="J343" s="261">
        <f>opex_orig!$AD$109</f>
        <v>5.5313346936039598E-8</v>
      </c>
      <c r="K343" s="261">
        <f t="shared" si="42"/>
        <v>2.3265291260707781E-8</v>
      </c>
      <c r="L343" s="261">
        <f t="shared" si="47"/>
        <v>2.3265291260707781E-8</v>
      </c>
      <c r="M343" s="261">
        <f t="shared" si="46"/>
        <v>1.3639601650162746E-8</v>
      </c>
    </row>
    <row r="344" spans="1:16" ht="15" customHeight="1" x14ac:dyDescent="0.25">
      <c r="A344" s="2" t="s">
        <v>919</v>
      </c>
      <c r="B344" s="2" t="s">
        <v>143</v>
      </c>
      <c r="C344" s="2" t="s">
        <v>740</v>
      </c>
      <c r="D344" s="2" t="s">
        <v>828</v>
      </c>
      <c r="E344" s="12" t="s">
        <v>836</v>
      </c>
      <c r="F344" s="259" t="s">
        <v>20</v>
      </c>
      <c r="G344" s="260">
        <f>opex_sources!H168/(opex_sources!H162+0*opex_sources!H168+0*opex_sources!H174)</f>
        <v>0.42060899492504228</v>
      </c>
      <c r="H344" s="260">
        <f>opex_sources!H168/opex_sources!H168</f>
        <v>1</v>
      </c>
      <c r="I344" s="260">
        <f t="shared" si="40"/>
        <v>0.42060899492504228</v>
      </c>
      <c r="J344" s="261">
        <f>opex_orig!$AD$110</f>
        <v>3.2757700900063201E-4</v>
      </c>
      <c r="K344" s="261">
        <f t="shared" si="42"/>
        <v>1.3778183651630736E-4</v>
      </c>
      <c r="L344" s="261">
        <f t="shared" si="47"/>
        <v>1.3778183651630736E-4</v>
      </c>
      <c r="M344" s="261">
        <f t="shared" si="46"/>
        <v>8.0776524293257762E-5</v>
      </c>
    </row>
    <row r="345" spans="1:16" ht="15" customHeight="1" x14ac:dyDescent="0.25">
      <c r="A345" s="2" t="s">
        <v>919</v>
      </c>
      <c r="B345" s="2" t="s">
        <v>143</v>
      </c>
      <c r="C345" s="2" t="s">
        <v>740</v>
      </c>
      <c r="D345" s="2" t="s">
        <v>828</v>
      </c>
      <c r="E345" s="12" t="s">
        <v>836</v>
      </c>
      <c r="F345" s="259" t="s">
        <v>213</v>
      </c>
      <c r="G345" s="260">
        <f>opex_sources!H168/(opex_sources!H162+0*opex_sources!H168+0*opex_sources!H174)</f>
        <v>0.42060899492504228</v>
      </c>
      <c r="H345" s="260">
        <f>opex_sources!H168/opex_sources!H168</f>
        <v>1</v>
      </c>
      <c r="I345" s="260">
        <f t="shared" si="40"/>
        <v>0.42060899492504228</v>
      </c>
      <c r="J345" s="261">
        <f>opex_orig!$AD$111</f>
        <v>1.8073528375023801E-3</v>
      </c>
      <c r="K345" s="261">
        <f t="shared" si="42"/>
        <v>7.6018886045679931E-4</v>
      </c>
      <c r="L345" s="261">
        <f t="shared" si="47"/>
        <v>7.6018886045679931E-4</v>
      </c>
      <c r="M345" s="261">
        <f t="shared" si="46"/>
        <v>4.4567132727168184E-4</v>
      </c>
    </row>
    <row r="346" spans="1:16" ht="15" customHeight="1" x14ac:dyDescent="0.25">
      <c r="A346" s="2" t="s">
        <v>919</v>
      </c>
      <c r="B346" s="2" t="s">
        <v>143</v>
      </c>
      <c r="C346" s="2" t="s">
        <v>740</v>
      </c>
      <c r="D346" s="2" t="s">
        <v>828</v>
      </c>
      <c r="E346" s="12" t="s">
        <v>836</v>
      </c>
      <c r="F346" s="259" t="s">
        <v>215</v>
      </c>
      <c r="G346" s="260">
        <f>opex_sources!H168/(opex_sources!H162+0*opex_sources!H168+0*opex_sources!H174)</f>
        <v>0.42060899492504228</v>
      </c>
      <c r="H346" s="260">
        <f>opex_sources!H168/opex_sources!H168</f>
        <v>1</v>
      </c>
      <c r="I346" s="260">
        <f t="shared" si="40"/>
        <v>0.42060899492504228</v>
      </c>
      <c r="J346" s="261">
        <f>opex_orig!$AD$112</f>
        <v>2.7859504172782199E-3</v>
      </c>
      <c r="K346" s="261">
        <f t="shared" si="42"/>
        <v>1.1717958049223941E-3</v>
      </c>
      <c r="L346" s="261">
        <f t="shared" si="47"/>
        <v>1.1717958049223941E-3</v>
      </c>
      <c r="M346" s="261">
        <f t="shared" si="46"/>
        <v>6.8698164211106628E-4</v>
      </c>
    </row>
    <row r="347" spans="1:16" ht="15" customHeight="1" x14ac:dyDescent="0.25">
      <c r="A347" s="2" t="s">
        <v>919</v>
      </c>
      <c r="B347" s="2" t="s">
        <v>143</v>
      </c>
      <c r="C347" s="2" t="s">
        <v>740</v>
      </c>
      <c r="D347" s="2" t="s">
        <v>828</v>
      </c>
      <c r="E347" s="304" t="s">
        <v>990</v>
      </c>
      <c r="F347" s="267" t="s">
        <v>61</v>
      </c>
      <c r="G347" s="307"/>
      <c r="H347" s="307">
        <v>0</v>
      </c>
      <c r="I347" s="308">
        <f t="shared" si="40"/>
        <v>0</v>
      </c>
      <c r="J347" s="266">
        <f>opex_orig!$AD$21</f>
        <v>1.5464210803373899E-2</v>
      </c>
      <c r="K347" s="266">
        <f>J347*I347</f>
        <v>0</v>
      </c>
      <c r="L347" s="266">
        <f t="shared" si="47"/>
        <v>0</v>
      </c>
      <c r="M347" s="266">
        <f t="shared" si="46"/>
        <v>0</v>
      </c>
    </row>
    <row r="348" spans="1:16" ht="15" customHeight="1" x14ac:dyDescent="0.25">
      <c r="A348" s="2" t="s">
        <v>919</v>
      </c>
      <c r="B348" s="2" t="s">
        <v>143</v>
      </c>
      <c r="C348" s="2" t="s">
        <v>740</v>
      </c>
      <c r="D348" s="2" t="s">
        <v>828</v>
      </c>
      <c r="E348" s="304" t="s">
        <v>990</v>
      </c>
      <c r="F348" s="291" t="s">
        <v>65</v>
      </c>
      <c r="G348" s="307"/>
      <c r="H348" s="307">
        <v>0</v>
      </c>
      <c r="I348" s="309">
        <f>G348*H348</f>
        <v>0</v>
      </c>
      <c r="J348" s="293">
        <f>opex_orig!$AD$23</f>
        <v>5.7937683640318899E-5</v>
      </c>
      <c r="K348" s="293">
        <f t="shared" si="42"/>
        <v>0</v>
      </c>
      <c r="L348" s="293">
        <f t="shared" si="47"/>
        <v>0</v>
      </c>
      <c r="M348" s="293">
        <f t="shared" si="46"/>
        <v>0</v>
      </c>
    </row>
    <row r="349" spans="1:16" ht="15" customHeight="1" x14ac:dyDescent="0.25">
      <c r="A349" s="2" t="s">
        <v>919</v>
      </c>
      <c r="B349" s="2" t="s">
        <v>143</v>
      </c>
      <c r="C349" s="2" t="s">
        <v>740</v>
      </c>
      <c r="D349" s="2" t="s">
        <v>828</v>
      </c>
      <c r="E349" s="304" t="s">
        <v>990</v>
      </c>
      <c r="F349" s="271" t="s">
        <v>135</v>
      </c>
      <c r="G349" s="307"/>
      <c r="H349" s="262">
        <v>0</v>
      </c>
      <c r="I349" s="262">
        <f t="shared" si="40"/>
        <v>0</v>
      </c>
      <c r="J349" s="263">
        <f>opex_orig!$AD$58</f>
        <v>1.0076354723968201E-2</v>
      </c>
      <c r="K349" s="263">
        <f>J349*I349</f>
        <v>0</v>
      </c>
      <c r="L349" s="263">
        <f t="shared" ref="L349" si="48">K349*H349</f>
        <v>0</v>
      </c>
      <c r="M349" s="263">
        <f t="shared" si="46"/>
        <v>0</v>
      </c>
    </row>
    <row r="350" spans="1:16" ht="15" customHeight="1" x14ac:dyDescent="0.25">
      <c r="A350" s="2" t="s">
        <v>919</v>
      </c>
      <c r="B350" s="2" t="s">
        <v>143</v>
      </c>
      <c r="C350" s="2" t="s">
        <v>740</v>
      </c>
      <c r="D350" s="2" t="s">
        <v>828</v>
      </c>
      <c r="E350" s="286" t="s">
        <v>992</v>
      </c>
      <c r="F350" s="278" t="s">
        <v>1035</v>
      </c>
      <c r="G350" s="283"/>
      <c r="H350" s="283">
        <f>opex_sources!H170/(opex_sources!H170+opex_sources!H171)</f>
        <v>0.95047169811320753</v>
      </c>
      <c r="I350" s="283"/>
      <c r="J350" s="284">
        <f>opex_orig!$AD$64</f>
        <v>1.1406303800218899E-2</v>
      </c>
      <c r="K350" s="286">
        <f>J350*I352+L350</f>
        <v>0.72917928168292301</v>
      </c>
      <c r="L350" s="287">
        <f>opex_sources!$H$170*$H350/$H$350</f>
        <v>0.72875226039783003</v>
      </c>
      <c r="M350" s="284">
        <f t="shared" si="46"/>
        <v>0.42749152900157211</v>
      </c>
      <c r="N350" s="187">
        <f>opex_sources!H170</f>
        <v>0.72875226039783003</v>
      </c>
      <c r="O350" s="187">
        <f>L350/L$366</f>
        <v>0.61465381543298503</v>
      </c>
      <c r="P350" s="1" t="s">
        <v>992</v>
      </c>
    </row>
    <row r="351" spans="1:16" ht="15" customHeight="1" x14ac:dyDescent="0.25">
      <c r="A351" s="2" t="s">
        <v>919</v>
      </c>
      <c r="B351" s="2" t="s">
        <v>143</v>
      </c>
      <c r="C351" s="2" t="s">
        <v>740</v>
      </c>
      <c r="D351" s="2" t="s">
        <v>828</v>
      </c>
      <c r="E351" s="15" t="s">
        <v>991</v>
      </c>
      <c r="F351" s="311" t="s">
        <v>129</v>
      </c>
      <c r="G351" s="306">
        <f>opex_sources!H171/(opex_sources!H165+0*opex_sources!H171+0*opex_sources!H177)</f>
        <v>0.7558770343580471</v>
      </c>
      <c r="H351" s="306">
        <f>opex_sources!H171/+opex_sources!H171</f>
        <v>1</v>
      </c>
      <c r="I351" s="306">
        <f t="shared" si="40"/>
        <v>0.7558770343580471</v>
      </c>
      <c r="J351" s="305">
        <f>opex_orig!$AD$55</f>
        <v>7.2731977315082796E-3</v>
      </c>
      <c r="K351" s="305">
        <f t="shared" ref="K351" si="49">J351*I351</f>
        <v>5.4976431315921538E-3</v>
      </c>
      <c r="L351" s="305">
        <f t="shared" ref="L351" si="50">K351*H351</f>
        <v>5.4976431315921538E-3</v>
      </c>
      <c r="M351" s="305">
        <f t="shared" si="46"/>
        <v>3.2230700011184384E-3</v>
      </c>
      <c r="N351" s="187">
        <f>opex_sources!H171</f>
        <v>3.7974683544303799E-2</v>
      </c>
      <c r="O351" s="187">
        <f>SUM(L351:L364)/L$366</f>
        <v>0.34926472033270001</v>
      </c>
      <c r="P351" s="15" t="s">
        <v>991</v>
      </c>
    </row>
    <row r="352" spans="1:16" ht="15" customHeight="1" x14ac:dyDescent="0.25">
      <c r="A352" s="2" t="s">
        <v>919</v>
      </c>
      <c r="B352" s="2" t="s">
        <v>143</v>
      </c>
      <c r="C352" s="2" t="s">
        <v>740</v>
      </c>
      <c r="D352" s="2" t="s">
        <v>828</v>
      </c>
      <c r="E352" s="15" t="s">
        <v>991</v>
      </c>
      <c r="F352" s="278" t="s">
        <v>1035</v>
      </c>
      <c r="G352" s="283">
        <f>opex_sources!H171/(opex_sources!H165+0*opex_sources!H171+0*opex_sources!H177)</f>
        <v>0.7558770343580471</v>
      </c>
      <c r="H352" s="283">
        <f>opex_sources!H171/(opex_sources!H170+opex_sources!H171)</f>
        <v>4.9528301886792456E-2</v>
      </c>
      <c r="I352" s="283">
        <f t="shared" si="40"/>
        <v>3.7437305946978749E-2</v>
      </c>
      <c r="J352" s="284">
        <f>opex_orig!$AD$64</f>
        <v>1.1406303800218899E-2</v>
      </c>
      <c r="K352" s="286">
        <f>J350*I352+L350</f>
        <v>0.72917928168292301</v>
      </c>
      <c r="L352" s="286">
        <f>K352-L350</f>
        <v>4.2702128509297665E-4</v>
      </c>
      <c r="M352" s="284">
        <f t="shared" si="46"/>
        <v>0.42749152900157211</v>
      </c>
      <c r="P352" s="15"/>
    </row>
    <row r="353" spans="1:16" ht="15" customHeight="1" x14ac:dyDescent="0.25">
      <c r="A353" s="2" t="s">
        <v>919</v>
      </c>
      <c r="B353" s="2" t="s">
        <v>143</v>
      </c>
      <c r="C353" s="2" t="s">
        <v>740</v>
      </c>
      <c r="D353" s="2" t="s">
        <v>828</v>
      </c>
      <c r="E353" s="15" t="s">
        <v>991</v>
      </c>
      <c r="F353" s="294" t="s">
        <v>223</v>
      </c>
      <c r="G353" s="295">
        <f>opex_sources!H171/(opex_sources!H165+0*opex_sources!H171+0*opex_sources!H177)</f>
        <v>0.7558770343580471</v>
      </c>
      <c r="H353" s="295">
        <f>opex_sources!H171/+opex_sources!H171</f>
        <v>1</v>
      </c>
      <c r="I353" s="295">
        <f t="shared" si="40"/>
        <v>0.7558770343580471</v>
      </c>
      <c r="J353" s="296">
        <f>opex_orig!$AD$116</f>
        <v>9.3494861544835706E-3</v>
      </c>
      <c r="K353" s="296">
        <f t="shared" si="42"/>
        <v>7.0670618672226638E-3</v>
      </c>
      <c r="L353" s="296">
        <f t="shared" si="47"/>
        <v>7.0670618672226638E-3</v>
      </c>
      <c r="M353" s="296">
        <f t="shared" si="46"/>
        <v>4.1431636348678155E-3</v>
      </c>
    </row>
    <row r="354" spans="1:16" ht="15" customHeight="1" x14ac:dyDescent="0.25">
      <c r="A354" s="2" t="s">
        <v>919</v>
      </c>
      <c r="B354" s="2" t="s">
        <v>143</v>
      </c>
      <c r="C354" s="2" t="s">
        <v>740</v>
      </c>
      <c r="D354" s="2" t="s">
        <v>828</v>
      </c>
      <c r="E354" s="15" t="s">
        <v>991</v>
      </c>
      <c r="F354" s="258" t="s">
        <v>227</v>
      </c>
      <c r="G354" s="237">
        <f>opex_sources!H171/(opex_sources!H165+0*opex_sources!H171+0*opex_sources!H177)</f>
        <v>0.7558770343580471</v>
      </c>
      <c r="H354" s="237">
        <f>opex_sources!H171/+opex_sources!H171</f>
        <v>1</v>
      </c>
      <c r="I354" s="237">
        <f t="shared" si="40"/>
        <v>0.7558770343580471</v>
      </c>
      <c r="J354" s="238">
        <f>opex_orig!$AD$118</f>
        <v>1.0960305363634499E-2</v>
      </c>
      <c r="K354" s="238">
        <f t="shared" si="42"/>
        <v>8.2846431139226417E-3</v>
      </c>
      <c r="L354" s="238">
        <f t="shared" si="47"/>
        <v>8.2846431139226417E-3</v>
      </c>
      <c r="M354" s="238">
        <f t="shared" si="46"/>
        <v>4.8569876311202907E-3</v>
      </c>
    </row>
    <row r="355" spans="1:16" ht="15" customHeight="1" x14ac:dyDescent="0.25">
      <c r="A355" s="2" t="s">
        <v>919</v>
      </c>
      <c r="B355" s="2" t="s">
        <v>143</v>
      </c>
      <c r="C355" s="2" t="s">
        <v>740</v>
      </c>
      <c r="D355" s="2" t="s">
        <v>828</v>
      </c>
      <c r="E355" s="15" t="s">
        <v>991</v>
      </c>
      <c r="F355" s="264" t="s">
        <v>231</v>
      </c>
      <c r="G355" s="230">
        <f>opex_sources!H171/(opex_sources!H165+0*opex_sources!H171+0*opex_sources!H177)</f>
        <v>0.7558770343580471</v>
      </c>
      <c r="H355" s="230">
        <f>opex_sources!H171/+opex_sources!H171</f>
        <v>1</v>
      </c>
      <c r="I355" s="230">
        <f t="shared" si="40"/>
        <v>0.7558770343580471</v>
      </c>
      <c r="J355" s="231">
        <f>opex_orig!$AD$120</f>
        <v>5.2021404617691697E-2</v>
      </c>
      <c r="K355" s="231">
        <f t="shared" si="42"/>
        <v>3.9321785045560817E-2</v>
      </c>
      <c r="L355" s="231">
        <f t="shared" si="47"/>
        <v>3.9321785045560817E-2</v>
      </c>
      <c r="M355" s="231">
        <f t="shared" si="46"/>
        <v>2.3052945187089811E-2</v>
      </c>
    </row>
    <row r="356" spans="1:16" ht="15" customHeight="1" x14ac:dyDescent="0.25">
      <c r="A356" s="2" t="s">
        <v>919</v>
      </c>
      <c r="B356" s="2" t="s">
        <v>143</v>
      </c>
      <c r="C356" s="2" t="s">
        <v>740</v>
      </c>
      <c r="D356" s="2" t="s">
        <v>828</v>
      </c>
      <c r="E356" s="15" t="s">
        <v>991</v>
      </c>
      <c r="F356" s="281" t="s">
        <v>233</v>
      </c>
      <c r="G356" s="289">
        <f>opex_sources!H171/(opex_sources!H165+0*opex_sources!H171+0*opex_sources!H177)</f>
        <v>0.7558770343580471</v>
      </c>
      <c r="H356" s="289">
        <f>opex_sources!H171/+opex_sources!H171</f>
        <v>1</v>
      </c>
      <c r="I356" s="289">
        <f t="shared" si="40"/>
        <v>0.7558770343580471</v>
      </c>
      <c r="J356" s="226">
        <f>opex_orig!$AD$121</f>
        <v>2.7457674285480502E-2</v>
      </c>
      <c r="K356" s="226">
        <f t="shared" si="42"/>
        <v>2.0754625409278211E-2</v>
      </c>
      <c r="L356" s="226">
        <f t="shared" si="47"/>
        <v>2.0754625409278211E-2</v>
      </c>
      <c r="M356" s="226">
        <f t="shared" si="46"/>
        <v>1.2167688760423826E-2</v>
      </c>
    </row>
    <row r="357" spans="1:16" ht="15" customHeight="1" x14ac:dyDescent="0.25">
      <c r="A357" s="2" t="s">
        <v>919</v>
      </c>
      <c r="B357" s="2" t="s">
        <v>143</v>
      </c>
      <c r="C357" s="2" t="s">
        <v>740</v>
      </c>
      <c r="D357" s="2" t="s">
        <v>828</v>
      </c>
      <c r="E357" s="15" t="s">
        <v>991</v>
      </c>
      <c r="F357" s="191" t="s">
        <v>239</v>
      </c>
      <c r="G357" s="192">
        <f>opex_sources!H171/(opex_sources!H165+0*opex_sources!H171+0*opex_sources!H177)</f>
        <v>0.7558770343580471</v>
      </c>
      <c r="H357" s="192">
        <f>opex_sources!H171/+opex_sources!H171</f>
        <v>1</v>
      </c>
      <c r="I357" s="192">
        <f t="shared" si="40"/>
        <v>0.7558770343580471</v>
      </c>
      <c r="J357" s="217">
        <f>opex_orig!$AD$124</f>
        <v>4.4291695162636098E-2</v>
      </c>
      <c r="K357" s="217">
        <f t="shared" si="42"/>
        <v>3.3479075186224033E-2</v>
      </c>
      <c r="L357" s="217">
        <f t="shared" si="47"/>
        <v>3.3479075186224033E-2</v>
      </c>
      <c r="M357" s="217">
        <f t="shared" si="46"/>
        <v>1.9627575001700277E-2</v>
      </c>
    </row>
    <row r="358" spans="1:16" ht="15" customHeight="1" x14ac:dyDescent="0.25">
      <c r="A358" s="2" t="s">
        <v>919</v>
      </c>
      <c r="B358" s="2" t="s">
        <v>143</v>
      </c>
      <c r="C358" s="2" t="s">
        <v>740</v>
      </c>
      <c r="D358" s="2" t="s">
        <v>828</v>
      </c>
      <c r="E358" s="15" t="s">
        <v>991</v>
      </c>
      <c r="F358" s="255" t="s">
        <v>249</v>
      </c>
      <c r="G358" s="256">
        <f>opex_sources!H171/(opex_sources!H165+0*opex_sources!H171+0*opex_sources!H177)</f>
        <v>0.7558770343580471</v>
      </c>
      <c r="H358" s="256">
        <f>opex_sources!H171/+opex_sources!H171</f>
        <v>1</v>
      </c>
      <c r="I358" s="256">
        <f t="shared" si="40"/>
        <v>0.7558770343580471</v>
      </c>
      <c r="J358" s="257">
        <f>opex_orig!$AD$129</f>
        <v>5.5702518711760098E-3</v>
      </c>
      <c r="K358" s="257">
        <f t="shared" si="42"/>
        <v>4.2104254650118852E-3</v>
      </c>
      <c r="L358" s="257">
        <f t="shared" si="47"/>
        <v>4.2104254650118852E-3</v>
      </c>
      <c r="M358" s="257">
        <f t="shared" si="46"/>
        <v>2.4684206819904756E-3</v>
      </c>
    </row>
    <row r="359" spans="1:16" ht="15" customHeight="1" x14ac:dyDescent="0.25">
      <c r="A359" s="2" t="s">
        <v>919</v>
      </c>
      <c r="B359" s="2" t="s">
        <v>143</v>
      </c>
      <c r="C359" s="2" t="s">
        <v>740</v>
      </c>
      <c r="D359" s="2" t="s">
        <v>828</v>
      </c>
      <c r="E359" s="15" t="s">
        <v>991</v>
      </c>
      <c r="F359" s="300" t="s">
        <v>255</v>
      </c>
      <c r="G359" s="301">
        <f>opex_sources!H171/(opex_sources!H165+0*opex_sources!H171+0*opex_sources!H177)</f>
        <v>0.7558770343580471</v>
      </c>
      <c r="H359" s="301">
        <f>opex_sources!H171/+opex_sources!H171</f>
        <v>1</v>
      </c>
      <c r="I359" s="301">
        <f t="shared" si="40"/>
        <v>0.7558770343580471</v>
      </c>
      <c r="J359" s="302">
        <f>opex_orig!$AD$132</f>
        <v>8.0393532307613397E-3</v>
      </c>
      <c r="K359" s="302">
        <f t="shared" si="42"/>
        <v>6.0767624782246659E-3</v>
      </c>
      <c r="L359" s="302">
        <f t="shared" si="47"/>
        <v>6.0767624782246659E-3</v>
      </c>
      <c r="M359" s="302">
        <f t="shared" si="46"/>
        <v>3.5625867992300684E-3</v>
      </c>
    </row>
    <row r="360" spans="1:16" ht="15" customHeight="1" x14ac:dyDescent="0.25">
      <c r="A360" s="2" t="s">
        <v>919</v>
      </c>
      <c r="B360" s="2" t="s">
        <v>143</v>
      </c>
      <c r="C360" s="2" t="s">
        <v>740</v>
      </c>
      <c r="D360" s="2" t="s">
        <v>828</v>
      </c>
      <c r="E360" s="15" t="s">
        <v>991</v>
      </c>
      <c r="F360" s="297" t="s">
        <v>257</v>
      </c>
      <c r="G360" s="298">
        <f>opex_sources!H171/(opex_sources!H165+0*opex_sources!H171+0*opex_sources!H177)</f>
        <v>0.7558770343580471</v>
      </c>
      <c r="H360" s="298">
        <f>opex_sources!H171/+opex_sources!H171</f>
        <v>1</v>
      </c>
      <c r="I360" s="298">
        <f t="shared" si="40"/>
        <v>0.7558770343580471</v>
      </c>
      <c r="J360" s="299">
        <f>opex_orig!$AD$133</f>
        <v>8.8305151998102405E-2</v>
      </c>
      <c r="K360" s="299">
        <f t="shared" si="42"/>
        <v>6.6747836410862224E-2</v>
      </c>
      <c r="L360" s="299">
        <f t="shared" si="47"/>
        <v>6.6747836410862224E-2</v>
      </c>
      <c r="M360" s="299">
        <f t="shared" si="46"/>
        <v>3.9131850508657362E-2</v>
      </c>
    </row>
    <row r="361" spans="1:16" ht="15" customHeight="1" x14ac:dyDescent="0.25">
      <c r="A361" s="2" t="s">
        <v>919</v>
      </c>
      <c r="B361" s="2" t="s">
        <v>143</v>
      </c>
      <c r="C361" s="2" t="s">
        <v>740</v>
      </c>
      <c r="D361" s="2" t="s">
        <v>828</v>
      </c>
      <c r="E361" s="15" t="s">
        <v>991</v>
      </c>
      <c r="F361" s="290" t="s">
        <v>267</v>
      </c>
      <c r="G361" s="198">
        <f>opex_sources!H171/(opex_sources!H165+0*opex_sources!H171+0*opex_sources!H177)</f>
        <v>0.7558770343580471</v>
      </c>
      <c r="H361" s="198">
        <f>opex_sources!H171/+opex_sources!H171</f>
        <v>1</v>
      </c>
      <c r="I361" s="198">
        <f t="shared" si="40"/>
        <v>0.7558770343580471</v>
      </c>
      <c r="J361" s="208">
        <f>opex_orig!$AD$138</f>
        <v>4.1270669160376701E-2</v>
      </c>
      <c r="K361" s="208">
        <f t="shared" si="42"/>
        <v>3.1195551010917654E-2</v>
      </c>
      <c r="L361" s="208">
        <f t="shared" si="47"/>
        <v>3.1195551010917654E-2</v>
      </c>
      <c r="M361" s="208">
        <f t="shared" si="46"/>
        <v>1.8288827089169398E-2</v>
      </c>
    </row>
    <row r="362" spans="1:16" ht="15" customHeight="1" x14ac:dyDescent="0.25">
      <c r="A362" s="2" t="s">
        <v>919</v>
      </c>
      <c r="B362" s="2" t="s">
        <v>143</v>
      </c>
      <c r="C362" s="2" t="s">
        <v>740</v>
      </c>
      <c r="D362" s="2" t="s">
        <v>828</v>
      </c>
      <c r="E362" s="15" t="s">
        <v>991</v>
      </c>
      <c r="F362" s="241" t="s">
        <v>372</v>
      </c>
      <c r="G362" s="203">
        <f>opex_sources!H171/(opex_sources!H165+0*opex_sources!H171+0*opex_sources!H177)</f>
        <v>0.7558770343580471</v>
      </c>
      <c r="H362" s="203">
        <f>opex_sources!H171/+opex_sources!H171</f>
        <v>1</v>
      </c>
      <c r="I362" s="203">
        <f t="shared" si="40"/>
        <v>0.7558770343580471</v>
      </c>
      <c r="J362" s="227">
        <f>opex_orig!$AD$169</f>
        <v>1.3590283572723801E-2</v>
      </c>
      <c r="K362" s="227">
        <f t="shared" si="42"/>
        <v>1.0272583243035351E-2</v>
      </c>
      <c r="L362" s="227">
        <f t="shared" si="47"/>
        <v>1.0272583243035351E-2</v>
      </c>
      <c r="M362" s="227">
        <f t="shared" si="46"/>
        <v>6.0224452719306546E-3</v>
      </c>
    </row>
    <row r="363" spans="1:16" ht="15" customHeight="1" x14ac:dyDescent="0.25">
      <c r="A363" s="2" t="s">
        <v>919</v>
      </c>
      <c r="B363" s="2" t="s">
        <v>143</v>
      </c>
      <c r="C363" s="2" t="s">
        <v>740</v>
      </c>
      <c r="D363" s="2" t="s">
        <v>828</v>
      </c>
      <c r="E363" s="15" t="s">
        <v>991</v>
      </c>
      <c r="F363" s="241" t="s">
        <v>373</v>
      </c>
      <c r="G363" s="203">
        <f>opex_sources!H171/(opex_sources!H165+0*opex_sources!H171+0*opex_sources!H177)</f>
        <v>0.7558770343580471</v>
      </c>
      <c r="H363" s="203">
        <f>opex_sources!H171/+opex_sources!H171</f>
        <v>1</v>
      </c>
      <c r="I363" s="203">
        <f t="shared" si="40"/>
        <v>0.7558770343580471</v>
      </c>
      <c r="J363" s="227">
        <f>opex_orig!$AD$170</f>
        <v>0.131959371148891</v>
      </c>
      <c r="K363" s="227">
        <f t="shared" si="42"/>
        <v>9.9745058119776575E-2</v>
      </c>
      <c r="L363" s="227">
        <f t="shared" si="47"/>
        <v>9.9745058119776575E-2</v>
      </c>
      <c r="M363" s="227">
        <f t="shared" si="46"/>
        <v>5.8476932185404097E-2</v>
      </c>
    </row>
    <row r="364" spans="1:16" ht="15" customHeight="1" x14ac:dyDescent="0.25">
      <c r="A364" s="2" t="s">
        <v>919</v>
      </c>
      <c r="B364" s="2" t="s">
        <v>143</v>
      </c>
      <c r="C364" s="2" t="s">
        <v>740</v>
      </c>
      <c r="D364" s="2" t="s">
        <v>828</v>
      </c>
      <c r="E364" s="15" t="s">
        <v>991</v>
      </c>
      <c r="F364" s="241" t="s">
        <v>374</v>
      </c>
      <c r="G364" s="203">
        <f>opex_sources!H171/(opex_sources!H165+0*opex_sources!H171+0*opex_sources!H177)</f>
        <v>0.7558770343580471</v>
      </c>
      <c r="H364" s="203">
        <f>opex_sources!H171/+opex_sources!H171</f>
        <v>1</v>
      </c>
      <c r="I364" s="203">
        <f t="shared" si="40"/>
        <v>0.7558770343580471</v>
      </c>
      <c r="J364" s="227">
        <f>opex_orig!$AD$171</f>
        <v>0.10718516514040501</v>
      </c>
      <c r="K364" s="227">
        <f t="shared" si="42"/>
        <v>8.1018804753506868E-2</v>
      </c>
      <c r="L364" s="227">
        <f t="shared" si="47"/>
        <v>8.1018804753506868E-2</v>
      </c>
      <c r="M364" s="227">
        <f t="shared" si="46"/>
        <v>4.7498404839507138E-2</v>
      </c>
    </row>
    <row r="365" spans="1:16" ht="15" customHeight="1" x14ac:dyDescent="0.25">
      <c r="A365" s="2" t="s">
        <v>919</v>
      </c>
      <c r="B365" s="2" t="s">
        <v>143</v>
      </c>
      <c r="C365" s="2" t="s">
        <v>740</v>
      </c>
      <c r="D365" s="2" t="s">
        <v>828</v>
      </c>
      <c r="E365" s="15" t="s">
        <v>404</v>
      </c>
      <c r="F365" s="240" t="s">
        <v>375</v>
      </c>
      <c r="G365" s="202">
        <f>opex_sources!H172/(opex_sources!H166+0*opex_sources!H172+0*opex_sources!H178)</f>
        <v>0.38111447110489766</v>
      </c>
      <c r="H365" s="202">
        <f>opex_sources!H172/+opex_sources!H172</f>
        <v>1</v>
      </c>
      <c r="I365" s="202">
        <f t="shared" si="40"/>
        <v>0.38111447110489766</v>
      </c>
      <c r="J365" s="239">
        <f>opex_orig!$AD$172</f>
        <v>9.6972910774539706E-2</v>
      </c>
      <c r="K365" s="239">
        <f t="shared" si="42"/>
        <v>3.6957779601341133E-2</v>
      </c>
      <c r="L365" s="239">
        <f t="shared" si="47"/>
        <v>3.6957779601341133E-2</v>
      </c>
      <c r="M365" s="239">
        <f t="shared" si="46"/>
        <v>2.1667014007606629E-2</v>
      </c>
      <c r="N365" s="187">
        <f>opex_sources!H172</f>
        <v>0.10849909584086799</v>
      </c>
      <c r="O365" s="187">
        <f>L365/L$366</f>
        <v>3.117141651059133E-2</v>
      </c>
      <c r="P365" s="1" t="s">
        <v>404</v>
      </c>
    </row>
    <row r="366" spans="1:16" ht="15" customHeight="1" x14ac:dyDescent="0.25">
      <c r="A366" s="2" t="s">
        <v>919</v>
      </c>
      <c r="B366" s="24" t="s">
        <v>143</v>
      </c>
      <c r="C366" s="24" t="s">
        <v>740</v>
      </c>
      <c r="D366" s="24" t="s">
        <v>828</v>
      </c>
      <c r="E366" s="31" t="s">
        <v>346</v>
      </c>
      <c r="F366" s="19"/>
      <c r="G366" s="184"/>
      <c r="H366" s="184"/>
      <c r="I366" s="184"/>
      <c r="J366" s="221">
        <f>SUM(J331:J349,J351:J365)</f>
        <v>0.69509237734655649</v>
      </c>
      <c r="K366" s="221">
        <f>SUM(K331:K349,K351:K365)</f>
        <v>1.1856304184567208</v>
      </c>
      <c r="L366" s="221">
        <f>SUM(L331:L365)</f>
        <v>1.1856304184567208</v>
      </c>
      <c r="M366" s="221">
        <f>SUM(M331:M349,M351:M365)</f>
        <v>0.69509237734655649</v>
      </c>
      <c r="N366" s="277">
        <f>SUM(N331:N365)</f>
        <v>1</v>
      </c>
      <c r="O366" s="277">
        <f>SUM(O331:O365)</f>
        <v>0.99999999999999989</v>
      </c>
    </row>
    <row r="367" spans="1:16" ht="15" customHeight="1" x14ac:dyDescent="0.25">
      <c r="A367" s="2" t="s">
        <v>919</v>
      </c>
      <c r="B367" s="2" t="s">
        <v>143</v>
      </c>
      <c r="C367" s="2" t="s">
        <v>926</v>
      </c>
      <c r="D367" s="2" t="s">
        <v>829</v>
      </c>
      <c r="E367" s="15" t="s">
        <v>836</v>
      </c>
      <c r="F367" s="259" t="s">
        <v>2</v>
      </c>
      <c r="G367" s="260">
        <f>opex_sources!H174/(opex_sources!H162+0*opex_sources!H168+0*opex_sources!H174)</f>
        <v>0.46869070208728653</v>
      </c>
      <c r="H367" s="260">
        <f>opex_sources!H174/opex_sources!H174</f>
        <v>1</v>
      </c>
      <c r="I367" s="260">
        <f t="shared" si="40"/>
        <v>0.46869070208728653</v>
      </c>
      <c r="J367" s="261">
        <f>opex_orig!$AD$97</f>
        <v>4.5176509017278103E-3</v>
      </c>
      <c r="K367" s="261">
        <f t="shared" si="42"/>
        <v>2.1173809729160705E-3</v>
      </c>
      <c r="L367" s="261">
        <f>K367*H367</f>
        <v>2.1173809729160705E-3</v>
      </c>
      <c r="M367" s="261">
        <f t="shared" ref="M367:M384" si="51">K367/$K$402*$J$402</f>
        <v>1.3471102307565242E-3</v>
      </c>
      <c r="N367" s="187">
        <f>opex_sources!H174</f>
        <v>0.13903743315508021</v>
      </c>
      <c r="O367" s="187">
        <f>SUM(L367:L382)/L$402</f>
        <v>5.9375110481395491E-3</v>
      </c>
      <c r="P367" s="12" t="s">
        <v>836</v>
      </c>
    </row>
    <row r="368" spans="1:16" ht="15" customHeight="1" x14ac:dyDescent="0.25">
      <c r="A368" s="2" t="s">
        <v>919</v>
      </c>
      <c r="B368" s="2" t="s">
        <v>143</v>
      </c>
      <c r="C368" s="2" t="s">
        <v>926</v>
      </c>
      <c r="D368" s="2" t="s">
        <v>829</v>
      </c>
      <c r="E368" s="15" t="s">
        <v>836</v>
      </c>
      <c r="F368" s="259" t="s">
        <v>4</v>
      </c>
      <c r="G368" s="260">
        <f>opex_sources!H174/(opex_sources!H162+0*opex_sources!H168+0*opex_sources!H174)</f>
        <v>0.46869070208728653</v>
      </c>
      <c r="H368" s="260">
        <f>opex_sources!H174/opex_sources!H174</f>
        <v>1</v>
      </c>
      <c r="I368" s="260">
        <f t="shared" si="40"/>
        <v>0.46869070208728653</v>
      </c>
      <c r="J368" s="261">
        <f>opex_orig!$AD$98</f>
        <v>7.0137183206178306E-5</v>
      </c>
      <c r="K368" s="261">
        <f t="shared" ref="K368:K401" si="52">J368*I368</f>
        <v>3.287264563932835E-5</v>
      </c>
      <c r="L368" s="261">
        <f t="shared" ref="L368:L384" si="53">K368*H368</f>
        <v>3.287264563932835E-5</v>
      </c>
      <c r="M368" s="261">
        <f t="shared" si="51"/>
        <v>2.0914081036529829E-5</v>
      </c>
    </row>
    <row r="369" spans="1:13" ht="15" customHeight="1" x14ac:dyDescent="0.25">
      <c r="A369" s="2" t="s">
        <v>919</v>
      </c>
      <c r="B369" s="2" t="s">
        <v>143</v>
      </c>
      <c r="C369" s="2" t="s">
        <v>926</v>
      </c>
      <c r="D369" s="2" t="s">
        <v>829</v>
      </c>
      <c r="E369" s="15" t="s">
        <v>836</v>
      </c>
      <c r="F369" s="259" t="s">
        <v>6</v>
      </c>
      <c r="G369" s="260">
        <f>opex_sources!H174/(opex_sources!H162+0*opex_sources!H168+0*opex_sources!H174)</f>
        <v>0.46869070208728653</v>
      </c>
      <c r="H369" s="260">
        <f>opex_sources!H174/opex_sources!H174</f>
        <v>1</v>
      </c>
      <c r="I369" s="260">
        <f t="shared" ref="I369:I401" si="54">G369*H369</f>
        <v>0.46869070208728653</v>
      </c>
      <c r="J369" s="261">
        <f>opex_orig!$AD$99</f>
        <v>3.3409401562030502E-3</v>
      </c>
      <c r="K369" s="261">
        <f t="shared" si="52"/>
        <v>1.5658675874424164E-3</v>
      </c>
      <c r="L369" s="261">
        <f t="shared" si="53"/>
        <v>1.5658675874424164E-3</v>
      </c>
      <c r="M369" s="261">
        <f t="shared" si="51"/>
        <v>9.9622896117208511E-4</v>
      </c>
    </row>
    <row r="370" spans="1:13" ht="15" customHeight="1" x14ac:dyDescent="0.25">
      <c r="A370" s="2" t="s">
        <v>919</v>
      </c>
      <c r="B370" s="2" t="s">
        <v>143</v>
      </c>
      <c r="C370" s="2" t="s">
        <v>926</v>
      </c>
      <c r="D370" s="2" t="s">
        <v>829</v>
      </c>
      <c r="E370" s="15" t="s">
        <v>836</v>
      </c>
      <c r="F370" s="259" t="s">
        <v>8</v>
      </c>
      <c r="G370" s="260">
        <f>opex_sources!H174/(opex_sources!H162+0*opex_sources!H168+0*opex_sources!H174)</f>
        <v>0.46869070208728653</v>
      </c>
      <c r="H370" s="260">
        <f>opex_sources!H174/opex_sources!H174</f>
        <v>1</v>
      </c>
      <c r="I370" s="260">
        <f t="shared" si="54"/>
        <v>0.46869070208728653</v>
      </c>
      <c r="J370" s="261">
        <f>opex_orig!$AD$100</f>
        <v>2.12120146280756E-4</v>
      </c>
      <c r="K370" s="261">
        <f t="shared" si="52"/>
        <v>9.941874028718545E-5</v>
      </c>
      <c r="L370" s="261">
        <f>K370*H370</f>
        <v>9.941874028718545E-5</v>
      </c>
      <c r="M370" s="261">
        <f t="shared" si="51"/>
        <v>6.325172648800507E-5</v>
      </c>
    </row>
    <row r="371" spans="1:13" ht="15" customHeight="1" x14ac:dyDescent="0.25">
      <c r="A371" s="2" t="s">
        <v>919</v>
      </c>
      <c r="B371" s="2" t="s">
        <v>143</v>
      </c>
      <c r="C371" s="2" t="s">
        <v>926</v>
      </c>
      <c r="D371" s="2" t="s">
        <v>829</v>
      </c>
      <c r="E371" s="15" t="s">
        <v>836</v>
      </c>
      <c r="F371" s="259" t="s">
        <v>342</v>
      </c>
      <c r="G371" s="260">
        <f>opex_sources!H174/(opex_sources!H162+0*opex_sources!H168+0*opex_sources!H174)</f>
        <v>0.46869070208728653</v>
      </c>
      <c r="H371" s="260">
        <f>opex_sources!H174/opex_sources!H174</f>
        <v>1</v>
      </c>
      <c r="I371" s="260">
        <f t="shared" si="54"/>
        <v>0.46869070208728653</v>
      </c>
      <c r="J371" s="261">
        <f>opex_orig!$AD$101</f>
        <v>4.0171547932160302E-5</v>
      </c>
      <c r="K371" s="261">
        <f t="shared" si="52"/>
        <v>1.8828031004257294E-5</v>
      </c>
      <c r="L371" s="261">
        <f t="shared" si="53"/>
        <v>1.8828031004257294E-5</v>
      </c>
      <c r="M371" s="261">
        <f t="shared" si="51"/>
        <v>1.1978681926051955E-5</v>
      </c>
    </row>
    <row r="372" spans="1:13" ht="15" customHeight="1" x14ac:dyDescent="0.25">
      <c r="A372" s="2" t="s">
        <v>919</v>
      </c>
      <c r="B372" s="2" t="s">
        <v>143</v>
      </c>
      <c r="C372" s="2" t="s">
        <v>926</v>
      </c>
      <c r="D372" s="2" t="s">
        <v>829</v>
      </c>
      <c r="E372" s="15" t="s">
        <v>836</v>
      </c>
      <c r="F372" s="259" t="s">
        <v>343</v>
      </c>
      <c r="G372" s="260">
        <f>opex_sources!H174/(opex_sources!H162+0*opex_sources!H168+0*opex_sources!H174)</f>
        <v>0.46869070208728653</v>
      </c>
      <c r="H372" s="260">
        <f>opex_sources!H174/opex_sources!H174</f>
        <v>1</v>
      </c>
      <c r="I372" s="260">
        <f t="shared" si="54"/>
        <v>0.46869070208728653</v>
      </c>
      <c r="J372" s="261">
        <f>opex_orig!$AD$102</f>
        <v>9.4850640097901204E-8</v>
      </c>
      <c r="K372" s="261">
        <f t="shared" si="52"/>
        <v>4.4455613100913848E-8</v>
      </c>
      <c r="L372" s="261">
        <f t="shared" si="53"/>
        <v>4.4455613100913848E-8</v>
      </c>
      <c r="M372" s="261">
        <f t="shared" si="51"/>
        <v>2.8283342482443582E-8</v>
      </c>
    </row>
    <row r="373" spans="1:13" ht="15" customHeight="1" x14ac:dyDescent="0.25">
      <c r="A373" s="2" t="s">
        <v>919</v>
      </c>
      <c r="B373" s="2" t="s">
        <v>143</v>
      </c>
      <c r="C373" s="2" t="s">
        <v>926</v>
      </c>
      <c r="D373" s="2" t="s">
        <v>829</v>
      </c>
      <c r="E373" s="15" t="s">
        <v>836</v>
      </c>
      <c r="F373" s="259" t="s">
        <v>10</v>
      </c>
      <c r="G373" s="260">
        <f>opex_sources!H174/(opex_sources!H162+0*opex_sources!H168+0*opex_sources!H174)</f>
        <v>0.46869070208728653</v>
      </c>
      <c r="H373" s="260">
        <f>opex_sources!H174/opex_sources!H174</f>
        <v>1</v>
      </c>
      <c r="I373" s="260">
        <f t="shared" si="54"/>
        <v>0.46869070208728653</v>
      </c>
      <c r="J373" s="261">
        <f>opex_orig!$AD$103</f>
        <v>1.5827195035048702E-5</v>
      </c>
      <c r="K373" s="261">
        <f t="shared" si="52"/>
        <v>7.418059153049391E-6</v>
      </c>
      <c r="L373" s="261">
        <f t="shared" si="53"/>
        <v>7.418059153049391E-6</v>
      </c>
      <c r="M373" s="261">
        <f t="shared" si="51"/>
        <v>4.7194829391838582E-6</v>
      </c>
    </row>
    <row r="374" spans="1:13" ht="15" customHeight="1" x14ac:dyDescent="0.25">
      <c r="A374" s="2" t="s">
        <v>919</v>
      </c>
      <c r="B374" s="2" t="s">
        <v>143</v>
      </c>
      <c r="C374" s="2" t="s">
        <v>926</v>
      </c>
      <c r="D374" s="2" t="s">
        <v>829</v>
      </c>
      <c r="E374" s="15" t="s">
        <v>836</v>
      </c>
      <c r="F374" s="259" t="s">
        <v>12</v>
      </c>
      <c r="G374" s="260">
        <f>opex_sources!H174/(opex_sources!H162+0*opex_sources!H168+0*opex_sources!H174)</f>
        <v>0.46869070208728653</v>
      </c>
      <c r="H374" s="260">
        <f>opex_sources!H174/opex_sources!H174</f>
        <v>1</v>
      </c>
      <c r="I374" s="260">
        <f t="shared" si="54"/>
        <v>0.46869070208728653</v>
      </c>
      <c r="J374" s="261">
        <f>opex_orig!$AD$104</f>
        <v>5.3236548635258595E-4</v>
      </c>
      <c r="K374" s="261">
        <f t="shared" si="52"/>
        <v>2.4951475356563328E-4</v>
      </c>
      <c r="L374" s="261">
        <f t="shared" si="53"/>
        <v>2.4951475356563328E-4</v>
      </c>
      <c r="M374" s="261">
        <f t="shared" si="51"/>
        <v>1.5874511084797632E-4</v>
      </c>
    </row>
    <row r="375" spans="1:13" ht="15" customHeight="1" x14ac:dyDescent="0.25">
      <c r="A375" s="2" t="s">
        <v>919</v>
      </c>
      <c r="B375" s="2" t="s">
        <v>143</v>
      </c>
      <c r="C375" s="2" t="s">
        <v>926</v>
      </c>
      <c r="D375" s="2" t="s">
        <v>829</v>
      </c>
      <c r="E375" s="15" t="s">
        <v>836</v>
      </c>
      <c r="F375" s="259" t="s">
        <v>340</v>
      </c>
      <c r="G375" s="260">
        <f>opex_sources!H174/(opex_sources!H162+0*opex_sources!H168+0*opex_sources!H174)</f>
        <v>0.46869070208728653</v>
      </c>
      <c r="H375" s="260">
        <f>opex_sources!H174/opex_sources!H174</f>
        <v>1</v>
      </c>
      <c r="I375" s="260">
        <f t="shared" si="54"/>
        <v>0.46869070208728653</v>
      </c>
      <c r="J375" s="261">
        <f>opex_orig!$AD$105</f>
        <v>1.2474597341853799E-4</v>
      </c>
      <c r="K375" s="261">
        <f t="shared" si="52"/>
        <v>5.8467277864096554E-5</v>
      </c>
      <c r="L375" s="261">
        <f t="shared" si="53"/>
        <v>5.8467277864096554E-5</v>
      </c>
      <c r="M375" s="261">
        <f t="shared" si="51"/>
        <v>3.7197778379361552E-5</v>
      </c>
    </row>
    <row r="376" spans="1:13" ht="15" customHeight="1" x14ac:dyDescent="0.25">
      <c r="A376" s="2" t="s">
        <v>919</v>
      </c>
      <c r="B376" s="2" t="s">
        <v>143</v>
      </c>
      <c r="C376" s="2" t="s">
        <v>926</v>
      </c>
      <c r="D376" s="2" t="s">
        <v>829</v>
      </c>
      <c r="E376" s="15" t="s">
        <v>836</v>
      </c>
      <c r="F376" s="259" t="s">
        <v>341</v>
      </c>
      <c r="G376" s="260">
        <f>opex_sources!H174/(opex_sources!H162+0*opex_sources!H168+0*opex_sources!H174)</f>
        <v>0.46869070208728653</v>
      </c>
      <c r="H376" s="260">
        <f>opex_sources!H174/opex_sources!H174</f>
        <v>1</v>
      </c>
      <c r="I376" s="260">
        <f t="shared" si="54"/>
        <v>0.46869070208728653</v>
      </c>
      <c r="J376" s="261">
        <f>opex_orig!$AD$106</f>
        <v>6.5658863174722495E-5</v>
      </c>
      <c r="K376" s="261">
        <f t="shared" si="52"/>
        <v>3.0773698679613769E-5</v>
      </c>
      <c r="L376" s="261">
        <f t="shared" si="53"/>
        <v>3.0773698679613769E-5</v>
      </c>
      <c r="M376" s="261">
        <f t="shared" si="51"/>
        <v>1.9578698807533623E-5</v>
      </c>
    </row>
    <row r="377" spans="1:13" ht="15" customHeight="1" x14ac:dyDescent="0.25">
      <c r="A377" s="2" t="s">
        <v>919</v>
      </c>
      <c r="B377" s="2" t="s">
        <v>143</v>
      </c>
      <c r="C377" s="2" t="s">
        <v>926</v>
      </c>
      <c r="D377" s="2" t="s">
        <v>829</v>
      </c>
      <c r="E377" s="15" t="s">
        <v>836</v>
      </c>
      <c r="F377" s="259" t="s">
        <v>14</v>
      </c>
      <c r="G377" s="260">
        <f>opex_sources!H174/(opex_sources!H162+0*opex_sources!H168+0*opex_sources!H174)</f>
        <v>0.46869070208728653</v>
      </c>
      <c r="H377" s="260">
        <f>opex_sources!H174/opex_sources!H174</f>
        <v>1</v>
      </c>
      <c r="I377" s="260">
        <f t="shared" si="54"/>
        <v>0.46869070208728653</v>
      </c>
      <c r="J377" s="261">
        <f>opex_orig!$AD$107</f>
        <v>1.9287146365628901E-9</v>
      </c>
      <c r="K377" s="261">
        <f t="shared" si="52"/>
        <v>9.039706171366866E-10</v>
      </c>
      <c r="L377" s="261">
        <f t="shared" si="53"/>
        <v>9.039706171366866E-10</v>
      </c>
      <c r="M377" s="261">
        <f t="shared" si="51"/>
        <v>5.751199629280834E-10</v>
      </c>
    </row>
    <row r="378" spans="1:13" ht="15" customHeight="1" x14ac:dyDescent="0.25">
      <c r="A378" s="2" t="s">
        <v>919</v>
      </c>
      <c r="B378" s="2" t="s">
        <v>143</v>
      </c>
      <c r="C378" s="2" t="s">
        <v>926</v>
      </c>
      <c r="D378" s="2" t="s">
        <v>829</v>
      </c>
      <c r="E378" s="15" t="s">
        <v>836</v>
      </c>
      <c r="F378" s="259" t="s">
        <v>16</v>
      </c>
      <c r="G378" s="260">
        <f>opex_sources!H174/(opex_sources!H162+0*opex_sources!H168+0*opex_sources!H174)</f>
        <v>0.46869070208728653</v>
      </c>
      <c r="H378" s="260">
        <f>opex_sources!H174/opex_sources!H174</f>
        <v>1</v>
      </c>
      <c r="I378" s="260">
        <f t="shared" si="54"/>
        <v>0.46869070208728653</v>
      </c>
      <c r="J378" s="261">
        <f>opex_orig!$AD$108</f>
        <v>3.1313078810900002E-10</v>
      </c>
      <c r="K378" s="261">
        <f t="shared" si="52"/>
        <v>1.4676148892395257E-10</v>
      </c>
      <c r="L378" s="261">
        <f t="shared" si="53"/>
        <v>1.4676148892395257E-10</v>
      </c>
      <c r="M378" s="261">
        <f t="shared" si="51"/>
        <v>9.3371908853151627E-11</v>
      </c>
    </row>
    <row r="379" spans="1:13" ht="15" customHeight="1" x14ac:dyDescent="0.25">
      <c r="A379" s="2" t="s">
        <v>919</v>
      </c>
      <c r="B379" s="2" t="s">
        <v>143</v>
      </c>
      <c r="C379" s="2" t="s">
        <v>926</v>
      </c>
      <c r="D379" s="2" t="s">
        <v>829</v>
      </c>
      <c r="E379" s="15" t="s">
        <v>836</v>
      </c>
      <c r="F379" s="259" t="s">
        <v>18</v>
      </c>
      <c r="G379" s="260">
        <f>opex_sources!H174/(opex_sources!H162+0*opex_sources!H168+0*opex_sources!H174)</f>
        <v>0.46869070208728653</v>
      </c>
      <c r="H379" s="260">
        <f>opex_sources!H174/opex_sources!H174</f>
        <v>1</v>
      </c>
      <c r="I379" s="260">
        <f t="shared" si="54"/>
        <v>0.46869070208728653</v>
      </c>
      <c r="J379" s="261">
        <f>opex_orig!$AD$109</f>
        <v>5.5313346936039598E-8</v>
      </c>
      <c r="K379" s="261">
        <f t="shared" si="52"/>
        <v>2.5924851410250059E-8</v>
      </c>
      <c r="L379" s="261">
        <f t="shared" si="53"/>
        <v>2.5924851410250059E-8</v>
      </c>
      <c r="M379" s="261">
        <f t="shared" si="51"/>
        <v>1.6493787850324127E-8</v>
      </c>
    </row>
    <row r="380" spans="1:13" ht="15" customHeight="1" x14ac:dyDescent="0.25">
      <c r="A380" s="2" t="s">
        <v>919</v>
      </c>
      <c r="B380" s="2" t="s">
        <v>143</v>
      </c>
      <c r="C380" s="2" t="s">
        <v>926</v>
      </c>
      <c r="D380" s="2" t="s">
        <v>829</v>
      </c>
      <c r="E380" s="15" t="s">
        <v>836</v>
      </c>
      <c r="F380" s="259" t="s">
        <v>20</v>
      </c>
      <c r="G380" s="260">
        <f>opex_sources!H174/(opex_sources!H162+0*opex_sources!H168+0*opex_sources!H174)</f>
        <v>0.46869070208728653</v>
      </c>
      <c r="H380" s="260">
        <f>opex_sources!H174/opex_sources!H174</f>
        <v>1</v>
      </c>
      <c r="I380" s="260">
        <f t="shared" si="54"/>
        <v>0.46869070208728653</v>
      </c>
      <c r="J380" s="261">
        <f>opex_orig!$AD$110</f>
        <v>3.2757700900063201E-4</v>
      </c>
      <c r="K380" s="261">
        <f t="shared" si="52"/>
        <v>1.535322983361596E-4</v>
      </c>
      <c r="L380" s="261">
        <f t="shared" si="53"/>
        <v>1.535322983361596E-4</v>
      </c>
      <c r="M380" s="261">
        <f t="shared" si="51"/>
        <v>9.7679601585992757E-5</v>
      </c>
    </row>
    <row r="381" spans="1:13" ht="15" customHeight="1" x14ac:dyDescent="0.25">
      <c r="A381" s="2" t="s">
        <v>919</v>
      </c>
      <c r="B381" s="2" t="s">
        <v>143</v>
      </c>
      <c r="C381" s="2" t="s">
        <v>926</v>
      </c>
      <c r="D381" s="2" t="s">
        <v>829</v>
      </c>
      <c r="E381" s="15" t="s">
        <v>836</v>
      </c>
      <c r="F381" s="259" t="s">
        <v>213</v>
      </c>
      <c r="G381" s="260">
        <f>opex_sources!H174/(opex_sources!H162+0*opex_sources!H168+0*opex_sources!H174)</f>
        <v>0.46869070208728653</v>
      </c>
      <c r="H381" s="260">
        <f>opex_sources!H174/opex_sources!H174</f>
        <v>1</v>
      </c>
      <c r="I381" s="260">
        <f t="shared" si="54"/>
        <v>0.46869070208728653</v>
      </c>
      <c r="J381" s="261">
        <f>opex_orig!$AD$111</f>
        <v>1.8073528375023801E-3</v>
      </c>
      <c r="K381" s="261">
        <f t="shared" si="52"/>
        <v>8.4708947032844002E-4</v>
      </c>
      <c r="L381" s="261">
        <f t="shared" si="53"/>
        <v>8.4708947032844002E-4</v>
      </c>
      <c r="M381" s="261">
        <f t="shared" si="51"/>
        <v>5.3893130543909869E-4</v>
      </c>
    </row>
    <row r="382" spans="1:13" ht="15" customHeight="1" x14ac:dyDescent="0.25">
      <c r="A382" s="2" t="s">
        <v>919</v>
      </c>
      <c r="B382" s="2" t="s">
        <v>143</v>
      </c>
      <c r="C382" s="2" t="s">
        <v>926</v>
      </c>
      <c r="D382" s="2" t="s">
        <v>829</v>
      </c>
      <c r="E382" s="15" t="s">
        <v>836</v>
      </c>
      <c r="F382" s="259" t="s">
        <v>215</v>
      </c>
      <c r="G382" s="260">
        <f>opex_sources!H174/(opex_sources!H162+0*opex_sources!H168+0*opex_sources!H174)</f>
        <v>0.46869070208728653</v>
      </c>
      <c r="H382" s="260">
        <f>opex_sources!H174/opex_sources!H174</f>
        <v>1</v>
      </c>
      <c r="I382" s="260">
        <f t="shared" si="54"/>
        <v>0.46869070208728653</v>
      </c>
      <c r="J382" s="261">
        <f>opex_orig!$AD$112</f>
        <v>2.7859504172782199E-3</v>
      </c>
      <c r="K382" s="261">
        <f t="shared" si="52"/>
        <v>1.3057490570544978E-3</v>
      </c>
      <c r="L382" s="261">
        <f t="shared" si="53"/>
        <v>1.3057490570544978E-3</v>
      </c>
      <c r="M382" s="261">
        <f t="shared" si="51"/>
        <v>8.3073756497221616E-4</v>
      </c>
    </row>
    <row r="383" spans="1:13" ht="15" customHeight="1" x14ac:dyDescent="0.25">
      <c r="A383" s="2" t="s">
        <v>919</v>
      </c>
      <c r="B383" s="2" t="s">
        <v>143</v>
      </c>
      <c r="C383" s="2" t="s">
        <v>926</v>
      </c>
      <c r="D383" s="2" t="s">
        <v>829</v>
      </c>
      <c r="E383" s="304" t="s">
        <v>990</v>
      </c>
      <c r="F383" s="267" t="s">
        <v>61</v>
      </c>
      <c r="G383" s="307"/>
      <c r="H383" s="307">
        <v>0</v>
      </c>
      <c r="I383" s="308">
        <f>G383*H383</f>
        <v>0</v>
      </c>
      <c r="J383" s="266">
        <f>opex_orig!$AD$21</f>
        <v>1.5464210803373899E-2</v>
      </c>
      <c r="K383" s="266">
        <f>J383*I383</f>
        <v>0</v>
      </c>
      <c r="L383" s="266">
        <f t="shared" si="53"/>
        <v>0</v>
      </c>
      <c r="M383" s="266">
        <f t="shared" si="51"/>
        <v>0</v>
      </c>
    </row>
    <row r="384" spans="1:13" ht="15" customHeight="1" x14ac:dyDescent="0.25">
      <c r="A384" s="2" t="s">
        <v>919</v>
      </c>
      <c r="B384" s="2" t="s">
        <v>143</v>
      </c>
      <c r="C384" s="2" t="s">
        <v>926</v>
      </c>
      <c r="D384" s="2" t="s">
        <v>829</v>
      </c>
      <c r="E384" s="304" t="s">
        <v>990</v>
      </c>
      <c r="F384" s="291" t="s">
        <v>65</v>
      </c>
      <c r="G384" s="307"/>
      <c r="H384" s="307">
        <v>0</v>
      </c>
      <c r="I384" s="309">
        <f t="shared" si="54"/>
        <v>0</v>
      </c>
      <c r="J384" s="293">
        <f>opex_orig!$AD$23</f>
        <v>5.7937683640318899E-5</v>
      </c>
      <c r="K384" s="293">
        <f t="shared" ref="K384" si="55">J384*I384</f>
        <v>0</v>
      </c>
      <c r="L384" s="293">
        <f t="shared" si="53"/>
        <v>0</v>
      </c>
      <c r="M384" s="293">
        <f t="shared" si="51"/>
        <v>0</v>
      </c>
    </row>
    <row r="385" spans="1:16" ht="15" customHeight="1" x14ac:dyDescent="0.25">
      <c r="A385" s="2" t="s">
        <v>919</v>
      </c>
      <c r="B385" s="2" t="s">
        <v>143</v>
      </c>
      <c r="C385" s="2" t="s">
        <v>926</v>
      </c>
      <c r="D385" s="2" t="s">
        <v>829</v>
      </c>
      <c r="E385" s="304" t="s">
        <v>990</v>
      </c>
      <c r="F385" s="271" t="s">
        <v>135</v>
      </c>
      <c r="G385" s="307"/>
      <c r="H385" s="262">
        <v>0</v>
      </c>
      <c r="I385" s="262">
        <f t="shared" si="54"/>
        <v>0</v>
      </c>
      <c r="J385" s="263">
        <f>opex_orig!$AD$58</f>
        <v>1.0076354723968201E-2</v>
      </c>
      <c r="K385" s="263">
        <f t="shared" ref="K385" si="56">J385*I385</f>
        <v>0</v>
      </c>
      <c r="L385" s="263">
        <f t="shared" ref="L385" si="57">K385*H385</f>
        <v>0</v>
      </c>
      <c r="M385" s="263">
        <f t="shared" ref="M385" si="58">K385/$K$402*$J$402</f>
        <v>0</v>
      </c>
    </row>
    <row r="386" spans="1:16" ht="15" customHeight="1" x14ac:dyDescent="0.25">
      <c r="A386" s="2" t="s">
        <v>919</v>
      </c>
      <c r="B386" s="2" t="s">
        <v>143</v>
      </c>
      <c r="C386" s="2" t="s">
        <v>926</v>
      </c>
      <c r="D386" s="2" t="s">
        <v>829</v>
      </c>
      <c r="E386" s="286" t="s">
        <v>992</v>
      </c>
      <c r="F386" s="278" t="s">
        <v>1035</v>
      </c>
      <c r="G386" s="283"/>
      <c r="H386" s="283">
        <f>opex_sources!H176/(opex_sources!H176+opex_sources!H177)</f>
        <v>0.96404109589041098</v>
      </c>
      <c r="I386" s="283"/>
      <c r="J386" s="284">
        <f>opex_orig!$AD$64</f>
        <v>1.1406303800218899E-2</v>
      </c>
      <c r="K386" s="286">
        <f>J386*I388+L386</f>
        <v>0.75290300283577749</v>
      </c>
      <c r="L386" s="287">
        <f>opex_sources!$H$176*$H386/$H$386</f>
        <v>0.75267379679144397</v>
      </c>
      <c r="M386" s="284">
        <f>K386/$K$402*$J$402</f>
        <v>0.47900843110465946</v>
      </c>
      <c r="N386" s="187">
        <f>opex_sources!H176</f>
        <v>0.75267379679144386</v>
      </c>
      <c r="O386" s="187">
        <f>L386/L$402</f>
        <v>0.68891937577265772</v>
      </c>
      <c r="P386" s="1" t="s">
        <v>992</v>
      </c>
    </row>
    <row r="387" spans="1:16" ht="15" customHeight="1" x14ac:dyDescent="0.25">
      <c r="A387" s="2" t="s">
        <v>919</v>
      </c>
      <c r="B387" s="2" t="s">
        <v>143</v>
      </c>
      <c r="C387" s="2" t="s">
        <v>926</v>
      </c>
      <c r="D387" s="2" t="s">
        <v>829</v>
      </c>
      <c r="E387" s="15" t="s">
        <v>991</v>
      </c>
      <c r="F387" s="311" t="s">
        <v>129</v>
      </c>
      <c r="G387" s="306">
        <f>opex_sources!H177/(opex_sources!H165+0*opex_sources!H171+0*opex_sources!H177)</f>
        <v>0.55882352941176472</v>
      </c>
      <c r="H387" s="306">
        <f>opex_sources!H177/opex_sources!H177</f>
        <v>1</v>
      </c>
      <c r="I387" s="306">
        <f t="shared" si="54"/>
        <v>0.55882352941176472</v>
      </c>
      <c r="J387" s="305">
        <f>opex_orig!$AD$55</f>
        <v>7.2731977315082796E-3</v>
      </c>
      <c r="K387" s="305">
        <f t="shared" ref="K387" si="59">J387*I387</f>
        <v>4.0644340264310973E-3</v>
      </c>
      <c r="L387" s="305">
        <f t="shared" ref="L387" si="60">K387*H387</f>
        <v>4.0644340264310973E-3</v>
      </c>
      <c r="M387" s="305">
        <f t="shared" ref="M387" si="61">K387/$K$402*$J$402</f>
        <v>2.5858552283577613E-3</v>
      </c>
      <c r="N387" s="187">
        <f>opex_sources!H177</f>
        <v>2.8074866310160429E-2</v>
      </c>
      <c r="O387" s="187">
        <f>SUM(L387:L400)/L$402</f>
        <v>0.2801344195016659</v>
      </c>
      <c r="P387" s="15" t="s">
        <v>991</v>
      </c>
    </row>
    <row r="388" spans="1:16" ht="15" customHeight="1" x14ac:dyDescent="0.25">
      <c r="A388" s="2" t="s">
        <v>919</v>
      </c>
      <c r="B388" s="2" t="s">
        <v>143</v>
      </c>
      <c r="C388" s="2" t="s">
        <v>926</v>
      </c>
      <c r="D388" s="2" t="s">
        <v>829</v>
      </c>
      <c r="E388" s="15" t="s">
        <v>991</v>
      </c>
      <c r="F388" s="278" t="s">
        <v>1035</v>
      </c>
      <c r="G388" s="283">
        <f>opex_sources!H177/(opex_sources!H165+0*opex_sources!H171+0*opex_sources!H177)</f>
        <v>0.55882352941176472</v>
      </c>
      <c r="H388" s="283">
        <f>opex_sources!H177/(opex_sources!H176+opex_sources!H177)</f>
        <v>3.5958904109589039E-2</v>
      </c>
      <c r="I388" s="283">
        <f t="shared" si="54"/>
        <v>2.0094681708299759E-2</v>
      </c>
      <c r="J388" s="284">
        <f>opex_orig!$AD$64</f>
        <v>1.1406303800218899E-2</v>
      </c>
      <c r="K388" s="286">
        <f>J386*I388+L386</f>
        <v>0.75290300283577749</v>
      </c>
      <c r="L388" s="286">
        <f>K388-L386</f>
        <v>2.2920604433351865E-4</v>
      </c>
      <c r="M388" s="284">
        <f t="shared" ref="M388:M401" si="62">K388/$K$402*$J$402</f>
        <v>0.47900843110465946</v>
      </c>
      <c r="P388" s="15"/>
    </row>
    <row r="389" spans="1:16" ht="15" customHeight="1" x14ac:dyDescent="0.25">
      <c r="A389" s="2" t="s">
        <v>919</v>
      </c>
      <c r="B389" s="2" t="s">
        <v>143</v>
      </c>
      <c r="C389" s="2" t="s">
        <v>926</v>
      </c>
      <c r="D389" s="2" t="s">
        <v>829</v>
      </c>
      <c r="E389" s="15" t="s">
        <v>991</v>
      </c>
      <c r="F389" s="294" t="s">
        <v>223</v>
      </c>
      <c r="G389" s="295">
        <f>opex_sources!H177/(opex_sources!H165+0*opex_sources!H171+0*opex_sources!H177)</f>
        <v>0.55882352941176472</v>
      </c>
      <c r="H389" s="295">
        <f>opex_sources!H177/opex_sources!H177</f>
        <v>1</v>
      </c>
      <c r="I389" s="295">
        <f t="shared" si="54"/>
        <v>0.55882352941176472</v>
      </c>
      <c r="J389" s="296">
        <f>opex_orig!$AD$116</f>
        <v>9.3494861544835706E-3</v>
      </c>
      <c r="K389" s="296">
        <f t="shared" si="52"/>
        <v>5.2247128510349364E-3</v>
      </c>
      <c r="L389" s="296">
        <f t="shared" ref="L389:L401" si="63">K389*H389</f>
        <v>5.2247128510349364E-3</v>
      </c>
      <c r="M389" s="296">
        <f t="shared" si="62"/>
        <v>3.3240424016378637E-3</v>
      </c>
    </row>
    <row r="390" spans="1:16" ht="15" customHeight="1" x14ac:dyDescent="0.25">
      <c r="A390" s="2" t="s">
        <v>919</v>
      </c>
      <c r="B390" s="2" t="s">
        <v>143</v>
      </c>
      <c r="C390" s="2" t="s">
        <v>926</v>
      </c>
      <c r="D390" s="2" t="s">
        <v>829</v>
      </c>
      <c r="E390" s="15" t="s">
        <v>991</v>
      </c>
      <c r="F390" s="258" t="s">
        <v>227</v>
      </c>
      <c r="G390" s="237">
        <f>opex_sources!H177/(opex_sources!H165+0*opex_sources!H171+0*opex_sources!H177)</f>
        <v>0.55882352941176472</v>
      </c>
      <c r="H390" s="237">
        <f>opex_sources!H177/opex_sources!H177</f>
        <v>1</v>
      </c>
      <c r="I390" s="237">
        <f t="shared" si="54"/>
        <v>0.55882352941176472</v>
      </c>
      <c r="J390" s="238">
        <f>opex_orig!$AD$118</f>
        <v>1.0960305363634499E-2</v>
      </c>
      <c r="K390" s="238">
        <f t="shared" si="52"/>
        <v>6.1248765267369262E-3</v>
      </c>
      <c r="L390" s="238">
        <f t="shared" si="63"/>
        <v>6.1248765267369262E-3</v>
      </c>
      <c r="M390" s="238">
        <f t="shared" si="62"/>
        <v>3.896740330071367E-3</v>
      </c>
    </row>
    <row r="391" spans="1:16" ht="15" customHeight="1" x14ac:dyDescent="0.25">
      <c r="A391" s="2" t="s">
        <v>919</v>
      </c>
      <c r="B391" s="2" t="s">
        <v>143</v>
      </c>
      <c r="C391" s="2" t="s">
        <v>926</v>
      </c>
      <c r="D391" s="2" t="s">
        <v>829</v>
      </c>
      <c r="E391" s="15" t="s">
        <v>991</v>
      </c>
      <c r="F391" s="264" t="s">
        <v>231</v>
      </c>
      <c r="G391" s="230">
        <f>opex_sources!H177/(opex_sources!H165+0*opex_sources!H171+0*opex_sources!H177)</f>
        <v>0.55882352941176472</v>
      </c>
      <c r="H391" s="230">
        <f>opex_sources!H177/opex_sources!H177</f>
        <v>1</v>
      </c>
      <c r="I391" s="230">
        <f t="shared" si="54"/>
        <v>0.55882352941176472</v>
      </c>
      <c r="J391" s="231">
        <f>opex_orig!$AD$120</f>
        <v>5.2021404617691697E-2</v>
      </c>
      <c r="K391" s="231">
        <f t="shared" si="52"/>
        <v>2.9070784933415948E-2</v>
      </c>
      <c r="L391" s="231">
        <f t="shared" si="63"/>
        <v>2.9070784933415948E-2</v>
      </c>
      <c r="M391" s="231">
        <f t="shared" si="62"/>
        <v>1.849527897948082E-2</v>
      </c>
    </row>
    <row r="392" spans="1:16" ht="15" customHeight="1" x14ac:dyDescent="0.25">
      <c r="A392" s="2" t="s">
        <v>919</v>
      </c>
      <c r="B392" s="2" t="s">
        <v>143</v>
      </c>
      <c r="C392" s="2" t="s">
        <v>926</v>
      </c>
      <c r="D392" s="2" t="s">
        <v>829</v>
      </c>
      <c r="E392" s="15" t="s">
        <v>991</v>
      </c>
      <c r="F392" s="281" t="s">
        <v>233</v>
      </c>
      <c r="G392" s="289">
        <f>opex_sources!H177/(opex_sources!H165+0*opex_sources!H171+0*opex_sources!H177)</f>
        <v>0.55882352941176472</v>
      </c>
      <c r="H392" s="289">
        <f>opex_sources!H177/opex_sources!H177</f>
        <v>1</v>
      </c>
      <c r="I392" s="289">
        <f t="shared" si="54"/>
        <v>0.55882352941176472</v>
      </c>
      <c r="J392" s="226">
        <f>opex_orig!$AD$121</f>
        <v>2.7457674285480502E-2</v>
      </c>
      <c r="K392" s="226">
        <f t="shared" si="52"/>
        <v>1.5343994453650868E-2</v>
      </c>
      <c r="L392" s="226">
        <f t="shared" si="63"/>
        <v>1.5343994453650868E-2</v>
      </c>
      <c r="M392" s="226">
        <f t="shared" si="62"/>
        <v>9.7620844683030863E-3</v>
      </c>
    </row>
    <row r="393" spans="1:16" ht="15" customHeight="1" x14ac:dyDescent="0.25">
      <c r="A393" s="2" t="s">
        <v>919</v>
      </c>
      <c r="B393" s="2" t="s">
        <v>143</v>
      </c>
      <c r="C393" s="2" t="s">
        <v>926</v>
      </c>
      <c r="D393" s="2" t="s">
        <v>829</v>
      </c>
      <c r="E393" s="15" t="s">
        <v>991</v>
      </c>
      <c r="F393" s="191" t="s">
        <v>239</v>
      </c>
      <c r="G393" s="192">
        <f>opex_sources!H177/(opex_sources!H165+0*opex_sources!H171+0*opex_sources!H177)</f>
        <v>0.55882352941176472</v>
      </c>
      <c r="H393" s="192">
        <f>opex_sources!H177/opex_sources!H177</f>
        <v>1</v>
      </c>
      <c r="I393" s="192">
        <f t="shared" si="54"/>
        <v>0.55882352941176472</v>
      </c>
      <c r="J393" s="217">
        <f>opex_orig!$AD$124</f>
        <v>4.4291695162636098E-2</v>
      </c>
      <c r="K393" s="217">
        <f t="shared" si="52"/>
        <v>2.4751241414414291E-2</v>
      </c>
      <c r="L393" s="217">
        <f t="shared" si="63"/>
        <v>2.4751241414414291E-2</v>
      </c>
      <c r="M393" s="217">
        <f t="shared" si="62"/>
        <v>1.5747119181562481E-2</v>
      </c>
    </row>
    <row r="394" spans="1:16" ht="15" customHeight="1" x14ac:dyDescent="0.25">
      <c r="A394" s="2" t="s">
        <v>919</v>
      </c>
      <c r="B394" s="2" t="s">
        <v>143</v>
      </c>
      <c r="C394" s="2" t="s">
        <v>926</v>
      </c>
      <c r="D394" s="2" t="s">
        <v>829</v>
      </c>
      <c r="E394" s="15" t="s">
        <v>991</v>
      </c>
      <c r="F394" s="255" t="s">
        <v>249</v>
      </c>
      <c r="G394" s="256">
        <f>opex_sources!H177/(opex_sources!H165+0*opex_sources!H171+0*opex_sources!H177)</f>
        <v>0.55882352941176472</v>
      </c>
      <c r="H394" s="256">
        <f>opex_sources!H177/opex_sources!H177</f>
        <v>1</v>
      </c>
      <c r="I394" s="256">
        <f t="shared" si="54"/>
        <v>0.55882352941176472</v>
      </c>
      <c r="J394" s="257">
        <f>opex_orig!$AD$129</f>
        <v>5.5702518711760098E-3</v>
      </c>
      <c r="K394" s="257">
        <f t="shared" si="52"/>
        <v>3.1127878103630645E-3</v>
      </c>
      <c r="L394" s="257">
        <f t="shared" si="63"/>
        <v>3.1127878103630645E-3</v>
      </c>
      <c r="M394" s="257">
        <f t="shared" si="62"/>
        <v>1.980403318605101E-3</v>
      </c>
    </row>
    <row r="395" spans="1:16" ht="15" customHeight="1" x14ac:dyDescent="0.25">
      <c r="A395" s="2" t="s">
        <v>919</v>
      </c>
      <c r="B395" s="2" t="s">
        <v>143</v>
      </c>
      <c r="C395" s="2" t="s">
        <v>926</v>
      </c>
      <c r="D395" s="2" t="s">
        <v>829</v>
      </c>
      <c r="E395" s="15" t="s">
        <v>991</v>
      </c>
      <c r="F395" s="300" t="s">
        <v>255</v>
      </c>
      <c r="G395" s="301">
        <f>opex_sources!H177/(opex_sources!H165+0*opex_sources!H171+0*opex_sources!H177)</f>
        <v>0.55882352941176472</v>
      </c>
      <c r="H395" s="301">
        <f>opex_sources!H177/opex_sources!H177</f>
        <v>1</v>
      </c>
      <c r="I395" s="301">
        <f t="shared" si="54"/>
        <v>0.55882352941176472</v>
      </c>
      <c r="J395" s="302">
        <f>opex_orig!$AD$132</f>
        <v>8.0393532307613397E-3</v>
      </c>
      <c r="K395" s="302">
        <f t="shared" si="52"/>
        <v>4.4925797466019253E-3</v>
      </c>
      <c r="L395" s="302">
        <f t="shared" si="63"/>
        <v>4.4925797466019253E-3</v>
      </c>
      <c r="M395" s="302">
        <f t="shared" si="62"/>
        <v>2.8582480982636553E-3</v>
      </c>
    </row>
    <row r="396" spans="1:16" ht="15" customHeight="1" x14ac:dyDescent="0.25">
      <c r="A396" s="2" t="s">
        <v>919</v>
      </c>
      <c r="B396" s="2" t="s">
        <v>143</v>
      </c>
      <c r="C396" s="2" t="s">
        <v>926</v>
      </c>
      <c r="D396" s="2" t="s">
        <v>829</v>
      </c>
      <c r="E396" s="15" t="s">
        <v>991</v>
      </c>
      <c r="F396" s="297" t="s">
        <v>257</v>
      </c>
      <c r="G396" s="298">
        <f>opex_sources!H177/(opex_sources!H165+0*opex_sources!H171+0*opex_sources!H177)</f>
        <v>0.55882352941176472</v>
      </c>
      <c r="H396" s="298">
        <f>opex_sources!H177/opex_sources!H177</f>
        <v>1</v>
      </c>
      <c r="I396" s="298">
        <f t="shared" si="54"/>
        <v>0.55882352941176472</v>
      </c>
      <c r="J396" s="299">
        <f>opex_orig!$AD$133</f>
        <v>8.8305151998102405E-2</v>
      </c>
      <c r="K396" s="299">
        <f t="shared" si="52"/>
        <v>4.9346996704821934E-2</v>
      </c>
      <c r="L396" s="299">
        <f t="shared" si="63"/>
        <v>4.9346996704821934E-2</v>
      </c>
      <c r="M396" s="299">
        <f t="shared" si="62"/>
        <v>3.1395315707698629E-2</v>
      </c>
    </row>
    <row r="397" spans="1:16" ht="15" customHeight="1" x14ac:dyDescent="0.25">
      <c r="A397" s="2" t="s">
        <v>919</v>
      </c>
      <c r="B397" s="2" t="s">
        <v>143</v>
      </c>
      <c r="C397" s="2" t="s">
        <v>926</v>
      </c>
      <c r="D397" s="2" t="s">
        <v>829</v>
      </c>
      <c r="E397" s="15" t="s">
        <v>991</v>
      </c>
      <c r="F397" s="290" t="s">
        <v>267</v>
      </c>
      <c r="G397" s="198">
        <f>opex_sources!H177/(opex_sources!H165+0*opex_sources!H171+0*opex_sources!H177)</f>
        <v>0.55882352941176472</v>
      </c>
      <c r="H397" s="198">
        <f>opex_sources!H177/opex_sources!H177</f>
        <v>1</v>
      </c>
      <c r="I397" s="198">
        <f t="shared" si="54"/>
        <v>0.55882352941176472</v>
      </c>
      <c r="J397" s="208">
        <f>opex_orig!$AD$138</f>
        <v>4.1270669160376701E-2</v>
      </c>
      <c r="K397" s="208">
        <f t="shared" si="52"/>
        <v>2.306302100138698E-2</v>
      </c>
      <c r="L397" s="208">
        <f t="shared" si="63"/>
        <v>2.306302100138698E-2</v>
      </c>
      <c r="M397" s="208">
        <f t="shared" si="62"/>
        <v>1.4673047477296135E-2</v>
      </c>
    </row>
    <row r="398" spans="1:16" ht="15" customHeight="1" x14ac:dyDescent="0.25">
      <c r="A398" s="2" t="s">
        <v>919</v>
      </c>
      <c r="B398" s="2" t="s">
        <v>143</v>
      </c>
      <c r="C398" s="2" t="s">
        <v>926</v>
      </c>
      <c r="D398" s="2" t="s">
        <v>829</v>
      </c>
      <c r="E398" s="15" t="s">
        <v>991</v>
      </c>
      <c r="F398" s="241" t="s">
        <v>372</v>
      </c>
      <c r="G398" s="203">
        <f>opex_sources!H177/(opex_sources!H165+0*opex_sources!H171+0*opex_sources!H177)</f>
        <v>0.55882352941176472</v>
      </c>
      <c r="H398" s="203">
        <f>opex_sources!H177/opex_sources!H177</f>
        <v>1</v>
      </c>
      <c r="I398" s="203">
        <f t="shared" si="54"/>
        <v>0.55882352941176472</v>
      </c>
      <c r="J398" s="227">
        <f>opex_orig!$AD$169</f>
        <v>1.3590283572723801E-2</v>
      </c>
      <c r="K398" s="227">
        <f t="shared" si="52"/>
        <v>7.5945702318162417E-3</v>
      </c>
      <c r="L398" s="227">
        <f t="shared" si="63"/>
        <v>7.5945702318162417E-3</v>
      </c>
      <c r="M398" s="227">
        <f t="shared" si="62"/>
        <v>4.8317819931048079E-3</v>
      </c>
    </row>
    <row r="399" spans="1:16" ht="15" customHeight="1" x14ac:dyDescent="0.25">
      <c r="A399" s="2" t="s">
        <v>919</v>
      </c>
      <c r="B399" s="2" t="s">
        <v>143</v>
      </c>
      <c r="C399" s="2" t="s">
        <v>926</v>
      </c>
      <c r="D399" s="2" t="s">
        <v>829</v>
      </c>
      <c r="E399" s="15" t="s">
        <v>991</v>
      </c>
      <c r="F399" s="241" t="s">
        <v>373</v>
      </c>
      <c r="G399" s="203">
        <f>opex_sources!H177/(opex_sources!H165+0*opex_sources!H171+0*opex_sources!H177)</f>
        <v>0.55882352941176472</v>
      </c>
      <c r="H399" s="203">
        <f>opex_sources!H177/opex_sources!H177</f>
        <v>1</v>
      </c>
      <c r="I399" s="203">
        <f t="shared" si="54"/>
        <v>0.55882352941176472</v>
      </c>
      <c r="J399" s="227">
        <f>opex_orig!$AD$170</f>
        <v>0.131959371148891</v>
      </c>
      <c r="K399" s="227">
        <f t="shared" si="52"/>
        <v>7.3742001524380263E-2</v>
      </c>
      <c r="L399" s="227">
        <f t="shared" si="63"/>
        <v>7.3742001524380263E-2</v>
      </c>
      <c r="M399" s="227">
        <f t="shared" si="62"/>
        <v>4.6915791707123025E-2</v>
      </c>
    </row>
    <row r="400" spans="1:16" ht="15" customHeight="1" x14ac:dyDescent="0.25">
      <c r="A400" s="2" t="s">
        <v>919</v>
      </c>
      <c r="B400" s="2" t="s">
        <v>143</v>
      </c>
      <c r="C400" s="2" t="s">
        <v>926</v>
      </c>
      <c r="D400" s="2" t="s">
        <v>829</v>
      </c>
      <c r="E400" s="15" t="s">
        <v>991</v>
      </c>
      <c r="F400" s="241" t="s">
        <v>374</v>
      </c>
      <c r="G400" s="203">
        <f>opex_sources!H177/(opex_sources!H165+0*opex_sources!H171+0*opex_sources!H177)</f>
        <v>0.55882352941176472</v>
      </c>
      <c r="H400" s="203">
        <f>opex_sources!H177/opex_sources!H177</f>
        <v>1</v>
      </c>
      <c r="I400" s="203">
        <f t="shared" si="54"/>
        <v>0.55882352941176472</v>
      </c>
      <c r="J400" s="227">
        <f>opex_orig!$AD$171</f>
        <v>0.10718516514040501</v>
      </c>
      <c r="K400" s="227">
        <f t="shared" si="52"/>
        <v>5.9897592284343978E-2</v>
      </c>
      <c r="L400" s="227">
        <f t="shared" si="63"/>
        <v>5.9897592284343978E-2</v>
      </c>
      <c r="M400" s="227">
        <f t="shared" si="62"/>
        <v>3.8107766337768634E-2</v>
      </c>
    </row>
    <row r="401" spans="1:16" ht="15" customHeight="1" x14ac:dyDescent="0.25">
      <c r="A401" s="2" t="s">
        <v>919</v>
      </c>
      <c r="B401" s="2" t="s">
        <v>143</v>
      </c>
      <c r="C401" s="2" t="s">
        <v>926</v>
      </c>
      <c r="D401" s="2" t="s">
        <v>829</v>
      </c>
      <c r="E401" s="15" t="s">
        <v>991</v>
      </c>
      <c r="F401" s="240" t="s">
        <v>375</v>
      </c>
      <c r="G401" s="202">
        <f>opex_sources!H178/(opex_sources!H166+0*opex_sources!H172+0*opex_sources!H178)</f>
        <v>0.28175976272862086</v>
      </c>
      <c r="H401" s="202">
        <f>opex_sources!H178/opex_sources!H178</f>
        <v>1</v>
      </c>
      <c r="I401" s="202">
        <f t="shared" si="54"/>
        <v>0.28175976272862086</v>
      </c>
      <c r="J401" s="239">
        <f>opex_orig!$AD$172</f>
        <v>9.6972910774539706E-2</v>
      </c>
      <c r="K401" s="239">
        <f t="shared" si="52"/>
        <v>2.7323064330938028E-2</v>
      </c>
      <c r="L401" s="239">
        <f t="shared" si="63"/>
        <v>2.7323064330938028E-2</v>
      </c>
      <c r="M401" s="239">
        <f t="shared" si="62"/>
        <v>1.7383352342651027E-2</v>
      </c>
      <c r="N401" s="187">
        <f>opex_sources!H178</f>
        <v>8.0213903743315509E-2</v>
      </c>
      <c r="O401" s="187">
        <f>L401/L$402</f>
        <v>2.5008693677537053E-2</v>
      </c>
      <c r="P401" s="1" t="s">
        <v>404</v>
      </c>
    </row>
    <row r="402" spans="1:16" ht="15" customHeight="1" x14ac:dyDescent="0.25">
      <c r="A402" s="2" t="s">
        <v>919</v>
      </c>
      <c r="B402" s="24" t="s">
        <v>143</v>
      </c>
      <c r="C402" s="24" t="s">
        <v>926</v>
      </c>
      <c r="D402" s="24" t="s">
        <v>829</v>
      </c>
      <c r="E402" s="31" t="s">
        <v>346</v>
      </c>
      <c r="F402" s="19"/>
      <c r="G402" s="184"/>
      <c r="H402" s="184"/>
      <c r="I402" s="184"/>
      <c r="J402" s="221">
        <f>SUM(J367:J385,J387:J401)</f>
        <v>0.69509237734655649</v>
      </c>
      <c r="K402" s="221">
        <f>SUM(K367:K385,K387:K401)</f>
        <v>1.0925426446995812</v>
      </c>
      <c r="L402" s="221">
        <f>SUM(L367:L401)</f>
        <v>1.0925426446995812</v>
      </c>
      <c r="M402" s="221">
        <f>SUM(M367:M385,M387:M401)</f>
        <v>0.69509237734655649</v>
      </c>
      <c r="N402" s="277">
        <f>SUM(N367:N401)</f>
        <v>1</v>
      </c>
      <c r="O402" s="277">
        <f>SUM(O367:O401)</f>
        <v>1.0000000000000002</v>
      </c>
    </row>
    <row r="403" spans="1:16" ht="15" customHeight="1" x14ac:dyDescent="0.25">
      <c r="A403" s="2" t="s">
        <v>917</v>
      </c>
      <c r="B403" s="2" t="s">
        <v>159</v>
      </c>
      <c r="C403" s="2" t="s">
        <v>735</v>
      </c>
      <c r="D403" s="2" t="s">
        <v>904</v>
      </c>
      <c r="E403" s="303" t="s">
        <v>967</v>
      </c>
      <c r="F403" s="328" t="s">
        <v>159</v>
      </c>
      <c r="G403" s="307"/>
      <c r="H403" s="306">
        <v>0</v>
      </c>
      <c r="I403" s="306">
        <f>G403*H403</f>
        <v>0</v>
      </c>
      <c r="J403" s="305">
        <f>opex_orig!$AL$70</f>
        <v>0.14937267828621301</v>
      </c>
      <c r="K403" s="305">
        <f>J403*(I403+I439)</f>
        <v>0.14937267828621301</v>
      </c>
      <c r="L403" s="305">
        <f t="shared" ref="L403:L455" si="64">K403*H403</f>
        <v>0</v>
      </c>
      <c r="M403" s="305">
        <f t="shared" ref="M403:M434" si="65">K403/$K$456*$J$456</f>
        <v>0.14937267828621301</v>
      </c>
    </row>
    <row r="404" spans="1:16" ht="15" customHeight="1" x14ac:dyDescent="0.25">
      <c r="A404" s="2" t="s">
        <v>917</v>
      </c>
      <c r="B404" s="2" t="s">
        <v>159</v>
      </c>
      <c r="C404" s="2" t="s">
        <v>735</v>
      </c>
      <c r="D404" s="2" t="s">
        <v>904</v>
      </c>
      <c r="E404" s="303" t="s">
        <v>967</v>
      </c>
      <c r="F404" s="255" t="s">
        <v>249</v>
      </c>
      <c r="G404" s="307"/>
      <c r="H404" s="256">
        <v>0</v>
      </c>
      <c r="I404" s="256">
        <f t="shared" ref="I404:I455" si="66">G404*H404</f>
        <v>0</v>
      </c>
      <c r="J404" s="257">
        <f>opex_orig!$AL$129</f>
        <v>4.8979815221200297E-2</v>
      </c>
      <c r="K404" s="257">
        <f>J404*(I404+I450)</f>
        <v>4.8979815221200297E-2</v>
      </c>
      <c r="L404" s="257">
        <f t="shared" si="64"/>
        <v>0</v>
      </c>
      <c r="M404" s="257">
        <f t="shared" si="65"/>
        <v>4.8979815221200297E-2</v>
      </c>
    </row>
    <row r="405" spans="1:16" ht="15" customHeight="1" x14ac:dyDescent="0.25">
      <c r="A405" s="2" t="s">
        <v>917</v>
      </c>
      <c r="B405" s="2" t="s">
        <v>159</v>
      </c>
      <c r="C405" s="2" t="s">
        <v>735</v>
      </c>
      <c r="D405" s="2" t="s">
        <v>904</v>
      </c>
      <c r="E405" s="15" t="s">
        <v>836</v>
      </c>
      <c r="F405" s="259" t="s">
        <v>2</v>
      </c>
      <c r="G405" s="260">
        <f>opex_sources!H121/(opex_sources!H121+0*opex_sources!H127+0*opex_sources!H133)</f>
        <v>1</v>
      </c>
      <c r="H405" s="260">
        <f>opex_sources!H121/opex_sources!H121</f>
        <v>1</v>
      </c>
      <c r="I405" s="260">
        <f t="shared" si="66"/>
        <v>1</v>
      </c>
      <c r="J405" s="261">
        <f>opex_orig!$AL$97</f>
        <v>8.51974436228768E-3</v>
      </c>
      <c r="K405" s="261">
        <f t="shared" ref="K405:K455" si="67">J405*I405</f>
        <v>8.51974436228768E-3</v>
      </c>
      <c r="L405" s="261">
        <f t="shared" si="64"/>
        <v>8.51974436228768E-3</v>
      </c>
      <c r="M405" s="261">
        <f t="shared" si="65"/>
        <v>8.51974436228768E-3</v>
      </c>
      <c r="N405" s="187">
        <f>opex_sources!H121</f>
        <v>0.17647058823529413</v>
      </c>
      <c r="O405" s="187">
        <f>SUM(L405:L420)/L$456</f>
        <v>2.9788537262245708E-2</v>
      </c>
      <c r="P405" s="1" t="s">
        <v>836</v>
      </c>
    </row>
    <row r="406" spans="1:16" ht="15" customHeight="1" x14ac:dyDescent="0.25">
      <c r="A406" s="2" t="s">
        <v>917</v>
      </c>
      <c r="B406" s="2" t="s">
        <v>159</v>
      </c>
      <c r="C406" s="2" t="s">
        <v>735</v>
      </c>
      <c r="D406" s="2" t="s">
        <v>904</v>
      </c>
      <c r="E406" s="15" t="s">
        <v>836</v>
      </c>
      <c r="F406" s="259" t="s">
        <v>4</v>
      </c>
      <c r="G406" s="260">
        <f>opex_sources!H121/(opex_sources!H121+0*opex_sources!H127+0*opex_sources!H133)</f>
        <v>1</v>
      </c>
      <c r="H406" s="260">
        <f>opex_sources!H121/opex_sources!H121</f>
        <v>1</v>
      </c>
      <c r="I406" s="260">
        <f t="shared" si="66"/>
        <v>1</v>
      </c>
      <c r="J406" s="261">
        <f>opex_orig!$AL$98</f>
        <v>5.0144068549209901E-5</v>
      </c>
      <c r="K406" s="261">
        <f t="shared" si="67"/>
        <v>5.0144068549209901E-5</v>
      </c>
      <c r="L406" s="261">
        <f t="shared" si="64"/>
        <v>5.0144068549209901E-5</v>
      </c>
      <c r="M406" s="261">
        <f t="shared" si="65"/>
        <v>5.0144068549209901E-5</v>
      </c>
    </row>
    <row r="407" spans="1:16" ht="15" customHeight="1" x14ac:dyDescent="0.25">
      <c r="A407" s="2" t="s">
        <v>917</v>
      </c>
      <c r="B407" s="2" t="s">
        <v>159</v>
      </c>
      <c r="C407" s="2" t="s">
        <v>735</v>
      </c>
      <c r="D407" s="2" t="s">
        <v>904</v>
      </c>
      <c r="E407" s="15" t="s">
        <v>836</v>
      </c>
      <c r="F407" s="259" t="s">
        <v>6</v>
      </c>
      <c r="G407" s="260">
        <f>opex_sources!H121/(opex_sources!H121+0*opex_sources!H127+0*opex_sources!H133)</f>
        <v>1</v>
      </c>
      <c r="H407" s="260">
        <f>opex_sources!H121/opex_sources!H121</f>
        <v>1</v>
      </c>
      <c r="I407" s="260">
        <f t="shared" si="66"/>
        <v>1</v>
      </c>
      <c r="J407" s="261">
        <f>opex_orig!$AL$99</f>
        <v>6.5666744549239204E-3</v>
      </c>
      <c r="K407" s="261">
        <f t="shared" si="67"/>
        <v>6.5666744549239204E-3</v>
      </c>
      <c r="L407" s="261">
        <f t="shared" si="64"/>
        <v>6.5666744549239204E-3</v>
      </c>
      <c r="M407" s="261">
        <f t="shared" si="65"/>
        <v>6.5666744549239204E-3</v>
      </c>
    </row>
    <row r="408" spans="1:16" ht="15" customHeight="1" x14ac:dyDescent="0.25">
      <c r="A408" s="2" t="s">
        <v>917</v>
      </c>
      <c r="B408" s="2" t="s">
        <v>159</v>
      </c>
      <c r="C408" s="2" t="s">
        <v>735</v>
      </c>
      <c r="D408" s="2" t="s">
        <v>904</v>
      </c>
      <c r="E408" s="15" t="s">
        <v>836</v>
      </c>
      <c r="F408" s="259" t="s">
        <v>8</v>
      </c>
      <c r="G408" s="260">
        <f>opex_sources!H121/(opex_sources!H121+0*opex_sources!H127+0*opex_sources!H133)</f>
        <v>1</v>
      </c>
      <c r="H408" s="260">
        <f>opex_sources!H121/opex_sources!H121</f>
        <v>1</v>
      </c>
      <c r="I408" s="260">
        <f t="shared" si="66"/>
        <v>1</v>
      </c>
      <c r="J408" s="261">
        <f>opex_orig!$AL$100</f>
        <v>4.0098674309218797E-4</v>
      </c>
      <c r="K408" s="261">
        <f t="shared" si="67"/>
        <v>4.0098674309218797E-4</v>
      </c>
      <c r="L408" s="261">
        <f t="shared" si="64"/>
        <v>4.0098674309218797E-4</v>
      </c>
      <c r="M408" s="261">
        <f t="shared" si="65"/>
        <v>4.0098674309218797E-4</v>
      </c>
    </row>
    <row r="409" spans="1:16" ht="15" customHeight="1" x14ac:dyDescent="0.25">
      <c r="A409" s="2" t="s">
        <v>917</v>
      </c>
      <c r="B409" s="2" t="s">
        <v>159</v>
      </c>
      <c r="C409" s="2" t="s">
        <v>735</v>
      </c>
      <c r="D409" s="2" t="s">
        <v>904</v>
      </c>
      <c r="E409" s="15" t="s">
        <v>836</v>
      </c>
      <c r="F409" s="259" t="s">
        <v>342</v>
      </c>
      <c r="G409" s="260">
        <f>opex_sources!H121/(opex_sources!H121+0*opex_sources!H127+0*opex_sources!H133)</f>
        <v>1</v>
      </c>
      <c r="H409" s="260">
        <f>opex_sources!H121/opex_sources!H121</f>
        <v>1</v>
      </c>
      <c r="I409" s="260">
        <f t="shared" si="66"/>
        <v>1</v>
      </c>
      <c r="J409" s="261">
        <f>opex_orig!$AL$101</f>
        <v>7.4378301385586503E-5</v>
      </c>
      <c r="K409" s="261">
        <f t="shared" si="67"/>
        <v>7.4378301385586503E-5</v>
      </c>
      <c r="L409" s="261">
        <f t="shared" si="64"/>
        <v>7.4378301385586503E-5</v>
      </c>
      <c r="M409" s="261">
        <f t="shared" si="65"/>
        <v>7.4378301385586503E-5</v>
      </c>
    </row>
    <row r="410" spans="1:16" ht="15" customHeight="1" x14ac:dyDescent="0.25">
      <c r="A410" s="2" t="s">
        <v>917</v>
      </c>
      <c r="B410" s="2" t="s">
        <v>159</v>
      </c>
      <c r="C410" s="2" t="s">
        <v>735</v>
      </c>
      <c r="D410" s="2" t="s">
        <v>904</v>
      </c>
      <c r="E410" s="15" t="s">
        <v>836</v>
      </c>
      <c r="F410" s="259" t="s">
        <v>343</v>
      </c>
      <c r="G410" s="260">
        <f>opex_sources!H121/(opex_sources!H121+0*opex_sources!H127+0*opex_sources!H133)</f>
        <v>1</v>
      </c>
      <c r="H410" s="260">
        <f>opex_sources!H121/opex_sources!H121</f>
        <v>1</v>
      </c>
      <c r="I410" s="260">
        <f t="shared" si="66"/>
        <v>1</v>
      </c>
      <c r="J410" s="261">
        <f>opex_orig!$AL$102</f>
        <v>6.4999995235635296E-8</v>
      </c>
      <c r="K410" s="261">
        <f t="shared" si="67"/>
        <v>6.4999995235635296E-8</v>
      </c>
      <c r="L410" s="261">
        <f t="shared" si="64"/>
        <v>6.4999995235635296E-8</v>
      </c>
      <c r="M410" s="261">
        <f t="shared" si="65"/>
        <v>6.4999995235635296E-8</v>
      </c>
    </row>
    <row r="411" spans="1:16" ht="15" customHeight="1" x14ac:dyDescent="0.25">
      <c r="A411" s="2" t="s">
        <v>917</v>
      </c>
      <c r="B411" s="2" t="s">
        <v>159</v>
      </c>
      <c r="C411" s="2" t="s">
        <v>735</v>
      </c>
      <c r="D411" s="2" t="s">
        <v>904</v>
      </c>
      <c r="E411" s="15" t="s">
        <v>836</v>
      </c>
      <c r="F411" s="259" t="s">
        <v>10</v>
      </c>
      <c r="G411" s="260">
        <f>opex_sources!H121/(opex_sources!H121+0*opex_sources!H127+0*opex_sources!H133)</f>
        <v>1</v>
      </c>
      <c r="H411" s="260">
        <f>opex_sources!H121/opex_sources!H121</f>
        <v>1</v>
      </c>
      <c r="I411" s="260">
        <f t="shared" si="66"/>
        <v>1</v>
      </c>
      <c r="J411" s="261">
        <f>opex_orig!$AL$103</f>
        <v>5.18878179465611E-6</v>
      </c>
      <c r="K411" s="261">
        <f t="shared" si="67"/>
        <v>5.18878179465611E-6</v>
      </c>
      <c r="L411" s="261">
        <f t="shared" si="64"/>
        <v>5.18878179465611E-6</v>
      </c>
      <c r="M411" s="261">
        <f t="shared" si="65"/>
        <v>5.18878179465611E-6</v>
      </c>
    </row>
    <row r="412" spans="1:16" ht="15" customHeight="1" x14ac:dyDescent="0.25">
      <c r="A412" s="2" t="s">
        <v>917</v>
      </c>
      <c r="B412" s="2" t="s">
        <v>159</v>
      </c>
      <c r="C412" s="2" t="s">
        <v>735</v>
      </c>
      <c r="D412" s="2" t="s">
        <v>904</v>
      </c>
      <c r="E412" s="15" t="s">
        <v>836</v>
      </c>
      <c r="F412" s="259" t="s">
        <v>12</v>
      </c>
      <c r="G412" s="260">
        <f>opex_sources!H121/(opex_sources!H121+0*opex_sources!H127+0*opex_sources!H133)</f>
        <v>1</v>
      </c>
      <c r="H412" s="260">
        <f>opex_sources!H121/opex_sources!H121</f>
        <v>1</v>
      </c>
      <c r="I412" s="260">
        <f t="shared" si="66"/>
        <v>1</v>
      </c>
      <c r="J412" s="261">
        <f>opex_orig!$AL$104</f>
        <v>9.789230328172431E-4</v>
      </c>
      <c r="K412" s="261">
        <f t="shared" si="67"/>
        <v>9.789230328172431E-4</v>
      </c>
      <c r="L412" s="261">
        <f t="shared" si="64"/>
        <v>9.789230328172431E-4</v>
      </c>
      <c r="M412" s="261">
        <f t="shared" si="65"/>
        <v>9.789230328172431E-4</v>
      </c>
    </row>
    <row r="413" spans="1:16" ht="15" customHeight="1" x14ac:dyDescent="0.25">
      <c r="A413" s="2" t="s">
        <v>917</v>
      </c>
      <c r="B413" s="2" t="s">
        <v>159</v>
      </c>
      <c r="C413" s="2" t="s">
        <v>735</v>
      </c>
      <c r="D413" s="2" t="s">
        <v>904</v>
      </c>
      <c r="E413" s="15" t="s">
        <v>836</v>
      </c>
      <c r="F413" s="259" t="s">
        <v>340</v>
      </c>
      <c r="G413" s="260">
        <f>opex_sources!H121/(opex_sources!H121+0*opex_sources!H127+0*opex_sources!H133)</f>
        <v>1</v>
      </c>
      <c r="H413" s="260">
        <f>opex_sources!H121/opex_sources!H121</f>
        <v>1</v>
      </c>
      <c r="I413" s="260">
        <f t="shared" si="66"/>
        <v>1</v>
      </c>
      <c r="J413" s="261">
        <f>opex_orig!$AL$105</f>
        <v>2.36765489565554E-4</v>
      </c>
      <c r="K413" s="261">
        <f t="shared" si="67"/>
        <v>2.36765489565554E-4</v>
      </c>
      <c r="L413" s="261">
        <f t="shared" si="64"/>
        <v>2.36765489565554E-4</v>
      </c>
      <c r="M413" s="261">
        <f t="shared" si="65"/>
        <v>2.3676548956555398E-4</v>
      </c>
    </row>
    <row r="414" spans="1:16" ht="15" customHeight="1" x14ac:dyDescent="0.25">
      <c r="A414" s="2" t="s">
        <v>917</v>
      </c>
      <c r="B414" s="2" t="s">
        <v>159</v>
      </c>
      <c r="C414" s="2" t="s">
        <v>735</v>
      </c>
      <c r="D414" s="2" t="s">
        <v>904</v>
      </c>
      <c r="E414" s="15" t="s">
        <v>836</v>
      </c>
      <c r="F414" s="259" t="s">
        <v>341</v>
      </c>
      <c r="G414" s="260">
        <f>opex_sources!H121/(opex_sources!H121+0*opex_sources!H127+0*opex_sources!H133)</f>
        <v>1</v>
      </c>
      <c r="H414" s="260">
        <f>opex_sources!H121/opex_sources!H121</f>
        <v>1</v>
      </c>
      <c r="I414" s="260">
        <f t="shared" si="66"/>
        <v>1</v>
      </c>
      <c r="J414" s="261">
        <f>opex_orig!$AL$106</f>
        <v>1.2517820002296901E-4</v>
      </c>
      <c r="K414" s="261">
        <f t="shared" si="67"/>
        <v>1.2517820002296901E-4</v>
      </c>
      <c r="L414" s="261">
        <f t="shared" si="64"/>
        <v>1.2517820002296901E-4</v>
      </c>
      <c r="M414" s="261">
        <f t="shared" si="65"/>
        <v>1.2517820002296901E-4</v>
      </c>
    </row>
    <row r="415" spans="1:16" ht="15" customHeight="1" x14ac:dyDescent="0.25">
      <c r="A415" s="2" t="s">
        <v>917</v>
      </c>
      <c r="B415" s="2" t="s">
        <v>159</v>
      </c>
      <c r="C415" s="2" t="s">
        <v>735</v>
      </c>
      <c r="D415" s="2" t="s">
        <v>904</v>
      </c>
      <c r="E415" s="15" t="s">
        <v>836</v>
      </c>
      <c r="F415" s="259" t="s">
        <v>14</v>
      </c>
      <c r="G415" s="260">
        <f>opex_sources!H121/(opex_sources!H121+0*opex_sources!H127+0*opex_sources!H133)</f>
        <v>1</v>
      </c>
      <c r="H415" s="260">
        <f>opex_sources!H121/opex_sources!H121</f>
        <v>1</v>
      </c>
      <c r="I415" s="260">
        <f t="shared" si="66"/>
        <v>1</v>
      </c>
      <c r="J415" s="261">
        <f>opex_orig!$AL$107</f>
        <v>8.8864751107379097E-10</v>
      </c>
      <c r="K415" s="261">
        <f t="shared" si="67"/>
        <v>8.8864751107379097E-10</v>
      </c>
      <c r="L415" s="261">
        <f t="shared" si="64"/>
        <v>8.8864751107379097E-10</v>
      </c>
      <c r="M415" s="261">
        <f t="shared" si="65"/>
        <v>8.8864751107379086E-10</v>
      </c>
    </row>
    <row r="416" spans="1:16" ht="15" customHeight="1" x14ac:dyDescent="0.25">
      <c r="A416" s="2" t="s">
        <v>917</v>
      </c>
      <c r="B416" s="2" t="s">
        <v>159</v>
      </c>
      <c r="C416" s="2" t="s">
        <v>735</v>
      </c>
      <c r="D416" s="2" t="s">
        <v>904</v>
      </c>
      <c r="E416" s="15" t="s">
        <v>836</v>
      </c>
      <c r="F416" s="259" t="s">
        <v>16</v>
      </c>
      <c r="G416" s="260">
        <f>opex_sources!H121/(opex_sources!H121+0*opex_sources!H127+0*opex_sources!H133)</f>
        <v>1</v>
      </c>
      <c r="H416" s="260">
        <f>opex_sources!H121/opex_sources!H121</f>
        <v>1</v>
      </c>
      <c r="I416" s="260">
        <f t="shared" si="66"/>
        <v>1</v>
      </c>
      <c r="J416" s="261">
        <f>opex_orig!$AL$108</f>
        <v>5.5549515684599997E-11</v>
      </c>
      <c r="K416" s="261">
        <f t="shared" si="67"/>
        <v>5.5549515684599997E-11</v>
      </c>
      <c r="L416" s="261">
        <f t="shared" si="64"/>
        <v>5.5549515684599997E-11</v>
      </c>
      <c r="M416" s="261">
        <f t="shared" si="65"/>
        <v>5.5549515684600003E-11</v>
      </c>
    </row>
    <row r="417" spans="1:16" ht="15" customHeight="1" x14ac:dyDescent="0.25">
      <c r="A417" s="2" t="s">
        <v>917</v>
      </c>
      <c r="B417" s="2" t="s">
        <v>159</v>
      </c>
      <c r="C417" s="2" t="s">
        <v>735</v>
      </c>
      <c r="D417" s="2" t="s">
        <v>904</v>
      </c>
      <c r="E417" s="15" t="s">
        <v>836</v>
      </c>
      <c r="F417" s="259" t="s">
        <v>18</v>
      </c>
      <c r="G417" s="260">
        <f>opex_sources!H121/(opex_sources!H121+0*opex_sources!H127+0*opex_sources!H133)</f>
        <v>1</v>
      </c>
      <c r="H417" s="260">
        <f>opex_sources!H121/opex_sources!H121</f>
        <v>1</v>
      </c>
      <c r="I417" s="260">
        <f t="shared" si="66"/>
        <v>1</v>
      </c>
      <c r="J417" s="261">
        <f>opex_orig!$AL$109</f>
        <v>1.01749429181875E-7</v>
      </c>
      <c r="K417" s="261">
        <f t="shared" si="67"/>
        <v>1.01749429181875E-7</v>
      </c>
      <c r="L417" s="261">
        <f t="shared" si="64"/>
        <v>1.01749429181875E-7</v>
      </c>
      <c r="M417" s="261">
        <f t="shared" si="65"/>
        <v>1.01749429181875E-7</v>
      </c>
    </row>
    <row r="418" spans="1:16" ht="15" customHeight="1" x14ac:dyDescent="0.25">
      <c r="A418" s="2" t="s">
        <v>917</v>
      </c>
      <c r="B418" s="2" t="s">
        <v>159</v>
      </c>
      <c r="C418" s="2" t="s">
        <v>735</v>
      </c>
      <c r="D418" s="2" t="s">
        <v>904</v>
      </c>
      <c r="E418" s="15" t="s">
        <v>836</v>
      </c>
      <c r="F418" s="259" t="s">
        <v>20</v>
      </c>
      <c r="G418" s="260">
        <f>opex_sources!H121/(opex_sources!H121+0*opex_sources!H127+0*opex_sources!H133)</f>
        <v>1</v>
      </c>
      <c r="H418" s="260">
        <f>opex_sources!H121/opex_sources!H121</f>
        <v>1</v>
      </c>
      <c r="I418" s="260">
        <f t="shared" si="66"/>
        <v>1</v>
      </c>
      <c r="J418" s="261">
        <f>opex_orig!$AL$110</f>
        <v>6.1772925140870898E-4</v>
      </c>
      <c r="K418" s="261">
        <f t="shared" si="67"/>
        <v>6.1772925140870898E-4</v>
      </c>
      <c r="L418" s="261">
        <f t="shared" si="64"/>
        <v>6.1772925140870898E-4</v>
      </c>
      <c r="M418" s="261">
        <f t="shared" si="65"/>
        <v>6.1772925140870898E-4</v>
      </c>
    </row>
    <row r="419" spans="1:16" ht="15" customHeight="1" x14ac:dyDescent="0.25">
      <c r="A419" s="2" t="s">
        <v>917</v>
      </c>
      <c r="B419" s="2" t="s">
        <v>159</v>
      </c>
      <c r="C419" s="2" t="s">
        <v>735</v>
      </c>
      <c r="D419" s="2" t="s">
        <v>904</v>
      </c>
      <c r="E419" s="15" t="s">
        <v>836</v>
      </c>
      <c r="F419" s="259" t="s">
        <v>213</v>
      </c>
      <c r="G419" s="260">
        <f>opex_sources!H121/(opex_sources!H121+0*opex_sources!H127+0*opex_sources!H133)</f>
        <v>1</v>
      </c>
      <c r="H419" s="260">
        <f>opex_sources!H121/opex_sources!H121</f>
        <v>1</v>
      </c>
      <c r="I419" s="260">
        <f t="shared" si="66"/>
        <v>1</v>
      </c>
      <c r="J419" s="261">
        <f>opex_orig!$AL$111</f>
        <v>3.5050658144862002E-3</v>
      </c>
      <c r="K419" s="261">
        <f t="shared" si="67"/>
        <v>3.5050658144862002E-3</v>
      </c>
      <c r="L419" s="261">
        <f t="shared" si="64"/>
        <v>3.5050658144862002E-3</v>
      </c>
      <c r="M419" s="261">
        <f t="shared" si="65"/>
        <v>3.5050658144862002E-3</v>
      </c>
    </row>
    <row r="420" spans="1:16" ht="15" customHeight="1" x14ac:dyDescent="0.25">
      <c r="A420" s="2" t="s">
        <v>917</v>
      </c>
      <c r="B420" s="2" t="s">
        <v>159</v>
      </c>
      <c r="C420" s="2" t="s">
        <v>735</v>
      </c>
      <c r="D420" s="2" t="s">
        <v>904</v>
      </c>
      <c r="E420" s="15" t="s">
        <v>836</v>
      </c>
      <c r="F420" s="259" t="s">
        <v>215</v>
      </c>
      <c r="G420" s="260">
        <f>opex_sources!H121/(opex_sources!H121+0*opex_sources!H127+0*opex_sources!H133)</f>
        <v>1</v>
      </c>
      <c r="H420" s="260">
        <f>opex_sources!H121/opex_sources!H121</f>
        <v>1</v>
      </c>
      <c r="I420" s="260">
        <f t="shared" si="66"/>
        <v>1</v>
      </c>
      <c r="J420" s="261">
        <f>opex_orig!$AL$112</f>
        <v>4.9252142432523998E-3</v>
      </c>
      <c r="K420" s="261">
        <f t="shared" si="67"/>
        <v>4.9252142432523998E-3</v>
      </c>
      <c r="L420" s="261">
        <f t="shared" si="64"/>
        <v>4.9252142432523998E-3</v>
      </c>
      <c r="M420" s="261">
        <f t="shared" si="65"/>
        <v>4.9252142432523998E-3</v>
      </c>
    </row>
    <row r="421" spans="1:16" ht="15" customHeight="1" x14ac:dyDescent="0.25">
      <c r="A421" s="2" t="s">
        <v>917</v>
      </c>
      <c r="B421" s="2" t="s">
        <v>159</v>
      </c>
      <c r="C421" s="2" t="s">
        <v>735</v>
      </c>
      <c r="D421" s="2" t="s">
        <v>904</v>
      </c>
      <c r="E421" s="15" t="s">
        <v>975</v>
      </c>
      <c r="F421" s="267" t="s">
        <v>61</v>
      </c>
      <c r="G421" s="265">
        <f>opex_sources!H122/(opex_sources!H122+0*opex_sources!H128+0)</f>
        <v>1</v>
      </c>
      <c r="H421" s="265">
        <f>opex_sources!H122/opex_sources!H122</f>
        <v>1</v>
      </c>
      <c r="I421" s="265">
        <f t="shared" si="66"/>
        <v>1</v>
      </c>
      <c r="J421" s="266">
        <f>opex_orig!$AL$21</f>
        <v>9.28829150639718E-3</v>
      </c>
      <c r="K421" s="266">
        <f t="shared" si="67"/>
        <v>9.28829150639718E-3</v>
      </c>
      <c r="L421" s="266">
        <f t="shared" si="64"/>
        <v>9.28829150639718E-3</v>
      </c>
      <c r="M421" s="266">
        <f t="shared" si="65"/>
        <v>9.28829150639718E-3</v>
      </c>
      <c r="N421" s="187">
        <f>opex_sources!H122</f>
        <v>0.11764705882352941</v>
      </c>
      <c r="O421" s="187">
        <f>SUM(L421:L435)/L$456</f>
        <v>1.4821658744611292E-2</v>
      </c>
      <c r="P421" s="1" t="s">
        <v>975</v>
      </c>
    </row>
    <row r="422" spans="1:16" ht="15" customHeight="1" x14ac:dyDescent="0.25">
      <c r="A422" s="2" t="s">
        <v>917</v>
      </c>
      <c r="B422" s="2" t="s">
        <v>159</v>
      </c>
      <c r="C422" s="2" t="s">
        <v>735</v>
      </c>
      <c r="D422" s="2" t="s">
        <v>904</v>
      </c>
      <c r="E422" s="15" t="s">
        <v>975</v>
      </c>
      <c r="F422" s="332" t="s">
        <v>63</v>
      </c>
      <c r="G422" s="333">
        <f>opex_sources!H122/(opex_sources!H122+0*opex_sources!H128+0)</f>
        <v>1</v>
      </c>
      <c r="H422" s="333">
        <f>opex_sources!H122/opex_sources!H122</f>
        <v>1</v>
      </c>
      <c r="I422" s="333">
        <f t="shared" si="66"/>
        <v>1</v>
      </c>
      <c r="J422" s="334">
        <f>opex_orig!$AL$22</f>
        <v>3.88904385596317E-5</v>
      </c>
      <c r="K422" s="334">
        <f t="shared" si="67"/>
        <v>3.88904385596317E-5</v>
      </c>
      <c r="L422" s="334">
        <f t="shared" si="64"/>
        <v>3.88904385596317E-5</v>
      </c>
      <c r="M422" s="334">
        <f t="shared" si="65"/>
        <v>3.88904385596317E-5</v>
      </c>
    </row>
    <row r="423" spans="1:16" ht="15" customHeight="1" x14ac:dyDescent="0.25">
      <c r="A423" s="2" t="s">
        <v>917</v>
      </c>
      <c r="B423" s="2" t="s">
        <v>159</v>
      </c>
      <c r="C423" s="2" t="s">
        <v>735</v>
      </c>
      <c r="D423" s="2" t="s">
        <v>904</v>
      </c>
      <c r="E423" s="15" t="s">
        <v>975</v>
      </c>
      <c r="F423" s="332" t="s">
        <v>65</v>
      </c>
      <c r="G423" s="333">
        <f>opex_sources!H122/(opex_sources!H122+0*opex_sources!H128+0)</f>
        <v>1</v>
      </c>
      <c r="H423" s="333">
        <f>opex_sources!H122/opex_sources!H122</f>
        <v>1</v>
      </c>
      <c r="I423" s="333">
        <f t="shared" si="66"/>
        <v>1</v>
      </c>
      <c r="J423" s="334">
        <f>opex_orig!$AL$23</f>
        <v>5.2649147008735097E-5</v>
      </c>
      <c r="K423" s="334">
        <f t="shared" si="67"/>
        <v>5.2649147008735097E-5</v>
      </c>
      <c r="L423" s="334">
        <f t="shared" si="64"/>
        <v>5.2649147008735097E-5</v>
      </c>
      <c r="M423" s="334">
        <f t="shared" si="65"/>
        <v>5.2649147008735097E-5</v>
      </c>
    </row>
    <row r="424" spans="1:16" ht="15" customHeight="1" x14ac:dyDescent="0.25">
      <c r="A424" s="2" t="s">
        <v>917</v>
      </c>
      <c r="B424" s="2" t="s">
        <v>159</v>
      </c>
      <c r="C424" s="2" t="s">
        <v>735</v>
      </c>
      <c r="D424" s="2" t="s">
        <v>904</v>
      </c>
      <c r="E424" s="15" t="s">
        <v>975</v>
      </c>
      <c r="F424" s="332" t="s">
        <v>67</v>
      </c>
      <c r="G424" s="333">
        <f>opex_sources!H122/(opex_sources!H122+0*opex_sources!H128+0)</f>
        <v>1</v>
      </c>
      <c r="H424" s="333">
        <f>opex_sources!H122/opex_sources!H122</f>
        <v>1</v>
      </c>
      <c r="I424" s="333">
        <f t="shared" si="66"/>
        <v>1</v>
      </c>
      <c r="J424" s="334">
        <f>opex_orig!$AL$24</f>
        <v>3.27917057013687E-7</v>
      </c>
      <c r="K424" s="334">
        <f t="shared" si="67"/>
        <v>3.27917057013687E-7</v>
      </c>
      <c r="L424" s="334">
        <f t="shared" si="64"/>
        <v>3.27917057013687E-7</v>
      </c>
      <c r="M424" s="334">
        <f t="shared" si="65"/>
        <v>3.27917057013687E-7</v>
      </c>
    </row>
    <row r="425" spans="1:16" ht="15" customHeight="1" x14ac:dyDescent="0.25">
      <c r="A425" s="2" t="s">
        <v>917</v>
      </c>
      <c r="B425" s="2" t="s">
        <v>159</v>
      </c>
      <c r="C425" s="2" t="s">
        <v>735</v>
      </c>
      <c r="D425" s="2" t="s">
        <v>904</v>
      </c>
      <c r="E425" s="15" t="s">
        <v>975</v>
      </c>
      <c r="F425" s="271" t="s">
        <v>135</v>
      </c>
      <c r="G425" s="330">
        <f>opex_sources!H122/(opex_sources!H122+0*opex_sources!H128+0)</f>
        <v>1</v>
      </c>
      <c r="H425" s="262">
        <f>opex_sources!H122/opex_sources!H122</f>
        <v>1</v>
      </c>
      <c r="I425" s="262">
        <f t="shared" si="66"/>
        <v>1</v>
      </c>
      <c r="J425" s="263">
        <f>opex_orig!$AL$58</f>
        <v>2.34426915369322E-3</v>
      </c>
      <c r="K425" s="263">
        <f t="shared" si="67"/>
        <v>2.34426915369322E-3</v>
      </c>
      <c r="L425" s="263">
        <f t="shared" si="64"/>
        <v>2.34426915369322E-3</v>
      </c>
      <c r="M425" s="263">
        <f t="shared" si="65"/>
        <v>2.34426915369322E-3</v>
      </c>
    </row>
    <row r="426" spans="1:16" ht="15" customHeight="1" x14ac:dyDescent="0.25">
      <c r="A426" s="2" t="s">
        <v>917</v>
      </c>
      <c r="B426" s="2" t="s">
        <v>159</v>
      </c>
      <c r="C426" s="2" t="s">
        <v>735</v>
      </c>
      <c r="D426" s="2" t="s">
        <v>904</v>
      </c>
      <c r="E426" s="15" t="s">
        <v>975</v>
      </c>
      <c r="F426" s="319" t="s">
        <v>275</v>
      </c>
      <c r="G426" s="283">
        <f>opex_sources!H122/(opex_sources!H122+0*opex_sources!H128+0)</f>
        <v>1</v>
      </c>
      <c r="H426" s="283">
        <f>opex_sources!H122/opex_sources!H122</f>
        <v>1</v>
      </c>
      <c r="I426" s="283">
        <f t="shared" si="66"/>
        <v>1</v>
      </c>
      <c r="J426" s="284">
        <f>opex_orig!$AL$142</f>
        <v>1.2337059530660499E-4</v>
      </c>
      <c r="K426" s="284">
        <f t="shared" si="67"/>
        <v>1.2337059530660499E-4</v>
      </c>
      <c r="L426" s="284">
        <f t="shared" si="64"/>
        <v>1.2337059530660499E-4</v>
      </c>
      <c r="M426" s="284">
        <f t="shared" si="65"/>
        <v>1.2337059530660499E-4</v>
      </c>
    </row>
    <row r="427" spans="1:16" ht="15" customHeight="1" x14ac:dyDescent="0.25">
      <c r="A427" s="2" t="s">
        <v>917</v>
      </c>
      <c r="B427" s="2" t="s">
        <v>159</v>
      </c>
      <c r="C427" s="2" t="s">
        <v>735</v>
      </c>
      <c r="D427" s="2" t="s">
        <v>904</v>
      </c>
      <c r="E427" s="15" t="s">
        <v>975</v>
      </c>
      <c r="F427" s="319" t="s">
        <v>277</v>
      </c>
      <c r="G427" s="283">
        <f>opex_sources!H122/(opex_sources!H122+0*opex_sources!H128+0)</f>
        <v>1</v>
      </c>
      <c r="H427" s="283">
        <f>opex_sources!H122/opex_sources!H122</f>
        <v>1</v>
      </c>
      <c r="I427" s="283">
        <f t="shared" si="66"/>
        <v>1</v>
      </c>
      <c r="J427" s="284">
        <f>opex_orig!$AL$143</f>
        <v>1.2555797471430999E-4</v>
      </c>
      <c r="K427" s="284">
        <f t="shared" si="67"/>
        <v>1.2555797471430999E-4</v>
      </c>
      <c r="L427" s="284">
        <f t="shared" si="64"/>
        <v>1.2555797471430999E-4</v>
      </c>
      <c r="M427" s="284">
        <f t="shared" si="65"/>
        <v>1.2555797471430999E-4</v>
      </c>
    </row>
    <row r="428" spans="1:16" ht="15" customHeight="1" x14ac:dyDescent="0.25">
      <c r="A428" s="2" t="s">
        <v>917</v>
      </c>
      <c r="B428" s="2" t="s">
        <v>159</v>
      </c>
      <c r="C428" s="2" t="s">
        <v>735</v>
      </c>
      <c r="D428" s="2" t="s">
        <v>904</v>
      </c>
      <c r="E428" s="15" t="s">
        <v>975</v>
      </c>
      <c r="F428" s="319" t="s">
        <v>279</v>
      </c>
      <c r="G428" s="283">
        <f>opex_sources!H122/(opex_sources!H122+0*opex_sources!H128+0)</f>
        <v>1</v>
      </c>
      <c r="H428" s="283">
        <f>opex_sources!H122/opex_sources!H122</f>
        <v>1</v>
      </c>
      <c r="I428" s="283">
        <f t="shared" si="66"/>
        <v>1</v>
      </c>
      <c r="J428" s="284">
        <f>opex_orig!$AL$144</f>
        <v>4.9132521427501298E-5</v>
      </c>
      <c r="K428" s="284">
        <f t="shared" si="67"/>
        <v>4.9132521427501298E-5</v>
      </c>
      <c r="L428" s="284">
        <f t="shared" si="64"/>
        <v>4.9132521427501298E-5</v>
      </c>
      <c r="M428" s="284">
        <f t="shared" si="65"/>
        <v>4.9132521427501298E-5</v>
      </c>
    </row>
    <row r="429" spans="1:16" ht="15" customHeight="1" x14ac:dyDescent="0.25">
      <c r="A429" s="2" t="s">
        <v>917</v>
      </c>
      <c r="B429" s="2" t="s">
        <v>159</v>
      </c>
      <c r="C429" s="2" t="s">
        <v>735</v>
      </c>
      <c r="D429" s="2" t="s">
        <v>904</v>
      </c>
      <c r="E429" s="15" t="s">
        <v>975</v>
      </c>
      <c r="F429" s="319" t="s">
        <v>281</v>
      </c>
      <c r="G429" s="283">
        <f>opex_sources!H122/(opex_sources!H122+0*opex_sources!H128+0)</f>
        <v>1</v>
      </c>
      <c r="H429" s="283">
        <f>opex_sources!H122/opex_sources!H122</f>
        <v>1</v>
      </c>
      <c r="I429" s="283">
        <f t="shared" si="66"/>
        <v>1</v>
      </c>
      <c r="J429" s="284">
        <f>opex_orig!$AL$145</f>
        <v>1.5809233314637101E-4</v>
      </c>
      <c r="K429" s="284">
        <f t="shared" si="67"/>
        <v>1.5809233314637101E-4</v>
      </c>
      <c r="L429" s="284">
        <f t="shared" si="64"/>
        <v>1.5809233314637101E-4</v>
      </c>
      <c r="M429" s="284">
        <f t="shared" si="65"/>
        <v>1.5809233314637101E-4</v>
      </c>
    </row>
    <row r="430" spans="1:16" ht="15" customHeight="1" x14ac:dyDescent="0.25">
      <c r="A430" s="2" t="s">
        <v>917</v>
      </c>
      <c r="B430" s="2" t="s">
        <v>159</v>
      </c>
      <c r="C430" s="2" t="s">
        <v>735</v>
      </c>
      <c r="D430" s="2" t="s">
        <v>904</v>
      </c>
      <c r="E430" s="15" t="s">
        <v>975</v>
      </c>
      <c r="F430" s="319" t="s">
        <v>283</v>
      </c>
      <c r="G430" s="283">
        <f>opex_sources!H122/(opex_sources!H122+0*opex_sources!H128+0)</f>
        <v>1</v>
      </c>
      <c r="H430" s="283">
        <f>opex_sources!H122/opex_sources!H122</f>
        <v>1</v>
      </c>
      <c r="I430" s="283">
        <f t="shared" si="66"/>
        <v>1</v>
      </c>
      <c r="J430" s="284">
        <f>opex_orig!$AL$146</f>
        <v>3.0744996846169401E-5</v>
      </c>
      <c r="K430" s="284">
        <f t="shared" si="67"/>
        <v>3.0744996846169401E-5</v>
      </c>
      <c r="L430" s="284">
        <f t="shared" si="64"/>
        <v>3.0744996846169401E-5</v>
      </c>
      <c r="M430" s="284">
        <f t="shared" si="65"/>
        <v>3.0744996846169401E-5</v>
      </c>
    </row>
    <row r="431" spans="1:16" ht="15" customHeight="1" x14ac:dyDescent="0.25">
      <c r="A431" s="2" t="s">
        <v>917</v>
      </c>
      <c r="B431" s="2" t="s">
        <v>159</v>
      </c>
      <c r="C431" s="2" t="s">
        <v>735</v>
      </c>
      <c r="D431" s="2" t="s">
        <v>904</v>
      </c>
      <c r="E431" s="15" t="s">
        <v>975</v>
      </c>
      <c r="F431" s="319" t="s">
        <v>285</v>
      </c>
      <c r="G431" s="283">
        <f>opex_sources!H122/(opex_sources!H122+0*opex_sources!H128+0)</f>
        <v>1</v>
      </c>
      <c r="H431" s="283">
        <f>opex_sources!H122/opex_sources!H122</f>
        <v>1</v>
      </c>
      <c r="I431" s="283">
        <f t="shared" si="66"/>
        <v>1</v>
      </c>
      <c r="J431" s="284">
        <f>opex_orig!$AL$147</f>
        <v>3.9829477882566297E-5</v>
      </c>
      <c r="K431" s="284">
        <f t="shared" si="67"/>
        <v>3.9829477882566297E-5</v>
      </c>
      <c r="L431" s="284">
        <f t="shared" si="64"/>
        <v>3.9829477882566297E-5</v>
      </c>
      <c r="M431" s="284">
        <f t="shared" si="65"/>
        <v>3.9829477882566297E-5</v>
      </c>
    </row>
    <row r="432" spans="1:16" ht="15" customHeight="1" x14ac:dyDescent="0.25">
      <c r="A432" s="2" t="s">
        <v>917</v>
      </c>
      <c r="B432" s="2" t="s">
        <v>159</v>
      </c>
      <c r="C432" s="2" t="s">
        <v>735</v>
      </c>
      <c r="D432" s="2" t="s">
        <v>904</v>
      </c>
      <c r="E432" s="15" t="s">
        <v>975</v>
      </c>
      <c r="F432" s="319" t="s">
        <v>287</v>
      </c>
      <c r="G432" s="283">
        <f>opex_sources!H122/(opex_sources!H122+0*opex_sources!H128+0)</f>
        <v>1</v>
      </c>
      <c r="H432" s="283">
        <f>opex_sources!H122/opex_sources!H122</f>
        <v>1</v>
      </c>
      <c r="I432" s="283">
        <f t="shared" si="66"/>
        <v>1</v>
      </c>
      <c r="J432" s="284">
        <f>opex_orig!$AL$148</f>
        <v>9.0061005930271496E-5</v>
      </c>
      <c r="K432" s="284">
        <f t="shared" si="67"/>
        <v>9.0061005930271496E-5</v>
      </c>
      <c r="L432" s="284">
        <f t="shared" si="64"/>
        <v>9.0061005930271496E-5</v>
      </c>
      <c r="M432" s="284">
        <f t="shared" si="65"/>
        <v>9.0061005930271496E-5</v>
      </c>
    </row>
    <row r="433" spans="1:16" ht="15" customHeight="1" x14ac:dyDescent="0.25">
      <c r="A433" s="2" t="s">
        <v>917</v>
      </c>
      <c r="B433" s="2" t="s">
        <v>159</v>
      </c>
      <c r="C433" s="2" t="s">
        <v>735</v>
      </c>
      <c r="D433" s="2" t="s">
        <v>904</v>
      </c>
      <c r="E433" s="15" t="s">
        <v>975</v>
      </c>
      <c r="F433" s="319" t="s">
        <v>289</v>
      </c>
      <c r="G433" s="283">
        <f>opex_sources!H122/(opex_sources!H122+0*opex_sources!H128+0)</f>
        <v>1</v>
      </c>
      <c r="H433" s="283">
        <f>opex_sources!H122/opex_sources!H122</f>
        <v>1</v>
      </c>
      <c r="I433" s="283">
        <f t="shared" si="66"/>
        <v>1</v>
      </c>
      <c r="J433" s="284">
        <f>opex_orig!$AL$149</f>
        <v>7.73293616908977E-8</v>
      </c>
      <c r="K433" s="284">
        <f t="shared" si="67"/>
        <v>7.73293616908977E-8</v>
      </c>
      <c r="L433" s="284">
        <f t="shared" si="64"/>
        <v>7.73293616908977E-8</v>
      </c>
      <c r="M433" s="284">
        <f t="shared" si="65"/>
        <v>7.73293616908977E-8</v>
      </c>
    </row>
    <row r="434" spans="1:16" ht="15" customHeight="1" x14ac:dyDescent="0.25">
      <c r="A434" s="2" t="s">
        <v>917</v>
      </c>
      <c r="B434" s="2" t="s">
        <v>159</v>
      </c>
      <c r="C434" s="2" t="s">
        <v>735</v>
      </c>
      <c r="D434" s="2" t="s">
        <v>904</v>
      </c>
      <c r="E434" s="15" t="s">
        <v>975</v>
      </c>
      <c r="F434" s="319" t="s">
        <v>291</v>
      </c>
      <c r="G434" s="283">
        <f>opex_sources!H122/(opex_sources!H122+0*opex_sources!H128+0)</f>
        <v>1</v>
      </c>
      <c r="H434" s="283">
        <f>opex_sources!H122/opex_sources!H122</f>
        <v>1</v>
      </c>
      <c r="I434" s="283">
        <f t="shared" si="66"/>
        <v>1</v>
      </c>
      <c r="J434" s="284">
        <f>opex_orig!$AL$150</f>
        <v>5.64176205479691E-8</v>
      </c>
      <c r="K434" s="284">
        <f t="shared" si="67"/>
        <v>5.64176205479691E-8</v>
      </c>
      <c r="L434" s="284">
        <f t="shared" si="64"/>
        <v>5.64176205479691E-8</v>
      </c>
      <c r="M434" s="284">
        <f t="shared" si="65"/>
        <v>5.64176205479691E-8</v>
      </c>
    </row>
    <row r="435" spans="1:16" ht="15" customHeight="1" x14ac:dyDescent="0.25">
      <c r="A435" s="2" t="s">
        <v>917</v>
      </c>
      <c r="B435" s="2" t="s">
        <v>159</v>
      </c>
      <c r="C435" s="2" t="s">
        <v>735</v>
      </c>
      <c r="D435" s="2" t="s">
        <v>904</v>
      </c>
      <c r="E435" s="15" t="s">
        <v>975</v>
      </c>
      <c r="F435" s="319" t="s">
        <v>293</v>
      </c>
      <c r="G435" s="283">
        <f>opex_sources!H122/(opex_sources!H122+0*opex_sources!H128+0)</f>
        <v>1</v>
      </c>
      <c r="H435" s="283">
        <f>opex_sources!H122/opex_sources!H122</f>
        <v>1</v>
      </c>
      <c r="I435" s="283">
        <f t="shared" si="66"/>
        <v>1</v>
      </c>
      <c r="J435" s="284">
        <f>opex_orig!$AL$151</f>
        <v>5.9833910216383905E-4</v>
      </c>
      <c r="K435" s="284">
        <f t="shared" si="67"/>
        <v>5.9833910216383905E-4</v>
      </c>
      <c r="L435" s="284">
        <f t="shared" si="64"/>
        <v>5.9833910216383905E-4</v>
      </c>
      <c r="M435" s="284">
        <f t="shared" ref="M435:M455" si="68">K435/$K$456*$J$456</f>
        <v>5.9833910216383905E-4</v>
      </c>
    </row>
    <row r="436" spans="1:16" ht="15" customHeight="1" x14ac:dyDescent="0.25">
      <c r="A436" s="2" t="s">
        <v>917</v>
      </c>
      <c r="B436" s="2" t="s">
        <v>159</v>
      </c>
      <c r="C436" s="2" t="s">
        <v>735</v>
      </c>
      <c r="D436" s="2" t="s">
        <v>904</v>
      </c>
      <c r="E436" s="15" t="s">
        <v>404</v>
      </c>
      <c r="F436" s="240" t="s">
        <v>375</v>
      </c>
      <c r="G436" s="202">
        <f>opex_sources!H123/(opex_sources!H123+0*opex_sources!H129+0*opex_sources!H135)</f>
        <v>1</v>
      </c>
      <c r="H436" s="202">
        <f>opex_sources!H123/opex_sources!H123</f>
        <v>1</v>
      </c>
      <c r="I436" s="202">
        <f t="shared" si="66"/>
        <v>1</v>
      </c>
      <c r="J436" s="239">
        <f>opex_orig!$AL$172</f>
        <v>8.9656316685048101E-2</v>
      </c>
      <c r="K436" s="239">
        <f t="shared" si="67"/>
        <v>8.9656316685048101E-2</v>
      </c>
      <c r="L436" s="239">
        <f t="shared" si="64"/>
        <v>8.9656316685048101E-2</v>
      </c>
      <c r="M436" s="239">
        <f t="shared" si="68"/>
        <v>8.9656316685048101E-2</v>
      </c>
      <c r="N436" s="187">
        <f>opex_sources!H123</f>
        <v>0.33333333333333331</v>
      </c>
      <c r="O436" s="187">
        <f>L436/L$456</f>
        <v>0.10269607221784137</v>
      </c>
      <c r="P436" s="1" t="s">
        <v>404</v>
      </c>
    </row>
    <row r="437" spans="1:16" ht="15" customHeight="1" x14ac:dyDescent="0.25">
      <c r="A437" s="2" t="s">
        <v>917</v>
      </c>
      <c r="B437" s="2" t="s">
        <v>159</v>
      </c>
      <c r="C437" s="2" t="s">
        <v>735</v>
      </c>
      <c r="D437" s="2" t="s">
        <v>904</v>
      </c>
      <c r="E437" s="15" t="s">
        <v>335</v>
      </c>
      <c r="F437" s="336" t="s">
        <v>85</v>
      </c>
      <c r="G437" s="337">
        <f>opex_sources!H124/(opex_sources!H124+0*opex_sources!H130+0*opex_sources!H136)</f>
        <v>1</v>
      </c>
      <c r="H437" s="337">
        <f>opex_sources!H124/opex_sources!H124</f>
        <v>1</v>
      </c>
      <c r="I437" s="337">
        <f t="shared" si="66"/>
        <v>1</v>
      </c>
      <c r="J437" s="339">
        <f>opex_orig!$AL$33</f>
        <v>2.2176248757376602E-2</v>
      </c>
      <c r="K437" s="339">
        <f t="shared" si="67"/>
        <v>2.2176248757376602E-2</v>
      </c>
      <c r="L437" s="339">
        <f t="shared" si="64"/>
        <v>2.2176248757376602E-2</v>
      </c>
      <c r="M437" s="339">
        <f t="shared" si="68"/>
        <v>2.2176248757376602E-2</v>
      </c>
      <c r="N437" s="187">
        <f>opex_sources!H124</f>
        <v>0.37254901960784315</v>
      </c>
      <c r="O437" s="187">
        <f>SUM(L437:L455)/L$456</f>
        <v>0.85269373177530183</v>
      </c>
      <c r="P437" s="1" t="s">
        <v>335</v>
      </c>
    </row>
    <row r="438" spans="1:16" ht="15" customHeight="1" x14ac:dyDescent="0.25">
      <c r="A438" s="2" t="s">
        <v>917</v>
      </c>
      <c r="B438" s="2" t="s">
        <v>159</v>
      </c>
      <c r="C438" s="2" t="s">
        <v>735</v>
      </c>
      <c r="D438" s="2" t="s">
        <v>904</v>
      </c>
      <c r="E438" s="15" t="s">
        <v>335</v>
      </c>
      <c r="F438" s="335" t="s">
        <v>87</v>
      </c>
      <c r="G438" s="338">
        <f>opex_sources!H124/(opex_sources!H124+0*opex_sources!H130+0*opex_sources!H136)</f>
        <v>1</v>
      </c>
      <c r="H438" s="338">
        <f>opex_sources!H124/opex_sources!H124</f>
        <v>1</v>
      </c>
      <c r="I438" s="338">
        <f t="shared" si="66"/>
        <v>1</v>
      </c>
      <c r="J438" s="340">
        <f>opex_orig!$AL$34</f>
        <v>6.4188829194859104E-2</v>
      </c>
      <c r="K438" s="340">
        <f t="shared" si="67"/>
        <v>6.4188829194859104E-2</v>
      </c>
      <c r="L438" s="340">
        <f t="shared" si="64"/>
        <v>6.4188829194859104E-2</v>
      </c>
      <c r="M438" s="340">
        <f t="shared" si="68"/>
        <v>6.4188829194859104E-2</v>
      </c>
    </row>
    <row r="439" spans="1:16" ht="15" customHeight="1" x14ac:dyDescent="0.25">
      <c r="A439" s="2" t="s">
        <v>917</v>
      </c>
      <c r="B439" s="2" t="s">
        <v>159</v>
      </c>
      <c r="C439" s="2" t="s">
        <v>735</v>
      </c>
      <c r="D439" s="2" t="s">
        <v>904</v>
      </c>
      <c r="E439" s="15" t="s">
        <v>335</v>
      </c>
      <c r="F439" s="328" t="s">
        <v>159</v>
      </c>
      <c r="G439" s="306">
        <f>opex_sources!H124/(opex_sources!H124+0*opex_sources!H130+0*opex_sources!H136)</f>
        <v>1</v>
      </c>
      <c r="H439" s="306">
        <f>opex_sources!H124/(0+opex_sources!H124)</f>
        <v>1</v>
      </c>
      <c r="I439" s="306">
        <f t="shared" si="66"/>
        <v>1</v>
      </c>
      <c r="J439" s="305">
        <f>opex_orig!$AL$70</f>
        <v>0.14937267828621301</v>
      </c>
      <c r="K439" s="305">
        <f>J439*(I403+I439)</f>
        <v>0.14937267828621301</v>
      </c>
      <c r="L439" s="305">
        <f t="shared" si="64"/>
        <v>0.14937267828621301</v>
      </c>
      <c r="M439" s="305">
        <f t="shared" si="68"/>
        <v>0.14937267828621301</v>
      </c>
    </row>
    <row r="440" spans="1:16" ht="15" customHeight="1" x14ac:dyDescent="0.25">
      <c r="A440" s="2" t="s">
        <v>917</v>
      </c>
      <c r="B440" s="2" t="s">
        <v>159</v>
      </c>
      <c r="C440" s="2" t="s">
        <v>735</v>
      </c>
      <c r="D440" s="2" t="s">
        <v>904</v>
      </c>
      <c r="E440" s="15" t="s">
        <v>335</v>
      </c>
      <c r="F440" s="253" t="s">
        <v>161</v>
      </c>
      <c r="G440" s="251">
        <f>opex_sources!H124/(opex_sources!H124+0*opex_sources!H130+0*opex_sources!H136)</f>
        <v>1</v>
      </c>
      <c r="H440" s="251">
        <f>opex_sources!H124/opex_sources!H124</f>
        <v>1</v>
      </c>
      <c r="I440" s="251">
        <f t="shared" si="66"/>
        <v>1</v>
      </c>
      <c r="J440" s="254">
        <f>opex_orig!$AL$71</f>
        <v>2.8877782298888401E-2</v>
      </c>
      <c r="K440" s="254">
        <f t="shared" si="67"/>
        <v>2.8877782298888401E-2</v>
      </c>
      <c r="L440" s="254">
        <f t="shared" si="64"/>
        <v>2.8877782298888401E-2</v>
      </c>
      <c r="M440" s="254">
        <f t="shared" si="68"/>
        <v>2.8877782298888398E-2</v>
      </c>
    </row>
    <row r="441" spans="1:16" ht="15" customHeight="1" x14ac:dyDescent="0.25">
      <c r="A441" s="2" t="s">
        <v>917</v>
      </c>
      <c r="B441" s="2" t="s">
        <v>159</v>
      </c>
      <c r="C441" s="2" t="s">
        <v>735</v>
      </c>
      <c r="D441" s="2" t="s">
        <v>904</v>
      </c>
      <c r="E441" s="15" t="s">
        <v>335</v>
      </c>
      <c r="F441" s="252" t="s">
        <v>163</v>
      </c>
      <c r="G441" s="195">
        <f>opex_sources!H124/(opex_sources!H124+0*opex_sources!H130+0*opex_sources!H136)</f>
        <v>1</v>
      </c>
      <c r="H441" s="195">
        <f>opex_sources!H124/opex_sources!H124</f>
        <v>1</v>
      </c>
      <c r="I441" s="195">
        <f t="shared" si="66"/>
        <v>1</v>
      </c>
      <c r="J441" s="219">
        <f>opex_orig!$AL$72</f>
        <v>6.7832194266020995E-2</v>
      </c>
      <c r="K441" s="219">
        <f t="shared" si="67"/>
        <v>6.7832194266020995E-2</v>
      </c>
      <c r="L441" s="219">
        <f t="shared" si="64"/>
        <v>6.7832194266020995E-2</v>
      </c>
      <c r="M441" s="219">
        <f t="shared" si="68"/>
        <v>6.7832194266020995E-2</v>
      </c>
    </row>
    <row r="442" spans="1:16" ht="15" customHeight="1" x14ac:dyDescent="0.25">
      <c r="A442" s="2" t="s">
        <v>917</v>
      </c>
      <c r="B442" s="2" t="s">
        <v>159</v>
      </c>
      <c r="C442" s="2" t="s">
        <v>735</v>
      </c>
      <c r="D442" s="2" t="s">
        <v>904</v>
      </c>
      <c r="E442" s="15" t="s">
        <v>335</v>
      </c>
      <c r="F442" s="222" t="s">
        <v>191</v>
      </c>
      <c r="G442" s="223">
        <f>opex_sources!H124/(opex_sources!H124+0*opex_sources!H130+0*opex_sources!H136)</f>
        <v>1</v>
      </c>
      <c r="H442" s="223">
        <f>opex_sources!H124/opex_sources!H124</f>
        <v>1</v>
      </c>
      <c r="I442" s="223">
        <f t="shared" si="66"/>
        <v>1</v>
      </c>
      <c r="J442" s="341">
        <f>opex_orig!$AL$86</f>
        <v>1.06613766790528E-2</v>
      </c>
      <c r="K442" s="341">
        <f t="shared" si="67"/>
        <v>1.06613766790528E-2</v>
      </c>
      <c r="L442" s="341">
        <f t="shared" si="64"/>
        <v>1.06613766790528E-2</v>
      </c>
      <c r="M442" s="341">
        <f t="shared" si="68"/>
        <v>1.06613766790528E-2</v>
      </c>
    </row>
    <row r="443" spans="1:16" ht="15" customHeight="1" x14ac:dyDescent="0.25">
      <c r="A443" s="2" t="s">
        <v>917</v>
      </c>
      <c r="B443" s="2" t="s">
        <v>159</v>
      </c>
      <c r="C443" s="2" t="s">
        <v>735</v>
      </c>
      <c r="D443" s="2" t="s">
        <v>904</v>
      </c>
      <c r="E443" s="15" t="s">
        <v>335</v>
      </c>
      <c r="F443" s="199" t="s">
        <v>193</v>
      </c>
      <c r="G443" s="200">
        <f>opex_sources!H124/(opex_sources!H124+0*opex_sources!H130+0*opex_sources!H136)</f>
        <v>1</v>
      </c>
      <c r="H443" s="200">
        <f>opex_sources!H124/opex_sources!H124</f>
        <v>1</v>
      </c>
      <c r="I443" s="200">
        <f t="shared" si="66"/>
        <v>1</v>
      </c>
      <c r="J443" s="342">
        <f>opex_orig!$AL$87</f>
        <v>4.42024715405148E-2</v>
      </c>
      <c r="K443" s="342">
        <f t="shared" si="67"/>
        <v>4.42024715405148E-2</v>
      </c>
      <c r="L443" s="342">
        <f t="shared" si="64"/>
        <v>4.42024715405148E-2</v>
      </c>
      <c r="M443" s="342">
        <f t="shared" si="68"/>
        <v>4.42024715405148E-2</v>
      </c>
    </row>
    <row r="444" spans="1:16" ht="15" customHeight="1" x14ac:dyDescent="0.25">
      <c r="A444" s="2" t="s">
        <v>917</v>
      </c>
      <c r="B444" s="2" t="s">
        <v>159</v>
      </c>
      <c r="C444" s="2" t="s">
        <v>735</v>
      </c>
      <c r="D444" s="2" t="s">
        <v>904</v>
      </c>
      <c r="E444" s="15" t="s">
        <v>335</v>
      </c>
      <c r="F444" s="209" t="s">
        <v>203</v>
      </c>
      <c r="G444" s="210">
        <f>opex_sources!H124/(opex_sources!H124+0*opex_sources!H130+0*opex_sources!H136)</f>
        <v>1</v>
      </c>
      <c r="H444" s="210">
        <f>opex_sources!H124/opex_sources!H124</f>
        <v>1</v>
      </c>
      <c r="I444" s="210">
        <f t="shared" si="66"/>
        <v>1</v>
      </c>
      <c r="J444" s="343">
        <f>opex_orig!$AL$92</f>
        <v>1.4551002917508601E-2</v>
      </c>
      <c r="K444" s="343">
        <f t="shared" si="67"/>
        <v>1.4551002917508601E-2</v>
      </c>
      <c r="L444" s="343">
        <f t="shared" si="64"/>
        <v>1.4551002917508601E-2</v>
      </c>
      <c r="M444" s="343">
        <f t="shared" si="68"/>
        <v>1.4551002917508601E-2</v>
      </c>
    </row>
    <row r="445" spans="1:16" ht="15" customHeight="1" x14ac:dyDescent="0.25">
      <c r="A445" s="2" t="s">
        <v>917</v>
      </c>
      <c r="B445" s="2" t="s">
        <v>159</v>
      </c>
      <c r="C445" s="2" t="s">
        <v>735</v>
      </c>
      <c r="D445" s="2" t="s">
        <v>904</v>
      </c>
      <c r="E445" s="15" t="s">
        <v>335</v>
      </c>
      <c r="F445" s="294" t="s">
        <v>223</v>
      </c>
      <c r="G445" s="295">
        <f>opex_sources!H124/(opex_sources!H124+0*opex_sources!H130+0*opex_sources!H136)</f>
        <v>1</v>
      </c>
      <c r="H445" s="295">
        <f>opex_sources!H124/opex_sources!H124</f>
        <v>1</v>
      </c>
      <c r="I445" s="295">
        <f t="shared" si="66"/>
        <v>1</v>
      </c>
      <c r="J445" s="296">
        <f>opex_orig!$AL$116</f>
        <v>6.2928505605343004E-3</v>
      </c>
      <c r="K445" s="296">
        <f t="shared" si="67"/>
        <v>6.2928505605343004E-3</v>
      </c>
      <c r="L445" s="296">
        <f t="shared" si="64"/>
        <v>6.2928505605343004E-3</v>
      </c>
      <c r="M445" s="296">
        <f t="shared" si="68"/>
        <v>6.2928505605343004E-3</v>
      </c>
    </row>
    <row r="446" spans="1:16" ht="15" customHeight="1" x14ac:dyDescent="0.25">
      <c r="A446" s="2" t="s">
        <v>917</v>
      </c>
      <c r="B446" s="2" t="s">
        <v>159</v>
      </c>
      <c r="C446" s="2" t="s">
        <v>735</v>
      </c>
      <c r="D446" s="2" t="s">
        <v>904</v>
      </c>
      <c r="E446" s="15" t="s">
        <v>335</v>
      </c>
      <c r="F446" s="258" t="s">
        <v>227</v>
      </c>
      <c r="G446" s="237">
        <f>opex_sources!H124/(opex_sources!H124+0*opex_sources!H130+0*opex_sources!H136)</f>
        <v>1</v>
      </c>
      <c r="H446" s="237">
        <f>opex_sources!H124/opex_sources!H124</f>
        <v>1</v>
      </c>
      <c r="I446" s="237">
        <f t="shared" si="66"/>
        <v>1</v>
      </c>
      <c r="J446" s="238">
        <f>opex_orig!$AL$118</f>
        <v>8.7274057296664997E-3</v>
      </c>
      <c r="K446" s="238">
        <f t="shared" si="67"/>
        <v>8.7274057296664997E-3</v>
      </c>
      <c r="L446" s="238">
        <f t="shared" si="64"/>
        <v>8.7274057296664997E-3</v>
      </c>
      <c r="M446" s="238">
        <f t="shared" si="68"/>
        <v>8.7274057296664997E-3</v>
      </c>
    </row>
    <row r="447" spans="1:16" ht="15" customHeight="1" x14ac:dyDescent="0.25">
      <c r="A447" s="2" t="s">
        <v>917</v>
      </c>
      <c r="B447" s="2" t="s">
        <v>159</v>
      </c>
      <c r="C447" s="2" t="s">
        <v>735</v>
      </c>
      <c r="D447" s="2" t="s">
        <v>904</v>
      </c>
      <c r="E447" s="15" t="s">
        <v>335</v>
      </c>
      <c r="F447" s="264" t="s">
        <v>231</v>
      </c>
      <c r="G447" s="230">
        <f>opex_sources!H124/(opex_sources!H124+0*opex_sources!H130+0*opex_sources!H136)</f>
        <v>1</v>
      </c>
      <c r="H447" s="230">
        <f>opex_sources!H124/opex_sources!H124</f>
        <v>1</v>
      </c>
      <c r="I447" s="230">
        <f t="shared" si="66"/>
        <v>1</v>
      </c>
      <c r="J447" s="231">
        <f>opex_orig!$AL$120</f>
        <v>3.8934471268083401E-2</v>
      </c>
      <c r="K447" s="231">
        <f t="shared" si="67"/>
        <v>3.8934471268083401E-2</v>
      </c>
      <c r="L447" s="231">
        <f t="shared" si="64"/>
        <v>3.8934471268083401E-2</v>
      </c>
      <c r="M447" s="231">
        <f t="shared" si="68"/>
        <v>3.8934471268083401E-2</v>
      </c>
    </row>
    <row r="448" spans="1:16" ht="15" customHeight="1" x14ac:dyDescent="0.25">
      <c r="A448" s="2" t="s">
        <v>917</v>
      </c>
      <c r="B448" s="2" t="s">
        <v>159</v>
      </c>
      <c r="C448" s="2" t="s">
        <v>735</v>
      </c>
      <c r="D448" s="2" t="s">
        <v>904</v>
      </c>
      <c r="E448" s="15" t="s">
        <v>335</v>
      </c>
      <c r="F448" s="281" t="s">
        <v>233</v>
      </c>
      <c r="G448" s="289">
        <f>opex_sources!H124/(opex_sources!H124+0*opex_sources!H130+0*opex_sources!H136)</f>
        <v>1</v>
      </c>
      <c r="H448" s="289">
        <f>opex_sources!H124/opex_sources!H124</f>
        <v>1</v>
      </c>
      <c r="I448" s="289">
        <f t="shared" si="66"/>
        <v>1</v>
      </c>
      <c r="J448" s="226">
        <f>opex_orig!$AL$121</f>
        <v>1.16259332753585E-2</v>
      </c>
      <c r="K448" s="226">
        <f t="shared" si="67"/>
        <v>1.16259332753585E-2</v>
      </c>
      <c r="L448" s="226">
        <f t="shared" si="64"/>
        <v>1.16259332753585E-2</v>
      </c>
      <c r="M448" s="226">
        <f t="shared" si="68"/>
        <v>1.16259332753585E-2</v>
      </c>
    </row>
    <row r="449" spans="1:16" ht="15" customHeight="1" x14ac:dyDescent="0.25">
      <c r="A449" s="2" t="s">
        <v>917</v>
      </c>
      <c r="B449" s="2" t="s">
        <v>159</v>
      </c>
      <c r="C449" s="2" t="s">
        <v>735</v>
      </c>
      <c r="D449" s="2" t="s">
        <v>904</v>
      </c>
      <c r="E449" s="15" t="s">
        <v>335</v>
      </c>
      <c r="F449" s="191" t="s">
        <v>239</v>
      </c>
      <c r="G449" s="192">
        <f>opex_sources!H124/(opex_sources!H124+0*opex_sources!H130+0*opex_sources!H136)</f>
        <v>1</v>
      </c>
      <c r="H449" s="192">
        <f>opex_sources!H124/opex_sources!H124</f>
        <v>1</v>
      </c>
      <c r="I449" s="192">
        <f t="shared" si="66"/>
        <v>1</v>
      </c>
      <c r="J449" s="217">
        <f>opex_orig!$AL$124</f>
        <v>1.06413366651971E-2</v>
      </c>
      <c r="K449" s="217">
        <f t="shared" si="67"/>
        <v>1.06413366651971E-2</v>
      </c>
      <c r="L449" s="217">
        <f t="shared" si="64"/>
        <v>1.06413366651971E-2</v>
      </c>
      <c r="M449" s="217">
        <f t="shared" si="68"/>
        <v>1.06413366651971E-2</v>
      </c>
    </row>
    <row r="450" spans="1:16" ht="15" customHeight="1" x14ac:dyDescent="0.25">
      <c r="A450" s="2" t="s">
        <v>917</v>
      </c>
      <c r="B450" s="2" t="s">
        <v>159</v>
      </c>
      <c r="C450" s="2" t="s">
        <v>735</v>
      </c>
      <c r="D450" s="2" t="s">
        <v>904</v>
      </c>
      <c r="E450" s="15" t="s">
        <v>335</v>
      </c>
      <c r="F450" s="255" t="s">
        <v>249</v>
      </c>
      <c r="G450" s="256">
        <f>opex_sources!H124/(opex_sources!H124+0*opex_sources!H130+0*opex_sources!H136)</f>
        <v>1</v>
      </c>
      <c r="H450" s="256">
        <f>opex_sources!H124/(0+opex_sources!H124)</f>
        <v>1</v>
      </c>
      <c r="I450" s="256">
        <f t="shared" si="66"/>
        <v>1</v>
      </c>
      <c r="J450" s="257">
        <f>opex_orig!$AL$129</f>
        <v>4.8979815221200297E-2</v>
      </c>
      <c r="K450" s="257">
        <f>J450*(I404+I450)</f>
        <v>4.8979815221200297E-2</v>
      </c>
      <c r="L450" s="257">
        <f t="shared" si="64"/>
        <v>4.8979815221200297E-2</v>
      </c>
      <c r="M450" s="257">
        <f t="shared" si="68"/>
        <v>4.8979815221200297E-2</v>
      </c>
    </row>
    <row r="451" spans="1:16" ht="15" customHeight="1" x14ac:dyDescent="0.25">
      <c r="A451" s="2" t="s">
        <v>917</v>
      </c>
      <c r="B451" s="2" t="s">
        <v>159</v>
      </c>
      <c r="C451" s="2" t="s">
        <v>735</v>
      </c>
      <c r="D451" s="2" t="s">
        <v>904</v>
      </c>
      <c r="E451" s="15" t="s">
        <v>335</v>
      </c>
      <c r="F451" s="322" t="s">
        <v>253</v>
      </c>
      <c r="G451" s="301">
        <f>opex_sources!H124/(opex_sources!H124+0*opex_sources!H130+0*opex_sources!H136)</f>
        <v>1</v>
      </c>
      <c r="H451" s="301">
        <f>opex_sources!H124/opex_sources!H124</f>
        <v>1</v>
      </c>
      <c r="I451" s="301">
        <f t="shared" si="66"/>
        <v>1</v>
      </c>
      <c r="J451" s="302">
        <f>opex_orig!$AL$131</f>
        <v>5.3180374349479304E-3</v>
      </c>
      <c r="K451" s="302">
        <f t="shared" si="67"/>
        <v>5.3180374349479304E-3</v>
      </c>
      <c r="L451" s="302">
        <f t="shared" si="64"/>
        <v>5.3180374349479304E-3</v>
      </c>
      <c r="M451" s="302">
        <f t="shared" si="68"/>
        <v>5.3180374349479304E-3</v>
      </c>
    </row>
    <row r="452" spans="1:16" ht="15" customHeight="1" x14ac:dyDescent="0.25">
      <c r="A452" s="2" t="s">
        <v>917</v>
      </c>
      <c r="B452" s="2" t="s">
        <v>159</v>
      </c>
      <c r="C452" s="2" t="s">
        <v>735</v>
      </c>
      <c r="D452" s="2" t="s">
        <v>904</v>
      </c>
      <c r="E452" s="15" t="s">
        <v>335</v>
      </c>
      <c r="F452" s="290" t="s">
        <v>267</v>
      </c>
      <c r="G452" s="198">
        <f>opex_sources!H124/(opex_sources!H124+0*opex_sources!H130+0*opex_sources!H136)</f>
        <v>1</v>
      </c>
      <c r="H452" s="198">
        <f>opex_sources!H124/opex_sources!H124</f>
        <v>1</v>
      </c>
      <c r="I452" s="198">
        <f t="shared" si="66"/>
        <v>1</v>
      </c>
      <c r="J452" s="208">
        <f>opex_orig!$AL$138</f>
        <v>1.7195063170659601E-2</v>
      </c>
      <c r="K452" s="208">
        <f t="shared" si="67"/>
        <v>1.7195063170659601E-2</v>
      </c>
      <c r="L452" s="208">
        <f t="shared" si="64"/>
        <v>1.7195063170659601E-2</v>
      </c>
      <c r="M452" s="208">
        <f t="shared" si="68"/>
        <v>1.7195063170659601E-2</v>
      </c>
    </row>
    <row r="453" spans="1:16" ht="15" customHeight="1" x14ac:dyDescent="0.25">
      <c r="A453" s="2" t="s">
        <v>917</v>
      </c>
      <c r="B453" s="2" t="s">
        <v>159</v>
      </c>
      <c r="C453" s="2" t="s">
        <v>735</v>
      </c>
      <c r="D453" s="2" t="s">
        <v>904</v>
      </c>
      <c r="E453" s="15" t="s">
        <v>335</v>
      </c>
      <c r="F453" s="241" t="s">
        <v>372</v>
      </c>
      <c r="G453" s="203">
        <f>opex_sources!H124/(opex_sources!H124+0*opex_sources!H130+0*opex_sources!H136)</f>
        <v>1</v>
      </c>
      <c r="H453" s="203">
        <f>opex_sources!H124/opex_sources!H124</f>
        <v>1</v>
      </c>
      <c r="I453" s="203">
        <f t="shared" si="66"/>
        <v>1</v>
      </c>
      <c r="J453" s="227">
        <f>opex_orig!$AL$169</f>
        <v>1.05295467349773E-2</v>
      </c>
      <c r="K453" s="227">
        <f t="shared" si="67"/>
        <v>1.05295467349773E-2</v>
      </c>
      <c r="L453" s="227">
        <f t="shared" si="64"/>
        <v>1.05295467349773E-2</v>
      </c>
      <c r="M453" s="227">
        <f t="shared" si="68"/>
        <v>1.05295467349773E-2</v>
      </c>
    </row>
    <row r="454" spans="1:16" ht="15" customHeight="1" x14ac:dyDescent="0.25">
      <c r="A454" s="2" t="s">
        <v>917</v>
      </c>
      <c r="B454" s="2" t="s">
        <v>159</v>
      </c>
      <c r="C454" s="2" t="s">
        <v>735</v>
      </c>
      <c r="D454" s="2" t="s">
        <v>904</v>
      </c>
      <c r="E454" s="15" t="s">
        <v>335</v>
      </c>
      <c r="F454" s="241" t="s">
        <v>373</v>
      </c>
      <c r="G454" s="203">
        <f>opex_sources!H124/(opex_sources!H124+0*opex_sources!H130+0*opex_sources!H136)</f>
        <v>1</v>
      </c>
      <c r="H454" s="203">
        <f>opex_sources!H124/opex_sources!H124</f>
        <v>1</v>
      </c>
      <c r="I454" s="203">
        <f t="shared" si="66"/>
        <v>1</v>
      </c>
      <c r="J454" s="227">
        <f>opex_orig!$AL$170</f>
        <v>0.101711858375403</v>
      </c>
      <c r="K454" s="227">
        <f t="shared" si="67"/>
        <v>0.101711858375403</v>
      </c>
      <c r="L454" s="227">
        <f t="shared" si="64"/>
        <v>0.101711858375403</v>
      </c>
      <c r="M454" s="227">
        <f t="shared" si="68"/>
        <v>0.101711858375403</v>
      </c>
    </row>
    <row r="455" spans="1:16" ht="15" customHeight="1" x14ac:dyDescent="0.25">
      <c r="A455" s="2" t="s">
        <v>917</v>
      </c>
      <c r="B455" s="2" t="s">
        <v>159</v>
      </c>
      <c r="C455" s="2" t="s">
        <v>735</v>
      </c>
      <c r="D455" s="2" t="s">
        <v>904</v>
      </c>
      <c r="E455" s="15" t="s">
        <v>335</v>
      </c>
      <c r="F455" s="241" t="s">
        <v>374</v>
      </c>
      <c r="G455" s="203">
        <f>opex_sources!H124/(opex_sources!H124+0*opex_sources!H130+0*opex_sources!H136)</f>
        <v>1</v>
      </c>
      <c r="H455" s="203">
        <f>opex_sources!H124/opex_sources!H124</f>
        <v>1</v>
      </c>
      <c r="I455" s="203">
        <f t="shared" si="66"/>
        <v>1</v>
      </c>
      <c r="J455" s="227">
        <f>opex_orig!$AL$171</f>
        <v>8.26046924153198E-2</v>
      </c>
      <c r="K455" s="227">
        <f t="shared" si="67"/>
        <v>8.26046924153198E-2</v>
      </c>
      <c r="L455" s="227">
        <f t="shared" si="64"/>
        <v>8.26046924153198E-2</v>
      </c>
      <c r="M455" s="227">
        <f t="shared" si="68"/>
        <v>8.26046924153198E-2</v>
      </c>
    </row>
    <row r="456" spans="1:16" ht="15" customHeight="1" x14ac:dyDescent="0.25">
      <c r="A456" s="2" t="s">
        <v>917</v>
      </c>
      <c r="B456" s="24" t="s">
        <v>159</v>
      </c>
      <c r="C456" s="24" t="s">
        <v>735</v>
      </c>
      <c r="D456" s="24" t="s">
        <v>904</v>
      </c>
      <c r="E456" s="31" t="s">
        <v>346</v>
      </c>
      <c r="F456" s="19"/>
      <c r="G456" s="184"/>
      <c r="H456" s="184"/>
      <c r="I456" s="184"/>
      <c r="J456" s="221">
        <f>SUM(J403:J438,J440:J449,J451:J455)</f>
        <v>0.87302576183115332</v>
      </c>
      <c r="K456" s="221">
        <f>SUM(K403:K438,K440:K449,K451:K455)</f>
        <v>0.87302576183115332</v>
      </c>
      <c r="L456" s="221">
        <f>SUM(L403:L455)</f>
        <v>0.87302576183115332</v>
      </c>
      <c r="M456" s="221">
        <f>SUM(M403:M438,M440:M449,M451:M455)</f>
        <v>0.87302576183115332</v>
      </c>
      <c r="N456" s="277">
        <f>SUM(N403:N455)</f>
        <v>1</v>
      </c>
      <c r="O456" s="277">
        <f>SUM(O403:O455)</f>
        <v>1.0000000000000002</v>
      </c>
    </row>
    <row r="457" spans="1:16" ht="15" customHeight="1" x14ac:dyDescent="0.25">
      <c r="A457" s="2" t="s">
        <v>917</v>
      </c>
      <c r="B457" s="2" t="s">
        <v>159</v>
      </c>
      <c r="C457" s="2" t="s">
        <v>736</v>
      </c>
      <c r="D457" s="2" t="s">
        <v>970</v>
      </c>
      <c r="E457" s="288" t="s">
        <v>967</v>
      </c>
      <c r="F457" s="328" t="s">
        <v>159</v>
      </c>
      <c r="G457" s="306"/>
      <c r="H457" s="306">
        <f>opex_sources!H126/(opex_sources!H126+opex_sources!H130)</f>
        <v>0.4102564102564103</v>
      </c>
      <c r="I457" s="306"/>
      <c r="J457" s="305">
        <f>opex_orig!$AL$70</f>
        <v>0.14937267828621301</v>
      </c>
      <c r="K457" s="286">
        <f>J457*I493+L457</f>
        <v>0.15271018107415871</v>
      </c>
      <c r="L457" s="287">
        <f>opex_sources!$H$126*$H457/SUM($H$457:$H$458)</f>
        <v>9.0909090909090912E-2</v>
      </c>
      <c r="M457" s="305">
        <f>K457/$K$510*$J$510</f>
        <v>0.1751818586147437</v>
      </c>
      <c r="N457" s="187">
        <f>opex_sources!H126</f>
        <v>0.18181818181818182</v>
      </c>
      <c r="O457" s="187">
        <f>SUM(L457:L458)/L$510</f>
        <v>0.23890838294861932</v>
      </c>
      <c r="P457" s="1" t="s">
        <v>967</v>
      </c>
    </row>
    <row r="458" spans="1:16" ht="15" customHeight="1" x14ac:dyDescent="0.25">
      <c r="A458" s="2" t="s">
        <v>917</v>
      </c>
      <c r="B458" s="2" t="s">
        <v>159</v>
      </c>
      <c r="C458" s="2" t="s">
        <v>736</v>
      </c>
      <c r="D458" s="2" t="s">
        <v>970</v>
      </c>
      <c r="E458" s="288" t="s">
        <v>967</v>
      </c>
      <c r="F458" s="255" t="s">
        <v>249</v>
      </c>
      <c r="G458" s="256"/>
      <c r="H458" s="256">
        <f>opex_sources!H126/(opex_sources!H126+opex_sources!H130)</f>
        <v>0.4102564102564103</v>
      </c>
      <c r="I458" s="256"/>
      <c r="J458" s="257">
        <f>opex_orig!$AL$129</f>
        <v>4.8979815221200297E-2</v>
      </c>
      <c r="K458" s="286">
        <f>J458*I504+L458</f>
        <v>0.11117388103994545</v>
      </c>
      <c r="L458" s="287">
        <f>opex_sources!$H$126*$H458/SUM($H$457:$H$458)</f>
        <v>9.0909090909090912E-2</v>
      </c>
      <c r="M458" s="257">
        <f t="shared" ref="M458:M508" si="69">K458/$K$510*$J$510</f>
        <v>0.12753339019704485</v>
      </c>
    </row>
    <row r="459" spans="1:16" ht="15" customHeight="1" x14ac:dyDescent="0.25">
      <c r="A459" s="2" t="s">
        <v>917</v>
      </c>
      <c r="B459" s="2" t="s">
        <v>159</v>
      </c>
      <c r="C459" s="2" t="s">
        <v>736</v>
      </c>
      <c r="D459" s="2" t="s">
        <v>970</v>
      </c>
      <c r="E459" s="15" t="s">
        <v>836</v>
      </c>
      <c r="F459" s="259" t="s">
        <v>2</v>
      </c>
      <c r="G459" s="260">
        <f>opex_sources!H127/(opex_sources!H121+0*opex_sources!H127+0*opex_sources!H133)</f>
        <v>1.1590909090909092</v>
      </c>
      <c r="H459" s="260">
        <f>opex_sources!H127/opex_sources!H127</f>
        <v>1</v>
      </c>
      <c r="I459" s="260">
        <f t="shared" ref="I459:I509" si="70">G459*H459</f>
        <v>1.1590909090909092</v>
      </c>
      <c r="J459" s="261">
        <f>opex_orig!$AL$97</f>
        <v>8.51974436228768E-3</v>
      </c>
      <c r="K459" s="261">
        <f t="shared" ref="K459:K509" si="71">J459*I459</f>
        <v>9.8751582381061756E-3</v>
      </c>
      <c r="L459" s="261">
        <f t="shared" ref="L459:L509" si="72">K459*H459</f>
        <v>9.8751582381061756E-3</v>
      </c>
      <c r="M459" s="261">
        <f t="shared" si="69"/>
        <v>1.1328311983508451E-2</v>
      </c>
      <c r="N459" s="187">
        <f>opex_sources!H127</f>
        <v>0.20454545454545456</v>
      </c>
      <c r="O459" s="187">
        <f>SUM(L459:L474)/L$510</f>
        <v>3.960844707181737E-2</v>
      </c>
      <c r="P459" s="1" t="s">
        <v>836</v>
      </c>
    </row>
    <row r="460" spans="1:16" ht="15" customHeight="1" x14ac:dyDescent="0.25">
      <c r="A460" s="2" t="s">
        <v>917</v>
      </c>
      <c r="B460" s="2" t="s">
        <v>159</v>
      </c>
      <c r="C460" s="2" t="s">
        <v>736</v>
      </c>
      <c r="D460" s="2" t="s">
        <v>970</v>
      </c>
      <c r="E460" s="15" t="s">
        <v>836</v>
      </c>
      <c r="F460" s="259" t="s">
        <v>4</v>
      </c>
      <c r="G460" s="260">
        <f>opex_sources!H127/(opex_sources!H121+0*opex_sources!H127+0*opex_sources!H133)</f>
        <v>1.1590909090909092</v>
      </c>
      <c r="H460" s="260">
        <f>opex_sources!H127/opex_sources!H127</f>
        <v>1</v>
      </c>
      <c r="I460" s="260">
        <f t="shared" si="70"/>
        <v>1.1590909090909092</v>
      </c>
      <c r="J460" s="261">
        <f>opex_orig!$AL$98</f>
        <v>5.0144068549209901E-5</v>
      </c>
      <c r="K460" s="261">
        <f t="shared" si="71"/>
        <v>5.812153400022057E-5</v>
      </c>
      <c r="L460" s="261">
        <f t="shared" si="72"/>
        <v>5.812153400022057E-5</v>
      </c>
      <c r="M460" s="261">
        <f t="shared" si="69"/>
        <v>6.6674260223384716E-5</v>
      </c>
    </row>
    <row r="461" spans="1:16" ht="15" customHeight="1" x14ac:dyDescent="0.25">
      <c r="A461" s="2" t="s">
        <v>917</v>
      </c>
      <c r="B461" s="2" t="s">
        <v>159</v>
      </c>
      <c r="C461" s="2" t="s">
        <v>736</v>
      </c>
      <c r="D461" s="2" t="s">
        <v>970</v>
      </c>
      <c r="E461" s="15" t="s">
        <v>836</v>
      </c>
      <c r="F461" s="259" t="s">
        <v>6</v>
      </c>
      <c r="G461" s="260">
        <f>opex_sources!H127/(opex_sources!H121+0*opex_sources!H127+0*opex_sources!H133)</f>
        <v>1.1590909090909092</v>
      </c>
      <c r="H461" s="260">
        <f>opex_sources!H127/opex_sources!H127</f>
        <v>1</v>
      </c>
      <c r="I461" s="260">
        <f t="shared" si="70"/>
        <v>1.1590909090909092</v>
      </c>
      <c r="J461" s="261">
        <f>opex_orig!$AL$99</f>
        <v>6.5666744549239204E-3</v>
      </c>
      <c r="K461" s="261">
        <f t="shared" si="71"/>
        <v>7.6113726636618173E-3</v>
      </c>
      <c r="L461" s="261">
        <f t="shared" si="72"/>
        <v>7.6113726636618173E-3</v>
      </c>
      <c r="M461" s="261">
        <f t="shared" si="69"/>
        <v>8.7314048117212283E-3</v>
      </c>
    </row>
    <row r="462" spans="1:16" ht="15" customHeight="1" x14ac:dyDescent="0.25">
      <c r="A462" s="2" t="s">
        <v>917</v>
      </c>
      <c r="B462" s="2" t="s">
        <v>159</v>
      </c>
      <c r="C462" s="2" t="s">
        <v>736</v>
      </c>
      <c r="D462" s="2" t="s">
        <v>970</v>
      </c>
      <c r="E462" s="15" t="s">
        <v>836</v>
      </c>
      <c r="F462" s="259" t="s">
        <v>8</v>
      </c>
      <c r="G462" s="260">
        <f>opex_sources!H127/(opex_sources!H121+0*opex_sources!H127+0*opex_sources!H133)</f>
        <v>1.1590909090909092</v>
      </c>
      <c r="H462" s="260">
        <f>opex_sources!H127/opex_sources!H127</f>
        <v>1</v>
      </c>
      <c r="I462" s="260">
        <f t="shared" si="70"/>
        <v>1.1590909090909092</v>
      </c>
      <c r="J462" s="261">
        <f>opex_orig!$AL$100</f>
        <v>4.0098674309218797E-4</v>
      </c>
      <c r="K462" s="261">
        <f t="shared" si="71"/>
        <v>4.6478008858412699E-4</v>
      </c>
      <c r="L462" s="261">
        <f t="shared" si="72"/>
        <v>4.6478008858412699E-4</v>
      </c>
      <c r="M462" s="261">
        <f t="shared" si="69"/>
        <v>5.3317361810836382E-4</v>
      </c>
    </row>
    <row r="463" spans="1:16" ht="15" customHeight="1" x14ac:dyDescent="0.25">
      <c r="A463" s="2" t="s">
        <v>917</v>
      </c>
      <c r="B463" s="2" t="s">
        <v>159</v>
      </c>
      <c r="C463" s="2" t="s">
        <v>736</v>
      </c>
      <c r="D463" s="2" t="s">
        <v>970</v>
      </c>
      <c r="E463" s="15" t="s">
        <v>836</v>
      </c>
      <c r="F463" s="259" t="s">
        <v>342</v>
      </c>
      <c r="G463" s="260">
        <f>opex_sources!H127/(opex_sources!H121+0*opex_sources!H127+0*opex_sources!H133)</f>
        <v>1.1590909090909092</v>
      </c>
      <c r="H463" s="260">
        <f>opex_sources!H127/opex_sources!H127</f>
        <v>1</v>
      </c>
      <c r="I463" s="260">
        <f t="shared" si="70"/>
        <v>1.1590909090909092</v>
      </c>
      <c r="J463" s="261">
        <f>opex_orig!$AL$101</f>
        <v>7.4378301385586503E-5</v>
      </c>
      <c r="K463" s="261">
        <f t="shared" si="71"/>
        <v>8.6211212969657092E-5</v>
      </c>
      <c r="L463" s="261">
        <f t="shared" si="72"/>
        <v>8.6211212969657092E-5</v>
      </c>
      <c r="M463" s="261">
        <f t="shared" si="69"/>
        <v>9.8897404319898768E-5</v>
      </c>
    </row>
    <row r="464" spans="1:16" ht="15" customHeight="1" x14ac:dyDescent="0.25">
      <c r="A464" s="2" t="s">
        <v>917</v>
      </c>
      <c r="B464" s="2" t="s">
        <v>159</v>
      </c>
      <c r="C464" s="2" t="s">
        <v>736</v>
      </c>
      <c r="D464" s="2" t="s">
        <v>970</v>
      </c>
      <c r="E464" s="15" t="s">
        <v>836</v>
      </c>
      <c r="F464" s="259" t="s">
        <v>343</v>
      </c>
      <c r="G464" s="260">
        <f>opex_sources!H127/(opex_sources!H121+0*opex_sources!H127+0*opex_sources!H133)</f>
        <v>1.1590909090909092</v>
      </c>
      <c r="H464" s="260">
        <f>opex_sources!H127/opex_sources!H127</f>
        <v>1</v>
      </c>
      <c r="I464" s="260">
        <f t="shared" si="70"/>
        <v>1.1590909090909092</v>
      </c>
      <c r="J464" s="261">
        <f>opex_orig!$AL$102</f>
        <v>6.4999995235635296E-8</v>
      </c>
      <c r="K464" s="261">
        <f t="shared" si="71"/>
        <v>7.5340903568577276E-8</v>
      </c>
      <c r="L464" s="261">
        <f t="shared" si="72"/>
        <v>7.5340903568577276E-8</v>
      </c>
      <c r="M464" s="261">
        <f t="shared" si="69"/>
        <v>8.6427502239999246E-8</v>
      </c>
    </row>
    <row r="465" spans="1:16" ht="15" customHeight="1" x14ac:dyDescent="0.25">
      <c r="A465" s="2" t="s">
        <v>917</v>
      </c>
      <c r="B465" s="2" t="s">
        <v>159</v>
      </c>
      <c r="C465" s="2" t="s">
        <v>736</v>
      </c>
      <c r="D465" s="2" t="s">
        <v>970</v>
      </c>
      <c r="E465" s="15" t="s">
        <v>836</v>
      </c>
      <c r="F465" s="259" t="s">
        <v>10</v>
      </c>
      <c r="G465" s="260">
        <f>opex_sources!H127/(opex_sources!H121+0*opex_sources!H127+0*opex_sources!H133)</f>
        <v>1.1590909090909092</v>
      </c>
      <c r="H465" s="260">
        <f>opex_sources!H127/opex_sources!H127</f>
        <v>1</v>
      </c>
      <c r="I465" s="260">
        <f t="shared" si="70"/>
        <v>1.1590909090909092</v>
      </c>
      <c r="J465" s="261">
        <f>opex_orig!$AL$103</f>
        <v>5.18878179465611E-6</v>
      </c>
      <c r="K465" s="261">
        <f t="shared" si="71"/>
        <v>6.01426980744231E-6</v>
      </c>
      <c r="L465" s="261">
        <f t="shared" si="72"/>
        <v>6.01426980744231E-6</v>
      </c>
      <c r="M465" s="261">
        <f t="shared" si="69"/>
        <v>6.8992843546340795E-6</v>
      </c>
    </row>
    <row r="466" spans="1:16" ht="15" customHeight="1" x14ac:dyDescent="0.25">
      <c r="A466" s="2" t="s">
        <v>917</v>
      </c>
      <c r="B466" s="2" t="s">
        <v>159</v>
      </c>
      <c r="C466" s="2" t="s">
        <v>736</v>
      </c>
      <c r="D466" s="2" t="s">
        <v>970</v>
      </c>
      <c r="E466" s="15" t="s">
        <v>836</v>
      </c>
      <c r="F466" s="259" t="s">
        <v>12</v>
      </c>
      <c r="G466" s="260">
        <f>opex_sources!H127/(opex_sources!H121+0*opex_sources!H127+0*opex_sources!H133)</f>
        <v>1.1590909090909092</v>
      </c>
      <c r="H466" s="260">
        <f>opex_sources!H127/opex_sources!H127</f>
        <v>1</v>
      </c>
      <c r="I466" s="260">
        <f t="shared" si="70"/>
        <v>1.1590909090909092</v>
      </c>
      <c r="J466" s="261">
        <f>opex_orig!$AL$104</f>
        <v>9.789230328172431E-4</v>
      </c>
      <c r="K466" s="261">
        <f t="shared" si="71"/>
        <v>1.1346607880381681E-3</v>
      </c>
      <c r="L466" s="261">
        <f t="shared" si="72"/>
        <v>1.1346607880381681E-3</v>
      </c>
      <c r="M466" s="261">
        <f t="shared" si="69"/>
        <v>1.3016289048159069E-3</v>
      </c>
    </row>
    <row r="467" spans="1:16" ht="15" customHeight="1" x14ac:dyDescent="0.25">
      <c r="A467" s="2" t="s">
        <v>917</v>
      </c>
      <c r="B467" s="2" t="s">
        <v>159</v>
      </c>
      <c r="C467" s="2" t="s">
        <v>736</v>
      </c>
      <c r="D467" s="2" t="s">
        <v>970</v>
      </c>
      <c r="E467" s="15" t="s">
        <v>836</v>
      </c>
      <c r="F467" s="259" t="s">
        <v>340</v>
      </c>
      <c r="G467" s="260">
        <f>opex_sources!H127/(opex_sources!H121+0*opex_sources!H127+0*opex_sources!H133)</f>
        <v>1.1590909090909092</v>
      </c>
      <c r="H467" s="260">
        <f>opex_sources!H127/opex_sources!H127</f>
        <v>1</v>
      </c>
      <c r="I467" s="260">
        <f t="shared" si="70"/>
        <v>1.1590909090909092</v>
      </c>
      <c r="J467" s="261">
        <f>opex_orig!$AL$105</f>
        <v>2.36765489565554E-4</v>
      </c>
      <c r="K467" s="261">
        <f t="shared" si="71"/>
        <v>2.7443272654189215E-4</v>
      </c>
      <c r="L467" s="261">
        <f t="shared" si="72"/>
        <v>2.7443272654189215E-4</v>
      </c>
      <c r="M467" s="261">
        <f t="shared" si="69"/>
        <v>3.1481617507200788E-4</v>
      </c>
    </row>
    <row r="468" spans="1:16" ht="15" customHeight="1" x14ac:dyDescent="0.25">
      <c r="A468" s="2" t="s">
        <v>917</v>
      </c>
      <c r="B468" s="2" t="s">
        <v>159</v>
      </c>
      <c r="C468" s="2" t="s">
        <v>736</v>
      </c>
      <c r="D468" s="2" t="s">
        <v>970</v>
      </c>
      <c r="E468" s="15" t="s">
        <v>836</v>
      </c>
      <c r="F468" s="259" t="s">
        <v>341</v>
      </c>
      <c r="G468" s="260">
        <f>opex_sources!H127/(opex_sources!H121+0*opex_sources!H127+0*opex_sources!H133)</f>
        <v>1.1590909090909092</v>
      </c>
      <c r="H468" s="260">
        <f>opex_sources!H127/opex_sources!H127</f>
        <v>1</v>
      </c>
      <c r="I468" s="260">
        <f t="shared" si="70"/>
        <v>1.1590909090909092</v>
      </c>
      <c r="J468" s="261">
        <f>opex_orig!$AL$106</f>
        <v>1.2517820002296901E-4</v>
      </c>
      <c r="K468" s="261">
        <f t="shared" si="71"/>
        <v>1.4509291366298683E-4</v>
      </c>
      <c r="L468" s="261">
        <f t="shared" si="72"/>
        <v>1.4509291366298683E-4</v>
      </c>
      <c r="M468" s="261">
        <f t="shared" si="69"/>
        <v>1.6644369162896431E-4</v>
      </c>
    </row>
    <row r="469" spans="1:16" ht="15" customHeight="1" x14ac:dyDescent="0.25">
      <c r="A469" s="2" t="s">
        <v>917</v>
      </c>
      <c r="B469" s="2" t="s">
        <v>159</v>
      </c>
      <c r="C469" s="2" t="s">
        <v>736</v>
      </c>
      <c r="D469" s="2" t="s">
        <v>970</v>
      </c>
      <c r="E469" s="15" t="s">
        <v>836</v>
      </c>
      <c r="F469" s="259" t="s">
        <v>14</v>
      </c>
      <c r="G469" s="260">
        <f>opex_sources!H127/(opex_sources!H121+0*opex_sources!H127+0*opex_sources!H133)</f>
        <v>1.1590909090909092</v>
      </c>
      <c r="H469" s="260">
        <f>opex_sources!H127/opex_sources!H127</f>
        <v>1</v>
      </c>
      <c r="I469" s="260">
        <f t="shared" si="70"/>
        <v>1.1590909090909092</v>
      </c>
      <c r="J469" s="261">
        <f>opex_orig!$AL$107</f>
        <v>8.8864751107379097E-10</v>
      </c>
      <c r="K469" s="261">
        <f t="shared" si="71"/>
        <v>1.0300232514718942E-9</v>
      </c>
      <c r="L469" s="261">
        <f t="shared" si="72"/>
        <v>1.0300232514718942E-9</v>
      </c>
      <c r="M469" s="261">
        <f t="shared" si="69"/>
        <v>1.1815936982068176E-9</v>
      </c>
    </row>
    <row r="470" spans="1:16" ht="15" customHeight="1" x14ac:dyDescent="0.25">
      <c r="A470" s="2" t="s">
        <v>917</v>
      </c>
      <c r="B470" s="2" t="s">
        <v>159</v>
      </c>
      <c r="C470" s="2" t="s">
        <v>736</v>
      </c>
      <c r="D470" s="2" t="s">
        <v>970</v>
      </c>
      <c r="E470" s="15" t="s">
        <v>836</v>
      </c>
      <c r="F470" s="259" t="s">
        <v>16</v>
      </c>
      <c r="G470" s="260">
        <f>opex_sources!H127/(opex_sources!H121+0*opex_sources!H127+0*opex_sources!H133)</f>
        <v>1.1590909090909092</v>
      </c>
      <c r="H470" s="260">
        <f>opex_sources!H127/opex_sources!H127</f>
        <v>1</v>
      </c>
      <c r="I470" s="260">
        <f t="shared" si="70"/>
        <v>1.1590909090909092</v>
      </c>
      <c r="J470" s="261">
        <f>opex_orig!$AL$108</f>
        <v>5.5549515684599997E-11</v>
      </c>
      <c r="K470" s="261">
        <f t="shared" si="71"/>
        <v>6.4386938634422727E-11</v>
      </c>
      <c r="L470" s="261">
        <f t="shared" si="72"/>
        <v>6.4386938634422727E-11</v>
      </c>
      <c r="M470" s="261">
        <f t="shared" si="69"/>
        <v>7.3861634510236994E-11</v>
      </c>
    </row>
    <row r="471" spans="1:16" ht="15" customHeight="1" x14ac:dyDescent="0.25">
      <c r="A471" s="2" t="s">
        <v>917</v>
      </c>
      <c r="B471" s="2" t="s">
        <v>159</v>
      </c>
      <c r="C471" s="2" t="s">
        <v>736</v>
      </c>
      <c r="D471" s="2" t="s">
        <v>970</v>
      </c>
      <c r="E471" s="15" t="s">
        <v>836</v>
      </c>
      <c r="F471" s="259" t="s">
        <v>18</v>
      </c>
      <c r="G471" s="260">
        <f>opex_sources!H127/(opex_sources!H121+0*opex_sources!H127+0*opex_sources!H133)</f>
        <v>1.1590909090909092</v>
      </c>
      <c r="H471" s="260">
        <f>opex_sources!H127/opex_sources!H127</f>
        <v>1</v>
      </c>
      <c r="I471" s="260">
        <f t="shared" si="70"/>
        <v>1.1590909090909092</v>
      </c>
      <c r="J471" s="261">
        <f>opex_orig!$AL$109</f>
        <v>1.01749429181875E-7</v>
      </c>
      <c r="K471" s="261">
        <f t="shared" si="71"/>
        <v>1.1793683836990057E-7</v>
      </c>
      <c r="L471" s="261">
        <f t="shared" si="72"/>
        <v>1.1793683836990057E-7</v>
      </c>
      <c r="M471" s="261">
        <f t="shared" si="69"/>
        <v>1.3529153327866698E-7</v>
      </c>
    </row>
    <row r="472" spans="1:16" ht="15" customHeight="1" x14ac:dyDescent="0.25">
      <c r="A472" s="2" t="s">
        <v>917</v>
      </c>
      <c r="B472" s="2" t="s">
        <v>159</v>
      </c>
      <c r="C472" s="2" t="s">
        <v>736</v>
      </c>
      <c r="D472" s="2" t="s">
        <v>970</v>
      </c>
      <c r="E472" s="15" t="s">
        <v>836</v>
      </c>
      <c r="F472" s="259" t="s">
        <v>20</v>
      </c>
      <c r="G472" s="260">
        <f>opex_sources!H127/(opex_sources!H121+0*opex_sources!H127+0*opex_sources!H133)</f>
        <v>1.1590909090909092</v>
      </c>
      <c r="H472" s="260">
        <f>opex_sources!H127/opex_sources!H127</f>
        <v>1</v>
      </c>
      <c r="I472" s="260">
        <f t="shared" si="70"/>
        <v>1.1590909090909092</v>
      </c>
      <c r="J472" s="261">
        <f>opex_orig!$AL$110</f>
        <v>6.1772925140870898E-4</v>
      </c>
      <c r="K472" s="261">
        <f t="shared" si="71"/>
        <v>7.1600435958736727E-4</v>
      </c>
      <c r="L472" s="261">
        <f t="shared" si="72"/>
        <v>7.1600435958736727E-4</v>
      </c>
      <c r="M472" s="261">
        <f t="shared" si="69"/>
        <v>8.2136615650964891E-4</v>
      </c>
    </row>
    <row r="473" spans="1:16" ht="15" customHeight="1" x14ac:dyDescent="0.25">
      <c r="A473" s="2" t="s">
        <v>917</v>
      </c>
      <c r="B473" s="2" t="s">
        <v>159</v>
      </c>
      <c r="C473" s="2" t="s">
        <v>736</v>
      </c>
      <c r="D473" s="2" t="s">
        <v>970</v>
      </c>
      <c r="E473" s="15" t="s">
        <v>836</v>
      </c>
      <c r="F473" s="259" t="s">
        <v>213</v>
      </c>
      <c r="G473" s="260">
        <f>opex_sources!H127/(opex_sources!H121+0*opex_sources!H127+0*opex_sources!H133)</f>
        <v>1.1590909090909092</v>
      </c>
      <c r="H473" s="260">
        <f>opex_sources!H127/opex_sources!H127</f>
        <v>1</v>
      </c>
      <c r="I473" s="260">
        <f t="shared" si="70"/>
        <v>1.1590909090909092</v>
      </c>
      <c r="J473" s="261">
        <f>opex_orig!$AL$111</f>
        <v>3.5050658144862002E-3</v>
      </c>
      <c r="K473" s="261">
        <f t="shared" si="71"/>
        <v>4.0626899213362776E-3</v>
      </c>
      <c r="L473" s="261">
        <f t="shared" si="72"/>
        <v>4.0626899213362776E-3</v>
      </c>
      <c r="M473" s="261">
        <f t="shared" si="69"/>
        <v>4.6605247036506196E-3</v>
      </c>
    </row>
    <row r="474" spans="1:16" ht="15" customHeight="1" x14ac:dyDescent="0.25">
      <c r="A474" s="2" t="s">
        <v>917</v>
      </c>
      <c r="B474" s="2" t="s">
        <v>159</v>
      </c>
      <c r="C474" s="2" t="s">
        <v>736</v>
      </c>
      <c r="D474" s="2" t="s">
        <v>970</v>
      </c>
      <c r="E474" s="15" t="s">
        <v>836</v>
      </c>
      <c r="F474" s="259" t="s">
        <v>215</v>
      </c>
      <c r="G474" s="260">
        <f>opex_sources!H127/(opex_sources!H121+0*opex_sources!H127+0*opex_sources!H133)</f>
        <v>1.1590909090909092</v>
      </c>
      <c r="H474" s="260">
        <f>opex_sources!H127/opex_sources!H127</f>
        <v>1</v>
      </c>
      <c r="I474" s="260">
        <f t="shared" si="70"/>
        <v>1.1590909090909092</v>
      </c>
      <c r="J474" s="261">
        <f>opex_orig!$AL$112</f>
        <v>4.9252142432523998E-3</v>
      </c>
      <c r="K474" s="261">
        <f t="shared" si="71"/>
        <v>5.7087710546789181E-3</v>
      </c>
      <c r="L474" s="261">
        <f t="shared" si="72"/>
        <v>5.7087710546789181E-3</v>
      </c>
      <c r="M474" s="261">
        <f t="shared" si="69"/>
        <v>6.5488307114183212E-3</v>
      </c>
    </row>
    <row r="475" spans="1:16" ht="15" customHeight="1" x14ac:dyDescent="0.25">
      <c r="A475" s="2" t="s">
        <v>917</v>
      </c>
      <c r="B475" s="2" t="s">
        <v>159</v>
      </c>
      <c r="C475" s="2" t="s">
        <v>736</v>
      </c>
      <c r="D475" s="2" t="s">
        <v>970</v>
      </c>
      <c r="E475" s="15" t="s">
        <v>975</v>
      </c>
      <c r="F475" s="267" t="s">
        <v>61</v>
      </c>
      <c r="G475" s="265">
        <f>opex_sources!H128/(opex_sources!H122+0*opex_sources!H128+0)</f>
        <v>0.57954545454545447</v>
      </c>
      <c r="H475" s="265">
        <f>opex_sources!H128/opex_sources!H128</f>
        <v>1</v>
      </c>
      <c r="I475" s="265">
        <f t="shared" si="70"/>
        <v>0.57954545454545447</v>
      </c>
      <c r="J475" s="266">
        <f>opex_orig!$AL$21</f>
        <v>9.28829150639718E-3</v>
      </c>
      <c r="K475" s="266">
        <f t="shared" si="71"/>
        <v>5.382987123025638E-3</v>
      </c>
      <c r="L475" s="266">
        <f t="shared" si="72"/>
        <v>5.382987123025638E-3</v>
      </c>
      <c r="M475" s="266">
        <f t="shared" si="69"/>
        <v>6.1751068755063901E-3</v>
      </c>
      <c r="N475" s="187">
        <f>opex_sources!H128</f>
        <v>6.8181818181818177E-2</v>
      </c>
      <c r="O475" s="187">
        <f>SUM(L475:L489)/L$510</f>
        <v>9.853838755730461E-3</v>
      </c>
      <c r="P475" s="1" t="s">
        <v>975</v>
      </c>
    </row>
    <row r="476" spans="1:16" ht="15" customHeight="1" x14ac:dyDescent="0.25">
      <c r="A476" s="2" t="s">
        <v>917</v>
      </c>
      <c r="B476" s="2" t="s">
        <v>159</v>
      </c>
      <c r="C476" s="2" t="s">
        <v>736</v>
      </c>
      <c r="D476" s="2" t="s">
        <v>970</v>
      </c>
      <c r="E476" s="15" t="s">
        <v>975</v>
      </c>
      <c r="F476" s="332" t="s">
        <v>63</v>
      </c>
      <c r="G476" s="333">
        <f>opex_sources!H128/(opex_sources!H122+0*opex_sources!H128+0)</f>
        <v>0.57954545454545447</v>
      </c>
      <c r="H476" s="333">
        <f>opex_sources!H128/opex_sources!H128</f>
        <v>1</v>
      </c>
      <c r="I476" s="333">
        <f t="shared" si="70"/>
        <v>0.57954545454545447</v>
      </c>
      <c r="J476" s="334">
        <f>opex_orig!$AL$22</f>
        <v>3.88904385596317E-5</v>
      </c>
      <c r="K476" s="334">
        <f t="shared" si="71"/>
        <v>2.2538776892513825E-5</v>
      </c>
      <c r="L476" s="334">
        <f t="shared" si="72"/>
        <v>2.2538776892513825E-5</v>
      </c>
      <c r="M476" s="334">
        <f t="shared" si="69"/>
        <v>2.5855413169971983E-5</v>
      </c>
    </row>
    <row r="477" spans="1:16" ht="15" customHeight="1" x14ac:dyDescent="0.25">
      <c r="A477" s="2" t="s">
        <v>917</v>
      </c>
      <c r="B477" s="2" t="s">
        <v>159</v>
      </c>
      <c r="C477" s="2" t="s">
        <v>736</v>
      </c>
      <c r="D477" s="2" t="s">
        <v>970</v>
      </c>
      <c r="E477" s="15" t="s">
        <v>975</v>
      </c>
      <c r="F477" s="332" t="s">
        <v>65</v>
      </c>
      <c r="G477" s="333">
        <f>opex_sources!H128/(opex_sources!H122+0*opex_sources!H128+0)</f>
        <v>0.57954545454545447</v>
      </c>
      <c r="H477" s="333">
        <f>opex_sources!H128/opex_sources!H128</f>
        <v>1</v>
      </c>
      <c r="I477" s="333">
        <f t="shared" si="70"/>
        <v>0.57954545454545447</v>
      </c>
      <c r="J477" s="334">
        <f>opex_orig!$AL$23</f>
        <v>5.2649147008735097E-5</v>
      </c>
      <c r="K477" s="334">
        <f t="shared" si="71"/>
        <v>3.0512573834607837E-5</v>
      </c>
      <c r="L477" s="334">
        <f t="shared" si="72"/>
        <v>3.0512573834607837E-5</v>
      </c>
      <c r="M477" s="334">
        <f t="shared" si="69"/>
        <v>3.5002573881242747E-5</v>
      </c>
    </row>
    <row r="478" spans="1:16" ht="15" customHeight="1" x14ac:dyDescent="0.25">
      <c r="A478" s="2" t="s">
        <v>917</v>
      </c>
      <c r="B478" s="2" t="s">
        <v>159</v>
      </c>
      <c r="C478" s="2" t="s">
        <v>736</v>
      </c>
      <c r="D478" s="2" t="s">
        <v>970</v>
      </c>
      <c r="E478" s="15" t="s">
        <v>975</v>
      </c>
      <c r="F478" s="332" t="s">
        <v>67</v>
      </c>
      <c r="G478" s="333">
        <f>opex_sources!H128/(opex_sources!H122+0*opex_sources!H128+0)</f>
        <v>0.57954545454545447</v>
      </c>
      <c r="H478" s="333">
        <f>opex_sources!H128/opex_sources!H128</f>
        <v>1</v>
      </c>
      <c r="I478" s="333">
        <f t="shared" si="70"/>
        <v>0.57954545454545447</v>
      </c>
      <c r="J478" s="334">
        <f>opex_orig!$AL$24</f>
        <v>3.27917057013687E-7</v>
      </c>
      <c r="K478" s="334">
        <f t="shared" si="71"/>
        <v>1.9004283986020495E-7</v>
      </c>
      <c r="L478" s="334">
        <f t="shared" si="72"/>
        <v>1.9004283986020495E-7</v>
      </c>
      <c r="M478" s="334">
        <f t="shared" si="69"/>
        <v>2.1800810966865138E-7</v>
      </c>
    </row>
    <row r="479" spans="1:16" ht="15" customHeight="1" x14ac:dyDescent="0.25">
      <c r="A479" s="2" t="s">
        <v>917</v>
      </c>
      <c r="B479" s="2" t="s">
        <v>159</v>
      </c>
      <c r="C479" s="2" t="s">
        <v>736</v>
      </c>
      <c r="D479" s="2" t="s">
        <v>970</v>
      </c>
      <c r="E479" s="15" t="s">
        <v>975</v>
      </c>
      <c r="F479" s="271" t="s">
        <v>135</v>
      </c>
      <c r="G479" s="330">
        <f>opex_sources!H128/(opex_sources!H122+0*opex_sources!H128+0)</f>
        <v>0.57954545454545447</v>
      </c>
      <c r="H479" s="262">
        <f>opex_sources!H128/opex_sources!H128</f>
        <v>1</v>
      </c>
      <c r="I479" s="262">
        <f t="shared" si="70"/>
        <v>0.57954545454545447</v>
      </c>
      <c r="J479" s="263">
        <f>opex_orig!$AL$58</f>
        <v>2.34426915369322E-3</v>
      </c>
      <c r="K479" s="263">
        <f t="shared" si="71"/>
        <v>1.358610532254025E-3</v>
      </c>
      <c r="L479" s="263">
        <f t="shared" si="72"/>
        <v>1.358610532254025E-3</v>
      </c>
      <c r="M479" s="263">
        <f t="shared" si="69"/>
        <v>1.5585334029448075E-3</v>
      </c>
    </row>
    <row r="480" spans="1:16" ht="15" customHeight="1" x14ac:dyDescent="0.25">
      <c r="A480" s="2" t="s">
        <v>917</v>
      </c>
      <c r="B480" s="2" t="s">
        <v>159</v>
      </c>
      <c r="C480" s="2" t="s">
        <v>736</v>
      </c>
      <c r="D480" s="2" t="s">
        <v>970</v>
      </c>
      <c r="E480" s="15" t="s">
        <v>975</v>
      </c>
      <c r="F480" s="319" t="s">
        <v>275</v>
      </c>
      <c r="G480" s="283">
        <f>opex_sources!H128/(opex_sources!H122+0*opex_sources!H128+0)</f>
        <v>0.57954545454545447</v>
      </c>
      <c r="H480" s="283">
        <f>opex_sources!H128/opex_sources!H128</f>
        <v>1</v>
      </c>
      <c r="I480" s="283">
        <f t="shared" si="70"/>
        <v>0.57954545454545447</v>
      </c>
      <c r="J480" s="284">
        <f>opex_orig!$AL$142</f>
        <v>1.2337059530660499E-4</v>
      </c>
      <c r="K480" s="284">
        <f t="shared" si="71"/>
        <v>7.1498867734509706E-5</v>
      </c>
      <c r="L480" s="284">
        <f t="shared" si="72"/>
        <v>7.1498867734509706E-5</v>
      </c>
      <c r="M480" s="284">
        <f t="shared" si="69"/>
        <v>8.2020101413530735E-5</v>
      </c>
    </row>
    <row r="481" spans="1:16" ht="15" customHeight="1" x14ac:dyDescent="0.25">
      <c r="A481" s="2" t="s">
        <v>917</v>
      </c>
      <c r="B481" s="2" t="s">
        <v>159</v>
      </c>
      <c r="C481" s="2" t="s">
        <v>736</v>
      </c>
      <c r="D481" s="2" t="s">
        <v>970</v>
      </c>
      <c r="E481" s="15" t="s">
        <v>975</v>
      </c>
      <c r="F481" s="319" t="s">
        <v>277</v>
      </c>
      <c r="G481" s="283">
        <f>opex_sources!H128/(opex_sources!H122+0*opex_sources!H128+0)</f>
        <v>0.57954545454545447</v>
      </c>
      <c r="H481" s="283">
        <f>opex_sources!H128/opex_sources!H128</f>
        <v>1</v>
      </c>
      <c r="I481" s="283">
        <f t="shared" si="70"/>
        <v>0.57954545454545447</v>
      </c>
      <c r="J481" s="284">
        <f>opex_orig!$AL$143</f>
        <v>1.2555797471430999E-4</v>
      </c>
      <c r="K481" s="284">
        <f t="shared" si="71"/>
        <v>7.2766553527611456E-5</v>
      </c>
      <c r="L481" s="284">
        <f t="shared" si="72"/>
        <v>7.2766553527611456E-5</v>
      </c>
      <c r="M481" s="284">
        <f t="shared" si="69"/>
        <v>8.3474330279039219E-5</v>
      </c>
    </row>
    <row r="482" spans="1:16" ht="15" customHeight="1" x14ac:dyDescent="0.25">
      <c r="A482" s="2" t="s">
        <v>917</v>
      </c>
      <c r="B482" s="2" t="s">
        <v>159</v>
      </c>
      <c r="C482" s="2" t="s">
        <v>736</v>
      </c>
      <c r="D482" s="2" t="s">
        <v>970</v>
      </c>
      <c r="E482" s="15" t="s">
        <v>975</v>
      </c>
      <c r="F482" s="319" t="s">
        <v>279</v>
      </c>
      <c r="G482" s="283">
        <f>opex_sources!H128/(opex_sources!H122+0*opex_sources!H128+0)</f>
        <v>0.57954545454545447</v>
      </c>
      <c r="H482" s="283">
        <f>opex_sources!H128/opex_sources!H128</f>
        <v>1</v>
      </c>
      <c r="I482" s="283">
        <f t="shared" si="70"/>
        <v>0.57954545454545447</v>
      </c>
      <c r="J482" s="284">
        <f>opex_orig!$AL$144</f>
        <v>4.9132521427501298E-5</v>
      </c>
      <c r="K482" s="284">
        <f t="shared" si="71"/>
        <v>2.8474529463665523E-5</v>
      </c>
      <c r="L482" s="284">
        <f t="shared" si="72"/>
        <v>2.8474529463665523E-5</v>
      </c>
      <c r="M482" s="284">
        <f t="shared" si="69"/>
        <v>3.2664626284496646E-5</v>
      </c>
    </row>
    <row r="483" spans="1:16" ht="15" customHeight="1" x14ac:dyDescent="0.25">
      <c r="A483" s="2" t="s">
        <v>917</v>
      </c>
      <c r="B483" s="2" t="s">
        <v>159</v>
      </c>
      <c r="C483" s="2" t="s">
        <v>736</v>
      </c>
      <c r="D483" s="2" t="s">
        <v>970</v>
      </c>
      <c r="E483" s="15" t="s">
        <v>975</v>
      </c>
      <c r="F483" s="319" t="s">
        <v>281</v>
      </c>
      <c r="G483" s="283">
        <f>opex_sources!H128/(opex_sources!H122+0*opex_sources!H128+0)</f>
        <v>0.57954545454545447</v>
      </c>
      <c r="H483" s="283">
        <f>opex_sources!H128/opex_sources!H128</f>
        <v>1</v>
      </c>
      <c r="I483" s="283">
        <f t="shared" si="70"/>
        <v>0.57954545454545447</v>
      </c>
      <c r="J483" s="284">
        <f>opex_orig!$AL$145</f>
        <v>1.5809233314637101E-4</v>
      </c>
      <c r="K483" s="284">
        <f t="shared" si="71"/>
        <v>9.1621693073465002E-5</v>
      </c>
      <c r="L483" s="284">
        <f t="shared" si="72"/>
        <v>9.1621693073465002E-5</v>
      </c>
      <c r="M483" s="284">
        <f t="shared" si="69"/>
        <v>1.0510404983571334E-4</v>
      </c>
    </row>
    <row r="484" spans="1:16" ht="15" customHeight="1" x14ac:dyDescent="0.25">
      <c r="A484" s="2" t="s">
        <v>917</v>
      </c>
      <c r="B484" s="2" t="s">
        <v>159</v>
      </c>
      <c r="C484" s="2" t="s">
        <v>736</v>
      </c>
      <c r="D484" s="2" t="s">
        <v>970</v>
      </c>
      <c r="E484" s="15" t="s">
        <v>975</v>
      </c>
      <c r="F484" s="319" t="s">
        <v>283</v>
      </c>
      <c r="G484" s="283">
        <f>opex_sources!H128/(opex_sources!H122+0*opex_sources!H128+0)</f>
        <v>0.57954545454545447</v>
      </c>
      <c r="H484" s="283">
        <f>opex_sources!H128/opex_sources!H128</f>
        <v>1</v>
      </c>
      <c r="I484" s="283">
        <f t="shared" si="70"/>
        <v>0.57954545454545447</v>
      </c>
      <c r="J484" s="284">
        <f>opex_orig!$AL$146</f>
        <v>3.0744996846169401E-5</v>
      </c>
      <c r="K484" s="284">
        <f t="shared" si="71"/>
        <v>1.7818123172211811E-5</v>
      </c>
      <c r="L484" s="284">
        <f t="shared" si="72"/>
        <v>1.7818123172211811E-5</v>
      </c>
      <c r="M484" s="284">
        <f t="shared" si="69"/>
        <v>2.0440103681225325E-5</v>
      </c>
    </row>
    <row r="485" spans="1:16" ht="15" customHeight="1" x14ac:dyDescent="0.25">
      <c r="A485" s="2" t="s">
        <v>917</v>
      </c>
      <c r="B485" s="2" t="s">
        <v>159</v>
      </c>
      <c r="C485" s="2" t="s">
        <v>736</v>
      </c>
      <c r="D485" s="2" t="s">
        <v>970</v>
      </c>
      <c r="E485" s="15" t="s">
        <v>975</v>
      </c>
      <c r="F485" s="319" t="s">
        <v>285</v>
      </c>
      <c r="G485" s="283">
        <f>opex_sources!H128/(opex_sources!H122+0*opex_sources!H128+0)</f>
        <v>0.57954545454545447</v>
      </c>
      <c r="H485" s="283">
        <f>opex_sources!H128/opex_sources!H128</f>
        <v>1</v>
      </c>
      <c r="I485" s="283">
        <f t="shared" si="70"/>
        <v>0.57954545454545447</v>
      </c>
      <c r="J485" s="284">
        <f>opex_orig!$AL$147</f>
        <v>3.9829477882566297E-5</v>
      </c>
      <c r="K485" s="284">
        <f t="shared" si="71"/>
        <v>2.3082992863760009E-5</v>
      </c>
      <c r="L485" s="284">
        <f t="shared" si="72"/>
        <v>2.3082992863760009E-5</v>
      </c>
      <c r="M485" s="284">
        <f t="shared" si="69"/>
        <v>2.6479711855626981E-5</v>
      </c>
    </row>
    <row r="486" spans="1:16" ht="15" customHeight="1" x14ac:dyDescent="0.25">
      <c r="A486" s="2" t="s">
        <v>917</v>
      </c>
      <c r="B486" s="2" t="s">
        <v>159</v>
      </c>
      <c r="C486" s="2" t="s">
        <v>736</v>
      </c>
      <c r="D486" s="2" t="s">
        <v>970</v>
      </c>
      <c r="E486" s="15" t="s">
        <v>975</v>
      </c>
      <c r="F486" s="319" t="s">
        <v>287</v>
      </c>
      <c r="G486" s="283">
        <f>opex_sources!H128/(opex_sources!H122+0*opex_sources!H128+0)</f>
        <v>0.57954545454545447</v>
      </c>
      <c r="H486" s="283">
        <f>opex_sources!H128/opex_sources!H128</f>
        <v>1</v>
      </c>
      <c r="I486" s="283">
        <f t="shared" si="70"/>
        <v>0.57954545454545447</v>
      </c>
      <c r="J486" s="284">
        <f>opex_orig!$AL$148</f>
        <v>9.0061005930271496E-5</v>
      </c>
      <c r="K486" s="284">
        <f t="shared" si="71"/>
        <v>5.2194446618680063E-5</v>
      </c>
      <c r="L486" s="284">
        <f t="shared" si="72"/>
        <v>5.2194446618680063E-5</v>
      </c>
      <c r="M486" s="284">
        <f t="shared" si="69"/>
        <v>5.9874987402366748E-5</v>
      </c>
    </row>
    <row r="487" spans="1:16" ht="15" customHeight="1" x14ac:dyDescent="0.25">
      <c r="A487" s="2" t="s">
        <v>917</v>
      </c>
      <c r="B487" s="2" t="s">
        <v>159</v>
      </c>
      <c r="C487" s="2" t="s">
        <v>736</v>
      </c>
      <c r="D487" s="2" t="s">
        <v>970</v>
      </c>
      <c r="E487" s="15" t="s">
        <v>975</v>
      </c>
      <c r="F487" s="319" t="s">
        <v>289</v>
      </c>
      <c r="G487" s="283">
        <f>opex_sources!H128/(opex_sources!H122+0*opex_sources!H128+0)</f>
        <v>0.57954545454545447</v>
      </c>
      <c r="H487" s="283">
        <f>opex_sources!H128/opex_sources!H128</f>
        <v>1</v>
      </c>
      <c r="I487" s="283">
        <f t="shared" si="70"/>
        <v>0.57954545454545447</v>
      </c>
      <c r="J487" s="284">
        <f>opex_orig!$AL$149</f>
        <v>7.73293616908977E-8</v>
      </c>
      <c r="K487" s="284">
        <f t="shared" si="71"/>
        <v>4.4815880070861159E-8</v>
      </c>
      <c r="L487" s="284">
        <f t="shared" si="72"/>
        <v>4.4815880070861159E-8</v>
      </c>
      <c r="M487" s="284">
        <f t="shared" si="69"/>
        <v>5.1410646697199333E-8</v>
      </c>
    </row>
    <row r="488" spans="1:16" ht="15" customHeight="1" x14ac:dyDescent="0.25">
      <c r="A488" s="2" t="s">
        <v>917</v>
      </c>
      <c r="B488" s="2" t="s">
        <v>159</v>
      </c>
      <c r="C488" s="2" t="s">
        <v>736</v>
      </c>
      <c r="D488" s="2" t="s">
        <v>970</v>
      </c>
      <c r="E488" s="15" t="s">
        <v>975</v>
      </c>
      <c r="F488" s="319" t="s">
        <v>291</v>
      </c>
      <c r="G488" s="283">
        <f>opex_sources!H128/(opex_sources!H122+0*opex_sources!H128+0)</f>
        <v>0.57954545454545447</v>
      </c>
      <c r="H488" s="283">
        <f>opex_sources!H128/opex_sources!H128</f>
        <v>1</v>
      </c>
      <c r="I488" s="283">
        <f t="shared" si="70"/>
        <v>0.57954545454545447</v>
      </c>
      <c r="J488" s="284">
        <f>opex_orig!$AL$150</f>
        <v>5.64176205479691E-8</v>
      </c>
      <c r="K488" s="284">
        <f t="shared" si="71"/>
        <v>3.2696575544845723E-8</v>
      </c>
      <c r="L488" s="284">
        <f t="shared" si="72"/>
        <v>3.2696575544845723E-8</v>
      </c>
      <c r="M488" s="284">
        <f t="shared" si="69"/>
        <v>3.7507956797601514E-8</v>
      </c>
    </row>
    <row r="489" spans="1:16" ht="15" customHeight="1" x14ac:dyDescent="0.25">
      <c r="A489" s="2" t="s">
        <v>917</v>
      </c>
      <c r="B489" s="2" t="s">
        <v>159</v>
      </c>
      <c r="C489" s="2" t="s">
        <v>736</v>
      </c>
      <c r="D489" s="2" t="s">
        <v>970</v>
      </c>
      <c r="E489" s="15" t="s">
        <v>975</v>
      </c>
      <c r="F489" s="319" t="s">
        <v>293</v>
      </c>
      <c r="G489" s="283">
        <f>opex_sources!H128/(opex_sources!H122+0*opex_sources!H128+0)</f>
        <v>0.57954545454545447</v>
      </c>
      <c r="H489" s="283">
        <f>opex_sources!H128/opex_sources!H128</f>
        <v>1</v>
      </c>
      <c r="I489" s="283">
        <f t="shared" si="70"/>
        <v>0.57954545454545447</v>
      </c>
      <c r="J489" s="284">
        <f>opex_orig!$AL$151</f>
        <v>5.9833910216383905E-4</v>
      </c>
      <c r="K489" s="284">
        <f t="shared" si="71"/>
        <v>3.4676470693586125E-4</v>
      </c>
      <c r="L489" s="284">
        <f t="shared" si="72"/>
        <v>3.4676470693586125E-4</v>
      </c>
      <c r="M489" s="284">
        <f t="shared" si="69"/>
        <v>3.9779198371535775E-4</v>
      </c>
    </row>
    <row r="490" spans="1:16" ht="15" customHeight="1" x14ac:dyDescent="0.25">
      <c r="A490" s="2" t="s">
        <v>917</v>
      </c>
      <c r="B490" s="2" t="s">
        <v>159</v>
      </c>
      <c r="C490" s="2" t="s">
        <v>736</v>
      </c>
      <c r="D490" s="2" t="s">
        <v>970</v>
      </c>
      <c r="E490" s="15" t="s">
        <v>404</v>
      </c>
      <c r="F490" s="240" t="s">
        <v>375</v>
      </c>
      <c r="G490" s="202">
        <f>opex_sources!H129/(opex_sources!H123+0*opex_sources!H129+0*opex_sources!H135)</f>
        <v>0.8522727272727274</v>
      </c>
      <c r="H490" s="202">
        <f>opex_sources!H129/opex_sources!H129</f>
        <v>1</v>
      </c>
      <c r="I490" s="202">
        <f t="shared" si="70"/>
        <v>0.8522727272727274</v>
      </c>
      <c r="J490" s="239">
        <f>opex_orig!$AL$172</f>
        <v>8.9656316685048101E-2</v>
      </c>
      <c r="K490" s="239">
        <f t="shared" si="71"/>
        <v>7.6411633538393281E-2</v>
      </c>
      <c r="L490" s="239">
        <f t="shared" si="72"/>
        <v>7.6411633538393281E-2</v>
      </c>
      <c r="M490" s="239">
        <f t="shared" si="69"/>
        <v>8.7655792749954095E-2</v>
      </c>
      <c r="N490" s="187">
        <f>opex_sources!H129</f>
        <v>0.28409090909090912</v>
      </c>
      <c r="O490" s="187">
        <f>L490/L$510</f>
        <v>0.10040458893916014</v>
      </c>
      <c r="P490" s="1" t="s">
        <v>404</v>
      </c>
    </row>
    <row r="491" spans="1:16" ht="15" customHeight="1" x14ac:dyDescent="0.25">
      <c r="A491" s="2" t="s">
        <v>917</v>
      </c>
      <c r="B491" s="2" t="s">
        <v>159</v>
      </c>
      <c r="C491" s="2" t="s">
        <v>736</v>
      </c>
      <c r="D491" s="2" t="s">
        <v>970</v>
      </c>
      <c r="E491" s="15" t="s">
        <v>335</v>
      </c>
      <c r="F491" s="336" t="s">
        <v>85</v>
      </c>
      <c r="G491" s="337">
        <f>opex_sources!H130/(opex_sources!H124+0*opex_sources!H130+0*opex_sources!H136)</f>
        <v>0.70155502392344493</v>
      </c>
      <c r="H491" s="337">
        <f>opex_sources!H130/opex_sources!H130</f>
        <v>1</v>
      </c>
      <c r="I491" s="337">
        <f t="shared" si="70"/>
        <v>0.70155502392344493</v>
      </c>
      <c r="J491" s="339">
        <f>opex_orig!$AL$33</f>
        <v>2.2176248757376602E-2</v>
      </c>
      <c r="K491" s="339">
        <f t="shared" si="71"/>
        <v>1.5557858727513607E-2</v>
      </c>
      <c r="L491" s="339">
        <f t="shared" si="72"/>
        <v>1.5557858727513607E-2</v>
      </c>
      <c r="M491" s="339">
        <f t="shared" si="69"/>
        <v>1.784723578205907E-2</v>
      </c>
      <c r="N491" s="187">
        <f>opex_sources!H130</f>
        <v>0.26136363636363635</v>
      </c>
      <c r="O491" s="187">
        <f>SUM(L491:L509)/L$510</f>
        <v>0.6112247422846725</v>
      </c>
      <c r="P491" s="1" t="s">
        <v>335</v>
      </c>
    </row>
    <row r="492" spans="1:16" ht="15" customHeight="1" x14ac:dyDescent="0.25">
      <c r="A492" s="2" t="s">
        <v>917</v>
      </c>
      <c r="B492" s="2" t="s">
        <v>159</v>
      </c>
      <c r="C492" s="2" t="s">
        <v>736</v>
      </c>
      <c r="D492" s="2" t="s">
        <v>970</v>
      </c>
      <c r="E492" s="15" t="s">
        <v>335</v>
      </c>
      <c r="F492" s="335" t="s">
        <v>87</v>
      </c>
      <c r="G492" s="338">
        <f>opex_sources!H130/(opex_sources!H124+0*opex_sources!H130+0*opex_sources!H136)</f>
        <v>0.70155502392344493</v>
      </c>
      <c r="H492" s="338">
        <f>opex_sources!H130/opex_sources!H130</f>
        <v>1</v>
      </c>
      <c r="I492" s="338">
        <f t="shared" si="70"/>
        <v>0.70155502392344493</v>
      </c>
      <c r="J492" s="340">
        <f>opex_orig!$AL$34</f>
        <v>6.4188829194859104E-2</v>
      </c>
      <c r="K492" s="340">
        <f t="shared" si="71"/>
        <v>4.5031995601417296E-2</v>
      </c>
      <c r="L492" s="340">
        <f t="shared" si="72"/>
        <v>4.5031995601417296E-2</v>
      </c>
      <c r="M492" s="340">
        <f t="shared" si="69"/>
        <v>5.1658564157921548E-2</v>
      </c>
    </row>
    <row r="493" spans="1:16" ht="15" customHeight="1" x14ac:dyDescent="0.25">
      <c r="A493" s="2" t="s">
        <v>917</v>
      </c>
      <c r="B493" s="2" t="s">
        <v>159</v>
      </c>
      <c r="C493" s="2" t="s">
        <v>736</v>
      </c>
      <c r="D493" s="2" t="s">
        <v>970</v>
      </c>
      <c r="E493" s="15" t="s">
        <v>335</v>
      </c>
      <c r="F493" s="328" t="s">
        <v>159</v>
      </c>
      <c r="G493" s="306">
        <f>opex_sources!H130/(opex_sources!H124+0*opex_sources!H130+0*opex_sources!H136)</f>
        <v>0.70155502392344493</v>
      </c>
      <c r="H493" s="306">
        <f>opex_sources!H130/(opex_sources!H126+opex_sources!H130)</f>
        <v>0.58974358974358976</v>
      </c>
      <c r="I493" s="306">
        <f t="shared" si="70"/>
        <v>0.41373757821126239</v>
      </c>
      <c r="J493" s="305">
        <f>opex_orig!$AL$70</f>
        <v>0.14937267828621301</v>
      </c>
      <c r="K493" s="286">
        <f>J493*I493+L457</f>
        <v>0.15271018107415871</v>
      </c>
      <c r="L493" s="286">
        <f>K493-L457</f>
        <v>6.1801090165067796E-2</v>
      </c>
      <c r="M493" s="305">
        <f t="shared" si="69"/>
        <v>0.1751818586147437</v>
      </c>
    </row>
    <row r="494" spans="1:16" ht="15" customHeight="1" x14ac:dyDescent="0.25">
      <c r="A494" s="2" t="s">
        <v>917</v>
      </c>
      <c r="B494" s="2" t="s">
        <v>159</v>
      </c>
      <c r="C494" s="2" t="s">
        <v>736</v>
      </c>
      <c r="D494" s="2" t="s">
        <v>970</v>
      </c>
      <c r="E494" s="15" t="s">
        <v>335</v>
      </c>
      <c r="F494" s="253" t="s">
        <v>161</v>
      </c>
      <c r="G494" s="251">
        <f>opex_sources!H130/(opex_sources!H124+0*opex_sources!H130+0*opex_sources!H136)</f>
        <v>0.70155502392344493</v>
      </c>
      <c r="H494" s="251">
        <f>opex_sources!H130/opex_sources!H130</f>
        <v>1</v>
      </c>
      <c r="I494" s="251">
        <f t="shared" si="70"/>
        <v>0.70155502392344493</v>
      </c>
      <c r="J494" s="254">
        <f>opex_orig!$AL$71</f>
        <v>2.8877782298888401E-2</v>
      </c>
      <c r="K494" s="254">
        <f t="shared" si="71"/>
        <v>2.0259353251552686E-2</v>
      </c>
      <c r="L494" s="254">
        <f t="shared" si="72"/>
        <v>2.0259353251552686E-2</v>
      </c>
      <c r="M494" s="254">
        <f t="shared" si="69"/>
        <v>2.3240566751840597E-2</v>
      </c>
    </row>
    <row r="495" spans="1:16" ht="15" customHeight="1" x14ac:dyDescent="0.25">
      <c r="A495" s="2" t="s">
        <v>917</v>
      </c>
      <c r="B495" s="2" t="s">
        <v>159</v>
      </c>
      <c r="C495" s="2" t="s">
        <v>736</v>
      </c>
      <c r="D495" s="2" t="s">
        <v>970</v>
      </c>
      <c r="E495" s="15" t="s">
        <v>335</v>
      </c>
      <c r="F495" s="252" t="s">
        <v>163</v>
      </c>
      <c r="G495" s="195">
        <f>opex_sources!H130/(opex_sources!H124+0*opex_sources!H130+0*opex_sources!H136)</f>
        <v>0.70155502392344493</v>
      </c>
      <c r="H495" s="195">
        <f>opex_sources!H130/opex_sources!H130</f>
        <v>1</v>
      </c>
      <c r="I495" s="195">
        <f t="shared" si="70"/>
        <v>0.70155502392344493</v>
      </c>
      <c r="J495" s="219">
        <f>opex_orig!$AL$72</f>
        <v>6.7832194266020995E-2</v>
      </c>
      <c r="K495" s="219">
        <f t="shared" si="71"/>
        <v>4.7588016671078121E-2</v>
      </c>
      <c r="L495" s="219">
        <f t="shared" si="72"/>
        <v>4.7588016671078121E-2</v>
      </c>
      <c r="M495" s="219">
        <f t="shared" si="69"/>
        <v>5.4590709994512397E-2</v>
      </c>
    </row>
    <row r="496" spans="1:16" ht="15" customHeight="1" x14ac:dyDescent="0.25">
      <c r="A496" s="2" t="s">
        <v>917</v>
      </c>
      <c r="B496" s="2" t="s">
        <v>159</v>
      </c>
      <c r="C496" s="2" t="s">
        <v>736</v>
      </c>
      <c r="D496" s="2" t="s">
        <v>970</v>
      </c>
      <c r="E496" s="15" t="s">
        <v>335</v>
      </c>
      <c r="F496" s="222" t="s">
        <v>191</v>
      </c>
      <c r="G496" s="223">
        <f>opex_sources!H130/(opex_sources!H124+0*opex_sources!H130+0*opex_sources!H136)</f>
        <v>0.70155502392344493</v>
      </c>
      <c r="H496" s="223">
        <f>opex_sources!H130/opex_sources!H130</f>
        <v>1</v>
      </c>
      <c r="I496" s="223">
        <f t="shared" si="70"/>
        <v>0.70155502392344493</v>
      </c>
      <c r="J496" s="341">
        <f>opex_orig!$AL$86</f>
        <v>1.06613766790528E-2</v>
      </c>
      <c r="K496" s="341">
        <f t="shared" si="71"/>
        <v>7.4795423711297455E-3</v>
      </c>
      <c r="L496" s="341">
        <f t="shared" si="72"/>
        <v>7.4795423711297455E-3</v>
      </c>
      <c r="M496" s="341">
        <f t="shared" si="69"/>
        <v>8.5801753684382129E-3</v>
      </c>
    </row>
    <row r="497" spans="1:16" ht="15" customHeight="1" x14ac:dyDescent="0.25">
      <c r="A497" s="2" t="s">
        <v>917</v>
      </c>
      <c r="B497" s="2" t="s">
        <v>159</v>
      </c>
      <c r="C497" s="2" t="s">
        <v>736</v>
      </c>
      <c r="D497" s="2" t="s">
        <v>970</v>
      </c>
      <c r="E497" s="15" t="s">
        <v>335</v>
      </c>
      <c r="F497" s="199" t="s">
        <v>193</v>
      </c>
      <c r="G497" s="200">
        <f>opex_sources!H130/(opex_sources!H124+0*opex_sources!H130+0*opex_sources!H136)</f>
        <v>0.70155502392344493</v>
      </c>
      <c r="H497" s="200">
        <f>opex_sources!H130/opex_sources!H130</f>
        <v>1</v>
      </c>
      <c r="I497" s="200">
        <f t="shared" si="70"/>
        <v>0.70155502392344493</v>
      </c>
      <c r="J497" s="342">
        <f>opex_orig!$AL$87</f>
        <v>4.42024715405148E-2</v>
      </c>
      <c r="K497" s="342">
        <f t="shared" si="71"/>
        <v>3.1010465979081255E-2</v>
      </c>
      <c r="L497" s="342">
        <f t="shared" si="72"/>
        <v>3.1010465979081255E-2</v>
      </c>
      <c r="M497" s="342">
        <f t="shared" si="69"/>
        <v>3.557373207544446E-2</v>
      </c>
    </row>
    <row r="498" spans="1:16" ht="15" customHeight="1" x14ac:dyDescent="0.25">
      <c r="A498" s="2" t="s">
        <v>917</v>
      </c>
      <c r="B498" s="2" t="s">
        <v>159</v>
      </c>
      <c r="C498" s="2" t="s">
        <v>736</v>
      </c>
      <c r="D498" s="2" t="s">
        <v>970</v>
      </c>
      <c r="E498" s="15" t="s">
        <v>335</v>
      </c>
      <c r="F498" s="209" t="s">
        <v>203</v>
      </c>
      <c r="G498" s="210">
        <f>opex_sources!H130/(opex_sources!H124+0*opex_sources!H130+0*opex_sources!H136)</f>
        <v>0.70155502392344493</v>
      </c>
      <c r="H498" s="210">
        <f>opex_sources!H130/opex_sources!H130</f>
        <v>1</v>
      </c>
      <c r="I498" s="210">
        <f t="shared" si="70"/>
        <v>0.70155502392344493</v>
      </c>
      <c r="J498" s="343">
        <f>opex_orig!$AL$92</f>
        <v>1.4551002917508601E-2</v>
      </c>
      <c r="K498" s="343">
        <f t="shared" si="71"/>
        <v>1.0208329199902864E-2</v>
      </c>
      <c r="L498" s="343">
        <f t="shared" si="72"/>
        <v>1.0208329199902864E-2</v>
      </c>
      <c r="M498" s="343">
        <f t="shared" si="69"/>
        <v>1.1710509869159979E-2</v>
      </c>
    </row>
    <row r="499" spans="1:16" ht="15" customHeight="1" x14ac:dyDescent="0.25">
      <c r="A499" s="2" t="s">
        <v>917</v>
      </c>
      <c r="B499" s="2" t="s">
        <v>159</v>
      </c>
      <c r="C499" s="2" t="s">
        <v>736</v>
      </c>
      <c r="D499" s="2" t="s">
        <v>970</v>
      </c>
      <c r="E499" s="15" t="s">
        <v>335</v>
      </c>
      <c r="F499" s="294" t="s">
        <v>223</v>
      </c>
      <c r="G499" s="295">
        <f>opex_sources!H130/(opex_sources!H124+0*opex_sources!H130+0*opex_sources!H136)</f>
        <v>0.70155502392344493</v>
      </c>
      <c r="H499" s="295">
        <f>opex_sources!H130/opex_sources!H130</f>
        <v>1</v>
      </c>
      <c r="I499" s="295">
        <f t="shared" si="70"/>
        <v>0.70155502392344493</v>
      </c>
      <c r="J499" s="296">
        <f>opex_orig!$AL$116</f>
        <v>6.2928505605343004E-3</v>
      </c>
      <c r="K499" s="296">
        <f t="shared" si="71"/>
        <v>4.4147809255423052E-3</v>
      </c>
      <c r="L499" s="296">
        <f t="shared" si="72"/>
        <v>4.4147809255423052E-3</v>
      </c>
      <c r="M499" s="296">
        <f t="shared" si="69"/>
        <v>5.0644267623377905E-3</v>
      </c>
    </row>
    <row r="500" spans="1:16" ht="15" customHeight="1" x14ac:dyDescent="0.25">
      <c r="A500" s="2" t="s">
        <v>917</v>
      </c>
      <c r="B500" s="2" t="s">
        <v>159</v>
      </c>
      <c r="C500" s="2" t="s">
        <v>736</v>
      </c>
      <c r="D500" s="2" t="s">
        <v>970</v>
      </c>
      <c r="E500" s="15" t="s">
        <v>335</v>
      </c>
      <c r="F500" s="258" t="s">
        <v>227</v>
      </c>
      <c r="G500" s="237">
        <f>opex_sources!H130/(opex_sources!H124+0*opex_sources!H130+0*opex_sources!H136)</f>
        <v>0.70155502392344493</v>
      </c>
      <c r="H500" s="237">
        <f>opex_sources!H130/opex_sources!H130</f>
        <v>1</v>
      </c>
      <c r="I500" s="237">
        <f t="shared" si="70"/>
        <v>0.70155502392344493</v>
      </c>
      <c r="J500" s="238">
        <f>opex_orig!$AL$118</f>
        <v>8.7274057296664997E-3</v>
      </c>
      <c r="K500" s="238">
        <f t="shared" si="71"/>
        <v>6.1227553354657911E-3</v>
      </c>
      <c r="L500" s="238">
        <f t="shared" si="72"/>
        <v>6.1227553354657911E-3</v>
      </c>
      <c r="M500" s="238">
        <f t="shared" si="69"/>
        <v>7.0237337940773237E-3</v>
      </c>
    </row>
    <row r="501" spans="1:16" ht="15" customHeight="1" x14ac:dyDescent="0.25">
      <c r="A501" s="2" t="s">
        <v>917</v>
      </c>
      <c r="B501" s="2" t="s">
        <v>159</v>
      </c>
      <c r="C501" s="2" t="s">
        <v>736</v>
      </c>
      <c r="D501" s="2" t="s">
        <v>970</v>
      </c>
      <c r="E501" s="15" t="s">
        <v>335</v>
      </c>
      <c r="F501" s="264" t="s">
        <v>231</v>
      </c>
      <c r="G501" s="230">
        <f>opex_sources!H130/(opex_sources!H124+0*opex_sources!H130+0*opex_sources!H136)</f>
        <v>0.70155502392344493</v>
      </c>
      <c r="H501" s="230">
        <f>opex_sources!H130/opex_sources!H130</f>
        <v>1</v>
      </c>
      <c r="I501" s="230">
        <f t="shared" si="70"/>
        <v>0.70155502392344493</v>
      </c>
      <c r="J501" s="231">
        <f>opex_orig!$AL$120</f>
        <v>3.8934471268083401E-2</v>
      </c>
      <c r="K501" s="231">
        <f t="shared" si="71"/>
        <v>2.7314673921926928E-2</v>
      </c>
      <c r="L501" s="231">
        <f t="shared" si="72"/>
        <v>2.7314673921926928E-2</v>
      </c>
      <c r="M501" s="231">
        <f t="shared" si="69"/>
        <v>3.1334095156203987E-2</v>
      </c>
    </row>
    <row r="502" spans="1:16" ht="15" customHeight="1" x14ac:dyDescent="0.25">
      <c r="A502" s="2" t="s">
        <v>917</v>
      </c>
      <c r="B502" s="2" t="s">
        <v>159</v>
      </c>
      <c r="C502" s="2" t="s">
        <v>736</v>
      </c>
      <c r="D502" s="2" t="s">
        <v>970</v>
      </c>
      <c r="E502" s="15" t="s">
        <v>335</v>
      </c>
      <c r="F502" s="281" t="s">
        <v>233</v>
      </c>
      <c r="G502" s="289">
        <f>opex_sources!H130/(opex_sources!H124+0*opex_sources!H130+0*opex_sources!H136)</f>
        <v>0.70155502392344493</v>
      </c>
      <c r="H502" s="289">
        <f>opex_sources!H130/opex_sources!H130</f>
        <v>1</v>
      </c>
      <c r="I502" s="289">
        <f t="shared" si="70"/>
        <v>0.70155502392344493</v>
      </c>
      <c r="J502" s="226">
        <f>opex_orig!$AL$121</f>
        <v>1.16259332753585E-2</v>
      </c>
      <c r="K502" s="226">
        <f t="shared" si="71"/>
        <v>8.1562318971265067E-3</v>
      </c>
      <c r="L502" s="226">
        <f t="shared" si="72"/>
        <v>8.1562318971265067E-3</v>
      </c>
      <c r="M502" s="226">
        <f t="shared" si="69"/>
        <v>9.3564414172072567E-3</v>
      </c>
    </row>
    <row r="503" spans="1:16" ht="15" customHeight="1" x14ac:dyDescent="0.25">
      <c r="A503" s="2" t="s">
        <v>917</v>
      </c>
      <c r="B503" s="2" t="s">
        <v>159</v>
      </c>
      <c r="C503" s="2" t="s">
        <v>736</v>
      </c>
      <c r="D503" s="2" t="s">
        <v>970</v>
      </c>
      <c r="E503" s="15" t="s">
        <v>335</v>
      </c>
      <c r="F503" s="191" t="s">
        <v>239</v>
      </c>
      <c r="G503" s="192">
        <f>opex_sources!H130/(opex_sources!H124+0*opex_sources!H130+0*opex_sources!H136)</f>
        <v>0.70155502392344493</v>
      </c>
      <c r="H503" s="192">
        <f>opex_sources!H130/opex_sources!H130</f>
        <v>1</v>
      </c>
      <c r="I503" s="192">
        <f t="shared" si="70"/>
        <v>0.70155502392344493</v>
      </c>
      <c r="J503" s="217">
        <f>opex_orig!$AL$124</f>
        <v>1.06413366651971E-2</v>
      </c>
      <c r="K503" s="217">
        <f t="shared" si="71"/>
        <v>7.4654831987297828E-3</v>
      </c>
      <c r="L503" s="217">
        <f t="shared" si="72"/>
        <v>7.4654831987297828E-3</v>
      </c>
      <c r="M503" s="217">
        <f t="shared" si="69"/>
        <v>8.5640473543510936E-3</v>
      </c>
    </row>
    <row r="504" spans="1:16" ht="15" customHeight="1" x14ac:dyDescent="0.25">
      <c r="A504" s="2" t="s">
        <v>917</v>
      </c>
      <c r="B504" s="2" t="s">
        <v>159</v>
      </c>
      <c r="C504" s="2" t="s">
        <v>736</v>
      </c>
      <c r="D504" s="2" t="s">
        <v>970</v>
      </c>
      <c r="E504" s="15" t="s">
        <v>335</v>
      </c>
      <c r="F504" s="255" t="s">
        <v>249</v>
      </c>
      <c r="G504" s="256">
        <f>opex_sources!H130/(opex_sources!H124+0*opex_sources!H130+0*opex_sources!H136)</f>
        <v>0.70155502392344493</v>
      </c>
      <c r="H504" s="256">
        <f>opex_sources!H130/(opex_sources!H126+opex_sources!H130)</f>
        <v>0.58974358974358976</v>
      </c>
      <c r="I504" s="256">
        <f t="shared" si="70"/>
        <v>0.41373757821126239</v>
      </c>
      <c r="J504" s="257">
        <f>opex_orig!$AL$129</f>
        <v>4.8979815221200297E-2</v>
      </c>
      <c r="K504" s="286">
        <f>J504*I504+L458</f>
        <v>0.11117388103994545</v>
      </c>
      <c r="L504" s="286">
        <f>K504-L458</f>
        <v>2.026479013085454E-2</v>
      </c>
      <c r="M504" s="257">
        <f>K504/$K$510*$J$510</f>
        <v>0.12753339019704485</v>
      </c>
    </row>
    <row r="505" spans="1:16" ht="15" customHeight="1" x14ac:dyDescent="0.25">
      <c r="A505" s="2" t="s">
        <v>917</v>
      </c>
      <c r="B505" s="2" t="s">
        <v>159</v>
      </c>
      <c r="C505" s="2" t="s">
        <v>736</v>
      </c>
      <c r="D505" s="2" t="s">
        <v>970</v>
      </c>
      <c r="E505" s="15" t="s">
        <v>335</v>
      </c>
      <c r="F505" s="322" t="s">
        <v>253</v>
      </c>
      <c r="G505" s="301">
        <f>opex_sources!H130/(opex_sources!H124+0*opex_sources!H130+0*opex_sources!H136)</f>
        <v>0.70155502392344493</v>
      </c>
      <c r="H505" s="301">
        <f>opex_sources!H130/opex_sources!H130</f>
        <v>1</v>
      </c>
      <c r="I505" s="301">
        <f t="shared" si="70"/>
        <v>0.70155502392344493</v>
      </c>
      <c r="J505" s="302">
        <f>opex_orig!$AL$131</f>
        <v>5.3180374349479304E-3</v>
      </c>
      <c r="K505" s="302">
        <f t="shared" si="71"/>
        <v>3.7308958799006711E-3</v>
      </c>
      <c r="L505" s="302">
        <f t="shared" si="72"/>
        <v>3.7308958799006711E-3</v>
      </c>
      <c r="M505" s="302">
        <f t="shared" si="69"/>
        <v>4.2799063555670645E-3</v>
      </c>
    </row>
    <row r="506" spans="1:16" ht="15" customHeight="1" x14ac:dyDescent="0.25">
      <c r="A506" s="2" t="s">
        <v>917</v>
      </c>
      <c r="B506" s="2" t="s">
        <v>159</v>
      </c>
      <c r="C506" s="2" t="s">
        <v>736</v>
      </c>
      <c r="D506" s="2" t="s">
        <v>970</v>
      </c>
      <c r="E506" s="15" t="s">
        <v>335</v>
      </c>
      <c r="F506" s="290" t="s">
        <v>267</v>
      </c>
      <c r="G506" s="198">
        <f>opex_sources!H130/(opex_sources!H124+0*opex_sources!H130+0*opex_sources!H136)</f>
        <v>0.70155502392344493</v>
      </c>
      <c r="H506" s="198">
        <f>opex_sources!H130/opex_sources!H130</f>
        <v>1</v>
      </c>
      <c r="I506" s="198">
        <f t="shared" si="70"/>
        <v>0.70155502392344493</v>
      </c>
      <c r="J506" s="208">
        <f>opex_orig!$AL$138</f>
        <v>1.7195063170659601E-2</v>
      </c>
      <c r="K506" s="208">
        <f t="shared" si="71"/>
        <v>1.2063282954057243E-2</v>
      </c>
      <c r="L506" s="208">
        <f t="shared" si="72"/>
        <v>1.2063282954057243E-2</v>
      </c>
      <c r="M506" s="208">
        <f>K506/$K$510*$J$510</f>
        <v>1.3838424615979361E-2</v>
      </c>
    </row>
    <row r="507" spans="1:16" ht="15" customHeight="1" x14ac:dyDescent="0.25">
      <c r="A507" s="2" t="s">
        <v>917</v>
      </c>
      <c r="B507" s="2" t="s">
        <v>159</v>
      </c>
      <c r="C507" s="2" t="s">
        <v>736</v>
      </c>
      <c r="D507" s="2" t="s">
        <v>970</v>
      </c>
      <c r="E507" s="15" t="s">
        <v>335</v>
      </c>
      <c r="F507" s="241" t="s">
        <v>372</v>
      </c>
      <c r="G507" s="203">
        <f>opex_sources!H130/(opex_sources!H124+0*opex_sources!H130+0*opex_sources!H136)</f>
        <v>0.70155502392344493</v>
      </c>
      <c r="H507" s="203">
        <f>opex_sources!H130/opex_sources!H130</f>
        <v>1</v>
      </c>
      <c r="I507" s="203">
        <f t="shared" si="70"/>
        <v>0.70155502392344493</v>
      </c>
      <c r="J507" s="227">
        <f>opex_orig!$AL$169</f>
        <v>1.05295467349773E-2</v>
      </c>
      <c r="K507" s="227">
        <f t="shared" si="71"/>
        <v>7.3870564115600312E-3</v>
      </c>
      <c r="L507" s="227">
        <f t="shared" si="72"/>
        <v>7.3870564115600312E-3</v>
      </c>
      <c r="M507" s="227">
        <f t="shared" si="69"/>
        <v>8.4740798731724274E-3</v>
      </c>
    </row>
    <row r="508" spans="1:16" ht="15" customHeight="1" x14ac:dyDescent="0.25">
      <c r="A508" s="2" t="s">
        <v>917</v>
      </c>
      <c r="B508" s="2" t="s">
        <v>159</v>
      </c>
      <c r="C508" s="2" t="s">
        <v>736</v>
      </c>
      <c r="D508" s="2" t="s">
        <v>970</v>
      </c>
      <c r="E508" s="15" t="s">
        <v>335</v>
      </c>
      <c r="F508" s="241" t="s">
        <v>373</v>
      </c>
      <c r="G508" s="203">
        <f>opex_sources!H130/(opex_sources!H124+0*opex_sources!H130+0*opex_sources!H136)</f>
        <v>0.70155502392344493</v>
      </c>
      <c r="H508" s="203">
        <f>opex_sources!H130/opex_sources!H130</f>
        <v>1</v>
      </c>
      <c r="I508" s="203">
        <f t="shared" si="70"/>
        <v>0.70155502392344493</v>
      </c>
      <c r="J508" s="227">
        <f>opex_orig!$AL$170</f>
        <v>0.101711858375403</v>
      </c>
      <c r="K508" s="227">
        <f t="shared" si="71"/>
        <v>7.13564652358539E-2</v>
      </c>
      <c r="L508" s="227">
        <f t="shared" si="72"/>
        <v>7.13564652358539E-2</v>
      </c>
      <c r="M508" s="227">
        <f t="shared" si="69"/>
        <v>8.1856744038073276E-2</v>
      </c>
    </row>
    <row r="509" spans="1:16" ht="15" customHeight="1" x14ac:dyDescent="0.25">
      <c r="A509" s="2" t="s">
        <v>917</v>
      </c>
      <c r="B509" s="2" t="s">
        <v>159</v>
      </c>
      <c r="C509" s="2" t="s">
        <v>736</v>
      </c>
      <c r="D509" s="2" t="s">
        <v>970</v>
      </c>
      <c r="E509" s="15" t="s">
        <v>335</v>
      </c>
      <c r="F509" s="241" t="s">
        <v>374</v>
      </c>
      <c r="G509" s="203">
        <f>opex_sources!H130/(opex_sources!H124+0*opex_sources!H130+0*opex_sources!H136)</f>
        <v>0.70155502392344493</v>
      </c>
      <c r="H509" s="203">
        <f>opex_sources!H130/opex_sources!H130</f>
        <v>1</v>
      </c>
      <c r="I509" s="203">
        <f t="shared" si="70"/>
        <v>0.70155502392344493</v>
      </c>
      <c r="J509" s="227">
        <f>opex_orig!$AL$171</f>
        <v>8.26046924153198E-2</v>
      </c>
      <c r="K509" s="227">
        <f t="shared" si="71"/>
        <v>5.7951736963618494E-2</v>
      </c>
      <c r="L509" s="227">
        <f t="shared" si="72"/>
        <v>5.7951736963618494E-2</v>
      </c>
      <c r="M509" s="227">
        <f>K509/$K$510*$J$510</f>
        <v>6.6479477136559731E-2</v>
      </c>
    </row>
    <row r="510" spans="1:16" ht="15" customHeight="1" x14ac:dyDescent="0.25">
      <c r="A510" s="2" t="s">
        <v>917</v>
      </c>
      <c r="B510" s="24" t="s">
        <v>159</v>
      </c>
      <c r="C510" s="24" t="s">
        <v>736</v>
      </c>
      <c r="D510" s="24" t="s">
        <v>970</v>
      </c>
      <c r="E510" s="31" t="s">
        <v>346</v>
      </c>
      <c r="F510" s="19"/>
      <c r="G510" s="184"/>
      <c r="H510" s="184"/>
      <c r="I510" s="184"/>
      <c r="J510" s="221">
        <f>SUM(J457:J492,J494:J503,J505:J509)</f>
        <v>0.87302576183115332</v>
      </c>
      <c r="K510" s="221">
        <f>SUM(K457:K492,K494:K503,K505:K509)</f>
        <v>0.76103726279577377</v>
      </c>
      <c r="L510" s="221">
        <f>SUM(L457:L509)</f>
        <v>0.76103726279577399</v>
      </c>
      <c r="M510" s="221">
        <f>SUM(M457:M492,M494:M503,M505:M509)</f>
        <v>0.87302576183115355</v>
      </c>
      <c r="N510" s="277">
        <f>SUM(N457:N509)</f>
        <v>1</v>
      </c>
      <c r="O510" s="277">
        <f>SUM(O457:O509)</f>
        <v>0.99999999999999978</v>
      </c>
    </row>
    <row r="511" spans="1:16" ht="15" customHeight="1" x14ac:dyDescent="0.25">
      <c r="A511" s="2" t="s">
        <v>917</v>
      </c>
      <c r="B511" s="2" t="s">
        <v>159</v>
      </c>
      <c r="C511" s="2" t="s">
        <v>744</v>
      </c>
      <c r="D511" s="2" t="s">
        <v>742</v>
      </c>
      <c r="E511" s="288" t="s">
        <v>967</v>
      </c>
      <c r="F511" s="328" t="s">
        <v>159</v>
      </c>
      <c r="G511" s="306"/>
      <c r="H511" s="306">
        <f>opex_sources!H132/(opex_sources!H132+opex_sources!H136)</f>
        <v>0.26829268292682928</v>
      </c>
      <c r="I511" s="306"/>
      <c r="J511" s="305">
        <f>opex_orig!$AL$70</f>
        <v>0.14937267828621301</v>
      </c>
      <c r="K511" s="286">
        <f>J511*I547+L511</f>
        <v>0.13120450746472398</v>
      </c>
      <c r="L511" s="287">
        <f>opex_sources!$H$132*$H511/SUM($H$511:$H$512)</f>
        <v>5.0458715596330278E-2</v>
      </c>
      <c r="M511" s="305">
        <f t="shared" ref="M511:M542" si="73">K511/$K$564*$J$564</f>
        <v>0.15685206704023794</v>
      </c>
      <c r="N511" s="187">
        <f>opex_sources!H132</f>
        <v>0.10091743119266056</v>
      </c>
      <c r="O511" s="187">
        <f>SUM(L511:L512)/L$564</f>
        <v>0.13819127345114884</v>
      </c>
      <c r="P511" s="1" t="s">
        <v>967</v>
      </c>
    </row>
    <row r="512" spans="1:16" ht="15" customHeight="1" x14ac:dyDescent="0.25">
      <c r="A512" s="2" t="s">
        <v>917</v>
      </c>
      <c r="B512" s="2" t="s">
        <v>159</v>
      </c>
      <c r="C512" s="2" t="s">
        <v>744</v>
      </c>
      <c r="D512" s="2" t="s">
        <v>742</v>
      </c>
      <c r="E512" s="288" t="s">
        <v>967</v>
      </c>
      <c r="F512" s="255" t="s">
        <v>249</v>
      </c>
      <c r="G512" s="256"/>
      <c r="H512" s="256">
        <f>opex_sources!H132/(opex_sources!H132+opex_sources!H136)</f>
        <v>0.26829268292682928</v>
      </c>
      <c r="I512" s="256"/>
      <c r="J512" s="257">
        <f>opex_orig!$AL$129</f>
        <v>4.8979815221200297E-2</v>
      </c>
      <c r="K512" s="286">
        <f>J512*I558+L512</f>
        <v>7.6935538606930712E-2</v>
      </c>
      <c r="L512" s="287">
        <f>opex_sources!$H$132*$H512/SUM($H$511:$H$512)</f>
        <v>5.0458715596330278E-2</v>
      </c>
      <c r="M512" s="257">
        <f t="shared" si="73"/>
        <v>9.1974723220508356E-2</v>
      </c>
    </row>
    <row r="513" spans="1:16" ht="15" customHeight="1" x14ac:dyDescent="0.25">
      <c r="A513" s="2" t="s">
        <v>917</v>
      </c>
      <c r="B513" s="2" t="s">
        <v>159</v>
      </c>
      <c r="C513" s="2" t="s">
        <v>744</v>
      </c>
      <c r="D513" s="2" t="s">
        <v>742</v>
      </c>
      <c r="E513" s="15" t="s">
        <v>836</v>
      </c>
      <c r="F513" s="259" t="s">
        <v>2</v>
      </c>
      <c r="G513" s="260">
        <f>opex_sources!H133/(opex_sources!H121+0*opex_sources!H127+0*opex_sources!H133)</f>
        <v>2.2874617737003056</v>
      </c>
      <c r="H513" s="260">
        <f>opex_sources!H133/opex_sources!H133</f>
        <v>1</v>
      </c>
      <c r="I513" s="260">
        <f t="shared" ref="I513:I563" si="74">G513*H513</f>
        <v>2.2874617737003056</v>
      </c>
      <c r="J513" s="261">
        <f>opex_orig!$AL$97</f>
        <v>8.51974436228768E-3</v>
      </c>
      <c r="K513" s="261">
        <f t="shared" ref="K513:K563" si="75">J513*I513</f>
        <v>1.9488589550431756E-2</v>
      </c>
      <c r="L513" s="261">
        <f t="shared" ref="L513:L563" si="76">K513*H513</f>
        <v>1.9488589550431756E-2</v>
      </c>
      <c r="M513" s="261">
        <f t="shared" si="73"/>
        <v>2.3298174839807766E-2</v>
      </c>
      <c r="N513" s="187">
        <f>opex_sources!H133</f>
        <v>0.40366972477064222</v>
      </c>
      <c r="O513" s="187">
        <f>SUM(L513:L528)/L$564</f>
        <v>8.146002037689952E-2</v>
      </c>
      <c r="P513" s="1" t="s">
        <v>836</v>
      </c>
    </row>
    <row r="514" spans="1:16" ht="15" customHeight="1" x14ac:dyDescent="0.25">
      <c r="A514" s="2" t="s">
        <v>917</v>
      </c>
      <c r="B514" s="2" t="s">
        <v>159</v>
      </c>
      <c r="C514" s="2" t="s">
        <v>744</v>
      </c>
      <c r="D514" s="2" t="s">
        <v>742</v>
      </c>
      <c r="E514" s="15" t="s">
        <v>836</v>
      </c>
      <c r="F514" s="259" t="s">
        <v>4</v>
      </c>
      <c r="G514" s="260">
        <f>opex_sources!H133/(opex_sources!H121+0*opex_sources!H127+0*opex_sources!H133)</f>
        <v>2.2874617737003056</v>
      </c>
      <c r="H514" s="260">
        <f>opex_sources!H133/opex_sources!H133</f>
        <v>1</v>
      </c>
      <c r="I514" s="260">
        <f t="shared" si="74"/>
        <v>2.2874617737003056</v>
      </c>
      <c r="J514" s="261">
        <f>opex_orig!$AL$98</f>
        <v>5.0144068549209901E-5</v>
      </c>
      <c r="K514" s="261">
        <f t="shared" si="75"/>
        <v>1.1470263998412539E-4</v>
      </c>
      <c r="L514" s="261">
        <f t="shared" si="76"/>
        <v>1.1470263998412539E-4</v>
      </c>
      <c r="M514" s="261">
        <f t="shared" si="73"/>
        <v>1.3712445192722909E-4</v>
      </c>
    </row>
    <row r="515" spans="1:16" ht="15" customHeight="1" x14ac:dyDescent="0.25">
      <c r="A515" s="2" t="s">
        <v>917</v>
      </c>
      <c r="B515" s="2" t="s">
        <v>159</v>
      </c>
      <c r="C515" s="2" t="s">
        <v>744</v>
      </c>
      <c r="D515" s="2" t="s">
        <v>742</v>
      </c>
      <c r="E515" s="15" t="s">
        <v>836</v>
      </c>
      <c r="F515" s="259" t="s">
        <v>6</v>
      </c>
      <c r="G515" s="260">
        <f>opex_sources!H133/(opex_sources!H121+0*opex_sources!H127+0*opex_sources!H133)</f>
        <v>2.2874617737003056</v>
      </c>
      <c r="H515" s="260">
        <f>opex_sources!H133/opex_sources!H133</f>
        <v>1</v>
      </c>
      <c r="I515" s="260">
        <f t="shared" si="74"/>
        <v>2.2874617737003056</v>
      </c>
      <c r="J515" s="261">
        <f>opex_orig!$AL$99</f>
        <v>6.5666744549239204E-3</v>
      </c>
      <c r="K515" s="261">
        <f t="shared" si="75"/>
        <v>1.5021016795972758E-2</v>
      </c>
      <c r="L515" s="261">
        <f t="shared" si="76"/>
        <v>1.5021016795972758E-2</v>
      </c>
      <c r="M515" s="261">
        <f t="shared" si="73"/>
        <v>1.7957291094804203E-2</v>
      </c>
    </row>
    <row r="516" spans="1:16" ht="15" customHeight="1" x14ac:dyDescent="0.25">
      <c r="A516" s="2" t="s">
        <v>917</v>
      </c>
      <c r="B516" s="2" t="s">
        <v>159</v>
      </c>
      <c r="C516" s="2" t="s">
        <v>744</v>
      </c>
      <c r="D516" s="2" t="s">
        <v>742</v>
      </c>
      <c r="E516" s="15" t="s">
        <v>836</v>
      </c>
      <c r="F516" s="259" t="s">
        <v>8</v>
      </c>
      <c r="G516" s="260">
        <f>opex_sources!H133/(opex_sources!H121+0*opex_sources!H127+0*opex_sources!H133)</f>
        <v>2.2874617737003056</v>
      </c>
      <c r="H516" s="260">
        <f>opex_sources!H133/opex_sources!H133</f>
        <v>1</v>
      </c>
      <c r="I516" s="260">
        <f t="shared" si="74"/>
        <v>2.2874617737003056</v>
      </c>
      <c r="J516" s="261">
        <f>opex_orig!$AL$100</f>
        <v>4.0098674309218797E-4</v>
      </c>
      <c r="K516" s="261">
        <f t="shared" si="75"/>
        <v>9.172418465839651E-4</v>
      </c>
      <c r="L516" s="261">
        <f t="shared" si="76"/>
        <v>9.172418465839651E-4</v>
      </c>
      <c r="M516" s="261">
        <f t="shared" si="73"/>
        <v>1.0965422026463639E-3</v>
      </c>
    </row>
    <row r="517" spans="1:16" ht="15" customHeight="1" x14ac:dyDescent="0.25">
      <c r="A517" s="2" t="s">
        <v>917</v>
      </c>
      <c r="B517" s="2" t="s">
        <v>159</v>
      </c>
      <c r="C517" s="2" t="s">
        <v>744</v>
      </c>
      <c r="D517" s="2" t="s">
        <v>742</v>
      </c>
      <c r="E517" s="15" t="s">
        <v>836</v>
      </c>
      <c r="F517" s="259" t="s">
        <v>342</v>
      </c>
      <c r="G517" s="260">
        <f>opex_sources!H133/(opex_sources!H121+0*opex_sources!H127+0*opex_sources!H133)</f>
        <v>2.2874617737003056</v>
      </c>
      <c r="H517" s="260">
        <f>opex_sources!H133/opex_sources!H133</f>
        <v>1</v>
      </c>
      <c r="I517" s="260">
        <f t="shared" si="74"/>
        <v>2.2874617737003056</v>
      </c>
      <c r="J517" s="261">
        <f>opex_orig!$AL$101</f>
        <v>7.4378301385586503E-5</v>
      </c>
      <c r="K517" s="261">
        <f t="shared" si="75"/>
        <v>1.7013752121228958E-4</v>
      </c>
      <c r="L517" s="261">
        <f t="shared" si="76"/>
        <v>1.7013752121228958E-4</v>
      </c>
      <c r="M517" s="261">
        <f t="shared" si="73"/>
        <v>2.0339561802345044E-4</v>
      </c>
    </row>
    <row r="518" spans="1:16" ht="15" customHeight="1" x14ac:dyDescent="0.25">
      <c r="A518" s="2" t="s">
        <v>917</v>
      </c>
      <c r="B518" s="2" t="s">
        <v>159</v>
      </c>
      <c r="C518" s="2" t="s">
        <v>744</v>
      </c>
      <c r="D518" s="2" t="s">
        <v>742</v>
      </c>
      <c r="E518" s="15" t="s">
        <v>836</v>
      </c>
      <c r="F518" s="259" t="s">
        <v>343</v>
      </c>
      <c r="G518" s="260">
        <f>opex_sources!H133/(opex_sources!H121+0*opex_sources!H127+0*opex_sources!H133)</f>
        <v>2.2874617737003056</v>
      </c>
      <c r="H518" s="260">
        <f>opex_sources!H133/opex_sources!H133</f>
        <v>1</v>
      </c>
      <c r="I518" s="260">
        <f t="shared" si="74"/>
        <v>2.2874617737003056</v>
      </c>
      <c r="J518" s="261">
        <f>opex_orig!$AL$102</f>
        <v>6.4999995235635296E-8</v>
      </c>
      <c r="K518" s="261">
        <f t="shared" si="75"/>
        <v>1.4868500439221773E-7</v>
      </c>
      <c r="L518" s="261">
        <f t="shared" si="76"/>
        <v>1.4868500439221773E-7</v>
      </c>
      <c r="M518" s="261">
        <f t="shared" si="73"/>
        <v>1.7774961186509929E-7</v>
      </c>
    </row>
    <row r="519" spans="1:16" ht="15" customHeight="1" x14ac:dyDescent="0.25">
      <c r="A519" s="2" t="s">
        <v>917</v>
      </c>
      <c r="B519" s="2" t="s">
        <v>159</v>
      </c>
      <c r="C519" s="2" t="s">
        <v>744</v>
      </c>
      <c r="D519" s="2" t="s">
        <v>742</v>
      </c>
      <c r="E519" s="15" t="s">
        <v>836</v>
      </c>
      <c r="F519" s="259" t="s">
        <v>10</v>
      </c>
      <c r="G519" s="260">
        <f>opex_sources!H133/(opex_sources!H121+0*opex_sources!H127+0*opex_sources!H133)</f>
        <v>2.2874617737003056</v>
      </c>
      <c r="H519" s="260">
        <f>opex_sources!H133/opex_sources!H133</f>
        <v>1</v>
      </c>
      <c r="I519" s="260">
        <f t="shared" si="74"/>
        <v>2.2874617737003056</v>
      </c>
      <c r="J519" s="261">
        <f>opex_orig!$AL$103</f>
        <v>5.18878179465611E-6</v>
      </c>
      <c r="K519" s="261">
        <f t="shared" si="75"/>
        <v>1.186914000734792E-5</v>
      </c>
      <c r="L519" s="261">
        <f t="shared" si="76"/>
        <v>1.186914000734792E-5</v>
      </c>
      <c r="M519" s="261">
        <f t="shared" si="73"/>
        <v>1.4189292579319715E-5</v>
      </c>
    </row>
    <row r="520" spans="1:16" ht="15" customHeight="1" x14ac:dyDescent="0.25">
      <c r="A520" s="2" t="s">
        <v>917</v>
      </c>
      <c r="B520" s="2" t="s">
        <v>159</v>
      </c>
      <c r="C520" s="2" t="s">
        <v>744</v>
      </c>
      <c r="D520" s="2" t="s">
        <v>742</v>
      </c>
      <c r="E520" s="15" t="s">
        <v>836</v>
      </c>
      <c r="F520" s="259" t="s">
        <v>12</v>
      </c>
      <c r="G520" s="260">
        <f>opex_sources!H133/(opex_sources!H121+0*opex_sources!H127+0*opex_sources!H133)</f>
        <v>2.2874617737003056</v>
      </c>
      <c r="H520" s="260">
        <f>opex_sources!H133/opex_sources!H133</f>
        <v>1</v>
      </c>
      <c r="I520" s="260">
        <f t="shared" si="74"/>
        <v>2.2874617737003056</v>
      </c>
      <c r="J520" s="261">
        <f>opex_orig!$AL$104</f>
        <v>9.789230328172431E-4</v>
      </c>
      <c r="K520" s="261">
        <f t="shared" si="75"/>
        <v>2.2392490169642135E-3</v>
      </c>
      <c r="L520" s="261">
        <f t="shared" si="76"/>
        <v>2.2392490169642135E-3</v>
      </c>
      <c r="M520" s="261">
        <f t="shared" si="73"/>
        <v>2.6769723366637434E-3</v>
      </c>
    </row>
    <row r="521" spans="1:16" ht="15" customHeight="1" x14ac:dyDescent="0.25">
      <c r="A521" s="2" t="s">
        <v>917</v>
      </c>
      <c r="B521" s="2" t="s">
        <v>159</v>
      </c>
      <c r="C521" s="2" t="s">
        <v>744</v>
      </c>
      <c r="D521" s="2" t="s">
        <v>742</v>
      </c>
      <c r="E521" s="15" t="s">
        <v>836</v>
      </c>
      <c r="F521" s="259" t="s">
        <v>340</v>
      </c>
      <c r="G521" s="260">
        <f>opex_sources!H133/(opex_sources!H121+0*opex_sources!H127+0*opex_sources!H133)</f>
        <v>2.2874617737003056</v>
      </c>
      <c r="H521" s="260">
        <f>opex_sources!H133/opex_sources!H133</f>
        <v>1</v>
      </c>
      <c r="I521" s="260">
        <f t="shared" si="74"/>
        <v>2.2874617737003056</v>
      </c>
      <c r="J521" s="261">
        <f>opex_orig!$AL$105</f>
        <v>2.36765489565554E-4</v>
      </c>
      <c r="K521" s="261">
        <f t="shared" si="75"/>
        <v>5.4159200671264338E-4</v>
      </c>
      <c r="L521" s="261">
        <f t="shared" si="76"/>
        <v>5.4159200671264338E-4</v>
      </c>
      <c r="M521" s="261">
        <f t="shared" si="73"/>
        <v>6.4746118397028692E-4</v>
      </c>
    </row>
    <row r="522" spans="1:16" ht="15" customHeight="1" x14ac:dyDescent="0.25">
      <c r="A522" s="2" t="s">
        <v>917</v>
      </c>
      <c r="B522" s="2" t="s">
        <v>159</v>
      </c>
      <c r="C522" s="2" t="s">
        <v>744</v>
      </c>
      <c r="D522" s="2" t="s">
        <v>742</v>
      </c>
      <c r="E522" s="15" t="s">
        <v>836</v>
      </c>
      <c r="F522" s="259" t="s">
        <v>341</v>
      </c>
      <c r="G522" s="260">
        <f>opex_sources!H133/(opex_sources!H121+0*opex_sources!H127+0*opex_sources!H133)</f>
        <v>2.2874617737003056</v>
      </c>
      <c r="H522" s="260">
        <f>opex_sources!H133/opex_sources!H133</f>
        <v>1</v>
      </c>
      <c r="I522" s="260">
        <f t="shared" si="74"/>
        <v>2.2874617737003056</v>
      </c>
      <c r="J522" s="261">
        <f>opex_orig!$AL$106</f>
        <v>1.2517820002296901E-4</v>
      </c>
      <c r="K522" s="261">
        <f t="shared" si="75"/>
        <v>2.8634034745315235E-4</v>
      </c>
      <c r="L522" s="261">
        <f t="shared" si="76"/>
        <v>2.8634034745315235E-4</v>
      </c>
      <c r="M522" s="261">
        <f t="shared" si="73"/>
        <v>3.4231350921478315E-4</v>
      </c>
    </row>
    <row r="523" spans="1:16" ht="15" customHeight="1" x14ac:dyDescent="0.25">
      <c r="A523" s="2" t="s">
        <v>917</v>
      </c>
      <c r="B523" s="2" t="s">
        <v>159</v>
      </c>
      <c r="C523" s="2" t="s">
        <v>744</v>
      </c>
      <c r="D523" s="2" t="s">
        <v>742</v>
      </c>
      <c r="E523" s="15" t="s">
        <v>836</v>
      </c>
      <c r="F523" s="259" t="s">
        <v>14</v>
      </c>
      <c r="G523" s="260">
        <f>opex_sources!H133/(opex_sources!H121+0*opex_sources!H127+0*opex_sources!H133)</f>
        <v>2.2874617737003056</v>
      </c>
      <c r="H523" s="260">
        <f>opex_sources!H133/opex_sources!H133</f>
        <v>1</v>
      </c>
      <c r="I523" s="260">
        <f t="shared" si="74"/>
        <v>2.2874617737003056</v>
      </c>
      <c r="J523" s="261">
        <f>opex_orig!$AL$107</f>
        <v>8.8864751107379097E-10</v>
      </c>
      <c r="K523" s="261">
        <f t="shared" si="75"/>
        <v>2.0327472118752158E-9</v>
      </c>
      <c r="L523" s="261">
        <f t="shared" si="76"/>
        <v>2.0327472118752158E-9</v>
      </c>
      <c r="M523" s="261">
        <f t="shared" si="73"/>
        <v>2.4301040270177646E-9</v>
      </c>
    </row>
    <row r="524" spans="1:16" ht="15" customHeight="1" x14ac:dyDescent="0.25">
      <c r="A524" s="2" t="s">
        <v>917</v>
      </c>
      <c r="B524" s="2" t="s">
        <v>159</v>
      </c>
      <c r="C524" s="2" t="s">
        <v>744</v>
      </c>
      <c r="D524" s="2" t="s">
        <v>742</v>
      </c>
      <c r="E524" s="15" t="s">
        <v>836</v>
      </c>
      <c r="F524" s="259" t="s">
        <v>16</v>
      </c>
      <c r="G524" s="260">
        <f>opex_sources!H133/(opex_sources!H121+0*opex_sources!H127+0*opex_sources!H133)</f>
        <v>2.2874617737003056</v>
      </c>
      <c r="H524" s="260">
        <f>opex_sources!H133/opex_sources!H133</f>
        <v>1</v>
      </c>
      <c r="I524" s="260">
        <f t="shared" si="74"/>
        <v>2.2874617737003056</v>
      </c>
      <c r="J524" s="261">
        <f>opex_orig!$AL$108</f>
        <v>5.5549515684599997E-11</v>
      </c>
      <c r="K524" s="261">
        <f t="shared" si="75"/>
        <v>1.2706739367608806E-10</v>
      </c>
      <c r="L524" s="261">
        <f t="shared" si="76"/>
        <v>1.2706739367608806E-10</v>
      </c>
      <c r="M524" s="261">
        <f t="shared" si="73"/>
        <v>1.5190623963028645E-10</v>
      </c>
    </row>
    <row r="525" spans="1:16" ht="15" customHeight="1" x14ac:dyDescent="0.25">
      <c r="A525" s="2" t="s">
        <v>917</v>
      </c>
      <c r="B525" s="2" t="s">
        <v>159</v>
      </c>
      <c r="C525" s="2" t="s">
        <v>744</v>
      </c>
      <c r="D525" s="2" t="s">
        <v>742</v>
      </c>
      <c r="E525" s="15" t="s">
        <v>836</v>
      </c>
      <c r="F525" s="259" t="s">
        <v>18</v>
      </c>
      <c r="G525" s="260">
        <f>opex_sources!H133/(opex_sources!H121+0*opex_sources!H127+0*opex_sources!H133)</f>
        <v>2.2874617737003056</v>
      </c>
      <c r="H525" s="260">
        <f>opex_sources!H133/opex_sources!H133</f>
        <v>1</v>
      </c>
      <c r="I525" s="260">
        <f t="shared" si="74"/>
        <v>2.2874617737003056</v>
      </c>
      <c r="J525" s="261">
        <f>opex_orig!$AL$109</f>
        <v>1.01749429181875E-7</v>
      </c>
      <c r="K525" s="261">
        <f t="shared" si="75"/>
        <v>2.3274792974936541E-7</v>
      </c>
      <c r="L525" s="261">
        <f t="shared" si="76"/>
        <v>2.3274792974936541E-7</v>
      </c>
      <c r="M525" s="261">
        <f t="shared" si="73"/>
        <v>2.7824496723437211E-7</v>
      </c>
    </row>
    <row r="526" spans="1:16" ht="15" customHeight="1" x14ac:dyDescent="0.25">
      <c r="A526" s="2" t="s">
        <v>917</v>
      </c>
      <c r="B526" s="2" t="s">
        <v>159</v>
      </c>
      <c r="C526" s="2" t="s">
        <v>744</v>
      </c>
      <c r="D526" s="2" t="s">
        <v>742</v>
      </c>
      <c r="E526" s="15" t="s">
        <v>836</v>
      </c>
      <c r="F526" s="259" t="s">
        <v>20</v>
      </c>
      <c r="G526" s="260">
        <f>opex_sources!H133/(opex_sources!H121+0*opex_sources!H127+0*opex_sources!H133)</f>
        <v>2.2874617737003056</v>
      </c>
      <c r="H526" s="260">
        <f>opex_sources!H133/opex_sources!H133</f>
        <v>1</v>
      </c>
      <c r="I526" s="260">
        <f t="shared" si="74"/>
        <v>2.2874617737003056</v>
      </c>
      <c r="J526" s="261">
        <f>opex_orig!$AL$110</f>
        <v>6.1772925140870898E-4</v>
      </c>
      <c r="K526" s="261">
        <f t="shared" si="75"/>
        <v>1.4130320490939273E-3</v>
      </c>
      <c r="L526" s="261">
        <f t="shared" si="76"/>
        <v>1.4130320490939273E-3</v>
      </c>
      <c r="M526" s="261">
        <f t="shared" si="73"/>
        <v>1.6892483495971008E-3</v>
      </c>
    </row>
    <row r="527" spans="1:16" ht="15" customHeight="1" x14ac:dyDescent="0.25">
      <c r="A527" s="2" t="s">
        <v>917</v>
      </c>
      <c r="B527" s="2" t="s">
        <v>159</v>
      </c>
      <c r="C527" s="2" t="s">
        <v>744</v>
      </c>
      <c r="D527" s="2" t="s">
        <v>742</v>
      </c>
      <c r="E527" s="15" t="s">
        <v>836</v>
      </c>
      <c r="F527" s="259" t="s">
        <v>213</v>
      </c>
      <c r="G527" s="260">
        <f>opex_sources!H133/(opex_sources!H121+0*opex_sources!H127+0*opex_sources!H133)</f>
        <v>2.2874617737003056</v>
      </c>
      <c r="H527" s="260">
        <f>opex_sources!H133/opex_sources!H133</f>
        <v>1</v>
      </c>
      <c r="I527" s="260">
        <f t="shared" si="74"/>
        <v>2.2874617737003056</v>
      </c>
      <c r="J527" s="261">
        <f>opex_orig!$AL$111</f>
        <v>3.5050658144862002E-3</v>
      </c>
      <c r="K527" s="261">
        <f t="shared" si="75"/>
        <v>8.0177040649409091E-3</v>
      </c>
      <c r="L527" s="261">
        <f t="shared" si="76"/>
        <v>8.0177040649409091E-3</v>
      </c>
      <c r="M527" s="261">
        <f t="shared" si="73"/>
        <v>9.5849866731218814E-3</v>
      </c>
    </row>
    <row r="528" spans="1:16" ht="15" customHeight="1" x14ac:dyDescent="0.25">
      <c r="A528" s="2" t="s">
        <v>917</v>
      </c>
      <c r="B528" s="2" t="s">
        <v>159</v>
      </c>
      <c r="C528" s="2" t="s">
        <v>744</v>
      </c>
      <c r="D528" s="2" t="s">
        <v>742</v>
      </c>
      <c r="E528" s="15" t="s">
        <v>836</v>
      </c>
      <c r="F528" s="259" t="s">
        <v>215</v>
      </c>
      <c r="G528" s="260">
        <f>opex_sources!H133/(opex_sources!H121+0*opex_sources!H127+0*opex_sources!H133)</f>
        <v>2.2874617737003056</v>
      </c>
      <c r="H528" s="260">
        <f>opex_sources!H133/opex_sources!H133</f>
        <v>1</v>
      </c>
      <c r="I528" s="260">
        <f t="shared" si="74"/>
        <v>2.2874617737003056</v>
      </c>
      <c r="J528" s="261">
        <f>opex_orig!$AL$112</f>
        <v>4.9252142432523998E-3</v>
      </c>
      <c r="K528" s="261">
        <f t="shared" si="75"/>
        <v>1.1266239308724143E-2</v>
      </c>
      <c r="L528" s="261">
        <f t="shared" si="76"/>
        <v>1.1266239308724143E-2</v>
      </c>
      <c r="M528" s="261">
        <f t="shared" si="73"/>
        <v>1.3468538219378474E-2</v>
      </c>
    </row>
    <row r="529" spans="1:16" ht="15" customHeight="1" x14ac:dyDescent="0.25">
      <c r="A529" s="2" t="s">
        <v>917</v>
      </c>
      <c r="B529" s="2" t="s">
        <v>159</v>
      </c>
      <c r="C529" s="2" t="s">
        <v>744</v>
      </c>
      <c r="D529" s="2" t="s">
        <v>742</v>
      </c>
      <c r="E529" s="303" t="s">
        <v>975</v>
      </c>
      <c r="F529" s="267" t="s">
        <v>61</v>
      </c>
      <c r="G529" s="307"/>
      <c r="H529" s="307">
        <v>0</v>
      </c>
      <c r="I529" s="265">
        <f>G529*H529</f>
        <v>0</v>
      </c>
      <c r="J529" s="266">
        <f>opex_orig!$AL$21</f>
        <v>9.28829150639718E-3</v>
      </c>
      <c r="K529" s="266">
        <f>J529*I529</f>
        <v>0</v>
      </c>
      <c r="L529" s="266">
        <f t="shared" si="76"/>
        <v>0</v>
      </c>
      <c r="M529" s="266">
        <f t="shared" si="73"/>
        <v>0</v>
      </c>
    </row>
    <row r="530" spans="1:16" ht="15" customHeight="1" x14ac:dyDescent="0.25">
      <c r="A530" s="2" t="s">
        <v>917</v>
      </c>
      <c r="B530" s="2" t="s">
        <v>159</v>
      </c>
      <c r="C530" s="2" t="s">
        <v>744</v>
      </c>
      <c r="D530" s="2" t="s">
        <v>742</v>
      </c>
      <c r="E530" s="303" t="s">
        <v>975</v>
      </c>
      <c r="F530" s="332" t="s">
        <v>63</v>
      </c>
      <c r="G530" s="307"/>
      <c r="H530" s="307">
        <v>0</v>
      </c>
      <c r="I530" s="333">
        <f t="shared" si="74"/>
        <v>0</v>
      </c>
      <c r="J530" s="334">
        <f>opex_orig!$AL$22</f>
        <v>3.88904385596317E-5</v>
      </c>
      <c r="K530" s="334">
        <f t="shared" si="75"/>
        <v>0</v>
      </c>
      <c r="L530" s="334">
        <f t="shared" si="76"/>
        <v>0</v>
      </c>
      <c r="M530" s="334">
        <f t="shared" si="73"/>
        <v>0</v>
      </c>
    </row>
    <row r="531" spans="1:16" ht="15" customHeight="1" x14ac:dyDescent="0.25">
      <c r="A531" s="2" t="s">
        <v>917</v>
      </c>
      <c r="B531" s="2" t="s">
        <v>159</v>
      </c>
      <c r="C531" s="2" t="s">
        <v>744</v>
      </c>
      <c r="D531" s="2" t="s">
        <v>742</v>
      </c>
      <c r="E531" s="303" t="s">
        <v>975</v>
      </c>
      <c r="F531" s="332" t="s">
        <v>65</v>
      </c>
      <c r="G531" s="307"/>
      <c r="H531" s="307">
        <v>0</v>
      </c>
      <c r="I531" s="333">
        <f t="shared" si="74"/>
        <v>0</v>
      </c>
      <c r="J531" s="334">
        <f>opex_orig!$AL$23</f>
        <v>5.2649147008735097E-5</v>
      </c>
      <c r="K531" s="334">
        <f t="shared" si="75"/>
        <v>0</v>
      </c>
      <c r="L531" s="334">
        <f t="shared" si="76"/>
        <v>0</v>
      </c>
      <c r="M531" s="334">
        <f t="shared" si="73"/>
        <v>0</v>
      </c>
    </row>
    <row r="532" spans="1:16" ht="15" customHeight="1" x14ac:dyDescent="0.25">
      <c r="A532" s="2" t="s">
        <v>917</v>
      </c>
      <c r="B532" s="2" t="s">
        <v>159</v>
      </c>
      <c r="C532" s="2" t="s">
        <v>744</v>
      </c>
      <c r="D532" s="2" t="s">
        <v>742</v>
      </c>
      <c r="E532" s="303" t="s">
        <v>975</v>
      </c>
      <c r="F532" s="332" t="s">
        <v>67</v>
      </c>
      <c r="G532" s="307"/>
      <c r="H532" s="307">
        <v>0</v>
      </c>
      <c r="I532" s="333">
        <f t="shared" si="74"/>
        <v>0</v>
      </c>
      <c r="J532" s="334">
        <f>opex_orig!$AL$24</f>
        <v>3.27917057013687E-7</v>
      </c>
      <c r="K532" s="334">
        <f t="shared" si="75"/>
        <v>0</v>
      </c>
      <c r="L532" s="334">
        <f t="shared" si="76"/>
        <v>0</v>
      </c>
      <c r="M532" s="334">
        <f t="shared" si="73"/>
        <v>0</v>
      </c>
    </row>
    <row r="533" spans="1:16" ht="15" customHeight="1" x14ac:dyDescent="0.25">
      <c r="A533" s="2" t="s">
        <v>917</v>
      </c>
      <c r="B533" s="2" t="s">
        <v>159</v>
      </c>
      <c r="C533" s="2" t="s">
        <v>744</v>
      </c>
      <c r="D533" s="2" t="s">
        <v>742</v>
      </c>
      <c r="E533" s="303" t="s">
        <v>975</v>
      </c>
      <c r="F533" s="271" t="s">
        <v>135</v>
      </c>
      <c r="G533" s="307"/>
      <c r="H533" s="307">
        <v>0</v>
      </c>
      <c r="I533" s="262">
        <f t="shared" si="74"/>
        <v>0</v>
      </c>
      <c r="J533" s="263">
        <f>opex_orig!$AL$58</f>
        <v>2.34426915369322E-3</v>
      </c>
      <c r="K533" s="263">
        <f t="shared" si="75"/>
        <v>0</v>
      </c>
      <c r="L533" s="263">
        <f t="shared" si="76"/>
        <v>0</v>
      </c>
      <c r="M533" s="263">
        <f t="shared" si="73"/>
        <v>0</v>
      </c>
    </row>
    <row r="534" spans="1:16" ht="15" customHeight="1" x14ac:dyDescent="0.25">
      <c r="A534" s="2" t="s">
        <v>917</v>
      </c>
      <c r="B534" s="2" t="s">
        <v>159</v>
      </c>
      <c r="C534" s="2" t="s">
        <v>744</v>
      </c>
      <c r="D534" s="2" t="s">
        <v>742</v>
      </c>
      <c r="E534" s="303" t="s">
        <v>975</v>
      </c>
      <c r="F534" s="319" t="s">
        <v>275</v>
      </c>
      <c r="G534" s="307"/>
      <c r="H534" s="307">
        <v>0</v>
      </c>
      <c r="I534" s="283">
        <f t="shared" si="74"/>
        <v>0</v>
      </c>
      <c r="J534" s="284">
        <f>opex_orig!$AL$142</f>
        <v>1.2337059530660499E-4</v>
      </c>
      <c r="K534" s="284">
        <f t="shared" si="75"/>
        <v>0</v>
      </c>
      <c r="L534" s="284">
        <f t="shared" si="76"/>
        <v>0</v>
      </c>
      <c r="M534" s="284">
        <f t="shared" si="73"/>
        <v>0</v>
      </c>
    </row>
    <row r="535" spans="1:16" ht="15" customHeight="1" x14ac:dyDescent="0.25">
      <c r="A535" s="2" t="s">
        <v>917</v>
      </c>
      <c r="B535" s="2" t="s">
        <v>159</v>
      </c>
      <c r="C535" s="2" t="s">
        <v>744</v>
      </c>
      <c r="D535" s="2" t="s">
        <v>742</v>
      </c>
      <c r="E535" s="303" t="s">
        <v>975</v>
      </c>
      <c r="F535" s="319" t="s">
        <v>277</v>
      </c>
      <c r="G535" s="307"/>
      <c r="H535" s="307">
        <v>0</v>
      </c>
      <c r="I535" s="283">
        <f t="shared" si="74"/>
        <v>0</v>
      </c>
      <c r="J535" s="284">
        <f>opex_orig!$AL$143</f>
        <v>1.2555797471430999E-4</v>
      </c>
      <c r="K535" s="284">
        <f t="shared" si="75"/>
        <v>0</v>
      </c>
      <c r="L535" s="284">
        <f t="shared" si="76"/>
        <v>0</v>
      </c>
      <c r="M535" s="284">
        <f t="shared" si="73"/>
        <v>0</v>
      </c>
    </row>
    <row r="536" spans="1:16" ht="15" customHeight="1" x14ac:dyDescent="0.25">
      <c r="A536" s="2" t="s">
        <v>917</v>
      </c>
      <c r="B536" s="2" t="s">
        <v>159</v>
      </c>
      <c r="C536" s="2" t="s">
        <v>744</v>
      </c>
      <c r="D536" s="2" t="s">
        <v>742</v>
      </c>
      <c r="E536" s="303" t="s">
        <v>975</v>
      </c>
      <c r="F536" s="319" t="s">
        <v>279</v>
      </c>
      <c r="G536" s="307"/>
      <c r="H536" s="307">
        <v>0</v>
      </c>
      <c r="I536" s="283">
        <f t="shared" si="74"/>
        <v>0</v>
      </c>
      <c r="J536" s="284">
        <f>opex_orig!$AL$144</f>
        <v>4.9132521427501298E-5</v>
      </c>
      <c r="K536" s="284">
        <f t="shared" si="75"/>
        <v>0</v>
      </c>
      <c r="L536" s="284">
        <f t="shared" si="76"/>
        <v>0</v>
      </c>
      <c r="M536" s="284">
        <f t="shared" si="73"/>
        <v>0</v>
      </c>
    </row>
    <row r="537" spans="1:16" ht="15" customHeight="1" x14ac:dyDescent="0.25">
      <c r="A537" s="2" t="s">
        <v>917</v>
      </c>
      <c r="B537" s="2" t="s">
        <v>159</v>
      </c>
      <c r="C537" s="2" t="s">
        <v>744</v>
      </c>
      <c r="D537" s="2" t="s">
        <v>742</v>
      </c>
      <c r="E537" s="303" t="s">
        <v>975</v>
      </c>
      <c r="F537" s="319" t="s">
        <v>281</v>
      </c>
      <c r="G537" s="307"/>
      <c r="H537" s="307">
        <v>0</v>
      </c>
      <c r="I537" s="283">
        <f t="shared" si="74"/>
        <v>0</v>
      </c>
      <c r="J537" s="284">
        <f>opex_orig!$AL$145</f>
        <v>1.5809233314637101E-4</v>
      </c>
      <c r="K537" s="284">
        <f t="shared" si="75"/>
        <v>0</v>
      </c>
      <c r="L537" s="284">
        <f t="shared" si="76"/>
        <v>0</v>
      </c>
      <c r="M537" s="284">
        <f t="shared" si="73"/>
        <v>0</v>
      </c>
    </row>
    <row r="538" spans="1:16" ht="15" customHeight="1" x14ac:dyDescent="0.25">
      <c r="A538" s="2" t="s">
        <v>917</v>
      </c>
      <c r="B538" s="2" t="s">
        <v>159</v>
      </c>
      <c r="C538" s="2" t="s">
        <v>744</v>
      </c>
      <c r="D538" s="2" t="s">
        <v>742</v>
      </c>
      <c r="E538" s="303" t="s">
        <v>975</v>
      </c>
      <c r="F538" s="319" t="s">
        <v>283</v>
      </c>
      <c r="G538" s="307"/>
      <c r="H538" s="307">
        <v>0</v>
      </c>
      <c r="I538" s="283">
        <f t="shared" si="74"/>
        <v>0</v>
      </c>
      <c r="J538" s="284">
        <f>opex_orig!$AL$146</f>
        <v>3.0744996846169401E-5</v>
      </c>
      <c r="K538" s="284">
        <f t="shared" si="75"/>
        <v>0</v>
      </c>
      <c r="L538" s="284">
        <f t="shared" si="76"/>
        <v>0</v>
      </c>
      <c r="M538" s="284">
        <f t="shared" si="73"/>
        <v>0</v>
      </c>
    </row>
    <row r="539" spans="1:16" ht="15" customHeight="1" x14ac:dyDescent="0.25">
      <c r="A539" s="2" t="s">
        <v>917</v>
      </c>
      <c r="B539" s="2" t="s">
        <v>159</v>
      </c>
      <c r="C539" s="2" t="s">
        <v>744</v>
      </c>
      <c r="D539" s="2" t="s">
        <v>742</v>
      </c>
      <c r="E539" s="303" t="s">
        <v>975</v>
      </c>
      <c r="F539" s="319" t="s">
        <v>285</v>
      </c>
      <c r="G539" s="307"/>
      <c r="H539" s="307">
        <v>0</v>
      </c>
      <c r="I539" s="283">
        <f t="shared" si="74"/>
        <v>0</v>
      </c>
      <c r="J539" s="284">
        <f>opex_orig!$AL$147</f>
        <v>3.9829477882566297E-5</v>
      </c>
      <c r="K539" s="284">
        <f t="shared" si="75"/>
        <v>0</v>
      </c>
      <c r="L539" s="284">
        <f t="shared" si="76"/>
        <v>0</v>
      </c>
      <c r="M539" s="284">
        <f t="shared" si="73"/>
        <v>0</v>
      </c>
    </row>
    <row r="540" spans="1:16" ht="15" customHeight="1" x14ac:dyDescent="0.25">
      <c r="A540" s="2" t="s">
        <v>917</v>
      </c>
      <c r="B540" s="2" t="s">
        <v>159</v>
      </c>
      <c r="C540" s="2" t="s">
        <v>744</v>
      </c>
      <c r="D540" s="2" t="s">
        <v>742</v>
      </c>
      <c r="E540" s="303" t="s">
        <v>975</v>
      </c>
      <c r="F540" s="319" t="s">
        <v>287</v>
      </c>
      <c r="G540" s="307"/>
      <c r="H540" s="307">
        <v>0</v>
      </c>
      <c r="I540" s="283">
        <f t="shared" si="74"/>
        <v>0</v>
      </c>
      <c r="J540" s="284">
        <f>opex_orig!$AL$148</f>
        <v>9.0061005930271496E-5</v>
      </c>
      <c r="K540" s="284">
        <f t="shared" si="75"/>
        <v>0</v>
      </c>
      <c r="L540" s="284">
        <f t="shared" si="76"/>
        <v>0</v>
      </c>
      <c r="M540" s="284">
        <f t="shared" si="73"/>
        <v>0</v>
      </c>
    </row>
    <row r="541" spans="1:16" ht="15" customHeight="1" x14ac:dyDescent="0.25">
      <c r="A541" s="2" t="s">
        <v>917</v>
      </c>
      <c r="B541" s="2" t="s">
        <v>159</v>
      </c>
      <c r="C541" s="2" t="s">
        <v>744</v>
      </c>
      <c r="D541" s="2" t="s">
        <v>742</v>
      </c>
      <c r="E541" s="303" t="s">
        <v>975</v>
      </c>
      <c r="F541" s="319" t="s">
        <v>289</v>
      </c>
      <c r="G541" s="307"/>
      <c r="H541" s="307">
        <v>0</v>
      </c>
      <c r="I541" s="283">
        <f t="shared" si="74"/>
        <v>0</v>
      </c>
      <c r="J541" s="284">
        <f>opex_orig!$AL$149</f>
        <v>7.73293616908977E-8</v>
      </c>
      <c r="K541" s="284">
        <f t="shared" si="75"/>
        <v>0</v>
      </c>
      <c r="L541" s="284">
        <f t="shared" si="76"/>
        <v>0</v>
      </c>
      <c r="M541" s="284">
        <f t="shared" si="73"/>
        <v>0</v>
      </c>
    </row>
    <row r="542" spans="1:16" ht="15" customHeight="1" x14ac:dyDescent="0.25">
      <c r="A542" s="2" t="s">
        <v>917</v>
      </c>
      <c r="B542" s="2" t="s">
        <v>159</v>
      </c>
      <c r="C542" s="2" t="s">
        <v>744</v>
      </c>
      <c r="D542" s="2" t="s">
        <v>742</v>
      </c>
      <c r="E542" s="303" t="s">
        <v>975</v>
      </c>
      <c r="F542" s="319" t="s">
        <v>291</v>
      </c>
      <c r="G542" s="307"/>
      <c r="H542" s="307">
        <v>0</v>
      </c>
      <c r="I542" s="283">
        <f t="shared" si="74"/>
        <v>0</v>
      </c>
      <c r="J542" s="284">
        <f>opex_orig!$AL$150</f>
        <v>5.64176205479691E-8</v>
      </c>
      <c r="K542" s="284">
        <f t="shared" si="75"/>
        <v>0</v>
      </c>
      <c r="L542" s="284">
        <f t="shared" si="76"/>
        <v>0</v>
      </c>
      <c r="M542" s="284">
        <f t="shared" si="73"/>
        <v>0</v>
      </c>
    </row>
    <row r="543" spans="1:16" ht="15" customHeight="1" x14ac:dyDescent="0.25">
      <c r="A543" s="2" t="s">
        <v>917</v>
      </c>
      <c r="B543" s="2" t="s">
        <v>159</v>
      </c>
      <c r="C543" s="2" t="s">
        <v>744</v>
      </c>
      <c r="D543" s="2" t="s">
        <v>742</v>
      </c>
      <c r="E543" s="303" t="s">
        <v>975</v>
      </c>
      <c r="F543" s="319" t="s">
        <v>293</v>
      </c>
      <c r="G543" s="307"/>
      <c r="H543" s="307">
        <v>0</v>
      </c>
      <c r="I543" s="283">
        <f t="shared" si="74"/>
        <v>0</v>
      </c>
      <c r="J543" s="284">
        <f>opex_orig!$AL$151</f>
        <v>5.9833910216383905E-4</v>
      </c>
      <c r="K543" s="284">
        <f t="shared" si="75"/>
        <v>0</v>
      </c>
      <c r="L543" s="284">
        <f t="shared" si="76"/>
        <v>0</v>
      </c>
      <c r="M543" s="284">
        <f t="shared" ref="M543:M563" si="77">K543/$K$564*$J$564</f>
        <v>0</v>
      </c>
    </row>
    <row r="544" spans="1:16" ht="15" customHeight="1" x14ac:dyDescent="0.25">
      <c r="A544" s="2" t="s">
        <v>917</v>
      </c>
      <c r="B544" s="2" t="s">
        <v>159</v>
      </c>
      <c r="C544" s="2" t="s">
        <v>744</v>
      </c>
      <c r="D544" s="2" t="s">
        <v>742</v>
      </c>
      <c r="E544" s="15" t="s">
        <v>404</v>
      </c>
      <c r="F544" s="240" t="s">
        <v>375</v>
      </c>
      <c r="G544" s="202">
        <f>opex_sources!H135/(opex_sources!H123+0*opex_sources!H129+0*opex_sources!H135)</f>
        <v>0.66055045871559637</v>
      </c>
      <c r="H544" s="202">
        <f>opex_sources!H135/opex_sources!H135</f>
        <v>1</v>
      </c>
      <c r="I544" s="202">
        <f t="shared" si="74"/>
        <v>0.66055045871559637</v>
      </c>
      <c r="J544" s="239">
        <f>opex_orig!$AL$172</f>
        <v>8.9656316685048101E-2</v>
      </c>
      <c r="K544" s="239">
        <f t="shared" si="75"/>
        <v>5.9222521113059298E-2</v>
      </c>
      <c r="L544" s="239">
        <f t="shared" si="76"/>
        <v>5.9222521113059298E-2</v>
      </c>
      <c r="M544" s="239">
        <f t="shared" si="77"/>
        <v>7.079920523626064E-2</v>
      </c>
      <c r="N544" s="187">
        <f>opex_sources!H135</f>
        <v>0.22018348623853212</v>
      </c>
      <c r="O544" s="187">
        <f>L544/L$564</f>
        <v>8.1096352858775658E-2</v>
      </c>
      <c r="P544" s="1" t="s">
        <v>404</v>
      </c>
    </row>
    <row r="545" spans="1:16" ht="15" customHeight="1" x14ac:dyDescent="0.25">
      <c r="A545" s="2" t="s">
        <v>917</v>
      </c>
      <c r="B545" s="2" t="s">
        <v>159</v>
      </c>
      <c r="C545" s="2" t="s">
        <v>744</v>
      </c>
      <c r="D545" s="2" t="s">
        <v>742</v>
      </c>
      <c r="E545" s="15" t="s">
        <v>335</v>
      </c>
      <c r="F545" s="336" t="s">
        <v>85</v>
      </c>
      <c r="G545" s="337">
        <f>opex_sources!H136/(opex_sources!H124+0*opex_sources!H130+0*opex_sources!H136)</f>
        <v>0.73877353935296963</v>
      </c>
      <c r="H545" s="337">
        <f>opex_sources!H136/opex_sources!H136</f>
        <v>1</v>
      </c>
      <c r="I545" s="337">
        <f t="shared" si="74"/>
        <v>0.73877353935296963</v>
      </c>
      <c r="J545" s="339">
        <f>opex_orig!$AL$33</f>
        <v>2.2176248757376602E-2</v>
      </c>
      <c r="K545" s="339">
        <f t="shared" si="75"/>
        <v>1.6383225784059006E-2</v>
      </c>
      <c r="L545" s="339">
        <f t="shared" si="76"/>
        <v>1.6383225784059006E-2</v>
      </c>
      <c r="M545" s="339">
        <f t="shared" si="77"/>
        <v>1.9585781606683648E-2</v>
      </c>
      <c r="N545" s="187">
        <f>opex_sources!H136</f>
        <v>0.27522935779816515</v>
      </c>
      <c r="O545" s="187">
        <f>SUM(L545:L563)/L$564</f>
        <v>0.69925235331317637</v>
      </c>
      <c r="P545" s="1" t="s">
        <v>335</v>
      </c>
    </row>
    <row r="546" spans="1:16" ht="15" customHeight="1" x14ac:dyDescent="0.25">
      <c r="A546" s="2" t="s">
        <v>917</v>
      </c>
      <c r="B546" s="2" t="s">
        <v>159</v>
      </c>
      <c r="C546" s="2" t="s">
        <v>744</v>
      </c>
      <c r="D546" s="2" t="s">
        <v>742</v>
      </c>
      <c r="E546" s="15" t="s">
        <v>335</v>
      </c>
      <c r="F546" s="335" t="s">
        <v>87</v>
      </c>
      <c r="G546" s="338">
        <f>opex_sources!H136/(opex_sources!H124+0*opex_sources!H130+0*opex_sources!H136)</f>
        <v>0.73877353935296963</v>
      </c>
      <c r="H546" s="338">
        <f>opex_sources!H136/opex_sources!H136</f>
        <v>1</v>
      </c>
      <c r="I546" s="338">
        <f t="shared" si="74"/>
        <v>0.73877353935296963</v>
      </c>
      <c r="J546" s="340">
        <f>opex_orig!$AL$34</f>
        <v>6.4188829194859104E-2</v>
      </c>
      <c r="K546" s="340">
        <f t="shared" si="75"/>
        <v>4.7421008531209285E-2</v>
      </c>
      <c r="L546" s="340">
        <f t="shared" si="76"/>
        <v>4.7421008531209285E-2</v>
      </c>
      <c r="M546" s="340">
        <f t="shared" si="77"/>
        <v>5.669075973821066E-2</v>
      </c>
    </row>
    <row r="547" spans="1:16" ht="15" customHeight="1" x14ac:dyDescent="0.25">
      <c r="A547" s="2" t="s">
        <v>917</v>
      </c>
      <c r="B547" s="2" t="s">
        <v>159</v>
      </c>
      <c r="C547" s="2" t="s">
        <v>744</v>
      </c>
      <c r="D547" s="2" t="s">
        <v>742</v>
      </c>
      <c r="E547" s="15" t="s">
        <v>335</v>
      </c>
      <c r="F547" s="328" t="s">
        <v>159</v>
      </c>
      <c r="G547" s="306">
        <f>opex_sources!H136/(opex_sources!H124+0*opex_sources!H130+0*opex_sources!H136)</f>
        <v>0.73877353935296963</v>
      </c>
      <c r="H547" s="306">
        <f>opex_sources!H136/(opex_sources!H132+opex_sources!H136)</f>
        <v>0.73170731707317072</v>
      </c>
      <c r="I547" s="306">
        <f t="shared" si="74"/>
        <v>0.54056600440461189</v>
      </c>
      <c r="J547" s="305">
        <f>opex_orig!$AL$70</f>
        <v>0.14937267828621301</v>
      </c>
      <c r="K547" s="286">
        <f>J547*I547+L511</f>
        <v>0.13120450746472398</v>
      </c>
      <c r="L547" s="286">
        <f>K547-L511</f>
        <v>8.0745791868393701E-2</v>
      </c>
      <c r="M547" s="305">
        <f t="shared" si="77"/>
        <v>0.15685206704023794</v>
      </c>
    </row>
    <row r="548" spans="1:16" ht="15" customHeight="1" x14ac:dyDescent="0.25">
      <c r="A548" s="2" t="s">
        <v>917</v>
      </c>
      <c r="B548" s="2" t="s">
        <v>159</v>
      </c>
      <c r="C548" s="2" t="s">
        <v>744</v>
      </c>
      <c r="D548" s="2" t="s">
        <v>742</v>
      </c>
      <c r="E548" s="15" t="s">
        <v>335</v>
      </c>
      <c r="F548" s="253" t="s">
        <v>161</v>
      </c>
      <c r="G548" s="251">
        <f>opex_sources!H136/(opex_sources!H124+0*opex_sources!H130+0*opex_sources!H136)</f>
        <v>0.73877353935296963</v>
      </c>
      <c r="H548" s="251">
        <f>opex_sources!H136/opex_sources!H136</f>
        <v>1</v>
      </c>
      <c r="I548" s="251">
        <f t="shared" si="74"/>
        <v>0.73877353935296963</v>
      </c>
      <c r="J548" s="254">
        <f>opex_orig!$AL$71</f>
        <v>2.8877782298888401E-2</v>
      </c>
      <c r="K548" s="254">
        <f t="shared" si="75"/>
        <v>2.1334141437614321E-2</v>
      </c>
      <c r="L548" s="254">
        <f t="shared" si="76"/>
        <v>2.1334141437614321E-2</v>
      </c>
      <c r="M548" s="254">
        <f t="shared" si="77"/>
        <v>2.5504491024580817E-2</v>
      </c>
    </row>
    <row r="549" spans="1:16" ht="15" customHeight="1" x14ac:dyDescent="0.25">
      <c r="A549" s="2" t="s">
        <v>917</v>
      </c>
      <c r="B549" s="2" t="s">
        <v>159</v>
      </c>
      <c r="C549" s="2" t="s">
        <v>744</v>
      </c>
      <c r="D549" s="2" t="s">
        <v>742</v>
      </c>
      <c r="E549" s="15" t="s">
        <v>335</v>
      </c>
      <c r="F549" s="252" t="s">
        <v>163</v>
      </c>
      <c r="G549" s="195">
        <f>opex_sources!H136/(opex_sources!H124+0*opex_sources!H130+0*opex_sources!H136)</f>
        <v>0.73877353935296963</v>
      </c>
      <c r="H549" s="195">
        <f>opex_sources!H136/opex_sources!H136</f>
        <v>1</v>
      </c>
      <c r="I549" s="195">
        <f t="shared" si="74"/>
        <v>0.73877353935296963</v>
      </c>
      <c r="J549" s="219">
        <f>opex_orig!$AL$72</f>
        <v>6.7832194266020995E-2</v>
      </c>
      <c r="K549" s="219">
        <f t="shared" si="75"/>
        <v>5.0112630239986543E-2</v>
      </c>
      <c r="L549" s="219">
        <f t="shared" si="76"/>
        <v>5.0112630239986543E-2</v>
      </c>
      <c r="M549" s="219">
        <f t="shared" si="77"/>
        <v>5.9908533554598797E-2</v>
      </c>
    </row>
    <row r="550" spans="1:16" ht="15" customHeight="1" x14ac:dyDescent="0.25">
      <c r="A550" s="2" t="s">
        <v>917</v>
      </c>
      <c r="B550" s="2" t="s">
        <v>159</v>
      </c>
      <c r="C550" s="2" t="s">
        <v>744</v>
      </c>
      <c r="D550" s="2" t="s">
        <v>742</v>
      </c>
      <c r="E550" s="15" t="s">
        <v>335</v>
      </c>
      <c r="F550" s="222" t="s">
        <v>191</v>
      </c>
      <c r="G550" s="223">
        <f>opex_sources!H136/(opex_sources!H124+0*opex_sources!H130+0*opex_sources!H136)</f>
        <v>0.73877353935296963</v>
      </c>
      <c r="H550" s="223">
        <f>opex_sources!H136/opex_sources!H136</f>
        <v>1</v>
      </c>
      <c r="I550" s="223">
        <f t="shared" si="74"/>
        <v>0.73877353935296963</v>
      </c>
      <c r="J550" s="341">
        <f>opex_orig!$AL$86</f>
        <v>1.06613766790528E-2</v>
      </c>
      <c r="K550" s="341">
        <f t="shared" si="75"/>
        <v>7.8763429835590464E-3</v>
      </c>
      <c r="L550" s="341">
        <f t="shared" si="76"/>
        <v>7.8763429835590464E-3</v>
      </c>
      <c r="M550" s="341">
        <f t="shared" si="77"/>
        <v>9.4159926481281134E-3</v>
      </c>
    </row>
    <row r="551" spans="1:16" ht="15" customHeight="1" x14ac:dyDescent="0.25">
      <c r="A551" s="2" t="s">
        <v>917</v>
      </c>
      <c r="B551" s="2" t="s">
        <v>159</v>
      </c>
      <c r="C551" s="2" t="s">
        <v>744</v>
      </c>
      <c r="D551" s="2" t="s">
        <v>742</v>
      </c>
      <c r="E551" s="15" t="s">
        <v>335</v>
      </c>
      <c r="F551" s="199" t="s">
        <v>193</v>
      </c>
      <c r="G551" s="200">
        <f>opex_sources!H136/(opex_sources!H124+0*opex_sources!H130+0*opex_sources!H136)</f>
        <v>0.73877353935296963</v>
      </c>
      <c r="H551" s="200">
        <f>opex_sources!H136/opex_sources!H136</f>
        <v>1</v>
      </c>
      <c r="I551" s="200">
        <f t="shared" si="74"/>
        <v>0.73877353935296963</v>
      </c>
      <c r="J551" s="342">
        <f>opex_orig!$AL$87</f>
        <v>4.42024715405148E-2</v>
      </c>
      <c r="K551" s="342">
        <f t="shared" si="75"/>
        <v>3.2655616348135033E-2</v>
      </c>
      <c r="L551" s="342">
        <f t="shared" si="76"/>
        <v>3.2655616348135033E-2</v>
      </c>
      <c r="M551" s="342">
        <f t="shared" si="77"/>
        <v>3.9039062175932553E-2</v>
      </c>
    </row>
    <row r="552" spans="1:16" ht="15" customHeight="1" x14ac:dyDescent="0.25">
      <c r="A552" s="2" t="s">
        <v>917</v>
      </c>
      <c r="B552" s="2" t="s">
        <v>159</v>
      </c>
      <c r="C552" s="2" t="s">
        <v>744</v>
      </c>
      <c r="D552" s="2" t="s">
        <v>742</v>
      </c>
      <c r="E552" s="15" t="s">
        <v>335</v>
      </c>
      <c r="F552" s="209" t="s">
        <v>203</v>
      </c>
      <c r="G552" s="210">
        <f>opex_sources!H136/(opex_sources!H124+0*opex_sources!H130+0*opex_sources!H136)</f>
        <v>0.73877353935296963</v>
      </c>
      <c r="H552" s="210">
        <f>opex_sources!H136/opex_sources!H136</f>
        <v>1</v>
      </c>
      <c r="I552" s="210">
        <f t="shared" si="74"/>
        <v>0.73877353935296963</v>
      </c>
      <c r="J552" s="343">
        <f>opex_orig!$AL$92</f>
        <v>1.4551002917508601E-2</v>
      </c>
      <c r="K552" s="343">
        <f t="shared" si="75"/>
        <v>1.0749895926503217E-2</v>
      </c>
      <c r="L552" s="343">
        <f t="shared" si="76"/>
        <v>1.0749895926503217E-2</v>
      </c>
      <c r="M552" s="343">
        <f t="shared" si="77"/>
        <v>1.2851261203757078E-2</v>
      </c>
    </row>
    <row r="553" spans="1:16" ht="15" customHeight="1" x14ac:dyDescent="0.25">
      <c r="A553" s="2" t="s">
        <v>917</v>
      </c>
      <c r="B553" s="2" t="s">
        <v>159</v>
      </c>
      <c r="C553" s="2" t="s">
        <v>744</v>
      </c>
      <c r="D553" s="2" t="s">
        <v>742</v>
      </c>
      <c r="E553" s="15" t="s">
        <v>335</v>
      </c>
      <c r="F553" s="294" t="s">
        <v>223</v>
      </c>
      <c r="G553" s="295">
        <f>opex_sources!H136/(opex_sources!H124+0*opex_sources!H130+0*opex_sources!H136)</f>
        <v>0.73877353935296963</v>
      </c>
      <c r="H553" s="295">
        <f>opex_sources!H136/opex_sources!H136</f>
        <v>1</v>
      </c>
      <c r="I553" s="295">
        <f t="shared" si="74"/>
        <v>0.73877353935296963</v>
      </c>
      <c r="J553" s="296">
        <f>opex_orig!$AL$116</f>
        <v>6.2928505605343004E-3</v>
      </c>
      <c r="K553" s="296">
        <f t="shared" si="75"/>
        <v>4.6489914812252436E-3</v>
      </c>
      <c r="L553" s="296">
        <f t="shared" si="76"/>
        <v>4.6489914812252436E-3</v>
      </c>
      <c r="M553" s="296">
        <f t="shared" si="77"/>
        <v>5.5577657930593032E-3</v>
      </c>
    </row>
    <row r="554" spans="1:16" ht="15" customHeight="1" x14ac:dyDescent="0.25">
      <c r="A554" s="2" t="s">
        <v>917</v>
      </c>
      <c r="B554" s="2" t="s">
        <v>159</v>
      </c>
      <c r="C554" s="2" t="s">
        <v>744</v>
      </c>
      <c r="D554" s="2" t="s">
        <v>742</v>
      </c>
      <c r="E554" s="15" t="s">
        <v>335</v>
      </c>
      <c r="F554" s="258" t="s">
        <v>227</v>
      </c>
      <c r="G554" s="237">
        <f>opex_sources!H136/(opex_sources!H124+0*opex_sources!H130+0*opex_sources!H136)</f>
        <v>0.73877353935296963</v>
      </c>
      <c r="H554" s="237">
        <f>opex_sources!H136/opex_sources!H136</f>
        <v>1</v>
      </c>
      <c r="I554" s="237">
        <f t="shared" si="74"/>
        <v>0.73877353935296963</v>
      </c>
      <c r="J554" s="238">
        <f>opex_orig!$AL$118</f>
        <v>8.7274057296664997E-3</v>
      </c>
      <c r="K554" s="238">
        <f t="shared" si="75"/>
        <v>6.4475764202751064E-3</v>
      </c>
      <c r="L554" s="238">
        <f t="shared" si="76"/>
        <v>6.4475764202751064E-3</v>
      </c>
      <c r="M554" s="238">
        <f t="shared" si="77"/>
        <v>7.7079340371896407E-3</v>
      </c>
    </row>
    <row r="555" spans="1:16" ht="15" customHeight="1" x14ac:dyDescent="0.25">
      <c r="A555" s="2" t="s">
        <v>917</v>
      </c>
      <c r="B555" s="2" t="s">
        <v>159</v>
      </c>
      <c r="C555" s="2" t="s">
        <v>744</v>
      </c>
      <c r="D555" s="2" t="s">
        <v>742</v>
      </c>
      <c r="E555" s="15" t="s">
        <v>335</v>
      </c>
      <c r="F555" s="264" t="s">
        <v>231</v>
      </c>
      <c r="G555" s="230">
        <f>opex_sources!H136/(opex_sources!H124+0*opex_sources!H130+0*opex_sources!H136)</f>
        <v>0.73877353935296963</v>
      </c>
      <c r="H555" s="230">
        <f>opex_sources!H136/opex_sources!H136</f>
        <v>1</v>
      </c>
      <c r="I555" s="230">
        <f t="shared" si="74"/>
        <v>0.73877353935296963</v>
      </c>
      <c r="J555" s="231">
        <f>opex_orig!$AL$120</f>
        <v>3.8934471268083401E-2</v>
      </c>
      <c r="K555" s="231">
        <f t="shared" si="75"/>
        <v>2.8763757141558478E-2</v>
      </c>
      <c r="L555" s="231">
        <f t="shared" si="76"/>
        <v>2.8763757141558478E-2</v>
      </c>
      <c r="M555" s="231">
        <f t="shared" si="77"/>
        <v>3.4386431157556609E-2</v>
      </c>
    </row>
    <row r="556" spans="1:16" ht="15" customHeight="1" x14ac:dyDescent="0.25">
      <c r="A556" s="2" t="s">
        <v>917</v>
      </c>
      <c r="B556" s="2" t="s">
        <v>159</v>
      </c>
      <c r="C556" s="2" t="s">
        <v>744</v>
      </c>
      <c r="D556" s="2" t="s">
        <v>742</v>
      </c>
      <c r="E556" s="15" t="s">
        <v>335</v>
      </c>
      <c r="F556" s="281" t="s">
        <v>233</v>
      </c>
      <c r="G556" s="289">
        <f>opex_sources!H136/(opex_sources!H124+0*opex_sources!H130+0*opex_sources!H136)</f>
        <v>0.73877353935296963</v>
      </c>
      <c r="H556" s="289">
        <f>opex_sources!H136/opex_sources!H136</f>
        <v>1</v>
      </c>
      <c r="I556" s="289">
        <f t="shared" si="74"/>
        <v>0.73877353935296963</v>
      </c>
      <c r="J556" s="226">
        <f>opex_orig!$AL$121</f>
        <v>1.16259332753585E-2</v>
      </c>
      <c r="K556" s="226">
        <f t="shared" si="75"/>
        <v>8.588931874118062E-3</v>
      </c>
      <c r="L556" s="226">
        <f t="shared" si="76"/>
        <v>8.588931874118062E-3</v>
      </c>
      <c r="M556" s="226">
        <f t="shared" si="77"/>
        <v>1.0267876799014796E-2</v>
      </c>
    </row>
    <row r="557" spans="1:16" ht="15" customHeight="1" x14ac:dyDescent="0.25">
      <c r="A557" s="2" t="s">
        <v>917</v>
      </c>
      <c r="B557" s="2" t="s">
        <v>159</v>
      </c>
      <c r="C557" s="2" t="s">
        <v>744</v>
      </c>
      <c r="D557" s="2" t="s">
        <v>742</v>
      </c>
      <c r="E557" s="15" t="s">
        <v>335</v>
      </c>
      <c r="F557" s="191" t="s">
        <v>239</v>
      </c>
      <c r="G557" s="192">
        <f>opex_sources!H136/(opex_sources!H124+0*opex_sources!H130+0*opex_sources!H136)</f>
        <v>0.73877353935296963</v>
      </c>
      <c r="H557" s="192">
        <f>opex_sources!H136/opex_sources!H136</f>
        <v>1</v>
      </c>
      <c r="I557" s="192">
        <f t="shared" si="74"/>
        <v>0.73877353935296963</v>
      </c>
      <c r="J557" s="217">
        <f>opex_orig!$AL$124</f>
        <v>1.06413366651971E-2</v>
      </c>
      <c r="K557" s="217">
        <f t="shared" si="75"/>
        <v>7.8615379515941889E-3</v>
      </c>
      <c r="L557" s="217">
        <f t="shared" si="76"/>
        <v>7.8615379515941889E-3</v>
      </c>
      <c r="M557" s="217">
        <f t="shared" si="77"/>
        <v>9.3982935620894048E-3</v>
      </c>
    </row>
    <row r="558" spans="1:16" ht="15" customHeight="1" x14ac:dyDescent="0.25">
      <c r="A558" s="2" t="s">
        <v>917</v>
      </c>
      <c r="B558" s="2" t="s">
        <v>159</v>
      </c>
      <c r="C558" s="2" t="s">
        <v>744</v>
      </c>
      <c r="D558" s="2" t="s">
        <v>742</v>
      </c>
      <c r="E558" s="15" t="s">
        <v>335</v>
      </c>
      <c r="F558" s="255" t="s">
        <v>249</v>
      </c>
      <c r="G558" s="256">
        <f>opex_sources!H136/(opex_sources!H124+0*opex_sources!H130+0*opex_sources!H136)</f>
        <v>0.73877353935296963</v>
      </c>
      <c r="H558" s="256">
        <f>opex_sources!H136/(opex_sources!H132+opex_sources!H136)</f>
        <v>0.73170731707317072</v>
      </c>
      <c r="I558" s="256">
        <f t="shared" si="74"/>
        <v>0.54056600440461189</v>
      </c>
      <c r="J558" s="257">
        <f>opex_orig!$AL$129</f>
        <v>4.8979815221200297E-2</v>
      </c>
      <c r="K558" s="286">
        <f>J558*I558+L512</f>
        <v>7.6935538606930712E-2</v>
      </c>
      <c r="L558" s="286">
        <f>K558-L512</f>
        <v>2.6476823010600434E-2</v>
      </c>
      <c r="M558" s="257">
        <f t="shared" si="77"/>
        <v>9.1974723220508356E-2</v>
      </c>
    </row>
    <row r="559" spans="1:16" ht="15" customHeight="1" x14ac:dyDescent="0.25">
      <c r="A559" s="2" t="s">
        <v>917</v>
      </c>
      <c r="B559" s="2" t="s">
        <v>159</v>
      </c>
      <c r="C559" s="2" t="s">
        <v>744</v>
      </c>
      <c r="D559" s="2" t="s">
        <v>742</v>
      </c>
      <c r="E559" s="15" t="s">
        <v>335</v>
      </c>
      <c r="F559" s="322" t="s">
        <v>253</v>
      </c>
      <c r="G559" s="301">
        <f>opex_sources!H136/(opex_sources!H124+0*opex_sources!H130+0*opex_sources!H136)</f>
        <v>0.73877353935296963</v>
      </c>
      <c r="H559" s="301">
        <f>opex_sources!H136/opex_sources!H136</f>
        <v>1</v>
      </c>
      <c r="I559" s="301">
        <f t="shared" si="74"/>
        <v>0.73877353935296963</v>
      </c>
      <c r="J559" s="302">
        <f>opex_orig!$AL$131</f>
        <v>5.3180374349479304E-3</v>
      </c>
      <c r="K559" s="302">
        <f t="shared" si="75"/>
        <v>3.9288253382280709E-3</v>
      </c>
      <c r="L559" s="302">
        <f t="shared" si="76"/>
        <v>3.9288253382280709E-3</v>
      </c>
      <c r="M559" s="302">
        <f t="shared" si="77"/>
        <v>4.6968232056114395E-3</v>
      </c>
    </row>
    <row r="560" spans="1:16" ht="15" customHeight="1" x14ac:dyDescent="0.25">
      <c r="A560" s="2" t="s">
        <v>917</v>
      </c>
      <c r="B560" s="2" t="s">
        <v>159</v>
      </c>
      <c r="C560" s="2" t="s">
        <v>744</v>
      </c>
      <c r="D560" s="2" t="s">
        <v>742</v>
      </c>
      <c r="E560" s="15" t="s">
        <v>335</v>
      </c>
      <c r="F560" s="290" t="s">
        <v>267</v>
      </c>
      <c r="G560" s="198">
        <f>opex_sources!H136/(opex_sources!H124+0*opex_sources!H130+0*opex_sources!H136)</f>
        <v>0.73877353935296963</v>
      </c>
      <c r="H560" s="198">
        <f>opex_sources!H136/opex_sources!H136</f>
        <v>1</v>
      </c>
      <c r="I560" s="198">
        <f t="shared" si="74"/>
        <v>0.73877353935296963</v>
      </c>
      <c r="J560" s="208">
        <f>opex_orig!$AL$138</f>
        <v>1.7195063170659601E-2</v>
      </c>
      <c r="K560" s="208">
        <f t="shared" si="75"/>
        <v>1.270325767798609E-2</v>
      </c>
      <c r="L560" s="208">
        <f t="shared" si="76"/>
        <v>1.270325767798609E-2</v>
      </c>
      <c r="M560" s="208">
        <f t="shared" si="77"/>
        <v>1.5186461680614207E-2</v>
      </c>
    </row>
    <row r="561" spans="1:16" ht="15" customHeight="1" x14ac:dyDescent="0.25">
      <c r="A561" s="2" t="s">
        <v>917</v>
      </c>
      <c r="B561" s="2" t="s">
        <v>159</v>
      </c>
      <c r="C561" s="2" t="s">
        <v>744</v>
      </c>
      <c r="D561" s="2" t="s">
        <v>742</v>
      </c>
      <c r="E561" s="15" t="s">
        <v>335</v>
      </c>
      <c r="F561" s="241" t="s">
        <v>372</v>
      </c>
      <c r="G561" s="203">
        <f>opex_sources!H136/(opex_sources!H124+0*opex_sources!H130+0*opex_sources!H136)</f>
        <v>0.73877353935296963</v>
      </c>
      <c r="H561" s="203">
        <f>opex_sources!H136/opex_sources!H136</f>
        <v>1</v>
      </c>
      <c r="I561" s="203">
        <f t="shared" si="74"/>
        <v>0.73877353935296963</v>
      </c>
      <c r="J561" s="227">
        <f>opex_orig!$AL$169</f>
        <v>1.05295467349773E-2</v>
      </c>
      <c r="K561" s="227">
        <f t="shared" si="75"/>
        <v>7.7789505091816853E-3</v>
      </c>
      <c r="L561" s="227">
        <f t="shared" si="76"/>
        <v>7.7789505091816853E-3</v>
      </c>
      <c r="M561" s="227">
        <f t="shared" si="77"/>
        <v>9.2995621137247162E-3</v>
      </c>
    </row>
    <row r="562" spans="1:16" ht="15" customHeight="1" x14ac:dyDescent="0.25">
      <c r="A562" s="2" t="s">
        <v>917</v>
      </c>
      <c r="B562" s="2" t="s">
        <v>159</v>
      </c>
      <c r="C562" s="2" t="s">
        <v>744</v>
      </c>
      <c r="D562" s="2" t="s">
        <v>742</v>
      </c>
      <c r="E562" s="15" t="s">
        <v>335</v>
      </c>
      <c r="F562" s="241" t="s">
        <v>373</v>
      </c>
      <c r="G562" s="203">
        <f>opex_sources!H136/(opex_sources!H124+0*opex_sources!H130+0*opex_sources!H136)</f>
        <v>0.73877353935296963</v>
      </c>
      <c r="H562" s="203">
        <f>opex_sources!H136/opex_sources!H136</f>
        <v>1</v>
      </c>
      <c r="I562" s="203">
        <f t="shared" si="74"/>
        <v>0.73877353935296963</v>
      </c>
      <c r="J562" s="227">
        <f>opex_orig!$AL$170</f>
        <v>0.101711858375403</v>
      </c>
      <c r="K562" s="227">
        <f t="shared" si="75"/>
        <v>7.5142029606164465E-2</v>
      </c>
      <c r="L562" s="227">
        <f t="shared" si="76"/>
        <v>7.5142029606164465E-2</v>
      </c>
      <c r="M562" s="227">
        <f t="shared" si="77"/>
        <v>8.9830623147566166E-2</v>
      </c>
    </row>
    <row r="563" spans="1:16" ht="15" customHeight="1" x14ac:dyDescent="0.25">
      <c r="A563" s="2" t="s">
        <v>917</v>
      </c>
      <c r="B563" s="2" t="s">
        <v>159</v>
      </c>
      <c r="C563" s="2" t="s">
        <v>744</v>
      </c>
      <c r="D563" s="2" t="s">
        <v>742</v>
      </c>
      <c r="E563" s="15" t="s">
        <v>335</v>
      </c>
      <c r="F563" s="241" t="s">
        <v>374</v>
      </c>
      <c r="G563" s="203">
        <f>opex_sources!H136/(opex_sources!H124+0*opex_sources!H130+0*opex_sources!H136)</f>
        <v>0.73877353935296963</v>
      </c>
      <c r="H563" s="203">
        <f>opex_sources!H136/opex_sources!H136</f>
        <v>1</v>
      </c>
      <c r="I563" s="203">
        <f t="shared" si="74"/>
        <v>0.73877353935296963</v>
      </c>
      <c r="J563" s="227">
        <f>opex_orig!$AL$171</f>
        <v>8.26046924153198E-2</v>
      </c>
      <c r="K563" s="227">
        <f t="shared" si="75"/>
        <v>6.1026160982829217E-2</v>
      </c>
      <c r="L563" s="227">
        <f t="shared" si="76"/>
        <v>6.1026160982829217E-2</v>
      </c>
      <c r="M563" s="227">
        <f t="shared" si="77"/>
        <v>7.2955416537504689E-2</v>
      </c>
    </row>
    <row r="564" spans="1:16" ht="15" customHeight="1" x14ac:dyDescent="0.25">
      <c r="A564" s="2" t="s">
        <v>917</v>
      </c>
      <c r="B564" s="24" t="s">
        <v>159</v>
      </c>
      <c r="C564" s="24" t="s">
        <v>744</v>
      </c>
      <c r="D564" s="24" t="s">
        <v>742</v>
      </c>
      <c r="E564" s="31" t="s">
        <v>346</v>
      </c>
      <c r="F564" s="19"/>
      <c r="G564" s="184"/>
      <c r="H564" s="184"/>
      <c r="I564" s="184"/>
      <c r="J564" s="221">
        <f>SUM(J511:J546,J548:J557,J559:J563)</f>
        <v>0.87302576183115332</v>
      </c>
      <c r="K564" s="221">
        <f>SUM(K511:K546,K548:K557,K559:K563)</f>
        <v>0.73027354529977084</v>
      </c>
      <c r="L564" s="221">
        <f>SUM(L511:L563)</f>
        <v>0.73027354529977073</v>
      </c>
      <c r="M564" s="221">
        <f>SUM(M511:M546,M548:M557,M559:M563)</f>
        <v>0.87302576183115366</v>
      </c>
      <c r="N564" s="277">
        <f>SUM(N511:N563)</f>
        <v>1</v>
      </c>
      <c r="O564" s="277">
        <f>SUM(O511:O563)</f>
        <v>1.0000000000000004</v>
      </c>
    </row>
    <row r="565" spans="1:16" ht="15" customHeight="1" x14ac:dyDescent="0.25">
      <c r="A565" s="2" t="s">
        <v>914</v>
      </c>
      <c r="B565" s="2" t="s">
        <v>165</v>
      </c>
      <c r="C565" s="2" t="s">
        <v>730</v>
      </c>
      <c r="D565" s="2" t="s">
        <v>749</v>
      </c>
      <c r="E565" s="15" t="s">
        <v>961</v>
      </c>
      <c r="F565" s="279" t="s">
        <v>191</v>
      </c>
      <c r="G565" s="285">
        <f>opex_sources!H65/(opex_sources!H65+0*opex_sources!H74+0*opex_sources!H83)</f>
        <v>1</v>
      </c>
      <c r="H565" s="285">
        <f>opex_sources!H65/(opex_sources!H65+opex_sources!H71)</f>
        <v>0.83732057416267947</v>
      </c>
      <c r="I565" s="285">
        <f t="shared" ref="I565:I609" si="78">G565*H565</f>
        <v>0.83732057416267947</v>
      </c>
      <c r="J565" s="341">
        <f>opex_orig!$AO$86</f>
        <v>8.6184981834572197E-2</v>
      </c>
      <c r="K565" s="341">
        <f>J565*(I565+I600)</f>
        <v>8.6184981834572197E-2</v>
      </c>
      <c r="L565" s="341">
        <f t="shared" ref="L565" si="79">K565*H565</f>
        <v>7.2164458473924095E-2</v>
      </c>
      <c r="M565" s="341">
        <f>K565/$K$610*$J$610</f>
        <v>8.6184981834572197E-2</v>
      </c>
      <c r="N565" s="187">
        <f>opex_sources!H65</f>
        <v>0.32051282051282054</v>
      </c>
      <c r="O565" s="187">
        <f>SUM(L565:L569)/L$610</f>
        <v>0.13876923497931631</v>
      </c>
      <c r="P565" s="15" t="s">
        <v>961</v>
      </c>
    </row>
    <row r="566" spans="1:16" ht="15" customHeight="1" x14ac:dyDescent="0.25">
      <c r="A566" s="2" t="s">
        <v>914</v>
      </c>
      <c r="B566" s="2" t="s">
        <v>165</v>
      </c>
      <c r="C566" s="2" t="s">
        <v>730</v>
      </c>
      <c r="D566" s="2" t="s">
        <v>749</v>
      </c>
      <c r="E566" s="15" t="s">
        <v>961</v>
      </c>
      <c r="F566" s="258" t="s">
        <v>227</v>
      </c>
      <c r="G566" s="237">
        <f>opex_sources!H65/(opex_sources!H65+0*opex_sources!H74+0*opex_sources!H83)</f>
        <v>1</v>
      </c>
      <c r="H566" s="237">
        <f>opex_sources!H65/opex_sources!H65</f>
        <v>1</v>
      </c>
      <c r="I566" s="237">
        <f t="shared" si="78"/>
        <v>1</v>
      </c>
      <c r="J566" s="238">
        <f>opex_orig!$AO$118</f>
        <v>6.0069637361832703E-3</v>
      </c>
      <c r="K566" s="238">
        <f t="shared" ref="K566:K609" si="80">J566*I566</f>
        <v>6.0069637361832703E-3</v>
      </c>
      <c r="L566" s="238">
        <f t="shared" ref="L566:L609" si="81">K566*H566</f>
        <v>6.0069637361832703E-3</v>
      </c>
      <c r="M566" s="238">
        <f t="shared" ref="M566:M609" si="82">K566/$K$610*$J$610</f>
        <v>6.0069637361832703E-3</v>
      </c>
      <c r="P566" s="15"/>
    </row>
    <row r="567" spans="1:16" ht="15" customHeight="1" x14ac:dyDescent="0.25">
      <c r="A567" s="2" t="s">
        <v>914</v>
      </c>
      <c r="B567" s="2" t="s">
        <v>165</v>
      </c>
      <c r="C567" s="2" t="s">
        <v>730</v>
      </c>
      <c r="D567" s="2" t="s">
        <v>749</v>
      </c>
      <c r="E567" s="15" t="s">
        <v>961</v>
      </c>
      <c r="F567" s="264" t="s">
        <v>231</v>
      </c>
      <c r="G567" s="230">
        <f>opex_sources!H65/(opex_sources!H65+0*opex_sources!H74+0*opex_sources!H83)</f>
        <v>1</v>
      </c>
      <c r="H567" s="230">
        <f>opex_sources!H65/opex_sources!H65</f>
        <v>1</v>
      </c>
      <c r="I567" s="230">
        <f t="shared" si="78"/>
        <v>1</v>
      </c>
      <c r="J567" s="231">
        <f>opex_orig!$AO$120</f>
        <v>3.5708672953641503E-2</v>
      </c>
      <c r="K567" s="231">
        <f t="shared" si="80"/>
        <v>3.5708672953641503E-2</v>
      </c>
      <c r="L567" s="231">
        <f t="shared" si="81"/>
        <v>3.5708672953641503E-2</v>
      </c>
      <c r="M567" s="231">
        <f t="shared" si="82"/>
        <v>3.5708672953641503E-2</v>
      </c>
    </row>
    <row r="568" spans="1:16" ht="15" customHeight="1" x14ac:dyDescent="0.25">
      <c r="A568" s="2" t="s">
        <v>914</v>
      </c>
      <c r="B568" s="2" t="s">
        <v>165</v>
      </c>
      <c r="C568" s="2" t="s">
        <v>730</v>
      </c>
      <c r="D568" s="2" t="s">
        <v>749</v>
      </c>
      <c r="E568" s="15" t="s">
        <v>961</v>
      </c>
      <c r="F568" s="281" t="s">
        <v>233</v>
      </c>
      <c r="G568" s="289">
        <f>opex_sources!H65/(opex_sources!H65+0*opex_sources!H74+0*opex_sources!H83)</f>
        <v>1</v>
      </c>
      <c r="H568" s="289">
        <f>opex_sources!H65/opex_sources!H65</f>
        <v>1</v>
      </c>
      <c r="I568" s="289">
        <f t="shared" si="78"/>
        <v>1</v>
      </c>
      <c r="J568" s="226">
        <f>opex_orig!$AO$121</f>
        <v>7.8379204446527798E-3</v>
      </c>
      <c r="K568" s="226">
        <f t="shared" si="80"/>
        <v>7.8379204446527798E-3</v>
      </c>
      <c r="L568" s="226">
        <f t="shared" si="81"/>
        <v>7.8379204446527798E-3</v>
      </c>
      <c r="M568" s="226">
        <f t="shared" si="82"/>
        <v>7.8379204446527798E-3</v>
      </c>
    </row>
    <row r="569" spans="1:16" ht="15" customHeight="1" x14ac:dyDescent="0.25">
      <c r="A569" s="2" t="s">
        <v>914</v>
      </c>
      <c r="B569" s="2" t="s">
        <v>165</v>
      </c>
      <c r="C569" s="2" t="s">
        <v>730</v>
      </c>
      <c r="D569" s="2" t="s">
        <v>749</v>
      </c>
      <c r="E569" s="15" t="s">
        <v>961</v>
      </c>
      <c r="F569" s="290" t="s">
        <v>267</v>
      </c>
      <c r="G569" s="198">
        <f>opex_sources!H65/(opex_sources!H65+0*opex_sources!H74+0*opex_sources!H83)</f>
        <v>1</v>
      </c>
      <c r="H569" s="198">
        <f>opex_sources!H65/(opex_sources!H65+opex_sources!H71)</f>
        <v>0.83732057416267947</v>
      </c>
      <c r="I569" s="198">
        <f t="shared" si="78"/>
        <v>0.83732057416267947</v>
      </c>
      <c r="J569" s="208">
        <f>opex_orig!$AO$138</f>
        <v>5.7703633663306999E-3</v>
      </c>
      <c r="K569" s="208">
        <f>J569*(I569+I605)</f>
        <v>5.7703633663306999E-3</v>
      </c>
      <c r="L569" s="208">
        <f t="shared" si="81"/>
        <v>4.8316439670233139E-3</v>
      </c>
      <c r="M569" s="208">
        <f t="shared" si="82"/>
        <v>5.7703633663306999E-3</v>
      </c>
    </row>
    <row r="570" spans="1:16" ht="15" customHeight="1" x14ac:dyDescent="0.25">
      <c r="A570" s="2" t="s">
        <v>914</v>
      </c>
      <c r="B570" s="2" t="s">
        <v>165</v>
      </c>
      <c r="C570" s="2" t="s">
        <v>730</v>
      </c>
      <c r="D570" s="2" t="s">
        <v>749</v>
      </c>
      <c r="E570" s="303" t="s">
        <v>967</v>
      </c>
      <c r="F570" s="318" t="s">
        <v>165</v>
      </c>
      <c r="G570" s="307"/>
      <c r="H570" s="292">
        <f>0/opex_sources!H71</f>
        <v>0</v>
      </c>
      <c r="I570" s="292">
        <f t="shared" si="78"/>
        <v>0</v>
      </c>
      <c r="J570" s="293">
        <f>opex_orig!$AO$73</f>
        <v>8.0744457062183E-2</v>
      </c>
      <c r="K570" s="293">
        <f>J570*(I570+I598)</f>
        <v>8.0744457062183E-2</v>
      </c>
      <c r="L570" s="293">
        <f t="shared" si="81"/>
        <v>0</v>
      </c>
      <c r="M570" s="293">
        <f t="shared" si="82"/>
        <v>8.0744457062183E-2</v>
      </c>
    </row>
    <row r="571" spans="1:16" ht="15" customHeight="1" x14ac:dyDescent="0.25">
      <c r="A571" s="2" t="s">
        <v>914</v>
      </c>
      <c r="B571" s="2" t="s">
        <v>165</v>
      </c>
      <c r="C571" s="2" t="s">
        <v>730</v>
      </c>
      <c r="D571" s="2" t="s">
        <v>749</v>
      </c>
      <c r="E571" s="303" t="s">
        <v>967</v>
      </c>
      <c r="F571" s="255" t="s">
        <v>249</v>
      </c>
      <c r="G571" s="307"/>
      <c r="H571" s="256">
        <f>0/opex_sources!H71</f>
        <v>0</v>
      </c>
      <c r="I571" s="256">
        <f t="shared" si="78"/>
        <v>0</v>
      </c>
      <c r="J571" s="257">
        <f>opex_orig!$AO$129</f>
        <v>1.8017444205891301E-2</v>
      </c>
      <c r="K571" s="257">
        <f>J571*(I571+I604)</f>
        <v>1.8017444205891301E-2</v>
      </c>
      <c r="L571" s="257">
        <f t="shared" si="81"/>
        <v>0</v>
      </c>
      <c r="M571" s="257">
        <f t="shared" si="82"/>
        <v>1.8017444205891301E-2</v>
      </c>
    </row>
    <row r="572" spans="1:16" ht="15" customHeight="1" x14ac:dyDescent="0.25">
      <c r="A572" s="2" t="s">
        <v>914</v>
      </c>
      <c r="B572" s="2" t="s">
        <v>165</v>
      </c>
      <c r="C572" s="2" t="s">
        <v>730</v>
      </c>
      <c r="D572" s="2" t="s">
        <v>749</v>
      </c>
      <c r="E572" s="15" t="s">
        <v>836</v>
      </c>
      <c r="F572" s="259" t="s">
        <v>2</v>
      </c>
      <c r="G572" s="260">
        <f>opex_sources!H67/(opex_sources!H67+0*opex_sources!H76+0*opex_sources!H85)</f>
        <v>1</v>
      </c>
      <c r="H572" s="260">
        <f>opex_sources!H67/opex_sources!H67</f>
        <v>1</v>
      </c>
      <c r="I572" s="260">
        <f t="shared" si="78"/>
        <v>1</v>
      </c>
      <c r="J572" s="261">
        <f>opex_orig!$AO$97</f>
        <v>2.61380390360051E-3</v>
      </c>
      <c r="K572" s="261">
        <f t="shared" si="80"/>
        <v>2.61380390360051E-3</v>
      </c>
      <c r="L572" s="261">
        <f t="shared" si="81"/>
        <v>2.61380390360051E-3</v>
      </c>
      <c r="M572" s="261">
        <f t="shared" si="82"/>
        <v>2.61380390360051E-3</v>
      </c>
      <c r="N572" s="187">
        <f>opex_sources!H67</f>
        <v>2.564102564102564E-2</v>
      </c>
      <c r="O572" s="187">
        <f>SUM(L572:L587)/L$610</f>
        <v>8.5042959205537116E-3</v>
      </c>
      <c r="P572" s="15" t="s">
        <v>836</v>
      </c>
    </row>
    <row r="573" spans="1:16" ht="15" customHeight="1" x14ac:dyDescent="0.25">
      <c r="A573" s="2" t="s">
        <v>914</v>
      </c>
      <c r="B573" s="2" t="s">
        <v>165</v>
      </c>
      <c r="C573" s="2" t="s">
        <v>730</v>
      </c>
      <c r="D573" s="2" t="s">
        <v>749</v>
      </c>
      <c r="E573" s="15" t="s">
        <v>836</v>
      </c>
      <c r="F573" s="259" t="s">
        <v>4</v>
      </c>
      <c r="G573" s="260">
        <f>opex_sources!H67/(opex_sources!H67+0*opex_sources!H76+0*opex_sources!H85)</f>
        <v>1</v>
      </c>
      <c r="H573" s="260">
        <f>opex_sources!H67/opex_sources!H67</f>
        <v>1</v>
      </c>
      <c r="I573" s="260">
        <f t="shared" si="78"/>
        <v>1</v>
      </c>
      <c r="J573" s="261">
        <f>opex_orig!$AO$98</f>
        <v>4.9562343982420399E-5</v>
      </c>
      <c r="K573" s="261">
        <f t="shared" si="80"/>
        <v>4.9562343982420399E-5</v>
      </c>
      <c r="L573" s="261">
        <f t="shared" si="81"/>
        <v>4.9562343982420399E-5</v>
      </c>
      <c r="M573" s="261">
        <f t="shared" si="82"/>
        <v>4.9562343982420399E-5</v>
      </c>
    </row>
    <row r="574" spans="1:16" ht="15" customHeight="1" x14ac:dyDescent="0.25">
      <c r="A574" s="2" t="s">
        <v>914</v>
      </c>
      <c r="B574" s="2" t="s">
        <v>165</v>
      </c>
      <c r="C574" s="2" t="s">
        <v>730</v>
      </c>
      <c r="D574" s="2" t="s">
        <v>749</v>
      </c>
      <c r="E574" s="15" t="s">
        <v>836</v>
      </c>
      <c r="F574" s="259" t="s">
        <v>6</v>
      </c>
      <c r="G574" s="260">
        <f>opex_sources!H67/(opex_sources!H67+0*opex_sources!H76+0*opex_sources!H85)</f>
        <v>1</v>
      </c>
      <c r="H574" s="260">
        <f>opex_sources!H67/opex_sources!H67</f>
        <v>1</v>
      </c>
      <c r="I574" s="260">
        <f t="shared" si="78"/>
        <v>1</v>
      </c>
      <c r="J574" s="261">
        <f>opex_orig!$AO$99</f>
        <v>1.77290468245335E-3</v>
      </c>
      <c r="K574" s="261">
        <f t="shared" si="80"/>
        <v>1.77290468245335E-3</v>
      </c>
      <c r="L574" s="261">
        <f t="shared" si="81"/>
        <v>1.77290468245335E-3</v>
      </c>
      <c r="M574" s="261">
        <f t="shared" si="82"/>
        <v>1.77290468245335E-3</v>
      </c>
    </row>
    <row r="575" spans="1:16" ht="15" customHeight="1" x14ac:dyDescent="0.25">
      <c r="A575" s="2" t="s">
        <v>914</v>
      </c>
      <c r="B575" s="2" t="s">
        <v>165</v>
      </c>
      <c r="C575" s="2" t="s">
        <v>730</v>
      </c>
      <c r="D575" s="2" t="s">
        <v>749</v>
      </c>
      <c r="E575" s="15" t="s">
        <v>836</v>
      </c>
      <c r="F575" s="259" t="s">
        <v>8</v>
      </c>
      <c r="G575" s="260">
        <f>opex_sources!H67/(opex_sources!H67+0*opex_sources!H76+0*opex_sources!H85)</f>
        <v>1</v>
      </c>
      <c r="H575" s="260">
        <f>opex_sources!H67/opex_sources!H67</f>
        <v>1</v>
      </c>
      <c r="I575" s="260">
        <f t="shared" si="78"/>
        <v>1</v>
      </c>
      <c r="J575" s="261">
        <f>opex_orig!$AO$100</f>
        <v>1.14901289678793E-4</v>
      </c>
      <c r="K575" s="261">
        <f t="shared" si="80"/>
        <v>1.14901289678793E-4</v>
      </c>
      <c r="L575" s="261">
        <f t="shared" si="81"/>
        <v>1.14901289678793E-4</v>
      </c>
      <c r="M575" s="261">
        <f t="shared" si="82"/>
        <v>1.14901289678793E-4</v>
      </c>
    </row>
    <row r="576" spans="1:16" ht="15" customHeight="1" x14ac:dyDescent="0.25">
      <c r="A576" s="2" t="s">
        <v>914</v>
      </c>
      <c r="B576" s="2" t="s">
        <v>165</v>
      </c>
      <c r="C576" s="2" t="s">
        <v>730</v>
      </c>
      <c r="D576" s="2" t="s">
        <v>749</v>
      </c>
      <c r="E576" s="15" t="s">
        <v>836</v>
      </c>
      <c r="F576" s="259" t="s">
        <v>342</v>
      </c>
      <c r="G576" s="260">
        <f>opex_sources!H67/(opex_sources!H67+0*opex_sources!H76+0*opex_sources!H85)</f>
        <v>1</v>
      </c>
      <c r="H576" s="260">
        <f>opex_sources!H67/opex_sources!H67</f>
        <v>1</v>
      </c>
      <c r="I576" s="260">
        <f t="shared" si="78"/>
        <v>1</v>
      </c>
      <c r="J576" s="261">
        <f>opex_orig!$AO$101</f>
        <v>2.3859152415101702E-5</v>
      </c>
      <c r="K576" s="261">
        <f t="shared" si="80"/>
        <v>2.3859152415101702E-5</v>
      </c>
      <c r="L576" s="261">
        <f t="shared" si="81"/>
        <v>2.3859152415101702E-5</v>
      </c>
      <c r="M576" s="261">
        <f t="shared" si="82"/>
        <v>2.3859152415101702E-5</v>
      </c>
    </row>
    <row r="577" spans="1:16" ht="15" customHeight="1" x14ac:dyDescent="0.25">
      <c r="A577" s="2" t="s">
        <v>914</v>
      </c>
      <c r="B577" s="2" t="s">
        <v>165</v>
      </c>
      <c r="C577" s="2" t="s">
        <v>730</v>
      </c>
      <c r="D577" s="2" t="s">
        <v>749</v>
      </c>
      <c r="E577" s="15" t="s">
        <v>836</v>
      </c>
      <c r="F577" s="259" t="s">
        <v>343</v>
      </c>
      <c r="G577" s="260">
        <f>opex_sources!H67/(opex_sources!H67+0*opex_sources!H76+0*opex_sources!H85)</f>
        <v>1</v>
      </c>
      <c r="H577" s="260">
        <f>opex_sources!H67/opex_sources!H67</f>
        <v>1</v>
      </c>
      <c r="I577" s="260">
        <f t="shared" si="78"/>
        <v>1</v>
      </c>
      <c r="J577" s="261">
        <f>opex_orig!$AO$102</f>
        <v>2.20018358998826E-8</v>
      </c>
      <c r="K577" s="261">
        <f t="shared" si="80"/>
        <v>2.20018358998826E-8</v>
      </c>
      <c r="L577" s="261">
        <f t="shared" si="81"/>
        <v>2.20018358998826E-8</v>
      </c>
      <c r="M577" s="261">
        <f t="shared" si="82"/>
        <v>2.20018358998826E-8</v>
      </c>
    </row>
    <row r="578" spans="1:16" ht="15" customHeight="1" x14ac:dyDescent="0.25">
      <c r="A578" s="2" t="s">
        <v>914</v>
      </c>
      <c r="B578" s="2" t="s">
        <v>165</v>
      </c>
      <c r="C578" s="2" t="s">
        <v>730</v>
      </c>
      <c r="D578" s="2" t="s">
        <v>749</v>
      </c>
      <c r="E578" s="15" t="s">
        <v>836</v>
      </c>
      <c r="F578" s="259" t="s">
        <v>10</v>
      </c>
      <c r="G578" s="260">
        <f>opex_sources!H67/(opex_sources!H67+0*opex_sources!H76+0*opex_sources!H85)</f>
        <v>1</v>
      </c>
      <c r="H578" s="260">
        <f>opex_sources!H67/opex_sources!H67</f>
        <v>1</v>
      </c>
      <c r="I578" s="260">
        <f t="shared" si="78"/>
        <v>1</v>
      </c>
      <c r="J578" s="261">
        <f>opex_orig!$AO$103</f>
        <v>4.8587582379900104E-6</v>
      </c>
      <c r="K578" s="261">
        <f t="shared" si="80"/>
        <v>4.8587582379900104E-6</v>
      </c>
      <c r="L578" s="261">
        <f t="shared" si="81"/>
        <v>4.8587582379900104E-6</v>
      </c>
      <c r="M578" s="261">
        <f t="shared" si="82"/>
        <v>4.8587582379900104E-6</v>
      </c>
    </row>
    <row r="579" spans="1:16" ht="15" customHeight="1" x14ac:dyDescent="0.25">
      <c r="A579" s="2" t="s">
        <v>914</v>
      </c>
      <c r="B579" s="2" t="s">
        <v>165</v>
      </c>
      <c r="C579" s="2" t="s">
        <v>730</v>
      </c>
      <c r="D579" s="2" t="s">
        <v>749</v>
      </c>
      <c r="E579" s="15" t="s">
        <v>836</v>
      </c>
      <c r="F579" s="259" t="s">
        <v>12</v>
      </c>
      <c r="G579" s="260">
        <f>opex_sources!H67/(opex_sources!H67+0*opex_sources!H76+0*opex_sources!H85)</f>
        <v>1</v>
      </c>
      <c r="H579" s="260">
        <f>opex_sources!H67/opex_sources!H67</f>
        <v>1</v>
      </c>
      <c r="I579" s="260">
        <f t="shared" si="78"/>
        <v>1</v>
      </c>
      <c r="J579" s="261">
        <f>opex_orig!$AO$104</f>
        <v>2.42048182205621E-4</v>
      </c>
      <c r="K579" s="261">
        <f t="shared" si="80"/>
        <v>2.42048182205621E-4</v>
      </c>
      <c r="L579" s="261">
        <f t="shared" si="81"/>
        <v>2.42048182205621E-4</v>
      </c>
      <c r="M579" s="261">
        <f t="shared" si="82"/>
        <v>2.42048182205621E-4</v>
      </c>
    </row>
    <row r="580" spans="1:16" ht="15" customHeight="1" x14ac:dyDescent="0.25">
      <c r="A580" s="2" t="s">
        <v>914</v>
      </c>
      <c r="B580" s="2" t="s">
        <v>165</v>
      </c>
      <c r="C580" s="2" t="s">
        <v>730</v>
      </c>
      <c r="D580" s="2" t="s">
        <v>749</v>
      </c>
      <c r="E580" s="15" t="s">
        <v>836</v>
      </c>
      <c r="F580" s="259" t="s">
        <v>340</v>
      </c>
      <c r="G580" s="260">
        <f>opex_sources!H67/(opex_sources!H67+0*opex_sources!H76+0*opex_sources!H85)</f>
        <v>1</v>
      </c>
      <c r="H580" s="260">
        <f>opex_sources!H67/opex_sources!H67</f>
        <v>1</v>
      </c>
      <c r="I580" s="260">
        <f t="shared" si="78"/>
        <v>1</v>
      </c>
      <c r="J580" s="261">
        <f>opex_orig!$AO$105</f>
        <v>7.4704670047328204E-5</v>
      </c>
      <c r="K580" s="261">
        <f t="shared" si="80"/>
        <v>7.4704670047328204E-5</v>
      </c>
      <c r="L580" s="261">
        <f t="shared" si="81"/>
        <v>7.4704670047328204E-5</v>
      </c>
      <c r="M580" s="261">
        <f t="shared" si="82"/>
        <v>7.4704670047328204E-5</v>
      </c>
    </row>
    <row r="581" spans="1:16" ht="15" customHeight="1" x14ac:dyDescent="0.25">
      <c r="A581" s="2" t="s">
        <v>914</v>
      </c>
      <c r="B581" s="2" t="s">
        <v>165</v>
      </c>
      <c r="C581" s="2" t="s">
        <v>730</v>
      </c>
      <c r="D581" s="2" t="s">
        <v>749</v>
      </c>
      <c r="E581" s="15" t="s">
        <v>836</v>
      </c>
      <c r="F581" s="259" t="s">
        <v>341</v>
      </c>
      <c r="G581" s="260">
        <f>opex_sources!H67/(opex_sources!H67+0*opex_sources!H76+0*opex_sources!H85)</f>
        <v>1</v>
      </c>
      <c r="H581" s="260">
        <f>opex_sources!H67/opex_sources!H67</f>
        <v>1</v>
      </c>
      <c r="I581" s="260">
        <f t="shared" si="78"/>
        <v>1</v>
      </c>
      <c r="J581" s="261">
        <f>opex_orig!$AO$106</f>
        <v>3.9476265143633502E-5</v>
      </c>
      <c r="K581" s="261">
        <f t="shared" si="80"/>
        <v>3.9476265143633502E-5</v>
      </c>
      <c r="L581" s="261">
        <f t="shared" si="81"/>
        <v>3.9476265143633502E-5</v>
      </c>
      <c r="M581" s="261">
        <f t="shared" si="82"/>
        <v>3.9476265143633502E-5</v>
      </c>
    </row>
    <row r="582" spans="1:16" ht="15" customHeight="1" x14ac:dyDescent="0.25">
      <c r="A582" s="2" t="s">
        <v>914</v>
      </c>
      <c r="B582" s="2" t="s">
        <v>165</v>
      </c>
      <c r="C582" s="2" t="s">
        <v>730</v>
      </c>
      <c r="D582" s="2" t="s">
        <v>749</v>
      </c>
      <c r="E582" s="15" t="s">
        <v>836</v>
      </c>
      <c r="F582" s="259" t="s">
        <v>14</v>
      </c>
      <c r="G582" s="260">
        <f>opex_sources!H67/(opex_sources!H67+0*opex_sources!H76+0*opex_sources!H85)</f>
        <v>1</v>
      </c>
      <c r="H582" s="260">
        <f>opex_sources!H67/opex_sources!H67</f>
        <v>1</v>
      </c>
      <c r="I582" s="260">
        <f t="shared" si="78"/>
        <v>1</v>
      </c>
      <c r="J582" s="261">
        <f>opex_orig!$AO$107</f>
        <v>1.91337258228685E-10</v>
      </c>
      <c r="K582" s="261">
        <f t="shared" si="80"/>
        <v>1.91337258228685E-10</v>
      </c>
      <c r="L582" s="261">
        <f t="shared" si="81"/>
        <v>1.91337258228685E-10</v>
      </c>
      <c r="M582" s="261">
        <f t="shared" si="82"/>
        <v>1.91337258228685E-10</v>
      </c>
    </row>
    <row r="583" spans="1:16" ht="15" customHeight="1" x14ac:dyDescent="0.25">
      <c r="A583" s="2" t="s">
        <v>914</v>
      </c>
      <c r="B583" s="2" t="s">
        <v>165</v>
      </c>
      <c r="C583" s="2" t="s">
        <v>730</v>
      </c>
      <c r="D583" s="2" t="s">
        <v>749</v>
      </c>
      <c r="E583" s="15" t="s">
        <v>836</v>
      </c>
      <c r="F583" s="259" t="s">
        <v>16</v>
      </c>
      <c r="G583" s="260">
        <f>opex_sources!H67/(opex_sources!H67+0*opex_sources!H76+0*opex_sources!H85)</f>
        <v>1</v>
      </c>
      <c r="H583" s="260">
        <f>opex_sources!H67/opex_sources!H67</f>
        <v>1</v>
      </c>
      <c r="I583" s="260">
        <f t="shared" si="78"/>
        <v>1</v>
      </c>
      <c r="J583" s="261">
        <f>opex_orig!$AO$108</f>
        <v>2.1652850795599999E-11</v>
      </c>
      <c r="K583" s="261">
        <f t="shared" si="80"/>
        <v>2.1652850795599999E-11</v>
      </c>
      <c r="L583" s="261">
        <f t="shared" si="81"/>
        <v>2.1652850795599999E-11</v>
      </c>
      <c r="M583" s="261">
        <f t="shared" si="82"/>
        <v>2.1652850795599999E-11</v>
      </c>
    </row>
    <row r="584" spans="1:16" ht="15" customHeight="1" x14ac:dyDescent="0.25">
      <c r="A584" s="2" t="s">
        <v>914</v>
      </c>
      <c r="B584" s="2" t="s">
        <v>165</v>
      </c>
      <c r="C584" s="2" t="s">
        <v>730</v>
      </c>
      <c r="D584" s="2" t="s">
        <v>749</v>
      </c>
      <c r="E584" s="15" t="s">
        <v>836</v>
      </c>
      <c r="F584" s="259" t="s">
        <v>18</v>
      </c>
      <c r="G584" s="260">
        <f>opex_sources!H67/(opex_sources!H67+0*opex_sources!H76+0*opex_sources!H85)</f>
        <v>1</v>
      </c>
      <c r="H584" s="260">
        <f>opex_sources!H67/opex_sources!H67</f>
        <v>1</v>
      </c>
      <c r="I584" s="260">
        <f t="shared" si="78"/>
        <v>1</v>
      </c>
      <c r="J584" s="261">
        <f>opex_orig!$AO$109</f>
        <v>6.7931192020269998E-8</v>
      </c>
      <c r="K584" s="261">
        <f t="shared" si="80"/>
        <v>6.7931192020269998E-8</v>
      </c>
      <c r="L584" s="261">
        <f t="shared" si="81"/>
        <v>6.7931192020269998E-8</v>
      </c>
      <c r="M584" s="261">
        <f t="shared" si="82"/>
        <v>6.7931192020269998E-8</v>
      </c>
    </row>
    <row r="585" spans="1:16" ht="15" customHeight="1" x14ac:dyDescent="0.25">
      <c r="A585" s="2" t="s">
        <v>914</v>
      </c>
      <c r="B585" s="2" t="s">
        <v>165</v>
      </c>
      <c r="C585" s="2" t="s">
        <v>730</v>
      </c>
      <c r="D585" s="2" t="s">
        <v>749</v>
      </c>
      <c r="E585" s="15" t="s">
        <v>836</v>
      </c>
      <c r="F585" s="259" t="s">
        <v>20</v>
      </c>
      <c r="G585" s="260">
        <f>opex_sources!H67/(opex_sources!H67+0*opex_sources!H76+0*opex_sources!H85)</f>
        <v>1</v>
      </c>
      <c r="H585" s="260">
        <f>opex_sources!H67/opex_sources!H67</f>
        <v>1</v>
      </c>
      <c r="I585" s="260">
        <f t="shared" si="78"/>
        <v>1</v>
      </c>
      <c r="J585" s="261">
        <f>opex_orig!$AO$110</f>
        <v>1.79797761095058E-4</v>
      </c>
      <c r="K585" s="261">
        <f t="shared" si="80"/>
        <v>1.79797761095058E-4</v>
      </c>
      <c r="L585" s="261">
        <f t="shared" si="81"/>
        <v>1.79797761095058E-4</v>
      </c>
      <c r="M585" s="261">
        <f t="shared" si="82"/>
        <v>1.79797761095058E-4</v>
      </c>
    </row>
    <row r="586" spans="1:16" ht="15" customHeight="1" x14ac:dyDescent="0.25">
      <c r="A586" s="2" t="s">
        <v>914</v>
      </c>
      <c r="B586" s="2" t="s">
        <v>165</v>
      </c>
      <c r="C586" s="2" t="s">
        <v>730</v>
      </c>
      <c r="D586" s="2" t="s">
        <v>749</v>
      </c>
      <c r="E586" s="15" t="s">
        <v>836</v>
      </c>
      <c r="F586" s="259" t="s">
        <v>213</v>
      </c>
      <c r="G586" s="260">
        <f>opex_sources!H67/(opex_sources!H67+0*opex_sources!H76+0*opex_sources!H85)</f>
        <v>1</v>
      </c>
      <c r="H586" s="260">
        <f>opex_sources!H67/opex_sources!H67</f>
        <v>1</v>
      </c>
      <c r="I586" s="260">
        <f t="shared" si="78"/>
        <v>1</v>
      </c>
      <c r="J586" s="261">
        <f>opex_orig!$AO$111</f>
        <v>1.03280880735687E-3</v>
      </c>
      <c r="K586" s="261">
        <f t="shared" si="80"/>
        <v>1.03280880735687E-3</v>
      </c>
      <c r="L586" s="261">
        <f t="shared" si="81"/>
        <v>1.03280880735687E-3</v>
      </c>
      <c r="M586" s="261">
        <f t="shared" si="82"/>
        <v>1.03280880735687E-3</v>
      </c>
    </row>
    <row r="587" spans="1:16" ht="15" customHeight="1" x14ac:dyDescent="0.25">
      <c r="A587" s="2" t="s">
        <v>914</v>
      </c>
      <c r="B587" s="2" t="s">
        <v>165</v>
      </c>
      <c r="C587" s="2" t="s">
        <v>730</v>
      </c>
      <c r="D587" s="2" t="s">
        <v>749</v>
      </c>
      <c r="E587" s="15" t="s">
        <v>836</v>
      </c>
      <c r="F587" s="259" t="s">
        <v>215</v>
      </c>
      <c r="G587" s="260">
        <f>opex_sources!H67/(opex_sources!H67+0*opex_sources!H76+0*opex_sources!H85)</f>
        <v>1</v>
      </c>
      <c r="H587" s="260">
        <f>opex_sources!H67/opex_sources!H67</f>
        <v>1</v>
      </c>
      <c r="I587" s="260">
        <f t="shared" si="78"/>
        <v>1</v>
      </c>
      <c r="J587" s="261">
        <f>opex_orig!$AO$112</f>
        <v>1.6066188344992999E-3</v>
      </c>
      <c r="K587" s="261">
        <f t="shared" si="80"/>
        <v>1.6066188344992999E-3</v>
      </c>
      <c r="L587" s="261">
        <f t="shared" si="81"/>
        <v>1.6066188344992999E-3</v>
      </c>
      <c r="M587" s="261">
        <f t="shared" si="82"/>
        <v>1.6066188344992999E-3</v>
      </c>
    </row>
    <row r="588" spans="1:16" ht="15" customHeight="1" x14ac:dyDescent="0.25">
      <c r="A588" s="2" t="s">
        <v>914</v>
      </c>
      <c r="B588" s="2" t="s">
        <v>165</v>
      </c>
      <c r="C588" s="2" t="s">
        <v>730</v>
      </c>
      <c r="D588" s="2" t="s">
        <v>749</v>
      </c>
      <c r="E588" s="15" t="s">
        <v>965</v>
      </c>
      <c r="F588" s="344" t="s">
        <v>71</v>
      </c>
      <c r="G588" s="345">
        <f>opex_sources!H68/(opex_sources!H68+0*opex_sources!H77+0*opex_sources!H86)</f>
        <v>1</v>
      </c>
      <c r="H588" s="345">
        <f>opex_sources!H68/opex_sources!H68</f>
        <v>1</v>
      </c>
      <c r="I588" s="345">
        <f t="shared" si="78"/>
        <v>1</v>
      </c>
      <c r="J588" s="346">
        <f>opex_orig!$AO$26</f>
        <v>3.6259517943428798E-2</v>
      </c>
      <c r="K588" s="346">
        <f t="shared" si="80"/>
        <v>3.6259517943428798E-2</v>
      </c>
      <c r="L588" s="346">
        <f t="shared" si="81"/>
        <v>3.6259517943428798E-2</v>
      </c>
      <c r="M588" s="346">
        <f t="shared" si="82"/>
        <v>3.6259517943428798E-2</v>
      </c>
      <c r="N588" s="187">
        <f>opex_sources!H68</f>
        <v>0.26373626373626374</v>
      </c>
      <c r="O588" s="187">
        <f>SUM(L588:L591)/L$610</f>
        <v>0.12771111266202187</v>
      </c>
      <c r="P588" s="15" t="s">
        <v>965</v>
      </c>
    </row>
    <row r="589" spans="1:16" ht="15" customHeight="1" x14ac:dyDescent="0.25">
      <c r="A589" s="2" t="s">
        <v>914</v>
      </c>
      <c r="B589" s="2" t="s">
        <v>165</v>
      </c>
      <c r="C589" s="2" t="s">
        <v>730</v>
      </c>
      <c r="D589" s="2" t="s">
        <v>749</v>
      </c>
      <c r="E589" s="15" t="s">
        <v>965</v>
      </c>
      <c r="F589" s="347" t="s">
        <v>73</v>
      </c>
      <c r="G589" s="345">
        <f>opex_sources!H68/(opex_sources!H68+0*opex_sources!H77+0*opex_sources!H86)</f>
        <v>1</v>
      </c>
      <c r="H589" s="345">
        <f>opex_sources!H68/opex_sources!H68</f>
        <v>1</v>
      </c>
      <c r="I589" s="345">
        <f t="shared" si="78"/>
        <v>1</v>
      </c>
      <c r="J589" s="346">
        <f>opex_orig!$AO$27</f>
        <v>2.3574331783123001E-2</v>
      </c>
      <c r="K589" s="346">
        <f t="shared" si="80"/>
        <v>2.3574331783123001E-2</v>
      </c>
      <c r="L589" s="346">
        <f t="shared" si="81"/>
        <v>2.3574331783123001E-2</v>
      </c>
      <c r="M589" s="346">
        <f t="shared" si="82"/>
        <v>2.3574331783123001E-2</v>
      </c>
      <c r="P589" s="15"/>
    </row>
    <row r="590" spans="1:16" ht="15" customHeight="1" x14ac:dyDescent="0.25">
      <c r="A590" s="2" t="s">
        <v>914</v>
      </c>
      <c r="B590" s="2" t="s">
        <v>165</v>
      </c>
      <c r="C590" s="2" t="s">
        <v>730</v>
      </c>
      <c r="D590" s="2" t="s">
        <v>749</v>
      </c>
      <c r="E590" s="15" t="s">
        <v>965</v>
      </c>
      <c r="F590" s="347" t="s">
        <v>79</v>
      </c>
      <c r="G590" s="345">
        <f>opex_sources!H68/(opex_sources!H68+0*opex_sources!H77+0*opex_sources!H86)</f>
        <v>1</v>
      </c>
      <c r="H590" s="345">
        <f>opex_sources!H68/opex_sources!H68</f>
        <v>1</v>
      </c>
      <c r="I590" s="345">
        <f t="shared" si="78"/>
        <v>1</v>
      </c>
      <c r="J590" s="346">
        <f>opex_orig!$AO$30</f>
        <v>6.7444747463274298E-3</v>
      </c>
      <c r="K590" s="346">
        <f t="shared" si="80"/>
        <v>6.7444747463274298E-3</v>
      </c>
      <c r="L590" s="346">
        <f t="shared" si="81"/>
        <v>6.7444747463274298E-3</v>
      </c>
      <c r="M590" s="346">
        <f t="shared" si="82"/>
        <v>6.7444747463274298E-3</v>
      </c>
      <c r="P590" s="15"/>
    </row>
    <row r="591" spans="1:16" ht="15" customHeight="1" x14ac:dyDescent="0.25">
      <c r="A591" s="2" t="s">
        <v>914</v>
      </c>
      <c r="B591" s="2" t="s">
        <v>165</v>
      </c>
      <c r="C591" s="2" t="s">
        <v>730</v>
      </c>
      <c r="D591" s="2" t="s">
        <v>749</v>
      </c>
      <c r="E591" s="15" t="s">
        <v>965</v>
      </c>
      <c r="F591" s="280" t="s">
        <v>189</v>
      </c>
      <c r="G591" s="282">
        <f>opex_sources!H68/(opex_sources!H68+0*opex_sources!H77+0*opex_sources!H86)</f>
        <v>1</v>
      </c>
      <c r="H591" s="282">
        <f>opex_sources!H68/(opex_sources!H68+opex_sources!H71)</f>
        <v>0.8089887640449438</v>
      </c>
      <c r="I591" s="282">
        <f t="shared" si="78"/>
        <v>0.8089887640449438</v>
      </c>
      <c r="J591" s="234">
        <f>opex_orig!$AO$85</f>
        <v>6.16658202414841E-2</v>
      </c>
      <c r="K591" s="234">
        <f>J591*(I591+I599)</f>
        <v>6.16658202414841E-2</v>
      </c>
      <c r="L591" s="234">
        <f t="shared" si="81"/>
        <v>4.9886955700975899E-2</v>
      </c>
      <c r="M591" s="234">
        <f t="shared" si="82"/>
        <v>6.1665820241484093E-2</v>
      </c>
      <c r="P591" s="15"/>
    </row>
    <row r="592" spans="1:16" ht="15" customHeight="1" x14ac:dyDescent="0.25">
      <c r="A592" s="2" t="s">
        <v>914</v>
      </c>
      <c r="B592" s="2" t="s">
        <v>165</v>
      </c>
      <c r="C592" s="2" t="s">
        <v>730</v>
      </c>
      <c r="D592" s="2" t="s">
        <v>749</v>
      </c>
      <c r="E592" s="15" t="s">
        <v>962</v>
      </c>
      <c r="F592" s="319" t="s">
        <v>167</v>
      </c>
      <c r="G592" s="313">
        <f>opex_sources!H69/(opex_sources!H69+0+0*opex_sources!H87)</f>
        <v>1</v>
      </c>
      <c r="H592" s="283">
        <f>opex_sources!H69/opex_sources!H69</f>
        <v>1</v>
      </c>
      <c r="I592" s="283">
        <f t="shared" si="78"/>
        <v>1</v>
      </c>
      <c r="J592" s="284">
        <f>opex_orig!$AO$74</f>
        <v>3.8264487147094399E-2</v>
      </c>
      <c r="K592" s="284">
        <f t="shared" si="80"/>
        <v>3.8264487147094399E-2</v>
      </c>
      <c r="L592" s="284">
        <f t="shared" si="81"/>
        <v>3.8264487147094399E-2</v>
      </c>
      <c r="M592" s="284">
        <f t="shared" si="82"/>
        <v>3.8264487147094399E-2</v>
      </c>
      <c r="N592" s="187">
        <f>opex_sources!H69</f>
        <v>9.3406593406593408E-2</v>
      </c>
      <c r="O592" s="187">
        <f>SUM(L592:L594)/L$610</f>
        <v>0.18310808243377846</v>
      </c>
      <c r="P592" s="15" t="s">
        <v>962</v>
      </c>
    </row>
    <row r="593" spans="1:16" ht="15" customHeight="1" x14ac:dyDescent="0.25">
      <c r="A593" s="2" t="s">
        <v>914</v>
      </c>
      <c r="B593" s="2" t="s">
        <v>165</v>
      </c>
      <c r="C593" s="2" t="s">
        <v>730</v>
      </c>
      <c r="D593" s="2" t="s">
        <v>749</v>
      </c>
      <c r="E593" s="15" t="s">
        <v>962</v>
      </c>
      <c r="F593" s="278" t="s">
        <v>175</v>
      </c>
      <c r="G593" s="313">
        <f>opex_sources!H69/(opex_sources!H69+0+0*opex_sources!H87)</f>
        <v>1</v>
      </c>
      <c r="H593" s="283">
        <f>opex_sources!H69/opex_sources!H69</f>
        <v>1</v>
      </c>
      <c r="I593" s="283">
        <f t="shared" si="78"/>
        <v>1</v>
      </c>
      <c r="J593" s="284">
        <f>opex_orig!$AO$78</f>
        <v>5.7449224905340296E-3</v>
      </c>
      <c r="K593" s="284">
        <f t="shared" si="80"/>
        <v>5.7449224905340296E-3</v>
      </c>
      <c r="L593" s="284">
        <f t="shared" si="81"/>
        <v>5.7449224905340296E-3</v>
      </c>
      <c r="M593" s="284">
        <f t="shared" si="82"/>
        <v>5.7449224905340296E-3</v>
      </c>
    </row>
    <row r="594" spans="1:16" ht="15" customHeight="1" x14ac:dyDescent="0.25">
      <c r="A594" s="2" t="s">
        <v>914</v>
      </c>
      <c r="B594" s="2" t="s">
        <v>165</v>
      </c>
      <c r="C594" s="2" t="s">
        <v>730</v>
      </c>
      <c r="D594" s="2" t="s">
        <v>749</v>
      </c>
      <c r="E594" s="15" t="s">
        <v>962</v>
      </c>
      <c r="F594" s="278" t="s">
        <v>209</v>
      </c>
      <c r="G594" s="313">
        <f>opex_sources!H69/(opex_sources!H69+0+0*opex_sources!H87)</f>
        <v>1</v>
      </c>
      <c r="H594" s="283">
        <f>opex_sources!H69/opex_sources!H69</f>
        <v>1</v>
      </c>
      <c r="I594" s="283">
        <f t="shared" si="78"/>
        <v>1</v>
      </c>
      <c r="J594" s="284">
        <f>opex_orig!$AO$95</f>
        <v>0.12297476016742501</v>
      </c>
      <c r="K594" s="284">
        <f t="shared" si="80"/>
        <v>0.12297476016742501</v>
      </c>
      <c r="L594" s="284">
        <f t="shared" si="81"/>
        <v>0.12297476016742501</v>
      </c>
      <c r="M594" s="284">
        <f t="shared" si="82"/>
        <v>0.12297476016742501</v>
      </c>
    </row>
    <row r="595" spans="1:16" ht="15" customHeight="1" x14ac:dyDescent="0.25">
      <c r="A595" s="2" t="s">
        <v>914</v>
      </c>
      <c r="B595" s="2" t="s">
        <v>165</v>
      </c>
      <c r="C595" s="2" t="s">
        <v>730</v>
      </c>
      <c r="D595" s="2" t="s">
        <v>749</v>
      </c>
      <c r="E595" s="15" t="s">
        <v>966</v>
      </c>
      <c r="F595" s="267" t="s">
        <v>61</v>
      </c>
      <c r="G595" s="265">
        <f>opex_sources!H70/(opex_sources!H70+0+0*opex_sources!H88)</f>
        <v>1</v>
      </c>
      <c r="H595" s="265">
        <f>opex_sources!H70/opex_sources!H70</f>
        <v>1</v>
      </c>
      <c r="I595" s="265">
        <f t="shared" si="78"/>
        <v>1</v>
      </c>
      <c r="J595" s="266">
        <f>opex_orig!$AO$21</f>
        <v>0.14362150773701499</v>
      </c>
      <c r="K595" s="266">
        <f t="shared" si="80"/>
        <v>0.14362150773701499</v>
      </c>
      <c r="L595" s="266">
        <f t="shared" si="81"/>
        <v>0.14362150773701499</v>
      </c>
      <c r="M595" s="266">
        <f t="shared" si="82"/>
        <v>0.14362150773701499</v>
      </c>
      <c r="N595" s="187">
        <f>opex_sources!H70</f>
        <v>0.2032967032967033</v>
      </c>
      <c r="O595" s="187">
        <f>SUM(L595:L596)/L$610</f>
        <v>0.16573281340865634</v>
      </c>
      <c r="P595" s="15" t="s">
        <v>966</v>
      </c>
    </row>
    <row r="596" spans="1:16" ht="15" customHeight="1" x14ac:dyDescent="0.25">
      <c r="A596" s="2" t="s">
        <v>914</v>
      </c>
      <c r="B596" s="2" t="s">
        <v>165</v>
      </c>
      <c r="C596" s="2" t="s">
        <v>730</v>
      </c>
      <c r="D596" s="2" t="s">
        <v>749</v>
      </c>
      <c r="E596" s="15" t="s">
        <v>966</v>
      </c>
      <c r="F596" s="271" t="s">
        <v>135</v>
      </c>
      <c r="G596" s="330">
        <f>opex_sources!H70/(opex_sources!H70+0+0*opex_sources!H88)</f>
        <v>1</v>
      </c>
      <c r="H596" s="262">
        <f>opex_sources!H70/opex_sources!H70</f>
        <v>1</v>
      </c>
      <c r="I596" s="262">
        <f t="shared" si="78"/>
        <v>1</v>
      </c>
      <c r="J596" s="263">
        <f>opex_orig!$AO$58</f>
        <v>7.5174037116861403E-3</v>
      </c>
      <c r="K596" s="263">
        <f t="shared" si="80"/>
        <v>7.5174037116861403E-3</v>
      </c>
      <c r="L596" s="263">
        <f t="shared" si="81"/>
        <v>7.5174037116861403E-3</v>
      </c>
      <c r="M596" s="263">
        <f t="shared" si="82"/>
        <v>7.5174037116861403E-3</v>
      </c>
    </row>
    <row r="597" spans="1:16" ht="15" customHeight="1" x14ac:dyDescent="0.25">
      <c r="A597" s="2" t="s">
        <v>914</v>
      </c>
      <c r="B597" s="2" t="s">
        <v>165</v>
      </c>
      <c r="C597" s="2" t="s">
        <v>730</v>
      </c>
      <c r="D597" s="2" t="s">
        <v>749</v>
      </c>
      <c r="E597" s="15" t="s">
        <v>335</v>
      </c>
      <c r="F597" s="264" t="s">
        <v>121</v>
      </c>
      <c r="G597" s="230">
        <f>opex_sources!H71/(opex_sources!H71+0*opex_sources!H80+0*opex_sources!H89)</f>
        <v>1</v>
      </c>
      <c r="H597" s="230">
        <f>opex_sources!H71/opex_sources!H71</f>
        <v>1</v>
      </c>
      <c r="I597" s="230">
        <f t="shared" si="78"/>
        <v>1</v>
      </c>
      <c r="J597" s="231">
        <f>opex_orig!$AO$51</f>
        <v>2.7790431304786499E-2</v>
      </c>
      <c r="K597" s="231">
        <f t="shared" si="80"/>
        <v>2.7790431304786499E-2</v>
      </c>
      <c r="L597" s="231">
        <f t="shared" si="81"/>
        <v>2.7790431304786499E-2</v>
      </c>
      <c r="M597" s="231">
        <f t="shared" si="82"/>
        <v>2.7790431304786499E-2</v>
      </c>
      <c r="N597" s="187">
        <f>opex_sources!H71</f>
        <v>6.2271062271062272E-2</v>
      </c>
      <c r="O597" s="187">
        <f>SUM(L597:L608)/L$610</f>
        <v>0.30565988079486084</v>
      </c>
      <c r="P597" s="15" t="s">
        <v>335</v>
      </c>
    </row>
    <row r="598" spans="1:16" ht="15" customHeight="1" x14ac:dyDescent="0.25">
      <c r="A598" s="2" t="s">
        <v>914</v>
      </c>
      <c r="B598" s="2" t="s">
        <v>165</v>
      </c>
      <c r="C598" s="2" t="s">
        <v>730</v>
      </c>
      <c r="D598" s="2" t="s">
        <v>749</v>
      </c>
      <c r="E598" s="15" t="s">
        <v>335</v>
      </c>
      <c r="F598" s="318" t="s">
        <v>165</v>
      </c>
      <c r="G598" s="292">
        <f>opex_sources!H71/(opex_sources!H71+0*opex_sources!H80+0*opex_sources!H89)</f>
        <v>1</v>
      </c>
      <c r="H598" s="292">
        <f>opex_sources!H71/opex_sources!H71</f>
        <v>1</v>
      </c>
      <c r="I598" s="292">
        <f t="shared" si="78"/>
        <v>1</v>
      </c>
      <c r="J598" s="293">
        <f>opex_orig!$AO$73</f>
        <v>8.0744457062183E-2</v>
      </c>
      <c r="K598" s="293">
        <f>J598*(I570+I598)</f>
        <v>8.0744457062183E-2</v>
      </c>
      <c r="L598" s="293">
        <f t="shared" si="81"/>
        <v>8.0744457062183E-2</v>
      </c>
      <c r="M598" s="293">
        <f t="shared" si="82"/>
        <v>8.0744457062183E-2</v>
      </c>
    </row>
    <row r="599" spans="1:16" ht="15" customHeight="1" x14ac:dyDescent="0.25">
      <c r="A599" s="2" t="s">
        <v>914</v>
      </c>
      <c r="B599" s="2" t="s">
        <v>165</v>
      </c>
      <c r="C599" s="2" t="s">
        <v>730</v>
      </c>
      <c r="D599" s="2" t="s">
        <v>749</v>
      </c>
      <c r="E599" s="15" t="s">
        <v>335</v>
      </c>
      <c r="F599" s="280" t="s">
        <v>189</v>
      </c>
      <c r="G599" s="282">
        <f>opex_sources!H71/(opex_sources!H71+0*opex_sources!H80+0*opex_sources!H89)</f>
        <v>1</v>
      </c>
      <c r="H599" s="282">
        <f>opex_sources!H71/(opex_sources!H68+opex_sources!H71)</f>
        <v>0.19101123595505617</v>
      </c>
      <c r="I599" s="282">
        <f t="shared" si="78"/>
        <v>0.19101123595505617</v>
      </c>
      <c r="J599" s="234">
        <f>opex_orig!$AO$85</f>
        <v>6.16658202414841E-2</v>
      </c>
      <c r="K599" s="234">
        <f>J599*(I591+I599)</f>
        <v>6.16658202414841E-2</v>
      </c>
      <c r="L599" s="234">
        <f t="shared" si="81"/>
        <v>1.1778864540508199E-2</v>
      </c>
      <c r="M599" s="234">
        <f t="shared" si="82"/>
        <v>6.1665820241484093E-2</v>
      </c>
    </row>
    <row r="600" spans="1:16" ht="15" customHeight="1" x14ac:dyDescent="0.25">
      <c r="A600" s="2" t="s">
        <v>914</v>
      </c>
      <c r="B600" s="2" t="s">
        <v>165</v>
      </c>
      <c r="C600" s="2" t="s">
        <v>730</v>
      </c>
      <c r="D600" s="2" t="s">
        <v>749</v>
      </c>
      <c r="E600" s="15" t="s">
        <v>335</v>
      </c>
      <c r="F600" s="222" t="s">
        <v>191</v>
      </c>
      <c r="G600" s="285">
        <f>opex_sources!H71/(opex_sources!H71+0*opex_sources!H80+0*opex_sources!H89)</f>
        <v>1</v>
      </c>
      <c r="H600" s="285">
        <f>opex_sources!H71/(opex_sources!H65+opex_sources!H71)</f>
        <v>0.16267942583732056</v>
      </c>
      <c r="I600" s="285">
        <f t="shared" si="78"/>
        <v>0.16267942583732056</v>
      </c>
      <c r="J600" s="341">
        <f>opex_orig!$AO$86</f>
        <v>8.6184981834572197E-2</v>
      </c>
      <c r="K600" s="341">
        <f>J600*(I565+I600)</f>
        <v>8.6184981834572197E-2</v>
      </c>
      <c r="L600" s="341">
        <f t="shared" si="81"/>
        <v>1.4020523360648107E-2</v>
      </c>
      <c r="M600" s="341">
        <f t="shared" si="82"/>
        <v>8.6184981834572197E-2</v>
      </c>
    </row>
    <row r="601" spans="1:16" ht="15" customHeight="1" x14ac:dyDescent="0.25">
      <c r="A601" s="2" t="s">
        <v>914</v>
      </c>
      <c r="B601" s="2" t="s">
        <v>165</v>
      </c>
      <c r="C601" s="2" t="s">
        <v>730</v>
      </c>
      <c r="D601" s="2" t="s">
        <v>749</v>
      </c>
      <c r="E601" s="15" t="s">
        <v>335</v>
      </c>
      <c r="F601" s="199" t="s">
        <v>193</v>
      </c>
      <c r="G601" s="329">
        <f>opex_sources!H71/(opex_sources!H71+0*opex_sources!H80+0*opex_sources!H89)</f>
        <v>1</v>
      </c>
      <c r="H601" s="329">
        <f>opex_sources!H71/opex_sources!H71</f>
        <v>1</v>
      </c>
      <c r="I601" s="329">
        <f t="shared" si="78"/>
        <v>1</v>
      </c>
      <c r="J601" s="342">
        <f>opex_orig!$AO$87</f>
        <v>7.6912936999679804E-3</v>
      </c>
      <c r="K601" s="342">
        <f t="shared" si="80"/>
        <v>7.6912936999679804E-3</v>
      </c>
      <c r="L601" s="342">
        <f t="shared" si="81"/>
        <v>7.6912936999679804E-3</v>
      </c>
      <c r="M601" s="342">
        <f t="shared" si="82"/>
        <v>7.6912936999679804E-3</v>
      </c>
    </row>
    <row r="602" spans="1:16" ht="15" customHeight="1" x14ac:dyDescent="0.25">
      <c r="A602" s="2" t="s">
        <v>914</v>
      </c>
      <c r="B602" s="2" t="s">
        <v>165</v>
      </c>
      <c r="C602" s="2" t="s">
        <v>730</v>
      </c>
      <c r="D602" s="2" t="s">
        <v>749</v>
      </c>
      <c r="E602" s="15" t="s">
        <v>335</v>
      </c>
      <c r="F602" s="209" t="s">
        <v>203</v>
      </c>
      <c r="G602" s="331">
        <f>opex_sources!H71/(opex_sources!H71+0*opex_sources!H80+0*opex_sources!H89)</f>
        <v>1</v>
      </c>
      <c r="H602" s="331">
        <f>opex_sources!H71/opex_sources!H71</f>
        <v>1</v>
      </c>
      <c r="I602" s="331">
        <f t="shared" si="78"/>
        <v>1</v>
      </c>
      <c r="J602" s="343">
        <f>opex_orig!$AO$92</f>
        <v>2.89704417220501E-2</v>
      </c>
      <c r="K602" s="343">
        <f t="shared" si="80"/>
        <v>2.89704417220501E-2</v>
      </c>
      <c r="L602" s="343">
        <f t="shared" si="81"/>
        <v>2.89704417220501E-2</v>
      </c>
      <c r="M602" s="343">
        <f t="shared" si="82"/>
        <v>2.89704417220501E-2</v>
      </c>
    </row>
    <row r="603" spans="1:16" ht="15" customHeight="1" x14ac:dyDescent="0.25">
      <c r="A603" s="2" t="s">
        <v>914</v>
      </c>
      <c r="B603" s="2" t="s">
        <v>165</v>
      </c>
      <c r="C603" s="2" t="s">
        <v>730</v>
      </c>
      <c r="D603" s="2" t="s">
        <v>749</v>
      </c>
      <c r="E603" s="15" t="s">
        <v>335</v>
      </c>
      <c r="F603" s="191" t="s">
        <v>239</v>
      </c>
      <c r="G603" s="192">
        <f>opex_sources!H71/(opex_sources!H71+0*opex_sources!H80+0*opex_sources!H89)</f>
        <v>1</v>
      </c>
      <c r="H603" s="192">
        <f>opex_sources!H71/opex_sources!H71</f>
        <v>1</v>
      </c>
      <c r="I603" s="192">
        <f t="shared" si="78"/>
        <v>1</v>
      </c>
      <c r="J603" s="217">
        <f>opex_orig!$AO$124</f>
        <v>1.08120372992614E-2</v>
      </c>
      <c r="K603" s="217">
        <f t="shared" si="80"/>
        <v>1.08120372992614E-2</v>
      </c>
      <c r="L603" s="217">
        <f t="shared" si="81"/>
        <v>1.08120372992614E-2</v>
      </c>
      <c r="M603" s="217">
        <f t="shared" si="82"/>
        <v>1.08120372992614E-2</v>
      </c>
    </row>
    <row r="604" spans="1:16" ht="15" customHeight="1" x14ac:dyDescent="0.25">
      <c r="A604" s="2" t="s">
        <v>914</v>
      </c>
      <c r="B604" s="2" t="s">
        <v>165</v>
      </c>
      <c r="C604" s="2" t="s">
        <v>730</v>
      </c>
      <c r="D604" s="2" t="s">
        <v>749</v>
      </c>
      <c r="E604" s="15" t="s">
        <v>335</v>
      </c>
      <c r="F604" s="255" t="s">
        <v>249</v>
      </c>
      <c r="G604" s="256">
        <f>opex_sources!H71/(opex_sources!H71+0*opex_sources!H80+0*opex_sources!H89)</f>
        <v>1</v>
      </c>
      <c r="H604" s="256">
        <f>opex_sources!H71/opex_sources!H71</f>
        <v>1</v>
      </c>
      <c r="I604" s="256">
        <f t="shared" si="78"/>
        <v>1</v>
      </c>
      <c r="J604" s="257">
        <f>opex_orig!$AO$129</f>
        <v>1.8017444205891301E-2</v>
      </c>
      <c r="K604" s="257">
        <f>J604*(I571+I604)</f>
        <v>1.8017444205891301E-2</v>
      </c>
      <c r="L604" s="257">
        <f t="shared" si="81"/>
        <v>1.8017444205891301E-2</v>
      </c>
      <c r="M604" s="257">
        <f t="shared" si="82"/>
        <v>1.8017444205891301E-2</v>
      </c>
    </row>
    <row r="605" spans="1:16" ht="15" customHeight="1" x14ac:dyDescent="0.25">
      <c r="A605" s="2" t="s">
        <v>914</v>
      </c>
      <c r="B605" s="2" t="s">
        <v>165</v>
      </c>
      <c r="C605" s="2" t="s">
        <v>730</v>
      </c>
      <c r="D605" s="2" t="s">
        <v>749</v>
      </c>
      <c r="E605" s="15" t="s">
        <v>335</v>
      </c>
      <c r="F605" s="290" t="s">
        <v>267</v>
      </c>
      <c r="G605" s="198">
        <f>opex_sources!H71/(opex_sources!H71+0*opex_sources!H80+0*opex_sources!H89)</f>
        <v>1</v>
      </c>
      <c r="H605" s="198">
        <f>opex_sources!H71/(opex_sources!H65+opex_sources!H71)</f>
        <v>0.16267942583732056</v>
      </c>
      <c r="I605" s="198">
        <f t="shared" si="78"/>
        <v>0.16267942583732056</v>
      </c>
      <c r="J605" s="208">
        <f>opex_orig!$AO$138</f>
        <v>5.7703633663306999E-3</v>
      </c>
      <c r="K605" s="208">
        <f>J605*(I569+I605)</f>
        <v>5.7703633663306999E-3</v>
      </c>
      <c r="L605" s="208">
        <f t="shared" si="81"/>
        <v>9.387193993073865E-4</v>
      </c>
      <c r="M605" s="208">
        <f t="shared" si="82"/>
        <v>5.7703633663306999E-3</v>
      </c>
    </row>
    <row r="606" spans="1:16" ht="15" customHeight="1" x14ac:dyDescent="0.25">
      <c r="A606" s="2" t="s">
        <v>914</v>
      </c>
      <c r="B606" s="2" t="s">
        <v>165</v>
      </c>
      <c r="C606" s="2" t="s">
        <v>730</v>
      </c>
      <c r="D606" s="2" t="s">
        <v>749</v>
      </c>
      <c r="E606" s="15" t="s">
        <v>335</v>
      </c>
      <c r="F606" s="241" t="s">
        <v>372</v>
      </c>
      <c r="G606" s="203">
        <f>opex_sources!H71/(opex_sources!H71+0*opex_sources!H80+0*opex_sources!H89)</f>
        <v>1</v>
      </c>
      <c r="H606" s="203">
        <f>opex_sources!H71/opex_sources!H71</f>
        <v>1</v>
      </c>
      <c r="I606" s="203">
        <f t="shared" si="78"/>
        <v>1</v>
      </c>
      <c r="J606" s="227">
        <f>opex_orig!$AO$169</f>
        <v>3.4890727097774501E-3</v>
      </c>
      <c r="K606" s="227">
        <f t="shared" si="80"/>
        <v>3.4890727097774501E-3</v>
      </c>
      <c r="L606" s="227">
        <f t="shared" si="81"/>
        <v>3.4890727097774501E-3</v>
      </c>
      <c r="M606" s="227">
        <f t="shared" si="82"/>
        <v>3.4890727097774501E-3</v>
      </c>
    </row>
    <row r="607" spans="1:16" ht="15" customHeight="1" x14ac:dyDescent="0.25">
      <c r="A607" s="2" t="s">
        <v>914</v>
      </c>
      <c r="B607" s="2" t="s">
        <v>165</v>
      </c>
      <c r="C607" s="2" t="s">
        <v>730</v>
      </c>
      <c r="D607" s="2" t="s">
        <v>749</v>
      </c>
      <c r="E607" s="15" t="s">
        <v>335</v>
      </c>
      <c r="F607" s="241" t="s">
        <v>373</v>
      </c>
      <c r="G607" s="203">
        <f>opex_sources!H71/(opex_sources!H71+0*opex_sources!H80+0*opex_sources!H89)</f>
        <v>1</v>
      </c>
      <c r="H607" s="203">
        <f>opex_sources!H71/opex_sources!H71</f>
        <v>1</v>
      </c>
      <c r="I607" s="203">
        <f t="shared" si="78"/>
        <v>1</v>
      </c>
      <c r="J607" s="227">
        <f>opex_orig!$AO$170</f>
        <v>4.1017073062728802E-2</v>
      </c>
      <c r="K607" s="227">
        <f t="shared" si="80"/>
        <v>4.1017073062728802E-2</v>
      </c>
      <c r="L607" s="227">
        <f t="shared" si="81"/>
        <v>4.1017073062728802E-2</v>
      </c>
      <c r="M607" s="227">
        <f t="shared" si="82"/>
        <v>4.1017073062728802E-2</v>
      </c>
    </row>
    <row r="608" spans="1:16" ht="15" customHeight="1" x14ac:dyDescent="0.25">
      <c r="A608" s="2" t="s">
        <v>914</v>
      </c>
      <c r="B608" s="2" t="s">
        <v>165</v>
      </c>
      <c r="C608" s="2" t="s">
        <v>730</v>
      </c>
      <c r="D608" s="2" t="s">
        <v>749</v>
      </c>
      <c r="E608" s="15" t="s">
        <v>335</v>
      </c>
      <c r="F608" s="241" t="s">
        <v>374</v>
      </c>
      <c r="G608" s="203">
        <f>opex_sources!H71/(opex_sources!H71+0*opex_sources!H80+0*opex_sources!H89)</f>
        <v>1</v>
      </c>
      <c r="H608" s="203">
        <f>opex_sources!H71/opex_sources!H71</f>
        <v>1</v>
      </c>
      <c r="I608" s="203">
        <f t="shared" si="78"/>
        <v>1</v>
      </c>
      <c r="J608" s="227">
        <f>opex_orig!$AO$171</f>
        <v>3.3474090041934301E-2</v>
      </c>
      <c r="K608" s="227">
        <f t="shared" si="80"/>
        <v>3.3474090041934301E-2</v>
      </c>
      <c r="L608" s="227">
        <f t="shared" si="81"/>
        <v>3.3474090041934301E-2</v>
      </c>
      <c r="M608" s="227">
        <f t="shared" si="82"/>
        <v>3.3474090041934301E-2</v>
      </c>
    </row>
    <row r="609" spans="1:16" ht="15" customHeight="1" x14ac:dyDescent="0.25">
      <c r="A609" s="2" t="s">
        <v>914</v>
      </c>
      <c r="B609" s="2" t="s">
        <v>165</v>
      </c>
      <c r="C609" s="2" t="s">
        <v>730</v>
      </c>
      <c r="D609" s="2" t="s">
        <v>749</v>
      </c>
      <c r="E609" s="15" t="s">
        <v>404</v>
      </c>
      <c r="F609" s="240" t="s">
        <v>375</v>
      </c>
      <c r="G609" s="202">
        <f>opex_sources!H72/(opex_sources!H72+0*opex_sources!H81+0*opex_sources!H90)</f>
        <v>1</v>
      </c>
      <c r="H609" s="202">
        <f>opex_sources!H72/opex_sources!H72</f>
        <v>1</v>
      </c>
      <c r="I609" s="202">
        <f t="shared" si="78"/>
        <v>1</v>
      </c>
      <c r="J609" s="239">
        <f>opex_orig!$AO$172</f>
        <v>6.4305291228469799E-2</v>
      </c>
      <c r="K609" s="239">
        <f t="shared" si="80"/>
        <v>6.4305291228469799E-2</v>
      </c>
      <c r="L609" s="239">
        <f t="shared" si="81"/>
        <v>6.4305291228469799E-2</v>
      </c>
      <c r="M609" s="239">
        <f t="shared" si="82"/>
        <v>6.4305291228469799E-2</v>
      </c>
      <c r="N609" s="187">
        <f>opex_sources!H72</f>
        <v>3.1135531135531136E-2</v>
      </c>
      <c r="O609" s="187">
        <f>L609/L$610</f>
        <v>7.051457980081198E-2</v>
      </c>
      <c r="P609" s="1" t="s">
        <v>404</v>
      </c>
    </row>
    <row r="610" spans="1:16" ht="15" customHeight="1" x14ac:dyDescent="0.25">
      <c r="A610" s="2" t="s">
        <v>914</v>
      </c>
      <c r="B610" s="24" t="s">
        <v>165</v>
      </c>
      <c r="C610" s="24" t="s">
        <v>730</v>
      </c>
      <c r="D610" s="24" t="s">
        <v>749</v>
      </c>
      <c r="E610" s="31" t="s">
        <v>346</v>
      </c>
      <c r="J610" s="221">
        <f>SUM(J565:J597,J601:J603,J606:J609)</f>
        <v>0.91194319543728319</v>
      </c>
      <c r="K610" s="221">
        <f>SUM(K565:K597,K601:K603,K606:K609)</f>
        <v>0.91194319543728319</v>
      </c>
      <c r="L610" s="221">
        <f>SUM(L565:L609)</f>
        <v>0.91194319543728342</v>
      </c>
      <c r="M610" s="221">
        <f>SUM(M565:M597,M601:M603,M606:M609)</f>
        <v>0.91194319543728319</v>
      </c>
      <c r="N610" s="277">
        <f>SUM(N565:N609)</f>
        <v>1</v>
      </c>
      <c r="O610" s="277">
        <f>SUM(O565:O609)</f>
        <v>0.99999999999999956</v>
      </c>
    </row>
    <row r="611" spans="1:16" ht="15" customHeight="1" x14ac:dyDescent="0.25">
      <c r="A611" s="2" t="s">
        <v>914</v>
      </c>
      <c r="B611" s="2" t="s">
        <v>165</v>
      </c>
      <c r="C611" s="2" t="s">
        <v>731</v>
      </c>
      <c r="D611" s="2" t="s">
        <v>763</v>
      </c>
      <c r="E611" s="15" t="s">
        <v>961</v>
      </c>
      <c r="F611" s="279" t="s">
        <v>191</v>
      </c>
      <c r="G611" s="285">
        <f>opex_sources!H74/(opex_sources!H65+0*opex_sources!H74+0*opex_sources!H83)</f>
        <v>0.84651162790697665</v>
      </c>
      <c r="H611" s="285">
        <f>opex_sources!H74/(opex_sources!H74+opex_sources!H80)</f>
        <v>0.77433628318584069</v>
      </c>
      <c r="I611" s="285">
        <f t="shared" ref="I611:I655" si="83">G611*H611</f>
        <v>0.65548466762708368</v>
      </c>
      <c r="J611" s="341">
        <f>opex_orig!$AO$86</f>
        <v>8.6184981834572197E-2</v>
      </c>
      <c r="K611" s="341">
        <f>J611*(I611+I646)</f>
        <v>8.1188416824734974E-2</v>
      </c>
      <c r="L611" s="341">
        <f t="shared" ref="L611:L655" si="84">K611*H611</f>
        <v>6.2867136921808051E-2</v>
      </c>
      <c r="M611" s="341">
        <f>K611/$K$656*$J$656</f>
        <v>8.6861715379470905E-2</v>
      </c>
      <c r="N611" s="187">
        <f>opex_sources!H74</f>
        <v>0.27131782945736432</v>
      </c>
      <c r="O611" s="187">
        <f>SUM(L611:L615)/L$656</f>
        <v>0.12790528337815074</v>
      </c>
      <c r="P611" s="15" t="s">
        <v>961</v>
      </c>
    </row>
    <row r="612" spans="1:16" ht="15" customHeight="1" x14ac:dyDescent="0.25">
      <c r="A612" s="2" t="s">
        <v>914</v>
      </c>
      <c r="B612" s="2" t="s">
        <v>165</v>
      </c>
      <c r="C612" s="2" t="s">
        <v>731</v>
      </c>
      <c r="D612" s="2" t="s">
        <v>763</v>
      </c>
      <c r="E612" s="15" t="s">
        <v>961</v>
      </c>
      <c r="F612" s="258" t="s">
        <v>227</v>
      </c>
      <c r="G612" s="237">
        <f>opex_sources!H74/(opex_sources!H65+0*opex_sources!H74+0*opex_sources!H83)</f>
        <v>0.84651162790697665</v>
      </c>
      <c r="H612" s="237">
        <f>opex_sources!H74/opex_sources!H74</f>
        <v>1</v>
      </c>
      <c r="I612" s="237">
        <f t="shared" si="83"/>
        <v>0.84651162790697665</v>
      </c>
      <c r="J612" s="238">
        <f>opex_orig!$AO$118</f>
        <v>6.0069637361832703E-3</v>
      </c>
      <c r="K612" s="238">
        <f t="shared" ref="K612:K655" si="85">J612*I612</f>
        <v>5.0849646510946747E-3</v>
      </c>
      <c r="L612" s="238">
        <f t="shared" si="84"/>
        <v>5.0849646510946747E-3</v>
      </c>
      <c r="M612" s="238">
        <f t="shared" ref="M612:M655" si="86">K612/$K$656*$J$656</f>
        <v>5.4402927106159639E-3</v>
      </c>
      <c r="P612" s="15"/>
    </row>
    <row r="613" spans="1:16" ht="15" customHeight="1" x14ac:dyDescent="0.25">
      <c r="A613" s="2" t="s">
        <v>914</v>
      </c>
      <c r="B613" s="2" t="s">
        <v>165</v>
      </c>
      <c r="C613" s="2" t="s">
        <v>731</v>
      </c>
      <c r="D613" s="2" t="s">
        <v>763</v>
      </c>
      <c r="E613" s="15" t="s">
        <v>961</v>
      </c>
      <c r="F613" s="264" t="s">
        <v>231</v>
      </c>
      <c r="G613" s="230">
        <f>opex_sources!H74/(opex_sources!H65+0*opex_sources!H74+0*opex_sources!H83)</f>
        <v>0.84651162790697665</v>
      </c>
      <c r="H613" s="230">
        <f>opex_sources!H74/opex_sources!H74</f>
        <v>1</v>
      </c>
      <c r="I613" s="230">
        <f t="shared" si="83"/>
        <v>0.84651162790697665</v>
      </c>
      <c r="J613" s="231">
        <f>opex_orig!$AO$120</f>
        <v>3.5708672953641503E-2</v>
      </c>
      <c r="K613" s="231">
        <f t="shared" si="85"/>
        <v>3.0227806872384896E-2</v>
      </c>
      <c r="L613" s="231">
        <f t="shared" si="84"/>
        <v>3.0227806872384896E-2</v>
      </c>
      <c r="M613" s="231">
        <f t="shared" si="86"/>
        <v>3.2340070908917891E-2</v>
      </c>
    </row>
    <row r="614" spans="1:16" ht="15" customHeight="1" x14ac:dyDescent="0.25">
      <c r="A614" s="2" t="s">
        <v>914</v>
      </c>
      <c r="B614" s="2" t="s">
        <v>165</v>
      </c>
      <c r="C614" s="2" t="s">
        <v>731</v>
      </c>
      <c r="D614" s="2" t="s">
        <v>763</v>
      </c>
      <c r="E614" s="15" t="s">
        <v>961</v>
      </c>
      <c r="F614" s="281" t="s">
        <v>233</v>
      </c>
      <c r="G614" s="289">
        <f>opex_sources!H74/(opex_sources!H65+0*opex_sources!H74+0*opex_sources!H83)</f>
        <v>0.84651162790697665</v>
      </c>
      <c r="H614" s="289">
        <f>opex_sources!H74/opex_sources!H74</f>
        <v>1</v>
      </c>
      <c r="I614" s="289">
        <f t="shared" si="83"/>
        <v>0.84651162790697665</v>
      </c>
      <c r="J614" s="226">
        <f>opex_orig!$AO$121</f>
        <v>7.8379204446527798E-3</v>
      </c>
      <c r="K614" s="226">
        <f t="shared" si="85"/>
        <v>6.6348907950083986E-3</v>
      </c>
      <c r="L614" s="226">
        <f t="shared" si="84"/>
        <v>6.6348907950083986E-3</v>
      </c>
      <c r="M614" s="226">
        <f t="shared" si="86"/>
        <v>7.0985248678270699E-3</v>
      </c>
    </row>
    <row r="615" spans="1:16" ht="15" customHeight="1" x14ac:dyDescent="0.25">
      <c r="A615" s="2" t="s">
        <v>914</v>
      </c>
      <c r="B615" s="2" t="s">
        <v>165</v>
      </c>
      <c r="C615" s="2" t="s">
        <v>731</v>
      </c>
      <c r="D615" s="2" t="s">
        <v>763</v>
      </c>
      <c r="E615" s="15" t="s">
        <v>961</v>
      </c>
      <c r="F615" s="290" t="s">
        <v>267</v>
      </c>
      <c r="G615" s="198">
        <f>opex_sources!H74/(opex_sources!H65+0*opex_sources!H74+0*opex_sources!H83)</f>
        <v>0.84651162790697665</v>
      </c>
      <c r="H615" s="198">
        <f>opex_sources!H74/(opex_sources!H74+opex_sources!H80)</f>
        <v>0.77433628318584069</v>
      </c>
      <c r="I615" s="198">
        <f t="shared" si="83"/>
        <v>0.65548466762708368</v>
      </c>
      <c r="J615" s="208">
        <f>opex_orig!$AO$138</f>
        <v>5.7703633663306999E-3</v>
      </c>
      <c r="K615" s="208">
        <f>J615*(I615+I651)</f>
        <v>5.4358271736376839E-3</v>
      </c>
      <c r="L615" s="208">
        <f t="shared" si="84"/>
        <v>4.2091582096751975E-3</v>
      </c>
      <c r="M615" s="208">
        <f>K615/$K$656*$J$656</f>
        <v>5.815672866583842E-3</v>
      </c>
    </row>
    <row r="616" spans="1:16" ht="15" customHeight="1" x14ac:dyDescent="0.25">
      <c r="A616" s="2" t="s">
        <v>914</v>
      </c>
      <c r="B616" s="2" t="s">
        <v>165</v>
      </c>
      <c r="C616" s="2" t="s">
        <v>731</v>
      </c>
      <c r="D616" s="2" t="s">
        <v>763</v>
      </c>
      <c r="E616" s="303" t="s">
        <v>967</v>
      </c>
      <c r="F616" s="318" t="s">
        <v>165</v>
      </c>
      <c r="G616" s="307"/>
      <c r="H616" s="292">
        <f>0/opex_sources!H80</f>
        <v>0</v>
      </c>
      <c r="I616" s="292">
        <f t="shared" si="83"/>
        <v>0</v>
      </c>
      <c r="J616" s="293">
        <f>opex_orig!$AO$73</f>
        <v>8.0744457062183E-2</v>
      </c>
      <c r="K616" s="293">
        <f>J616*(I616+I644)</f>
        <v>0.10252668268826026</v>
      </c>
      <c r="L616" s="293">
        <f t="shared" si="84"/>
        <v>0</v>
      </c>
      <c r="M616" s="293">
        <f t="shared" si="86"/>
        <v>0.10969106036017423</v>
      </c>
    </row>
    <row r="617" spans="1:16" ht="15" customHeight="1" x14ac:dyDescent="0.25">
      <c r="A617" s="2" t="s">
        <v>914</v>
      </c>
      <c r="B617" s="2" t="s">
        <v>165</v>
      </c>
      <c r="C617" s="2" t="s">
        <v>731</v>
      </c>
      <c r="D617" s="2" t="s">
        <v>763</v>
      </c>
      <c r="E617" s="303" t="s">
        <v>967</v>
      </c>
      <c r="F617" s="255" t="s">
        <v>249</v>
      </c>
      <c r="G617" s="307"/>
      <c r="H617" s="256">
        <f>0/opex_sources!H80</f>
        <v>0</v>
      </c>
      <c r="I617" s="256">
        <f t="shared" si="83"/>
        <v>0</v>
      </c>
      <c r="J617" s="257">
        <f>opex_orig!$AO$129</f>
        <v>1.8017444205891301E-2</v>
      </c>
      <c r="K617" s="257">
        <f>J617*(I617+I650)</f>
        <v>2.2877964038178253E-2</v>
      </c>
      <c r="L617" s="257">
        <f t="shared" si="84"/>
        <v>0</v>
      </c>
      <c r="M617" s="257">
        <f t="shared" si="86"/>
        <v>2.4476634456808144E-2</v>
      </c>
    </row>
    <row r="618" spans="1:16" ht="15" customHeight="1" x14ac:dyDescent="0.25">
      <c r="A618" s="2" t="s">
        <v>914</v>
      </c>
      <c r="B618" s="2" t="s">
        <v>165</v>
      </c>
      <c r="C618" s="2" t="s">
        <v>731</v>
      </c>
      <c r="D618" s="2" t="s">
        <v>763</v>
      </c>
      <c r="E618" s="15" t="s">
        <v>836</v>
      </c>
      <c r="F618" s="259" t="s">
        <v>2</v>
      </c>
      <c r="G618" s="260">
        <f>opex_sources!H76/(opex_sources!H67+0*opex_sources!H76+0*opex_sources!H85)</f>
        <v>12.758139534883721</v>
      </c>
      <c r="H618" s="260">
        <f>opex_sources!H76/opex_sources!H76</f>
        <v>1</v>
      </c>
      <c r="I618" s="260">
        <f t="shared" si="83"/>
        <v>12.758139534883721</v>
      </c>
      <c r="J618" s="261">
        <f>opex_orig!$AO$97</f>
        <v>2.61380390360051E-3</v>
      </c>
      <c r="K618" s="261">
        <f t="shared" si="85"/>
        <v>3.3347274918959065E-2</v>
      </c>
      <c r="L618" s="261">
        <f t="shared" si="84"/>
        <v>3.3347274918959065E-2</v>
      </c>
      <c r="M618" s="261">
        <f t="shared" si="86"/>
        <v>3.5677521695546943E-2</v>
      </c>
      <c r="N618" s="187">
        <f>opex_sources!H76</f>
        <v>0.32713178294573642</v>
      </c>
      <c r="O618" s="187">
        <f>SUM(L618:L633)/L$656</f>
        <v>0.11608070589876947</v>
      </c>
      <c r="P618" s="15" t="s">
        <v>836</v>
      </c>
    </row>
    <row r="619" spans="1:16" ht="15" customHeight="1" x14ac:dyDescent="0.25">
      <c r="A619" s="2" t="s">
        <v>914</v>
      </c>
      <c r="B619" s="2" t="s">
        <v>165</v>
      </c>
      <c r="C619" s="2" t="s">
        <v>731</v>
      </c>
      <c r="D619" s="2" t="s">
        <v>763</v>
      </c>
      <c r="E619" s="15" t="s">
        <v>836</v>
      </c>
      <c r="F619" s="259" t="s">
        <v>4</v>
      </c>
      <c r="G619" s="260">
        <f>opex_sources!H76/(opex_sources!H67+0*opex_sources!H76+0*opex_sources!H85)</f>
        <v>12.758139534883721</v>
      </c>
      <c r="H619" s="260">
        <f>opex_sources!H76/opex_sources!H76</f>
        <v>1</v>
      </c>
      <c r="I619" s="260">
        <f t="shared" si="83"/>
        <v>12.758139534883721</v>
      </c>
      <c r="J619" s="261">
        <f>opex_orig!$AO$98</f>
        <v>4.9562343982420399E-5</v>
      </c>
      <c r="K619" s="261">
        <f t="shared" si="85"/>
        <v>6.3232330020362396E-4</v>
      </c>
      <c r="L619" s="261">
        <f t="shared" si="84"/>
        <v>6.3232330020362396E-4</v>
      </c>
      <c r="M619" s="261">
        <f t="shared" si="86"/>
        <v>6.7650889964590967E-4</v>
      </c>
    </row>
    <row r="620" spans="1:16" ht="15" customHeight="1" x14ac:dyDescent="0.25">
      <c r="A620" s="2" t="s">
        <v>914</v>
      </c>
      <c r="B620" s="2" t="s">
        <v>165</v>
      </c>
      <c r="C620" s="2" t="s">
        <v>731</v>
      </c>
      <c r="D620" s="2" t="s">
        <v>763</v>
      </c>
      <c r="E620" s="15" t="s">
        <v>836</v>
      </c>
      <c r="F620" s="259" t="s">
        <v>6</v>
      </c>
      <c r="G620" s="260">
        <f>opex_sources!H76/(opex_sources!H67+0*opex_sources!H76+0*opex_sources!H85)</f>
        <v>12.758139534883721</v>
      </c>
      <c r="H620" s="260">
        <f>opex_sources!H76/opex_sources!H76</f>
        <v>1</v>
      </c>
      <c r="I620" s="260">
        <f t="shared" si="83"/>
        <v>12.758139534883721</v>
      </c>
      <c r="J620" s="261">
        <f>opex_orig!$AO$99</f>
        <v>1.77290468245335E-3</v>
      </c>
      <c r="K620" s="261">
        <f t="shared" si="85"/>
        <v>2.2618965320788553E-2</v>
      </c>
      <c r="L620" s="261">
        <f t="shared" si="84"/>
        <v>2.2618965320788553E-2</v>
      </c>
      <c r="M620" s="261">
        <f t="shared" si="86"/>
        <v>2.4199537381222627E-2</v>
      </c>
    </row>
    <row r="621" spans="1:16" ht="15" customHeight="1" x14ac:dyDescent="0.25">
      <c r="A621" s="2" t="s">
        <v>914</v>
      </c>
      <c r="B621" s="2" t="s">
        <v>165</v>
      </c>
      <c r="C621" s="2" t="s">
        <v>731</v>
      </c>
      <c r="D621" s="2" t="s">
        <v>763</v>
      </c>
      <c r="E621" s="15" t="s">
        <v>836</v>
      </c>
      <c r="F621" s="259" t="s">
        <v>8</v>
      </c>
      <c r="G621" s="260">
        <f>opex_sources!H76/(opex_sources!H67+0*opex_sources!H76+0*opex_sources!H85)</f>
        <v>12.758139534883721</v>
      </c>
      <c r="H621" s="260">
        <f>opex_sources!H76/opex_sources!H76</f>
        <v>1</v>
      </c>
      <c r="I621" s="260">
        <f t="shared" si="83"/>
        <v>12.758139534883721</v>
      </c>
      <c r="J621" s="261">
        <f>opex_orig!$AO$100</f>
        <v>1.14901289678793E-4</v>
      </c>
      <c r="K621" s="261">
        <f t="shared" si="85"/>
        <v>1.4659266864601359E-3</v>
      </c>
      <c r="L621" s="261">
        <f t="shared" si="84"/>
        <v>1.4659266864601359E-3</v>
      </c>
      <c r="M621" s="261">
        <f t="shared" si="86"/>
        <v>1.5683629708083899E-3</v>
      </c>
    </row>
    <row r="622" spans="1:16" ht="15" customHeight="1" x14ac:dyDescent="0.25">
      <c r="A622" s="2" t="s">
        <v>914</v>
      </c>
      <c r="B622" s="2" t="s">
        <v>165</v>
      </c>
      <c r="C622" s="2" t="s">
        <v>731</v>
      </c>
      <c r="D622" s="2" t="s">
        <v>763</v>
      </c>
      <c r="E622" s="15" t="s">
        <v>836</v>
      </c>
      <c r="F622" s="259" t="s">
        <v>342</v>
      </c>
      <c r="G622" s="260">
        <f>opex_sources!H76/(opex_sources!H67+0*opex_sources!H76+0*opex_sources!H85)</f>
        <v>12.758139534883721</v>
      </c>
      <c r="H622" s="260">
        <f>opex_sources!H76/opex_sources!H76</f>
        <v>1</v>
      </c>
      <c r="I622" s="260">
        <f t="shared" si="83"/>
        <v>12.758139534883721</v>
      </c>
      <c r="J622" s="261">
        <f>opex_orig!$AO$101</f>
        <v>2.3859152415101702E-5</v>
      </c>
      <c r="K622" s="261">
        <f t="shared" si="85"/>
        <v>3.0439839569592546E-4</v>
      </c>
      <c r="L622" s="261">
        <f t="shared" si="84"/>
        <v>3.0439839569592546E-4</v>
      </c>
      <c r="M622" s="261">
        <f t="shared" si="86"/>
        <v>3.2566920064453847E-4</v>
      </c>
    </row>
    <row r="623" spans="1:16" ht="15" customHeight="1" x14ac:dyDescent="0.25">
      <c r="A623" s="2" t="s">
        <v>914</v>
      </c>
      <c r="B623" s="2" t="s">
        <v>165</v>
      </c>
      <c r="C623" s="2" t="s">
        <v>731</v>
      </c>
      <c r="D623" s="2" t="s">
        <v>763</v>
      </c>
      <c r="E623" s="15" t="s">
        <v>836</v>
      </c>
      <c r="F623" s="259" t="s">
        <v>343</v>
      </c>
      <c r="G623" s="260">
        <f>opex_sources!H76/(opex_sources!H67+0*opex_sources!H76+0*opex_sources!H85)</f>
        <v>12.758139534883721</v>
      </c>
      <c r="H623" s="260">
        <f>opex_sources!H76/opex_sources!H76</f>
        <v>1</v>
      </c>
      <c r="I623" s="260">
        <f t="shared" si="83"/>
        <v>12.758139534883721</v>
      </c>
      <c r="J623" s="261">
        <f>opex_orig!$AO$102</f>
        <v>2.20018358998826E-8</v>
      </c>
      <c r="K623" s="261">
        <f t="shared" si="85"/>
        <v>2.8070249243431615E-7</v>
      </c>
      <c r="L623" s="261">
        <f t="shared" si="84"/>
        <v>2.8070249243431615E-7</v>
      </c>
      <c r="M623" s="261">
        <f t="shared" si="86"/>
        <v>3.0031747086253451E-7</v>
      </c>
    </row>
    <row r="624" spans="1:16" ht="15" customHeight="1" x14ac:dyDescent="0.25">
      <c r="A624" s="2" t="s">
        <v>914</v>
      </c>
      <c r="B624" s="2" t="s">
        <v>165</v>
      </c>
      <c r="C624" s="2" t="s">
        <v>731</v>
      </c>
      <c r="D624" s="2" t="s">
        <v>763</v>
      </c>
      <c r="E624" s="15" t="s">
        <v>836</v>
      </c>
      <c r="F624" s="259" t="s">
        <v>10</v>
      </c>
      <c r="G624" s="260">
        <f>opex_sources!H76/(opex_sources!H67+0*opex_sources!H76+0*opex_sources!H85)</f>
        <v>12.758139534883721</v>
      </c>
      <c r="H624" s="260">
        <f>opex_sources!H76/opex_sources!H76</f>
        <v>1</v>
      </c>
      <c r="I624" s="260">
        <f t="shared" si="83"/>
        <v>12.758139534883721</v>
      </c>
      <c r="J624" s="261">
        <f>opex_orig!$AO$103</f>
        <v>4.8587582379900104E-6</v>
      </c>
      <c r="K624" s="261">
        <f t="shared" si="85"/>
        <v>6.1988715566542316E-5</v>
      </c>
      <c r="L624" s="261">
        <f t="shared" si="84"/>
        <v>6.1988715566542316E-5</v>
      </c>
      <c r="M624" s="261">
        <f t="shared" si="86"/>
        <v>6.6320373999946547E-5</v>
      </c>
    </row>
    <row r="625" spans="1:16" ht="15" customHeight="1" x14ac:dyDescent="0.25">
      <c r="A625" s="2" t="s">
        <v>914</v>
      </c>
      <c r="B625" s="2" t="s">
        <v>165</v>
      </c>
      <c r="C625" s="2" t="s">
        <v>731</v>
      </c>
      <c r="D625" s="2" t="s">
        <v>763</v>
      </c>
      <c r="E625" s="15" t="s">
        <v>836</v>
      </c>
      <c r="F625" s="259" t="s">
        <v>12</v>
      </c>
      <c r="G625" s="260">
        <f>opex_sources!H76/(opex_sources!H67+0*opex_sources!H76+0*opex_sources!H85)</f>
        <v>12.758139534883721</v>
      </c>
      <c r="H625" s="260">
        <f>opex_sources!H76/opex_sources!H76</f>
        <v>1</v>
      </c>
      <c r="I625" s="260">
        <f t="shared" si="83"/>
        <v>12.758139534883721</v>
      </c>
      <c r="J625" s="261">
        <f>opex_orig!$AO$104</f>
        <v>2.42048182205621E-4</v>
      </c>
      <c r="K625" s="261">
        <f t="shared" si="85"/>
        <v>3.0880844827442717E-3</v>
      </c>
      <c r="L625" s="261">
        <f t="shared" si="84"/>
        <v>3.0880844827442717E-3</v>
      </c>
      <c r="M625" s="261">
        <f t="shared" si="86"/>
        <v>3.3038741965734737E-3</v>
      </c>
    </row>
    <row r="626" spans="1:16" ht="15" customHeight="1" x14ac:dyDescent="0.25">
      <c r="A626" s="2" t="s">
        <v>914</v>
      </c>
      <c r="B626" s="2" t="s">
        <v>165</v>
      </c>
      <c r="C626" s="2" t="s">
        <v>731</v>
      </c>
      <c r="D626" s="2" t="s">
        <v>763</v>
      </c>
      <c r="E626" s="15" t="s">
        <v>836</v>
      </c>
      <c r="F626" s="259" t="s">
        <v>340</v>
      </c>
      <c r="G626" s="260">
        <f>opex_sources!H76/(opex_sources!H67+0*opex_sources!H76+0*opex_sources!H85)</f>
        <v>12.758139534883721</v>
      </c>
      <c r="H626" s="260">
        <f>opex_sources!H76/opex_sources!H76</f>
        <v>1</v>
      </c>
      <c r="I626" s="260">
        <f t="shared" si="83"/>
        <v>12.758139534883721</v>
      </c>
      <c r="J626" s="261">
        <f>opex_orig!$AO$105</f>
        <v>7.4704670047328204E-5</v>
      </c>
      <c r="K626" s="261">
        <f t="shared" si="85"/>
        <v>9.530926043712617E-4</v>
      </c>
      <c r="L626" s="261">
        <f t="shared" si="84"/>
        <v>9.530926043712617E-4</v>
      </c>
      <c r="M626" s="261">
        <f t="shared" si="86"/>
        <v>1.0196929780006882E-3</v>
      </c>
    </row>
    <row r="627" spans="1:16" ht="15" customHeight="1" x14ac:dyDescent="0.25">
      <c r="A627" s="2" t="s">
        <v>914</v>
      </c>
      <c r="B627" s="2" t="s">
        <v>165</v>
      </c>
      <c r="C627" s="2" t="s">
        <v>731</v>
      </c>
      <c r="D627" s="2" t="s">
        <v>763</v>
      </c>
      <c r="E627" s="15" t="s">
        <v>836</v>
      </c>
      <c r="F627" s="259" t="s">
        <v>341</v>
      </c>
      <c r="G627" s="260">
        <f>opex_sources!H76/(opex_sources!H67+0*opex_sources!H76+0*opex_sources!H85)</f>
        <v>12.758139534883721</v>
      </c>
      <c r="H627" s="260">
        <f>opex_sources!H76/opex_sources!H76</f>
        <v>1</v>
      </c>
      <c r="I627" s="260">
        <f t="shared" si="83"/>
        <v>12.758139534883721</v>
      </c>
      <c r="J627" s="261">
        <f>opex_orig!$AO$106</f>
        <v>3.9476265143633502E-5</v>
      </c>
      <c r="K627" s="261">
        <f t="shared" si="85"/>
        <v>5.0364369901854283E-4</v>
      </c>
      <c r="L627" s="261">
        <f t="shared" si="84"/>
        <v>5.0364369901854283E-4</v>
      </c>
      <c r="M627" s="261">
        <f t="shared" si="86"/>
        <v>5.3883740252321855E-4</v>
      </c>
    </row>
    <row r="628" spans="1:16" ht="15" customHeight="1" x14ac:dyDescent="0.25">
      <c r="A628" s="2" t="s">
        <v>914</v>
      </c>
      <c r="B628" s="2" t="s">
        <v>165</v>
      </c>
      <c r="C628" s="2" t="s">
        <v>731</v>
      </c>
      <c r="D628" s="2" t="s">
        <v>763</v>
      </c>
      <c r="E628" s="15" t="s">
        <v>836</v>
      </c>
      <c r="F628" s="259" t="s">
        <v>14</v>
      </c>
      <c r="G628" s="260">
        <f>opex_sources!H76/(opex_sources!H67+0*opex_sources!H76+0*opex_sources!H85)</f>
        <v>12.758139534883721</v>
      </c>
      <c r="H628" s="260">
        <f>opex_sources!H76/opex_sources!H76</f>
        <v>1</v>
      </c>
      <c r="I628" s="260">
        <f t="shared" si="83"/>
        <v>12.758139534883721</v>
      </c>
      <c r="J628" s="261">
        <f>opex_orig!$AO$107</f>
        <v>1.91337258228685E-10</v>
      </c>
      <c r="K628" s="261">
        <f t="shared" si="85"/>
        <v>2.441107438703642E-9</v>
      </c>
      <c r="L628" s="261">
        <f t="shared" si="84"/>
        <v>2.441107438703642E-9</v>
      </c>
      <c r="M628" s="261">
        <f t="shared" si="86"/>
        <v>2.6116875761861751E-9</v>
      </c>
    </row>
    <row r="629" spans="1:16" ht="15" customHeight="1" x14ac:dyDescent="0.25">
      <c r="A629" s="2" t="s">
        <v>914</v>
      </c>
      <c r="B629" s="2" t="s">
        <v>165</v>
      </c>
      <c r="C629" s="2" t="s">
        <v>731</v>
      </c>
      <c r="D629" s="2" t="s">
        <v>763</v>
      </c>
      <c r="E629" s="15" t="s">
        <v>836</v>
      </c>
      <c r="F629" s="259" t="s">
        <v>16</v>
      </c>
      <c r="G629" s="260">
        <f>opex_sources!H76/(opex_sources!H67+0*opex_sources!H76+0*opex_sources!H85)</f>
        <v>12.758139534883721</v>
      </c>
      <c r="H629" s="260">
        <f>opex_sources!H76/opex_sources!H76</f>
        <v>1</v>
      </c>
      <c r="I629" s="260">
        <f t="shared" si="83"/>
        <v>12.758139534883721</v>
      </c>
      <c r="J629" s="261">
        <f>opex_orig!$AO$108</f>
        <v>2.1652850795599999E-11</v>
      </c>
      <c r="K629" s="261">
        <f t="shared" si="85"/>
        <v>2.762500917782828E-10</v>
      </c>
      <c r="L629" s="261">
        <f t="shared" si="84"/>
        <v>2.762500917782828E-10</v>
      </c>
      <c r="M629" s="261">
        <f t="shared" si="86"/>
        <v>2.9555394456574003E-10</v>
      </c>
    </row>
    <row r="630" spans="1:16" ht="15" customHeight="1" x14ac:dyDescent="0.25">
      <c r="A630" s="2" t="s">
        <v>914</v>
      </c>
      <c r="B630" s="2" t="s">
        <v>165</v>
      </c>
      <c r="C630" s="2" t="s">
        <v>731</v>
      </c>
      <c r="D630" s="2" t="s">
        <v>763</v>
      </c>
      <c r="E630" s="15" t="s">
        <v>836</v>
      </c>
      <c r="F630" s="259" t="s">
        <v>18</v>
      </c>
      <c r="G630" s="260">
        <f>opex_sources!H76/(opex_sources!H67+0*opex_sources!H76+0*opex_sources!H85)</f>
        <v>12.758139534883721</v>
      </c>
      <c r="H630" s="260">
        <f>opex_sources!H76/opex_sources!H76</f>
        <v>1</v>
      </c>
      <c r="I630" s="260">
        <f t="shared" si="83"/>
        <v>12.758139534883721</v>
      </c>
      <c r="J630" s="261">
        <f>opex_orig!$AO$109</f>
        <v>6.7931192020269998E-8</v>
      </c>
      <c r="K630" s="261">
        <f t="shared" si="85"/>
        <v>8.6667562656558422E-7</v>
      </c>
      <c r="L630" s="261">
        <f t="shared" si="84"/>
        <v>8.6667562656558422E-7</v>
      </c>
      <c r="M630" s="261">
        <f t="shared" si="86"/>
        <v>9.272373393310116E-7</v>
      </c>
    </row>
    <row r="631" spans="1:16" ht="15" customHeight="1" x14ac:dyDescent="0.25">
      <c r="A631" s="2" t="s">
        <v>914</v>
      </c>
      <c r="B631" s="2" t="s">
        <v>165</v>
      </c>
      <c r="C631" s="2" t="s">
        <v>731</v>
      </c>
      <c r="D631" s="2" t="s">
        <v>763</v>
      </c>
      <c r="E631" s="15" t="s">
        <v>836</v>
      </c>
      <c r="F631" s="259" t="s">
        <v>20</v>
      </c>
      <c r="G631" s="260">
        <f>opex_sources!H76/(opex_sources!H67+0*opex_sources!H76+0*opex_sources!H85)</f>
        <v>12.758139534883721</v>
      </c>
      <c r="H631" s="260">
        <f>opex_sources!H76/opex_sources!H76</f>
        <v>1</v>
      </c>
      <c r="I631" s="260">
        <f t="shared" si="83"/>
        <v>12.758139534883721</v>
      </c>
      <c r="J631" s="261">
        <f>opex_orig!$AO$110</f>
        <v>1.79797761095058E-4</v>
      </c>
      <c r="K631" s="261">
        <f t="shared" si="85"/>
        <v>2.2938849241104379E-3</v>
      </c>
      <c r="L631" s="261">
        <f t="shared" si="84"/>
        <v>2.2938849241104379E-3</v>
      </c>
      <c r="M631" s="261">
        <f t="shared" si="86"/>
        <v>2.4541774206716157E-3</v>
      </c>
    </row>
    <row r="632" spans="1:16" ht="15" customHeight="1" x14ac:dyDescent="0.25">
      <c r="A632" s="2" t="s">
        <v>914</v>
      </c>
      <c r="B632" s="2" t="s">
        <v>165</v>
      </c>
      <c r="C632" s="2" t="s">
        <v>731</v>
      </c>
      <c r="D632" s="2" t="s">
        <v>763</v>
      </c>
      <c r="E632" s="15" t="s">
        <v>836</v>
      </c>
      <c r="F632" s="259" t="s">
        <v>213</v>
      </c>
      <c r="G632" s="260">
        <f>opex_sources!H76/(opex_sources!H67+0*opex_sources!H76+0*opex_sources!H85)</f>
        <v>12.758139534883721</v>
      </c>
      <c r="H632" s="260">
        <f>opex_sources!H76/opex_sources!H76</f>
        <v>1</v>
      </c>
      <c r="I632" s="260">
        <f t="shared" si="83"/>
        <v>12.758139534883721</v>
      </c>
      <c r="J632" s="261">
        <f>opex_orig!$AO$111</f>
        <v>1.03280880735687E-3</v>
      </c>
      <c r="K632" s="261">
        <f t="shared" si="85"/>
        <v>1.3176718877115788E-2</v>
      </c>
      <c r="L632" s="261">
        <f t="shared" si="84"/>
        <v>1.3176718877115788E-2</v>
      </c>
      <c r="M632" s="261">
        <f t="shared" si="86"/>
        <v>1.4097483970036377E-2</v>
      </c>
    </row>
    <row r="633" spans="1:16" ht="15" customHeight="1" x14ac:dyDescent="0.25">
      <c r="A633" s="2" t="s">
        <v>914</v>
      </c>
      <c r="B633" s="2" t="s">
        <v>165</v>
      </c>
      <c r="C633" s="2" t="s">
        <v>731</v>
      </c>
      <c r="D633" s="2" t="s">
        <v>763</v>
      </c>
      <c r="E633" s="15" t="s">
        <v>836</v>
      </c>
      <c r="F633" s="259" t="s">
        <v>215</v>
      </c>
      <c r="G633" s="260">
        <f>opex_sources!H76/(opex_sources!H67+0*opex_sources!H76+0*opex_sources!H85)</f>
        <v>12.758139534883721</v>
      </c>
      <c r="H633" s="260">
        <f>opex_sources!H76/opex_sources!H76</f>
        <v>1</v>
      </c>
      <c r="I633" s="260">
        <f t="shared" si="83"/>
        <v>12.758139534883721</v>
      </c>
      <c r="J633" s="261">
        <f>opex_orig!$AO$112</f>
        <v>1.6066188344992999E-3</v>
      </c>
      <c r="K633" s="261">
        <f t="shared" si="85"/>
        <v>2.0497467269914325E-2</v>
      </c>
      <c r="L633" s="261">
        <f t="shared" si="84"/>
        <v>2.0497467269914325E-2</v>
      </c>
      <c r="M633" s="261">
        <f t="shared" si="86"/>
        <v>2.1929792914213913E-2</v>
      </c>
    </row>
    <row r="634" spans="1:16" ht="15" customHeight="1" x14ac:dyDescent="0.25">
      <c r="A634" s="2" t="s">
        <v>914</v>
      </c>
      <c r="B634" s="2" t="s">
        <v>165</v>
      </c>
      <c r="C634" s="2" t="s">
        <v>731</v>
      </c>
      <c r="D634" s="2" t="s">
        <v>763</v>
      </c>
      <c r="E634" s="15" t="s">
        <v>965</v>
      </c>
      <c r="F634" s="344" t="s">
        <v>71</v>
      </c>
      <c r="G634" s="345">
        <f>opex_sources!H77/(opex_sources!H68+0*opex_sources!H77+0*opex_sources!H86)</f>
        <v>0.88178294573643412</v>
      </c>
      <c r="H634" s="345">
        <f>opex_sources!H77/opex_sources!H77</f>
        <v>1</v>
      </c>
      <c r="I634" s="345">
        <f t="shared" si="83"/>
        <v>0.88178294573643412</v>
      </c>
      <c r="J634" s="346">
        <f>opex_orig!$AO$26</f>
        <v>3.6259517943428798E-2</v>
      </c>
      <c r="K634" s="346">
        <f t="shared" si="85"/>
        <v>3.1973024543139737E-2</v>
      </c>
      <c r="L634" s="346">
        <f t="shared" si="84"/>
        <v>3.1973024543139737E-2</v>
      </c>
      <c r="M634" s="346">
        <f t="shared" si="86"/>
        <v>3.42072412088337E-2</v>
      </c>
      <c r="N634" s="187">
        <f>opex_sources!H77</f>
        <v>0.23255813953488372</v>
      </c>
      <c r="O634" s="187">
        <f>SUM(L634:L637)/L$656</f>
        <v>0.12179650032670163</v>
      </c>
      <c r="P634" s="15" t="s">
        <v>965</v>
      </c>
    </row>
    <row r="635" spans="1:16" ht="15" customHeight="1" x14ac:dyDescent="0.25">
      <c r="A635" s="2" t="s">
        <v>914</v>
      </c>
      <c r="B635" s="2" t="s">
        <v>165</v>
      </c>
      <c r="C635" s="2" t="s">
        <v>731</v>
      </c>
      <c r="D635" s="2" t="s">
        <v>763</v>
      </c>
      <c r="E635" s="15" t="s">
        <v>965</v>
      </c>
      <c r="F635" s="347" t="s">
        <v>73</v>
      </c>
      <c r="G635" s="345">
        <f>opex_sources!H77/(opex_sources!H68+0*opex_sources!H77+0*opex_sources!H86)</f>
        <v>0.88178294573643412</v>
      </c>
      <c r="H635" s="345">
        <f>opex_sources!H77/opex_sources!H77</f>
        <v>1</v>
      </c>
      <c r="I635" s="345">
        <f t="shared" si="83"/>
        <v>0.88178294573643412</v>
      </c>
      <c r="J635" s="346">
        <f>opex_orig!$AO$27</f>
        <v>2.3574331783123001E-2</v>
      </c>
      <c r="K635" s="346">
        <f t="shared" si="85"/>
        <v>2.0787443723490243E-2</v>
      </c>
      <c r="L635" s="346">
        <f t="shared" si="84"/>
        <v>2.0787443723490243E-2</v>
      </c>
      <c r="M635" s="346">
        <f t="shared" si="86"/>
        <v>2.2240032393715449E-2</v>
      </c>
      <c r="P635" s="15"/>
    </row>
    <row r="636" spans="1:16" ht="15" customHeight="1" x14ac:dyDescent="0.25">
      <c r="A636" s="2" t="s">
        <v>914</v>
      </c>
      <c r="B636" s="2" t="s">
        <v>165</v>
      </c>
      <c r="C636" s="2" t="s">
        <v>731</v>
      </c>
      <c r="D636" s="2" t="s">
        <v>763</v>
      </c>
      <c r="E636" s="15" t="s">
        <v>965</v>
      </c>
      <c r="F636" s="347" t="s">
        <v>79</v>
      </c>
      <c r="G636" s="345">
        <f>opex_sources!H77/(opex_sources!H68+0*opex_sources!H77+0*opex_sources!H86)</f>
        <v>0.88178294573643412</v>
      </c>
      <c r="H636" s="345">
        <f>opex_sources!H77/opex_sources!H77</f>
        <v>1</v>
      </c>
      <c r="I636" s="345">
        <f t="shared" si="83"/>
        <v>0.88178294573643412</v>
      </c>
      <c r="J636" s="346">
        <f>opex_orig!$AO$30</f>
        <v>6.7444747463274298E-3</v>
      </c>
      <c r="K636" s="346">
        <f t="shared" si="85"/>
        <v>5.9471628092615907E-3</v>
      </c>
      <c r="L636" s="346">
        <f t="shared" si="84"/>
        <v>5.9471628092615907E-3</v>
      </c>
      <c r="M636" s="346">
        <f t="shared" si="86"/>
        <v>6.3627397042193912E-3</v>
      </c>
      <c r="P636" s="15"/>
    </row>
    <row r="637" spans="1:16" ht="15" customHeight="1" x14ac:dyDescent="0.25">
      <c r="A637" s="2" t="s">
        <v>914</v>
      </c>
      <c r="B637" s="2" t="s">
        <v>165</v>
      </c>
      <c r="C637" s="2" t="s">
        <v>731</v>
      </c>
      <c r="D637" s="2" t="s">
        <v>763</v>
      </c>
      <c r="E637" s="15" t="s">
        <v>965</v>
      </c>
      <c r="F637" s="280" t="s">
        <v>189</v>
      </c>
      <c r="G637" s="282">
        <f>opex_sources!H77/(opex_sources!H68+0*opex_sources!H77+0*opex_sources!H86)</f>
        <v>0.88178294573643412</v>
      </c>
      <c r="H637" s="282">
        <f>opex_sources!H77/(opex_sources!H77+opex_sources!H80)</f>
        <v>0.74626865671641784</v>
      </c>
      <c r="I637" s="282">
        <f t="shared" si="83"/>
        <v>0.65804697443017468</v>
      </c>
      <c r="J637" s="234">
        <f>opex_orig!$AO$85</f>
        <v>6.16658202414841E-2</v>
      </c>
      <c r="K637" s="234">
        <f>J637*(I637+I645)</f>
        <v>6.0446487986564552E-2</v>
      </c>
      <c r="L637" s="234">
        <f t="shared" si="84"/>
        <v>4.5109319392958619E-2</v>
      </c>
      <c r="M637" s="234">
        <f t="shared" si="86"/>
        <v>6.4670378368284154E-2</v>
      </c>
      <c r="P637" s="15"/>
    </row>
    <row r="638" spans="1:16" ht="15" customHeight="1" x14ac:dyDescent="0.25">
      <c r="A638" s="2" t="s">
        <v>914</v>
      </c>
      <c r="B638" s="2" t="s">
        <v>165</v>
      </c>
      <c r="C638" s="2" t="s">
        <v>731</v>
      </c>
      <c r="D638" s="2" t="s">
        <v>763</v>
      </c>
      <c r="E638" s="303" t="s">
        <v>962</v>
      </c>
      <c r="F638" s="319" t="s">
        <v>167</v>
      </c>
      <c r="G638" s="307"/>
      <c r="H638" s="307">
        <v>0</v>
      </c>
      <c r="I638" s="283">
        <f t="shared" si="83"/>
        <v>0</v>
      </c>
      <c r="J638" s="284">
        <f>opex_orig!$AO$74</f>
        <v>3.8264487147094399E-2</v>
      </c>
      <c r="K638" s="284">
        <f t="shared" si="85"/>
        <v>0</v>
      </c>
      <c r="L638" s="284">
        <f t="shared" si="84"/>
        <v>0</v>
      </c>
      <c r="M638" s="284">
        <f t="shared" si="86"/>
        <v>0</v>
      </c>
      <c r="P638" s="15"/>
    </row>
    <row r="639" spans="1:16" ht="15" customHeight="1" x14ac:dyDescent="0.25">
      <c r="A639" s="2" t="s">
        <v>914</v>
      </c>
      <c r="B639" s="2" t="s">
        <v>165</v>
      </c>
      <c r="C639" s="2" t="s">
        <v>731</v>
      </c>
      <c r="D639" s="2" t="s">
        <v>763</v>
      </c>
      <c r="E639" s="303" t="s">
        <v>962</v>
      </c>
      <c r="F639" s="278" t="s">
        <v>175</v>
      </c>
      <c r="G639" s="307"/>
      <c r="H639" s="307">
        <v>0</v>
      </c>
      <c r="I639" s="283">
        <f t="shared" si="83"/>
        <v>0</v>
      </c>
      <c r="J639" s="284">
        <f>opex_orig!$AO$78</f>
        <v>5.7449224905340296E-3</v>
      </c>
      <c r="K639" s="284">
        <f t="shared" si="85"/>
        <v>0</v>
      </c>
      <c r="L639" s="284">
        <f t="shared" si="84"/>
        <v>0</v>
      </c>
      <c r="M639" s="284">
        <f t="shared" si="86"/>
        <v>0</v>
      </c>
    </row>
    <row r="640" spans="1:16" ht="15" customHeight="1" x14ac:dyDescent="0.25">
      <c r="A640" s="2" t="s">
        <v>914</v>
      </c>
      <c r="B640" s="2" t="s">
        <v>165</v>
      </c>
      <c r="C640" s="2" t="s">
        <v>731</v>
      </c>
      <c r="D640" s="2" t="s">
        <v>763</v>
      </c>
      <c r="E640" s="303" t="s">
        <v>962</v>
      </c>
      <c r="F640" s="278" t="s">
        <v>209</v>
      </c>
      <c r="G640" s="307"/>
      <c r="H640" s="307">
        <v>0</v>
      </c>
      <c r="I640" s="283">
        <f t="shared" si="83"/>
        <v>0</v>
      </c>
      <c r="J640" s="284">
        <f>opex_orig!$AO$95</f>
        <v>0.12297476016742501</v>
      </c>
      <c r="K640" s="284">
        <f t="shared" si="85"/>
        <v>0</v>
      </c>
      <c r="L640" s="284">
        <f t="shared" si="84"/>
        <v>0</v>
      </c>
      <c r="M640" s="284">
        <f t="shared" si="86"/>
        <v>0</v>
      </c>
    </row>
    <row r="641" spans="1:16" ht="15" customHeight="1" x14ac:dyDescent="0.25">
      <c r="A641" s="2" t="s">
        <v>914</v>
      </c>
      <c r="B641" s="2" t="s">
        <v>165</v>
      </c>
      <c r="C641" s="2" t="s">
        <v>731</v>
      </c>
      <c r="D641" s="2" t="s">
        <v>763</v>
      </c>
      <c r="E641" s="303" t="s">
        <v>966</v>
      </c>
      <c r="F641" s="267" t="s">
        <v>61</v>
      </c>
      <c r="G641" s="307"/>
      <c r="H641" s="307">
        <v>0</v>
      </c>
      <c r="I641" s="265">
        <f t="shared" si="83"/>
        <v>0</v>
      </c>
      <c r="J641" s="266">
        <f>opex_orig!$AO$21</f>
        <v>0.14362150773701499</v>
      </c>
      <c r="K641" s="266">
        <f t="shared" si="85"/>
        <v>0</v>
      </c>
      <c r="L641" s="266">
        <f t="shared" si="84"/>
        <v>0</v>
      </c>
      <c r="M641" s="266">
        <f t="shared" si="86"/>
        <v>0</v>
      </c>
      <c r="P641" s="15"/>
    </row>
    <row r="642" spans="1:16" ht="15" customHeight="1" x14ac:dyDescent="0.25">
      <c r="A642" s="2" t="s">
        <v>914</v>
      </c>
      <c r="B642" s="2" t="s">
        <v>165</v>
      </c>
      <c r="C642" s="2" t="s">
        <v>731</v>
      </c>
      <c r="D642" s="2" t="s">
        <v>763</v>
      </c>
      <c r="E642" s="303" t="s">
        <v>966</v>
      </c>
      <c r="F642" s="271" t="s">
        <v>135</v>
      </c>
      <c r="G642" s="307"/>
      <c r="H642" s="307">
        <v>0</v>
      </c>
      <c r="I642" s="262">
        <f t="shared" si="83"/>
        <v>0</v>
      </c>
      <c r="J642" s="263">
        <f>opex_orig!$AO$58</f>
        <v>7.5174037116861403E-3</v>
      </c>
      <c r="K642" s="263">
        <f t="shared" si="85"/>
        <v>0</v>
      </c>
      <c r="L642" s="263">
        <f t="shared" si="84"/>
        <v>0</v>
      </c>
      <c r="M642" s="263">
        <f t="shared" si="86"/>
        <v>0</v>
      </c>
    </row>
    <row r="643" spans="1:16" ht="15" customHeight="1" x14ac:dyDescent="0.25">
      <c r="A643" s="2" t="s">
        <v>914</v>
      </c>
      <c r="B643" s="2" t="s">
        <v>165</v>
      </c>
      <c r="C643" s="2" t="s">
        <v>731</v>
      </c>
      <c r="D643" s="2" t="s">
        <v>763</v>
      </c>
      <c r="E643" s="15" t="s">
        <v>335</v>
      </c>
      <c r="F643" s="264" t="s">
        <v>121</v>
      </c>
      <c r="G643" s="230">
        <f>opex_sources!H80/(opex_sources!H71+0*opex_sources!H80+0*opex_sources!H89)</f>
        <v>1.269767441860465</v>
      </c>
      <c r="H643" s="230">
        <f>opex_sources!H80/opex_sources!H80</f>
        <v>1</v>
      </c>
      <c r="I643" s="230">
        <f t="shared" si="83"/>
        <v>1.269767441860465</v>
      </c>
      <c r="J643" s="231">
        <f>opex_orig!$AO$51</f>
        <v>2.7790431304786499E-2</v>
      </c>
      <c r="K643" s="231">
        <f t="shared" si="85"/>
        <v>3.5287384866077735E-2</v>
      </c>
      <c r="L643" s="231">
        <f t="shared" si="84"/>
        <v>3.5287384866077735E-2</v>
      </c>
      <c r="M643" s="231">
        <f t="shared" si="86"/>
        <v>3.7753202988794685E-2</v>
      </c>
      <c r="N643" s="187">
        <f>opex_sources!H80</f>
        <v>7.9069767441860464E-2</v>
      </c>
      <c r="O643" s="187">
        <f>SUM(L643:L654)/L$656</f>
        <v>0.41633355459823457</v>
      </c>
      <c r="P643" s="15" t="s">
        <v>335</v>
      </c>
    </row>
    <row r="644" spans="1:16" ht="15" customHeight="1" x14ac:dyDescent="0.25">
      <c r="A644" s="2" t="s">
        <v>914</v>
      </c>
      <c r="B644" s="2" t="s">
        <v>165</v>
      </c>
      <c r="C644" s="2" t="s">
        <v>731</v>
      </c>
      <c r="D644" s="2" t="s">
        <v>763</v>
      </c>
      <c r="E644" s="15" t="s">
        <v>335</v>
      </c>
      <c r="F644" s="318" t="s">
        <v>165</v>
      </c>
      <c r="G644" s="292">
        <f>opex_sources!H80/(opex_sources!H71+0*opex_sources!H80+0*opex_sources!H89)</f>
        <v>1.269767441860465</v>
      </c>
      <c r="H644" s="292">
        <f>opex_sources!H80/opex_sources!H80</f>
        <v>1</v>
      </c>
      <c r="I644" s="292">
        <f t="shared" si="83"/>
        <v>1.269767441860465</v>
      </c>
      <c r="J644" s="293">
        <f>opex_orig!$AO$73</f>
        <v>8.0744457062183E-2</v>
      </c>
      <c r="K644" s="293">
        <f>J644*(I616+I644)</f>
        <v>0.10252668268826026</v>
      </c>
      <c r="L644" s="293">
        <f t="shared" si="84"/>
        <v>0.10252668268826026</v>
      </c>
      <c r="M644" s="293">
        <f t="shared" si="86"/>
        <v>0.10969106036017423</v>
      </c>
    </row>
    <row r="645" spans="1:16" ht="15" customHeight="1" x14ac:dyDescent="0.25">
      <c r="A645" s="2" t="s">
        <v>914</v>
      </c>
      <c r="B645" s="2" t="s">
        <v>165</v>
      </c>
      <c r="C645" s="2" t="s">
        <v>731</v>
      </c>
      <c r="D645" s="2" t="s">
        <v>763</v>
      </c>
      <c r="E645" s="15" t="s">
        <v>335</v>
      </c>
      <c r="F645" s="280" t="s">
        <v>189</v>
      </c>
      <c r="G645" s="282">
        <f>opex_sources!H80/(opex_sources!H71+0*opex_sources!H80+0*opex_sources!H89)</f>
        <v>1.269767441860465</v>
      </c>
      <c r="H645" s="282">
        <f>opex_sources!H80/(opex_sources!H77+opex_sources!H80)</f>
        <v>0.2537313432835821</v>
      </c>
      <c r="I645" s="282">
        <f t="shared" si="83"/>
        <v>0.32217979868101354</v>
      </c>
      <c r="J645" s="234">
        <f>opex_orig!$AO$85</f>
        <v>6.16658202414841E-2</v>
      </c>
      <c r="K645" s="234">
        <f>J645*(I637+I645)</f>
        <v>6.0446487986564552E-2</v>
      </c>
      <c r="L645" s="234">
        <f t="shared" si="84"/>
        <v>1.5337168593605932E-2</v>
      </c>
      <c r="M645" s="234">
        <f t="shared" si="86"/>
        <v>6.4670378368284154E-2</v>
      </c>
    </row>
    <row r="646" spans="1:16" ht="15" customHeight="1" x14ac:dyDescent="0.25">
      <c r="A646" s="2" t="s">
        <v>914</v>
      </c>
      <c r="B646" s="2" t="s">
        <v>165</v>
      </c>
      <c r="C646" s="2" t="s">
        <v>731</v>
      </c>
      <c r="D646" s="2" t="s">
        <v>763</v>
      </c>
      <c r="E646" s="15" t="s">
        <v>335</v>
      </c>
      <c r="F646" s="222" t="s">
        <v>191</v>
      </c>
      <c r="G646" s="285">
        <f>opex_sources!H80/(opex_sources!H71+0*opex_sources!H80+0*opex_sources!H89)</f>
        <v>1.269767441860465</v>
      </c>
      <c r="H646" s="285">
        <f>opex_sources!H80/(opex_sources!H74+opex_sources!H80)</f>
        <v>0.22566371681415931</v>
      </c>
      <c r="I646" s="285">
        <f t="shared" si="83"/>
        <v>0.28654044041983945</v>
      </c>
      <c r="J646" s="341">
        <f>opex_orig!$AO$86</f>
        <v>8.6184981834572197E-2</v>
      </c>
      <c r="K646" s="341">
        <f>J646*(I611+I646)</f>
        <v>8.1188416824734974E-2</v>
      </c>
      <c r="L646" s="341">
        <f t="shared" si="84"/>
        <v>1.832127990292692E-2</v>
      </c>
      <c r="M646" s="341">
        <f t="shared" si="86"/>
        <v>8.6861715379470905E-2</v>
      </c>
    </row>
    <row r="647" spans="1:16" ht="15" customHeight="1" x14ac:dyDescent="0.25">
      <c r="A647" s="2" t="s">
        <v>914</v>
      </c>
      <c r="B647" s="2" t="s">
        <v>165</v>
      </c>
      <c r="C647" s="2" t="s">
        <v>731</v>
      </c>
      <c r="D647" s="2" t="s">
        <v>763</v>
      </c>
      <c r="E647" s="15" t="s">
        <v>335</v>
      </c>
      <c r="F647" s="199" t="s">
        <v>193</v>
      </c>
      <c r="G647" s="329">
        <f>opex_sources!H80/(opex_sources!H71+0*opex_sources!H80+0*opex_sources!H89)</f>
        <v>1.269767441860465</v>
      </c>
      <c r="H647" s="329">
        <f>opex_sources!H80/opex_sources!H80</f>
        <v>1</v>
      </c>
      <c r="I647" s="329">
        <f t="shared" si="83"/>
        <v>1.269767441860465</v>
      </c>
      <c r="J647" s="342">
        <f>opex_orig!$AO$87</f>
        <v>7.6912936999679804E-3</v>
      </c>
      <c r="K647" s="342">
        <f t="shared" si="85"/>
        <v>9.7661543260058534E-3</v>
      </c>
      <c r="L647" s="342">
        <f t="shared" si="84"/>
        <v>9.7661543260058534E-3</v>
      </c>
      <c r="M647" s="342">
        <f t="shared" si="86"/>
        <v>1.0448595385826801E-2</v>
      </c>
    </row>
    <row r="648" spans="1:16" ht="15" customHeight="1" x14ac:dyDescent="0.25">
      <c r="A648" s="2" t="s">
        <v>914</v>
      </c>
      <c r="B648" s="2" t="s">
        <v>165</v>
      </c>
      <c r="C648" s="2" t="s">
        <v>731</v>
      </c>
      <c r="D648" s="2" t="s">
        <v>763</v>
      </c>
      <c r="E648" s="15" t="s">
        <v>335</v>
      </c>
      <c r="F648" s="209" t="s">
        <v>203</v>
      </c>
      <c r="G648" s="331">
        <f>opex_sources!H80/(opex_sources!H71+0*opex_sources!H80+0*opex_sources!H89)</f>
        <v>1.269767441860465</v>
      </c>
      <c r="H648" s="331">
        <f>opex_sources!H80/opex_sources!H80</f>
        <v>1</v>
      </c>
      <c r="I648" s="331">
        <f t="shared" si="83"/>
        <v>1.269767441860465</v>
      </c>
      <c r="J648" s="343">
        <f>opex_orig!$AO$92</f>
        <v>2.89704417220501E-2</v>
      </c>
      <c r="K648" s="343">
        <f t="shared" si="85"/>
        <v>3.6785723674975242E-2</v>
      </c>
      <c r="L648" s="343">
        <f t="shared" si="84"/>
        <v>3.6785723674975242E-2</v>
      </c>
      <c r="M648" s="343">
        <f t="shared" si="86"/>
        <v>3.9356242982066476E-2</v>
      </c>
    </row>
    <row r="649" spans="1:16" ht="15" customHeight="1" x14ac:dyDescent="0.25">
      <c r="A649" s="2" t="s">
        <v>914</v>
      </c>
      <c r="B649" s="2" t="s">
        <v>165</v>
      </c>
      <c r="C649" s="2" t="s">
        <v>731</v>
      </c>
      <c r="D649" s="2" t="s">
        <v>763</v>
      </c>
      <c r="E649" s="15" t="s">
        <v>335</v>
      </c>
      <c r="F649" s="191" t="s">
        <v>239</v>
      </c>
      <c r="G649" s="192">
        <f>opex_sources!H80/(opex_sources!H71+0*opex_sources!H80+0*opex_sources!H89)</f>
        <v>1.269767441860465</v>
      </c>
      <c r="H649" s="192">
        <f>opex_sources!H80/opex_sources!H80</f>
        <v>1</v>
      </c>
      <c r="I649" s="192">
        <f t="shared" si="83"/>
        <v>1.269767441860465</v>
      </c>
      <c r="J649" s="217">
        <f>opex_orig!$AO$124</f>
        <v>1.08120372992614E-2</v>
      </c>
      <c r="K649" s="217">
        <f>J649*I649</f>
        <v>1.3728772942783079E-2</v>
      </c>
      <c r="L649" s="217">
        <f t="shared" si="84"/>
        <v>1.3728772942783079E-2</v>
      </c>
      <c r="M649" s="217">
        <f t="shared" si="86"/>
        <v>1.4688114567373789E-2</v>
      </c>
    </row>
    <row r="650" spans="1:16" ht="15" customHeight="1" x14ac:dyDescent="0.25">
      <c r="A650" s="2" t="s">
        <v>914</v>
      </c>
      <c r="B650" s="2" t="s">
        <v>165</v>
      </c>
      <c r="C650" s="2" t="s">
        <v>731</v>
      </c>
      <c r="D650" s="2" t="s">
        <v>763</v>
      </c>
      <c r="E650" s="15" t="s">
        <v>335</v>
      </c>
      <c r="F650" s="255" t="s">
        <v>249</v>
      </c>
      <c r="G650" s="256">
        <f>opex_sources!H80/(opex_sources!H71+0*opex_sources!H80+0*opex_sources!H89)</f>
        <v>1.269767441860465</v>
      </c>
      <c r="H650" s="256">
        <f>opex_sources!H80/opex_sources!H80</f>
        <v>1</v>
      </c>
      <c r="I650" s="256">
        <f t="shared" si="83"/>
        <v>1.269767441860465</v>
      </c>
      <c r="J650" s="257">
        <f>opex_orig!$AO$129</f>
        <v>1.8017444205891301E-2</v>
      </c>
      <c r="K650" s="257">
        <f>J650*(I617+I650)</f>
        <v>2.2877964038178253E-2</v>
      </c>
      <c r="L650" s="257">
        <f t="shared" si="84"/>
        <v>2.2877964038178253E-2</v>
      </c>
      <c r="M650" s="257">
        <f t="shared" si="86"/>
        <v>2.4476634456808144E-2</v>
      </c>
    </row>
    <row r="651" spans="1:16" ht="15" customHeight="1" x14ac:dyDescent="0.25">
      <c r="A651" s="2" t="s">
        <v>914</v>
      </c>
      <c r="B651" s="2" t="s">
        <v>165</v>
      </c>
      <c r="C651" s="2" t="s">
        <v>731</v>
      </c>
      <c r="D651" s="2" t="s">
        <v>763</v>
      </c>
      <c r="E651" s="15" t="s">
        <v>335</v>
      </c>
      <c r="F651" s="290" t="s">
        <v>267</v>
      </c>
      <c r="G651" s="198">
        <f>opex_sources!H80/(opex_sources!H71+0*opex_sources!H80+0*opex_sources!H89)</f>
        <v>1.269767441860465</v>
      </c>
      <c r="H651" s="198">
        <f>opex_sources!H80/(opex_sources!H74+opex_sources!H80)</f>
        <v>0.22566371681415931</v>
      </c>
      <c r="I651" s="198">
        <f t="shared" si="83"/>
        <v>0.28654044041983945</v>
      </c>
      <c r="J651" s="208">
        <f>opex_orig!$AO$138</f>
        <v>5.7703633663306999E-3</v>
      </c>
      <c r="K651" s="208">
        <f>J651*(I615+I651)</f>
        <v>5.4358271736376839E-3</v>
      </c>
      <c r="L651" s="208">
        <f t="shared" si="84"/>
        <v>1.2266689639624862E-3</v>
      </c>
      <c r="M651" s="208">
        <f t="shared" si="86"/>
        <v>5.815672866583842E-3</v>
      </c>
    </row>
    <row r="652" spans="1:16" ht="15" customHeight="1" x14ac:dyDescent="0.25">
      <c r="A652" s="2" t="s">
        <v>914</v>
      </c>
      <c r="B652" s="2" t="s">
        <v>165</v>
      </c>
      <c r="C652" s="2" t="s">
        <v>731</v>
      </c>
      <c r="D652" s="2" t="s">
        <v>763</v>
      </c>
      <c r="E652" s="15" t="s">
        <v>335</v>
      </c>
      <c r="F652" s="241" t="s">
        <v>372</v>
      </c>
      <c r="G652" s="203">
        <f>opex_sources!H80/(opex_sources!H71+0*opex_sources!H80+0*opex_sources!H89)</f>
        <v>1.269767441860465</v>
      </c>
      <c r="H652" s="203">
        <f>opex_sources!H80/opex_sources!H80</f>
        <v>1</v>
      </c>
      <c r="I652" s="203">
        <f t="shared" si="83"/>
        <v>1.269767441860465</v>
      </c>
      <c r="J652" s="227">
        <f>opex_orig!$AO$169</f>
        <v>3.4890727097774501E-3</v>
      </c>
      <c r="K652" s="227">
        <f t="shared" si="85"/>
        <v>4.4303109291592736E-3</v>
      </c>
      <c r="L652" s="227">
        <f t="shared" si="84"/>
        <v>4.4303109291592736E-3</v>
      </c>
      <c r="M652" s="227">
        <f t="shared" si="86"/>
        <v>4.7398929800778061E-3</v>
      </c>
    </row>
    <row r="653" spans="1:16" ht="15" customHeight="1" x14ac:dyDescent="0.25">
      <c r="A653" s="2" t="s">
        <v>914</v>
      </c>
      <c r="B653" s="2" t="s">
        <v>165</v>
      </c>
      <c r="C653" s="2" t="s">
        <v>731</v>
      </c>
      <c r="D653" s="2" t="s">
        <v>763</v>
      </c>
      <c r="E653" s="15" t="s">
        <v>335</v>
      </c>
      <c r="F653" s="241" t="s">
        <v>373</v>
      </c>
      <c r="G653" s="203">
        <f>opex_sources!H80/(opex_sources!H71+0*opex_sources!H80+0*opex_sources!H89)</f>
        <v>1.269767441860465</v>
      </c>
      <c r="H653" s="203">
        <f>opex_sources!H80/opex_sources!H80</f>
        <v>1</v>
      </c>
      <c r="I653" s="203">
        <f t="shared" si="83"/>
        <v>1.269767441860465</v>
      </c>
      <c r="J653" s="227">
        <f>opex_orig!$AO$170</f>
        <v>4.1017073062728802E-2</v>
      </c>
      <c r="K653" s="227">
        <f t="shared" si="85"/>
        <v>5.2082143935464939E-2</v>
      </c>
      <c r="L653" s="227">
        <f t="shared" si="84"/>
        <v>5.2082143935464939E-2</v>
      </c>
      <c r="M653" s="227">
        <f t="shared" si="86"/>
        <v>5.5721549203761794E-2</v>
      </c>
    </row>
    <row r="654" spans="1:16" ht="15" customHeight="1" x14ac:dyDescent="0.25">
      <c r="A654" s="2" t="s">
        <v>914</v>
      </c>
      <c r="B654" s="2" t="s">
        <v>165</v>
      </c>
      <c r="C654" s="2" t="s">
        <v>731</v>
      </c>
      <c r="D654" s="2" t="s">
        <v>763</v>
      </c>
      <c r="E654" s="15" t="s">
        <v>335</v>
      </c>
      <c r="F654" s="241" t="s">
        <v>374</v>
      </c>
      <c r="G654" s="203">
        <f>opex_sources!H80/(opex_sources!H71+0*opex_sources!H80+0*opex_sources!H89)</f>
        <v>1.269767441860465</v>
      </c>
      <c r="H654" s="203">
        <f>opex_sources!H80/opex_sources!H80</f>
        <v>1</v>
      </c>
      <c r="I654" s="203">
        <f t="shared" si="83"/>
        <v>1.269767441860465</v>
      </c>
      <c r="J654" s="227">
        <f>opex_orig!$AO$171</f>
        <v>3.3474090041934301E-2</v>
      </c>
      <c r="K654" s="227">
        <f t="shared" si="85"/>
        <v>4.2504309681153783E-2</v>
      </c>
      <c r="L654" s="227">
        <f t="shared" si="84"/>
        <v>4.2504309681153783E-2</v>
      </c>
      <c r="M654" s="227">
        <f t="shared" si="86"/>
        <v>4.5474433352917162E-2</v>
      </c>
    </row>
    <row r="655" spans="1:16" ht="15" customHeight="1" x14ac:dyDescent="0.25">
      <c r="A655" s="2" t="s">
        <v>914</v>
      </c>
      <c r="B655" s="2" t="s">
        <v>165</v>
      </c>
      <c r="C655" s="2" t="s">
        <v>731</v>
      </c>
      <c r="D655" s="2" t="s">
        <v>763</v>
      </c>
      <c r="E655" s="15" t="s">
        <v>404</v>
      </c>
      <c r="F655" s="240" t="s">
        <v>375</v>
      </c>
      <c r="G655" s="202">
        <f>opex_sources!H81/(opex_sources!H72+0*opex_sources!H81+0*opex_sources!H90)</f>
        <v>2.8880984952120383</v>
      </c>
      <c r="H655" s="202">
        <f>opex_sources!H81/opex_sources!H81</f>
        <v>1</v>
      </c>
      <c r="I655" s="202">
        <f t="shared" si="83"/>
        <v>2.8880984952120383</v>
      </c>
      <c r="J655" s="239">
        <f>opex_orig!$AO$172</f>
        <v>6.4305291228469799E-2</v>
      </c>
      <c r="K655" s="239">
        <f t="shared" si="85"/>
        <v>0.18572001483111553</v>
      </c>
      <c r="L655" s="239">
        <f t="shared" si="84"/>
        <v>0.18572001483111553</v>
      </c>
      <c r="M655" s="239">
        <f t="shared" si="86"/>
        <v>0.19869779088507472</v>
      </c>
      <c r="N655" s="187">
        <f>opex_sources!H81</f>
        <v>8.9922480620155038E-2</v>
      </c>
      <c r="O655" s="187">
        <f>L655/L$656</f>
        <v>0.21788395579814337</v>
      </c>
      <c r="P655" s="1" t="s">
        <v>404</v>
      </c>
    </row>
    <row r="656" spans="1:16" ht="15" customHeight="1" x14ac:dyDescent="0.25">
      <c r="A656" s="2" t="s">
        <v>914</v>
      </c>
      <c r="B656" s="24" t="s">
        <v>165</v>
      </c>
      <c r="C656" s="24" t="s">
        <v>731</v>
      </c>
      <c r="D656" s="24" t="s">
        <v>763</v>
      </c>
      <c r="E656" s="31" t="s">
        <v>346</v>
      </c>
      <c r="F656" s="19"/>
      <c r="G656" s="184"/>
      <c r="H656" s="184"/>
      <c r="I656" s="184"/>
      <c r="J656" s="221">
        <f>SUM(J611:J643,J647:J649,J652:J655)</f>
        <v>0.91194319543728319</v>
      </c>
      <c r="K656" s="221">
        <f>SUM(K611:K643,K647:K649,K652:K655)</f>
        <v>0.85238040658291558</v>
      </c>
      <c r="L656" s="221">
        <f>SUM(L611:L655)</f>
        <v>0.85238040658291592</v>
      </c>
      <c r="M656" s="221">
        <f>SUM(M611:M643,M647:M649,M652:M655)</f>
        <v>0.91194319543728319</v>
      </c>
      <c r="N656" s="277">
        <f>SUM(N611:N655)</f>
        <v>0.99999999999999989</v>
      </c>
      <c r="O656" s="277">
        <f>SUM(O611:O655)</f>
        <v>0.99999999999999978</v>
      </c>
    </row>
    <row r="657" spans="1:16" ht="15" customHeight="1" x14ac:dyDescent="0.25">
      <c r="A657" s="2" t="s">
        <v>914</v>
      </c>
      <c r="B657" s="2" t="s">
        <v>165</v>
      </c>
      <c r="C657" s="2" t="s">
        <v>746</v>
      </c>
      <c r="D657" s="2" t="s">
        <v>773</v>
      </c>
      <c r="E657" s="15" t="s">
        <v>961</v>
      </c>
      <c r="F657" s="279" t="s">
        <v>191</v>
      </c>
      <c r="G657" s="285">
        <f>opex_sources!H83/(opex_sources!H65+0*opex_sources!H74+0*opex_sources!H83)</f>
        <v>0.90697674418604646</v>
      </c>
      <c r="H657" s="285">
        <f>opex_sources!H83/(opex_sources!H83+opex_sources!H89)</f>
        <v>0.79185520361990946</v>
      </c>
      <c r="I657" s="285">
        <f t="shared" ref="I657:I701" si="87">G657*H657</f>
        <v>0.71819425444596441</v>
      </c>
      <c r="J657" s="341">
        <f>opex_orig!$AO$86</f>
        <v>8.6184981834572197E-2</v>
      </c>
      <c r="K657" s="341">
        <f>J657*(I657+I692)</f>
        <v>8.3910203204030656E-2</v>
      </c>
      <c r="L657" s="341">
        <f t="shared" ref="L657:L701" si="88">K657*H657</f>
        <v>6.644473104391567E-2</v>
      </c>
      <c r="M657" s="341">
        <f>K657/$K$702*$J$702</f>
        <v>7.6687970607205544E-2</v>
      </c>
      <c r="N657" s="187">
        <f>opex_sources!H83</f>
        <v>0.29069767441860467</v>
      </c>
      <c r="O657" s="187">
        <f>SUM(L657:L661)/L$702</f>
        <v>0.1160895904039357</v>
      </c>
      <c r="P657" s="15" t="s">
        <v>961</v>
      </c>
    </row>
    <row r="658" spans="1:16" ht="15" customHeight="1" x14ac:dyDescent="0.25">
      <c r="A658" s="2" t="s">
        <v>914</v>
      </c>
      <c r="B658" s="2" t="s">
        <v>165</v>
      </c>
      <c r="C658" s="2" t="s">
        <v>746</v>
      </c>
      <c r="D658" s="2" t="s">
        <v>773</v>
      </c>
      <c r="E658" s="15" t="s">
        <v>961</v>
      </c>
      <c r="F658" s="258" t="s">
        <v>227</v>
      </c>
      <c r="G658" s="237">
        <f>opex_sources!H83/(opex_sources!H65+0*opex_sources!H74+0*opex_sources!H83)</f>
        <v>0.90697674418604646</v>
      </c>
      <c r="H658" s="237">
        <f>opex_sources!H83/opex_sources!H83</f>
        <v>1</v>
      </c>
      <c r="I658" s="237">
        <f t="shared" si="87"/>
        <v>0.90697674418604646</v>
      </c>
      <c r="J658" s="238">
        <f>opex_orig!$AO$118</f>
        <v>6.0069637361832703E-3</v>
      </c>
      <c r="K658" s="238">
        <f t="shared" ref="K658:K701" si="89">J658*I658</f>
        <v>5.4481764118871519E-3</v>
      </c>
      <c r="L658" s="238">
        <f t="shared" si="88"/>
        <v>5.4481764118871519E-3</v>
      </c>
      <c r="M658" s="238">
        <f t="shared" ref="M658:M701" si="90">K658/$K$702*$J$702</f>
        <v>4.9792465824657047E-3</v>
      </c>
      <c r="P658" s="15"/>
    </row>
    <row r="659" spans="1:16" ht="15" customHeight="1" x14ac:dyDescent="0.25">
      <c r="A659" s="2" t="s">
        <v>914</v>
      </c>
      <c r="B659" s="2" t="s">
        <v>165</v>
      </c>
      <c r="C659" s="2" t="s">
        <v>746</v>
      </c>
      <c r="D659" s="2" t="s">
        <v>773</v>
      </c>
      <c r="E659" s="15" t="s">
        <v>961</v>
      </c>
      <c r="F659" s="264" t="s">
        <v>231</v>
      </c>
      <c r="G659" s="230">
        <f>opex_sources!H83/(opex_sources!H65+0*opex_sources!H74+0*opex_sources!H83)</f>
        <v>0.90697674418604646</v>
      </c>
      <c r="H659" s="230">
        <f>opex_sources!H83/opex_sources!H83</f>
        <v>1</v>
      </c>
      <c r="I659" s="230">
        <f t="shared" si="87"/>
        <v>0.90697674418604646</v>
      </c>
      <c r="J659" s="231">
        <f>opex_orig!$AO$120</f>
        <v>3.5708672953641503E-2</v>
      </c>
      <c r="K659" s="231">
        <f t="shared" si="89"/>
        <v>3.2386935934698102E-2</v>
      </c>
      <c r="L659" s="231">
        <f t="shared" si="88"/>
        <v>3.2386935934698102E-2</v>
      </c>
      <c r="M659" s="231">
        <f t="shared" si="90"/>
        <v>2.9599360938006549E-2</v>
      </c>
    </row>
    <row r="660" spans="1:16" ht="15" customHeight="1" x14ac:dyDescent="0.25">
      <c r="A660" s="2" t="s">
        <v>914</v>
      </c>
      <c r="B660" s="2" t="s">
        <v>165</v>
      </c>
      <c r="C660" s="2" t="s">
        <v>746</v>
      </c>
      <c r="D660" s="2" t="s">
        <v>773</v>
      </c>
      <c r="E660" s="15" t="s">
        <v>961</v>
      </c>
      <c r="F660" s="281" t="s">
        <v>233</v>
      </c>
      <c r="G660" s="289">
        <f>opex_sources!H83/(opex_sources!H65+0*opex_sources!H74+0*opex_sources!H83)</f>
        <v>0.90697674418604646</v>
      </c>
      <c r="H660" s="289">
        <f>opex_sources!H83/opex_sources!H83</f>
        <v>1</v>
      </c>
      <c r="I660" s="289">
        <f t="shared" si="87"/>
        <v>0.90697674418604646</v>
      </c>
      <c r="J660" s="226">
        <f>opex_orig!$AO$121</f>
        <v>7.8379204446527798E-3</v>
      </c>
      <c r="K660" s="226">
        <f t="shared" si="89"/>
        <v>7.1088115660804278E-3</v>
      </c>
      <c r="L660" s="226">
        <f t="shared" si="88"/>
        <v>7.1088115660804278E-3</v>
      </c>
      <c r="M660" s="226">
        <f t="shared" si="90"/>
        <v>6.4969492578412875E-3</v>
      </c>
    </row>
    <row r="661" spans="1:16" ht="15" customHeight="1" x14ac:dyDescent="0.25">
      <c r="A661" s="2" t="s">
        <v>914</v>
      </c>
      <c r="B661" s="2" t="s">
        <v>165</v>
      </c>
      <c r="C661" s="2" t="s">
        <v>746</v>
      </c>
      <c r="D661" s="2" t="s">
        <v>773</v>
      </c>
      <c r="E661" s="15" t="s">
        <v>961</v>
      </c>
      <c r="F661" s="290" t="s">
        <v>267</v>
      </c>
      <c r="G661" s="198">
        <f>opex_sources!H83/(opex_sources!H65+0*opex_sources!H74+0*opex_sources!H83)</f>
        <v>0.90697674418604646</v>
      </c>
      <c r="H661" s="198">
        <f>opex_sources!H83/(opex_sources!H83+opex_sources!H89)</f>
        <v>0.79185520361990946</v>
      </c>
      <c r="I661" s="198">
        <f t="shared" si="87"/>
        <v>0.71819425444596441</v>
      </c>
      <c r="J661" s="208">
        <f>opex_orig!$AO$138</f>
        <v>5.7703633663306999E-3</v>
      </c>
      <c r="K661" s="208">
        <f>J661*(I661+I697)</f>
        <v>5.6180595774712426E-3</v>
      </c>
      <c r="L661" s="208">
        <f t="shared" si="88"/>
        <v>4.4486897106672738E-3</v>
      </c>
      <c r="M661" s="208">
        <f t="shared" si="90"/>
        <v>5.1345077391726397E-3</v>
      </c>
    </row>
    <row r="662" spans="1:16" ht="15" customHeight="1" x14ac:dyDescent="0.25">
      <c r="A662" s="2" t="s">
        <v>914</v>
      </c>
      <c r="B662" s="2" t="s">
        <v>165</v>
      </c>
      <c r="C662" s="2" t="s">
        <v>746</v>
      </c>
      <c r="D662" s="2" t="s">
        <v>773</v>
      </c>
      <c r="E662" s="288" t="s">
        <v>967</v>
      </c>
      <c r="F662" s="318" t="s">
        <v>165</v>
      </c>
      <c r="G662" s="292"/>
      <c r="H662" s="292">
        <f>opex_sources!H84/(opex_sources!H84+opex_sources!H89)</f>
        <v>0.5855855855855856</v>
      </c>
      <c r="I662" s="292"/>
      <c r="J662" s="293">
        <f>opex_orig!$AO$73</f>
        <v>8.0744457062183E-2</v>
      </c>
      <c r="K662" s="286">
        <f>J662*I690+L662</f>
        <v>9.5047060075492171E-2</v>
      </c>
      <c r="L662" s="287">
        <f>opex_sources!$H$84*$H662/SUM($H$662:$H$663)</f>
        <v>5.3986710963455149E-2</v>
      </c>
      <c r="M662" s="293">
        <f t="shared" si="90"/>
        <v>8.6866267403110223E-2</v>
      </c>
      <c r="N662" s="187">
        <f>opex_sources!H84</f>
        <v>0.1079734219269103</v>
      </c>
      <c r="O662" s="187">
        <f>SUM(L662:L663)/L$702</f>
        <v>0.10820854329847501</v>
      </c>
      <c r="P662" s="1" t="s">
        <v>967</v>
      </c>
    </row>
    <row r="663" spans="1:16" ht="15" customHeight="1" x14ac:dyDescent="0.25">
      <c r="A663" s="2" t="s">
        <v>914</v>
      </c>
      <c r="B663" s="2" t="s">
        <v>165</v>
      </c>
      <c r="C663" s="2" t="s">
        <v>746</v>
      </c>
      <c r="D663" s="2" t="s">
        <v>773</v>
      </c>
      <c r="E663" s="288" t="s">
        <v>967</v>
      </c>
      <c r="F663" s="255" t="s">
        <v>249</v>
      </c>
      <c r="G663" s="256"/>
      <c r="H663" s="256">
        <f>opex_sources!H84/(opex_sources!H84+opex_sources!H89)</f>
        <v>0.5855855855855856</v>
      </c>
      <c r="I663" s="256"/>
      <c r="J663" s="257">
        <f>opex_orig!$AO$129</f>
        <v>1.8017444205891301E-2</v>
      </c>
      <c r="K663" s="286">
        <f>J663*I696+L663</f>
        <v>6.3148981367116525E-2</v>
      </c>
      <c r="L663" s="287">
        <f>opex_sources!$H$84*$H663/SUM($H$662:$H$663)</f>
        <v>5.3986710963455149E-2</v>
      </c>
      <c r="M663" s="257">
        <f t="shared" si="90"/>
        <v>5.771368727568256E-2</v>
      </c>
    </row>
    <row r="664" spans="1:16" ht="15" customHeight="1" x14ac:dyDescent="0.25">
      <c r="A664" s="2" t="s">
        <v>914</v>
      </c>
      <c r="B664" s="2" t="s">
        <v>165</v>
      </c>
      <c r="C664" s="2" t="s">
        <v>746</v>
      </c>
      <c r="D664" s="2" t="s">
        <v>773</v>
      </c>
      <c r="E664" s="15" t="s">
        <v>836</v>
      </c>
      <c r="F664" s="259" t="s">
        <v>2</v>
      </c>
      <c r="G664" s="260">
        <f>opex_sources!H85/(opex_sources!H67+0*opex_sources!H76+0*opex_sources!H85)</f>
        <v>1.2956810631229236</v>
      </c>
      <c r="H664" s="260">
        <f>opex_sources!H85/opex_sources!H85</f>
        <v>1</v>
      </c>
      <c r="I664" s="260">
        <f t="shared" si="87"/>
        <v>1.2956810631229236</v>
      </c>
      <c r="J664" s="261">
        <f>opex_orig!$AO$97</f>
        <v>2.61380390360051E-3</v>
      </c>
      <c r="K664" s="261">
        <f t="shared" si="89"/>
        <v>3.3866562206119567E-3</v>
      </c>
      <c r="L664" s="261">
        <f t="shared" si="88"/>
        <v>3.3866562206119567E-3</v>
      </c>
      <c r="M664" s="261">
        <f t="shared" si="90"/>
        <v>3.0951634340759646E-3</v>
      </c>
      <c r="N664" s="187">
        <f>opex_sources!H85</f>
        <v>3.3222591362126248E-2</v>
      </c>
      <c r="O664" s="187">
        <f>SUM(L664:L679)/L$702</f>
        <v>1.0070451624010698E-2</v>
      </c>
      <c r="P664" s="15" t="s">
        <v>836</v>
      </c>
    </row>
    <row r="665" spans="1:16" ht="15" customHeight="1" x14ac:dyDescent="0.25">
      <c r="A665" s="2" t="s">
        <v>914</v>
      </c>
      <c r="B665" s="2" t="s">
        <v>165</v>
      </c>
      <c r="C665" s="2" t="s">
        <v>746</v>
      </c>
      <c r="D665" s="2" t="s">
        <v>773</v>
      </c>
      <c r="E665" s="15" t="s">
        <v>836</v>
      </c>
      <c r="F665" s="259" t="s">
        <v>4</v>
      </c>
      <c r="G665" s="260">
        <f>opex_sources!H85/(opex_sources!H67+0*opex_sources!H76+0*opex_sources!H85)</f>
        <v>1.2956810631229236</v>
      </c>
      <c r="H665" s="260">
        <f>opex_sources!H85/opex_sources!H85</f>
        <v>1</v>
      </c>
      <c r="I665" s="260">
        <f t="shared" si="87"/>
        <v>1.2956810631229236</v>
      </c>
      <c r="J665" s="261">
        <f>opex_orig!$AO$98</f>
        <v>4.9562343982420399E-5</v>
      </c>
      <c r="K665" s="261">
        <f t="shared" si="89"/>
        <v>6.4216990542006501E-5</v>
      </c>
      <c r="L665" s="261">
        <f t="shared" si="88"/>
        <v>6.4216990542006501E-5</v>
      </c>
      <c r="M665" s="261">
        <f t="shared" si="90"/>
        <v>5.8689771864740668E-5</v>
      </c>
    </row>
    <row r="666" spans="1:16" ht="15" customHeight="1" x14ac:dyDescent="0.25">
      <c r="A666" s="2" t="s">
        <v>914</v>
      </c>
      <c r="B666" s="2" t="s">
        <v>165</v>
      </c>
      <c r="C666" s="2" t="s">
        <v>746</v>
      </c>
      <c r="D666" s="2" t="s">
        <v>773</v>
      </c>
      <c r="E666" s="15" t="s">
        <v>836</v>
      </c>
      <c r="F666" s="259" t="s">
        <v>6</v>
      </c>
      <c r="G666" s="260">
        <f>opex_sources!H85/(opex_sources!H67+0*opex_sources!H76+0*opex_sources!H85)</f>
        <v>1.2956810631229236</v>
      </c>
      <c r="H666" s="260">
        <f>opex_sources!H85/opex_sources!H85</f>
        <v>1</v>
      </c>
      <c r="I666" s="260">
        <f t="shared" si="87"/>
        <v>1.2956810631229236</v>
      </c>
      <c r="J666" s="261">
        <f>opex_orig!$AO$99</f>
        <v>1.77290468245335E-3</v>
      </c>
      <c r="K666" s="261">
        <f t="shared" si="89"/>
        <v>2.297119023776766E-3</v>
      </c>
      <c r="L666" s="261">
        <f t="shared" si="88"/>
        <v>2.297119023776766E-3</v>
      </c>
      <c r="M666" s="261">
        <f t="shared" si="90"/>
        <v>2.0994037608072836E-3</v>
      </c>
    </row>
    <row r="667" spans="1:16" ht="15" customHeight="1" x14ac:dyDescent="0.25">
      <c r="A667" s="2" t="s">
        <v>914</v>
      </c>
      <c r="B667" s="2" t="s">
        <v>165</v>
      </c>
      <c r="C667" s="2" t="s">
        <v>746</v>
      </c>
      <c r="D667" s="2" t="s">
        <v>773</v>
      </c>
      <c r="E667" s="15" t="s">
        <v>836</v>
      </c>
      <c r="F667" s="259" t="s">
        <v>8</v>
      </c>
      <c r="G667" s="260">
        <f>opex_sources!H85/(opex_sources!H67+0*opex_sources!H76+0*opex_sources!H85)</f>
        <v>1.2956810631229236</v>
      </c>
      <c r="H667" s="260">
        <f>opex_sources!H85/opex_sources!H85</f>
        <v>1</v>
      </c>
      <c r="I667" s="260">
        <f t="shared" si="87"/>
        <v>1.2956810631229236</v>
      </c>
      <c r="J667" s="261">
        <f>opex_orig!$AO$100</f>
        <v>1.14901289678793E-4</v>
      </c>
      <c r="K667" s="261">
        <f t="shared" si="89"/>
        <v>1.4887542516521353E-4</v>
      </c>
      <c r="L667" s="261">
        <f t="shared" si="88"/>
        <v>1.4887542516521353E-4</v>
      </c>
      <c r="M667" s="261">
        <f t="shared" si="90"/>
        <v>1.3606157288696336E-4</v>
      </c>
    </row>
    <row r="668" spans="1:16" ht="15" customHeight="1" x14ac:dyDescent="0.25">
      <c r="A668" s="2" t="s">
        <v>914</v>
      </c>
      <c r="B668" s="2" t="s">
        <v>165</v>
      </c>
      <c r="C668" s="2" t="s">
        <v>746</v>
      </c>
      <c r="D668" s="2" t="s">
        <v>773</v>
      </c>
      <c r="E668" s="15" t="s">
        <v>836</v>
      </c>
      <c r="F668" s="259" t="s">
        <v>342</v>
      </c>
      <c r="G668" s="260">
        <f>opex_sources!H85/(opex_sources!H67+0*opex_sources!H76+0*opex_sources!H85)</f>
        <v>1.2956810631229236</v>
      </c>
      <c r="H668" s="260">
        <f>opex_sources!H85/opex_sources!H85</f>
        <v>1</v>
      </c>
      <c r="I668" s="260">
        <f t="shared" si="87"/>
        <v>1.2956810631229236</v>
      </c>
      <c r="J668" s="261">
        <f>opex_orig!$AO$101</f>
        <v>2.3859152415101702E-5</v>
      </c>
      <c r="K668" s="261">
        <f t="shared" si="89"/>
        <v>3.0913851966410845E-5</v>
      </c>
      <c r="L668" s="261">
        <f t="shared" si="88"/>
        <v>3.0913851966410845E-5</v>
      </c>
      <c r="M668" s="261">
        <f t="shared" si="90"/>
        <v>2.825306673600976E-5</v>
      </c>
    </row>
    <row r="669" spans="1:16" ht="15" customHeight="1" x14ac:dyDescent="0.25">
      <c r="A669" s="2" t="s">
        <v>914</v>
      </c>
      <c r="B669" s="2" t="s">
        <v>165</v>
      </c>
      <c r="C669" s="2" t="s">
        <v>746</v>
      </c>
      <c r="D669" s="2" t="s">
        <v>773</v>
      </c>
      <c r="E669" s="15" t="s">
        <v>836</v>
      </c>
      <c r="F669" s="259" t="s">
        <v>343</v>
      </c>
      <c r="G669" s="260">
        <f>opex_sources!H85/(opex_sources!H67+0*opex_sources!H76+0*opex_sources!H85)</f>
        <v>1.2956810631229236</v>
      </c>
      <c r="H669" s="260">
        <f>opex_sources!H85/opex_sources!H85</f>
        <v>1</v>
      </c>
      <c r="I669" s="260">
        <f t="shared" si="87"/>
        <v>1.2956810631229236</v>
      </c>
      <c r="J669" s="261">
        <f>opex_orig!$AO$102</f>
        <v>2.20018358998826E-8</v>
      </c>
      <c r="K669" s="261">
        <f t="shared" si="89"/>
        <v>2.8507362129415995E-8</v>
      </c>
      <c r="L669" s="261">
        <f t="shared" si="88"/>
        <v>2.8507362129415995E-8</v>
      </c>
      <c r="M669" s="261">
        <f t="shared" si="90"/>
        <v>2.6053705813986213E-8</v>
      </c>
    </row>
    <row r="670" spans="1:16" ht="15" customHeight="1" x14ac:dyDescent="0.25">
      <c r="A670" s="2" t="s">
        <v>914</v>
      </c>
      <c r="B670" s="2" t="s">
        <v>165</v>
      </c>
      <c r="C670" s="2" t="s">
        <v>746</v>
      </c>
      <c r="D670" s="2" t="s">
        <v>773</v>
      </c>
      <c r="E670" s="15" t="s">
        <v>836</v>
      </c>
      <c r="F670" s="259" t="s">
        <v>10</v>
      </c>
      <c r="G670" s="260">
        <f>opex_sources!H85/(opex_sources!H67+0*opex_sources!H76+0*opex_sources!H85)</f>
        <v>1.2956810631229236</v>
      </c>
      <c r="H670" s="260">
        <f>opex_sources!H85/opex_sources!H85</f>
        <v>1</v>
      </c>
      <c r="I670" s="260">
        <f t="shared" si="87"/>
        <v>1.2956810631229236</v>
      </c>
      <c r="J670" s="261">
        <f>opex_orig!$AO$103</f>
        <v>4.8587582379900104E-6</v>
      </c>
      <c r="K670" s="261">
        <f t="shared" si="89"/>
        <v>6.2954010392561597E-6</v>
      </c>
      <c r="L670" s="261">
        <f t="shared" si="88"/>
        <v>6.2954010392561597E-6</v>
      </c>
      <c r="M670" s="261">
        <f t="shared" si="90"/>
        <v>5.7535497642062319E-6</v>
      </c>
    </row>
    <row r="671" spans="1:16" ht="15" customHeight="1" x14ac:dyDescent="0.25">
      <c r="A671" s="2" t="s">
        <v>914</v>
      </c>
      <c r="B671" s="2" t="s">
        <v>165</v>
      </c>
      <c r="C671" s="2" t="s">
        <v>746</v>
      </c>
      <c r="D671" s="2" t="s">
        <v>773</v>
      </c>
      <c r="E671" s="15" t="s">
        <v>836</v>
      </c>
      <c r="F671" s="259" t="s">
        <v>12</v>
      </c>
      <c r="G671" s="260">
        <f>opex_sources!H85/(opex_sources!H67+0*opex_sources!H76+0*opex_sources!H85)</f>
        <v>1.2956810631229236</v>
      </c>
      <c r="H671" s="260">
        <f>opex_sources!H85/opex_sources!H85</f>
        <v>1</v>
      </c>
      <c r="I671" s="260">
        <f t="shared" si="87"/>
        <v>1.2956810631229236</v>
      </c>
      <c r="J671" s="261">
        <f>opex_orig!$AO$104</f>
        <v>2.42048182205621E-4</v>
      </c>
      <c r="K671" s="261">
        <f t="shared" si="89"/>
        <v>3.1361724604715013E-4</v>
      </c>
      <c r="L671" s="261">
        <f t="shared" si="88"/>
        <v>3.1361724604715013E-4</v>
      </c>
      <c r="M671" s="261">
        <f t="shared" si="90"/>
        <v>2.8662390541823069E-4</v>
      </c>
    </row>
    <row r="672" spans="1:16" ht="15" customHeight="1" x14ac:dyDescent="0.25">
      <c r="A672" s="2" t="s">
        <v>914</v>
      </c>
      <c r="B672" s="2" t="s">
        <v>165</v>
      </c>
      <c r="C672" s="2" t="s">
        <v>746</v>
      </c>
      <c r="D672" s="2" t="s">
        <v>773</v>
      </c>
      <c r="E672" s="15" t="s">
        <v>836</v>
      </c>
      <c r="F672" s="259" t="s">
        <v>340</v>
      </c>
      <c r="G672" s="260">
        <f>opex_sources!H85/(opex_sources!H67+0*opex_sources!H76+0*opex_sources!H85)</f>
        <v>1.2956810631229236</v>
      </c>
      <c r="H672" s="260">
        <f>opex_sources!H85/opex_sources!H85</f>
        <v>1</v>
      </c>
      <c r="I672" s="260">
        <f t="shared" si="87"/>
        <v>1.2956810631229236</v>
      </c>
      <c r="J672" s="261">
        <f>opex_orig!$AO$105</f>
        <v>7.4704670047328204E-5</v>
      </c>
      <c r="K672" s="261">
        <f t="shared" si="89"/>
        <v>9.6793426307169436E-5</v>
      </c>
      <c r="L672" s="261">
        <f t="shared" si="88"/>
        <v>9.6793426307169436E-5</v>
      </c>
      <c r="M672" s="261">
        <f t="shared" si="90"/>
        <v>8.8462322198957138E-5</v>
      </c>
    </row>
    <row r="673" spans="1:16" ht="15" customHeight="1" x14ac:dyDescent="0.25">
      <c r="A673" s="2" t="s">
        <v>914</v>
      </c>
      <c r="B673" s="2" t="s">
        <v>165</v>
      </c>
      <c r="C673" s="2" t="s">
        <v>746</v>
      </c>
      <c r="D673" s="2" t="s">
        <v>773</v>
      </c>
      <c r="E673" s="15" t="s">
        <v>836</v>
      </c>
      <c r="F673" s="259" t="s">
        <v>341</v>
      </c>
      <c r="G673" s="260">
        <f>opex_sources!H85/(opex_sources!H67+0*opex_sources!H76+0*opex_sources!H85)</f>
        <v>1.2956810631229236</v>
      </c>
      <c r="H673" s="260">
        <f>opex_sources!H85/opex_sources!H85</f>
        <v>1</v>
      </c>
      <c r="I673" s="260">
        <f t="shared" si="87"/>
        <v>1.2956810631229236</v>
      </c>
      <c r="J673" s="261">
        <f>opex_orig!$AO$106</f>
        <v>3.9476265143633502E-5</v>
      </c>
      <c r="K673" s="261">
        <f t="shared" si="89"/>
        <v>5.1148649189425469E-5</v>
      </c>
      <c r="L673" s="261">
        <f t="shared" si="88"/>
        <v>5.1148649189425469E-5</v>
      </c>
      <c r="M673" s="261">
        <f t="shared" si="90"/>
        <v>4.6746235330872251E-5</v>
      </c>
    </row>
    <row r="674" spans="1:16" ht="15" customHeight="1" x14ac:dyDescent="0.25">
      <c r="A674" s="2" t="s">
        <v>914</v>
      </c>
      <c r="B674" s="2" t="s">
        <v>165</v>
      </c>
      <c r="C674" s="2" t="s">
        <v>746</v>
      </c>
      <c r="D674" s="2" t="s">
        <v>773</v>
      </c>
      <c r="E674" s="15" t="s">
        <v>836</v>
      </c>
      <c r="F674" s="259" t="s">
        <v>14</v>
      </c>
      <c r="G674" s="260">
        <f>opex_sources!H85/(opex_sources!H67+0*opex_sources!H76+0*opex_sources!H85)</f>
        <v>1.2956810631229236</v>
      </c>
      <c r="H674" s="260">
        <f>opex_sources!H85/opex_sources!H85</f>
        <v>1</v>
      </c>
      <c r="I674" s="260">
        <f t="shared" si="87"/>
        <v>1.2956810631229236</v>
      </c>
      <c r="J674" s="261">
        <f>opex_orig!$AO$107</f>
        <v>1.91337258228685E-10</v>
      </c>
      <c r="K674" s="261">
        <f t="shared" si="89"/>
        <v>2.4791206215676793E-10</v>
      </c>
      <c r="L674" s="261">
        <f t="shared" si="88"/>
        <v>2.4791206215676793E-10</v>
      </c>
      <c r="M674" s="261">
        <f t="shared" si="90"/>
        <v>2.2657403045040758E-10</v>
      </c>
    </row>
    <row r="675" spans="1:16" ht="15" customHeight="1" x14ac:dyDescent="0.25">
      <c r="A675" s="2" t="s">
        <v>914</v>
      </c>
      <c r="B675" s="2" t="s">
        <v>165</v>
      </c>
      <c r="C675" s="2" t="s">
        <v>746</v>
      </c>
      <c r="D675" s="2" t="s">
        <v>773</v>
      </c>
      <c r="E675" s="15" t="s">
        <v>836</v>
      </c>
      <c r="F675" s="259" t="s">
        <v>16</v>
      </c>
      <c r="G675" s="260">
        <f>opex_sources!H85/(opex_sources!H67+0*opex_sources!H76+0*opex_sources!H85)</f>
        <v>1.2956810631229236</v>
      </c>
      <c r="H675" s="260">
        <f>opex_sources!H85/opex_sources!H85</f>
        <v>1</v>
      </c>
      <c r="I675" s="260">
        <f t="shared" si="87"/>
        <v>1.2956810631229236</v>
      </c>
      <c r="J675" s="261">
        <f>opex_orig!$AO$108</f>
        <v>2.1652850795599999E-11</v>
      </c>
      <c r="K675" s="261">
        <f t="shared" si="89"/>
        <v>2.8055188738485049E-11</v>
      </c>
      <c r="L675" s="261">
        <f t="shared" si="88"/>
        <v>2.8055188738485049E-11</v>
      </c>
      <c r="M675" s="261">
        <f t="shared" si="90"/>
        <v>2.5640451425497174E-11</v>
      </c>
    </row>
    <row r="676" spans="1:16" ht="15" customHeight="1" x14ac:dyDescent="0.25">
      <c r="A676" s="2" t="s">
        <v>914</v>
      </c>
      <c r="B676" s="2" t="s">
        <v>165</v>
      </c>
      <c r="C676" s="2" t="s">
        <v>746</v>
      </c>
      <c r="D676" s="2" t="s">
        <v>773</v>
      </c>
      <c r="E676" s="15" t="s">
        <v>836</v>
      </c>
      <c r="F676" s="259" t="s">
        <v>18</v>
      </c>
      <c r="G676" s="260">
        <f>opex_sources!H85/(opex_sources!H67+0*opex_sources!H76+0*opex_sources!H85)</f>
        <v>1.2956810631229236</v>
      </c>
      <c r="H676" s="260">
        <f>opex_sources!H85/opex_sources!H85</f>
        <v>1</v>
      </c>
      <c r="I676" s="260">
        <f t="shared" si="87"/>
        <v>1.2956810631229236</v>
      </c>
      <c r="J676" s="261">
        <f>opex_orig!$AO$109</f>
        <v>6.7931192020269998E-8</v>
      </c>
      <c r="K676" s="261">
        <f t="shared" si="89"/>
        <v>8.8017159096030899E-8</v>
      </c>
      <c r="L676" s="261">
        <f t="shared" si="88"/>
        <v>8.8017159096030899E-8</v>
      </c>
      <c r="M676" s="261">
        <f t="shared" si="90"/>
        <v>8.0441436821141194E-8</v>
      </c>
    </row>
    <row r="677" spans="1:16" ht="15" customHeight="1" x14ac:dyDescent="0.25">
      <c r="A677" s="2" t="s">
        <v>914</v>
      </c>
      <c r="B677" s="2" t="s">
        <v>165</v>
      </c>
      <c r="C677" s="2" t="s">
        <v>746</v>
      </c>
      <c r="D677" s="2" t="s">
        <v>773</v>
      </c>
      <c r="E677" s="15" t="s">
        <v>836</v>
      </c>
      <c r="F677" s="259" t="s">
        <v>20</v>
      </c>
      <c r="G677" s="260">
        <f>opex_sources!H85/(opex_sources!H67+0*opex_sources!H76+0*opex_sources!H85)</f>
        <v>1.2956810631229236</v>
      </c>
      <c r="H677" s="260">
        <f>opex_sources!H85/opex_sources!H85</f>
        <v>1</v>
      </c>
      <c r="I677" s="260">
        <f t="shared" si="87"/>
        <v>1.2956810631229236</v>
      </c>
      <c r="J677" s="261">
        <f>opex_orig!$AO$110</f>
        <v>1.79797761095058E-4</v>
      </c>
      <c r="K677" s="261">
        <f t="shared" si="89"/>
        <v>2.329605542427662E-4</v>
      </c>
      <c r="L677" s="261">
        <f t="shared" si="88"/>
        <v>2.329605542427662E-4</v>
      </c>
      <c r="M677" s="261">
        <f t="shared" si="90"/>
        <v>2.1290941332804925E-4</v>
      </c>
    </row>
    <row r="678" spans="1:16" ht="15" customHeight="1" x14ac:dyDescent="0.25">
      <c r="A678" s="2" t="s">
        <v>914</v>
      </c>
      <c r="B678" s="2" t="s">
        <v>165</v>
      </c>
      <c r="C678" s="2" t="s">
        <v>746</v>
      </c>
      <c r="D678" s="2" t="s">
        <v>773</v>
      </c>
      <c r="E678" s="15" t="s">
        <v>836</v>
      </c>
      <c r="F678" s="259" t="s">
        <v>213</v>
      </c>
      <c r="G678" s="260">
        <f>opex_sources!H85/(opex_sources!H67+0*opex_sources!H76+0*opex_sources!H85)</f>
        <v>1.2956810631229236</v>
      </c>
      <c r="H678" s="260">
        <f>opex_sources!H85/opex_sources!H85</f>
        <v>1</v>
      </c>
      <c r="I678" s="260">
        <f t="shared" si="87"/>
        <v>1.2956810631229236</v>
      </c>
      <c r="J678" s="261">
        <f>opex_orig!$AO$111</f>
        <v>1.03280880735687E-3</v>
      </c>
      <c r="K678" s="261">
        <f t="shared" si="89"/>
        <v>1.3381908135188681E-3</v>
      </c>
      <c r="L678" s="261">
        <f t="shared" si="88"/>
        <v>1.3381908135188681E-3</v>
      </c>
      <c r="M678" s="261">
        <f t="shared" si="90"/>
        <v>1.2230114319284344E-3</v>
      </c>
    </row>
    <row r="679" spans="1:16" ht="15" customHeight="1" x14ac:dyDescent="0.25">
      <c r="A679" s="2" t="s">
        <v>914</v>
      </c>
      <c r="B679" s="2" t="s">
        <v>165</v>
      </c>
      <c r="C679" s="2" t="s">
        <v>746</v>
      </c>
      <c r="D679" s="2" t="s">
        <v>773</v>
      </c>
      <c r="E679" s="15" t="s">
        <v>836</v>
      </c>
      <c r="F679" s="259" t="s">
        <v>215</v>
      </c>
      <c r="G679" s="260">
        <f>opex_sources!H85/(opex_sources!H67+0*opex_sources!H76+0*opex_sources!H85)</f>
        <v>1.2956810631229236</v>
      </c>
      <c r="H679" s="260">
        <f>opex_sources!H85/opex_sources!H85</f>
        <v>1</v>
      </c>
      <c r="I679" s="260">
        <f t="shared" si="87"/>
        <v>1.2956810631229236</v>
      </c>
      <c r="J679" s="261">
        <f>opex_orig!$AO$112</f>
        <v>1.6066188344992999E-3</v>
      </c>
      <c r="K679" s="261">
        <f t="shared" si="89"/>
        <v>2.0816655995173653E-3</v>
      </c>
      <c r="L679" s="261">
        <f t="shared" si="88"/>
        <v>2.0816655995173653E-3</v>
      </c>
      <c r="M679" s="261">
        <f t="shared" si="90"/>
        <v>1.9024946218000613E-3</v>
      </c>
    </row>
    <row r="680" spans="1:16" ht="15" customHeight="1" x14ac:dyDescent="0.25">
      <c r="A680" s="2" t="s">
        <v>914</v>
      </c>
      <c r="B680" s="2" t="s">
        <v>165</v>
      </c>
      <c r="C680" s="2" t="s">
        <v>746</v>
      </c>
      <c r="D680" s="2" t="s">
        <v>773</v>
      </c>
      <c r="E680" s="15" t="s">
        <v>965</v>
      </c>
      <c r="F680" s="344" t="s">
        <v>71</v>
      </c>
      <c r="G680" s="345">
        <f>opex_sources!H86/(opex_sources!H68+0*opex_sources!H77+0*opex_sources!H86)</f>
        <v>0.90697674418604657</v>
      </c>
      <c r="H680" s="345">
        <f>opex_sources!H86/opex_sources!H86</f>
        <v>1</v>
      </c>
      <c r="I680" s="345">
        <f t="shared" si="87"/>
        <v>0.90697674418604657</v>
      </c>
      <c r="J680" s="346">
        <f>opex_orig!$AO$26</f>
        <v>3.6259517943428798E-2</v>
      </c>
      <c r="K680" s="346">
        <f t="shared" si="89"/>
        <v>3.2886539530086585E-2</v>
      </c>
      <c r="L680" s="346">
        <f t="shared" si="88"/>
        <v>3.2886539530086585E-2</v>
      </c>
      <c r="M680" s="346">
        <f t="shared" si="90"/>
        <v>3.0055963167240164E-2</v>
      </c>
      <c r="N680" s="187">
        <f>opex_sources!H86</f>
        <v>0.23920265780730898</v>
      </c>
      <c r="O680" s="187">
        <f>SUM(L680:L683)/L$702</f>
        <v>0.10662738873601568</v>
      </c>
      <c r="P680" s="15" t="s">
        <v>965</v>
      </c>
    </row>
    <row r="681" spans="1:16" ht="15" customHeight="1" x14ac:dyDescent="0.25">
      <c r="A681" s="2" t="s">
        <v>914</v>
      </c>
      <c r="B681" s="2" t="s">
        <v>165</v>
      </c>
      <c r="C681" s="2" t="s">
        <v>746</v>
      </c>
      <c r="D681" s="2" t="s">
        <v>773</v>
      </c>
      <c r="E681" s="15" t="s">
        <v>965</v>
      </c>
      <c r="F681" s="347" t="s">
        <v>73</v>
      </c>
      <c r="G681" s="345">
        <f>opex_sources!H86/(opex_sources!H68+0*opex_sources!H77+0*opex_sources!H86)</f>
        <v>0.90697674418604657</v>
      </c>
      <c r="H681" s="345">
        <f>opex_sources!H86/opex_sources!H86</f>
        <v>1</v>
      </c>
      <c r="I681" s="345">
        <f t="shared" si="87"/>
        <v>0.90697674418604657</v>
      </c>
      <c r="J681" s="346">
        <f>opex_orig!$AO$27</f>
        <v>2.3574331783123001E-2</v>
      </c>
      <c r="K681" s="346">
        <f t="shared" si="89"/>
        <v>2.1381370687018536E-2</v>
      </c>
      <c r="L681" s="346">
        <f t="shared" si="88"/>
        <v>2.1381370687018536E-2</v>
      </c>
      <c r="M681" s="346">
        <f t="shared" si="90"/>
        <v>1.954105536844988E-2</v>
      </c>
      <c r="P681" s="15"/>
    </row>
    <row r="682" spans="1:16" ht="15" customHeight="1" x14ac:dyDescent="0.25">
      <c r="A682" s="2" t="s">
        <v>914</v>
      </c>
      <c r="B682" s="2" t="s">
        <v>165</v>
      </c>
      <c r="C682" s="2" t="s">
        <v>746</v>
      </c>
      <c r="D682" s="2" t="s">
        <v>773</v>
      </c>
      <c r="E682" s="15" t="s">
        <v>965</v>
      </c>
      <c r="F682" s="347" t="s">
        <v>79</v>
      </c>
      <c r="G682" s="345">
        <f>opex_sources!H86/(opex_sources!H68+0*opex_sources!H77+0*opex_sources!H86)</f>
        <v>0.90697674418604657</v>
      </c>
      <c r="H682" s="345">
        <f>opex_sources!H86/opex_sources!H86</f>
        <v>1</v>
      </c>
      <c r="I682" s="345">
        <f t="shared" si="87"/>
        <v>0.90697674418604657</v>
      </c>
      <c r="J682" s="346">
        <f>opex_orig!$AO$30</f>
        <v>6.7444747463274298E-3</v>
      </c>
      <c r="K682" s="346">
        <f t="shared" si="89"/>
        <v>6.117081746669065E-3</v>
      </c>
      <c r="L682" s="346">
        <f t="shared" si="88"/>
        <v>6.117081746669065E-3</v>
      </c>
      <c r="M682" s="346">
        <f t="shared" si="90"/>
        <v>5.5905785861319083E-3</v>
      </c>
      <c r="P682" s="15"/>
    </row>
    <row r="683" spans="1:16" ht="15" customHeight="1" x14ac:dyDescent="0.25">
      <c r="A683" s="2" t="s">
        <v>914</v>
      </c>
      <c r="B683" s="2" t="s">
        <v>165</v>
      </c>
      <c r="C683" s="2" t="s">
        <v>746</v>
      </c>
      <c r="D683" s="2" t="s">
        <v>773</v>
      </c>
      <c r="E683" s="15" t="s">
        <v>965</v>
      </c>
      <c r="F683" s="280" t="s">
        <v>189</v>
      </c>
      <c r="G683" s="282">
        <f>opex_sources!H86/(opex_sources!H68+0*opex_sources!H77+0*opex_sources!H86)</f>
        <v>0.90697674418604657</v>
      </c>
      <c r="H683" s="282">
        <f>opex_sources!H86/(opex_sources!H86+opex_sources!H89)</f>
        <v>0.75789473684210529</v>
      </c>
      <c r="I683" s="282">
        <f t="shared" si="87"/>
        <v>0.68739290085679317</v>
      </c>
      <c r="J683" s="234">
        <f>opex_orig!$AO$85</f>
        <v>6.16658202414841E-2</v>
      </c>
      <c r="K683" s="234">
        <f>J683*(I683+I691)</f>
        <v>6.0708577038657119E-2</v>
      </c>
      <c r="L683" s="234">
        <f t="shared" si="88"/>
        <v>4.6010711018771709E-2</v>
      </c>
      <c r="M683" s="234">
        <f t="shared" si="90"/>
        <v>5.5483330915377597E-2</v>
      </c>
      <c r="P683" s="15"/>
    </row>
    <row r="684" spans="1:16" ht="15" customHeight="1" x14ac:dyDescent="0.25">
      <c r="A684" s="2" t="s">
        <v>914</v>
      </c>
      <c r="B684" s="2" t="s">
        <v>165</v>
      </c>
      <c r="C684" s="2" t="s">
        <v>746</v>
      </c>
      <c r="D684" s="2" t="s">
        <v>773</v>
      </c>
      <c r="E684" s="15" t="s">
        <v>962</v>
      </c>
      <c r="F684" s="319" t="s">
        <v>167</v>
      </c>
      <c r="G684" s="313">
        <f>opex_sources!H87/(opex_sources!H69+0+0*opex_sources!H87)</f>
        <v>0.90697674418604646</v>
      </c>
      <c r="H684" s="283">
        <f>opex_sources!H87/opex_sources!H87</f>
        <v>1</v>
      </c>
      <c r="I684" s="283">
        <f t="shared" si="87"/>
        <v>0.90697674418604646</v>
      </c>
      <c r="J684" s="284">
        <f>opex_orig!$AO$74</f>
        <v>3.8264487147094399E-2</v>
      </c>
      <c r="K684" s="284">
        <f t="shared" si="89"/>
        <v>3.4704999970620501E-2</v>
      </c>
      <c r="L684" s="284">
        <f t="shared" si="88"/>
        <v>3.4704999970620501E-2</v>
      </c>
      <c r="M684" s="284">
        <f t="shared" si="90"/>
        <v>3.1717906953443897E-2</v>
      </c>
      <c r="N684" s="187">
        <f>opex_sources!H87</f>
        <v>8.4717607973421927E-2</v>
      </c>
      <c r="O684" s="187">
        <f>SUM(L684:L686)/L$702</f>
        <v>0.15178055565548421</v>
      </c>
      <c r="P684" s="15" t="s">
        <v>962</v>
      </c>
    </row>
    <row r="685" spans="1:16" ht="15" customHeight="1" x14ac:dyDescent="0.25">
      <c r="A685" s="2" t="s">
        <v>914</v>
      </c>
      <c r="B685" s="2" t="s">
        <v>165</v>
      </c>
      <c r="C685" s="2" t="s">
        <v>746</v>
      </c>
      <c r="D685" s="2" t="s">
        <v>773</v>
      </c>
      <c r="E685" s="15" t="s">
        <v>962</v>
      </c>
      <c r="F685" s="278" t="s">
        <v>175</v>
      </c>
      <c r="G685" s="313">
        <f>opex_sources!H87/(opex_sources!H69+0+0*opex_sources!H87)</f>
        <v>0.90697674418604646</v>
      </c>
      <c r="H685" s="283">
        <f>opex_sources!H87/opex_sources!H87</f>
        <v>1</v>
      </c>
      <c r="I685" s="283">
        <f t="shared" si="87"/>
        <v>0.90697674418604646</v>
      </c>
      <c r="J685" s="284">
        <f>opex_orig!$AO$78</f>
        <v>5.7449224905340296E-3</v>
      </c>
      <c r="K685" s="284">
        <f t="shared" si="89"/>
        <v>5.2105110960657475E-3</v>
      </c>
      <c r="L685" s="284">
        <f t="shared" si="88"/>
        <v>5.2105110960657475E-3</v>
      </c>
      <c r="M685" s="284">
        <f t="shared" si="90"/>
        <v>4.7620373509525034E-3</v>
      </c>
    </row>
    <row r="686" spans="1:16" ht="15" customHeight="1" x14ac:dyDescent="0.25">
      <c r="A686" s="2" t="s">
        <v>914</v>
      </c>
      <c r="B686" s="2" t="s">
        <v>165</v>
      </c>
      <c r="C686" s="2" t="s">
        <v>746</v>
      </c>
      <c r="D686" s="2" t="s">
        <v>773</v>
      </c>
      <c r="E686" s="15" t="s">
        <v>962</v>
      </c>
      <c r="F686" s="278" t="s">
        <v>209</v>
      </c>
      <c r="G686" s="313">
        <f>opex_sources!H87/(opex_sources!H69+0+0*opex_sources!H87)</f>
        <v>0.90697674418604646</v>
      </c>
      <c r="H686" s="283">
        <f>opex_sources!H87/opex_sources!H87</f>
        <v>1</v>
      </c>
      <c r="I686" s="283">
        <f t="shared" si="87"/>
        <v>0.90697674418604646</v>
      </c>
      <c r="J686" s="284">
        <f>opex_orig!$AO$95</f>
        <v>0.12297476016742501</v>
      </c>
      <c r="K686" s="284">
        <f t="shared" si="89"/>
        <v>0.11153524759371104</v>
      </c>
      <c r="L686" s="284">
        <f t="shared" si="88"/>
        <v>0.11153524759371104</v>
      </c>
      <c r="M686" s="284">
        <f t="shared" si="90"/>
        <v>0.10193530062531227</v>
      </c>
    </row>
    <row r="687" spans="1:16" ht="15" customHeight="1" x14ac:dyDescent="0.25">
      <c r="A687" s="2" t="s">
        <v>914</v>
      </c>
      <c r="B687" s="2" t="s">
        <v>165</v>
      </c>
      <c r="C687" s="2" t="s">
        <v>746</v>
      </c>
      <c r="D687" s="2" t="s">
        <v>773</v>
      </c>
      <c r="E687" s="15" t="s">
        <v>966</v>
      </c>
      <c r="F687" s="267" t="s">
        <v>61</v>
      </c>
      <c r="G687" s="265">
        <f>opex_sources!H88/(opex_sources!H70+0+0*opex_sources!H88)</f>
        <v>0.41671904462602138</v>
      </c>
      <c r="H687" s="265">
        <f>opex_sources!H88/opex_sources!H88</f>
        <v>1</v>
      </c>
      <c r="I687" s="265">
        <f t="shared" si="87"/>
        <v>0.41671904462602138</v>
      </c>
      <c r="J687" s="266">
        <f>opex_orig!$AO$21</f>
        <v>0.14362150773701499</v>
      </c>
      <c r="K687" s="266">
        <f t="shared" si="89"/>
        <v>5.9849817491917624E-2</v>
      </c>
      <c r="L687" s="266">
        <f t="shared" si="88"/>
        <v>5.9849817491917624E-2</v>
      </c>
      <c r="M687" s="266">
        <f t="shared" si="90"/>
        <v>5.4698485635967617E-2</v>
      </c>
      <c r="N687" s="187">
        <f>opex_sources!H88</f>
        <v>8.4717607973421927E-2</v>
      </c>
      <c r="O687" s="187">
        <f>SUM(L687:L688)/L$702</f>
        <v>6.3119612490361882E-2</v>
      </c>
      <c r="P687" s="15" t="s">
        <v>966</v>
      </c>
    </row>
    <row r="688" spans="1:16" ht="15" customHeight="1" x14ac:dyDescent="0.25">
      <c r="A688" s="2" t="s">
        <v>914</v>
      </c>
      <c r="B688" s="2" t="s">
        <v>165</v>
      </c>
      <c r="C688" s="2" t="s">
        <v>746</v>
      </c>
      <c r="D688" s="2" t="s">
        <v>773</v>
      </c>
      <c r="E688" s="15" t="s">
        <v>966</v>
      </c>
      <c r="F688" s="271" t="s">
        <v>135</v>
      </c>
      <c r="G688" s="330">
        <f>opex_sources!H88/(opex_sources!H70+0+0*opex_sources!H88)</f>
        <v>0.41671904462602138</v>
      </c>
      <c r="H688" s="262">
        <f>opex_sources!H88/opex_sources!H88</f>
        <v>1</v>
      </c>
      <c r="I688" s="262">
        <f t="shared" si="87"/>
        <v>0.41671904462602138</v>
      </c>
      <c r="J688" s="263">
        <f>opex_orig!$AO$58</f>
        <v>7.5174037116861403E-3</v>
      </c>
      <c r="K688" s="263">
        <f t="shared" si="89"/>
        <v>3.1326452928019553E-3</v>
      </c>
      <c r="L688" s="263">
        <f t="shared" si="88"/>
        <v>3.1326452928019553E-3</v>
      </c>
      <c r="M688" s="263">
        <f t="shared" si="90"/>
        <v>2.8630154732560264E-3</v>
      </c>
    </row>
    <row r="689" spans="1:16" ht="15" customHeight="1" x14ac:dyDescent="0.25">
      <c r="A689" s="2" t="s">
        <v>914</v>
      </c>
      <c r="B689" s="2" t="s">
        <v>165</v>
      </c>
      <c r="C689" s="2" t="s">
        <v>746</v>
      </c>
      <c r="D689" s="2" t="s">
        <v>773</v>
      </c>
      <c r="E689" s="15" t="s">
        <v>335</v>
      </c>
      <c r="F689" s="264" t="s">
        <v>121</v>
      </c>
      <c r="G689" s="230">
        <f>opex_sources!H89/(opex_sources!H71+0*opex_sources!H80+0*opex_sources!H89)</f>
        <v>1.2270861833105335</v>
      </c>
      <c r="H689" s="230">
        <f>opex_sources!H89/opex_sources!H89</f>
        <v>1</v>
      </c>
      <c r="I689" s="230">
        <f t="shared" si="87"/>
        <v>1.2270861833105335</v>
      </c>
      <c r="J689" s="231">
        <f>opex_orig!$AO$51</f>
        <v>2.7790431304786499E-2</v>
      </c>
      <c r="K689" s="231">
        <f t="shared" si="89"/>
        <v>3.4101254282344035E-2</v>
      </c>
      <c r="L689" s="231">
        <f t="shared" si="88"/>
        <v>3.4101254282344035E-2</v>
      </c>
      <c r="M689" s="231">
        <f t="shared" si="90"/>
        <v>3.116612624229256E-2</v>
      </c>
      <c r="N689" s="187">
        <f>opex_sources!H89</f>
        <v>7.6411960132890366E-2</v>
      </c>
      <c r="O689" s="187">
        <f>SUM(L689:L700)/L$702</f>
        <v>0.27219089344518133</v>
      </c>
      <c r="P689" s="15" t="s">
        <v>335</v>
      </c>
    </row>
    <row r="690" spans="1:16" ht="15" customHeight="1" x14ac:dyDescent="0.25">
      <c r="A690" s="2" t="s">
        <v>914</v>
      </c>
      <c r="B690" s="2" t="s">
        <v>165</v>
      </c>
      <c r="C690" s="2" t="s">
        <v>746</v>
      </c>
      <c r="D690" s="2" t="s">
        <v>773</v>
      </c>
      <c r="E690" s="15" t="s">
        <v>335</v>
      </c>
      <c r="F690" s="318" t="s">
        <v>165</v>
      </c>
      <c r="G690" s="292">
        <f>opex_sources!H89/(opex_sources!H71+0*opex_sources!H80+0*opex_sources!H89)</f>
        <v>1.2270861833105335</v>
      </c>
      <c r="H690" s="292">
        <f>opex_sources!H89/(opex_sources!H84+opex_sources!H89)</f>
        <v>0.41441441441441446</v>
      </c>
      <c r="I690" s="292">
        <f t="shared" si="87"/>
        <v>0.50852220209265364</v>
      </c>
      <c r="J690" s="293">
        <f>opex_orig!$AO$73</f>
        <v>8.0744457062183E-2</v>
      </c>
      <c r="K690" s="286">
        <f>J690*I690+L662</f>
        <v>9.5047060075492171E-2</v>
      </c>
      <c r="L690" s="286">
        <f>K690-L662</f>
        <v>4.1060349112037021E-2</v>
      </c>
      <c r="M690" s="293">
        <f t="shared" si="90"/>
        <v>8.6866267403110223E-2</v>
      </c>
    </row>
    <row r="691" spans="1:16" ht="15" customHeight="1" x14ac:dyDescent="0.25">
      <c r="A691" s="2" t="s">
        <v>914</v>
      </c>
      <c r="B691" s="2" t="s">
        <v>165</v>
      </c>
      <c r="C691" s="2" t="s">
        <v>746</v>
      </c>
      <c r="D691" s="2" t="s">
        <v>773</v>
      </c>
      <c r="E691" s="15" t="s">
        <v>335</v>
      </c>
      <c r="F691" s="280" t="s">
        <v>189</v>
      </c>
      <c r="G691" s="282">
        <f>opex_sources!H89/(opex_sources!H71+0*opex_sources!H80+0*opex_sources!H89)</f>
        <v>1.2270861833105335</v>
      </c>
      <c r="H691" s="282">
        <f>opex_sources!H89/(opex_sources!H86+opex_sources!H89)</f>
        <v>0.24210526315789474</v>
      </c>
      <c r="I691" s="282">
        <f t="shared" si="87"/>
        <v>0.29708402332781336</v>
      </c>
      <c r="J691" s="234">
        <f>opex_orig!$AO$85</f>
        <v>6.16658202414841E-2</v>
      </c>
      <c r="K691" s="234">
        <f>J691*(I683+I691)</f>
        <v>6.0708577038657119E-2</v>
      </c>
      <c r="L691" s="234">
        <f t="shared" si="88"/>
        <v>1.4697866019885408E-2</v>
      </c>
      <c r="M691" s="234">
        <f t="shared" si="90"/>
        <v>5.5483330915377597E-2</v>
      </c>
    </row>
    <row r="692" spans="1:16" ht="15" customHeight="1" x14ac:dyDescent="0.25">
      <c r="A692" s="2" t="s">
        <v>914</v>
      </c>
      <c r="B692" s="2" t="s">
        <v>165</v>
      </c>
      <c r="C692" s="2" t="s">
        <v>746</v>
      </c>
      <c r="D692" s="2" t="s">
        <v>773</v>
      </c>
      <c r="E692" s="15" t="s">
        <v>335</v>
      </c>
      <c r="F692" s="222" t="s">
        <v>191</v>
      </c>
      <c r="G692" s="285">
        <f>opex_sources!H89/(opex_sources!H71+0*opex_sources!H80+0*opex_sources!H89)</f>
        <v>1.2270861833105335</v>
      </c>
      <c r="H692" s="285">
        <f>opex_sources!H89/(opex_sources!H83+opex_sources!H89)</f>
        <v>0.20814479638009048</v>
      </c>
      <c r="I692" s="285">
        <f t="shared" si="87"/>
        <v>0.25541160376599337</v>
      </c>
      <c r="J692" s="341">
        <f>opex_orig!$AO$86</f>
        <v>8.6184981834572197E-2</v>
      </c>
      <c r="K692" s="341">
        <f>J692*(I657+I692)</f>
        <v>8.3910203204030656E-2</v>
      </c>
      <c r="L692" s="341">
        <f t="shared" si="88"/>
        <v>1.7465472160114976E-2</v>
      </c>
      <c r="M692" s="341">
        <f t="shared" si="90"/>
        <v>7.6687970607205544E-2</v>
      </c>
    </row>
    <row r="693" spans="1:16" ht="15" customHeight="1" x14ac:dyDescent="0.25">
      <c r="A693" s="2" t="s">
        <v>914</v>
      </c>
      <c r="B693" s="2" t="s">
        <v>165</v>
      </c>
      <c r="C693" s="2" t="s">
        <v>746</v>
      </c>
      <c r="D693" s="2" t="s">
        <v>773</v>
      </c>
      <c r="E693" s="15" t="s">
        <v>335</v>
      </c>
      <c r="F693" s="199" t="s">
        <v>193</v>
      </c>
      <c r="G693" s="329">
        <f>opex_sources!H89/(opex_sources!H71+0*opex_sources!H80+0*opex_sources!H89)</f>
        <v>1.2270861833105335</v>
      </c>
      <c r="H693" s="329">
        <f>opex_sources!H89/opex_sources!H89</f>
        <v>1</v>
      </c>
      <c r="I693" s="329">
        <f t="shared" si="87"/>
        <v>1.2270861833105335</v>
      </c>
      <c r="J693" s="342">
        <f>opex_orig!$AO$87</f>
        <v>7.6912936999679804E-3</v>
      </c>
      <c r="K693" s="342">
        <f t="shared" si="89"/>
        <v>9.4378802310140612E-3</v>
      </c>
      <c r="L693" s="342">
        <f t="shared" si="88"/>
        <v>9.4378802310140612E-3</v>
      </c>
      <c r="M693" s="342">
        <f t="shared" si="90"/>
        <v>8.625552723194525E-3</v>
      </c>
    </row>
    <row r="694" spans="1:16" ht="15" customHeight="1" x14ac:dyDescent="0.25">
      <c r="A694" s="2" t="s">
        <v>914</v>
      </c>
      <c r="B694" s="2" t="s">
        <v>165</v>
      </c>
      <c r="C694" s="2" t="s">
        <v>746</v>
      </c>
      <c r="D694" s="2" t="s">
        <v>773</v>
      </c>
      <c r="E694" s="15" t="s">
        <v>335</v>
      </c>
      <c r="F694" s="209" t="s">
        <v>203</v>
      </c>
      <c r="G694" s="331">
        <f>opex_sources!H89/(opex_sources!H71+0*opex_sources!H80+0*opex_sources!H89)</f>
        <v>1.2270861833105335</v>
      </c>
      <c r="H694" s="331">
        <f>opex_sources!H89/opex_sources!H89</f>
        <v>1</v>
      </c>
      <c r="I694" s="331">
        <f t="shared" si="87"/>
        <v>1.2270861833105335</v>
      </c>
      <c r="J694" s="343">
        <f>opex_orig!$AO$92</f>
        <v>2.89704417220501E-2</v>
      </c>
      <c r="K694" s="343">
        <f t="shared" si="89"/>
        <v>3.5549228761530695E-2</v>
      </c>
      <c r="L694" s="343">
        <f t="shared" si="88"/>
        <v>3.5549228761530695E-2</v>
      </c>
      <c r="M694" s="343">
        <f t="shared" si="90"/>
        <v>3.2489472153276085E-2</v>
      </c>
    </row>
    <row r="695" spans="1:16" ht="15" customHeight="1" x14ac:dyDescent="0.25">
      <c r="A695" s="2" t="s">
        <v>914</v>
      </c>
      <c r="B695" s="2" t="s">
        <v>165</v>
      </c>
      <c r="C695" s="2" t="s">
        <v>746</v>
      </c>
      <c r="D695" s="2" t="s">
        <v>773</v>
      </c>
      <c r="E695" s="15" t="s">
        <v>335</v>
      </c>
      <c r="F695" s="191" t="s">
        <v>239</v>
      </c>
      <c r="G695" s="192">
        <f>opex_sources!H89/(opex_sources!H71+0*opex_sources!H80+0*opex_sources!H89)</f>
        <v>1.2270861833105335</v>
      </c>
      <c r="H695" s="192">
        <f>opex_sources!H89/opex_sources!H89</f>
        <v>1</v>
      </c>
      <c r="I695" s="192">
        <f t="shared" si="87"/>
        <v>1.2270861833105335</v>
      </c>
      <c r="J695" s="217">
        <f>opex_orig!$AO$124</f>
        <v>1.08120372992614E-2</v>
      </c>
      <c r="K695" s="217">
        <f t="shared" si="89"/>
        <v>1.32673015833618E-2</v>
      </c>
      <c r="L695" s="217">
        <f t="shared" si="88"/>
        <v>1.32673015833618E-2</v>
      </c>
      <c r="M695" s="217">
        <f t="shared" si="90"/>
        <v>1.2125372064560894E-2</v>
      </c>
    </row>
    <row r="696" spans="1:16" ht="15" customHeight="1" x14ac:dyDescent="0.25">
      <c r="A696" s="2" t="s">
        <v>914</v>
      </c>
      <c r="B696" s="2" t="s">
        <v>165</v>
      </c>
      <c r="C696" s="2" t="s">
        <v>746</v>
      </c>
      <c r="D696" s="2" t="s">
        <v>773</v>
      </c>
      <c r="E696" s="15" t="s">
        <v>335</v>
      </c>
      <c r="F696" s="255" t="s">
        <v>249</v>
      </c>
      <c r="G696" s="256">
        <f>opex_sources!H89/(opex_sources!H71+0*opex_sources!H80+0*opex_sources!H89)</f>
        <v>1.2270861833105335</v>
      </c>
      <c r="H696" s="256">
        <f>opex_sources!H89/(opex_sources!H84+opex_sources!H89)</f>
        <v>0.41441441441441446</v>
      </c>
      <c r="I696" s="256">
        <f t="shared" si="87"/>
        <v>0.50852220209265364</v>
      </c>
      <c r="J696" s="257">
        <f>opex_orig!$AO$129</f>
        <v>1.8017444205891301E-2</v>
      </c>
      <c r="K696" s="286">
        <f>J696*I696+L663</f>
        <v>6.3148981367116525E-2</v>
      </c>
      <c r="L696" s="286">
        <f>K696-L663</f>
        <v>9.1622704036613753E-3</v>
      </c>
      <c r="M696" s="257">
        <f t="shared" si="90"/>
        <v>5.771368727568256E-2</v>
      </c>
    </row>
    <row r="697" spans="1:16" ht="15" customHeight="1" x14ac:dyDescent="0.25">
      <c r="A697" s="2" t="s">
        <v>914</v>
      </c>
      <c r="B697" s="2" t="s">
        <v>165</v>
      </c>
      <c r="C697" s="2" t="s">
        <v>746</v>
      </c>
      <c r="D697" s="2" t="s">
        <v>773</v>
      </c>
      <c r="E697" s="15" t="s">
        <v>335</v>
      </c>
      <c r="F697" s="290" t="s">
        <v>267</v>
      </c>
      <c r="G697" s="198">
        <f>opex_sources!H89/(opex_sources!H71+0*opex_sources!H80+0*opex_sources!H89)</f>
        <v>1.2270861833105335</v>
      </c>
      <c r="H697" s="198">
        <f>opex_sources!H89/(opex_sources!H83+opex_sources!H89)</f>
        <v>0.20814479638009048</v>
      </c>
      <c r="I697" s="198">
        <f t="shared" si="87"/>
        <v>0.25541160376599337</v>
      </c>
      <c r="J697" s="208">
        <f>opex_orig!$AO$138</f>
        <v>5.7703633663306999E-3</v>
      </c>
      <c r="K697" s="208">
        <f>J697*(I661+I697)</f>
        <v>5.6180595774712426E-3</v>
      </c>
      <c r="L697" s="208">
        <f t="shared" si="88"/>
        <v>1.1693698668039688E-3</v>
      </c>
      <c r="M697" s="208">
        <f t="shared" si="90"/>
        <v>5.1345077391726397E-3</v>
      </c>
    </row>
    <row r="698" spans="1:16" ht="15" customHeight="1" x14ac:dyDescent="0.25">
      <c r="A698" s="2" t="s">
        <v>914</v>
      </c>
      <c r="B698" s="2" t="s">
        <v>165</v>
      </c>
      <c r="C698" s="2" t="s">
        <v>746</v>
      </c>
      <c r="D698" s="2" t="s">
        <v>773</v>
      </c>
      <c r="E698" s="15" t="s">
        <v>335</v>
      </c>
      <c r="F698" s="241" t="s">
        <v>372</v>
      </c>
      <c r="G698" s="203">
        <f>opex_sources!H89/(opex_sources!H71+0*opex_sources!H80+0*opex_sources!H89)</f>
        <v>1.2270861833105335</v>
      </c>
      <c r="H698" s="203">
        <f>opex_sources!H89/opex_sources!H89</f>
        <v>1</v>
      </c>
      <c r="I698" s="203">
        <f t="shared" si="87"/>
        <v>1.2270861833105335</v>
      </c>
      <c r="J698" s="227">
        <f>opex_orig!$AO$169</f>
        <v>3.4890727097774501E-3</v>
      </c>
      <c r="K698" s="227">
        <f t="shared" si="89"/>
        <v>4.2813929147337525E-3</v>
      </c>
      <c r="L698" s="227">
        <f t="shared" si="88"/>
        <v>4.2813929147337525E-3</v>
      </c>
      <c r="M698" s="227">
        <f t="shared" si="90"/>
        <v>3.9128892728891472E-3</v>
      </c>
    </row>
    <row r="699" spans="1:16" ht="15" customHeight="1" x14ac:dyDescent="0.25">
      <c r="A699" s="2" t="s">
        <v>914</v>
      </c>
      <c r="B699" s="2" t="s">
        <v>165</v>
      </c>
      <c r="C699" s="2" t="s">
        <v>746</v>
      </c>
      <c r="D699" s="2" t="s">
        <v>773</v>
      </c>
      <c r="E699" s="15" t="s">
        <v>335</v>
      </c>
      <c r="F699" s="241" t="s">
        <v>373</v>
      </c>
      <c r="G699" s="203">
        <f>opex_sources!H89/(opex_sources!H71+0*opex_sources!H80+0*opex_sources!H89)</f>
        <v>1.2270861833105335</v>
      </c>
      <c r="H699" s="203">
        <f>opex_sources!H89/opex_sources!H89</f>
        <v>1</v>
      </c>
      <c r="I699" s="203">
        <f t="shared" si="87"/>
        <v>1.2270861833105335</v>
      </c>
      <c r="J699" s="227">
        <f>opex_orig!$AO$170</f>
        <v>4.1017073062728802E-2</v>
      </c>
      <c r="K699" s="227">
        <f t="shared" si="89"/>
        <v>5.0331483635113181E-2</v>
      </c>
      <c r="L699" s="227">
        <f t="shared" si="88"/>
        <v>5.0331483635113181E-2</v>
      </c>
      <c r="M699" s="227">
        <f t="shared" si="90"/>
        <v>4.599940400860808E-2</v>
      </c>
    </row>
    <row r="700" spans="1:16" ht="15" customHeight="1" x14ac:dyDescent="0.25">
      <c r="A700" s="2" t="s">
        <v>914</v>
      </c>
      <c r="B700" s="2" t="s">
        <v>165</v>
      </c>
      <c r="C700" s="2" t="s">
        <v>746</v>
      </c>
      <c r="D700" s="2" t="s">
        <v>773</v>
      </c>
      <c r="E700" s="15" t="s">
        <v>335</v>
      </c>
      <c r="F700" s="241" t="s">
        <v>374</v>
      </c>
      <c r="G700" s="203">
        <f>opex_sources!H89/(opex_sources!H71+0*opex_sources!H80+0*opex_sources!H89)</f>
        <v>1.2270861833105335</v>
      </c>
      <c r="H700" s="203">
        <f>opex_sources!H89/opex_sources!H89</f>
        <v>1</v>
      </c>
      <c r="I700" s="203">
        <f t="shared" si="87"/>
        <v>1.2270861833105335</v>
      </c>
      <c r="J700" s="227">
        <f>opex_orig!$AO$171</f>
        <v>3.3474090041934301E-2</v>
      </c>
      <c r="K700" s="227">
        <f t="shared" si="89"/>
        <v>4.1075593389350303E-2</v>
      </c>
      <c r="L700" s="227">
        <f t="shared" si="88"/>
        <v>4.1075593389350303E-2</v>
      </c>
      <c r="M700" s="227">
        <f t="shared" si="90"/>
        <v>3.7540177216073181E-2</v>
      </c>
    </row>
    <row r="701" spans="1:16" ht="15" customHeight="1" x14ac:dyDescent="0.25">
      <c r="A701" s="2" t="s">
        <v>914</v>
      </c>
      <c r="B701" s="2" t="s">
        <v>165</v>
      </c>
      <c r="C701" s="2" t="s">
        <v>746</v>
      </c>
      <c r="D701" s="2" t="s">
        <v>773</v>
      </c>
      <c r="E701" s="15" t="s">
        <v>404</v>
      </c>
      <c r="F701" s="240" t="s">
        <v>375</v>
      </c>
      <c r="G701" s="202">
        <f>opex_sources!H90/(opex_sources!H72+0*opex_sources!H81+0*opex_sources!H90)</f>
        <v>2.6675786593707249</v>
      </c>
      <c r="H701" s="202">
        <f>opex_sources!H90/opex_sources!H90</f>
        <v>1</v>
      </c>
      <c r="I701" s="202">
        <f t="shared" si="87"/>
        <v>2.6675786593707249</v>
      </c>
      <c r="J701" s="239">
        <f>opex_orig!$AO$172</f>
        <v>6.4305291228469799E-2</v>
      </c>
      <c r="K701" s="239">
        <f t="shared" si="89"/>
        <v>0.1715394225656855</v>
      </c>
      <c r="L701" s="239">
        <f t="shared" si="88"/>
        <v>0.1715394225656855</v>
      </c>
      <c r="M701" s="239">
        <f t="shared" si="90"/>
        <v>0.15677485804327543</v>
      </c>
      <c r="N701" s="187">
        <f>opex_sources!H90</f>
        <v>8.3056478405315617E-2</v>
      </c>
      <c r="O701" s="187">
        <f>L701/L$702</f>
        <v>0.17191296434653563</v>
      </c>
      <c r="P701" s="1" t="s">
        <v>404</v>
      </c>
    </row>
    <row r="702" spans="1:16" ht="15" customHeight="1" x14ac:dyDescent="0.25">
      <c r="A702" s="2" t="s">
        <v>914</v>
      </c>
      <c r="B702" s="24" t="s">
        <v>165</v>
      </c>
      <c r="C702" s="24" t="s">
        <v>746</v>
      </c>
      <c r="D702" s="24" t="s">
        <v>773</v>
      </c>
      <c r="E702" s="31" t="s">
        <v>346</v>
      </c>
      <c r="F702" s="19"/>
      <c r="G702" s="184"/>
      <c r="H702" s="184"/>
      <c r="I702" s="184"/>
      <c r="J702" s="221">
        <f>SUM(J657:J689,J693:J695,J698:J701)</f>
        <v>0.91194319543728319</v>
      </c>
      <c r="K702" s="221">
        <f>SUM(K657:K689,K693:K695,K698:K701)</f>
        <v>0.99782714594987065</v>
      </c>
      <c r="L702" s="221">
        <f>SUM(L657:L701)</f>
        <v>0.99782714594987043</v>
      </c>
      <c r="M702" s="221">
        <f>SUM(M657:M689,M693:M695,M698:M701)</f>
        <v>0.91194319543728319</v>
      </c>
      <c r="N702" s="277">
        <f>SUM(N657:N701)</f>
        <v>1</v>
      </c>
      <c r="O702" s="277">
        <f>SUM(O657:O701)</f>
        <v>1.0000000000000002</v>
      </c>
    </row>
  </sheetData>
  <pageMargins left="0.7" right="0.7" top="0.78740157499999996" bottom="0.78740157499999996"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181"/>
  <sheetViews>
    <sheetView zoomScale="75" zoomScaleNormal="75" workbookViewId="0">
      <pane xSplit="3" ySplit="1" topLeftCell="D2" activePane="bottomRight" state="frozen"/>
      <selection activeCell="D2" sqref="D2"/>
      <selection pane="topRight" activeCell="D2" sqref="D2"/>
      <selection pane="bottomLeft" activeCell="D2" sqref="D2"/>
      <selection pane="bottomRight" activeCell="D2" sqref="D2"/>
    </sheetView>
  </sheetViews>
  <sheetFormatPr defaultColWidth="8.75" defaultRowHeight="15" x14ac:dyDescent="0.25"/>
  <cols>
    <col min="1" max="1" width="45.75" style="4" customWidth="1"/>
    <col min="2" max="2" width="12.375" style="4" customWidth="1"/>
    <col min="3" max="3" width="25" style="1" bestFit="1" customWidth="1"/>
    <col min="4" max="27" width="9.625" style="1" customWidth="1"/>
    <col min="28" max="64" width="9.625" style="187" customWidth="1"/>
    <col min="65" max="85" width="9.625" style="86" customWidth="1"/>
    <col min="86" max="16384" width="8.75" style="4"/>
  </cols>
  <sheetData>
    <row r="1" spans="1:85" ht="15" customHeight="1" x14ac:dyDescent="0.25">
      <c r="A1" s="3" t="s">
        <v>0</v>
      </c>
      <c r="B1" s="3" t="s">
        <v>1</v>
      </c>
      <c r="C1" s="10" t="s">
        <v>324</v>
      </c>
      <c r="D1" s="10" t="s">
        <v>90</v>
      </c>
      <c r="E1" s="10" t="s">
        <v>92</v>
      </c>
      <c r="F1" s="10" t="s">
        <v>94</v>
      </c>
      <c r="G1" s="10" t="s">
        <v>96</v>
      </c>
      <c r="H1" s="10" t="s">
        <v>98</v>
      </c>
      <c r="I1" s="10" t="s">
        <v>100</v>
      </c>
      <c r="J1" s="10" t="s">
        <v>102</v>
      </c>
      <c r="K1" s="10" t="s">
        <v>104</v>
      </c>
      <c r="L1" s="10" t="s">
        <v>106</v>
      </c>
      <c r="M1" s="10" t="s">
        <v>108</v>
      </c>
      <c r="N1" s="10" t="s">
        <v>110</v>
      </c>
      <c r="O1" s="10" t="s">
        <v>112</v>
      </c>
      <c r="P1" s="10" t="s">
        <v>114</v>
      </c>
      <c r="Q1" s="10" t="s">
        <v>116</v>
      </c>
      <c r="R1" s="10" t="s">
        <v>118</v>
      </c>
      <c r="S1" s="10" t="s">
        <v>120</v>
      </c>
      <c r="T1" s="10" t="s">
        <v>122</v>
      </c>
      <c r="U1" s="10" t="s">
        <v>124</v>
      </c>
      <c r="V1" s="10" t="s">
        <v>126</v>
      </c>
      <c r="W1" s="10" t="s">
        <v>128</v>
      </c>
      <c r="X1" s="10" t="s">
        <v>130</v>
      </c>
      <c r="Y1" s="10" t="s">
        <v>132</v>
      </c>
      <c r="Z1" s="10" t="s">
        <v>134</v>
      </c>
      <c r="AA1" s="10" t="s">
        <v>136</v>
      </c>
      <c r="AB1" s="26" t="s">
        <v>138</v>
      </c>
      <c r="AC1" s="26" t="s">
        <v>140</v>
      </c>
      <c r="AD1" s="26" t="s">
        <v>142</v>
      </c>
      <c r="AE1" s="26" t="s">
        <v>144</v>
      </c>
      <c r="AF1" s="26" t="s">
        <v>146</v>
      </c>
      <c r="AG1" s="26" t="s">
        <v>148</v>
      </c>
      <c r="AH1" s="26" t="s">
        <v>150</v>
      </c>
      <c r="AI1" s="26" t="s">
        <v>152</v>
      </c>
      <c r="AJ1" s="26" t="s">
        <v>154</v>
      </c>
      <c r="AK1" s="26" t="s">
        <v>156</v>
      </c>
      <c r="AL1" s="26" t="s">
        <v>158</v>
      </c>
      <c r="AM1" s="26" t="s">
        <v>160</v>
      </c>
      <c r="AN1" s="26" t="s">
        <v>162</v>
      </c>
      <c r="AO1" s="26" t="s">
        <v>164</v>
      </c>
      <c r="AP1" s="26" t="s">
        <v>166</v>
      </c>
      <c r="AQ1" s="26" t="s">
        <v>168</v>
      </c>
      <c r="AR1" s="26" t="s">
        <v>170</v>
      </c>
      <c r="AS1" s="26" t="s">
        <v>172</v>
      </c>
      <c r="AT1" s="26" t="s">
        <v>174</v>
      </c>
      <c r="AU1" s="26" t="s">
        <v>176</v>
      </c>
      <c r="AV1" s="26" t="s">
        <v>178</v>
      </c>
      <c r="AW1" s="26" t="s">
        <v>180</v>
      </c>
      <c r="AX1" s="26" t="s">
        <v>182</v>
      </c>
      <c r="AY1" s="26" t="s">
        <v>184</v>
      </c>
      <c r="AZ1" s="26" t="s">
        <v>186</v>
      </c>
      <c r="BA1" s="26" t="s">
        <v>188</v>
      </c>
      <c r="BB1" s="26" t="s">
        <v>190</v>
      </c>
      <c r="BC1" s="26" t="s">
        <v>192</v>
      </c>
      <c r="BD1" s="26" t="s">
        <v>194</v>
      </c>
      <c r="BE1" s="26" t="s">
        <v>196</v>
      </c>
      <c r="BF1" s="26" t="s">
        <v>198</v>
      </c>
      <c r="BG1" s="26" t="s">
        <v>200</v>
      </c>
      <c r="BH1" s="26" t="s">
        <v>202</v>
      </c>
      <c r="BI1" s="26" t="s">
        <v>204</v>
      </c>
      <c r="BJ1" s="26" t="s">
        <v>206</v>
      </c>
      <c r="BK1" s="26" t="s">
        <v>208</v>
      </c>
      <c r="BL1" s="26" t="s">
        <v>210</v>
      </c>
      <c r="BM1" s="26" t="s">
        <v>3</v>
      </c>
      <c r="BN1" s="26" t="s">
        <v>5</v>
      </c>
      <c r="BO1" s="26" t="s">
        <v>7</v>
      </c>
      <c r="BP1" s="26" t="s">
        <v>9</v>
      </c>
      <c r="BQ1" s="26" t="s">
        <v>336</v>
      </c>
      <c r="BR1" s="26" t="s">
        <v>337</v>
      </c>
      <c r="BS1" s="26" t="s">
        <v>11</v>
      </c>
      <c r="BT1" s="26" t="s">
        <v>13</v>
      </c>
      <c r="BU1" s="28" t="s">
        <v>338</v>
      </c>
      <c r="BV1" s="26" t="s">
        <v>339</v>
      </c>
      <c r="BW1" s="26" t="s">
        <v>15</v>
      </c>
      <c r="BX1" s="26" t="s">
        <v>17</v>
      </c>
      <c r="BY1" s="26" t="s">
        <v>19</v>
      </c>
      <c r="BZ1" s="26" t="s">
        <v>21</v>
      </c>
      <c r="CA1" s="26" t="s">
        <v>212</v>
      </c>
      <c r="CB1" s="26" t="s">
        <v>214</v>
      </c>
      <c r="CC1" s="26" t="s">
        <v>216</v>
      </c>
      <c r="CD1" s="26" t="s">
        <v>218</v>
      </c>
      <c r="CE1" s="26" t="s">
        <v>220</v>
      </c>
      <c r="CF1" s="26" t="s">
        <v>222</v>
      </c>
      <c r="CG1" s="26" t="s">
        <v>224</v>
      </c>
    </row>
    <row r="2" spans="1:85" x14ac:dyDescent="0.25">
      <c r="A2" s="5" t="s">
        <v>23</v>
      </c>
      <c r="B2" s="2" t="s">
        <v>22</v>
      </c>
      <c r="C2" s="1" t="s">
        <v>325</v>
      </c>
      <c r="D2" s="187">
        <f>[2]CZ_decarbplus_opex!B2</f>
        <v>4.7099999999999998E-6</v>
      </c>
      <c r="E2" s="187">
        <f>[2]CZ_decarbplus_opex!C2</f>
        <v>5.4500000000000003E-6</v>
      </c>
      <c r="F2" s="187">
        <f>[2]CZ_decarbplus_opex!D2</f>
        <v>2.41E-5</v>
      </c>
      <c r="G2" s="187">
        <f>[2]CZ_decarbplus_opex!E2</f>
        <v>1.19E-6</v>
      </c>
      <c r="H2" s="187">
        <f>[2]CZ_decarbplus_opex!F2</f>
        <v>1.35E-6</v>
      </c>
      <c r="I2" s="187">
        <f>[2]CZ_decarbplus_opex!G2</f>
        <v>3.3900000000000002E-6</v>
      </c>
      <c r="J2" s="187">
        <f>[2]CZ_decarbplus_opex!H2</f>
        <v>1.7001830000000001E-3</v>
      </c>
      <c r="K2" s="187">
        <f>[2]CZ_decarbplus_opex!I2</f>
        <v>1.27E-5</v>
      </c>
      <c r="L2" s="187">
        <f>[2]CZ_decarbplus_opex!J2</f>
        <v>4.1969700000000002E-4</v>
      </c>
      <c r="M2" s="187">
        <f>[2]CZ_decarbplus_opex!K2</f>
        <v>4.0421899999999999E-4</v>
      </c>
      <c r="N2" s="187">
        <f>[2]CZ_decarbplus_opex!L2</f>
        <v>1.052297E-3</v>
      </c>
      <c r="O2" s="187">
        <f>[2]CZ_decarbplus_opex!M2</f>
        <v>1.0026785E-2</v>
      </c>
      <c r="P2" s="187">
        <f>[2]CZ_decarbplus_opex!N2</f>
        <v>1.4309069999999999E-3</v>
      </c>
      <c r="Q2" s="187">
        <f>[2]CZ_decarbplus_opex!O2</f>
        <v>2.7500000000000001E-5</v>
      </c>
      <c r="R2" s="187">
        <f>[2]CZ_decarbplus_opex!P2</f>
        <v>1.24E-5</v>
      </c>
      <c r="S2" s="187">
        <f>[2]CZ_decarbplus_opex!Q2</f>
        <v>2.3599999999999999E-6</v>
      </c>
      <c r="T2" s="187">
        <f>[2]CZ_decarbplus_opex!R2</f>
        <v>3.0900000000000001E-6</v>
      </c>
      <c r="U2" s="187">
        <f>[2]CZ_decarbplus_opex!S2</f>
        <v>2.5299999999999999E-6</v>
      </c>
      <c r="V2" s="187">
        <f>[2]CZ_decarbplus_opex!T2</f>
        <v>4.1699999999999999E-6</v>
      </c>
      <c r="W2" s="187">
        <f>[2]CZ_decarbplus_opex!U2</f>
        <v>2.7700000000000002E-6</v>
      </c>
      <c r="X2" s="187">
        <f>[2]CZ_decarbplus_opex!V2</f>
        <v>1.13E-5</v>
      </c>
      <c r="Y2" s="187">
        <f>[2]CZ_decarbplus_opex!W2</f>
        <v>9.7300000000000004E-7</v>
      </c>
      <c r="Z2" s="187">
        <f>[2]CZ_decarbplus_opex!X2</f>
        <v>1.0100000000000001E-6</v>
      </c>
      <c r="AA2" s="187">
        <f>[2]CZ_decarbplus_opex!Y2</f>
        <v>7.1799999999999999E-6</v>
      </c>
      <c r="AB2" s="188">
        <f>[3]CZ_decarb_opex!B2</f>
        <v>2.5635095410803999E-4</v>
      </c>
      <c r="AC2" s="188">
        <f>[3]CZ_decarb_opex!C2</f>
        <v>8.8072851094694998E-5</v>
      </c>
      <c r="AD2" s="188">
        <f>[3]CZ_decarb_opex!D2</f>
        <v>6.2079689877585098E-5</v>
      </c>
      <c r="AE2" s="188">
        <f>[2]CZ_decarbplus_opex!Z2</f>
        <v>5.0300000000000003E-5</v>
      </c>
      <c r="AF2" s="188">
        <f>[2]CZ_decarbplus_opex!AA2</f>
        <v>6.3399999999999996E-5</v>
      </c>
      <c r="AG2" s="188">
        <f>[2]CZ_decarbplus_opex!AB2</f>
        <v>1.95E-6</v>
      </c>
      <c r="AH2" s="188">
        <f>[2]CZ_decarbplus_opex!AC2</f>
        <v>8.4399999999999999E-7</v>
      </c>
      <c r="AI2" s="188">
        <f>[2]CZ_decarbplus_opex!AD2</f>
        <v>2.83E-6</v>
      </c>
      <c r="AJ2" s="188">
        <f>[2]CZ_decarbplus_opex!AE2</f>
        <v>5.4899999999999995E-7</v>
      </c>
      <c r="AK2" s="188">
        <f>[2]CZ_decarbplus_opex!AF2</f>
        <v>3.4300000000000002E-6</v>
      </c>
      <c r="AL2" s="188">
        <f>[3]CZ_decarb_opex!E2</f>
        <v>1.32070289340045E-6</v>
      </c>
      <c r="AM2" s="188">
        <f>[3]CZ_decarb_opex!F2</f>
        <v>2.2462385770093401E-6</v>
      </c>
      <c r="AN2" s="188">
        <f>[2]CZ_decarbplus_opex!AG2</f>
        <v>5.3600000000000004E-6</v>
      </c>
      <c r="AO2" s="188">
        <f>[3]CZ_decarb_opex!G2</f>
        <v>6.0340918307895499E-7</v>
      </c>
      <c r="AP2" s="188">
        <f>[3]CZ_decarb_opex!H2</f>
        <v>9.4895279719534805E-7</v>
      </c>
      <c r="AQ2" s="188">
        <f>[2]CZ_decarbplus_opex!AH2</f>
        <v>1.2699999999999999E-6</v>
      </c>
      <c r="AR2" s="188">
        <f>[2]CZ_decarbplus_opex!AI2</f>
        <v>0</v>
      </c>
      <c r="AS2" s="188">
        <f>[2]CZ_decarbplus_opex!AJ2</f>
        <v>9.8599999999999996E-7</v>
      </c>
      <c r="AT2" s="188">
        <f>[2]CZ_decarbplus_opex!AK2</f>
        <v>5.8899999999999999E-7</v>
      </c>
      <c r="AU2" s="188">
        <f>[2]CZ_decarbplus_opex!AL2</f>
        <v>1.3400000000000001E-6</v>
      </c>
      <c r="AV2" s="188">
        <f>[2]CZ_decarbplus_opex!AM2</f>
        <v>1.3200000000000001E-6</v>
      </c>
      <c r="AW2" s="188">
        <f>[2]CZ_decarbplus_opex!AN2</f>
        <v>9.0100000000000003E-7</v>
      </c>
      <c r="AX2" s="188">
        <f>[2]CZ_decarbplus_opex!AO2</f>
        <v>0</v>
      </c>
      <c r="AY2" s="188">
        <f>[2]CZ_decarbplus_opex!AP2</f>
        <v>5.9000000000000003E-6</v>
      </c>
      <c r="AZ2" s="188">
        <f>[2]CZ_decarbplus_opex!AQ2</f>
        <v>0</v>
      </c>
      <c r="BA2" s="188">
        <f>[2]CZ_decarbplus_opex!AR2</f>
        <v>5.5400000000000001E-7</v>
      </c>
      <c r="BB2" s="188">
        <f>[2]CZ_decarbplus_opex!AS2</f>
        <v>4.15E-7</v>
      </c>
      <c r="BC2" s="188">
        <f>[2]CZ_decarbplus_opex!AT2</f>
        <v>7.7899999999999997E-7</v>
      </c>
      <c r="BD2" s="188">
        <f>[2]CZ_decarbplus_opex!AU2</f>
        <v>2.5800000000000001E-7</v>
      </c>
      <c r="BE2" s="188">
        <f>[2]CZ_decarbplus_opex!AV2</f>
        <v>1.29E-5</v>
      </c>
      <c r="BF2" s="188">
        <f>[2]CZ_decarbplus_opex!AW2</f>
        <v>6.5000000000000002E-7</v>
      </c>
      <c r="BG2" s="188">
        <f>[2]CZ_decarbplus_opex!AX2</f>
        <v>3.3899999999999997E-5</v>
      </c>
      <c r="BH2" s="188">
        <f>[3]CZ_decarb_opex!I2</f>
        <v>9.2354873016701E-7</v>
      </c>
      <c r="BI2" s="188">
        <f>[2]CZ_decarbplus_opex!AY2</f>
        <v>6.92E-7</v>
      </c>
      <c r="BJ2" s="188">
        <f>[2]CZ_decarbplus_opex!AZ2</f>
        <v>1.48E-6</v>
      </c>
      <c r="BK2" s="188">
        <f>[2]CZ_decarbplus_opex!BA2</f>
        <v>2.8524300000000002E-4</v>
      </c>
      <c r="BL2" s="188">
        <f>[2]CZ_decarbplus_opex!BB2</f>
        <v>0</v>
      </c>
      <c r="BM2" s="188">
        <f>[3]CZ_decarb_opex!J2</f>
        <v>4.0059935488491897E-6</v>
      </c>
      <c r="BN2" s="188">
        <f>[3]CZ_decarb_opex!K2</f>
        <v>2.3666686553420099E-5</v>
      </c>
      <c r="BO2" s="188">
        <f>[3]CZ_decarb_opex!L2</f>
        <v>6.2480255108572701E-7</v>
      </c>
      <c r="BP2" s="188">
        <f>[3]CZ_decarb_opex!M2</f>
        <v>2.5199845595808698E-6</v>
      </c>
      <c r="BQ2" s="188">
        <f>[3]CZ_decarb_opex!N2</f>
        <v>8.0720609694100406E-6</v>
      </c>
      <c r="BR2" s="188">
        <f>[3]CZ_decarb_opex!O2</f>
        <v>1.70104992858016E-7</v>
      </c>
      <c r="BS2" s="188">
        <f>[3]CZ_decarb_opex!P2</f>
        <v>3.14424888827703E-5</v>
      </c>
      <c r="BT2" s="188">
        <f>[3]CZ_decarb_opex!Q2</f>
        <v>4.2065437282019902E-7</v>
      </c>
      <c r="BU2" s="188">
        <f>[3]CZ_decarb_opex!R2</f>
        <v>3.0333085193102798E-7</v>
      </c>
      <c r="BV2" s="188">
        <f>[3]CZ_decarb_opex!S2</f>
        <v>3.0333085193102899E-7</v>
      </c>
      <c r="BW2" s="188">
        <f>[3]CZ_decarb_opex!T2</f>
        <v>1.51719488873251E-6</v>
      </c>
      <c r="BX2" s="188">
        <f>[3]CZ_decarb_opex!U2</f>
        <v>3.8051596501042501E-7</v>
      </c>
      <c r="BY2" s="188">
        <f>[3]CZ_decarb_opex!V2</f>
        <v>3.9724160144309002E-5</v>
      </c>
      <c r="BZ2" s="188">
        <f>[2]CZ_decarbplus_opex!BC2</f>
        <v>4.5399999999999997E-6</v>
      </c>
      <c r="CA2" s="188">
        <f>[2]CZ_decarbplus_opex!BD2</f>
        <v>1.5099999999999999E-6</v>
      </c>
      <c r="CB2" s="188">
        <f>[2]CZ_decarbplus_opex!BE2</f>
        <v>1.02E-6</v>
      </c>
      <c r="CC2" s="188">
        <f>[2]CZ_decarbplus_opex!BF2</f>
        <v>7.9100000000000003E-7</v>
      </c>
      <c r="CD2" s="188">
        <f>[2]CZ_decarbplus_opex!BG2</f>
        <v>2.3900000000000002E-5</v>
      </c>
      <c r="CE2" s="188">
        <f>[2]CZ_decarbplus_opex!BH2</f>
        <v>1.1988400000000001E-4</v>
      </c>
      <c r="CF2" s="188">
        <f>[2]CZ_decarbplus_opex!BI2</f>
        <v>1.48E-6</v>
      </c>
      <c r="CG2" s="188">
        <f>[2]CZ_decarbplus_opex!BJ2</f>
        <v>1.9800000000000001E-6</v>
      </c>
    </row>
    <row r="3" spans="1:85" x14ac:dyDescent="0.25">
      <c r="A3" s="5" t="s">
        <v>25</v>
      </c>
      <c r="B3" s="2" t="s">
        <v>24</v>
      </c>
      <c r="C3" s="1" t="s">
        <v>325</v>
      </c>
      <c r="D3" s="187">
        <f>[2]CZ_decarbplus_opex!B3</f>
        <v>4.5700000000000003E-6</v>
      </c>
      <c r="E3" s="187">
        <f>[2]CZ_decarbplus_opex!C3</f>
        <v>6.7900000000000002E-6</v>
      </c>
      <c r="F3" s="187">
        <f>[2]CZ_decarbplus_opex!D3</f>
        <v>2.3300000000000001E-5</v>
      </c>
      <c r="G3" s="187">
        <f>[2]CZ_decarbplus_opex!E3</f>
        <v>6.6400000000000002E-7</v>
      </c>
      <c r="H3" s="187">
        <f>[2]CZ_decarbplus_opex!F3</f>
        <v>6.75E-7</v>
      </c>
      <c r="I3" s="187">
        <f>[2]CZ_decarbplus_opex!G3</f>
        <v>3.6200000000000001E-6</v>
      </c>
      <c r="J3" s="187">
        <f>[2]CZ_decarbplus_opex!H3</f>
        <v>1.8099999999999999E-5</v>
      </c>
      <c r="K3" s="187">
        <f>[2]CZ_decarbplus_opex!I3</f>
        <v>2.0700000000000001E-6</v>
      </c>
      <c r="L3" s="187">
        <f>[2]CZ_decarbplus_opex!J3</f>
        <v>3.0303534999999999E-2</v>
      </c>
      <c r="M3" s="187">
        <f>[2]CZ_decarbplus_opex!K3</f>
        <v>3.5543452000000003E-2</v>
      </c>
      <c r="N3" s="187">
        <f>[2]CZ_decarbplus_opex!L3</f>
        <v>3.2944673000000001E-2</v>
      </c>
      <c r="O3" s="187">
        <f>[2]CZ_decarbplus_opex!M3</f>
        <v>1.2748373E-2</v>
      </c>
      <c r="P3" s="187">
        <f>[2]CZ_decarbplus_opex!N3</f>
        <v>2.451342E-3</v>
      </c>
      <c r="Q3" s="187">
        <f>[2]CZ_decarbplus_opex!O3</f>
        <v>9.9500000000000006E-5</v>
      </c>
      <c r="R3" s="187">
        <f>[2]CZ_decarbplus_opex!P3</f>
        <v>1.8499999999999999E-5</v>
      </c>
      <c r="S3" s="187">
        <f>[2]CZ_decarbplus_opex!Q3</f>
        <v>2.8799999999999999E-5</v>
      </c>
      <c r="T3" s="187">
        <f>[2]CZ_decarbplus_opex!R3</f>
        <v>2.6299999999999999E-5</v>
      </c>
      <c r="U3" s="187">
        <f>[2]CZ_decarbplus_opex!S3</f>
        <v>4.7099999999999998E-6</v>
      </c>
      <c r="V3" s="187">
        <f>[2]CZ_decarbplus_opex!T3</f>
        <v>4.9400000000000001E-6</v>
      </c>
      <c r="W3" s="187">
        <f>[2]CZ_decarbplus_opex!U3</f>
        <v>2.9500000000000001E-6</v>
      </c>
      <c r="X3" s="187">
        <f>[2]CZ_decarbplus_opex!V3</f>
        <v>5.2800000000000003E-6</v>
      </c>
      <c r="Y3" s="187">
        <f>[2]CZ_decarbplus_opex!W3</f>
        <v>8.6400000000000001E-7</v>
      </c>
      <c r="Z3" s="187">
        <f>[2]CZ_decarbplus_opex!X3</f>
        <v>4.2872899999999998E-4</v>
      </c>
      <c r="AA3" s="187">
        <f>[2]CZ_decarbplus_opex!Y3</f>
        <v>3.7000000000000002E-6</v>
      </c>
      <c r="AB3" s="188">
        <f>[3]CZ_decarb_opex!B3</f>
        <v>6.9137020226511402E-4</v>
      </c>
      <c r="AC3" s="188">
        <f>[3]CZ_decarb_opex!C3</f>
        <v>1.08333817586238E-2</v>
      </c>
      <c r="AD3" s="188">
        <f>[3]CZ_decarb_opex!D3</f>
        <v>5.3969859103065601E-3</v>
      </c>
      <c r="AE3" s="188">
        <f>[2]CZ_decarbplus_opex!Z3</f>
        <v>5.3668919999999998E-3</v>
      </c>
      <c r="AF3" s="188">
        <f>[2]CZ_decarbplus_opex!AA3</f>
        <v>4.5390669999999999E-3</v>
      </c>
      <c r="AG3" s="188">
        <f>[2]CZ_decarbplus_opex!AB3</f>
        <v>1.6099999999999998E-5</v>
      </c>
      <c r="AH3" s="188">
        <f>[2]CZ_decarbplus_opex!AC3</f>
        <v>1.1800000000000001E-5</v>
      </c>
      <c r="AI3" s="188">
        <f>[2]CZ_decarbplus_opex!AD3</f>
        <v>4.6399999999999996E-6</v>
      </c>
      <c r="AJ3" s="188">
        <f>[2]CZ_decarbplus_opex!AE3</f>
        <v>3.1700000000000001E-6</v>
      </c>
      <c r="AK3" s="188">
        <f>[2]CZ_decarbplus_opex!AF3</f>
        <v>5.4999999999999999E-6</v>
      </c>
      <c r="AL3" s="188">
        <f>[3]CZ_decarb_opex!E3</f>
        <v>3.6502467033151902E-6</v>
      </c>
      <c r="AM3" s="188">
        <f>[3]CZ_decarb_opex!F3</f>
        <v>3.14474142906157E-6</v>
      </c>
      <c r="AN3" s="188">
        <f>[2]CZ_decarbplus_opex!AG3</f>
        <v>1.1199999999999999E-5</v>
      </c>
      <c r="AO3" s="188">
        <f>[3]CZ_decarb_opex!G3</f>
        <v>1.75393432855517E-6</v>
      </c>
      <c r="AP3" s="188">
        <f>[3]CZ_decarb_opex!H3</f>
        <v>2.0158827936232199E-6</v>
      </c>
      <c r="AQ3" s="188">
        <f>[2]CZ_decarbplus_opex!AH3</f>
        <v>3.0800000000000002E-6</v>
      </c>
      <c r="AR3" s="188">
        <f>[2]CZ_decarbplus_opex!AI3</f>
        <v>0</v>
      </c>
      <c r="AS3" s="188">
        <f>[2]CZ_decarbplus_opex!AJ3</f>
        <v>5.5799999999999999E-6</v>
      </c>
      <c r="AT3" s="188">
        <f>[2]CZ_decarbplus_opex!AK3</f>
        <v>4.7199999999999997E-6</v>
      </c>
      <c r="AU3" s="188">
        <f>[2]CZ_decarbplus_opex!AL3</f>
        <v>1.5E-6</v>
      </c>
      <c r="AV3" s="188">
        <f>[2]CZ_decarbplus_opex!AM3</f>
        <v>5.3499999999999996E-7</v>
      </c>
      <c r="AW3" s="188">
        <f>[2]CZ_decarbplus_opex!AN3</f>
        <v>1.5600000000000001E-6</v>
      </c>
      <c r="AX3" s="188">
        <f>[2]CZ_decarbplus_opex!AO3</f>
        <v>0</v>
      </c>
      <c r="AY3" s="188">
        <f>[2]CZ_decarbplus_opex!AP3</f>
        <v>2.7199999999999998E-6</v>
      </c>
      <c r="AZ3" s="188">
        <f>[2]CZ_decarbplus_opex!AQ3</f>
        <v>0</v>
      </c>
      <c r="BA3" s="188">
        <f>[2]CZ_decarbplus_opex!AR3</f>
        <v>1.22E-6</v>
      </c>
      <c r="BB3" s="188">
        <f>[2]CZ_decarbplus_opex!AS3</f>
        <v>1.2100000000000001E-6</v>
      </c>
      <c r="BC3" s="188">
        <f>[2]CZ_decarbplus_opex!AT3</f>
        <v>2.3800000000000001E-6</v>
      </c>
      <c r="BD3" s="188">
        <f>[2]CZ_decarbplus_opex!AU3</f>
        <v>3.7400000000000002E-6</v>
      </c>
      <c r="BE3" s="188">
        <f>[2]CZ_decarbplus_opex!AV3</f>
        <v>4.3699999999999997E-6</v>
      </c>
      <c r="BF3" s="188">
        <f>[2]CZ_decarbplus_opex!AW3</f>
        <v>1.66E-6</v>
      </c>
      <c r="BG3" s="188">
        <f>[2]CZ_decarbplus_opex!AX3</f>
        <v>1.4399999999999999E-5</v>
      </c>
      <c r="BH3" s="188">
        <f>[3]CZ_decarb_opex!I3</f>
        <v>1.3095730095945599E-6</v>
      </c>
      <c r="BI3" s="188">
        <f>[2]CZ_decarbplus_opex!AY3</f>
        <v>2.4499999999999998E-6</v>
      </c>
      <c r="BJ3" s="188">
        <f>[2]CZ_decarbplus_opex!AZ3</f>
        <v>1.24249E-4</v>
      </c>
      <c r="BK3" s="188">
        <f>[2]CZ_decarbplus_opex!BA3</f>
        <v>7.7799999999999994E-5</v>
      </c>
      <c r="BL3" s="188">
        <f>[2]CZ_decarbplus_opex!BB3</f>
        <v>0</v>
      </c>
      <c r="BM3" s="188">
        <f>[3]CZ_decarb_opex!J3</f>
        <v>8.1506668659692803E-6</v>
      </c>
      <c r="BN3" s="188">
        <f>[3]CZ_decarb_opex!K3</f>
        <v>3.81311848483976E-5</v>
      </c>
      <c r="BO3" s="188">
        <f>[3]CZ_decarb_opex!L3</f>
        <v>1.9405806420825001E-6</v>
      </c>
      <c r="BP3" s="188">
        <f>[3]CZ_decarb_opex!M3</f>
        <v>5.9106631693904599E-6</v>
      </c>
      <c r="BQ3" s="188">
        <f>[3]CZ_decarb_opex!N3</f>
        <v>3.5311531227553401E-6</v>
      </c>
      <c r="BR3" s="188">
        <f>[3]CZ_decarb_opex!O3</f>
        <v>1.0981743401556701E-7</v>
      </c>
      <c r="BS3" s="188">
        <f>[3]CZ_decarb_opex!P3</f>
        <v>2.0882865983200501E-5</v>
      </c>
      <c r="BT3" s="188">
        <f>[3]CZ_decarb_opex!Q3</f>
        <v>5.8279733294884198E-7</v>
      </c>
      <c r="BU3" s="188">
        <f>[3]CZ_decarb_opex!R3</f>
        <v>7.4809859392345E-7</v>
      </c>
      <c r="BV3" s="188">
        <f>[3]CZ_decarb_opex!S3</f>
        <v>7.4809859392345095E-7</v>
      </c>
      <c r="BW3" s="188">
        <f>[3]CZ_decarb_opex!T3</f>
        <v>7.4116903318488501E-6</v>
      </c>
      <c r="BX3" s="188">
        <f>[3]CZ_decarb_opex!U3</f>
        <v>4.88461904935668E-7</v>
      </c>
      <c r="BY3" s="188">
        <f>[3]CZ_decarb_opex!V3</f>
        <v>3.4349817764955398E-6</v>
      </c>
      <c r="BZ3" s="188">
        <f>[2]CZ_decarbplus_opex!BC3</f>
        <v>1.0000000000000001E-5</v>
      </c>
      <c r="CA3" s="188">
        <f>[2]CZ_decarbplus_opex!BD3</f>
        <v>3.14E-6</v>
      </c>
      <c r="CB3" s="188">
        <f>[2]CZ_decarbplus_opex!BE3</f>
        <v>3.2399999999999999E-6</v>
      </c>
      <c r="CC3" s="188">
        <f>[2]CZ_decarbplus_opex!BF3</f>
        <v>2.04E-6</v>
      </c>
      <c r="CD3" s="188">
        <f>[2]CZ_decarbplus_opex!BG3</f>
        <v>3.8999999999999999E-5</v>
      </c>
      <c r="CE3" s="188">
        <f>[2]CZ_decarbplus_opex!BH3</f>
        <v>3.3800000000000002E-5</v>
      </c>
      <c r="CF3" s="188">
        <f>[2]CZ_decarbplus_opex!BI3</f>
        <v>2.3099999999999999E-6</v>
      </c>
      <c r="CG3" s="188">
        <f>[2]CZ_decarbplus_opex!BJ3</f>
        <v>3.0299999999999998E-6</v>
      </c>
    </row>
    <row r="4" spans="1:85" x14ac:dyDescent="0.25">
      <c r="A4" s="5" t="s">
        <v>27</v>
      </c>
      <c r="B4" s="2" t="s">
        <v>26</v>
      </c>
      <c r="C4" s="1" t="s">
        <v>325</v>
      </c>
      <c r="D4" s="187">
        <f>[2]CZ_decarbplus_opex!B4</f>
        <v>5.6400000000000002E-6</v>
      </c>
      <c r="E4" s="187">
        <f>[2]CZ_decarbplus_opex!C4</f>
        <v>5.4299999999999997E-6</v>
      </c>
      <c r="F4" s="187">
        <f>[2]CZ_decarbplus_opex!D4</f>
        <v>1.4800000000000001E-5</v>
      </c>
      <c r="G4" s="187">
        <f>[2]CZ_decarbplus_opex!E4</f>
        <v>1.0899999999999999E-6</v>
      </c>
      <c r="H4" s="187">
        <f>[2]CZ_decarbplus_opex!F4</f>
        <v>1.22E-6</v>
      </c>
      <c r="I4" s="187">
        <f>[2]CZ_decarbplus_opex!G4</f>
        <v>4.7199999999999997E-6</v>
      </c>
      <c r="J4" s="187">
        <f>[2]CZ_decarbplus_opex!H4</f>
        <v>1.5800000000000001E-5</v>
      </c>
      <c r="K4" s="187">
        <f>[2]CZ_decarbplus_opex!I4</f>
        <v>2.7800000000000001E-6</v>
      </c>
      <c r="L4" s="187">
        <f>[2]CZ_decarbplus_opex!J4</f>
        <v>4.4177942999999997E-2</v>
      </c>
      <c r="M4" s="187">
        <f>[2]CZ_decarbplus_opex!K4</f>
        <v>5.2844980999999999E-2</v>
      </c>
      <c r="N4" s="187">
        <f>[2]CZ_decarbplus_opex!L4</f>
        <v>5.5589567999999999E-2</v>
      </c>
      <c r="O4" s="187">
        <f>[2]CZ_decarbplus_opex!M4</f>
        <v>9.8015359999999996E-3</v>
      </c>
      <c r="P4" s="187">
        <f>[2]CZ_decarbplus_opex!N4</f>
        <v>1.7074950000000001E-3</v>
      </c>
      <c r="Q4" s="187">
        <f>[2]CZ_decarbplus_opex!O4</f>
        <v>1.21818E-4</v>
      </c>
      <c r="R4" s="187">
        <f>[2]CZ_decarbplus_opex!P4</f>
        <v>3.3599999999999997E-5</v>
      </c>
      <c r="S4" s="187">
        <f>[2]CZ_decarbplus_opex!Q4</f>
        <v>2.4300000000000001E-5</v>
      </c>
      <c r="T4" s="187">
        <f>[2]CZ_decarbplus_opex!R4</f>
        <v>2.34E-5</v>
      </c>
      <c r="U4" s="187">
        <f>[2]CZ_decarbplus_opex!S4</f>
        <v>1.0699999999999999E-5</v>
      </c>
      <c r="V4" s="187">
        <f>[2]CZ_decarbplus_opex!T4</f>
        <v>1.3200000000000001E-5</v>
      </c>
      <c r="W4" s="187">
        <f>[2]CZ_decarbplus_opex!U4</f>
        <v>3.2200000000000001E-6</v>
      </c>
      <c r="X4" s="187">
        <f>[2]CZ_decarbplus_opex!V4</f>
        <v>3.3500000000000001E-6</v>
      </c>
      <c r="Y4" s="187">
        <f>[2]CZ_decarbplus_opex!W4</f>
        <v>1.7099999999999999E-6</v>
      </c>
      <c r="Z4" s="187">
        <f>[2]CZ_decarbplus_opex!X4</f>
        <v>1.8328299999999999E-4</v>
      </c>
      <c r="AA4" s="187">
        <f>[2]CZ_decarbplus_opex!Y4</f>
        <v>1.03E-5</v>
      </c>
      <c r="AB4" s="188">
        <f>[3]CZ_decarb_opex!B4</f>
        <v>3.9091818214950498E-4</v>
      </c>
      <c r="AC4" s="188">
        <f>[3]CZ_decarb_opex!C4</f>
        <v>7.6306391172149398E-3</v>
      </c>
      <c r="AD4" s="188">
        <f>[3]CZ_decarb_opex!D4</f>
        <v>3.9053434058628502E-3</v>
      </c>
      <c r="AE4" s="188">
        <f>[2]CZ_decarbplus_opex!Z4</f>
        <v>3.8017530000000002E-3</v>
      </c>
      <c r="AF4" s="188">
        <f>[2]CZ_decarbplus_opex!AA4</f>
        <v>3.569301E-3</v>
      </c>
      <c r="AG4" s="188">
        <f>[2]CZ_decarbplus_opex!AB4</f>
        <v>5.9800000000000003E-6</v>
      </c>
      <c r="AH4" s="188">
        <f>[2]CZ_decarbplus_opex!AC4</f>
        <v>4.0799999999999999E-6</v>
      </c>
      <c r="AI4" s="188">
        <f>[2]CZ_decarbplus_opex!AD4</f>
        <v>4.16E-6</v>
      </c>
      <c r="AJ4" s="188">
        <f>[2]CZ_decarbplus_opex!AE4</f>
        <v>2.17E-6</v>
      </c>
      <c r="AK4" s="188">
        <f>[2]CZ_decarbplus_opex!AF4</f>
        <v>5.1599999999999997E-6</v>
      </c>
      <c r="AL4" s="188">
        <f>[3]CZ_decarb_opex!E4</f>
        <v>2.8878020605785502E-6</v>
      </c>
      <c r="AM4" s="188">
        <f>[3]CZ_decarb_opex!F4</f>
        <v>3.4022056056284901E-6</v>
      </c>
      <c r="AN4" s="188">
        <f>[2]CZ_decarbplus_opex!AG4</f>
        <v>7.8900000000000007E-6</v>
      </c>
      <c r="AO4" s="188">
        <f>[3]CZ_decarb_opex!G4</f>
        <v>1.54396575275685E-6</v>
      </c>
      <c r="AP4" s="188">
        <f>[3]CZ_decarb_opex!H4</f>
        <v>2.0200053433418101E-6</v>
      </c>
      <c r="AQ4" s="188">
        <f>[2]CZ_decarbplus_opex!AH4</f>
        <v>2.8700000000000001E-6</v>
      </c>
      <c r="AR4" s="188">
        <f>[2]CZ_decarbplus_opex!AI4</f>
        <v>0</v>
      </c>
      <c r="AS4" s="188">
        <f>[2]CZ_decarbplus_opex!AJ4</f>
        <v>3.23E-6</v>
      </c>
      <c r="AT4" s="188">
        <f>[2]CZ_decarbplus_opex!AK4</f>
        <v>2.6199999999999999E-6</v>
      </c>
      <c r="AU4" s="188">
        <f>[2]CZ_decarbplus_opex!AL4</f>
        <v>1.8700000000000001E-6</v>
      </c>
      <c r="AV4" s="188">
        <f>[2]CZ_decarbplus_opex!AM4</f>
        <v>1.5999999999999999E-6</v>
      </c>
      <c r="AW4" s="188">
        <f>[2]CZ_decarbplus_opex!AN4</f>
        <v>1.79E-6</v>
      </c>
      <c r="AX4" s="188">
        <f>[2]CZ_decarbplus_opex!AO4</f>
        <v>0</v>
      </c>
      <c r="AY4" s="188">
        <f>[2]CZ_decarbplus_opex!AP4</f>
        <v>5.7899999999999996E-6</v>
      </c>
      <c r="AZ4" s="188">
        <f>[2]CZ_decarbplus_opex!AQ4</f>
        <v>0</v>
      </c>
      <c r="BA4" s="188">
        <f>[2]CZ_decarbplus_opex!AR4</f>
        <v>1.4899999999999999E-6</v>
      </c>
      <c r="BB4" s="188">
        <f>[2]CZ_decarbplus_opex!AS4</f>
        <v>8.6099999999999999E-7</v>
      </c>
      <c r="BC4" s="188">
        <f>[2]CZ_decarbplus_opex!AT4</f>
        <v>2.6299999999999998E-6</v>
      </c>
      <c r="BD4" s="188">
        <f>[2]CZ_decarbplus_opex!AU4</f>
        <v>3.2600000000000001E-6</v>
      </c>
      <c r="BE4" s="188">
        <f>[2]CZ_decarbplus_opex!AV4</f>
        <v>3.9500000000000003E-6</v>
      </c>
      <c r="BF4" s="188">
        <f>[2]CZ_decarbplus_opex!AW4</f>
        <v>1.6899999999999999E-6</v>
      </c>
      <c r="BG4" s="188">
        <f>[2]CZ_decarbplus_opex!AX4</f>
        <v>8.0600000000000008E-6</v>
      </c>
      <c r="BH4" s="188">
        <f>[3]CZ_decarb_opex!I4</f>
        <v>2.7738992921792502E-6</v>
      </c>
      <c r="BI4" s="188">
        <f>[2]CZ_decarbplus_opex!AY4</f>
        <v>2.0600000000000002E-6</v>
      </c>
      <c r="BJ4" s="188">
        <f>[2]CZ_decarbplus_opex!AZ4</f>
        <v>5.6400000000000002E-5</v>
      </c>
      <c r="BK4" s="188">
        <f>[2]CZ_decarbplus_opex!BA4</f>
        <v>4.6499999999999999E-5</v>
      </c>
      <c r="BL4" s="188">
        <f>[2]CZ_decarbplus_opex!BB4</f>
        <v>0</v>
      </c>
      <c r="BM4" s="188">
        <f>[3]CZ_decarb_opex!J4</f>
        <v>9.2554371606333499E-6</v>
      </c>
      <c r="BN4" s="188">
        <f>[3]CZ_decarb_opex!K4</f>
        <v>3.0004397944589501E-5</v>
      </c>
      <c r="BO4" s="188">
        <f>[3]CZ_decarb_opex!L4</f>
        <v>2.71744830176484E-6</v>
      </c>
      <c r="BP4" s="188">
        <f>[3]CZ_decarb_opex!M4</f>
        <v>6.7608806709892103E-6</v>
      </c>
      <c r="BQ4" s="188">
        <f>[3]CZ_decarb_opex!N4</f>
        <v>9.0764697549774002E-6</v>
      </c>
      <c r="BR4" s="188">
        <f>[3]CZ_decarb_opex!O4</f>
        <v>2.54580738085961E-7</v>
      </c>
      <c r="BS4" s="188">
        <f>[3]CZ_decarb_opex!P4</f>
        <v>2.8600295128253999E-5</v>
      </c>
      <c r="BT4" s="188">
        <f>[3]CZ_decarb_opex!Q4</f>
        <v>9.4552827812069497E-7</v>
      </c>
      <c r="BU4" s="188">
        <f>[3]CZ_decarb_opex!R4</f>
        <v>3.0021769808777601E-6</v>
      </c>
      <c r="BV4" s="188">
        <f>[3]CZ_decarb_opex!S4</f>
        <v>3.0021769808777601E-6</v>
      </c>
      <c r="BW4" s="188">
        <f>[3]CZ_decarb_opex!T4</f>
        <v>8.6419249570513802E-6</v>
      </c>
      <c r="BX4" s="188">
        <f>[3]CZ_decarb_opex!U4</f>
        <v>1.01706811526365E-6</v>
      </c>
      <c r="BY4" s="188">
        <f>[3]CZ_decarb_opex!V4</f>
        <v>1.48411691079235E-5</v>
      </c>
      <c r="BZ4" s="188">
        <f>[2]CZ_decarbplus_opex!BC4</f>
        <v>9.8500000000000006E-6</v>
      </c>
      <c r="CA4" s="188">
        <f>[2]CZ_decarbplus_opex!BD4</f>
        <v>4.7500000000000003E-6</v>
      </c>
      <c r="CB4" s="188">
        <f>[2]CZ_decarbplus_opex!BE4</f>
        <v>4.7999999999999998E-6</v>
      </c>
      <c r="CC4" s="188">
        <f>[2]CZ_decarbplus_opex!BF4</f>
        <v>2.9799999999999998E-6</v>
      </c>
      <c r="CD4" s="188">
        <f>[2]CZ_decarbplus_opex!BG4</f>
        <v>2.9200000000000002E-5</v>
      </c>
      <c r="CE4" s="188">
        <f>[2]CZ_decarbplus_opex!BH4</f>
        <v>2.1399999999999998E-5</v>
      </c>
      <c r="CF4" s="188">
        <f>[2]CZ_decarbplus_opex!BI4</f>
        <v>4.0199999999999996E-6</v>
      </c>
      <c r="CG4" s="188">
        <f>[2]CZ_decarbplus_opex!BJ4</f>
        <v>2.8100000000000002E-6</v>
      </c>
    </row>
    <row r="5" spans="1:85" x14ac:dyDescent="0.25">
      <c r="A5" s="5" t="s">
        <v>29</v>
      </c>
      <c r="B5" s="2" t="s">
        <v>28</v>
      </c>
      <c r="C5" s="1" t="s">
        <v>325</v>
      </c>
      <c r="D5" s="187">
        <f>[2]CZ_decarbplus_opex!B5</f>
        <v>2.3799999999999999E-5</v>
      </c>
      <c r="E5" s="187">
        <f>[2]CZ_decarbplus_opex!C5</f>
        <v>3.9799999999999998E-5</v>
      </c>
      <c r="F5" s="187">
        <f>[2]CZ_decarbplus_opex!D5</f>
        <v>1.05468E-4</v>
      </c>
      <c r="G5" s="187">
        <f>[2]CZ_decarbplus_opex!E5</f>
        <v>3.8999999999999999E-6</v>
      </c>
      <c r="H5" s="187">
        <f>[2]CZ_decarbplus_opex!F5</f>
        <v>3.19E-6</v>
      </c>
      <c r="I5" s="187">
        <f>[2]CZ_decarbplus_opex!G5</f>
        <v>2.37E-5</v>
      </c>
      <c r="J5" s="187">
        <f>[2]CZ_decarbplus_opex!H5</f>
        <v>3.1600000000000002E-5</v>
      </c>
      <c r="K5" s="187">
        <f>[2]CZ_decarbplus_opex!I5</f>
        <v>7.1600000000000001E-6</v>
      </c>
      <c r="L5" s="187">
        <f>[2]CZ_decarbplus_opex!J5</f>
        <v>4.8133914E-2</v>
      </c>
      <c r="M5" s="187">
        <f>[2]CZ_decarbplus_opex!K5</f>
        <v>4.5783371000000003E-2</v>
      </c>
      <c r="N5" s="187">
        <f>[2]CZ_decarbplus_opex!L5</f>
        <v>3.9651406E-2</v>
      </c>
      <c r="O5" s="187">
        <f>[2]CZ_decarbplus_opex!M5</f>
        <v>2.917003E-3</v>
      </c>
      <c r="P5" s="187">
        <f>[2]CZ_decarbplus_opex!N5</f>
        <v>4.58932E-4</v>
      </c>
      <c r="Q5" s="187">
        <f>[2]CZ_decarbplus_opex!O5</f>
        <v>2.2037900000000001E-4</v>
      </c>
      <c r="R5" s="187">
        <f>[2]CZ_decarbplus_opex!P5</f>
        <v>5.52E-5</v>
      </c>
      <c r="S5" s="187">
        <f>[2]CZ_decarbplus_opex!Q5</f>
        <v>1.9400000000000001E-5</v>
      </c>
      <c r="T5" s="187">
        <f>[2]CZ_decarbplus_opex!R5</f>
        <v>2.55E-5</v>
      </c>
      <c r="U5" s="187">
        <f>[2]CZ_decarbplus_opex!S5</f>
        <v>5.0099999999999998E-5</v>
      </c>
      <c r="V5" s="187">
        <f>[2]CZ_decarbplus_opex!T5</f>
        <v>8.5000000000000006E-5</v>
      </c>
      <c r="W5" s="187">
        <f>[2]CZ_decarbplus_opex!U5</f>
        <v>1.73E-5</v>
      </c>
      <c r="X5" s="187">
        <f>[2]CZ_decarbplus_opex!V5</f>
        <v>1.33E-5</v>
      </c>
      <c r="Y5" s="187">
        <f>[2]CZ_decarbplus_opex!W5</f>
        <v>6.7499999999999997E-6</v>
      </c>
      <c r="Z5" s="187">
        <f>[2]CZ_decarbplus_opex!X5</f>
        <v>4.3512999999999999E-4</v>
      </c>
      <c r="AA5" s="187">
        <f>[2]CZ_decarbplus_opex!Y5</f>
        <v>3.0700000000000001E-5</v>
      </c>
      <c r="AB5" s="188">
        <f>[3]CZ_decarb_opex!B5</f>
        <v>2.6398995416881997E-4</v>
      </c>
      <c r="AC5" s="188">
        <f>[3]CZ_decarb_opex!C5</f>
        <v>2.6223217922986901E-3</v>
      </c>
      <c r="AD5" s="188">
        <f>[3]CZ_decarb_opex!D5</f>
        <v>1.47731003015292E-3</v>
      </c>
      <c r="AE5" s="188">
        <f>[2]CZ_decarbplus_opex!Z5</f>
        <v>1.492461E-3</v>
      </c>
      <c r="AF5" s="188">
        <f>[2]CZ_decarbplus_opex!AA5</f>
        <v>1.382805E-3</v>
      </c>
      <c r="AG5" s="188">
        <f>[2]CZ_decarbplus_opex!AB5</f>
        <v>5.2099999999999999E-5</v>
      </c>
      <c r="AH5" s="188">
        <f>[2]CZ_decarbplus_opex!AC5</f>
        <v>4.1699999999999997E-5</v>
      </c>
      <c r="AI5" s="188">
        <f>[2]CZ_decarbplus_opex!AD5</f>
        <v>1.52E-5</v>
      </c>
      <c r="AJ5" s="188">
        <f>[2]CZ_decarbplus_opex!AE5</f>
        <v>2.58E-5</v>
      </c>
      <c r="AK5" s="188">
        <f>[2]CZ_decarbplus_opex!AF5</f>
        <v>3.26E-5</v>
      </c>
      <c r="AL5" s="188">
        <f>[3]CZ_decarb_opex!E5</f>
        <v>2.13902961806828E-5</v>
      </c>
      <c r="AM5" s="188">
        <f>[3]CZ_decarb_opex!F5</f>
        <v>2.0163970879711499E-5</v>
      </c>
      <c r="AN5" s="188">
        <f>[2]CZ_decarbplus_opex!AG5</f>
        <v>2.9799999999999999E-5</v>
      </c>
      <c r="AO5" s="188">
        <f>[3]CZ_decarb_opex!G5</f>
        <v>1.1329822884584199E-5</v>
      </c>
      <c r="AP5" s="188">
        <f>[3]CZ_decarb_opex!H5</f>
        <v>2.4637383657795899E-5</v>
      </c>
      <c r="AQ5" s="188">
        <f>[2]CZ_decarbplus_opex!AH5</f>
        <v>3.3899999999999997E-5</v>
      </c>
      <c r="AR5" s="188">
        <f>[2]CZ_decarbplus_opex!AI5</f>
        <v>0</v>
      </c>
      <c r="AS5" s="188">
        <f>[2]CZ_decarbplus_opex!AJ5</f>
        <v>3.4600000000000001E-5</v>
      </c>
      <c r="AT5" s="188">
        <f>[2]CZ_decarbplus_opex!AK5</f>
        <v>2.4000000000000001E-5</v>
      </c>
      <c r="AU5" s="188">
        <f>[2]CZ_decarbplus_opex!AL5</f>
        <v>2.6699999999999998E-5</v>
      </c>
      <c r="AV5" s="188">
        <f>[2]CZ_decarbplus_opex!AM5</f>
        <v>1.1600000000000001E-5</v>
      </c>
      <c r="AW5" s="188">
        <f>[2]CZ_decarbplus_opex!AN5</f>
        <v>2.41E-5</v>
      </c>
      <c r="AX5" s="188">
        <f>[2]CZ_decarbplus_opex!AO5</f>
        <v>0</v>
      </c>
      <c r="AY5" s="188">
        <f>[2]CZ_decarbplus_opex!AP5</f>
        <v>2.1399999999999998E-5</v>
      </c>
      <c r="AZ5" s="188">
        <f>[2]CZ_decarbplus_opex!AQ5</f>
        <v>0</v>
      </c>
      <c r="BA5" s="188">
        <f>[2]CZ_decarbplus_opex!AR5</f>
        <v>1.01E-5</v>
      </c>
      <c r="BB5" s="188">
        <f>[2]CZ_decarbplus_opex!AS5</f>
        <v>1.3200000000000001E-5</v>
      </c>
      <c r="BC5" s="188">
        <f>[2]CZ_decarbplus_opex!AT5</f>
        <v>1.31E-5</v>
      </c>
      <c r="BD5" s="188">
        <f>[2]CZ_decarbplus_opex!AU5</f>
        <v>1.2300000000000001E-5</v>
      </c>
      <c r="BE5" s="188">
        <f>[2]CZ_decarbplus_opex!AV5</f>
        <v>1.34E-5</v>
      </c>
      <c r="BF5" s="188">
        <f>[2]CZ_decarbplus_opex!AW5</f>
        <v>3.0899999999999999E-5</v>
      </c>
      <c r="BG5" s="188">
        <f>[2]CZ_decarbplus_opex!AX5</f>
        <v>3.6300000000000001E-5</v>
      </c>
      <c r="BH5" s="188">
        <f>[3]CZ_decarb_opex!I5</f>
        <v>1.4437854679112399E-5</v>
      </c>
      <c r="BI5" s="188">
        <f>[2]CZ_decarbplus_opex!AY5</f>
        <v>1.2999999999999999E-5</v>
      </c>
      <c r="BJ5" s="188">
        <f>[2]CZ_decarbplus_opex!AZ5</f>
        <v>1.83454E-4</v>
      </c>
      <c r="BK5" s="188">
        <f>[2]CZ_decarbplus_opex!BA5</f>
        <v>1.6259E-4</v>
      </c>
      <c r="BL5" s="188">
        <f>[2]CZ_decarbplus_opex!BB5</f>
        <v>0</v>
      </c>
      <c r="BM5" s="188">
        <f>[3]CZ_decarb_opex!J5</f>
        <v>2.7029491260443198E-5</v>
      </c>
      <c r="BN5" s="188">
        <f>[3]CZ_decarb_opex!K5</f>
        <v>1.34404858140836E-4</v>
      </c>
      <c r="BO5" s="188">
        <f>[3]CZ_decarb_opex!L5</f>
        <v>1.7514496997939899E-5</v>
      </c>
      <c r="BP5" s="188">
        <f>[3]CZ_decarb_opex!M5</f>
        <v>1.07024393829226E-4</v>
      </c>
      <c r="BQ5" s="188">
        <f>[3]CZ_decarb_opex!N5</f>
        <v>3.2927106211466703E-5</v>
      </c>
      <c r="BR5" s="188">
        <f>[3]CZ_decarb_opex!O5</f>
        <v>1.1145424608715299E-6</v>
      </c>
      <c r="BS5" s="188">
        <f>[3]CZ_decarb_opex!P5</f>
        <v>7.52960943890219E-5</v>
      </c>
      <c r="BT5" s="188">
        <f>[3]CZ_decarb_opex!Q5</f>
        <v>3.0969534561804899E-6</v>
      </c>
      <c r="BU5" s="188">
        <f>[3]CZ_decarb_opex!R5</f>
        <v>9.4255485452580808E-6</v>
      </c>
      <c r="BV5" s="188">
        <f>[3]CZ_decarb_opex!S5</f>
        <v>9.4255485452581096E-6</v>
      </c>
      <c r="BW5" s="188">
        <f>[3]CZ_decarb_opex!T5</f>
        <v>2.4014948795505301E-5</v>
      </c>
      <c r="BX5" s="188">
        <f>[3]CZ_decarb_opex!U5</f>
        <v>5.6662083579293398E-6</v>
      </c>
      <c r="BY5" s="188">
        <f>[3]CZ_decarb_opex!V5</f>
        <v>4.9506988337283403E-5</v>
      </c>
      <c r="BZ5" s="188">
        <f>[2]CZ_decarbplus_opex!BC5</f>
        <v>6.9499999999999995E-5</v>
      </c>
      <c r="CA5" s="188">
        <f>[2]CZ_decarbplus_opex!BD5</f>
        <v>2.5700000000000001E-5</v>
      </c>
      <c r="CB5" s="188">
        <f>[2]CZ_decarbplus_opex!BE5</f>
        <v>2.3499999999999999E-5</v>
      </c>
      <c r="CC5" s="188">
        <f>[2]CZ_decarbplus_opex!BF5</f>
        <v>1.63E-5</v>
      </c>
      <c r="CD5" s="188">
        <f>[2]CZ_decarbplus_opex!BG5</f>
        <v>6.7700000000000006E-5</v>
      </c>
      <c r="CE5" s="188">
        <f>[2]CZ_decarbplus_opex!BH5</f>
        <v>6.1600000000000007E-5</v>
      </c>
      <c r="CF5" s="188">
        <f>[2]CZ_decarbplus_opex!BI5</f>
        <v>1.17E-5</v>
      </c>
      <c r="CG5" s="188">
        <f>[2]CZ_decarbplus_opex!BJ5</f>
        <v>5.02E-5</v>
      </c>
    </row>
    <row r="6" spans="1:85" x14ac:dyDescent="0.25">
      <c r="A6" s="5" t="s">
        <v>31</v>
      </c>
      <c r="B6" s="2" t="s">
        <v>30</v>
      </c>
      <c r="C6" s="1" t="s">
        <v>325</v>
      </c>
      <c r="D6" s="187">
        <f>[2]CZ_decarbplus_opex!B6</f>
        <v>5.3900000000000001E-6</v>
      </c>
      <c r="E6" s="187">
        <f>[2]CZ_decarbplus_opex!C6</f>
        <v>6.6000000000000003E-6</v>
      </c>
      <c r="F6" s="187">
        <f>[2]CZ_decarbplus_opex!D6</f>
        <v>2.2799999999999999E-5</v>
      </c>
      <c r="G6" s="187">
        <f>[2]CZ_decarbplus_opex!E6</f>
        <v>7.2900000000000003E-7</v>
      </c>
      <c r="H6" s="187">
        <f>[2]CZ_decarbplus_opex!F6</f>
        <v>8.7167596999999999E-2</v>
      </c>
      <c r="I6" s="187">
        <f>[2]CZ_decarbplus_opex!G6</f>
        <v>5.5999999999999997E-6</v>
      </c>
      <c r="J6" s="187">
        <f>[2]CZ_decarbplus_opex!H6</f>
        <v>5.8999999999999998E-5</v>
      </c>
      <c r="K6" s="187">
        <f>[2]CZ_decarbplus_opex!I6</f>
        <v>1.37E-6</v>
      </c>
      <c r="L6" s="187">
        <f>[2]CZ_decarbplus_opex!J6</f>
        <v>4.2637011000000002E-2</v>
      </c>
      <c r="M6" s="187">
        <f>[2]CZ_decarbplus_opex!K6</f>
        <v>1.3523300000000001E-4</v>
      </c>
      <c r="N6" s="187">
        <f>[2]CZ_decarbplus_opex!L6</f>
        <v>4.7779838999999998E-2</v>
      </c>
      <c r="O6" s="187">
        <f>[2]CZ_decarbplus_opex!M6</f>
        <v>5.2529499999999995E-4</v>
      </c>
      <c r="P6" s="187">
        <f>[2]CZ_decarbplus_opex!N6</f>
        <v>8.2000000000000001E-5</v>
      </c>
      <c r="Q6" s="187">
        <f>[2]CZ_decarbplus_opex!O6</f>
        <v>1.1746700000000001E-4</v>
      </c>
      <c r="R6" s="187">
        <f>[2]CZ_decarbplus_opex!P6</f>
        <v>1.52E-5</v>
      </c>
      <c r="S6" s="187">
        <f>[2]CZ_decarbplus_opex!Q6</f>
        <v>1.1800000000000001E-5</v>
      </c>
      <c r="T6" s="187">
        <f>[2]CZ_decarbplus_opex!R6</f>
        <v>7.3799999999999996E-6</v>
      </c>
      <c r="U6" s="187">
        <f>[2]CZ_decarbplus_opex!S6</f>
        <v>1.6500000000000001E-5</v>
      </c>
      <c r="V6" s="187">
        <f>[2]CZ_decarbplus_opex!T6</f>
        <v>1.42E-5</v>
      </c>
      <c r="W6" s="187">
        <f>[2]CZ_decarbplus_opex!U6</f>
        <v>5.5799999999999999E-6</v>
      </c>
      <c r="X6" s="187">
        <f>[2]CZ_decarbplus_opex!V6</f>
        <v>7.9400000000000002E-6</v>
      </c>
      <c r="Y6" s="187">
        <f>[2]CZ_decarbplus_opex!W6</f>
        <v>1.4699999999999999E-6</v>
      </c>
      <c r="Z6" s="187">
        <f>[2]CZ_decarbplus_opex!X6</f>
        <v>6.0136100000000002E-4</v>
      </c>
      <c r="AA6" s="187">
        <f>[2]CZ_decarbplus_opex!Y6</f>
        <v>6.9299999999999997E-6</v>
      </c>
      <c r="AB6" s="188">
        <f>[3]CZ_decarb_opex!B6</f>
        <v>1.9295825082987501E-3</v>
      </c>
      <c r="AC6" s="188">
        <f>[3]CZ_decarb_opex!C6</f>
        <v>1.03276120516338E-2</v>
      </c>
      <c r="AD6" s="188">
        <f>[3]CZ_decarb_opex!D6</f>
        <v>5.4057003692516903E-3</v>
      </c>
      <c r="AE6" s="188">
        <f>[2]CZ_decarbplus_opex!Z6</f>
        <v>5.6725090000000001E-3</v>
      </c>
      <c r="AF6" s="188">
        <f>[2]CZ_decarbplus_opex!AA6</f>
        <v>3.9565829999999996E-3</v>
      </c>
      <c r="AG6" s="188">
        <f>[2]CZ_decarbplus_opex!AB6</f>
        <v>9.1400000000000006E-6</v>
      </c>
      <c r="AH6" s="188">
        <f>[2]CZ_decarbplus_opex!AC6</f>
        <v>1.1000000000000001E-6</v>
      </c>
      <c r="AI6" s="188">
        <f>[2]CZ_decarbplus_opex!AD6</f>
        <v>1.55E-6</v>
      </c>
      <c r="AJ6" s="188">
        <f>[2]CZ_decarbplus_opex!AE6</f>
        <v>1.7E-6</v>
      </c>
      <c r="AK6" s="188">
        <f>[2]CZ_decarbplus_opex!AF6</f>
        <v>2.08E-6</v>
      </c>
      <c r="AL6" s="188">
        <f>[3]CZ_decarb_opex!E6</f>
        <v>1.87170251141367E-6</v>
      </c>
      <c r="AM6" s="188">
        <f>[3]CZ_decarb_opex!F6</f>
        <v>1.6159411099682499E-6</v>
      </c>
      <c r="AN6" s="188">
        <f>[2]CZ_decarbplus_opex!AG6</f>
        <v>1.9800000000000001E-6</v>
      </c>
      <c r="AO6" s="188">
        <f>[3]CZ_decarb_opex!G6</f>
        <v>1.9999439975512799E-6</v>
      </c>
      <c r="AP6" s="188">
        <f>[3]CZ_decarb_opex!H6</f>
        <v>2.4471023060981198E-6</v>
      </c>
      <c r="AQ6" s="188">
        <f>[2]CZ_decarbplus_opex!AH6</f>
        <v>3.5599999999999998E-6</v>
      </c>
      <c r="AR6" s="188">
        <f>[2]CZ_decarbplus_opex!AI6</f>
        <v>0</v>
      </c>
      <c r="AS6" s="188">
        <f>[2]CZ_decarbplus_opex!AJ6</f>
        <v>3.9500000000000003E-6</v>
      </c>
      <c r="AT6" s="188">
        <f>[2]CZ_decarbplus_opex!AK6</f>
        <v>3.1300000000000001E-6</v>
      </c>
      <c r="AU6" s="188">
        <f>[2]CZ_decarbplus_opex!AL6</f>
        <v>2.1299999999999999E-6</v>
      </c>
      <c r="AV6" s="188">
        <f>[2]CZ_decarbplus_opex!AM6</f>
        <v>1.1400000000000001E-6</v>
      </c>
      <c r="AW6" s="188">
        <f>[2]CZ_decarbplus_opex!AN6</f>
        <v>2.1399999999999998E-6</v>
      </c>
      <c r="AX6" s="188">
        <f>[2]CZ_decarbplus_opex!AO6</f>
        <v>0</v>
      </c>
      <c r="AY6" s="188">
        <f>[2]CZ_decarbplus_opex!AP6</f>
        <v>4.1899999999999997E-6</v>
      </c>
      <c r="AZ6" s="188">
        <f>[2]CZ_decarbplus_opex!AQ6</f>
        <v>0</v>
      </c>
      <c r="BA6" s="188">
        <f>[2]CZ_decarbplus_opex!AR6</f>
        <v>2.0999999999999998E-6</v>
      </c>
      <c r="BB6" s="188">
        <f>[2]CZ_decarbplus_opex!AS6</f>
        <v>8.78E-7</v>
      </c>
      <c r="BC6" s="188">
        <f>[2]CZ_decarbplus_opex!AT6</f>
        <v>2.6800000000000002E-6</v>
      </c>
      <c r="BD6" s="188">
        <f>[2]CZ_decarbplus_opex!AU6</f>
        <v>3.6899999999999998E-6</v>
      </c>
      <c r="BE6" s="188">
        <f>[2]CZ_decarbplus_opex!AV6</f>
        <v>2.0800000000000001E-5</v>
      </c>
      <c r="BF6" s="188">
        <f>[2]CZ_decarbplus_opex!AW6</f>
        <v>7.7000000000000008E-6</v>
      </c>
      <c r="BG6" s="188">
        <f>[2]CZ_decarbplus_opex!AX6</f>
        <v>5.3300000000000001E-5</v>
      </c>
      <c r="BH6" s="188">
        <f>[3]CZ_decarb_opex!I6</f>
        <v>2.6870260228513101E-6</v>
      </c>
      <c r="BI6" s="188">
        <f>[2]CZ_decarbplus_opex!AY6</f>
        <v>2.7300000000000001E-6</v>
      </c>
      <c r="BJ6" s="188">
        <f>[2]CZ_decarbplus_opex!AZ6</f>
        <v>1.9512800000000001E-4</v>
      </c>
      <c r="BK6" s="188">
        <f>[2]CZ_decarbplus_opex!BA6</f>
        <v>4.3272699999999999E-4</v>
      </c>
      <c r="BL6" s="188">
        <f>[2]CZ_decarbplus_opex!BB6</f>
        <v>0</v>
      </c>
      <c r="BM6" s="188">
        <f>[3]CZ_decarb_opex!J6</f>
        <v>4.9947610782088204E-6</v>
      </c>
      <c r="BN6" s="188">
        <f>[3]CZ_decarb_opex!K6</f>
        <v>1.0544534882370699E-5</v>
      </c>
      <c r="BO6" s="188">
        <f>[3]CZ_decarb_opex!L6</f>
        <v>1.95910026709198E-6</v>
      </c>
      <c r="BP6" s="188">
        <f>[3]CZ_decarb_opex!M6</f>
        <v>7.4302451879980997E-6</v>
      </c>
      <c r="BQ6" s="188">
        <f>[3]CZ_decarb_opex!N6</f>
        <v>5.7747763410687196E-6</v>
      </c>
      <c r="BR6" s="188">
        <f>[3]CZ_decarb_opex!O6</f>
        <v>1.6831819767579501E-7</v>
      </c>
      <c r="BS6" s="188">
        <f>[3]CZ_decarb_opex!P6</f>
        <v>1.10339496318347E-5</v>
      </c>
      <c r="BT6" s="188">
        <f>[3]CZ_decarb_opex!Q6</f>
        <v>8.52288166039791E-7</v>
      </c>
      <c r="BU6" s="188">
        <f>[3]CZ_decarb_opex!R6</f>
        <v>2.6148531584017501E-6</v>
      </c>
      <c r="BV6" s="188">
        <f>[3]CZ_decarb_opex!S6</f>
        <v>2.6148531584017599E-6</v>
      </c>
      <c r="BW6" s="188">
        <f>[3]CZ_decarb_opex!T6</f>
        <v>1.3867375652559399E-6</v>
      </c>
      <c r="BX6" s="188">
        <f>[3]CZ_decarb_opex!U6</f>
        <v>3.0910267754775402E-6</v>
      </c>
      <c r="BY6" s="188">
        <f>[3]CZ_decarb_opex!V6</f>
        <v>4.8163447629127004E-6</v>
      </c>
      <c r="BZ6" s="188">
        <f>[2]CZ_decarbplus_opex!BC6</f>
        <v>5.7699999999999998E-6</v>
      </c>
      <c r="CA6" s="188">
        <f>[2]CZ_decarbplus_opex!BD6</f>
        <v>3.36E-6</v>
      </c>
      <c r="CB6" s="188">
        <f>[2]CZ_decarbplus_opex!BE6</f>
        <v>3.2799999999999999E-6</v>
      </c>
      <c r="CC6" s="188">
        <f>[2]CZ_decarbplus_opex!BF6</f>
        <v>2.5500000000000001E-6</v>
      </c>
      <c r="CD6" s="188">
        <f>[2]CZ_decarbplus_opex!BG6</f>
        <v>6.4500000000000001E-6</v>
      </c>
      <c r="CE6" s="188">
        <f>[2]CZ_decarbplus_opex!BH6</f>
        <v>1.8190799999999999E-4</v>
      </c>
      <c r="CF6" s="188">
        <f>[2]CZ_decarbplus_opex!BI6</f>
        <v>3.2899999999999998E-6</v>
      </c>
      <c r="CG6" s="188">
        <f>[2]CZ_decarbplus_opex!BJ6</f>
        <v>3.3799999999999998E-6</v>
      </c>
    </row>
    <row r="7" spans="1:85" x14ac:dyDescent="0.25">
      <c r="A7" s="5" t="s">
        <v>33</v>
      </c>
      <c r="B7" s="2" t="s">
        <v>32</v>
      </c>
      <c r="C7" s="1" t="s">
        <v>325</v>
      </c>
      <c r="D7" s="187">
        <f>[2]CZ_decarbplus_opex!B7</f>
        <v>2.6100000000000001E-5</v>
      </c>
      <c r="E7" s="187">
        <f>[2]CZ_decarbplus_opex!C7</f>
        <v>9.6900000000000004E-6</v>
      </c>
      <c r="F7" s="187">
        <f>[2]CZ_decarbplus_opex!D7</f>
        <v>2.05E-5</v>
      </c>
      <c r="G7" s="187">
        <f>[2]CZ_decarbplus_opex!E7</f>
        <v>8.8000000000000004E-7</v>
      </c>
      <c r="H7" s="187">
        <f>[2]CZ_decarbplus_opex!F7</f>
        <v>1.06E-6</v>
      </c>
      <c r="I7" s="187">
        <f>[2]CZ_decarbplus_opex!G7</f>
        <v>9.7599999999999997E-6</v>
      </c>
      <c r="J7" s="187">
        <f>[2]CZ_decarbplus_opex!H7</f>
        <v>4.9499999999999997E-5</v>
      </c>
      <c r="K7" s="187">
        <f>[2]CZ_decarbplus_opex!I7</f>
        <v>0.459987743</v>
      </c>
      <c r="L7" s="187">
        <f>[2]CZ_decarbplus_opex!J7</f>
        <v>5.4299999999999998E-5</v>
      </c>
      <c r="M7" s="187">
        <f>[2]CZ_decarbplus_opex!K7</f>
        <v>3.6999999999999998E-5</v>
      </c>
      <c r="N7" s="187">
        <f>[2]CZ_decarbplus_opex!L7</f>
        <v>1.059606E-3</v>
      </c>
      <c r="O7" s="187">
        <f>[2]CZ_decarbplus_opex!M7</f>
        <v>6.02E-5</v>
      </c>
      <c r="P7" s="187">
        <f>[2]CZ_decarbplus_opex!N7</f>
        <v>1.3699999999999999E-5</v>
      </c>
      <c r="Q7" s="187">
        <f>[2]CZ_decarbplus_opex!O7</f>
        <v>3.3899999999999997E-5</v>
      </c>
      <c r="R7" s="187">
        <f>[2]CZ_decarbplus_opex!P7</f>
        <v>3.5200000000000002E-6</v>
      </c>
      <c r="S7" s="187">
        <f>[2]CZ_decarbplus_opex!Q7</f>
        <v>5.7899999999999996E-6</v>
      </c>
      <c r="T7" s="187">
        <f>[2]CZ_decarbplus_opex!R7</f>
        <v>5.6099999999999997E-6</v>
      </c>
      <c r="U7" s="187">
        <f>[2]CZ_decarbplus_opex!S7</f>
        <v>1.19E-5</v>
      </c>
      <c r="V7" s="187">
        <f>[2]CZ_decarbplus_opex!T7</f>
        <v>1.326303E-3</v>
      </c>
      <c r="W7" s="187">
        <f>[2]CZ_decarbplus_opex!U7</f>
        <v>1.42473E-4</v>
      </c>
      <c r="X7" s="187">
        <f>[2]CZ_decarbplus_opex!V7</f>
        <v>5.2100000000000001E-6</v>
      </c>
      <c r="Y7" s="187">
        <f>[2]CZ_decarbplus_opex!W7</f>
        <v>9.3600000000000002E-7</v>
      </c>
      <c r="Z7" s="187">
        <f>[2]CZ_decarbplus_opex!X7</f>
        <v>1.4023599999999999E-4</v>
      </c>
      <c r="AA7" s="187">
        <f>[2]CZ_decarbplus_opex!Y7</f>
        <v>4.6199999999999998E-6</v>
      </c>
      <c r="AB7" s="188">
        <f>[3]CZ_decarb_opex!B7</f>
        <v>5.4961139789089296E-4</v>
      </c>
      <c r="AC7" s="188">
        <f>[3]CZ_decarb_opex!C7</f>
        <v>1.54751358076817E-5</v>
      </c>
      <c r="AD7" s="188">
        <f>[3]CZ_decarb_opex!D7</f>
        <v>1.05746440436805E-4</v>
      </c>
      <c r="AE7" s="188">
        <f>[2]CZ_decarbplus_opex!Z7</f>
        <v>1.1459E-4</v>
      </c>
      <c r="AF7" s="188">
        <f>[2]CZ_decarbplus_opex!AA7</f>
        <v>8.3399999999999994E-5</v>
      </c>
      <c r="AG7" s="188">
        <f>[2]CZ_decarbplus_opex!AB7</f>
        <v>1.03E-5</v>
      </c>
      <c r="AH7" s="188">
        <f>[2]CZ_decarbplus_opex!AC7</f>
        <v>5.6899999999999997E-6</v>
      </c>
      <c r="AI7" s="188">
        <f>[2]CZ_decarbplus_opex!AD7</f>
        <v>3.0400000000000001E-6</v>
      </c>
      <c r="AJ7" s="188">
        <f>[2]CZ_decarbplus_opex!AE7</f>
        <v>2.96E-6</v>
      </c>
      <c r="AK7" s="188">
        <f>[2]CZ_decarbplus_opex!AF7</f>
        <v>3.2600000000000001E-6</v>
      </c>
      <c r="AL7" s="188">
        <f>[3]CZ_decarb_opex!E7</f>
        <v>3.7196890334302801E-6</v>
      </c>
      <c r="AM7" s="188">
        <f>[3]CZ_decarb_opex!F7</f>
        <v>2.6377320507412798E-6</v>
      </c>
      <c r="AN7" s="188">
        <f>[2]CZ_decarbplus_opex!AG7</f>
        <v>3.6500000000000002E-6</v>
      </c>
      <c r="AO7" s="188">
        <f>[3]CZ_decarb_opex!G7</f>
        <v>1.43266590334269E-6</v>
      </c>
      <c r="AP7" s="188">
        <f>[3]CZ_decarb_opex!H7</f>
        <v>1.9078844683532999E-6</v>
      </c>
      <c r="AQ7" s="188">
        <f>[2]CZ_decarbplus_opex!AH7</f>
        <v>2.7999999999999999E-6</v>
      </c>
      <c r="AR7" s="188">
        <f>[2]CZ_decarbplus_opex!AI7</f>
        <v>0</v>
      </c>
      <c r="AS7" s="188">
        <f>[2]CZ_decarbplus_opex!AJ7</f>
        <v>3.98E-6</v>
      </c>
      <c r="AT7" s="188">
        <f>[2]CZ_decarbplus_opex!AK7</f>
        <v>3.1700000000000001E-6</v>
      </c>
      <c r="AU7" s="188">
        <f>[2]CZ_decarbplus_opex!AL7</f>
        <v>1.3599999999999999E-6</v>
      </c>
      <c r="AV7" s="188">
        <f>[2]CZ_decarbplus_opex!AM7</f>
        <v>6.61E-7</v>
      </c>
      <c r="AW7" s="188">
        <f>[2]CZ_decarbplus_opex!AN7</f>
        <v>1.61E-6</v>
      </c>
      <c r="AX7" s="188">
        <f>[2]CZ_decarbplus_opex!AO7</f>
        <v>0</v>
      </c>
      <c r="AY7" s="188">
        <f>[2]CZ_decarbplus_opex!AP7</f>
        <v>3.5599999999999998E-6</v>
      </c>
      <c r="AZ7" s="188">
        <f>[2]CZ_decarbplus_opex!AQ7</f>
        <v>0</v>
      </c>
      <c r="BA7" s="188">
        <f>[2]CZ_decarbplus_opex!AR7</f>
        <v>1.7099999999999999E-6</v>
      </c>
      <c r="BB7" s="188">
        <f>[2]CZ_decarbplus_opex!AS7</f>
        <v>2.65E-6</v>
      </c>
      <c r="BC7" s="188">
        <f>[2]CZ_decarbplus_opex!AT7</f>
        <v>4.1200000000000004E-6</v>
      </c>
      <c r="BD7" s="188">
        <f>[2]CZ_decarbplus_opex!AU7</f>
        <v>1.4699999999999999E-6</v>
      </c>
      <c r="BE7" s="188">
        <f>[2]CZ_decarbplus_opex!AV7</f>
        <v>3.7799999999999997E-5</v>
      </c>
      <c r="BF7" s="188">
        <f>[2]CZ_decarbplus_opex!AW7</f>
        <v>4.8600000000000002E-5</v>
      </c>
      <c r="BG7" s="188">
        <f>[2]CZ_decarbplus_opex!AX7</f>
        <v>9.8800000000000003E-5</v>
      </c>
      <c r="BH7" s="188">
        <f>[3]CZ_decarb_opex!I7</f>
        <v>2.20630357283205E-6</v>
      </c>
      <c r="BI7" s="188">
        <f>[2]CZ_decarbplus_opex!AY7</f>
        <v>2.4600000000000002E-6</v>
      </c>
      <c r="BJ7" s="188">
        <f>[2]CZ_decarbplus_opex!AZ7</f>
        <v>5.8699999999999997E-5</v>
      </c>
      <c r="BK7" s="188">
        <f>[2]CZ_decarbplus_opex!BA7</f>
        <v>8.1945900000000003E-4</v>
      </c>
      <c r="BL7" s="188">
        <f>[2]CZ_decarbplus_opex!BB7</f>
        <v>0</v>
      </c>
      <c r="BM7" s="188">
        <f>[3]CZ_decarb_opex!J7</f>
        <v>3.0062628985074001E-6</v>
      </c>
      <c r="BN7" s="188">
        <f>[3]CZ_decarb_opex!K7</f>
        <v>8.4958291046238802E-6</v>
      </c>
      <c r="BO7" s="188">
        <f>[3]CZ_decarb_opex!L7</f>
        <v>1.5028367101685401E-6</v>
      </c>
      <c r="BP7" s="188">
        <f>[3]CZ_decarb_opex!M7</f>
        <v>6.0015416432402698E-6</v>
      </c>
      <c r="BQ7" s="188">
        <f>[3]CZ_decarb_opex!N7</f>
        <v>4.29964705279371E-6</v>
      </c>
      <c r="BR7" s="188">
        <f>[3]CZ_decarb_opex!O7</f>
        <v>1.91207364275816E-7</v>
      </c>
      <c r="BS7" s="188">
        <f>[3]CZ_decarb_opex!P7</f>
        <v>1.00610884072258E-5</v>
      </c>
      <c r="BT7" s="188">
        <f>[3]CZ_decarb_opex!Q7</f>
        <v>3.7374336664819197E-5</v>
      </c>
      <c r="BU7" s="188">
        <f>[3]CZ_decarb_opex!R7</f>
        <v>1.6894299205273301E-6</v>
      </c>
      <c r="BV7" s="188">
        <f>[3]CZ_decarb_opex!S7</f>
        <v>1.68942992052734E-6</v>
      </c>
      <c r="BW7" s="188">
        <f>[3]CZ_decarb_opex!T7</f>
        <v>2.5534183777905799E-6</v>
      </c>
      <c r="BX7" s="188">
        <f>[3]CZ_decarb_opex!U7</f>
        <v>4.9346653140120699E-6</v>
      </c>
      <c r="BY7" s="188">
        <f>[3]CZ_decarb_opex!V7</f>
        <v>2.49407832468011E-6</v>
      </c>
      <c r="BZ7" s="188">
        <f>[2]CZ_decarbplus_opex!BC7</f>
        <v>3.9700000000000001E-6</v>
      </c>
      <c r="CA7" s="188">
        <f>[2]CZ_decarbplus_opex!BD7</f>
        <v>2.3199999999999998E-6</v>
      </c>
      <c r="CB7" s="188">
        <f>[2]CZ_decarbplus_opex!BE7</f>
        <v>2.1299999999999999E-6</v>
      </c>
      <c r="CC7" s="188">
        <f>[2]CZ_decarbplus_opex!BF7</f>
        <v>1.73E-6</v>
      </c>
      <c r="CD7" s="188">
        <f>[2]CZ_decarbplus_opex!BG7</f>
        <v>4.8999999999999997E-6</v>
      </c>
      <c r="CE7" s="188">
        <f>[2]CZ_decarbplus_opex!BH7</f>
        <v>3.49332E-4</v>
      </c>
      <c r="CF7" s="188">
        <f>[2]CZ_decarbplus_opex!BI7</f>
        <v>1.63E-5</v>
      </c>
      <c r="CG7" s="188">
        <f>[2]CZ_decarbplus_opex!BJ7</f>
        <v>4.34E-6</v>
      </c>
    </row>
    <row r="8" spans="1:85" x14ac:dyDescent="0.25">
      <c r="A8" s="5" t="s">
        <v>35</v>
      </c>
      <c r="B8" s="2" t="s">
        <v>34</v>
      </c>
      <c r="C8" s="1" t="s">
        <v>325</v>
      </c>
      <c r="D8" s="187">
        <f>[2]CZ_decarbplus_opex!B8</f>
        <v>8.6700000000000002E-7</v>
      </c>
      <c r="E8" s="187">
        <f>[2]CZ_decarbplus_opex!C8</f>
        <v>1.53E-6</v>
      </c>
      <c r="F8" s="187">
        <f>[2]CZ_decarbplus_opex!D8</f>
        <v>7.0099999999999998E-6</v>
      </c>
      <c r="G8" s="187">
        <f>[2]CZ_decarbplus_opex!E8</f>
        <v>4.3799999999999998E-7</v>
      </c>
      <c r="H8" s="187">
        <f>[2]CZ_decarbplus_opex!F8</f>
        <v>6.9299999999999997E-6</v>
      </c>
      <c r="I8" s="187">
        <f>[2]CZ_decarbplus_opex!G8</f>
        <v>9.1200000000000001E-7</v>
      </c>
      <c r="J8" s="187">
        <f>[2]CZ_decarbplus_opex!H8</f>
        <v>8.2400000000000007E-6</v>
      </c>
      <c r="K8" s="187">
        <f>[2]CZ_decarbplus_opex!I8</f>
        <v>2.62E-8</v>
      </c>
      <c r="L8" s="187">
        <f>[2]CZ_decarbplus_opex!J8</f>
        <v>1.5061E-4</v>
      </c>
      <c r="M8" s="187">
        <f>[2]CZ_decarbplus_opex!K8</f>
        <v>5.2499999999999997E-6</v>
      </c>
      <c r="N8" s="187">
        <f>[2]CZ_decarbplus_opex!L8</f>
        <v>2.5597E-4</v>
      </c>
      <c r="O8" s="187">
        <f>[2]CZ_decarbplus_opex!M8</f>
        <v>8.7100000000000003E-5</v>
      </c>
      <c r="P8" s="187">
        <f>[2]CZ_decarbplus_opex!N8</f>
        <v>7.2260900000000003E-4</v>
      </c>
      <c r="Q8" s="187">
        <f>[2]CZ_decarbplus_opex!O8</f>
        <v>2.6900000000000001E-6</v>
      </c>
      <c r="R8" s="187">
        <f>[2]CZ_decarbplus_opex!P8</f>
        <v>2.1E-7</v>
      </c>
      <c r="S8" s="187">
        <f>[2]CZ_decarbplus_opex!Q8</f>
        <v>4.2800000000000002E-7</v>
      </c>
      <c r="T8" s="187">
        <f>[2]CZ_decarbplus_opex!R8</f>
        <v>3.1699999999999999E-7</v>
      </c>
      <c r="U8" s="187">
        <f>[2]CZ_decarbplus_opex!S8</f>
        <v>2.1299999999999999E-7</v>
      </c>
      <c r="V8" s="187">
        <f>[2]CZ_decarbplus_opex!T8</f>
        <v>2.5699999999999999E-7</v>
      </c>
      <c r="W8" s="187">
        <f>[2]CZ_decarbplus_opex!U8</f>
        <v>2.3900000000000001E-7</v>
      </c>
      <c r="X8" s="187">
        <f>[2]CZ_decarbplus_opex!V8</f>
        <v>9.3299999999999995E-8</v>
      </c>
      <c r="Y8" s="187">
        <f>[2]CZ_decarbplus_opex!W8</f>
        <v>2.1500000000000001E-8</v>
      </c>
      <c r="Z8" s="187">
        <f>[2]CZ_decarbplus_opex!X8</f>
        <v>7.0500000000000003E-8</v>
      </c>
      <c r="AA8" s="187">
        <f>[2]CZ_decarbplus_opex!Y8</f>
        <v>1.4000000000000001E-7</v>
      </c>
      <c r="AB8" s="188">
        <f>[3]CZ_decarb_opex!B8</f>
        <v>1.75606128250703E-5</v>
      </c>
      <c r="AC8" s="188">
        <f>[3]CZ_decarb_opex!C8</f>
        <v>2.5198025670741999E-5</v>
      </c>
      <c r="AD8" s="188">
        <f>[3]CZ_decarb_opex!D8</f>
        <v>1.2237764747378399E-5</v>
      </c>
      <c r="AE8" s="188">
        <f>[2]CZ_decarbplus_opex!Z8</f>
        <v>1.1800000000000001E-5</v>
      </c>
      <c r="AF8" s="188">
        <f>[2]CZ_decarbplus_opex!AA8</f>
        <v>1.15E-5</v>
      </c>
      <c r="AG8" s="188">
        <f>[2]CZ_decarbplus_opex!AB8</f>
        <v>9.1100000000000004E-7</v>
      </c>
      <c r="AH8" s="188">
        <f>[2]CZ_decarbplus_opex!AC8</f>
        <v>3.3599999999999999E-7</v>
      </c>
      <c r="AI8" s="188">
        <f>[2]CZ_decarbplus_opex!AD8</f>
        <v>5.4899999999999995E-7</v>
      </c>
      <c r="AJ8" s="188">
        <f>[2]CZ_decarbplus_opex!AE8</f>
        <v>1.2700000000000001E-7</v>
      </c>
      <c r="AK8" s="188">
        <f>[2]CZ_decarbplus_opex!AF8</f>
        <v>5.3300000000000002E-7</v>
      </c>
      <c r="AL8" s="188">
        <f>[3]CZ_decarb_opex!E8</f>
        <v>3.4898193225122803E-7</v>
      </c>
      <c r="AM8" s="188">
        <f>[3]CZ_decarb_opex!F8</f>
        <v>4.0234554027215903E-8</v>
      </c>
      <c r="AN8" s="188">
        <f>[2]CZ_decarbplus_opex!AG8</f>
        <v>1.33E-6</v>
      </c>
      <c r="AO8" s="188">
        <f>[3]CZ_decarb_opex!G8</f>
        <v>7.3040998371177704E-8</v>
      </c>
      <c r="AP8" s="188">
        <f>[3]CZ_decarb_opex!H8</f>
        <v>7.5418212669092298E-8</v>
      </c>
      <c r="AQ8" s="188">
        <f>[2]CZ_decarbplus_opex!AH8</f>
        <v>1.3899999999999999E-7</v>
      </c>
      <c r="AR8" s="188">
        <f>[2]CZ_decarbplus_opex!AI8</f>
        <v>0</v>
      </c>
      <c r="AS8" s="188">
        <f>[2]CZ_decarbplus_opex!AJ8</f>
        <v>2.11E-7</v>
      </c>
      <c r="AT8" s="188">
        <f>[2]CZ_decarbplus_opex!AK8</f>
        <v>1.8199999999999999E-7</v>
      </c>
      <c r="AU8" s="188">
        <f>[2]CZ_decarbplus_opex!AL8</f>
        <v>1.89E-8</v>
      </c>
      <c r="AV8" s="188">
        <f>[2]CZ_decarbplus_opex!AM8</f>
        <v>1.59E-8</v>
      </c>
      <c r="AW8" s="188">
        <f>[2]CZ_decarbplus_opex!AN8</f>
        <v>5.2299999999999998E-8</v>
      </c>
      <c r="AX8" s="188">
        <f>[2]CZ_decarbplus_opex!AO8</f>
        <v>0</v>
      </c>
      <c r="AY8" s="188">
        <f>[2]CZ_decarbplus_opex!AP8</f>
        <v>1.61E-7</v>
      </c>
      <c r="AZ8" s="188">
        <f>[2]CZ_decarbplus_opex!AQ8</f>
        <v>0</v>
      </c>
      <c r="BA8" s="188">
        <f>[2]CZ_decarbplus_opex!AR8</f>
        <v>9.1300000000000004E-8</v>
      </c>
      <c r="BB8" s="188">
        <f>[2]CZ_decarbplus_opex!AS8</f>
        <v>4.14E-8</v>
      </c>
      <c r="BC8" s="188">
        <f>[2]CZ_decarbplus_opex!AT8</f>
        <v>1.1600000000000001E-7</v>
      </c>
      <c r="BD8" s="188">
        <f>[2]CZ_decarbplus_opex!AU8</f>
        <v>1.24E-7</v>
      </c>
      <c r="BE8" s="188">
        <f>[2]CZ_decarbplus_opex!AV8</f>
        <v>9.2699999999999998E-7</v>
      </c>
      <c r="BF8" s="188">
        <f>[2]CZ_decarbplus_opex!AW8</f>
        <v>9.7800000000000002E-8</v>
      </c>
      <c r="BG8" s="188">
        <f>[2]CZ_decarbplus_opex!AX8</f>
        <v>2.6400000000000001E-6</v>
      </c>
      <c r="BH8" s="188">
        <f>[3]CZ_decarb_opex!I8</f>
        <v>7.7032511048254499E-8</v>
      </c>
      <c r="BI8" s="188">
        <f>[2]CZ_decarbplus_opex!AY8</f>
        <v>9.2399999999999994E-8</v>
      </c>
      <c r="BJ8" s="188">
        <f>[2]CZ_decarbplus_opex!AZ8</f>
        <v>3.0499999999999999E-7</v>
      </c>
      <c r="BK8" s="188">
        <f>[2]CZ_decarbplus_opex!BA8</f>
        <v>2.0299999999999999E-5</v>
      </c>
      <c r="BL8" s="188">
        <f>[2]CZ_decarbplus_opex!BB8</f>
        <v>0</v>
      </c>
      <c r="BM8" s="188">
        <f>[3]CZ_decarb_opex!J8</f>
        <v>1.0555221273605E-7</v>
      </c>
      <c r="BN8" s="188">
        <f>[3]CZ_decarb_opex!K8</f>
        <v>3.6737280402816802E-7</v>
      </c>
      <c r="BO8" s="188">
        <f>[3]CZ_decarb_opex!L8</f>
        <v>3.2161222639475197E-8</v>
      </c>
      <c r="BP8" s="188">
        <f>[3]CZ_decarb_opex!M8</f>
        <v>8.5694378812688495E-8</v>
      </c>
      <c r="BQ8" s="188">
        <f>[3]CZ_decarb_opex!N8</f>
        <v>9.1905614577162498E-8</v>
      </c>
      <c r="BR8" s="188">
        <f>[3]CZ_decarb_opex!O8</f>
        <v>4.0688750127938799E-9</v>
      </c>
      <c r="BS8" s="188">
        <f>[3]CZ_decarb_opex!P8</f>
        <v>3.7461556278706799E-7</v>
      </c>
      <c r="BT8" s="188">
        <f>[3]CZ_decarb_opex!Q8</f>
        <v>2.30770657486689E-8</v>
      </c>
      <c r="BU8" s="188">
        <f>[3]CZ_decarb_opex!R8</f>
        <v>3.3939728049769503E-8</v>
      </c>
      <c r="BV8" s="188">
        <f>[3]CZ_decarb_opex!S8</f>
        <v>3.3939728049769602E-8</v>
      </c>
      <c r="BW8" s="188">
        <f>[3]CZ_decarb_opex!T8</f>
        <v>8.8459240977324305E-8</v>
      </c>
      <c r="BX8" s="188">
        <f>[3]CZ_decarb_opex!U8</f>
        <v>1.55624417851064E-7</v>
      </c>
      <c r="BY8" s="188">
        <f>[3]CZ_decarb_opex!V8</f>
        <v>1.52892156164356E-8</v>
      </c>
      <c r="BZ8" s="188">
        <f>[2]CZ_decarbplus_opex!BC8</f>
        <v>7.8600000000000002E-8</v>
      </c>
      <c r="CA8" s="188">
        <f>[2]CZ_decarbplus_opex!BD8</f>
        <v>5.39E-8</v>
      </c>
      <c r="CB8" s="188">
        <f>[2]CZ_decarbplus_opex!BE8</f>
        <v>6.1700000000000003E-8</v>
      </c>
      <c r="CC8" s="188">
        <f>[2]CZ_decarbplus_opex!BF8</f>
        <v>5.4200000000000002E-8</v>
      </c>
      <c r="CD8" s="188">
        <f>[2]CZ_decarbplus_opex!BG8</f>
        <v>4.2800000000000002E-7</v>
      </c>
      <c r="CE8" s="188">
        <f>[2]CZ_decarbplus_opex!BH8</f>
        <v>8.5199999999999997E-6</v>
      </c>
      <c r="CF8" s="188">
        <f>[2]CZ_decarbplus_opex!BI8</f>
        <v>2.9900000000000002E-7</v>
      </c>
      <c r="CG8" s="188">
        <f>[2]CZ_decarbplus_opex!BJ8</f>
        <v>4.6700000000000001E-8</v>
      </c>
    </row>
    <row r="9" spans="1:85" x14ac:dyDescent="0.25">
      <c r="A9" s="5" t="s">
        <v>37</v>
      </c>
      <c r="B9" s="2" t="s">
        <v>36</v>
      </c>
      <c r="C9" s="1" t="s">
        <v>325</v>
      </c>
      <c r="D9" s="187">
        <f>[2]CZ_decarbplus_opex!B9</f>
        <v>1.7099999999999999E-5</v>
      </c>
      <c r="E9" s="187">
        <f>[2]CZ_decarbplus_opex!C9</f>
        <v>2.19E-5</v>
      </c>
      <c r="F9" s="187">
        <f>[2]CZ_decarbplus_opex!D9</f>
        <v>5.02E-5</v>
      </c>
      <c r="G9" s="187">
        <f>[2]CZ_decarbplus_opex!E9</f>
        <v>5.48E-6</v>
      </c>
      <c r="H9" s="187">
        <f>[2]CZ_decarbplus_opex!F9</f>
        <v>1.5500000000000001E-5</v>
      </c>
      <c r="I9" s="187">
        <f>[2]CZ_decarbplus_opex!G9</f>
        <v>2.2399999999999999E-5</v>
      </c>
      <c r="J9" s="187">
        <f>[2]CZ_decarbplus_opex!H9</f>
        <v>5.41E-5</v>
      </c>
      <c r="K9" s="187">
        <f>[2]CZ_decarbplus_opex!I9</f>
        <v>1.6799999999999998E-5</v>
      </c>
      <c r="L9" s="187">
        <f>[2]CZ_decarbplus_opex!J9</f>
        <v>3.4660429999999998E-3</v>
      </c>
      <c r="M9" s="187">
        <f>[2]CZ_decarbplus_opex!K9</f>
        <v>3.5306619999999999E-3</v>
      </c>
      <c r="N9" s="187">
        <f>[2]CZ_decarbplus_opex!L9</f>
        <v>5.7242170000000002E-3</v>
      </c>
      <c r="O9" s="187">
        <f>[2]CZ_decarbplus_opex!M9</f>
        <v>7.9365669999999999E-2</v>
      </c>
      <c r="P9" s="187">
        <f>[2]CZ_decarbplus_opex!N9</f>
        <v>1.2195546E-2</v>
      </c>
      <c r="Q9" s="187">
        <f>[2]CZ_decarbplus_opex!O9</f>
        <v>1.9171100000000001E-4</v>
      </c>
      <c r="R9" s="187">
        <f>[2]CZ_decarbplus_opex!P9</f>
        <v>1.2836299999999999E-4</v>
      </c>
      <c r="S9" s="187">
        <f>[2]CZ_decarbplus_opex!Q9</f>
        <v>8.53E-5</v>
      </c>
      <c r="T9" s="187">
        <f>[2]CZ_decarbplus_opex!R9</f>
        <v>3.3699999999999999E-5</v>
      </c>
      <c r="U9" s="187">
        <f>[2]CZ_decarbplus_opex!S9</f>
        <v>4.6900000000000002E-5</v>
      </c>
      <c r="V9" s="187">
        <f>[2]CZ_decarbplus_opex!T9</f>
        <v>2.7800000000000001E-5</v>
      </c>
      <c r="W9" s="187">
        <f>[2]CZ_decarbplus_opex!U9</f>
        <v>2.3200000000000001E-5</v>
      </c>
      <c r="X9" s="187">
        <f>[2]CZ_decarbplus_opex!V9</f>
        <v>1.9599999999999999E-5</v>
      </c>
      <c r="Y9" s="187">
        <f>[2]CZ_decarbplus_opex!W9</f>
        <v>1.6399999999999999E-5</v>
      </c>
      <c r="Z9" s="187">
        <f>[2]CZ_decarbplus_opex!X9</f>
        <v>1.6399999999999999E-5</v>
      </c>
      <c r="AA9" s="187">
        <f>[2]CZ_decarbplus_opex!Y9</f>
        <v>5.91E-5</v>
      </c>
      <c r="AB9" s="188">
        <f>[3]CZ_decarb_opex!B9</f>
        <v>6.8300018472459002E-5</v>
      </c>
      <c r="AC9" s="188">
        <f>[3]CZ_decarb_opex!C9</f>
        <v>7.9347477517161804E-4</v>
      </c>
      <c r="AD9" s="188">
        <f>[3]CZ_decarb_opex!D9</f>
        <v>2.6895197862001301E-4</v>
      </c>
      <c r="AE9" s="188">
        <f>[2]CZ_decarbplus_opex!Z9</f>
        <v>1.5848500000000001E-4</v>
      </c>
      <c r="AF9" s="188">
        <f>[2]CZ_decarbplus_opex!AA9</f>
        <v>3.86785E-4</v>
      </c>
      <c r="AG9" s="188">
        <f>[2]CZ_decarbplus_opex!AB9</f>
        <v>1.8700000000000001E-5</v>
      </c>
      <c r="AH9" s="188">
        <f>[2]CZ_decarbplus_opex!AC9</f>
        <v>2.0800000000000001E-5</v>
      </c>
      <c r="AI9" s="188">
        <f>[2]CZ_decarbplus_opex!AD9</f>
        <v>3.3300000000000003E-5</v>
      </c>
      <c r="AJ9" s="188">
        <f>[2]CZ_decarbplus_opex!AE9</f>
        <v>1.4800000000000001E-5</v>
      </c>
      <c r="AK9" s="188">
        <f>[2]CZ_decarbplus_opex!AF9</f>
        <v>3.7599999999999999E-5</v>
      </c>
      <c r="AL9" s="188">
        <f>[3]CZ_decarb_opex!E9</f>
        <v>2.1780617985482599E-5</v>
      </c>
      <c r="AM9" s="188">
        <f>[3]CZ_decarb_opex!F9</f>
        <v>2.77916238542939E-5</v>
      </c>
      <c r="AN9" s="188">
        <f>[2]CZ_decarbplus_opex!AG9</f>
        <v>5.8600000000000001E-5</v>
      </c>
      <c r="AO9" s="188">
        <f>[3]CZ_decarb_opex!G9</f>
        <v>1.31731680429376E-5</v>
      </c>
      <c r="AP9" s="188">
        <f>[3]CZ_decarb_opex!H9</f>
        <v>2.08574421188413E-5</v>
      </c>
      <c r="AQ9" s="188">
        <f>[2]CZ_decarbplus_opex!AH9</f>
        <v>2.6999999999999999E-5</v>
      </c>
      <c r="AR9" s="188">
        <f>[2]CZ_decarbplus_opex!AI9</f>
        <v>0</v>
      </c>
      <c r="AS9" s="188">
        <f>[2]CZ_decarbplus_opex!AJ9</f>
        <v>2.1399999999999998E-5</v>
      </c>
      <c r="AT9" s="188">
        <f>[2]CZ_decarbplus_opex!AK9</f>
        <v>1.6799999999999998E-5</v>
      </c>
      <c r="AU9" s="188">
        <f>[2]CZ_decarbplus_opex!AL9</f>
        <v>1.2799999999999999E-5</v>
      </c>
      <c r="AV9" s="188">
        <f>[2]CZ_decarbplus_opex!AM9</f>
        <v>9.9499999999999996E-6</v>
      </c>
      <c r="AW9" s="188">
        <f>[2]CZ_decarbplus_opex!AN9</f>
        <v>1.8700000000000001E-5</v>
      </c>
      <c r="AX9" s="188">
        <f>[2]CZ_decarbplus_opex!AO9</f>
        <v>0</v>
      </c>
      <c r="AY9" s="188">
        <f>[2]CZ_decarbplus_opex!AP9</f>
        <v>5.3999999999999998E-5</v>
      </c>
      <c r="AZ9" s="188">
        <f>[2]CZ_decarbplus_opex!AQ9</f>
        <v>0</v>
      </c>
      <c r="BA9" s="188">
        <f>[2]CZ_decarbplus_opex!AR9</f>
        <v>1.5800000000000001E-5</v>
      </c>
      <c r="BB9" s="188">
        <f>[2]CZ_decarbplus_opex!AS9</f>
        <v>1.5099999999999999E-5</v>
      </c>
      <c r="BC9" s="188">
        <f>[2]CZ_decarbplus_opex!AT9</f>
        <v>1.5500000000000001E-5</v>
      </c>
      <c r="BD9" s="188">
        <f>[2]CZ_decarbplus_opex!AU9</f>
        <v>1.66E-5</v>
      </c>
      <c r="BE9" s="188">
        <f>[2]CZ_decarbplus_opex!AV9</f>
        <v>1.22E-5</v>
      </c>
      <c r="BF9" s="188">
        <f>[2]CZ_decarbplus_opex!AW9</f>
        <v>1.5400000000000002E-5</v>
      </c>
      <c r="BG9" s="188">
        <f>[2]CZ_decarbplus_opex!AX9</f>
        <v>2.2399999999999999E-5</v>
      </c>
      <c r="BH9" s="188">
        <f>[3]CZ_decarb_opex!I9</f>
        <v>1.5694151735061099E-5</v>
      </c>
      <c r="BI9" s="188">
        <f>[2]CZ_decarbplus_opex!AY9</f>
        <v>9.9000000000000001E-6</v>
      </c>
      <c r="BJ9" s="188">
        <f>[2]CZ_decarbplus_opex!AZ9</f>
        <v>9.8700000000000004E-6</v>
      </c>
      <c r="BK9" s="188">
        <f>[2]CZ_decarbplus_opex!BA9</f>
        <v>3.7499999999999997E-5</v>
      </c>
      <c r="BL9" s="188">
        <f>[2]CZ_decarbplus_opex!BB9</f>
        <v>0</v>
      </c>
      <c r="BM9" s="188">
        <f>[3]CZ_decarb_opex!J9</f>
        <v>4.0475561448742303E-5</v>
      </c>
      <c r="BN9" s="188">
        <f>[3]CZ_decarb_opex!K9</f>
        <v>1.99757728456767E-4</v>
      </c>
      <c r="BO9" s="188">
        <f>[3]CZ_decarb_opex!L9</f>
        <v>7.9562447175385305E-6</v>
      </c>
      <c r="BP9" s="188">
        <f>[3]CZ_decarb_opex!M9</f>
        <v>2.5729757899980798E-5</v>
      </c>
      <c r="BQ9" s="188">
        <f>[3]CZ_decarb_opex!N9</f>
        <v>1.7798462658515301E-5</v>
      </c>
      <c r="BR9" s="188">
        <f>[3]CZ_decarb_opex!O9</f>
        <v>9.8027025201533409E-7</v>
      </c>
      <c r="BS9" s="188">
        <f>[3]CZ_decarb_opex!P9</f>
        <v>1.21667092573394E-4</v>
      </c>
      <c r="BT9" s="188">
        <f>[3]CZ_decarb_opex!Q9</f>
        <v>6.8333262620606603E-6</v>
      </c>
      <c r="BU9" s="188">
        <f>[3]CZ_decarb_opex!R9</f>
        <v>7.7966844605378704E-6</v>
      </c>
      <c r="BV9" s="188">
        <f>[3]CZ_decarb_opex!S9</f>
        <v>7.7966844605378805E-6</v>
      </c>
      <c r="BW9" s="188">
        <f>[3]CZ_decarb_opex!T9</f>
        <v>5.0074867288667003E-6</v>
      </c>
      <c r="BX9" s="188">
        <f>[3]CZ_decarb_opex!U9</f>
        <v>4.2602464618092303E-7</v>
      </c>
      <c r="BY9" s="188">
        <f>[3]CZ_decarb_opex!V9</f>
        <v>2.1268313759980102E-5</v>
      </c>
      <c r="BZ9" s="188">
        <f>[2]CZ_decarbplus_opex!BC9</f>
        <v>4.88E-5</v>
      </c>
      <c r="CA9" s="188">
        <f>[2]CZ_decarbplus_opex!BD9</f>
        <v>1.6900000000000001E-5</v>
      </c>
      <c r="CB9" s="188">
        <f>[2]CZ_decarbplus_opex!BE9</f>
        <v>1.3699999999999999E-5</v>
      </c>
      <c r="CC9" s="188">
        <f>[2]CZ_decarbplus_opex!BF9</f>
        <v>7.1500000000000002E-6</v>
      </c>
      <c r="CD9" s="188">
        <f>[2]CZ_decarbplus_opex!BG9</f>
        <v>2.0667E-4</v>
      </c>
      <c r="CE9" s="188">
        <f>[2]CZ_decarbplus_opex!BH9</f>
        <v>2.0299999999999999E-5</v>
      </c>
      <c r="CF9" s="188">
        <f>[2]CZ_decarbplus_opex!BI9</f>
        <v>4.18E-5</v>
      </c>
      <c r="CG9" s="188">
        <f>[2]CZ_decarbplus_opex!BJ9</f>
        <v>1.22E-5</v>
      </c>
    </row>
    <row r="10" spans="1:85" x14ac:dyDescent="0.25">
      <c r="A10" s="5" t="s">
        <v>39</v>
      </c>
      <c r="B10" s="2" t="s">
        <v>38</v>
      </c>
      <c r="C10" s="1" t="s">
        <v>325</v>
      </c>
      <c r="D10" s="187">
        <f>[2]CZ_decarbplus_opex!B10</f>
        <v>0.30680001499999998</v>
      </c>
      <c r="E10" s="187">
        <f>[2]CZ_decarbplus_opex!C10</f>
        <v>1.8700000000000001E-5</v>
      </c>
      <c r="F10" s="187">
        <f>[2]CZ_decarbplus_opex!D10</f>
        <v>4.57E-5</v>
      </c>
      <c r="G10" s="187">
        <f>[2]CZ_decarbplus_opex!E10</f>
        <v>5.804877E-3</v>
      </c>
      <c r="H10" s="187">
        <f>[2]CZ_decarbplus_opex!F10</f>
        <v>1.1999999999999999E-6</v>
      </c>
      <c r="I10" s="187">
        <f>[2]CZ_decarbplus_opex!G10</f>
        <v>1.7759949000000001E-2</v>
      </c>
      <c r="J10" s="187">
        <f>[2]CZ_decarbplus_opex!H10</f>
        <v>2.5000000000000001E-5</v>
      </c>
      <c r="K10" s="187">
        <f>[2]CZ_decarbplus_opex!I10</f>
        <v>1.22E-6</v>
      </c>
      <c r="L10" s="187">
        <f>[2]CZ_decarbplus_opex!J10</f>
        <v>1.3591231E-2</v>
      </c>
      <c r="M10" s="187">
        <f>[2]CZ_decarbplus_opex!K10</f>
        <v>5.4345499999999998E-4</v>
      </c>
      <c r="N10" s="187">
        <f>[2]CZ_decarbplus_opex!L10</f>
        <v>1.8597507999999999E-2</v>
      </c>
      <c r="O10" s="187">
        <f>[2]CZ_decarbplus_opex!M10</f>
        <v>1.381712E-3</v>
      </c>
      <c r="P10" s="187">
        <f>[2]CZ_decarbplus_opex!N10</f>
        <v>2.0892799999999999E-4</v>
      </c>
      <c r="Q10" s="187">
        <f>[2]CZ_decarbplus_opex!O10</f>
        <v>8.1899999999999999E-5</v>
      </c>
      <c r="R10" s="187">
        <f>[2]CZ_decarbplus_opex!P10</f>
        <v>6.3488709999999999E-3</v>
      </c>
      <c r="S10" s="187">
        <f>[2]CZ_decarbplus_opex!Q10</f>
        <v>1.15E-5</v>
      </c>
      <c r="T10" s="187">
        <f>[2]CZ_decarbplus_opex!R10</f>
        <v>9.38E-6</v>
      </c>
      <c r="U10" s="187">
        <f>[2]CZ_decarbplus_opex!S10</f>
        <v>1.08E-5</v>
      </c>
      <c r="V10" s="187">
        <f>[2]CZ_decarbplus_opex!T10</f>
        <v>1.2E-5</v>
      </c>
      <c r="W10" s="187">
        <f>[2]CZ_decarbplus_opex!U10</f>
        <v>5.0699999999999997E-6</v>
      </c>
      <c r="X10" s="187">
        <f>[2]CZ_decarbplus_opex!V10</f>
        <v>1.3900000000000001E-5</v>
      </c>
      <c r="Y10" s="187">
        <f>[2]CZ_decarbplus_opex!W10</f>
        <v>2.2400000000000002E-6</v>
      </c>
      <c r="Z10" s="187">
        <f>[2]CZ_decarbplus_opex!X10</f>
        <v>3.6814600000000002E-4</v>
      </c>
      <c r="AA10" s="187">
        <f>[2]CZ_decarbplus_opex!Y10</f>
        <v>6.4699999999999999E-6</v>
      </c>
      <c r="AB10" s="188">
        <f>[3]CZ_decarb_opex!B10</f>
        <v>1.5051218643121999E-4</v>
      </c>
      <c r="AC10" s="188">
        <f>[3]CZ_decarb_opex!C10</f>
        <v>2.9685817651921899E-5</v>
      </c>
      <c r="AD10" s="188">
        <f>[3]CZ_decarb_opex!D10</f>
        <v>3.9248443445086702E-5</v>
      </c>
      <c r="AE10" s="188">
        <f>[2]CZ_decarbplus_opex!Z10</f>
        <v>3.8999999999999999E-5</v>
      </c>
      <c r="AF10" s="188">
        <f>[2]CZ_decarbplus_opex!AA10</f>
        <v>4.2500000000000003E-5</v>
      </c>
      <c r="AG10" s="188">
        <f>[2]CZ_decarbplus_opex!AB10</f>
        <v>7.5700000000000004E-6</v>
      </c>
      <c r="AH10" s="188">
        <f>[2]CZ_decarbplus_opex!AC10</f>
        <v>2.76E-5</v>
      </c>
      <c r="AI10" s="188">
        <f>[2]CZ_decarbplus_opex!AD10</f>
        <v>6.6000000000000003E-6</v>
      </c>
      <c r="AJ10" s="188">
        <f>[2]CZ_decarbplus_opex!AE10</f>
        <v>1.01E-5</v>
      </c>
      <c r="AK10" s="188">
        <f>[2]CZ_decarbplus_opex!AF10</f>
        <v>1.26E-5</v>
      </c>
      <c r="AL10" s="188">
        <f>[3]CZ_decarb_opex!E10</f>
        <v>6.5707614208099398E-6</v>
      </c>
      <c r="AM10" s="188">
        <f>[3]CZ_decarb_opex!F10</f>
        <v>5.7284523888278197E-6</v>
      </c>
      <c r="AN10" s="188">
        <f>[2]CZ_decarbplus_opex!AG10</f>
        <v>1.15E-5</v>
      </c>
      <c r="AO10" s="188">
        <f>[3]CZ_decarb_opex!G10</f>
        <v>2.5104817050889702E-6</v>
      </c>
      <c r="AP10" s="188">
        <f>[3]CZ_decarb_opex!H10</f>
        <v>3.0537104704655202E-6</v>
      </c>
      <c r="AQ10" s="188">
        <f>[2]CZ_decarbplus_opex!AH10</f>
        <v>3.9500000000000003E-6</v>
      </c>
      <c r="AR10" s="188">
        <f>[2]CZ_decarbplus_opex!AI10</f>
        <v>0</v>
      </c>
      <c r="AS10" s="188">
        <f>[2]CZ_decarbplus_opex!AJ10</f>
        <v>4.8099999999999997E-6</v>
      </c>
      <c r="AT10" s="188">
        <f>[2]CZ_decarbplus_opex!AK10</f>
        <v>4.3000000000000003E-6</v>
      </c>
      <c r="AU10" s="188">
        <f>[2]CZ_decarbplus_opex!AL10</f>
        <v>2.1500000000000002E-6</v>
      </c>
      <c r="AV10" s="188">
        <f>[2]CZ_decarbplus_opex!AM10</f>
        <v>1.0499999999999999E-6</v>
      </c>
      <c r="AW10" s="188">
        <f>[2]CZ_decarbplus_opex!AN10</f>
        <v>2.3199999999999998E-6</v>
      </c>
      <c r="AX10" s="188">
        <f>[2]CZ_decarbplus_opex!AO10</f>
        <v>0</v>
      </c>
      <c r="AY10" s="188">
        <f>[2]CZ_decarbplus_opex!AP10</f>
        <v>4.0600000000000001E-6</v>
      </c>
      <c r="AZ10" s="188">
        <f>[2]CZ_decarbplus_opex!AQ10</f>
        <v>0</v>
      </c>
      <c r="BA10" s="188">
        <f>[2]CZ_decarbplus_opex!AR10</f>
        <v>3.2600000000000001E-6</v>
      </c>
      <c r="BB10" s="188">
        <f>[2]CZ_decarbplus_opex!AS10</f>
        <v>4.3599999999999998E-6</v>
      </c>
      <c r="BC10" s="188">
        <f>[2]CZ_decarbplus_opex!AT10</f>
        <v>4.5199999999999999E-6</v>
      </c>
      <c r="BD10" s="188">
        <f>[2]CZ_decarbplus_opex!AU10</f>
        <v>3.0599999999999999E-6</v>
      </c>
      <c r="BE10" s="188">
        <f>[2]CZ_decarbplus_opex!AV10</f>
        <v>1.1800000000000001E-5</v>
      </c>
      <c r="BF10" s="188">
        <f>[2]CZ_decarbplus_opex!AW10</f>
        <v>3.0199999999999999E-6</v>
      </c>
      <c r="BG10" s="188">
        <f>[2]CZ_decarbplus_opex!AX10</f>
        <v>2.62E-5</v>
      </c>
      <c r="BH10" s="188">
        <f>[3]CZ_decarb_opex!I10</f>
        <v>2.8237569616865799E-6</v>
      </c>
      <c r="BI10" s="188">
        <f>[2]CZ_decarbplus_opex!AY10</f>
        <v>4.6199999999999998E-6</v>
      </c>
      <c r="BJ10" s="188">
        <f>[2]CZ_decarbplus_opex!AZ10</f>
        <v>1.2291599999999999E-4</v>
      </c>
      <c r="BK10" s="188">
        <f>[2]CZ_decarbplus_opex!BA10</f>
        <v>1.9084399999999999E-4</v>
      </c>
      <c r="BL10" s="188">
        <f>[2]CZ_decarbplus_opex!BB10</f>
        <v>0</v>
      </c>
      <c r="BM10" s="188">
        <f>[3]CZ_decarb_opex!J10</f>
        <v>5.7486924260052897E-6</v>
      </c>
      <c r="BN10" s="188">
        <f>[3]CZ_decarb_opex!K10</f>
        <v>1.1281052135699199E-5</v>
      </c>
      <c r="BO10" s="188">
        <f>[3]CZ_decarb_opex!L10</f>
        <v>2.52563232342309E-6</v>
      </c>
      <c r="BP10" s="188">
        <f>[3]CZ_decarb_opex!M10</f>
        <v>6.8244168730467096E-6</v>
      </c>
      <c r="BQ10" s="188">
        <f>[3]CZ_decarb_opex!N10</f>
        <v>4.5174781901651801E-6</v>
      </c>
      <c r="BR10" s="188">
        <f>[3]CZ_decarb_opex!O10</f>
        <v>2.4691803696459298E-7</v>
      </c>
      <c r="BS10" s="188">
        <f>[3]CZ_decarb_opex!P10</f>
        <v>9.8477740930591592E-6</v>
      </c>
      <c r="BT10" s="188">
        <f>[3]CZ_decarb_opex!Q10</f>
        <v>9.8489023406946605E-7</v>
      </c>
      <c r="BU10" s="188">
        <f>[3]CZ_decarb_opex!R10</f>
        <v>2.6130358624211E-6</v>
      </c>
      <c r="BV10" s="188">
        <f>[3]CZ_decarb_opex!S10</f>
        <v>2.6130358624211E-6</v>
      </c>
      <c r="BW10" s="188">
        <f>[3]CZ_decarb_opex!T10</f>
        <v>5.90891427211575E-6</v>
      </c>
      <c r="BX10" s="188">
        <f>[3]CZ_decarb_opex!U10</f>
        <v>1.7841140580640401E-6</v>
      </c>
      <c r="BY10" s="188">
        <f>[3]CZ_decarb_opex!V10</f>
        <v>6.8634367760156597E-6</v>
      </c>
      <c r="BZ10" s="188">
        <f>[2]CZ_decarbplus_opex!BC10</f>
        <v>5.8599999999999998E-6</v>
      </c>
      <c r="CA10" s="188">
        <f>[2]CZ_decarbplus_opex!BD10</f>
        <v>3.5999999999999998E-6</v>
      </c>
      <c r="CB10" s="188">
        <f>[2]CZ_decarbplus_opex!BE10</f>
        <v>3.5700000000000001E-6</v>
      </c>
      <c r="CC10" s="188">
        <f>[2]CZ_decarbplus_opex!BF10</f>
        <v>2.3E-6</v>
      </c>
      <c r="CD10" s="188">
        <f>[2]CZ_decarbplus_opex!BG10</f>
        <v>7.9000000000000006E-6</v>
      </c>
      <c r="CE10" s="188">
        <f>[2]CZ_decarbplus_opex!BH10</f>
        <v>8.2899999999999996E-5</v>
      </c>
      <c r="CF10" s="188">
        <f>[2]CZ_decarbplus_opex!BI10</f>
        <v>4.4299999999999999E-6</v>
      </c>
      <c r="CG10" s="188">
        <f>[2]CZ_decarbplus_opex!BJ10</f>
        <v>3.3400000000000002E-6</v>
      </c>
    </row>
    <row r="11" spans="1:85" x14ac:dyDescent="0.25">
      <c r="A11" s="5" t="s">
        <v>41</v>
      </c>
      <c r="B11" s="2" t="s">
        <v>40</v>
      </c>
      <c r="C11" s="1" t="s">
        <v>325</v>
      </c>
      <c r="D11" s="187">
        <f>[2]CZ_decarbplus_opex!B11</f>
        <v>1.8199999999999999E-5</v>
      </c>
      <c r="E11" s="187">
        <f>[2]CZ_decarbplus_opex!C11</f>
        <v>0.49671729399999998</v>
      </c>
      <c r="F11" s="187">
        <f>[2]CZ_decarbplus_opex!D11</f>
        <v>3.54E-5</v>
      </c>
      <c r="G11" s="187">
        <f>[2]CZ_decarbplus_opex!E11</f>
        <v>9.2122600000000003E-4</v>
      </c>
      <c r="H11" s="187">
        <f>[2]CZ_decarbplus_opex!F11</f>
        <v>2.83E-6</v>
      </c>
      <c r="I11" s="187">
        <f>[2]CZ_decarbplus_opex!G11</f>
        <v>1.31E-5</v>
      </c>
      <c r="J11" s="187">
        <f>[2]CZ_decarbplus_opex!H11</f>
        <v>1.0700399999999999E-4</v>
      </c>
      <c r="K11" s="187">
        <f>[2]CZ_decarbplus_opex!I11</f>
        <v>5.2599999999999996E-6</v>
      </c>
      <c r="L11" s="187">
        <f>[2]CZ_decarbplus_opex!J11</f>
        <v>1.2561263E-2</v>
      </c>
      <c r="M11" s="187">
        <f>[2]CZ_decarbplus_opex!K11</f>
        <v>1.03669E-4</v>
      </c>
      <c r="N11" s="187">
        <f>[2]CZ_decarbplus_opex!L11</f>
        <v>1.7294224E-2</v>
      </c>
      <c r="O11" s="187">
        <f>[2]CZ_decarbplus_opex!M11</f>
        <v>2.0646140000000002E-3</v>
      </c>
      <c r="P11" s="187">
        <f>[2]CZ_decarbplus_opex!N11</f>
        <v>3.0454599999999999E-4</v>
      </c>
      <c r="Q11" s="187">
        <f>[2]CZ_decarbplus_opex!O11</f>
        <v>8.9699999999999998E-5</v>
      </c>
      <c r="R11" s="187">
        <f>[2]CZ_decarbplus_opex!P11</f>
        <v>8.0866200000000003E-4</v>
      </c>
      <c r="S11" s="187">
        <f>[2]CZ_decarbplus_opex!Q11</f>
        <v>1.84E-5</v>
      </c>
      <c r="T11" s="187">
        <f>[2]CZ_decarbplus_opex!R11</f>
        <v>1.88E-5</v>
      </c>
      <c r="U11" s="187">
        <f>[2]CZ_decarbplus_opex!S11</f>
        <v>3.3300000000000003E-5</v>
      </c>
      <c r="V11" s="187">
        <f>[2]CZ_decarbplus_opex!T11</f>
        <v>7.8899999999999993E-5</v>
      </c>
      <c r="W11" s="187">
        <f>[2]CZ_decarbplus_opex!U11</f>
        <v>3.8500000000000001E-5</v>
      </c>
      <c r="X11" s="187">
        <f>[2]CZ_decarbplus_opex!V11</f>
        <v>4.5300000000000003E-5</v>
      </c>
      <c r="Y11" s="187">
        <f>[2]CZ_decarbplus_opex!W11</f>
        <v>9.5999999999999996E-6</v>
      </c>
      <c r="Z11" s="187">
        <f>[2]CZ_decarbplus_opex!X11</f>
        <v>1.2495760000000001E-3</v>
      </c>
      <c r="AA11" s="187">
        <f>[2]CZ_decarbplus_opex!Y11</f>
        <v>1.4800000000000001E-5</v>
      </c>
      <c r="AB11" s="188">
        <f>[3]CZ_decarb_opex!B11</f>
        <v>7.7945012262194705E-5</v>
      </c>
      <c r="AC11" s="188">
        <f>[3]CZ_decarb_opex!C11</f>
        <v>3.4568210543324898E-4</v>
      </c>
      <c r="AD11" s="188">
        <f>[3]CZ_decarb_opex!D11</f>
        <v>1.2886983380055501E-4</v>
      </c>
      <c r="AE11" s="188">
        <f>[2]CZ_decarbplus_opex!Z11</f>
        <v>1.15443E-4</v>
      </c>
      <c r="AF11" s="188">
        <f>[2]CZ_decarbplus_opex!AA11</f>
        <v>2.8099999999999999E-5</v>
      </c>
      <c r="AG11" s="188">
        <f>[2]CZ_decarbplus_opex!AB11</f>
        <v>5.3700000000000003E-6</v>
      </c>
      <c r="AH11" s="188">
        <f>[2]CZ_decarbplus_opex!AC11</f>
        <v>1.9476500000000001E-4</v>
      </c>
      <c r="AI11" s="188">
        <f>[2]CZ_decarbplus_opex!AD11</f>
        <v>3.4600000000000001E-5</v>
      </c>
      <c r="AJ11" s="188">
        <f>[2]CZ_decarbplus_opex!AE11</f>
        <v>7.5900000000000002E-5</v>
      </c>
      <c r="AK11" s="188">
        <f>[2]CZ_decarbplus_opex!AF11</f>
        <v>8.6000000000000003E-5</v>
      </c>
      <c r="AL11" s="188">
        <f>[3]CZ_decarb_opex!E11</f>
        <v>4.16584815545092E-5</v>
      </c>
      <c r="AM11" s="188">
        <f>[3]CZ_decarb_opex!F11</f>
        <v>3.6137758667588702E-5</v>
      </c>
      <c r="AN11" s="188">
        <f>[2]CZ_decarbplus_opex!AG11</f>
        <v>7.4400000000000006E-5</v>
      </c>
      <c r="AO11" s="188">
        <f>[3]CZ_decarb_opex!G11</f>
        <v>8.9161567717198893E-6</v>
      </c>
      <c r="AP11" s="188">
        <f>[3]CZ_decarb_opex!H11</f>
        <v>2.0262286038513401E-5</v>
      </c>
      <c r="AQ11" s="188">
        <f>[2]CZ_decarbplus_opex!AH11</f>
        <v>2.5299999999999998E-5</v>
      </c>
      <c r="AR11" s="188">
        <f>[2]CZ_decarbplus_opex!AI11</f>
        <v>0</v>
      </c>
      <c r="AS11" s="188">
        <f>[2]CZ_decarbplus_opex!AJ11</f>
        <v>2.55E-5</v>
      </c>
      <c r="AT11" s="188">
        <f>[2]CZ_decarbplus_opex!AK11</f>
        <v>1.91E-5</v>
      </c>
      <c r="AU11" s="188">
        <f>[2]CZ_decarbplus_opex!AL11</f>
        <v>2.0299999999999999E-5</v>
      </c>
      <c r="AV11" s="188">
        <f>[2]CZ_decarbplus_opex!AM11</f>
        <v>7.2300000000000002E-6</v>
      </c>
      <c r="AW11" s="188">
        <f>[2]CZ_decarbplus_opex!AN11</f>
        <v>1.9300000000000002E-5</v>
      </c>
      <c r="AX11" s="188">
        <f>[2]CZ_decarbplus_opex!AO11</f>
        <v>0</v>
      </c>
      <c r="AY11" s="188">
        <f>[2]CZ_decarbplus_opex!AP11</f>
        <v>8.7800000000000006E-6</v>
      </c>
      <c r="AZ11" s="188">
        <f>[2]CZ_decarbplus_opex!AQ11</f>
        <v>0</v>
      </c>
      <c r="BA11" s="188">
        <f>[2]CZ_decarbplus_opex!AR11</f>
        <v>1.15E-5</v>
      </c>
      <c r="BB11" s="188">
        <f>[2]CZ_decarbplus_opex!AS11</f>
        <v>1.6500000000000001E-5</v>
      </c>
      <c r="BC11" s="188">
        <f>[2]CZ_decarbplus_opex!AT11</f>
        <v>1.3699999999999999E-5</v>
      </c>
      <c r="BD11" s="188">
        <f>[2]CZ_decarbplus_opex!AU11</f>
        <v>7.6699999999999994E-6</v>
      </c>
      <c r="BE11" s="188">
        <f>[2]CZ_decarbplus_opex!AV11</f>
        <v>1.1199999999999999E-5</v>
      </c>
      <c r="BF11" s="188">
        <f>[2]CZ_decarbplus_opex!AW11</f>
        <v>1.45E-5</v>
      </c>
      <c r="BG11" s="188">
        <f>[2]CZ_decarbplus_opex!AX11</f>
        <v>1.04E-5</v>
      </c>
      <c r="BH11" s="188">
        <f>[3]CZ_decarb_opex!I11</f>
        <v>5.0951967360878102E-6</v>
      </c>
      <c r="BI11" s="188">
        <f>[2]CZ_decarbplus_opex!AY11</f>
        <v>1.5699999999999999E-5</v>
      </c>
      <c r="BJ11" s="188">
        <f>[2]CZ_decarbplus_opex!AZ11</f>
        <v>1.50815E-4</v>
      </c>
      <c r="BK11" s="188">
        <f>[2]CZ_decarbplus_opex!BA11</f>
        <v>9.4499999999999993E-6</v>
      </c>
      <c r="BL11" s="188">
        <f>[2]CZ_decarbplus_opex!BB11</f>
        <v>0</v>
      </c>
      <c r="BM11" s="188">
        <f>[3]CZ_decarb_opex!J11</f>
        <v>1.35945836774948E-5</v>
      </c>
      <c r="BN11" s="188">
        <f>[3]CZ_decarb_opex!K11</f>
        <v>9.7459627490837695E-5</v>
      </c>
      <c r="BO11" s="188">
        <f>[3]CZ_decarb_opex!L11</f>
        <v>1.09427694524679E-5</v>
      </c>
      <c r="BP11" s="188">
        <f>[3]CZ_decarb_opex!M11</f>
        <v>8.6423362833220902E-5</v>
      </c>
      <c r="BQ11" s="188">
        <f>[3]CZ_decarb_opex!N11</f>
        <v>1.7201854165105302E-5</v>
      </c>
      <c r="BR11" s="188">
        <f>[3]CZ_decarb_opex!O11</f>
        <v>1.1906531688928001E-6</v>
      </c>
      <c r="BS11" s="188">
        <f>[3]CZ_decarb_opex!P11</f>
        <v>2.6906909862313001E-5</v>
      </c>
      <c r="BT11" s="188">
        <f>[3]CZ_decarb_opex!Q11</f>
        <v>3.0843566856520298E-6</v>
      </c>
      <c r="BU11" s="188">
        <f>[3]CZ_decarb_opex!R11</f>
        <v>4.4573768899576904E-6</v>
      </c>
      <c r="BV11" s="188">
        <f>[3]CZ_decarb_opex!S11</f>
        <v>4.4573768899577099E-6</v>
      </c>
      <c r="BW11" s="188">
        <f>[3]CZ_decarb_opex!T11</f>
        <v>2.25390338206324E-5</v>
      </c>
      <c r="BX11" s="188">
        <f>[3]CZ_decarb_opex!U11</f>
        <v>2.1681588641072298E-6</v>
      </c>
      <c r="BY11" s="188">
        <f>[3]CZ_decarb_opex!V11</f>
        <v>5.9305368938858399E-6</v>
      </c>
      <c r="BZ11" s="188">
        <f>[2]CZ_decarbplus_opex!BC11</f>
        <v>5.0699999999999999E-5</v>
      </c>
      <c r="CA11" s="188">
        <f>[2]CZ_decarbplus_opex!BD11</f>
        <v>1.45E-5</v>
      </c>
      <c r="CB11" s="188">
        <f>[2]CZ_decarbplus_opex!BE11</f>
        <v>9.6800000000000005E-6</v>
      </c>
      <c r="CC11" s="188">
        <f>[2]CZ_decarbplus_opex!BF11</f>
        <v>9.0599999999999997E-6</v>
      </c>
      <c r="CD11" s="188">
        <f>[2]CZ_decarbplus_opex!BG11</f>
        <v>2.51E-5</v>
      </c>
      <c r="CE11" s="188">
        <f>[2]CZ_decarbplus_opex!BH11</f>
        <v>2.2099999999999998E-5</v>
      </c>
      <c r="CF11" s="188">
        <f>[2]CZ_decarbplus_opex!BI11</f>
        <v>1.19E-5</v>
      </c>
      <c r="CG11" s="188">
        <f>[2]CZ_decarbplus_opex!BJ11</f>
        <v>4.0500000000000002E-5</v>
      </c>
    </row>
    <row r="12" spans="1:85" x14ac:dyDescent="0.25">
      <c r="A12" s="5" t="s">
        <v>43</v>
      </c>
      <c r="B12" s="2" t="s">
        <v>42</v>
      </c>
      <c r="C12" s="1" t="s">
        <v>325</v>
      </c>
      <c r="D12" s="187">
        <f>[2]CZ_decarbplus_opex!B12</f>
        <v>1.38E-5</v>
      </c>
      <c r="E12" s="187">
        <f>[2]CZ_decarbplus_opex!C12</f>
        <v>3.2700000000000002E-5</v>
      </c>
      <c r="F12" s="187">
        <f>[2]CZ_decarbplus_opex!D12</f>
        <v>0.16682038900000001</v>
      </c>
      <c r="G12" s="187">
        <f>[2]CZ_decarbplus_opex!E12</f>
        <v>3.9579539999999996E-3</v>
      </c>
      <c r="H12" s="187">
        <f>[2]CZ_decarbplus_opex!F12</f>
        <v>1.4699999999999999E-6</v>
      </c>
      <c r="I12" s="187">
        <f>[2]CZ_decarbplus_opex!G12</f>
        <v>1.6699999999999999E-5</v>
      </c>
      <c r="J12" s="187">
        <f>[2]CZ_decarbplus_opex!H12</f>
        <v>2.3200000000000001E-5</v>
      </c>
      <c r="K12" s="187">
        <f>[2]CZ_decarbplus_opex!I12</f>
        <v>1.15E-6</v>
      </c>
      <c r="L12" s="187">
        <f>[2]CZ_decarbplus_opex!J12</f>
        <v>2.5642205000000001E-2</v>
      </c>
      <c r="M12" s="187">
        <f>[2]CZ_decarbplus_opex!K12</f>
        <v>3.1608682999999999E-2</v>
      </c>
      <c r="N12" s="187">
        <f>[2]CZ_decarbplus_opex!L12</f>
        <v>3.2791763000000002E-2</v>
      </c>
      <c r="O12" s="187">
        <f>[2]CZ_decarbplus_opex!M12</f>
        <v>5.38416E-4</v>
      </c>
      <c r="P12" s="187">
        <f>[2]CZ_decarbplus_opex!N12</f>
        <v>1.05945E-4</v>
      </c>
      <c r="Q12" s="187">
        <f>[2]CZ_decarbplus_opex!O12</f>
        <v>1.14275E-4</v>
      </c>
      <c r="R12" s="187">
        <f>[2]CZ_decarbplus_opex!P12</f>
        <v>5.1980400000000001E-4</v>
      </c>
      <c r="S12" s="187">
        <f>[2]CZ_decarbplus_opex!Q12</f>
        <v>2.7699999999999999E-5</v>
      </c>
      <c r="T12" s="187">
        <f>[2]CZ_decarbplus_opex!R12</f>
        <v>2.6400000000000001E-5</v>
      </c>
      <c r="U12" s="187">
        <f>[2]CZ_decarbplus_opex!S12</f>
        <v>1.7200000000000001E-5</v>
      </c>
      <c r="V12" s="187">
        <f>[2]CZ_decarbplus_opex!T12</f>
        <v>1.3200000000000001E-5</v>
      </c>
      <c r="W12" s="187">
        <f>[2]CZ_decarbplus_opex!U12</f>
        <v>8.2600000000000005E-6</v>
      </c>
      <c r="X12" s="187">
        <f>[2]CZ_decarbplus_opex!V12</f>
        <v>7.8299999999999996E-6</v>
      </c>
      <c r="Y12" s="187">
        <f>[2]CZ_decarbplus_opex!W12</f>
        <v>2.7300000000000001E-6</v>
      </c>
      <c r="Z12" s="187">
        <f>[2]CZ_decarbplus_opex!X12</f>
        <v>4.72404E-4</v>
      </c>
      <c r="AA12" s="187">
        <f>[2]CZ_decarbplus_opex!Y12</f>
        <v>1.0000000000000001E-5</v>
      </c>
      <c r="AB12" s="188">
        <f>[3]CZ_decarb_opex!B12</f>
        <v>6.3587340005322101E-5</v>
      </c>
      <c r="AC12" s="188">
        <f>[3]CZ_decarb_opex!C12</f>
        <v>4.5550212098428897E-5</v>
      </c>
      <c r="AD12" s="188">
        <f>[3]CZ_decarb_opex!D12</f>
        <v>2.8995459319350501E-5</v>
      </c>
      <c r="AE12" s="188">
        <f>[2]CZ_decarbplus_opex!Z12</f>
        <v>2.9200000000000002E-5</v>
      </c>
      <c r="AF12" s="188">
        <f>[2]CZ_decarbplus_opex!AA12</f>
        <v>1.1750400000000001E-4</v>
      </c>
      <c r="AG12" s="188">
        <f>[2]CZ_decarbplus_opex!AB12</f>
        <v>3.0599999999999998E-5</v>
      </c>
      <c r="AH12" s="188">
        <f>[2]CZ_decarbplus_opex!AC12</f>
        <v>3.2199999999999997E-5</v>
      </c>
      <c r="AI12" s="188">
        <f>[2]CZ_decarbplus_opex!AD12</f>
        <v>7.6399999999999997E-6</v>
      </c>
      <c r="AJ12" s="188">
        <f>[2]CZ_decarbplus_opex!AE12</f>
        <v>1.2500000000000001E-5</v>
      </c>
      <c r="AK12" s="188">
        <f>[2]CZ_decarbplus_opex!AF12</f>
        <v>1.49E-5</v>
      </c>
      <c r="AL12" s="188">
        <f>[3]CZ_decarb_opex!E12</f>
        <v>8.2384688723707604E-6</v>
      </c>
      <c r="AM12" s="188">
        <f>[3]CZ_decarb_opex!F12</f>
        <v>6.3378684464660198E-6</v>
      </c>
      <c r="AN12" s="188">
        <f>[2]CZ_decarbplus_opex!AG12</f>
        <v>1.33E-5</v>
      </c>
      <c r="AO12" s="188">
        <f>[3]CZ_decarb_opex!G12</f>
        <v>7.9638240677743898E-6</v>
      </c>
      <c r="AP12" s="188">
        <f>[3]CZ_decarb_opex!H12</f>
        <v>8.0277025505255606E-6</v>
      </c>
      <c r="AQ12" s="188">
        <f>[2]CZ_decarbplus_opex!AH12</f>
        <v>1.2E-5</v>
      </c>
      <c r="AR12" s="188">
        <f>[2]CZ_decarbplus_opex!AI12</f>
        <v>0</v>
      </c>
      <c r="AS12" s="188">
        <f>[2]CZ_decarbplus_opex!AJ12</f>
        <v>1.4600000000000001E-5</v>
      </c>
      <c r="AT12" s="188">
        <f>[2]CZ_decarbplus_opex!AK12</f>
        <v>1.29E-5</v>
      </c>
      <c r="AU12" s="188">
        <f>[2]CZ_decarbplus_opex!AL12</f>
        <v>4.1200000000000004E-6</v>
      </c>
      <c r="AV12" s="188">
        <f>[2]CZ_decarbplus_opex!AM12</f>
        <v>1.6199999999999999E-6</v>
      </c>
      <c r="AW12" s="188">
        <f>[2]CZ_decarbplus_opex!AN12</f>
        <v>5.8200000000000002E-6</v>
      </c>
      <c r="AX12" s="188">
        <f>[2]CZ_decarbplus_opex!AO12</f>
        <v>0</v>
      </c>
      <c r="AY12" s="188">
        <f>[2]CZ_decarbplus_opex!AP12</f>
        <v>1.01E-5</v>
      </c>
      <c r="AZ12" s="188">
        <f>[2]CZ_decarbplus_opex!AQ12</f>
        <v>0</v>
      </c>
      <c r="BA12" s="188">
        <f>[2]CZ_decarbplus_opex!AR12</f>
        <v>8.4300000000000006E-6</v>
      </c>
      <c r="BB12" s="188">
        <f>[2]CZ_decarbplus_opex!AS12</f>
        <v>5.75E-6</v>
      </c>
      <c r="BC12" s="188">
        <f>[2]CZ_decarbplus_opex!AT12</f>
        <v>6.8399999999999997E-6</v>
      </c>
      <c r="BD12" s="188">
        <f>[2]CZ_decarbplus_opex!AU12</f>
        <v>4.5600000000000004E-6</v>
      </c>
      <c r="BE12" s="188">
        <f>[2]CZ_decarbplus_opex!AV12</f>
        <v>3.3500000000000001E-6</v>
      </c>
      <c r="BF12" s="188">
        <f>[2]CZ_decarbplus_opex!AW12</f>
        <v>1.8700000000000001E-6</v>
      </c>
      <c r="BG12" s="188">
        <f>[2]CZ_decarbplus_opex!AX12</f>
        <v>1.1399999999999999E-5</v>
      </c>
      <c r="BH12" s="188">
        <f>[3]CZ_decarb_opex!I12</f>
        <v>4.2967988923090602E-6</v>
      </c>
      <c r="BI12" s="188">
        <f>[2]CZ_decarbplus_opex!AY12</f>
        <v>7.8199999999999997E-6</v>
      </c>
      <c r="BJ12" s="188">
        <f>[2]CZ_decarbplus_opex!AZ12</f>
        <v>1.7311E-4</v>
      </c>
      <c r="BK12" s="188">
        <f>[2]CZ_decarbplus_opex!BA12</f>
        <v>3.8399999999999997E-6</v>
      </c>
      <c r="BL12" s="188">
        <f>[2]CZ_decarbplus_opex!BB12</f>
        <v>0</v>
      </c>
      <c r="BM12" s="188">
        <f>[3]CZ_decarb_opex!J12</f>
        <v>6.69657766286421E-6</v>
      </c>
      <c r="BN12" s="188">
        <f>[3]CZ_decarb_opex!K12</f>
        <v>1.8908780649113599E-5</v>
      </c>
      <c r="BO12" s="188">
        <f>[3]CZ_decarb_opex!L12</f>
        <v>2.6578816196440101E-6</v>
      </c>
      <c r="BP12" s="188">
        <f>[3]CZ_decarb_opex!M12</f>
        <v>1.15383009240367E-5</v>
      </c>
      <c r="BQ12" s="188">
        <f>[3]CZ_decarb_opex!N12</f>
        <v>4.9018960117277204E-6</v>
      </c>
      <c r="BR12" s="188">
        <f>[3]CZ_decarb_opex!O12</f>
        <v>2.17444103891164E-7</v>
      </c>
      <c r="BS12" s="188">
        <f>[3]CZ_decarb_opex!P12</f>
        <v>1.2339696014075899E-5</v>
      </c>
      <c r="BT12" s="188">
        <f>[3]CZ_decarb_opex!Q12</f>
        <v>9.3326752528708198E-7</v>
      </c>
      <c r="BU12" s="188">
        <f>[3]CZ_decarb_opex!R12</f>
        <v>2.37899400350489E-6</v>
      </c>
      <c r="BV12" s="188">
        <f>[3]CZ_decarb_opex!S12</f>
        <v>2.3789940035049002E-6</v>
      </c>
      <c r="BW12" s="188">
        <f>[3]CZ_decarb_opex!T12</f>
        <v>4.1476410596135304E-6</v>
      </c>
      <c r="BX12" s="188">
        <f>[3]CZ_decarb_opex!U12</f>
        <v>1.88491280804234E-6</v>
      </c>
      <c r="BY12" s="188">
        <f>[3]CZ_decarb_opex!V12</f>
        <v>8.9963376128656205E-6</v>
      </c>
      <c r="BZ12" s="188">
        <f>[2]CZ_decarbplus_opex!BC12</f>
        <v>7.8699999999999992E-6</v>
      </c>
      <c r="CA12" s="188">
        <f>[2]CZ_decarbplus_opex!BD12</f>
        <v>3.8999999999999999E-6</v>
      </c>
      <c r="CB12" s="188">
        <f>[2]CZ_decarbplus_opex!BE12</f>
        <v>3.7100000000000001E-6</v>
      </c>
      <c r="CC12" s="188">
        <f>[2]CZ_decarbplus_opex!BF12</f>
        <v>3.6200000000000001E-6</v>
      </c>
      <c r="CD12" s="188">
        <f>[2]CZ_decarbplus_opex!BG12</f>
        <v>1.3200000000000001E-5</v>
      </c>
      <c r="CE12" s="188">
        <f>[2]CZ_decarbplus_opex!BH12</f>
        <v>4.16E-6</v>
      </c>
      <c r="CF12" s="188">
        <f>[2]CZ_decarbplus_opex!BI12</f>
        <v>4.7899999999999999E-6</v>
      </c>
      <c r="CG12" s="188">
        <f>[2]CZ_decarbplus_opex!BJ12</f>
        <v>5.8900000000000004E-6</v>
      </c>
    </row>
    <row r="13" spans="1:85" x14ac:dyDescent="0.25">
      <c r="A13" s="5" t="s">
        <v>45</v>
      </c>
      <c r="B13" s="2" t="s">
        <v>44</v>
      </c>
      <c r="C13" s="1" t="s">
        <v>325</v>
      </c>
      <c r="D13" s="187">
        <f>[2]CZ_decarbplus_opex!B13</f>
        <v>1.2251440000000001E-3</v>
      </c>
      <c r="E13" s="187">
        <f>[2]CZ_decarbplus_opex!C13</f>
        <v>2.7980253E-2</v>
      </c>
      <c r="F13" s="187">
        <f>[2]CZ_decarbplus_opex!D13</f>
        <v>2.3871470000000001E-3</v>
      </c>
      <c r="G13" s="187">
        <f>[2]CZ_decarbplus_opex!E13</f>
        <v>1.1947401E-2</v>
      </c>
      <c r="H13" s="187">
        <f>[2]CZ_decarbplus_opex!F13</f>
        <v>1.8300000000000001E-5</v>
      </c>
      <c r="I13" s="187">
        <f>[2]CZ_decarbplus_opex!G13</f>
        <v>9.8180360000000005E-3</v>
      </c>
      <c r="J13" s="187">
        <f>[2]CZ_decarbplus_opex!H13</f>
        <v>3.03166E-4</v>
      </c>
      <c r="K13" s="187">
        <f>[2]CZ_decarbplus_opex!I13</f>
        <v>3.6300000000000001E-5</v>
      </c>
      <c r="L13" s="187">
        <f>[2]CZ_decarbplus_opex!J13</f>
        <v>4.9153620000000004E-3</v>
      </c>
      <c r="M13" s="187">
        <f>[2]CZ_decarbplus_opex!K13</f>
        <v>8.4320399999999996E-4</v>
      </c>
      <c r="N13" s="187">
        <f>[2]CZ_decarbplus_opex!L13</f>
        <v>5.9541300000000002E-3</v>
      </c>
      <c r="O13" s="187">
        <f>[2]CZ_decarbplus_opex!M13</f>
        <v>6.1522699999999998E-4</v>
      </c>
      <c r="P13" s="187">
        <f>[2]CZ_decarbplus_opex!N13</f>
        <v>3.00921E-4</v>
      </c>
      <c r="Q13" s="187">
        <f>[2]CZ_decarbplus_opex!O13</f>
        <v>2.24415E-4</v>
      </c>
      <c r="R13" s="187">
        <f>[2]CZ_decarbplus_opex!P13</f>
        <v>2.76741E-4</v>
      </c>
      <c r="S13" s="187">
        <f>[2]CZ_decarbplus_opex!Q13</f>
        <v>1.0256599999999999E-4</v>
      </c>
      <c r="T13" s="187">
        <f>[2]CZ_decarbplus_opex!R13</f>
        <v>1.13539E-4</v>
      </c>
      <c r="U13" s="187">
        <f>[2]CZ_decarbplus_opex!S13</f>
        <v>2.7725500000000001E-4</v>
      </c>
      <c r="V13" s="187">
        <f>[2]CZ_decarbplus_opex!T13</f>
        <v>5.1504399999999998E-4</v>
      </c>
      <c r="W13" s="187">
        <f>[2]CZ_decarbplus_opex!U13</f>
        <v>1.2682500000000001E-4</v>
      </c>
      <c r="X13" s="187">
        <f>[2]CZ_decarbplus_opex!V13</f>
        <v>1.44516E-4</v>
      </c>
      <c r="Y13" s="187">
        <f>[2]CZ_decarbplus_opex!W13</f>
        <v>4.49E-5</v>
      </c>
      <c r="Z13" s="187">
        <f>[2]CZ_decarbplus_opex!X13</f>
        <v>7.4085199999999996E-4</v>
      </c>
      <c r="AA13" s="187">
        <f>[2]CZ_decarbplus_opex!Y13</f>
        <v>1.6386600000000001E-4</v>
      </c>
      <c r="AB13" s="188">
        <f>[3]CZ_decarb_opex!B13</f>
        <v>5.9862125154225699E-4</v>
      </c>
      <c r="AC13" s="188">
        <f>[3]CZ_decarb_opex!C13</f>
        <v>2.03200183827213E-3</v>
      </c>
      <c r="AD13" s="188">
        <f>[3]CZ_decarb_opex!D13</f>
        <v>6.02849990165906E-4</v>
      </c>
      <c r="AE13" s="188">
        <f>[2]CZ_decarbplus_opex!Z13</f>
        <v>4.0793900000000001E-4</v>
      </c>
      <c r="AF13" s="188">
        <f>[2]CZ_decarbplus_opex!AA13</f>
        <v>2.0705499999999999E-4</v>
      </c>
      <c r="AG13" s="188">
        <f>[2]CZ_decarbplus_opex!AB13</f>
        <v>7.4099999999999999E-5</v>
      </c>
      <c r="AH13" s="188">
        <f>[2]CZ_decarbplus_opex!AC13</f>
        <v>4.1174499999999998E-4</v>
      </c>
      <c r="AI13" s="188">
        <f>[2]CZ_decarbplus_opex!AD13</f>
        <v>1.02434E-4</v>
      </c>
      <c r="AJ13" s="188">
        <f>[2]CZ_decarbplus_opex!AE13</f>
        <v>2.9339900000000001E-4</v>
      </c>
      <c r="AK13" s="188">
        <f>[2]CZ_decarbplus_opex!AF13</f>
        <v>1.9161199999999999E-4</v>
      </c>
      <c r="AL13" s="188">
        <f>[3]CZ_decarb_opex!E13</f>
        <v>1.6725877606595601E-4</v>
      </c>
      <c r="AM13" s="188">
        <f>[3]CZ_decarb_opex!F13</f>
        <v>1.02432135031415E-4</v>
      </c>
      <c r="AN13" s="188">
        <f>[2]CZ_decarbplus_opex!AG13</f>
        <v>2.1703200000000001E-4</v>
      </c>
      <c r="AO13" s="188">
        <f>[3]CZ_decarb_opex!G13</f>
        <v>9.8723033692773503E-5</v>
      </c>
      <c r="AP13" s="188">
        <f>[3]CZ_decarb_opex!H13</f>
        <v>2.0647885871765E-4</v>
      </c>
      <c r="AQ13" s="188">
        <f>[2]CZ_decarbplus_opex!AH13</f>
        <v>2.82532E-4</v>
      </c>
      <c r="AR13" s="188">
        <f>[2]CZ_decarbplus_opex!AI13</f>
        <v>0</v>
      </c>
      <c r="AS13" s="188">
        <f>[2]CZ_decarbplus_opex!AJ13</f>
        <v>2.5874699999999998E-4</v>
      </c>
      <c r="AT13" s="188">
        <f>[2]CZ_decarbplus_opex!AK13</f>
        <v>1.98736E-4</v>
      </c>
      <c r="AU13" s="188">
        <f>[2]CZ_decarbplus_opex!AL13</f>
        <v>1.85947E-4</v>
      </c>
      <c r="AV13" s="188">
        <f>[2]CZ_decarbplus_opex!AM13</f>
        <v>4.5300000000000003E-5</v>
      </c>
      <c r="AW13" s="188">
        <f>[2]CZ_decarbplus_opex!AN13</f>
        <v>3.4925400000000001E-4</v>
      </c>
      <c r="AX13" s="188">
        <f>[2]CZ_decarbplus_opex!AO13</f>
        <v>0</v>
      </c>
      <c r="AY13" s="188">
        <f>[2]CZ_decarbplus_opex!AP13</f>
        <v>1.2864699999999999E-4</v>
      </c>
      <c r="AZ13" s="188">
        <f>[2]CZ_decarbplus_opex!AQ13</f>
        <v>0</v>
      </c>
      <c r="BA13" s="188">
        <f>[2]CZ_decarbplus_opex!AR13</f>
        <v>1.3606299999999999E-4</v>
      </c>
      <c r="BB13" s="188">
        <f>[2]CZ_decarbplus_opex!AS13</f>
        <v>9.2399999999999996E-5</v>
      </c>
      <c r="BC13" s="188">
        <f>[2]CZ_decarbplus_opex!AT13</f>
        <v>1.16876E-4</v>
      </c>
      <c r="BD13" s="188">
        <f>[2]CZ_decarbplus_opex!AU13</f>
        <v>1.27529E-4</v>
      </c>
      <c r="BE13" s="188">
        <f>[2]CZ_decarbplus_opex!AV13</f>
        <v>1.08952E-4</v>
      </c>
      <c r="BF13" s="188">
        <f>[2]CZ_decarbplus_opex!AW13</f>
        <v>1.3937500000000001E-4</v>
      </c>
      <c r="BG13" s="188">
        <f>[2]CZ_decarbplus_opex!AX13</f>
        <v>1.08554E-4</v>
      </c>
      <c r="BH13" s="188">
        <f>[3]CZ_decarb_opex!I13</f>
        <v>1.05049162046147E-4</v>
      </c>
      <c r="BI13" s="188">
        <f>[2]CZ_decarbplus_opex!AY13</f>
        <v>9.8200000000000002E-5</v>
      </c>
      <c r="BJ13" s="188">
        <f>[2]CZ_decarbplus_opex!AZ13</f>
        <v>1.1018099999999999E-4</v>
      </c>
      <c r="BK13" s="188">
        <f>[2]CZ_decarbplus_opex!BA13</f>
        <v>1.6132399999999999E-4</v>
      </c>
      <c r="BL13" s="188">
        <f>[2]CZ_decarbplus_opex!BB13</f>
        <v>0</v>
      </c>
      <c r="BM13" s="188">
        <f>[3]CZ_decarb_opex!J13</f>
        <v>1.13775652616053E-4</v>
      </c>
      <c r="BN13" s="188">
        <f>[3]CZ_decarb_opex!K13</f>
        <v>8.6590994480378197E-4</v>
      </c>
      <c r="BO13" s="188">
        <f>[3]CZ_decarb_opex!L13</f>
        <v>8.6357232148240003E-5</v>
      </c>
      <c r="BP13" s="188">
        <f>[3]CZ_decarb_opex!M13</f>
        <v>7.7691296612167099E-4</v>
      </c>
      <c r="BQ13" s="188">
        <f>[3]CZ_decarb_opex!N13</f>
        <v>1.2256470862852001E-4</v>
      </c>
      <c r="BR13" s="188">
        <f>[3]CZ_decarb_opex!O13</f>
        <v>2.3110012343302599E-5</v>
      </c>
      <c r="BS13" s="188">
        <f>[3]CZ_decarb_opex!P13</f>
        <v>2.3350818995089001E-4</v>
      </c>
      <c r="BT13" s="188">
        <f>[3]CZ_decarb_opex!Q13</f>
        <v>3.0394576239496001E-5</v>
      </c>
      <c r="BU13" s="188">
        <f>[3]CZ_decarb_opex!R13</f>
        <v>5.32550584164694E-5</v>
      </c>
      <c r="BV13" s="188">
        <f>[3]CZ_decarb_opex!S13</f>
        <v>5.3255058416469501E-5</v>
      </c>
      <c r="BW13" s="188">
        <f>[3]CZ_decarb_opex!T13</f>
        <v>1.1701265118850301E-4</v>
      </c>
      <c r="BX13" s="188">
        <f>[3]CZ_decarb_opex!U13</f>
        <v>2.10816740454389E-5</v>
      </c>
      <c r="BY13" s="188">
        <f>[3]CZ_decarb_opex!V13</f>
        <v>3.6380746754708997E-4</v>
      </c>
      <c r="BZ13" s="188">
        <f>[2]CZ_decarbplus_opex!BC13</f>
        <v>4.6096199999999998E-4</v>
      </c>
      <c r="CA13" s="188">
        <f>[2]CZ_decarbplus_opex!BD13</f>
        <v>1.36976E-4</v>
      </c>
      <c r="CB13" s="188">
        <f>[2]CZ_decarbplus_opex!BE13</f>
        <v>9.1299999999999997E-5</v>
      </c>
      <c r="CC13" s="188">
        <f>[2]CZ_decarbplus_opex!BF13</f>
        <v>8.6799999999999996E-5</v>
      </c>
      <c r="CD13" s="188">
        <f>[2]CZ_decarbplus_opex!BG13</f>
        <v>2.1528500000000001E-4</v>
      </c>
      <c r="CE13" s="188">
        <f>[2]CZ_decarbplus_opex!BH13</f>
        <v>1.6216399999999999E-4</v>
      </c>
      <c r="CF13" s="188">
        <f>[2]CZ_decarbplus_opex!BI13</f>
        <v>9.6700000000000006E-5</v>
      </c>
      <c r="CG13" s="188">
        <f>[2]CZ_decarbplus_opex!BJ13</f>
        <v>2.9287600000000002E-4</v>
      </c>
    </row>
    <row r="14" spans="1:85" x14ac:dyDescent="0.25">
      <c r="A14" s="5" t="s">
        <v>47</v>
      </c>
      <c r="B14" s="2" t="s">
        <v>46</v>
      </c>
      <c r="C14" s="1" t="s">
        <v>325</v>
      </c>
      <c r="D14" s="187">
        <f>[2]CZ_decarbplus_opex!B14</f>
        <v>3.1496999999999997E-4</v>
      </c>
      <c r="E14" s="187">
        <f>[2]CZ_decarbplus_opex!C14</f>
        <v>6.5200850000000001E-3</v>
      </c>
      <c r="F14" s="187">
        <f>[2]CZ_decarbplus_opex!D14</f>
        <v>4.9657E-4</v>
      </c>
      <c r="G14" s="187">
        <f>[2]CZ_decarbplus_opex!E14</f>
        <v>1.37396E-3</v>
      </c>
      <c r="H14" s="187">
        <f>[2]CZ_decarbplus_opex!F14</f>
        <v>8.4800000000000001E-6</v>
      </c>
      <c r="I14" s="187">
        <f>[2]CZ_decarbplus_opex!G14</f>
        <v>2.2704359999999998E-3</v>
      </c>
      <c r="J14" s="187">
        <f>[2]CZ_decarbplus_opex!H14</f>
        <v>5.5500000000000001E-5</v>
      </c>
      <c r="K14" s="187">
        <f>[2]CZ_decarbplus_opex!I14</f>
        <v>1.9000000000000001E-5</v>
      </c>
      <c r="L14" s="187">
        <f>[2]CZ_decarbplus_opex!J14</f>
        <v>7.6957600000000001E-4</v>
      </c>
      <c r="M14" s="187">
        <f>[2]CZ_decarbplus_opex!K14</f>
        <v>2.2602899999999999E-4</v>
      </c>
      <c r="N14" s="187">
        <f>[2]CZ_decarbplus_opex!L14</f>
        <v>9.4909200000000001E-4</v>
      </c>
      <c r="O14" s="187">
        <f>[2]CZ_decarbplus_opex!M14</f>
        <v>4.1100000000000003E-5</v>
      </c>
      <c r="P14" s="187">
        <f>[2]CZ_decarbplus_opex!N14</f>
        <v>1.9599999999999999E-5</v>
      </c>
      <c r="Q14" s="187">
        <f>[2]CZ_decarbplus_opex!O14</f>
        <v>3.29E-5</v>
      </c>
      <c r="R14" s="187">
        <f>[2]CZ_decarbplus_opex!P14</f>
        <v>6.5500000000000006E-5</v>
      </c>
      <c r="S14" s="187">
        <f>[2]CZ_decarbplus_opex!Q14</f>
        <v>1.6200000000000001E-5</v>
      </c>
      <c r="T14" s="187">
        <f>[2]CZ_decarbplus_opex!R14</f>
        <v>3.65E-5</v>
      </c>
      <c r="U14" s="187">
        <f>[2]CZ_decarbplus_opex!S14</f>
        <v>1.8600000000000001E-5</v>
      </c>
      <c r="V14" s="187">
        <f>[2]CZ_decarbplus_opex!T14</f>
        <v>2.26E-5</v>
      </c>
      <c r="W14" s="187">
        <f>[2]CZ_decarbplus_opex!U14</f>
        <v>1.33E-5</v>
      </c>
      <c r="X14" s="187">
        <f>[2]CZ_decarbplus_opex!V14</f>
        <v>2.0100000000000001E-5</v>
      </c>
      <c r="Y14" s="187">
        <f>[2]CZ_decarbplus_opex!W14</f>
        <v>1.8E-5</v>
      </c>
      <c r="Z14" s="187">
        <f>[2]CZ_decarbplus_opex!X14</f>
        <v>8.1000000000000004E-6</v>
      </c>
      <c r="AA14" s="187">
        <f>[2]CZ_decarbplus_opex!Y14</f>
        <v>5.7000000000000003E-5</v>
      </c>
      <c r="AB14" s="188">
        <f>[3]CZ_decarb_opex!B14</f>
        <v>4.9308516102304498E-5</v>
      </c>
      <c r="AC14" s="188">
        <f>[3]CZ_decarb_opex!C14</f>
        <v>6.8756552819594603E-5</v>
      </c>
      <c r="AD14" s="188">
        <f>[3]CZ_decarb_opex!D14</f>
        <v>2.17060825538901E-5</v>
      </c>
      <c r="AE14" s="188">
        <f>[2]CZ_decarbplus_opex!Z14</f>
        <v>1.6099999999999998E-5</v>
      </c>
      <c r="AF14" s="188">
        <f>[2]CZ_decarbplus_opex!AA14</f>
        <v>3.0199999999999999E-5</v>
      </c>
      <c r="AG14" s="188">
        <f>[2]CZ_decarbplus_opex!AB14</f>
        <v>2.16E-5</v>
      </c>
      <c r="AH14" s="188">
        <f>[2]CZ_decarbplus_opex!AC14</f>
        <v>1.17E-5</v>
      </c>
      <c r="AI14" s="188">
        <f>[2]CZ_decarbplus_opex!AD14</f>
        <v>2.4000000000000001E-5</v>
      </c>
      <c r="AJ14" s="188">
        <f>[2]CZ_decarbplus_opex!AE14</f>
        <v>1.43E-5</v>
      </c>
      <c r="AK14" s="188">
        <f>[2]CZ_decarbplus_opex!AF14</f>
        <v>3.0499999999999999E-5</v>
      </c>
      <c r="AL14" s="188">
        <f>[3]CZ_decarb_opex!E14</f>
        <v>1.52380921851642E-5</v>
      </c>
      <c r="AM14" s="188">
        <f>[3]CZ_decarb_opex!F14</f>
        <v>2.48794865472445E-5</v>
      </c>
      <c r="AN14" s="188">
        <f>[2]CZ_decarbplus_opex!AG14</f>
        <v>1.7099999999999999E-5</v>
      </c>
      <c r="AO14" s="188">
        <f>[3]CZ_decarb_opex!G14</f>
        <v>1.51973948154517E-5</v>
      </c>
      <c r="AP14" s="188">
        <f>[3]CZ_decarb_opex!H14</f>
        <v>2.2665363203160399E-5</v>
      </c>
      <c r="AQ14" s="188">
        <f>[2]CZ_decarbplus_opex!AH14</f>
        <v>2.9899999999999998E-5</v>
      </c>
      <c r="AR14" s="188">
        <f>[2]CZ_decarbplus_opex!AI14</f>
        <v>0</v>
      </c>
      <c r="AS14" s="188">
        <f>[2]CZ_decarbplus_opex!AJ14</f>
        <v>2.3600000000000001E-5</v>
      </c>
      <c r="AT14" s="188">
        <f>[2]CZ_decarbplus_opex!AK14</f>
        <v>1.98E-5</v>
      </c>
      <c r="AU14" s="188">
        <f>[2]CZ_decarbplus_opex!AL14</f>
        <v>1.1600000000000001E-5</v>
      </c>
      <c r="AV14" s="188">
        <f>[2]CZ_decarbplus_opex!AM14</f>
        <v>1.11E-5</v>
      </c>
      <c r="AW14" s="188">
        <f>[2]CZ_decarbplus_opex!AN14</f>
        <v>1.8099999999999999E-5</v>
      </c>
      <c r="AX14" s="188">
        <f>[2]CZ_decarbplus_opex!AO14</f>
        <v>0</v>
      </c>
      <c r="AY14" s="188">
        <f>[2]CZ_decarbplus_opex!AP14</f>
        <v>5.9599999999999999E-5</v>
      </c>
      <c r="AZ14" s="188">
        <f>[2]CZ_decarbplus_opex!AQ14</f>
        <v>0</v>
      </c>
      <c r="BA14" s="188">
        <f>[2]CZ_decarbplus_opex!AR14</f>
        <v>1.8600000000000001E-5</v>
      </c>
      <c r="BB14" s="188">
        <f>[2]CZ_decarbplus_opex!AS14</f>
        <v>1.47E-5</v>
      </c>
      <c r="BC14" s="188">
        <f>[2]CZ_decarbplus_opex!AT14</f>
        <v>1.5699999999999999E-5</v>
      </c>
      <c r="BD14" s="188">
        <f>[2]CZ_decarbplus_opex!AU14</f>
        <v>1.1600000000000001E-5</v>
      </c>
      <c r="BE14" s="188">
        <f>[2]CZ_decarbplus_opex!AV14</f>
        <v>9.1900000000000001E-6</v>
      </c>
      <c r="BF14" s="188">
        <f>[2]CZ_decarbplus_opex!AW14</f>
        <v>1.24E-5</v>
      </c>
      <c r="BG14" s="188">
        <f>[2]CZ_decarbplus_opex!AX14</f>
        <v>2.37E-5</v>
      </c>
      <c r="BH14" s="188">
        <f>[3]CZ_decarb_opex!I14</f>
        <v>2.02263696121965E-5</v>
      </c>
      <c r="BI14" s="188">
        <f>[2]CZ_decarbplus_opex!AY14</f>
        <v>1.03E-5</v>
      </c>
      <c r="BJ14" s="188">
        <f>[2]CZ_decarbplus_opex!AZ14</f>
        <v>1.0499999999999999E-5</v>
      </c>
      <c r="BK14" s="188">
        <f>[2]CZ_decarbplus_opex!BA14</f>
        <v>2.5000000000000001E-5</v>
      </c>
      <c r="BL14" s="188">
        <f>[2]CZ_decarbplus_opex!BB14</f>
        <v>0</v>
      </c>
      <c r="BM14" s="188">
        <f>[3]CZ_decarb_opex!J14</f>
        <v>9.48582179931853E-6</v>
      </c>
      <c r="BN14" s="188">
        <f>[3]CZ_decarb_opex!K14</f>
        <v>2.3921215976045699E-5</v>
      </c>
      <c r="BO14" s="188">
        <f>[3]CZ_decarb_opex!L14</f>
        <v>3.3633318161821098E-6</v>
      </c>
      <c r="BP14" s="188">
        <f>[3]CZ_decarb_opex!M14</f>
        <v>1.14510312256993E-5</v>
      </c>
      <c r="BQ14" s="188">
        <f>[3]CZ_decarb_opex!N14</f>
        <v>1.7338088346896499E-5</v>
      </c>
      <c r="BR14" s="188">
        <f>[3]CZ_decarb_opex!O14</f>
        <v>1.3561729073329599E-5</v>
      </c>
      <c r="BS14" s="188">
        <f>[3]CZ_decarb_opex!P14</f>
        <v>6.5957562521505104E-5</v>
      </c>
      <c r="BT14" s="188">
        <f>[3]CZ_decarb_opex!Q14</f>
        <v>4.09161192952233E-6</v>
      </c>
      <c r="BU14" s="188">
        <f>[3]CZ_decarb_opex!R14</f>
        <v>7.0749000051864003E-6</v>
      </c>
      <c r="BV14" s="188">
        <f>[3]CZ_decarb_opex!S14</f>
        <v>7.0749000051864096E-6</v>
      </c>
      <c r="BW14" s="188">
        <f>[3]CZ_decarb_opex!T14</f>
        <v>6.6493854841455597E-6</v>
      </c>
      <c r="BX14" s="188">
        <f>[3]CZ_decarb_opex!U14</f>
        <v>1.89599648389596E-7</v>
      </c>
      <c r="BY14" s="188">
        <f>[3]CZ_decarb_opex!V14</f>
        <v>8.7213870526461499E-7</v>
      </c>
      <c r="BZ14" s="188">
        <f>[2]CZ_decarbplus_opex!BC14</f>
        <v>1.26E-5</v>
      </c>
      <c r="CA14" s="188">
        <f>[2]CZ_decarbplus_opex!BD14</f>
        <v>6.1299999999999998E-6</v>
      </c>
      <c r="CB14" s="188">
        <f>[2]CZ_decarbplus_opex!BE14</f>
        <v>4.8400000000000002E-6</v>
      </c>
      <c r="CC14" s="188">
        <f>[2]CZ_decarbplus_opex!BF14</f>
        <v>3.3500000000000001E-6</v>
      </c>
      <c r="CD14" s="188">
        <f>[2]CZ_decarbplus_opex!BG14</f>
        <v>1.2799999999999999E-5</v>
      </c>
      <c r="CE14" s="188">
        <f>[2]CZ_decarbplus_opex!BH14</f>
        <v>1.26E-5</v>
      </c>
      <c r="CF14" s="188">
        <f>[2]CZ_decarbplus_opex!BI14</f>
        <v>2.0099999999999998E-6</v>
      </c>
      <c r="CG14" s="188">
        <f>[2]CZ_decarbplus_opex!BJ14</f>
        <v>6.1800000000000001E-6</v>
      </c>
    </row>
    <row r="15" spans="1:85" x14ac:dyDescent="0.25">
      <c r="A15" s="5" t="s">
        <v>49</v>
      </c>
      <c r="B15" s="2" t="s">
        <v>48</v>
      </c>
      <c r="C15" s="1" t="s">
        <v>325</v>
      </c>
      <c r="D15" s="187">
        <f>[2]CZ_decarbplus_opex!B15</f>
        <v>1.9603060000000002E-3</v>
      </c>
      <c r="E15" s="187">
        <f>[2]CZ_decarbplus_opex!C15</f>
        <v>1.36E-5</v>
      </c>
      <c r="F15" s="187">
        <f>[2]CZ_decarbplus_opex!D15</f>
        <v>2.9099999999999999E-5</v>
      </c>
      <c r="G15" s="187">
        <f>[2]CZ_decarbplus_opex!E15</f>
        <v>7.6639120000000002E-3</v>
      </c>
      <c r="H15" s="187">
        <f>[2]CZ_decarbplus_opex!F15</f>
        <v>9.850000000000001E-7</v>
      </c>
      <c r="I15" s="187">
        <f>[2]CZ_decarbplus_opex!G15</f>
        <v>0.33535817200000001</v>
      </c>
      <c r="J15" s="187">
        <f>[2]CZ_decarbplus_opex!H15</f>
        <v>1.8899999999999999E-5</v>
      </c>
      <c r="K15" s="187">
        <f>[2]CZ_decarbplus_opex!I15</f>
        <v>1.3799999999999999E-6</v>
      </c>
      <c r="L15" s="187">
        <f>[2]CZ_decarbplus_opex!J15</f>
        <v>3.045376E-2</v>
      </c>
      <c r="M15" s="187">
        <f>[2]CZ_decarbplus_opex!K15</f>
        <v>8.9630049999999996E-3</v>
      </c>
      <c r="N15" s="187">
        <f>[2]CZ_decarbplus_opex!L15</f>
        <v>3.3670537E-2</v>
      </c>
      <c r="O15" s="187">
        <f>[2]CZ_decarbplus_opex!M15</f>
        <v>5.3335199999999996E-4</v>
      </c>
      <c r="P15" s="187">
        <f>[2]CZ_decarbplus_opex!N15</f>
        <v>8.92E-5</v>
      </c>
      <c r="Q15" s="187">
        <f>[2]CZ_decarbplus_opex!O15</f>
        <v>2.0440899999999999E-4</v>
      </c>
      <c r="R15" s="187">
        <f>[2]CZ_decarbplus_opex!P15</f>
        <v>8.6899999999999998E-5</v>
      </c>
      <c r="S15" s="187">
        <f>[2]CZ_decarbplus_opex!Q15</f>
        <v>1.15E-5</v>
      </c>
      <c r="T15" s="187">
        <f>[2]CZ_decarbplus_opex!R15</f>
        <v>6.5599999999999999E-6</v>
      </c>
      <c r="U15" s="187">
        <f>[2]CZ_decarbplus_opex!S15</f>
        <v>9.6800000000000005E-6</v>
      </c>
      <c r="V15" s="187">
        <f>[2]CZ_decarbplus_opex!T15</f>
        <v>1.3200000000000001E-5</v>
      </c>
      <c r="W15" s="187">
        <f>[2]CZ_decarbplus_opex!U15</f>
        <v>4.6E-6</v>
      </c>
      <c r="X15" s="187">
        <f>[2]CZ_decarbplus_opex!V15</f>
        <v>9.3100000000000006E-6</v>
      </c>
      <c r="Y15" s="187">
        <f>[2]CZ_decarbplus_opex!W15</f>
        <v>1.9700000000000002E-6</v>
      </c>
      <c r="Z15" s="187">
        <f>[2]CZ_decarbplus_opex!X15</f>
        <v>1.014966E-3</v>
      </c>
      <c r="AA15" s="187">
        <f>[2]CZ_decarbplus_opex!Y15</f>
        <v>6.3500000000000002E-6</v>
      </c>
      <c r="AB15" s="188">
        <f>[3]CZ_decarb_opex!B15</f>
        <v>1.07657519302187E-4</v>
      </c>
      <c r="AC15" s="188">
        <f>[3]CZ_decarb_opex!C15</f>
        <v>5.8585800164570801E-5</v>
      </c>
      <c r="AD15" s="188">
        <f>[3]CZ_decarb_opex!D15</f>
        <v>4.9656906127345398E-5</v>
      </c>
      <c r="AE15" s="188">
        <f>[2]CZ_decarbplus_opex!Z15</f>
        <v>5.0899999999999997E-5</v>
      </c>
      <c r="AF15" s="188">
        <f>[2]CZ_decarbplus_opex!AA15</f>
        <v>3.2299999999999999E-5</v>
      </c>
      <c r="AG15" s="188">
        <f>[2]CZ_decarbplus_opex!AB15</f>
        <v>6.1299999999999998E-6</v>
      </c>
      <c r="AH15" s="188">
        <f>[2]CZ_decarbplus_opex!AC15</f>
        <v>2.2799999999999999E-5</v>
      </c>
      <c r="AI15" s="188">
        <f>[2]CZ_decarbplus_opex!AD15</f>
        <v>4.8199999999999996E-6</v>
      </c>
      <c r="AJ15" s="188">
        <f>[2]CZ_decarbplus_opex!AE15</f>
        <v>7.9899999999999997E-6</v>
      </c>
      <c r="AK15" s="188">
        <f>[2]CZ_decarbplus_opex!AF15</f>
        <v>9.0699999999999996E-6</v>
      </c>
      <c r="AL15" s="188">
        <f>[3]CZ_decarb_opex!E15</f>
        <v>5.6594203690750201E-6</v>
      </c>
      <c r="AM15" s="188">
        <f>[3]CZ_decarb_opex!F15</f>
        <v>4.34858867431015E-6</v>
      </c>
      <c r="AN15" s="188">
        <f>[2]CZ_decarbplus_opex!AG15</f>
        <v>8.8000000000000004E-6</v>
      </c>
      <c r="AO15" s="188">
        <f>[3]CZ_decarb_opex!G15</f>
        <v>2.9500354567151198E-6</v>
      </c>
      <c r="AP15" s="188">
        <f>[3]CZ_decarb_opex!H15</f>
        <v>4.3238104465157202E-6</v>
      </c>
      <c r="AQ15" s="188">
        <f>[2]CZ_decarbplus_opex!AH15</f>
        <v>5.4399999999999996E-6</v>
      </c>
      <c r="AR15" s="188">
        <f>[2]CZ_decarbplus_opex!AI15</f>
        <v>0</v>
      </c>
      <c r="AS15" s="188">
        <f>[2]CZ_decarbplus_opex!AJ15</f>
        <v>5.5799999999999999E-6</v>
      </c>
      <c r="AT15" s="188">
        <f>[2]CZ_decarbplus_opex!AK15</f>
        <v>4.3000000000000003E-6</v>
      </c>
      <c r="AU15" s="188">
        <f>[2]CZ_decarbplus_opex!AL15</f>
        <v>4.4100000000000001E-6</v>
      </c>
      <c r="AV15" s="188">
        <f>[2]CZ_decarbplus_opex!AM15</f>
        <v>1.1200000000000001E-6</v>
      </c>
      <c r="AW15" s="188">
        <f>[2]CZ_decarbplus_opex!AN15</f>
        <v>3.7500000000000001E-6</v>
      </c>
      <c r="AX15" s="188">
        <f>[2]CZ_decarbplus_opex!AO15</f>
        <v>0</v>
      </c>
      <c r="AY15" s="188">
        <f>[2]CZ_decarbplus_opex!AP15</f>
        <v>3.9299999999999996E-6</v>
      </c>
      <c r="AZ15" s="188">
        <f>[2]CZ_decarbplus_opex!AQ15</f>
        <v>0</v>
      </c>
      <c r="BA15" s="188">
        <f>[2]CZ_decarbplus_opex!AR15</f>
        <v>3.36E-6</v>
      </c>
      <c r="BB15" s="188">
        <f>[2]CZ_decarbplus_opex!AS15</f>
        <v>4.9699999999999998E-6</v>
      </c>
      <c r="BC15" s="188">
        <f>[2]CZ_decarbplus_opex!AT15</f>
        <v>4.42E-6</v>
      </c>
      <c r="BD15" s="188">
        <f>[2]CZ_decarbplus_opex!AU15</f>
        <v>3.49E-6</v>
      </c>
      <c r="BE15" s="188">
        <f>[2]CZ_decarbplus_opex!AV15</f>
        <v>7.8800000000000008E-6</v>
      </c>
      <c r="BF15" s="188">
        <f>[2]CZ_decarbplus_opex!AW15</f>
        <v>2.51E-5</v>
      </c>
      <c r="BG15" s="188">
        <f>[2]CZ_decarbplus_opex!AX15</f>
        <v>1.6200000000000001E-5</v>
      </c>
      <c r="BH15" s="188">
        <f>[3]CZ_decarb_opex!I15</f>
        <v>3.0340668660825402E-6</v>
      </c>
      <c r="BI15" s="188">
        <f>[2]CZ_decarbplus_opex!AY15</f>
        <v>3.8399999999999997E-6</v>
      </c>
      <c r="BJ15" s="188">
        <f>[2]CZ_decarbplus_opex!AZ15</f>
        <v>3.1381399999999999E-4</v>
      </c>
      <c r="BK15" s="188">
        <f>[2]CZ_decarbplus_opex!BA15</f>
        <v>1.09412E-4</v>
      </c>
      <c r="BL15" s="188">
        <f>[2]CZ_decarbplus_opex!BB15</f>
        <v>0</v>
      </c>
      <c r="BM15" s="188">
        <f>[3]CZ_decarb_opex!J15</f>
        <v>4.67258516452962E-6</v>
      </c>
      <c r="BN15" s="188">
        <f>[3]CZ_decarb_opex!K15</f>
        <v>1.7232094584709599E-5</v>
      </c>
      <c r="BO15" s="188">
        <f>[3]CZ_decarb_opex!L15</f>
        <v>2.4273660630615599E-6</v>
      </c>
      <c r="BP15" s="188">
        <f>[3]CZ_decarb_opex!M15</f>
        <v>1.41749446190871E-5</v>
      </c>
      <c r="BQ15" s="188">
        <f>[3]CZ_decarb_opex!N15</f>
        <v>5.59192666834081E-6</v>
      </c>
      <c r="BR15" s="188">
        <f>[3]CZ_decarb_opex!O15</f>
        <v>2.2172558711310999E-7</v>
      </c>
      <c r="BS15" s="188">
        <f>[3]CZ_decarb_opex!P15</f>
        <v>1.1588758844039099E-5</v>
      </c>
      <c r="BT15" s="188">
        <f>[3]CZ_decarb_opex!Q15</f>
        <v>7.6399962066904095E-7</v>
      </c>
      <c r="BU15" s="188">
        <f>[3]CZ_decarb_opex!R15</f>
        <v>1.9560697756414E-6</v>
      </c>
      <c r="BV15" s="188">
        <f>[3]CZ_decarb_opex!S15</f>
        <v>1.9560697756414E-6</v>
      </c>
      <c r="BW15" s="188">
        <f>[3]CZ_decarb_opex!T15</f>
        <v>1.02981651211895E-5</v>
      </c>
      <c r="BX15" s="188">
        <f>[3]CZ_decarb_opex!U15</f>
        <v>1.0202442963802199E-6</v>
      </c>
      <c r="BY15" s="188">
        <f>[3]CZ_decarb_opex!V15</f>
        <v>4.6902846262415303E-6</v>
      </c>
      <c r="BZ15" s="188">
        <f>[2]CZ_decarbplus_opex!BC15</f>
        <v>9.1400000000000006E-6</v>
      </c>
      <c r="CA15" s="188">
        <f>[2]CZ_decarbplus_opex!BD15</f>
        <v>3.6200000000000001E-6</v>
      </c>
      <c r="CB15" s="188">
        <f>[2]CZ_decarbplus_opex!BE15</f>
        <v>2.9399999999999998E-6</v>
      </c>
      <c r="CC15" s="188">
        <f>[2]CZ_decarbplus_opex!BF15</f>
        <v>2.4499999999999998E-6</v>
      </c>
      <c r="CD15" s="188">
        <f>[2]CZ_decarbplus_opex!BG15</f>
        <v>6.72E-6</v>
      </c>
      <c r="CE15" s="188">
        <f>[2]CZ_decarbplus_opex!BH15</f>
        <v>4.8900000000000003E-5</v>
      </c>
      <c r="CF15" s="188">
        <f>[2]CZ_decarbplus_opex!BI15</f>
        <v>3.1499999999999999E-6</v>
      </c>
      <c r="CG15" s="188">
        <f>[2]CZ_decarbplus_opex!BJ15</f>
        <v>8.2099999999999993E-6</v>
      </c>
    </row>
    <row r="16" spans="1:85" x14ac:dyDescent="0.25">
      <c r="A16" s="5" t="s">
        <v>51</v>
      </c>
      <c r="B16" s="2" t="s">
        <v>50</v>
      </c>
      <c r="C16" s="1" t="s">
        <v>325</v>
      </c>
      <c r="D16" s="187">
        <f>[2]CZ_decarbplus_opex!B16</f>
        <v>5.8699999999999995E-7</v>
      </c>
      <c r="E16" s="187">
        <f>[2]CZ_decarbplus_opex!C16</f>
        <v>6.3799999999999997E-7</v>
      </c>
      <c r="F16" s="187">
        <f>[2]CZ_decarbplus_opex!D16</f>
        <v>9.1999999999999998E-7</v>
      </c>
      <c r="G16" s="187">
        <f>[2]CZ_decarbplus_opex!E16</f>
        <v>1.04E-7</v>
      </c>
      <c r="H16" s="187">
        <f>[2]CZ_decarbplus_opex!F16</f>
        <v>6.73E-8</v>
      </c>
      <c r="I16" s="187">
        <f>[2]CZ_decarbplus_opex!G16</f>
        <v>5.8100000000000003E-6</v>
      </c>
      <c r="J16" s="187">
        <f>[2]CZ_decarbplus_opex!H16</f>
        <v>1.15E-6</v>
      </c>
      <c r="K16" s="187">
        <f>[2]CZ_decarbplus_opex!I16</f>
        <v>7.4200000000000003E-8</v>
      </c>
      <c r="L16" s="187">
        <f>[2]CZ_decarbplus_opex!J16</f>
        <v>6.3099999999999997E-6</v>
      </c>
      <c r="M16" s="187">
        <f>[2]CZ_decarbplus_opex!K16</f>
        <v>1.17E-5</v>
      </c>
      <c r="N16" s="187">
        <f>[2]CZ_decarbplus_opex!L16</f>
        <v>1.9020714000000001E-2</v>
      </c>
      <c r="O16" s="187">
        <f>[2]CZ_decarbplus_opex!M16</f>
        <v>1.4500000000000001E-6</v>
      </c>
      <c r="P16" s="187">
        <f>[2]CZ_decarbplus_opex!N16</f>
        <v>2.0699999999999998E-5</v>
      </c>
      <c r="Q16" s="187">
        <f>[2]CZ_decarbplus_opex!O16</f>
        <v>6.0800000000000002E-8</v>
      </c>
      <c r="R16" s="187">
        <f>[2]CZ_decarbplus_opex!P16</f>
        <v>7.8600000000000002E-8</v>
      </c>
      <c r="S16" s="187">
        <f>[2]CZ_decarbplus_opex!Q16</f>
        <v>1.0699999999999999E-6</v>
      </c>
      <c r="T16" s="187">
        <f>[2]CZ_decarbplus_opex!R16</f>
        <v>1.6899999999999999E-7</v>
      </c>
      <c r="U16" s="187">
        <f>[2]CZ_decarbplus_opex!S16</f>
        <v>8.4900000000000005E-7</v>
      </c>
      <c r="V16" s="187">
        <f>[2]CZ_decarbplus_opex!T16</f>
        <v>6.3499999999999996E-7</v>
      </c>
      <c r="W16" s="187">
        <f>[2]CZ_decarbplus_opex!U16</f>
        <v>2.4999999999999999E-7</v>
      </c>
      <c r="X16" s="187">
        <f>[2]CZ_decarbplus_opex!V16</f>
        <v>1.54E-7</v>
      </c>
      <c r="Y16" s="187">
        <f>[2]CZ_decarbplus_opex!W16</f>
        <v>6.7099999999999999E-8</v>
      </c>
      <c r="Z16" s="187">
        <f>[2]CZ_decarbplus_opex!X16</f>
        <v>1.9599999999999999E-6</v>
      </c>
      <c r="AA16" s="187">
        <f>[2]CZ_decarbplus_opex!Y16</f>
        <v>2.96E-7</v>
      </c>
      <c r="AB16" s="188">
        <f>[3]CZ_decarb_opex!B16</f>
        <v>8.9654649341802794E-3</v>
      </c>
      <c r="AC16" s="188">
        <f>[3]CZ_decarb_opex!C16</f>
        <v>3.71038346291847E-7</v>
      </c>
      <c r="AD16" s="188">
        <f>[3]CZ_decarb_opex!D16</f>
        <v>1.81683672834203E-3</v>
      </c>
      <c r="AE16" s="188">
        <f>[2]CZ_decarbplus_opex!Z16</f>
        <v>2.0014350000000002E-3</v>
      </c>
      <c r="AF16" s="188">
        <f>[2]CZ_decarbplus_opex!AA16</f>
        <v>8.9146099999999997E-4</v>
      </c>
      <c r="AG16" s="188">
        <f>[2]CZ_decarbplus_opex!AB16</f>
        <v>1.6500000000000001E-7</v>
      </c>
      <c r="AH16" s="188">
        <f>[2]CZ_decarbplus_opex!AC16</f>
        <v>3.4100000000000001E-8</v>
      </c>
      <c r="AI16" s="188">
        <f>[2]CZ_decarbplus_opex!AD16</f>
        <v>7.3900000000000007E-8</v>
      </c>
      <c r="AJ16" s="188">
        <f>[2]CZ_decarbplus_opex!AE16</f>
        <v>6.6899999999999997E-8</v>
      </c>
      <c r="AK16" s="188">
        <f>[2]CZ_decarbplus_opex!AF16</f>
        <v>8.9000000000000003E-8</v>
      </c>
      <c r="AL16" s="188">
        <f>[3]CZ_decarb_opex!E16</f>
        <v>7.5242867691451605E-8</v>
      </c>
      <c r="AM16" s="188">
        <f>[3]CZ_decarb_opex!F16</f>
        <v>8.3601813747779195E-8</v>
      </c>
      <c r="AN16" s="188">
        <f>[2]CZ_decarbplus_opex!AG16</f>
        <v>1.03E-7</v>
      </c>
      <c r="AO16" s="188">
        <f>[3]CZ_decarb_opex!G16</f>
        <v>4.4885538010246002E-8</v>
      </c>
      <c r="AP16" s="188">
        <f>[3]CZ_decarb_opex!H16</f>
        <v>5.4115545258125003E-8</v>
      </c>
      <c r="AQ16" s="188">
        <f>[2]CZ_decarbplus_opex!AH16</f>
        <v>7.24E-8</v>
      </c>
      <c r="AR16" s="188">
        <f>[2]CZ_decarbplus_opex!AI16</f>
        <v>0</v>
      </c>
      <c r="AS16" s="188">
        <f>[2]CZ_decarbplus_opex!AJ16</f>
        <v>8.5500000000000005E-8</v>
      </c>
      <c r="AT16" s="188">
        <f>[2]CZ_decarbplus_opex!AK16</f>
        <v>7.2100000000000004E-8</v>
      </c>
      <c r="AU16" s="188">
        <f>[2]CZ_decarbplus_opex!AL16</f>
        <v>4.1799999999999997E-8</v>
      </c>
      <c r="AV16" s="188">
        <f>[2]CZ_decarbplus_opex!AM16</f>
        <v>3.7300000000000003E-8</v>
      </c>
      <c r="AW16" s="188">
        <f>[2]CZ_decarbplus_opex!AN16</f>
        <v>4.6900000000000003E-8</v>
      </c>
      <c r="AX16" s="188">
        <f>[2]CZ_decarbplus_opex!AO16</f>
        <v>0</v>
      </c>
      <c r="AY16" s="188">
        <f>[2]CZ_decarbplus_opex!AP16</f>
        <v>1.8199999999999999E-7</v>
      </c>
      <c r="AZ16" s="188">
        <f>[2]CZ_decarbplus_opex!AQ16</f>
        <v>0</v>
      </c>
      <c r="BA16" s="188">
        <f>[2]CZ_decarbplus_opex!AR16</f>
        <v>3.6300000000000001E-8</v>
      </c>
      <c r="BB16" s="188">
        <f>[2]CZ_decarbplus_opex!AS16</f>
        <v>5.4499999999999998E-8</v>
      </c>
      <c r="BC16" s="188">
        <f>[2]CZ_decarbplus_opex!AT16</f>
        <v>2.23E-7</v>
      </c>
      <c r="BD16" s="188">
        <f>[2]CZ_decarbplus_opex!AU16</f>
        <v>2.9499999999999998E-7</v>
      </c>
      <c r="BE16" s="188">
        <f>[2]CZ_decarbplus_opex!AV16</f>
        <v>6.68222E-4</v>
      </c>
      <c r="BF16" s="188">
        <f>[2]CZ_decarbplus_opex!AW16</f>
        <v>6.5999999999999995E-8</v>
      </c>
      <c r="BG16" s="188">
        <f>[2]CZ_decarbplus_opex!AX16</f>
        <v>1.7362689999999999E-3</v>
      </c>
      <c r="BH16" s="188">
        <f>[3]CZ_decarb_opex!I16</f>
        <v>2.2320383265746601E-7</v>
      </c>
      <c r="BI16" s="188">
        <f>[2]CZ_decarbplus_opex!AY16</f>
        <v>5.02E-8</v>
      </c>
      <c r="BJ16" s="188">
        <f>[2]CZ_decarbplus_opex!AZ16</f>
        <v>1.5200000000000001E-7</v>
      </c>
      <c r="BK16" s="188">
        <f>[2]CZ_decarbplus_opex!BA16</f>
        <v>1.5077165E-2</v>
      </c>
      <c r="BL16" s="188">
        <f>[2]CZ_decarbplus_opex!BB16</f>
        <v>0</v>
      </c>
      <c r="BM16" s="188">
        <f>[3]CZ_decarb_opex!J16</f>
        <v>2.6485428201044202E-7</v>
      </c>
      <c r="BN16" s="188">
        <f>[3]CZ_decarb_opex!K16</f>
        <v>3.0915730962423102E-7</v>
      </c>
      <c r="BO16" s="188">
        <f>[3]CZ_decarb_opex!L16</f>
        <v>1.0718678750979199E-7</v>
      </c>
      <c r="BP16" s="188">
        <f>[3]CZ_decarb_opex!M16</f>
        <v>1.8501068362486399E-7</v>
      </c>
      <c r="BQ16" s="188">
        <f>[3]CZ_decarb_opex!N16</f>
        <v>2.0637923133594001E-7</v>
      </c>
      <c r="BR16" s="188">
        <f>[3]CZ_decarb_opex!O16</f>
        <v>2.4577290246118101E-8</v>
      </c>
      <c r="BS16" s="188">
        <f>[3]CZ_decarb_opex!P16</f>
        <v>4.6585109773163002E-7</v>
      </c>
      <c r="BT16" s="188">
        <f>[3]CZ_decarb_opex!Q16</f>
        <v>1.78244045380164E-7</v>
      </c>
      <c r="BU16" s="188">
        <f>[3]CZ_decarb_opex!R16</f>
        <v>1.71043557286977E-7</v>
      </c>
      <c r="BV16" s="188">
        <f>[3]CZ_decarb_opex!S16</f>
        <v>1.7104355728697801E-7</v>
      </c>
      <c r="BW16" s="188">
        <f>[3]CZ_decarb_opex!T16</f>
        <v>1.2128038684720101E-6</v>
      </c>
      <c r="BX16" s="188">
        <f>[3]CZ_decarb_opex!U16</f>
        <v>4.8952177857585999E-8</v>
      </c>
      <c r="BY16" s="188">
        <f>[3]CZ_decarb_opex!V16</f>
        <v>2.7977296955742199E-8</v>
      </c>
      <c r="BZ16" s="188">
        <f>[2]CZ_decarbplus_opex!BC16</f>
        <v>2.2100000000000001E-7</v>
      </c>
      <c r="CA16" s="188">
        <f>[2]CZ_decarbplus_opex!BD16</f>
        <v>1.85E-7</v>
      </c>
      <c r="CB16" s="188">
        <f>[2]CZ_decarbplus_opex!BE16</f>
        <v>1.9500000000000001E-7</v>
      </c>
      <c r="CC16" s="188">
        <f>[2]CZ_decarbplus_opex!BF16</f>
        <v>1.2499999999999999E-7</v>
      </c>
      <c r="CD16" s="188">
        <f>[2]CZ_decarbplus_opex!BG16</f>
        <v>2.03E-7</v>
      </c>
      <c r="CE16" s="188">
        <f>[2]CZ_decarbplus_opex!BH16</f>
        <v>6.2873479999999999E-3</v>
      </c>
      <c r="CF16" s="188">
        <f>[2]CZ_decarbplus_opex!BI16</f>
        <v>3.39E-7</v>
      </c>
      <c r="CG16" s="188">
        <f>[2]CZ_decarbplus_opex!BJ16</f>
        <v>1.14E-7</v>
      </c>
    </row>
    <row r="17" spans="1:85" x14ac:dyDescent="0.25">
      <c r="A17" s="5" t="s">
        <v>53</v>
      </c>
      <c r="B17" s="2" t="s">
        <v>52</v>
      </c>
      <c r="C17" s="1" t="s">
        <v>325</v>
      </c>
      <c r="D17" s="187">
        <f>[2]CZ_decarbplus_opex!B17</f>
        <v>0</v>
      </c>
      <c r="E17" s="187">
        <f>[2]CZ_decarbplus_opex!C17</f>
        <v>0</v>
      </c>
      <c r="F17" s="187">
        <f>[2]CZ_decarbplus_opex!D17</f>
        <v>0</v>
      </c>
      <c r="G17" s="187">
        <f>[2]CZ_decarbplus_opex!E17</f>
        <v>0</v>
      </c>
      <c r="H17" s="187">
        <f>[2]CZ_decarbplus_opex!F17</f>
        <v>0</v>
      </c>
      <c r="I17" s="187">
        <f>[2]CZ_decarbplus_opex!G17</f>
        <v>0</v>
      </c>
      <c r="J17" s="187">
        <f>[2]CZ_decarbplus_opex!H17</f>
        <v>0</v>
      </c>
      <c r="K17" s="187">
        <f>[2]CZ_decarbplus_opex!I17</f>
        <v>0</v>
      </c>
      <c r="L17" s="187">
        <f>[2]CZ_decarbplus_opex!J17</f>
        <v>0</v>
      </c>
      <c r="M17" s="187">
        <f>[2]CZ_decarbplus_opex!K17</f>
        <v>0</v>
      </c>
      <c r="N17" s="187">
        <f>[2]CZ_decarbplus_opex!L17</f>
        <v>0</v>
      </c>
      <c r="O17" s="187">
        <f>[2]CZ_decarbplus_opex!M17</f>
        <v>0</v>
      </c>
      <c r="P17" s="187">
        <f>[2]CZ_decarbplus_opex!N17</f>
        <v>0</v>
      </c>
      <c r="Q17" s="187">
        <f>[2]CZ_decarbplus_opex!O17</f>
        <v>0</v>
      </c>
      <c r="R17" s="187">
        <f>[2]CZ_decarbplus_opex!P17</f>
        <v>0</v>
      </c>
      <c r="S17" s="187">
        <f>[2]CZ_decarbplus_opex!Q17</f>
        <v>0</v>
      </c>
      <c r="T17" s="187">
        <f>[2]CZ_decarbplus_opex!R17</f>
        <v>0</v>
      </c>
      <c r="U17" s="187">
        <f>[2]CZ_decarbplus_opex!S17</f>
        <v>0</v>
      </c>
      <c r="V17" s="187">
        <f>[2]CZ_decarbplus_opex!T17</f>
        <v>0</v>
      </c>
      <c r="W17" s="187">
        <f>[2]CZ_decarbplus_opex!U17</f>
        <v>0</v>
      </c>
      <c r="X17" s="187">
        <f>[2]CZ_decarbplus_opex!V17</f>
        <v>0</v>
      </c>
      <c r="Y17" s="187">
        <f>[2]CZ_decarbplus_opex!W17</f>
        <v>0</v>
      </c>
      <c r="Z17" s="187">
        <f>[2]CZ_decarbplus_opex!X17</f>
        <v>0</v>
      </c>
      <c r="AA17" s="187">
        <f>[2]CZ_decarbplus_opex!Y17</f>
        <v>0</v>
      </c>
      <c r="AB17" s="188">
        <f>[3]CZ_decarb_opex!B17</f>
        <v>0</v>
      </c>
      <c r="AC17" s="188">
        <f>[3]CZ_decarb_opex!C17</f>
        <v>0</v>
      </c>
      <c r="AD17" s="188">
        <f>[3]CZ_decarb_opex!D17</f>
        <v>0</v>
      </c>
      <c r="AE17" s="188">
        <f>[2]CZ_decarbplus_opex!Z17</f>
        <v>0</v>
      </c>
      <c r="AF17" s="188">
        <f>[2]CZ_decarbplus_opex!AA17</f>
        <v>0</v>
      </c>
      <c r="AG17" s="188">
        <f>[2]CZ_decarbplus_opex!AB17</f>
        <v>0</v>
      </c>
      <c r="AH17" s="188">
        <f>[2]CZ_decarbplus_opex!AC17</f>
        <v>0</v>
      </c>
      <c r="AI17" s="188">
        <f>[2]CZ_decarbplus_opex!AD17</f>
        <v>0</v>
      </c>
      <c r="AJ17" s="188">
        <f>[2]CZ_decarbplus_opex!AE17</f>
        <v>0</v>
      </c>
      <c r="AK17" s="188">
        <f>[2]CZ_decarbplus_opex!AF17</f>
        <v>0</v>
      </c>
      <c r="AL17" s="188">
        <f>[3]CZ_decarb_opex!E17</f>
        <v>0</v>
      </c>
      <c r="AM17" s="188">
        <f>[3]CZ_decarb_opex!F17</f>
        <v>0</v>
      </c>
      <c r="AN17" s="188">
        <f>[2]CZ_decarbplus_opex!AG17</f>
        <v>0</v>
      </c>
      <c r="AO17" s="188">
        <f>[3]CZ_decarb_opex!G17</f>
        <v>0</v>
      </c>
      <c r="AP17" s="188">
        <f>[3]CZ_decarb_opex!H17</f>
        <v>0</v>
      </c>
      <c r="AQ17" s="188">
        <f>[2]CZ_decarbplus_opex!AH17</f>
        <v>0</v>
      </c>
      <c r="AR17" s="188">
        <f>[2]CZ_decarbplus_opex!AI17</f>
        <v>0</v>
      </c>
      <c r="AS17" s="188">
        <f>[2]CZ_decarbplus_opex!AJ17</f>
        <v>0</v>
      </c>
      <c r="AT17" s="188">
        <f>[2]CZ_decarbplus_opex!AK17</f>
        <v>0</v>
      </c>
      <c r="AU17" s="188">
        <f>[2]CZ_decarbplus_opex!AL17</f>
        <v>0</v>
      </c>
      <c r="AV17" s="188">
        <f>[2]CZ_decarbplus_opex!AM17</f>
        <v>0</v>
      </c>
      <c r="AW17" s="188">
        <f>[2]CZ_decarbplus_opex!AN17</f>
        <v>0</v>
      </c>
      <c r="AX17" s="188">
        <f>[2]CZ_decarbplus_opex!AO17</f>
        <v>0</v>
      </c>
      <c r="AY17" s="188">
        <f>[2]CZ_decarbplus_opex!AP17</f>
        <v>0</v>
      </c>
      <c r="AZ17" s="188">
        <f>[2]CZ_decarbplus_opex!AQ17</f>
        <v>0</v>
      </c>
      <c r="BA17" s="188">
        <f>[2]CZ_decarbplus_opex!AR17</f>
        <v>0</v>
      </c>
      <c r="BB17" s="188">
        <f>[2]CZ_decarbplus_opex!AS17</f>
        <v>0</v>
      </c>
      <c r="BC17" s="188">
        <f>[2]CZ_decarbplus_opex!AT17</f>
        <v>0</v>
      </c>
      <c r="BD17" s="188">
        <f>[2]CZ_decarbplus_opex!AU17</f>
        <v>0</v>
      </c>
      <c r="BE17" s="188">
        <f>[2]CZ_decarbplus_opex!AV17</f>
        <v>0</v>
      </c>
      <c r="BF17" s="188">
        <f>[2]CZ_decarbplus_opex!AW17</f>
        <v>0</v>
      </c>
      <c r="BG17" s="188">
        <f>[2]CZ_decarbplus_opex!AX17</f>
        <v>0</v>
      </c>
      <c r="BH17" s="188">
        <f>[3]CZ_decarb_opex!I17</f>
        <v>0</v>
      </c>
      <c r="BI17" s="188">
        <f>[2]CZ_decarbplus_opex!AY17</f>
        <v>0</v>
      </c>
      <c r="BJ17" s="188">
        <f>[2]CZ_decarbplus_opex!AZ17</f>
        <v>0</v>
      </c>
      <c r="BK17" s="188">
        <f>[2]CZ_decarbplus_opex!BA17</f>
        <v>0</v>
      </c>
      <c r="BL17" s="188">
        <f>[2]CZ_decarbplus_opex!BB17</f>
        <v>0</v>
      </c>
      <c r="BM17" s="188">
        <f>[3]CZ_decarb_opex!J17</f>
        <v>0</v>
      </c>
      <c r="BN17" s="188">
        <f>[3]CZ_decarb_opex!K17</f>
        <v>0</v>
      </c>
      <c r="BO17" s="188">
        <f>[3]CZ_decarb_opex!L17</f>
        <v>0</v>
      </c>
      <c r="BP17" s="188">
        <f>[3]CZ_decarb_opex!M17</f>
        <v>0</v>
      </c>
      <c r="BQ17" s="188">
        <f>[3]CZ_decarb_opex!N17</f>
        <v>0</v>
      </c>
      <c r="BR17" s="188">
        <f>[3]CZ_decarb_opex!O17</f>
        <v>0</v>
      </c>
      <c r="BS17" s="188">
        <f>[3]CZ_decarb_opex!P17</f>
        <v>0</v>
      </c>
      <c r="BT17" s="188">
        <f>[3]CZ_decarb_opex!Q17</f>
        <v>0</v>
      </c>
      <c r="BU17" s="188">
        <f>[3]CZ_decarb_opex!R17</f>
        <v>0</v>
      </c>
      <c r="BV17" s="188">
        <f>[3]CZ_decarb_opex!S17</f>
        <v>0</v>
      </c>
      <c r="BW17" s="188">
        <f>[3]CZ_decarb_opex!T17</f>
        <v>0</v>
      </c>
      <c r="BX17" s="188">
        <f>[3]CZ_decarb_opex!U17</f>
        <v>0</v>
      </c>
      <c r="BY17" s="188">
        <f>[3]CZ_decarb_opex!V17</f>
        <v>0</v>
      </c>
      <c r="BZ17" s="188">
        <f>[2]CZ_decarbplus_opex!BC17</f>
        <v>0</v>
      </c>
      <c r="CA17" s="188">
        <f>[2]CZ_decarbplus_opex!BD17</f>
        <v>0</v>
      </c>
      <c r="CB17" s="188">
        <f>[2]CZ_decarbplus_opex!BE17</f>
        <v>0</v>
      </c>
      <c r="CC17" s="188">
        <f>[2]CZ_decarbplus_opex!BF17</f>
        <v>0</v>
      </c>
      <c r="CD17" s="188">
        <f>[2]CZ_decarbplus_opex!BG17</f>
        <v>0</v>
      </c>
      <c r="CE17" s="188">
        <f>[2]CZ_decarbplus_opex!BH17</f>
        <v>0</v>
      </c>
      <c r="CF17" s="188">
        <f>[2]CZ_decarbplus_opex!BI17</f>
        <v>0</v>
      </c>
      <c r="CG17" s="188">
        <f>[2]CZ_decarbplus_opex!BJ17</f>
        <v>0</v>
      </c>
    </row>
    <row r="18" spans="1:85" x14ac:dyDescent="0.25">
      <c r="A18" s="5" t="s">
        <v>55</v>
      </c>
      <c r="B18" s="2" t="s">
        <v>54</v>
      </c>
      <c r="C18" s="1" t="s">
        <v>325</v>
      </c>
      <c r="D18" s="187">
        <f>[2]CZ_decarbplus_opex!B18</f>
        <v>0</v>
      </c>
      <c r="E18" s="187">
        <f>[2]CZ_decarbplus_opex!C18</f>
        <v>0</v>
      </c>
      <c r="F18" s="187">
        <f>[2]CZ_decarbplus_opex!D18</f>
        <v>0</v>
      </c>
      <c r="G18" s="187">
        <f>[2]CZ_decarbplus_opex!E18</f>
        <v>0</v>
      </c>
      <c r="H18" s="187">
        <f>[2]CZ_decarbplus_opex!F18</f>
        <v>0</v>
      </c>
      <c r="I18" s="187">
        <f>[2]CZ_decarbplus_opex!G18</f>
        <v>0</v>
      </c>
      <c r="J18" s="187">
        <f>[2]CZ_decarbplus_opex!H18</f>
        <v>0</v>
      </c>
      <c r="K18" s="187">
        <f>[2]CZ_decarbplus_opex!I18</f>
        <v>0</v>
      </c>
      <c r="L18" s="187">
        <f>[2]CZ_decarbplus_opex!J18</f>
        <v>0</v>
      </c>
      <c r="M18" s="187">
        <f>[2]CZ_decarbplus_opex!K18</f>
        <v>0</v>
      </c>
      <c r="N18" s="187">
        <f>[2]CZ_decarbplus_opex!L18</f>
        <v>0</v>
      </c>
      <c r="O18" s="187">
        <f>[2]CZ_decarbplus_opex!M18</f>
        <v>0</v>
      </c>
      <c r="P18" s="187">
        <f>[2]CZ_decarbplus_opex!N18</f>
        <v>0</v>
      </c>
      <c r="Q18" s="187">
        <f>[2]CZ_decarbplus_opex!O18</f>
        <v>0</v>
      </c>
      <c r="R18" s="187">
        <f>[2]CZ_decarbplus_opex!P18</f>
        <v>0</v>
      </c>
      <c r="S18" s="187">
        <f>[2]CZ_decarbplus_opex!Q18</f>
        <v>0</v>
      </c>
      <c r="T18" s="187">
        <f>[2]CZ_decarbplus_opex!R18</f>
        <v>0</v>
      </c>
      <c r="U18" s="187">
        <f>[2]CZ_decarbplus_opex!S18</f>
        <v>0</v>
      </c>
      <c r="V18" s="187">
        <f>[2]CZ_decarbplus_opex!T18</f>
        <v>0</v>
      </c>
      <c r="W18" s="187">
        <f>[2]CZ_decarbplus_opex!U18</f>
        <v>0</v>
      </c>
      <c r="X18" s="187">
        <f>[2]CZ_decarbplus_opex!V18</f>
        <v>0</v>
      </c>
      <c r="Y18" s="187">
        <f>[2]CZ_decarbplus_opex!W18</f>
        <v>0</v>
      </c>
      <c r="Z18" s="187">
        <f>[2]CZ_decarbplus_opex!X18</f>
        <v>0</v>
      </c>
      <c r="AA18" s="187">
        <f>[2]CZ_decarbplus_opex!Y18</f>
        <v>0</v>
      </c>
      <c r="AB18" s="188">
        <f>[3]CZ_decarb_opex!B18</f>
        <v>0</v>
      </c>
      <c r="AC18" s="188">
        <f>[3]CZ_decarb_opex!C18</f>
        <v>0</v>
      </c>
      <c r="AD18" s="188">
        <f>[3]CZ_decarb_opex!D18</f>
        <v>0</v>
      </c>
      <c r="AE18" s="188">
        <f>[2]CZ_decarbplus_opex!Z18</f>
        <v>0</v>
      </c>
      <c r="AF18" s="188">
        <f>[2]CZ_decarbplus_opex!AA18</f>
        <v>0</v>
      </c>
      <c r="AG18" s="188">
        <f>[2]CZ_decarbplus_opex!AB18</f>
        <v>0</v>
      </c>
      <c r="AH18" s="188">
        <f>[2]CZ_decarbplus_opex!AC18</f>
        <v>0</v>
      </c>
      <c r="AI18" s="188">
        <f>[2]CZ_decarbplus_opex!AD18</f>
        <v>0</v>
      </c>
      <c r="AJ18" s="188">
        <f>[2]CZ_decarbplus_opex!AE18</f>
        <v>0</v>
      </c>
      <c r="AK18" s="188">
        <f>[2]CZ_decarbplus_opex!AF18</f>
        <v>0</v>
      </c>
      <c r="AL18" s="188">
        <f>[3]CZ_decarb_opex!E18</f>
        <v>0</v>
      </c>
      <c r="AM18" s="188">
        <f>[3]CZ_decarb_opex!F18</f>
        <v>0</v>
      </c>
      <c r="AN18" s="188">
        <f>[2]CZ_decarbplus_opex!AG18</f>
        <v>0</v>
      </c>
      <c r="AO18" s="188">
        <f>[3]CZ_decarb_opex!G18</f>
        <v>0</v>
      </c>
      <c r="AP18" s="188">
        <f>[3]CZ_decarb_opex!H18</f>
        <v>0</v>
      </c>
      <c r="AQ18" s="188">
        <f>[2]CZ_decarbplus_opex!AH18</f>
        <v>0</v>
      </c>
      <c r="AR18" s="188">
        <f>[2]CZ_decarbplus_opex!AI18</f>
        <v>0</v>
      </c>
      <c r="AS18" s="188">
        <f>[2]CZ_decarbplus_opex!AJ18</f>
        <v>0</v>
      </c>
      <c r="AT18" s="188">
        <f>[2]CZ_decarbplus_opex!AK18</f>
        <v>0</v>
      </c>
      <c r="AU18" s="188">
        <f>[2]CZ_decarbplus_opex!AL18</f>
        <v>0</v>
      </c>
      <c r="AV18" s="188">
        <f>[2]CZ_decarbplus_opex!AM18</f>
        <v>0</v>
      </c>
      <c r="AW18" s="188">
        <f>[2]CZ_decarbplus_opex!AN18</f>
        <v>0</v>
      </c>
      <c r="AX18" s="188">
        <f>[2]CZ_decarbplus_opex!AO18</f>
        <v>0</v>
      </c>
      <c r="AY18" s="188">
        <f>[2]CZ_decarbplus_opex!AP18</f>
        <v>0</v>
      </c>
      <c r="AZ18" s="188">
        <f>[2]CZ_decarbplus_opex!AQ18</f>
        <v>0</v>
      </c>
      <c r="BA18" s="188">
        <f>[2]CZ_decarbplus_opex!AR18</f>
        <v>0</v>
      </c>
      <c r="BB18" s="188">
        <f>[2]CZ_decarbplus_opex!AS18</f>
        <v>0</v>
      </c>
      <c r="BC18" s="188">
        <f>[2]CZ_decarbplus_opex!AT18</f>
        <v>0</v>
      </c>
      <c r="BD18" s="188">
        <f>[2]CZ_decarbplus_opex!AU18</f>
        <v>0</v>
      </c>
      <c r="BE18" s="188">
        <f>[2]CZ_decarbplus_opex!AV18</f>
        <v>0</v>
      </c>
      <c r="BF18" s="188">
        <f>[2]CZ_decarbplus_opex!AW18</f>
        <v>0</v>
      </c>
      <c r="BG18" s="188">
        <f>[2]CZ_decarbplus_opex!AX18</f>
        <v>0</v>
      </c>
      <c r="BH18" s="188">
        <f>[3]CZ_decarb_opex!I18</f>
        <v>0</v>
      </c>
      <c r="BI18" s="188">
        <f>[2]CZ_decarbplus_opex!AY18</f>
        <v>0</v>
      </c>
      <c r="BJ18" s="188">
        <f>[2]CZ_decarbplus_opex!AZ18</f>
        <v>0</v>
      </c>
      <c r="BK18" s="188">
        <f>[2]CZ_decarbplus_opex!BA18</f>
        <v>0</v>
      </c>
      <c r="BL18" s="188">
        <f>[2]CZ_decarbplus_opex!BB18</f>
        <v>0</v>
      </c>
      <c r="BM18" s="188">
        <f>[3]CZ_decarb_opex!J18</f>
        <v>0</v>
      </c>
      <c r="BN18" s="188">
        <f>[3]CZ_decarb_opex!K18</f>
        <v>0</v>
      </c>
      <c r="BO18" s="188">
        <f>[3]CZ_decarb_opex!L18</f>
        <v>0</v>
      </c>
      <c r="BP18" s="188">
        <f>[3]CZ_decarb_opex!M18</f>
        <v>0</v>
      </c>
      <c r="BQ18" s="188">
        <f>[3]CZ_decarb_opex!N18</f>
        <v>0</v>
      </c>
      <c r="BR18" s="188">
        <f>[3]CZ_decarb_opex!O18</f>
        <v>0</v>
      </c>
      <c r="BS18" s="188">
        <f>[3]CZ_decarb_opex!P18</f>
        <v>0</v>
      </c>
      <c r="BT18" s="188">
        <f>[3]CZ_decarb_opex!Q18</f>
        <v>0</v>
      </c>
      <c r="BU18" s="188">
        <f>[3]CZ_decarb_opex!R18</f>
        <v>0</v>
      </c>
      <c r="BV18" s="188">
        <f>[3]CZ_decarb_opex!S18</f>
        <v>0</v>
      </c>
      <c r="BW18" s="188">
        <f>[3]CZ_decarb_opex!T18</f>
        <v>0</v>
      </c>
      <c r="BX18" s="188">
        <f>[3]CZ_decarb_opex!U18</f>
        <v>0</v>
      </c>
      <c r="BY18" s="188">
        <f>[3]CZ_decarb_opex!V18</f>
        <v>0</v>
      </c>
      <c r="BZ18" s="188">
        <f>[2]CZ_decarbplus_opex!BC18</f>
        <v>0</v>
      </c>
      <c r="CA18" s="188">
        <f>[2]CZ_decarbplus_opex!BD18</f>
        <v>0</v>
      </c>
      <c r="CB18" s="188">
        <f>[2]CZ_decarbplus_opex!BE18</f>
        <v>0</v>
      </c>
      <c r="CC18" s="188">
        <f>[2]CZ_decarbplus_opex!BF18</f>
        <v>0</v>
      </c>
      <c r="CD18" s="188">
        <f>[2]CZ_decarbplus_opex!BG18</f>
        <v>0</v>
      </c>
      <c r="CE18" s="188">
        <f>[2]CZ_decarbplus_opex!BH18</f>
        <v>0</v>
      </c>
      <c r="CF18" s="188">
        <f>[2]CZ_decarbplus_opex!BI18</f>
        <v>0</v>
      </c>
      <c r="CG18" s="188">
        <f>[2]CZ_decarbplus_opex!BJ18</f>
        <v>0</v>
      </c>
    </row>
    <row r="19" spans="1:85" x14ac:dyDescent="0.25">
      <c r="A19" s="5" t="s">
        <v>57</v>
      </c>
      <c r="B19" s="2" t="s">
        <v>56</v>
      </c>
      <c r="C19" s="1" t="s">
        <v>325</v>
      </c>
      <c r="D19" s="187">
        <f>[2]CZ_decarbplus_opex!B19</f>
        <v>4.6561399999999999E-4</v>
      </c>
      <c r="E19" s="187">
        <f>[2]CZ_decarbplus_opex!C19</f>
        <v>2.49025E-4</v>
      </c>
      <c r="F19" s="187">
        <f>[2]CZ_decarbplus_opex!D19</f>
        <v>1.67646E-4</v>
      </c>
      <c r="G19" s="187">
        <f>[2]CZ_decarbplus_opex!E19</f>
        <v>3.7200000000000003E-5</v>
      </c>
      <c r="H19" s="187">
        <f>[2]CZ_decarbplus_opex!F19</f>
        <v>4.5599999999999997E-5</v>
      </c>
      <c r="I19" s="187">
        <f>[2]CZ_decarbplus_opex!G19</f>
        <v>4.71309E-4</v>
      </c>
      <c r="J19" s="187">
        <f>[2]CZ_decarbplus_opex!H19</f>
        <v>3.7603400000000003E-4</v>
      </c>
      <c r="K19" s="187">
        <f>[2]CZ_decarbplus_opex!I19</f>
        <v>1.11092E-4</v>
      </c>
      <c r="L19" s="187">
        <f>[2]CZ_decarbplus_opex!J19</f>
        <v>6.7024770000000001E-3</v>
      </c>
      <c r="M19" s="187">
        <f>[2]CZ_decarbplus_opex!K19</f>
        <v>7.7543070000000002E-3</v>
      </c>
      <c r="N19" s="187">
        <f>[2]CZ_decarbplus_opex!L19</f>
        <v>8.710476E-3</v>
      </c>
      <c r="O19" s="187">
        <f>[2]CZ_decarbplus_opex!M19</f>
        <v>8.6841167999999996E-2</v>
      </c>
      <c r="P19" s="187">
        <f>[2]CZ_decarbplus_opex!N19</f>
        <v>1.9023878000000001E-2</v>
      </c>
      <c r="Q19" s="187">
        <f>[2]CZ_decarbplus_opex!O19</f>
        <v>3.2443800000000003E-4</v>
      </c>
      <c r="R19" s="187">
        <f>[2]CZ_decarbplus_opex!P19</f>
        <v>2.31096E-4</v>
      </c>
      <c r="S19" s="187">
        <f>[2]CZ_decarbplus_opex!Q19</f>
        <v>0.24746127000000001</v>
      </c>
      <c r="T19" s="187">
        <f>[2]CZ_decarbplus_opex!R19</f>
        <v>5.1552849999999999E-3</v>
      </c>
      <c r="U19" s="187">
        <f>[2]CZ_decarbplus_opex!S19</f>
        <v>9.0172163999999999E-2</v>
      </c>
      <c r="V19" s="187">
        <f>[2]CZ_decarbplus_opex!T19</f>
        <v>4.2904199999999998E-4</v>
      </c>
      <c r="W19" s="187">
        <f>[2]CZ_decarbplus_opex!U19</f>
        <v>3.7532677E-2</v>
      </c>
      <c r="X19" s="187">
        <f>[2]CZ_decarbplus_opex!V19</f>
        <v>1.00865E-4</v>
      </c>
      <c r="Y19" s="187">
        <f>[2]CZ_decarbplus_opex!W19</f>
        <v>8.3954199999999998E-4</v>
      </c>
      <c r="Z19" s="187">
        <f>[2]CZ_decarbplus_opex!X19</f>
        <v>3.1935399999999999E-4</v>
      </c>
      <c r="AA19" s="187">
        <f>[2]CZ_decarbplus_opex!Y19</f>
        <v>4.1841900000000001E-4</v>
      </c>
      <c r="AB19" s="188">
        <f>[3]CZ_decarb_opex!B19</f>
        <v>1.7549611960191201E-4</v>
      </c>
      <c r="AC19" s="188">
        <f>[3]CZ_decarb_opex!C19</f>
        <v>1.4250602959395701E-3</v>
      </c>
      <c r="AD19" s="188">
        <f>[3]CZ_decarb_opex!D19</f>
        <v>6.7032224155254402E-4</v>
      </c>
      <c r="AE19" s="188">
        <f>[2]CZ_decarbplus_opex!Z19</f>
        <v>5.9234999999999995E-4</v>
      </c>
      <c r="AF19" s="188">
        <f>[2]CZ_decarbplus_opex!AA19</f>
        <v>8.0176200000000003E-4</v>
      </c>
      <c r="AG19" s="188">
        <f>[2]CZ_decarbplus_opex!AB19</f>
        <v>2.28648E-4</v>
      </c>
      <c r="AH19" s="188">
        <f>[2]CZ_decarbplus_opex!AC19</f>
        <v>2.9703999999999999E-4</v>
      </c>
      <c r="AI19" s="188">
        <f>[2]CZ_decarbplus_opex!AD19</f>
        <v>3.8532099999999999E-4</v>
      </c>
      <c r="AJ19" s="188">
        <f>[2]CZ_decarbplus_opex!AE19</f>
        <v>5.3403100000000002E-4</v>
      </c>
      <c r="AK19" s="188">
        <f>[2]CZ_decarbplus_opex!AF19</f>
        <v>4.4494499999999998E-4</v>
      </c>
      <c r="AL19" s="188">
        <f>[3]CZ_decarb_opex!E19</f>
        <v>4.2813913786746502E-4</v>
      </c>
      <c r="AM19" s="188">
        <f>[3]CZ_decarb_opex!F19</f>
        <v>4.4223446280562499E-4</v>
      </c>
      <c r="AN19" s="188">
        <f>[2]CZ_decarbplus_opex!AG19</f>
        <v>3.1315800000000001E-4</v>
      </c>
      <c r="AO19" s="188">
        <f>[3]CZ_decarb_opex!G19</f>
        <v>6.7085912738136402E-4</v>
      </c>
      <c r="AP19" s="188">
        <f>[3]CZ_decarb_opex!H19</f>
        <v>6.9130115227240504E-4</v>
      </c>
      <c r="AQ19" s="188">
        <f>[2]CZ_decarbplus_opex!AH19</f>
        <v>1.3127289999999999E-3</v>
      </c>
      <c r="AR19" s="188">
        <f>[2]CZ_decarbplus_opex!AI19</f>
        <v>0</v>
      </c>
      <c r="AS19" s="188">
        <f>[2]CZ_decarbplus_opex!AJ19</f>
        <v>7.4404199999999999E-4</v>
      </c>
      <c r="AT19" s="188">
        <f>[2]CZ_decarbplus_opex!AK19</f>
        <v>7.2008800000000002E-4</v>
      </c>
      <c r="AU19" s="188">
        <f>[2]CZ_decarbplus_opex!AL19</f>
        <v>1.69653E-4</v>
      </c>
      <c r="AV19" s="188">
        <f>[2]CZ_decarbplus_opex!AM19</f>
        <v>1.33206E-4</v>
      </c>
      <c r="AW19" s="188">
        <f>[2]CZ_decarbplus_opex!AN19</f>
        <v>4.8679600000000001E-4</v>
      </c>
      <c r="AX19" s="188">
        <f>[2]CZ_decarbplus_opex!AO19</f>
        <v>0</v>
      </c>
      <c r="AY19" s="188">
        <f>[2]CZ_decarbplus_opex!AP19</f>
        <v>1.041099E-3</v>
      </c>
      <c r="AZ19" s="188">
        <f>[2]CZ_decarbplus_opex!AQ19</f>
        <v>0</v>
      </c>
      <c r="BA19" s="188">
        <f>[2]CZ_decarbplus_opex!AR19</f>
        <v>1.1355989999999999E-3</v>
      </c>
      <c r="BB19" s="188">
        <f>[2]CZ_decarbplus_opex!AS19</f>
        <v>7.7299999999999995E-5</v>
      </c>
      <c r="BC19" s="188">
        <f>[2]CZ_decarbplus_opex!AT19</f>
        <v>1.6690100000000001E-4</v>
      </c>
      <c r="BD19" s="188">
        <f>[2]CZ_decarbplus_opex!AU19</f>
        <v>2.76E-5</v>
      </c>
      <c r="BE19" s="188">
        <f>[2]CZ_decarbplus_opex!AV19</f>
        <v>1.1511E-4</v>
      </c>
      <c r="BF19" s="188">
        <f>[2]CZ_decarbplus_opex!AW19</f>
        <v>6.5099999999999997E-5</v>
      </c>
      <c r="BG19" s="188">
        <f>[2]CZ_decarbplus_opex!AX19</f>
        <v>1.6452900000000001E-4</v>
      </c>
      <c r="BH19" s="188">
        <f>[3]CZ_decarb_opex!I19</f>
        <v>3.9651344089566202E-4</v>
      </c>
      <c r="BI19" s="188">
        <f>[2]CZ_decarbplus_opex!AY19</f>
        <v>1.06993E-4</v>
      </c>
      <c r="BJ19" s="188">
        <f>[2]CZ_decarbplus_opex!AZ19</f>
        <v>1.5136819999999999E-3</v>
      </c>
      <c r="BK19" s="188">
        <f>[2]CZ_decarbplus_opex!BA19</f>
        <v>1.46773E-4</v>
      </c>
      <c r="BL19" s="188">
        <f>[2]CZ_decarbplus_opex!BB19</f>
        <v>0</v>
      </c>
      <c r="BM19" s="188">
        <f>[3]CZ_decarb_opex!J19</f>
        <v>5.0507675663744099E-4</v>
      </c>
      <c r="BN19" s="188">
        <f>[3]CZ_decarb_opex!K19</f>
        <v>6.1548312352514704E-4</v>
      </c>
      <c r="BO19" s="188">
        <f>[3]CZ_decarb_opex!L19</f>
        <v>9.5120772548679499E-5</v>
      </c>
      <c r="BP19" s="188">
        <f>[3]CZ_decarb_opex!M19</f>
        <v>1.4704930705303299E-4</v>
      </c>
      <c r="BQ19" s="188">
        <f>[3]CZ_decarb_opex!N19</f>
        <v>2.0290411604863601E-4</v>
      </c>
      <c r="BR19" s="188">
        <f>[3]CZ_decarb_opex!O19</f>
        <v>1.2697500778590599E-6</v>
      </c>
      <c r="BS19" s="188">
        <f>[3]CZ_decarb_opex!P19</f>
        <v>7.3312490790736098E-4</v>
      </c>
      <c r="BT19" s="188">
        <f>[3]CZ_decarb_opex!Q19</f>
        <v>4.8827758569412301E-2</v>
      </c>
      <c r="BU19" s="188">
        <f>[3]CZ_decarb_opex!R19</f>
        <v>1.12252453274693E-4</v>
      </c>
      <c r="BV19" s="188">
        <f>[3]CZ_decarb_opex!S19</f>
        <v>1.12252453274693E-4</v>
      </c>
      <c r="BW19" s="188">
        <f>[3]CZ_decarb_opex!T19</f>
        <v>1.00161804171293E-6</v>
      </c>
      <c r="BX19" s="188">
        <f>[3]CZ_decarb_opex!U19</f>
        <v>7.2637337954216603E-7</v>
      </c>
      <c r="BY19" s="188">
        <f>[3]CZ_decarb_opex!V19</f>
        <v>1.45073822464957E-5</v>
      </c>
      <c r="BZ19" s="188">
        <f>[2]CZ_decarbplus_opex!BC19</f>
        <v>2.75698E-4</v>
      </c>
      <c r="CA19" s="188">
        <f>[2]CZ_decarbplus_opex!BD19</f>
        <v>1.6327599999999999E-4</v>
      </c>
      <c r="CB19" s="188">
        <f>[2]CZ_decarbplus_opex!BE19</f>
        <v>1.6791899999999999E-4</v>
      </c>
      <c r="CC19" s="188">
        <f>[2]CZ_decarbplus_opex!BF19</f>
        <v>9.8099999999999999E-5</v>
      </c>
      <c r="CD19" s="188">
        <f>[2]CZ_decarbplus_opex!BG19</f>
        <v>6.7571600000000003E-4</v>
      </c>
      <c r="CE19" s="188">
        <f>[2]CZ_decarbplus_opex!BH19</f>
        <v>2.6160499999999999E-4</v>
      </c>
      <c r="CF19" s="188">
        <f>[2]CZ_decarbplus_opex!BI19</f>
        <v>1.062513E-3</v>
      </c>
      <c r="CG19" s="188">
        <f>[2]CZ_decarbplus_opex!BJ19</f>
        <v>2.09316E-4</v>
      </c>
    </row>
    <row r="20" spans="1:85" x14ac:dyDescent="0.25">
      <c r="A20" s="5" t="s">
        <v>59</v>
      </c>
      <c r="B20" s="2" t="s">
        <v>58</v>
      </c>
      <c r="C20" s="1" t="s">
        <v>325</v>
      </c>
      <c r="D20" s="187">
        <f>[2]CZ_decarbplus_opex!B20</f>
        <v>5.7839299999999996E-4</v>
      </c>
      <c r="E20" s="187">
        <f>[2]CZ_decarbplus_opex!C20</f>
        <v>1.18088E-3</v>
      </c>
      <c r="F20" s="187">
        <f>[2]CZ_decarbplus_opex!D20</f>
        <v>4.5255099999999998E-4</v>
      </c>
      <c r="G20" s="187">
        <f>[2]CZ_decarbplus_opex!E20</f>
        <v>1.7189500000000001E-4</v>
      </c>
      <c r="H20" s="187">
        <f>[2]CZ_decarbplus_opex!F20</f>
        <v>1.7523699999999999E-4</v>
      </c>
      <c r="I20" s="187">
        <f>[2]CZ_decarbplus_opex!G20</f>
        <v>2.7258040000000001E-3</v>
      </c>
      <c r="J20" s="187">
        <f>[2]CZ_decarbplus_opex!H20</f>
        <v>1.21103E-4</v>
      </c>
      <c r="K20" s="187">
        <f>[2]CZ_decarbplus_opex!I20</f>
        <v>2.6762500000000001E-4</v>
      </c>
      <c r="L20" s="187">
        <f>[2]CZ_decarbplus_opex!J20</f>
        <v>4.7003899999999996E-3</v>
      </c>
      <c r="M20" s="187">
        <f>[2]CZ_decarbplus_opex!K20</f>
        <v>1.3217378E-2</v>
      </c>
      <c r="N20" s="187">
        <f>[2]CZ_decarbplus_opex!L20</f>
        <v>5.8931820000000003E-3</v>
      </c>
      <c r="O20" s="187">
        <f>[2]CZ_decarbplus_opex!M20</f>
        <v>4.8172550000000003E-3</v>
      </c>
      <c r="P20" s="187">
        <f>[2]CZ_decarbplus_opex!N20</f>
        <v>1.0243769999999999E-3</v>
      </c>
      <c r="Q20" s="187">
        <f>[2]CZ_decarbplus_opex!O20</f>
        <v>1.3200000000000001E-5</v>
      </c>
      <c r="R20" s="187">
        <f>[2]CZ_decarbplus_opex!P20</f>
        <v>1.36E-5</v>
      </c>
      <c r="S20" s="187">
        <f>[2]CZ_decarbplus_opex!Q20</f>
        <v>5.58819E-4</v>
      </c>
      <c r="T20" s="187">
        <f>[2]CZ_decarbplus_opex!R20</f>
        <v>8.4600000000000003E-6</v>
      </c>
      <c r="U20" s="187">
        <f>[2]CZ_decarbplus_opex!S20</f>
        <v>2.0222400000000001E-4</v>
      </c>
      <c r="V20" s="187">
        <f>[2]CZ_decarbplus_opex!T20</f>
        <v>7.2599999999999999E-6</v>
      </c>
      <c r="W20" s="187">
        <f>[2]CZ_decarbplus_opex!U20</f>
        <v>8.8399999999999994E-5</v>
      </c>
      <c r="X20" s="187">
        <f>[2]CZ_decarbplus_opex!V20</f>
        <v>6.3199999999999996E-6</v>
      </c>
      <c r="Y20" s="187">
        <f>[2]CZ_decarbplus_opex!W20</f>
        <v>2.6800000000000002E-6</v>
      </c>
      <c r="Z20" s="187">
        <f>[2]CZ_decarbplus_opex!X20</f>
        <v>4.6099999999999999E-6</v>
      </c>
      <c r="AA20" s="187">
        <f>[2]CZ_decarbplus_opex!Y20</f>
        <v>7.7200000000000006E-6</v>
      </c>
      <c r="AB20" s="188">
        <f>[3]CZ_decarb_opex!B20</f>
        <v>7.1600679228081903E-6</v>
      </c>
      <c r="AC20" s="188">
        <f>[3]CZ_decarb_opex!C20</f>
        <v>7.5975921821049198E-5</v>
      </c>
      <c r="AD20" s="188">
        <f>[3]CZ_decarb_opex!D20</f>
        <v>3.4627153017206103E-5</v>
      </c>
      <c r="AE20" s="188">
        <f>[2]CZ_decarbplus_opex!Z20</f>
        <v>3.0899999999999999E-5</v>
      </c>
      <c r="AF20" s="188">
        <f>[2]CZ_decarbplus_opex!AA20</f>
        <v>4.7899999999999999E-5</v>
      </c>
      <c r="AG20" s="188">
        <f>[2]CZ_decarbplus_opex!AB20</f>
        <v>5.5899999999999998E-6</v>
      </c>
      <c r="AH20" s="188">
        <f>[2]CZ_decarbplus_opex!AC20</f>
        <v>4.6500000000000004E-6</v>
      </c>
      <c r="AI20" s="188">
        <f>[2]CZ_decarbplus_opex!AD20</f>
        <v>9.3600000000000002E-6</v>
      </c>
      <c r="AJ20" s="188">
        <f>[2]CZ_decarbplus_opex!AE20</f>
        <v>3.4300000000000002E-6</v>
      </c>
      <c r="AK20" s="188">
        <f>[2]CZ_decarbplus_opex!AF20</f>
        <v>7.3200000000000002E-6</v>
      </c>
      <c r="AL20" s="188">
        <f>[3]CZ_decarb_opex!E20</f>
        <v>6.0452200706155197E-6</v>
      </c>
      <c r="AM20" s="188">
        <f>[3]CZ_decarb_opex!F20</f>
        <v>6.6625534867270503E-6</v>
      </c>
      <c r="AN20" s="188">
        <f>[2]CZ_decarbplus_opex!AG20</f>
        <v>1.06E-5</v>
      </c>
      <c r="AO20" s="188">
        <f>[3]CZ_decarb_opex!G20</f>
        <v>1.7166881729968899E-6</v>
      </c>
      <c r="AP20" s="188">
        <f>[3]CZ_decarb_opex!H20</f>
        <v>2.69388690246048E-6</v>
      </c>
      <c r="AQ20" s="188">
        <f>[2]CZ_decarbplus_opex!AH20</f>
        <v>3.6899999999999998E-6</v>
      </c>
      <c r="AR20" s="188">
        <f>[2]CZ_decarbplus_opex!AI20</f>
        <v>0</v>
      </c>
      <c r="AS20" s="188">
        <f>[2]CZ_decarbplus_opex!AJ20</f>
        <v>3.2600000000000001E-6</v>
      </c>
      <c r="AT20" s="188">
        <f>[2]CZ_decarbplus_opex!AK20</f>
        <v>2.6400000000000001E-6</v>
      </c>
      <c r="AU20" s="188">
        <f>[2]CZ_decarbplus_opex!AL20</f>
        <v>1.4500000000000001E-6</v>
      </c>
      <c r="AV20" s="188">
        <f>[2]CZ_decarbplus_opex!AM20</f>
        <v>1.39E-6</v>
      </c>
      <c r="AW20" s="188">
        <f>[2]CZ_decarbplus_opex!AN20</f>
        <v>2.2199999999999999E-6</v>
      </c>
      <c r="AX20" s="188">
        <f>[2]CZ_decarbplus_opex!AO20</f>
        <v>0</v>
      </c>
      <c r="AY20" s="188">
        <f>[2]CZ_decarbplus_opex!AP20</f>
        <v>6.9399999999999996E-6</v>
      </c>
      <c r="AZ20" s="188">
        <f>[2]CZ_decarbplus_opex!AQ20</f>
        <v>0</v>
      </c>
      <c r="BA20" s="188">
        <f>[2]CZ_decarbplus_opex!AR20</f>
        <v>1.9599999999999999E-6</v>
      </c>
      <c r="BB20" s="188">
        <f>[2]CZ_decarbplus_opex!AS20</f>
        <v>5.4299999999999997E-6</v>
      </c>
      <c r="BC20" s="188">
        <f>[2]CZ_decarbplus_opex!AT20</f>
        <v>6.1800000000000001E-6</v>
      </c>
      <c r="BD20" s="188">
        <f>[2]CZ_decarbplus_opex!AU20</f>
        <v>4.0300000000000004E-6</v>
      </c>
      <c r="BE20" s="188">
        <f>[2]CZ_decarbplus_opex!AV20</f>
        <v>2.87E-5</v>
      </c>
      <c r="BF20" s="188">
        <f>[2]CZ_decarbplus_opex!AW20</f>
        <v>2.65E-6</v>
      </c>
      <c r="BG20" s="188">
        <f>[2]CZ_decarbplus_opex!AX20</f>
        <v>9.8400000000000007E-6</v>
      </c>
      <c r="BH20" s="188">
        <f>[3]CZ_decarb_opex!I20</f>
        <v>4.8903273210541702E-6</v>
      </c>
      <c r="BI20" s="188">
        <f>[2]CZ_decarbplus_opex!AY20</f>
        <v>5.93E-6</v>
      </c>
      <c r="BJ20" s="188">
        <f>[2]CZ_decarbplus_opex!AZ20</f>
        <v>7.4399999999999999E-6</v>
      </c>
      <c r="BK20" s="188">
        <f>[2]CZ_decarbplus_opex!BA20</f>
        <v>1.88E-5</v>
      </c>
      <c r="BL20" s="188">
        <f>[2]CZ_decarbplus_opex!BB20</f>
        <v>0</v>
      </c>
      <c r="BM20" s="188">
        <f>[3]CZ_decarb_opex!J20</f>
        <v>9.4746081205695794E-6</v>
      </c>
      <c r="BN20" s="188">
        <f>[3]CZ_decarb_opex!K20</f>
        <v>1.9972045732100901E-5</v>
      </c>
      <c r="BO20" s="188">
        <f>[3]CZ_decarb_opex!L20</f>
        <v>3.85771627470666E-6</v>
      </c>
      <c r="BP20" s="188">
        <f>[3]CZ_decarb_opex!M20</f>
        <v>3.8128463710641402E-6</v>
      </c>
      <c r="BQ20" s="188">
        <f>[3]CZ_decarb_opex!N20</f>
        <v>3.9714738943353602E-6</v>
      </c>
      <c r="BR20" s="188">
        <f>[3]CZ_decarb_opex!O20</f>
        <v>2.24226677237464E-8</v>
      </c>
      <c r="BS20" s="188">
        <f>[3]CZ_decarb_opex!P20</f>
        <v>1.5027876289866099E-5</v>
      </c>
      <c r="BT20" s="188">
        <f>[3]CZ_decarb_opex!Q20</f>
        <v>1.06320272710343E-5</v>
      </c>
      <c r="BU20" s="188">
        <f>[3]CZ_decarb_opex!R20</f>
        <v>2.8366259606008799E-6</v>
      </c>
      <c r="BV20" s="188">
        <f>[3]CZ_decarb_opex!S20</f>
        <v>2.8366259606008799E-6</v>
      </c>
      <c r="BW20" s="188">
        <f>[3]CZ_decarb_opex!T20</f>
        <v>1.9754376532101099E-7</v>
      </c>
      <c r="BX20" s="188">
        <f>[3]CZ_decarb_opex!U20</f>
        <v>9.6151655691459309E-7</v>
      </c>
      <c r="BY20" s="188">
        <f>[3]CZ_decarb_opex!V20</f>
        <v>1.5034340374470801E-6</v>
      </c>
      <c r="BZ20" s="188">
        <f>[2]CZ_decarbplus_opex!BC20</f>
        <v>8.5799999999999992E-6</v>
      </c>
      <c r="CA20" s="188">
        <f>[2]CZ_decarbplus_opex!BD20</f>
        <v>6.3799999999999999E-6</v>
      </c>
      <c r="CB20" s="188">
        <f>[2]CZ_decarbplus_opex!BE20</f>
        <v>6.63E-6</v>
      </c>
      <c r="CC20" s="188">
        <f>[2]CZ_decarbplus_opex!BF20</f>
        <v>6.3500000000000002E-6</v>
      </c>
      <c r="CD20" s="188">
        <f>[2]CZ_decarbplus_opex!BG20</f>
        <v>2.5999999999999998E-5</v>
      </c>
      <c r="CE20" s="188">
        <f>[2]CZ_decarbplus_opex!BH20</f>
        <v>1.9000000000000001E-5</v>
      </c>
      <c r="CF20" s="188">
        <f>[2]CZ_decarbplus_opex!BI20</f>
        <v>2.0599999999999999E-5</v>
      </c>
      <c r="CG20" s="188">
        <f>[2]CZ_decarbplus_opex!BJ20</f>
        <v>4.3800000000000004E-6</v>
      </c>
    </row>
    <row r="21" spans="1:85" x14ac:dyDescent="0.25">
      <c r="A21" s="5" t="s">
        <v>61</v>
      </c>
      <c r="B21" s="2" t="s">
        <v>60</v>
      </c>
      <c r="C21" s="1" t="s">
        <v>326</v>
      </c>
      <c r="D21" s="187">
        <f>[2]CZ_decarbplus_opex!B21</f>
        <v>1.11265E-4</v>
      </c>
      <c r="E21" s="187">
        <f>[2]CZ_decarbplus_opex!C21</f>
        <v>1.98865E-4</v>
      </c>
      <c r="F21" s="187">
        <f>[2]CZ_decarbplus_opex!D21</f>
        <v>1.8306600000000001E-4</v>
      </c>
      <c r="G21" s="187">
        <f>[2]CZ_decarbplus_opex!E21</f>
        <v>4.6E-5</v>
      </c>
      <c r="H21" s="187">
        <f>[2]CZ_decarbplus_opex!F21</f>
        <v>1.3786899999999999E-4</v>
      </c>
      <c r="I21" s="187">
        <f>[2]CZ_decarbplus_opex!G21</f>
        <v>5.0590900000000002E-4</v>
      </c>
      <c r="J21" s="187">
        <f>[2]CZ_decarbplus_opex!H21</f>
        <v>2.6846919999999998E-3</v>
      </c>
      <c r="K21" s="187">
        <f>[2]CZ_decarbplus_opex!I21</f>
        <v>1.0641099999999999E-4</v>
      </c>
      <c r="L21" s="187">
        <f>[2]CZ_decarbplus_opex!J21</f>
        <v>4.4276299999999999E-4</v>
      </c>
      <c r="M21" s="187">
        <f>[2]CZ_decarbplus_opex!K21</f>
        <v>9.7793899999999994E-4</v>
      </c>
      <c r="N21" s="187">
        <f>[2]CZ_decarbplus_opex!L21</f>
        <v>1.1900089999999999E-3</v>
      </c>
      <c r="O21" s="187">
        <f>[2]CZ_decarbplus_opex!M21</f>
        <v>1.1699849999999999E-3</v>
      </c>
      <c r="P21" s="187">
        <f>[2]CZ_decarbplus_opex!N21</f>
        <v>1.4826590000000001E-3</v>
      </c>
      <c r="Q21" s="187">
        <f>[2]CZ_decarbplus_opex!O21</f>
        <v>1.1966380000000001E-3</v>
      </c>
      <c r="R21" s="187">
        <f>[2]CZ_decarbplus_opex!P21</f>
        <v>2.4142599999999999E-4</v>
      </c>
      <c r="S21" s="187">
        <f>[2]CZ_decarbplus_opex!Q21</f>
        <v>7.5180199999999998E-4</v>
      </c>
      <c r="T21" s="187">
        <f>[2]CZ_decarbplus_opex!R21</f>
        <v>1.0777670000000001E-3</v>
      </c>
      <c r="U21" s="187">
        <f>[2]CZ_decarbplus_opex!S21</f>
        <v>8.5248019999999997E-3</v>
      </c>
      <c r="V21" s="187">
        <f>[2]CZ_decarbplus_opex!T21</f>
        <v>1.521746E-3</v>
      </c>
      <c r="W21" s="187">
        <f>[2]CZ_decarbplus_opex!U21</f>
        <v>1.1230649999999999E-3</v>
      </c>
      <c r="X21" s="187">
        <f>[2]CZ_decarbplus_opex!V21</f>
        <v>3.43197E-4</v>
      </c>
      <c r="Y21" s="187">
        <f>[2]CZ_decarbplus_opex!W21</f>
        <v>0.74952171099999998</v>
      </c>
      <c r="Z21" s="187">
        <f>[2]CZ_decarbplus_opex!X21</f>
        <v>4.6142379999999997E-3</v>
      </c>
      <c r="AA21" s="187">
        <f>[2]CZ_decarbplus_opex!Y21</f>
        <v>4.1452600000000002E-4</v>
      </c>
      <c r="AB21" s="188">
        <f>[3]CZ_decarb_opex!B21</f>
        <v>1.89845054350701E-2</v>
      </c>
      <c r="AC21" s="188">
        <f>[3]CZ_decarb_opex!C21</f>
        <v>3.6500668637103502E-3</v>
      </c>
      <c r="AD21" s="188">
        <f>[3]CZ_decarb_opex!D21</f>
        <v>1.5464210803373899E-2</v>
      </c>
      <c r="AE21" s="188">
        <f>[2]CZ_decarbplus_opex!Z21</f>
        <v>1.2895808E-2</v>
      </c>
      <c r="AF21" s="188">
        <f>[2]CZ_decarbplus_opex!AA21</f>
        <v>1.4097790000000001E-2</v>
      </c>
      <c r="AG21" s="188">
        <f>[2]CZ_decarbplus_opex!AB21</f>
        <v>4.3518499999999999E-4</v>
      </c>
      <c r="AH21" s="188">
        <f>[2]CZ_decarbplus_opex!AC21</f>
        <v>2.81823E-4</v>
      </c>
      <c r="AI21" s="188">
        <f>[2]CZ_decarbplus_opex!AD21</f>
        <v>6.0976599999999998E-4</v>
      </c>
      <c r="AJ21" s="188">
        <f>[2]CZ_decarbplus_opex!AE21</f>
        <v>2.72637E-4</v>
      </c>
      <c r="AK21" s="188">
        <f>[2]CZ_decarbplus_opex!AF21</f>
        <v>2.5366659999999999E-3</v>
      </c>
      <c r="AL21" s="188">
        <f>[3]CZ_decarb_opex!E21</f>
        <v>9.28829150639718E-3</v>
      </c>
      <c r="AM21" s="188">
        <f>[3]CZ_decarb_opex!F21</f>
        <v>7.8601087448428395E-3</v>
      </c>
      <c r="AN21" s="188">
        <f>[2]CZ_decarbplus_opex!AG21</f>
        <v>5.2291660000000004E-3</v>
      </c>
      <c r="AO21" s="188">
        <f>[3]CZ_decarb_opex!G21</f>
        <v>0.14362150773701499</v>
      </c>
      <c r="AP21" s="188">
        <f>[3]CZ_decarb_opex!H21</f>
        <v>2.32954737541964E-2</v>
      </c>
      <c r="AQ21" s="188">
        <f>[2]CZ_decarbplus_opex!AH21</f>
        <v>5.8274995000000003E-2</v>
      </c>
      <c r="AR21" s="188">
        <f>[2]CZ_decarbplus_opex!AI21</f>
        <v>0</v>
      </c>
      <c r="AS21" s="188">
        <f>[2]CZ_decarbplus_opex!AJ21</f>
        <v>4.1237013000000003E-2</v>
      </c>
      <c r="AT21" s="188">
        <f>[2]CZ_decarbplus_opex!AK21</f>
        <v>3.0875217999999999E-2</v>
      </c>
      <c r="AU21" s="188">
        <f>[2]CZ_decarbplus_opex!AL21</f>
        <v>1.3601600000000001E-4</v>
      </c>
      <c r="AV21" s="188">
        <f>[2]CZ_decarbplus_opex!AM21</f>
        <v>6.2299999999999996E-5</v>
      </c>
      <c r="AW21" s="188">
        <f>[2]CZ_decarbplus_opex!AN21</f>
        <v>3.3230331000000002E-2</v>
      </c>
      <c r="AX21" s="188">
        <f>[2]CZ_decarbplus_opex!AO21</f>
        <v>0</v>
      </c>
      <c r="AY21" s="188">
        <f>[2]CZ_decarbplus_opex!AP21</f>
        <v>1.6968438999999998E-2</v>
      </c>
      <c r="AZ21" s="188">
        <f>[2]CZ_decarbplus_opex!AQ21</f>
        <v>0</v>
      </c>
      <c r="BA21" s="188">
        <f>[2]CZ_decarbplus_opex!AR21</f>
        <v>1.6326762000000002E-2</v>
      </c>
      <c r="BB21" s="188">
        <f>[2]CZ_decarbplus_opex!AS21</f>
        <v>3.6836399999999999E-4</v>
      </c>
      <c r="BC21" s="188">
        <f>[2]CZ_decarbplus_opex!AT21</f>
        <v>6.7534300000000002E-4</v>
      </c>
      <c r="BD21" s="188">
        <f>[2]CZ_decarbplus_opex!AU21</f>
        <v>7.2999999999999999E-5</v>
      </c>
      <c r="BE21" s="188">
        <f>[2]CZ_decarbplus_opex!AV21</f>
        <v>4.9372299999999995E-4</v>
      </c>
      <c r="BF21" s="188">
        <f>[2]CZ_decarbplus_opex!AW21</f>
        <v>1.2435300000000001E-4</v>
      </c>
      <c r="BG21" s="188">
        <f>[2]CZ_decarbplus_opex!AX21</f>
        <v>1.1078240000000001E-3</v>
      </c>
      <c r="BH21" s="188">
        <f>[3]CZ_decarb_opex!I21</f>
        <v>5.2455349802427501E-4</v>
      </c>
      <c r="BI21" s="188">
        <f>[2]CZ_decarbplus_opex!AY21</f>
        <v>3.0427900000000002E-4</v>
      </c>
      <c r="BJ21" s="188">
        <f>[2]CZ_decarbplus_opex!AZ21</f>
        <v>1.5199689999999999E-3</v>
      </c>
      <c r="BK21" s="188">
        <f>[2]CZ_decarbplus_opex!BA21</f>
        <v>1.9796500000000001E-4</v>
      </c>
      <c r="BL21" s="188">
        <f>[2]CZ_decarbplus_opex!BB21</f>
        <v>0</v>
      </c>
      <c r="BM21" s="188">
        <f>[3]CZ_decarb_opex!J21</f>
        <v>0.29194198068030602</v>
      </c>
      <c r="BN21" s="188">
        <f>[3]CZ_decarb_opex!K21</f>
        <v>5.8680678078267701E-3</v>
      </c>
      <c r="BO21" s="188">
        <f>[3]CZ_decarb_opex!L21</f>
        <v>1.25989973558254E-4</v>
      </c>
      <c r="BP21" s="188">
        <f>[3]CZ_decarb_opex!M21</f>
        <v>1.65596604292033E-4</v>
      </c>
      <c r="BQ21" s="188">
        <f>[3]CZ_decarb_opex!N21</f>
        <v>1.9319724742737599E-4</v>
      </c>
      <c r="BR21" s="188">
        <f>[3]CZ_decarb_opex!O21</f>
        <v>8.6425054310028602E-5</v>
      </c>
      <c r="BS21" s="188">
        <f>[3]CZ_decarb_opex!P21</f>
        <v>3.2388546617861699E-3</v>
      </c>
      <c r="BT21" s="188">
        <f>[3]CZ_decarb_opex!Q21</f>
        <v>3.1673056224531301E-4</v>
      </c>
      <c r="BU21" s="188">
        <f>[3]CZ_decarb_opex!R21</f>
        <v>1.1182378651294299E-4</v>
      </c>
      <c r="BV21" s="188">
        <f>[3]CZ_decarb_opex!S21</f>
        <v>1.1182378651294299E-4</v>
      </c>
      <c r="BW21" s="188">
        <f>[3]CZ_decarb_opex!T21</f>
        <v>3.55016962824601E-6</v>
      </c>
      <c r="BX21" s="188">
        <f>[3]CZ_decarb_opex!U21</f>
        <v>6.9320112861441103E-6</v>
      </c>
      <c r="BY21" s="188">
        <f>[3]CZ_decarb_opex!V21</f>
        <v>1.32293776707256E-5</v>
      </c>
      <c r="BZ21" s="188">
        <f>[2]CZ_decarbplus_opex!BC21</f>
        <v>1.060929E-3</v>
      </c>
      <c r="CA21" s="188">
        <f>[2]CZ_decarbplus_opex!BD21</f>
        <v>3.5234469999999999E-3</v>
      </c>
      <c r="CB21" s="188">
        <f>[2]CZ_decarbplus_opex!BE21</f>
        <v>3.021063E-3</v>
      </c>
      <c r="CC21" s="188">
        <f>[2]CZ_decarbplus_opex!BF21</f>
        <v>1.3415725E-2</v>
      </c>
      <c r="CD21" s="188">
        <f>[2]CZ_decarbplus_opex!BG21</f>
        <v>6.8480889999999999E-3</v>
      </c>
      <c r="CE21" s="188">
        <f>[2]CZ_decarbplus_opex!BH21</f>
        <v>6.2275099999999995E-4</v>
      </c>
      <c r="CF21" s="188">
        <f>[2]CZ_decarbplus_opex!BI21</f>
        <v>3.4112299999999998E-4</v>
      </c>
      <c r="CG21" s="188">
        <f>[2]CZ_decarbplus_opex!BJ21</f>
        <v>2.9012999999999999E-4</v>
      </c>
    </row>
    <row r="22" spans="1:85" x14ac:dyDescent="0.25">
      <c r="A22" s="5" t="s">
        <v>63</v>
      </c>
      <c r="B22" s="2" t="s">
        <v>62</v>
      </c>
      <c r="C22" s="1" t="s">
        <v>326</v>
      </c>
      <c r="D22" s="187">
        <f>[2]CZ_decarbplus_opex!B22</f>
        <v>5.2200000000000002E-5</v>
      </c>
      <c r="E22" s="187">
        <f>[2]CZ_decarbplus_opex!C22</f>
        <v>7.0299999999999996E-6</v>
      </c>
      <c r="F22" s="187">
        <f>[2]CZ_decarbplus_opex!D22</f>
        <v>1.03E-5</v>
      </c>
      <c r="G22" s="187">
        <f>[2]CZ_decarbplus_opex!E22</f>
        <v>1.28E-6</v>
      </c>
      <c r="H22" s="187">
        <f>[2]CZ_decarbplus_opex!F22</f>
        <v>2.2800000000000002E-6</v>
      </c>
      <c r="I22" s="187">
        <f>[2]CZ_decarbplus_opex!G22</f>
        <v>8.1999999999999994E-6</v>
      </c>
      <c r="J22" s="187">
        <f>[2]CZ_decarbplus_opex!H22</f>
        <v>3.1000000000000001E-5</v>
      </c>
      <c r="K22" s="187">
        <f>[2]CZ_decarbplus_opex!I22</f>
        <v>2.92E-6</v>
      </c>
      <c r="L22" s="187">
        <f>[2]CZ_decarbplus_opex!J22</f>
        <v>1.33E-5</v>
      </c>
      <c r="M22" s="187">
        <f>[2]CZ_decarbplus_opex!K22</f>
        <v>1.6699999999999999E-5</v>
      </c>
      <c r="N22" s="187">
        <f>[2]CZ_decarbplus_opex!L22</f>
        <v>1.8E-5</v>
      </c>
      <c r="O22" s="187">
        <f>[2]CZ_decarbplus_opex!M22</f>
        <v>2.27E-5</v>
      </c>
      <c r="P22" s="187">
        <f>[2]CZ_decarbplus_opex!N22</f>
        <v>2.4199999999999999E-5</v>
      </c>
      <c r="Q22" s="187">
        <f>[2]CZ_decarbplus_opex!O22</f>
        <v>9.0810499999999998E-4</v>
      </c>
      <c r="R22" s="187">
        <f>[2]CZ_decarbplus_opex!P22</f>
        <v>1.3499999999999999E-5</v>
      </c>
      <c r="S22" s="187">
        <f>[2]CZ_decarbplus_opex!Q22</f>
        <v>3.65E-5</v>
      </c>
      <c r="T22" s="187">
        <f>[2]CZ_decarbplus_opex!R22</f>
        <v>1.6799999999999998E-5</v>
      </c>
      <c r="U22" s="187">
        <f>[2]CZ_decarbplus_opex!S22</f>
        <v>1.3900000000000001E-5</v>
      </c>
      <c r="V22" s="187">
        <f>[2]CZ_decarbplus_opex!T22</f>
        <v>1.77E-5</v>
      </c>
      <c r="W22" s="187">
        <f>[2]CZ_decarbplus_opex!U22</f>
        <v>1.4399999999999999E-5</v>
      </c>
      <c r="X22" s="187">
        <f>[2]CZ_decarbplus_opex!V22</f>
        <v>9.8400000000000007E-6</v>
      </c>
      <c r="Y22" s="187">
        <f>[2]CZ_decarbplus_opex!W22</f>
        <v>4.0899999999999998E-6</v>
      </c>
      <c r="Z22" s="187">
        <f>[2]CZ_decarbplus_opex!X22</f>
        <v>0.226576469</v>
      </c>
      <c r="AA22" s="187">
        <f>[2]CZ_decarbplus_opex!Y22</f>
        <v>1.4100000000000001E-5</v>
      </c>
      <c r="AB22" s="188">
        <f>[3]CZ_decarb_opex!B22</f>
        <v>4.37093967398956E-5</v>
      </c>
      <c r="AC22" s="188">
        <f>[3]CZ_decarb_opex!C22</f>
        <v>1.9715214114265499E-5</v>
      </c>
      <c r="AD22" s="188">
        <f>[3]CZ_decarb_opex!D22</f>
        <v>3.4479180013033301E-5</v>
      </c>
      <c r="AE22" s="188">
        <f>[2]CZ_decarbplus_opex!Z22</f>
        <v>3.7499999999999997E-5</v>
      </c>
      <c r="AF22" s="188">
        <f>[2]CZ_decarbplus_opex!AA22</f>
        <v>5.2165499999999999E-4</v>
      </c>
      <c r="AG22" s="188">
        <f>[2]CZ_decarbplus_opex!AB22</f>
        <v>1.3742E-4</v>
      </c>
      <c r="AH22" s="188">
        <f>[2]CZ_decarbplus_opex!AC22</f>
        <v>3.68E-5</v>
      </c>
      <c r="AI22" s="188">
        <f>[2]CZ_decarbplus_opex!AD22</f>
        <v>6.2600000000000004E-5</v>
      </c>
      <c r="AJ22" s="188">
        <f>[2]CZ_decarbplus_opex!AE22</f>
        <v>4.9200000000000003E-5</v>
      </c>
      <c r="AK22" s="188">
        <f>[2]CZ_decarbplus_opex!AF22</f>
        <v>3.29E-5</v>
      </c>
      <c r="AL22" s="188">
        <f>[3]CZ_decarb_opex!E22</f>
        <v>3.88904385596317E-5</v>
      </c>
      <c r="AM22" s="188">
        <f>[3]CZ_decarb_opex!F22</f>
        <v>3.5689665029099298E-5</v>
      </c>
      <c r="AN22" s="188">
        <f>[2]CZ_decarbplus_opex!AG22</f>
        <v>5.5399999999999998E-5</v>
      </c>
      <c r="AO22" s="188">
        <f>[3]CZ_decarb_opex!G22</f>
        <v>1.9161459907773901E-5</v>
      </c>
      <c r="AP22" s="188">
        <f>[3]CZ_decarb_opex!H22</f>
        <v>1.66710746731291E-5</v>
      </c>
      <c r="AQ22" s="188">
        <f>[2]CZ_decarbplus_opex!AH22</f>
        <v>2.3099999999999999E-5</v>
      </c>
      <c r="AR22" s="188">
        <f>[2]CZ_decarbplus_opex!AI22</f>
        <v>0</v>
      </c>
      <c r="AS22" s="188">
        <f>[2]CZ_decarbplus_opex!AJ22</f>
        <v>4.46E-5</v>
      </c>
      <c r="AT22" s="188">
        <f>[2]CZ_decarbplus_opex!AK22</f>
        <v>4.0399999999999999E-5</v>
      </c>
      <c r="AU22" s="188">
        <f>[2]CZ_decarbplus_opex!AL22</f>
        <v>1.2300000000000001E-5</v>
      </c>
      <c r="AV22" s="188">
        <f>[2]CZ_decarbplus_opex!AM22</f>
        <v>1.1800000000000001E-5</v>
      </c>
      <c r="AW22" s="188">
        <f>[2]CZ_decarbplus_opex!AN22</f>
        <v>1.1600000000000001E-5</v>
      </c>
      <c r="AX22" s="188">
        <f>[2]CZ_decarbplus_opex!AO22</f>
        <v>0</v>
      </c>
      <c r="AY22" s="188">
        <f>[2]CZ_decarbplus_opex!AP22</f>
        <v>1.4800000000000001E-5</v>
      </c>
      <c r="AZ22" s="188">
        <f>[2]CZ_decarbplus_opex!AQ22</f>
        <v>0</v>
      </c>
      <c r="BA22" s="188">
        <f>[2]CZ_decarbplus_opex!AR22</f>
        <v>2.3799999999999999E-5</v>
      </c>
      <c r="BB22" s="188">
        <f>[2]CZ_decarbplus_opex!AS22</f>
        <v>3.26E-5</v>
      </c>
      <c r="BC22" s="188">
        <f>[2]CZ_decarbplus_opex!AT22</f>
        <v>4.07E-5</v>
      </c>
      <c r="BD22" s="188">
        <f>[2]CZ_decarbplus_opex!AU22</f>
        <v>3.7299999999999999E-5</v>
      </c>
      <c r="BE22" s="188">
        <f>[2]CZ_decarbplus_opex!AV22</f>
        <v>5.5300000000000002E-5</v>
      </c>
      <c r="BF22" s="188">
        <f>[2]CZ_decarbplus_opex!AW22</f>
        <v>2.6599999999999999E-5</v>
      </c>
      <c r="BG22" s="188">
        <f>[2]CZ_decarbplus_opex!AX22</f>
        <v>7.8499999999999997E-5</v>
      </c>
      <c r="BH22" s="188">
        <f>[3]CZ_decarb_opex!I22</f>
        <v>2.3390310783438801E-5</v>
      </c>
      <c r="BI22" s="188">
        <f>[2]CZ_decarbplus_opex!AY22</f>
        <v>7.0300000000000001E-5</v>
      </c>
      <c r="BJ22" s="188">
        <f>[2]CZ_decarbplus_opex!AZ22</f>
        <v>1.702985E-3</v>
      </c>
      <c r="BK22" s="188">
        <f>[2]CZ_decarbplus_opex!BA22</f>
        <v>8.3399999999999998E-6</v>
      </c>
      <c r="BL22" s="188">
        <f>[2]CZ_decarbplus_opex!BB22</f>
        <v>0</v>
      </c>
      <c r="BM22" s="188">
        <f>[3]CZ_decarb_opex!J22</f>
        <v>4.1349560849230603E-5</v>
      </c>
      <c r="BN22" s="188">
        <f>[3]CZ_decarb_opex!K22</f>
        <v>5.3760654252330501E-5</v>
      </c>
      <c r="BO22" s="188">
        <f>[3]CZ_decarb_opex!L22</f>
        <v>2.4892221796272702E-5</v>
      </c>
      <c r="BP22" s="188">
        <f>[3]CZ_decarb_opex!M22</f>
        <v>1.1117066608954801E-5</v>
      </c>
      <c r="BQ22" s="188">
        <f>[3]CZ_decarb_opex!N22</f>
        <v>9.0403126082155297E-6</v>
      </c>
      <c r="BR22" s="188">
        <f>[3]CZ_decarb_opex!O22</f>
        <v>1.4618620674975899E-5</v>
      </c>
      <c r="BS22" s="188">
        <f>[3]CZ_decarb_opex!P22</f>
        <v>3.8759686665575602E-5</v>
      </c>
      <c r="BT22" s="188">
        <f>[3]CZ_decarb_opex!Q22</f>
        <v>3.63307388147685E-4</v>
      </c>
      <c r="BU22" s="188">
        <f>[3]CZ_decarb_opex!R22</f>
        <v>1.07917541842892E-5</v>
      </c>
      <c r="BV22" s="188">
        <f>[3]CZ_decarb_opex!S22</f>
        <v>1.07917541842892E-5</v>
      </c>
      <c r="BW22" s="188">
        <f>[3]CZ_decarb_opex!T22</f>
        <v>1.07147097561042E-4</v>
      </c>
      <c r="BX22" s="188">
        <f>[3]CZ_decarb_opex!U22</f>
        <v>4.0542645059232103E-5</v>
      </c>
      <c r="BY22" s="188">
        <f>[3]CZ_decarb_opex!V22</f>
        <v>5.1891912757954697E-5</v>
      </c>
      <c r="BZ22" s="188">
        <f>[2]CZ_decarbplus_opex!BC22</f>
        <v>2.0100000000000001E-5</v>
      </c>
      <c r="CA22" s="188">
        <f>[2]CZ_decarbplus_opex!BD22</f>
        <v>1.84E-5</v>
      </c>
      <c r="CB22" s="188">
        <f>[2]CZ_decarbplus_opex!BE22</f>
        <v>2.0299999999999999E-5</v>
      </c>
      <c r="CC22" s="188">
        <f>[2]CZ_decarbplus_opex!BF22</f>
        <v>1.7499999999999998E-5</v>
      </c>
      <c r="CD22" s="188">
        <f>[2]CZ_decarbplus_opex!BG22</f>
        <v>3.2140399E-2</v>
      </c>
      <c r="CE22" s="188">
        <f>[2]CZ_decarbplus_opex!BH22</f>
        <v>6.2000000000000003E-5</v>
      </c>
      <c r="CF22" s="188">
        <f>[2]CZ_decarbplus_opex!BI22</f>
        <v>4.5200000000000001E-5</v>
      </c>
      <c r="CG22" s="188">
        <f>[2]CZ_decarbplus_opex!BJ22</f>
        <v>8.4700000000000002E-6</v>
      </c>
    </row>
    <row r="23" spans="1:85" x14ac:dyDescent="0.25">
      <c r="A23" s="5" t="s">
        <v>65</v>
      </c>
      <c r="B23" s="2" t="s">
        <v>64</v>
      </c>
      <c r="C23" s="1" t="s">
        <v>326</v>
      </c>
      <c r="D23" s="187">
        <f>[2]CZ_decarbplus_opex!B23</f>
        <v>1.0719500000000001E-4</v>
      </c>
      <c r="E23" s="187">
        <f>[2]CZ_decarbplus_opex!C23</f>
        <v>1.8899999999999999E-5</v>
      </c>
      <c r="F23" s="187">
        <f>[2]CZ_decarbplus_opex!D23</f>
        <v>2.3900000000000002E-5</v>
      </c>
      <c r="G23" s="187">
        <f>[2]CZ_decarbplus_opex!E23</f>
        <v>4.0600000000000001E-6</v>
      </c>
      <c r="H23" s="187">
        <f>[2]CZ_decarbplus_opex!F23</f>
        <v>6.3799999999999999E-6</v>
      </c>
      <c r="I23" s="187">
        <f>[2]CZ_decarbplus_opex!G23</f>
        <v>3.01E-5</v>
      </c>
      <c r="J23" s="187">
        <f>[2]CZ_decarbplus_opex!H23</f>
        <v>7.9900000000000004E-5</v>
      </c>
      <c r="K23" s="187">
        <f>[2]CZ_decarbplus_opex!I23</f>
        <v>9.9000000000000001E-6</v>
      </c>
      <c r="L23" s="187">
        <f>[2]CZ_decarbplus_opex!J23</f>
        <v>3.5200000000000002E-5</v>
      </c>
      <c r="M23" s="187">
        <f>[2]CZ_decarbplus_opex!K23</f>
        <v>4.6E-5</v>
      </c>
      <c r="N23" s="187">
        <f>[2]CZ_decarbplus_opex!L23</f>
        <v>4.6100000000000002E-5</v>
      </c>
      <c r="O23" s="187">
        <f>[2]CZ_decarbplus_opex!M23</f>
        <v>4.6199999999999998E-5</v>
      </c>
      <c r="P23" s="187">
        <f>[2]CZ_decarbplus_opex!N23</f>
        <v>1.8848399999999999E-4</v>
      </c>
      <c r="Q23" s="187">
        <f>[2]CZ_decarbplus_opex!O23</f>
        <v>1.5505298000000001E-2</v>
      </c>
      <c r="R23" s="187">
        <f>[2]CZ_decarbplus_opex!P23</f>
        <v>3.5299999999999997E-5</v>
      </c>
      <c r="S23" s="187">
        <f>[2]CZ_decarbplus_opex!Q23</f>
        <v>4.8155700000000002E-4</v>
      </c>
      <c r="T23" s="187">
        <f>[2]CZ_decarbplus_opex!R23</f>
        <v>1.2613899999999999E-4</v>
      </c>
      <c r="U23" s="187">
        <f>[2]CZ_decarbplus_opex!S23</f>
        <v>8.1799999999999996E-5</v>
      </c>
      <c r="V23" s="187">
        <f>[2]CZ_decarbplus_opex!T23</f>
        <v>8.8399999999999994E-5</v>
      </c>
      <c r="W23" s="187">
        <f>[2]CZ_decarbplus_opex!U23</f>
        <v>4.2700000000000001E-5</v>
      </c>
      <c r="X23" s="187">
        <f>[2]CZ_decarbplus_opex!V23</f>
        <v>2.19E-5</v>
      </c>
      <c r="Y23" s="187">
        <f>[2]CZ_decarbplus_opex!W23</f>
        <v>1.6399999999999999E-5</v>
      </c>
      <c r="Z23" s="187">
        <f>[2]CZ_decarbplus_opex!X23</f>
        <v>9.5199999999999997E-5</v>
      </c>
      <c r="AA23" s="187">
        <f>[2]CZ_decarbplus_opex!Y23</f>
        <v>5.52E-5</v>
      </c>
      <c r="AB23" s="188">
        <f>[3]CZ_decarb_opex!B23</f>
        <v>1.23299211956506E-4</v>
      </c>
      <c r="AC23" s="188">
        <f>[3]CZ_decarb_opex!C23</f>
        <v>5.4895872104014698E-5</v>
      </c>
      <c r="AD23" s="188">
        <f>[3]CZ_decarb_opex!D23</f>
        <v>5.7937683640318899E-5</v>
      </c>
      <c r="AE23" s="188">
        <f>[2]CZ_decarbplus_opex!Z23</f>
        <v>5.9299999999999998E-5</v>
      </c>
      <c r="AF23" s="188">
        <f>[2]CZ_decarbplus_opex!AA23</f>
        <v>1.1987160000000001E-3</v>
      </c>
      <c r="AG23" s="188">
        <f>[2]CZ_decarbplus_opex!AB23</f>
        <v>3.0606999999999997E-4</v>
      </c>
      <c r="AH23" s="188">
        <f>[2]CZ_decarbplus_opex!AC23</f>
        <v>6.4900000000000005E-5</v>
      </c>
      <c r="AI23" s="188">
        <f>[2]CZ_decarbplus_opex!AD23</f>
        <v>7.6899999999999999E-5</v>
      </c>
      <c r="AJ23" s="188">
        <f>[2]CZ_decarbplus_opex!AE23</f>
        <v>7.4800000000000002E-5</v>
      </c>
      <c r="AK23" s="188">
        <f>[2]CZ_decarbplus_opex!AF23</f>
        <v>5.2800000000000003E-5</v>
      </c>
      <c r="AL23" s="188">
        <f>[3]CZ_decarb_opex!E23</f>
        <v>5.2649147008735097E-5</v>
      </c>
      <c r="AM23" s="188">
        <f>[3]CZ_decarb_opex!F23</f>
        <v>4.9804804504434797E-5</v>
      </c>
      <c r="AN23" s="188">
        <f>[2]CZ_decarbplus_opex!AG23</f>
        <v>7.5599999999999994E-5</v>
      </c>
      <c r="AO23" s="188">
        <f>[3]CZ_decarb_opex!G23</f>
        <v>2.0532099398601499E-4</v>
      </c>
      <c r="AP23" s="188">
        <f>[3]CZ_decarb_opex!H23</f>
        <v>3.5250759183475501E-5</v>
      </c>
      <c r="AQ23" s="188">
        <f>[2]CZ_decarbplus_opex!AH23</f>
        <v>5.13E-5</v>
      </c>
      <c r="AR23" s="188">
        <f>[2]CZ_decarbplus_opex!AI23</f>
        <v>0</v>
      </c>
      <c r="AS23" s="188">
        <f>[2]CZ_decarbplus_opex!AJ23</f>
        <v>1.0453E-4</v>
      </c>
      <c r="AT23" s="188">
        <f>[2]CZ_decarbplus_opex!AK23</f>
        <v>9.1899999999999998E-5</v>
      </c>
      <c r="AU23" s="188">
        <f>[2]CZ_decarbplus_opex!AL23</f>
        <v>2.7399999999999999E-5</v>
      </c>
      <c r="AV23" s="188">
        <f>[2]CZ_decarbplus_opex!AM23</f>
        <v>2.5700000000000001E-5</v>
      </c>
      <c r="AW23" s="188">
        <f>[2]CZ_decarbplus_opex!AN23</f>
        <v>2.4199999999999999E-5</v>
      </c>
      <c r="AX23" s="188">
        <f>[2]CZ_decarbplus_opex!AO23</f>
        <v>0</v>
      </c>
      <c r="AY23" s="188">
        <f>[2]CZ_decarbplus_opex!AP23</f>
        <v>1.10171E-4</v>
      </c>
      <c r="AZ23" s="188">
        <f>[2]CZ_decarbplus_opex!AQ23</f>
        <v>0</v>
      </c>
      <c r="BA23" s="188">
        <f>[2]CZ_decarbplus_opex!AR23</f>
        <v>4.3099999999999997E-5</v>
      </c>
      <c r="BB23" s="188">
        <f>[2]CZ_decarbplus_opex!AS23</f>
        <v>4.5800000000000002E-5</v>
      </c>
      <c r="BC23" s="188">
        <f>[2]CZ_decarbplus_opex!AT23</f>
        <v>9.4699999999999998E-5</v>
      </c>
      <c r="BD23" s="188">
        <f>[2]CZ_decarbplus_opex!AU23</f>
        <v>1.11879E-4</v>
      </c>
      <c r="BE23" s="188">
        <f>[2]CZ_decarbplus_opex!AV23</f>
        <v>1.04621E-4</v>
      </c>
      <c r="BF23" s="188">
        <f>[2]CZ_decarbplus_opex!AW23</f>
        <v>7.9900000000000004E-5</v>
      </c>
      <c r="BG23" s="188">
        <f>[2]CZ_decarbplus_opex!AX23</f>
        <v>1.4765500000000001E-4</v>
      </c>
      <c r="BH23" s="188">
        <f>[3]CZ_decarb_opex!I23</f>
        <v>5.65782206551005E-5</v>
      </c>
      <c r="BI23" s="188">
        <f>[2]CZ_decarbplus_opex!AY23</f>
        <v>1.10988E-4</v>
      </c>
      <c r="BJ23" s="188">
        <f>[2]CZ_decarbplus_opex!AZ23</f>
        <v>2.6680717E-2</v>
      </c>
      <c r="BK23" s="188">
        <f>[2]CZ_decarbplus_opex!BA23</f>
        <v>1.63E-5</v>
      </c>
      <c r="BL23" s="188">
        <f>[2]CZ_decarbplus_opex!BB23</f>
        <v>0</v>
      </c>
      <c r="BM23" s="188">
        <f>[3]CZ_decarb_opex!J23</f>
        <v>1.0545997880040001E-4</v>
      </c>
      <c r="BN23" s="188">
        <f>[3]CZ_decarb_opex!K23</f>
        <v>1.7219299274710999E-4</v>
      </c>
      <c r="BO23" s="188">
        <f>[3]CZ_decarb_opex!L23</f>
        <v>3.9761454309178203E-5</v>
      </c>
      <c r="BP23" s="188">
        <f>[3]CZ_decarb_opex!M23</f>
        <v>3.5398760556679297E-5</v>
      </c>
      <c r="BQ23" s="188">
        <f>[3]CZ_decarb_opex!N23</f>
        <v>3.5978476572175E-5</v>
      </c>
      <c r="BR23" s="188">
        <f>[3]CZ_decarb_opex!O23</f>
        <v>7.0125071885459699E-5</v>
      </c>
      <c r="BS23" s="188">
        <f>[3]CZ_decarb_opex!P23</f>
        <v>1.3738394857886E-4</v>
      </c>
      <c r="BT23" s="188">
        <f>[3]CZ_decarb_opex!Q23</f>
        <v>2.1398877427752801E-3</v>
      </c>
      <c r="BU23" s="188">
        <f>[3]CZ_decarb_opex!R23</f>
        <v>3.0732919006324203E-5</v>
      </c>
      <c r="BV23" s="188">
        <f>[3]CZ_decarb_opex!S23</f>
        <v>3.0732919006324203E-5</v>
      </c>
      <c r="BW23" s="188">
        <f>[3]CZ_decarb_opex!T23</f>
        <v>2.1746832607788999E-4</v>
      </c>
      <c r="BX23" s="188">
        <f>[3]CZ_decarb_opex!U23</f>
        <v>7.7638325067733505E-5</v>
      </c>
      <c r="BY23" s="188">
        <f>[3]CZ_decarb_opex!V23</f>
        <v>4.1175999723422601E-5</v>
      </c>
      <c r="BZ23" s="188">
        <f>[2]CZ_decarbplus_opex!BC23</f>
        <v>6.3E-5</v>
      </c>
      <c r="CA23" s="188">
        <f>[2]CZ_decarbplus_opex!BD23</f>
        <v>4.3099999999999997E-5</v>
      </c>
      <c r="CB23" s="188">
        <f>[2]CZ_decarbplus_opex!BE23</f>
        <v>4.7599999999999998E-5</v>
      </c>
      <c r="CC23" s="188">
        <f>[2]CZ_decarbplus_opex!BF23</f>
        <v>5.2800000000000003E-5</v>
      </c>
      <c r="CD23" s="188">
        <f>[2]CZ_decarbplus_opex!BG23</f>
        <v>1.96348E-4</v>
      </c>
      <c r="CE23" s="188">
        <f>[2]CZ_decarbplus_opex!BH23</f>
        <v>8.3399999999999994E-5</v>
      </c>
      <c r="CF23" s="188">
        <f>[2]CZ_decarbplus_opex!BI23</f>
        <v>8.9300000000000002E-5</v>
      </c>
      <c r="CG23" s="188">
        <f>[2]CZ_decarbplus_opex!BJ23</f>
        <v>1.8300000000000001E-5</v>
      </c>
    </row>
    <row r="24" spans="1:85" x14ac:dyDescent="0.25">
      <c r="A24" s="5" t="s">
        <v>67</v>
      </c>
      <c r="B24" s="2" t="s">
        <v>66</v>
      </c>
      <c r="C24" s="1" t="s">
        <v>326</v>
      </c>
      <c r="D24" s="187">
        <f>[2]CZ_decarbplus_opex!B24</f>
        <v>2.9499999999999998E-7</v>
      </c>
      <c r="E24" s="187">
        <f>[2]CZ_decarbplus_opex!C24</f>
        <v>2.11E-7</v>
      </c>
      <c r="F24" s="187">
        <f>[2]CZ_decarbplus_opex!D24</f>
        <v>1.43E-7</v>
      </c>
      <c r="G24" s="187">
        <f>[2]CZ_decarbplus_opex!E24</f>
        <v>9.76E-8</v>
      </c>
      <c r="H24" s="187">
        <f>[2]CZ_decarbplus_opex!F24</f>
        <v>1.1300000000000001E-7</v>
      </c>
      <c r="I24" s="187">
        <f>[2]CZ_decarbplus_opex!G24</f>
        <v>4.82E-7</v>
      </c>
      <c r="J24" s="187">
        <f>[2]CZ_decarbplus_opex!H24</f>
        <v>1.02E-6</v>
      </c>
      <c r="K24" s="187">
        <f>[2]CZ_decarbplus_opex!I24</f>
        <v>2.8299999999999998E-7</v>
      </c>
      <c r="L24" s="187">
        <f>[2]CZ_decarbplus_opex!J24</f>
        <v>2.1799999999999999E-7</v>
      </c>
      <c r="M24" s="187">
        <f>[2]CZ_decarbplus_opex!K24</f>
        <v>4.4400000000000001E-7</v>
      </c>
      <c r="N24" s="187">
        <f>[2]CZ_decarbplus_opex!L24</f>
        <v>5.0299999999999999E-7</v>
      </c>
      <c r="O24" s="187">
        <f>[2]CZ_decarbplus_opex!M24</f>
        <v>1.72E-7</v>
      </c>
      <c r="P24" s="187">
        <f>[2]CZ_decarbplus_opex!N24</f>
        <v>2.6800000000000002E-7</v>
      </c>
      <c r="Q24" s="187">
        <f>[2]CZ_decarbplus_opex!O24</f>
        <v>5.5500000000000001E-8</v>
      </c>
      <c r="R24" s="187">
        <f>[2]CZ_decarbplus_opex!P24</f>
        <v>2.0100000000000001E-7</v>
      </c>
      <c r="S24" s="187">
        <f>[2]CZ_decarbplus_opex!Q24</f>
        <v>4.5600000000000001E-7</v>
      </c>
      <c r="T24" s="187">
        <f>[2]CZ_decarbplus_opex!R24</f>
        <v>6.8400000000000004E-7</v>
      </c>
      <c r="U24" s="187">
        <f>[2]CZ_decarbplus_opex!S24</f>
        <v>1.6300000000000001E-6</v>
      </c>
      <c r="V24" s="187">
        <f>[2]CZ_decarbplus_opex!T24</f>
        <v>2.3499999999999999E-6</v>
      </c>
      <c r="W24" s="187">
        <f>[2]CZ_decarbplus_opex!U24</f>
        <v>3.2500000000000001E-7</v>
      </c>
      <c r="X24" s="187">
        <f>[2]CZ_decarbplus_opex!V24</f>
        <v>1.9600000000000001E-7</v>
      </c>
      <c r="Y24" s="187">
        <f>[2]CZ_decarbplus_opex!W24</f>
        <v>3.0699999999999998E-7</v>
      </c>
      <c r="Z24" s="187">
        <f>[2]CZ_decarbplus_opex!X24</f>
        <v>1.2899999999999999E-6</v>
      </c>
      <c r="AA24" s="187">
        <f>[2]CZ_decarbplus_opex!Y24</f>
        <v>1.7400000000000001E-6</v>
      </c>
      <c r="AB24" s="188">
        <f>[3]CZ_decarb_opex!B24</f>
        <v>5.2362642652402097E-6</v>
      </c>
      <c r="AC24" s="188">
        <f>[3]CZ_decarb_opex!C24</f>
        <v>1.2213668326568499E-6</v>
      </c>
      <c r="AD24" s="188">
        <f>[3]CZ_decarb_opex!D24</f>
        <v>5.8375204116164799E-7</v>
      </c>
      <c r="AE24" s="188">
        <f>[2]CZ_decarbplus_opex!Z24</f>
        <v>5.5799999999999999E-7</v>
      </c>
      <c r="AF24" s="188">
        <f>[2]CZ_decarbplus_opex!AA24</f>
        <v>4.75E-7</v>
      </c>
      <c r="AG24" s="188">
        <f>[2]CZ_decarbplus_opex!AB24</f>
        <v>1.2599999999999999E-7</v>
      </c>
      <c r="AH24" s="188">
        <f>[2]CZ_decarbplus_opex!AC24</f>
        <v>2.7500000000000001E-7</v>
      </c>
      <c r="AI24" s="188">
        <f>[2]CZ_decarbplus_opex!AD24</f>
        <v>5.3399999999999999E-7</v>
      </c>
      <c r="AJ24" s="188">
        <f>[2]CZ_decarbplus_opex!AE24</f>
        <v>4.0400000000000002E-7</v>
      </c>
      <c r="AK24" s="188">
        <f>[2]CZ_decarbplus_opex!AF24</f>
        <v>4.7599999999999997E-7</v>
      </c>
      <c r="AL24" s="188">
        <f>[3]CZ_decarb_opex!E24</f>
        <v>3.27917057013687E-7</v>
      </c>
      <c r="AM24" s="188">
        <f>[3]CZ_decarb_opex!F24</f>
        <v>4.3347905772532899E-7</v>
      </c>
      <c r="AN24" s="188">
        <f>[2]CZ_decarbplus_opex!AG24</f>
        <v>4.01E-7</v>
      </c>
      <c r="AO24" s="188">
        <f>[3]CZ_decarb_opex!G24</f>
        <v>1.60314168903746E-7</v>
      </c>
      <c r="AP24" s="188">
        <f>[3]CZ_decarb_opex!H24</f>
        <v>2.1244611155283699E-7</v>
      </c>
      <c r="AQ24" s="188">
        <f>[2]CZ_decarbplus_opex!AH24</f>
        <v>2.4600000000000001E-7</v>
      </c>
      <c r="AR24" s="188">
        <f>[2]CZ_decarbplus_opex!AI24</f>
        <v>0</v>
      </c>
      <c r="AS24" s="188">
        <f>[2]CZ_decarbplus_opex!AJ24</f>
        <v>2.2000000000000001E-7</v>
      </c>
      <c r="AT24" s="188">
        <f>[2]CZ_decarbplus_opex!AK24</f>
        <v>1.91E-7</v>
      </c>
      <c r="AU24" s="188">
        <f>[2]CZ_decarbplus_opex!AL24</f>
        <v>2.22E-7</v>
      </c>
      <c r="AV24" s="188">
        <f>[2]CZ_decarbplus_opex!AM24</f>
        <v>2.22E-7</v>
      </c>
      <c r="AW24" s="188">
        <f>[2]CZ_decarbplus_opex!AN24</f>
        <v>1.99E-7</v>
      </c>
      <c r="AX24" s="188">
        <f>[2]CZ_decarbplus_opex!AO24</f>
        <v>0</v>
      </c>
      <c r="AY24" s="188">
        <f>[2]CZ_decarbplus_opex!AP24</f>
        <v>6.7999999999999995E-7</v>
      </c>
      <c r="AZ24" s="188">
        <f>[2]CZ_decarbplus_opex!AQ24</f>
        <v>0</v>
      </c>
      <c r="BA24" s="188">
        <f>[2]CZ_decarbplus_opex!AR24</f>
        <v>2.3099999999999999E-7</v>
      </c>
      <c r="BB24" s="188">
        <f>[2]CZ_decarbplus_opex!AS24</f>
        <v>1.6999999999999999E-7</v>
      </c>
      <c r="BC24" s="188">
        <f>[2]CZ_decarbplus_opex!AT24</f>
        <v>3.2899999999999999E-7</v>
      </c>
      <c r="BD24" s="188">
        <f>[2]CZ_decarbplus_opex!AU24</f>
        <v>1.6999999999999999E-7</v>
      </c>
      <c r="BE24" s="188">
        <f>[2]CZ_decarbplus_opex!AV24</f>
        <v>4.8699999999999995E-7</v>
      </c>
      <c r="BF24" s="188">
        <f>[2]CZ_decarbplus_opex!AW24</f>
        <v>1.18E-7</v>
      </c>
      <c r="BG24" s="188">
        <f>[2]CZ_decarbplus_opex!AX24</f>
        <v>3.4299999999999999E-7</v>
      </c>
      <c r="BH24" s="188">
        <f>[3]CZ_decarb_opex!I24</f>
        <v>2.7362521902359301E-7</v>
      </c>
      <c r="BI24" s="188">
        <f>[2]CZ_decarbplus_opex!AY24</f>
        <v>3.96E-7</v>
      </c>
      <c r="BJ24" s="188">
        <f>[2]CZ_decarbplus_opex!AZ24</f>
        <v>1.73E-7</v>
      </c>
      <c r="BK24" s="188">
        <f>[2]CZ_decarbplus_opex!BA24</f>
        <v>1.48E-7</v>
      </c>
      <c r="BL24" s="188">
        <f>[2]CZ_decarbplus_opex!BB24</f>
        <v>0</v>
      </c>
      <c r="BM24" s="188">
        <f>[3]CZ_decarb_opex!J24</f>
        <v>1.16240307273316E-6</v>
      </c>
      <c r="BN24" s="188">
        <f>[3]CZ_decarb_opex!K24</f>
        <v>1.18203024059604E-6</v>
      </c>
      <c r="BO24" s="188">
        <f>[3]CZ_decarb_opex!L24</f>
        <v>4.9844305641103203E-7</v>
      </c>
      <c r="BP24" s="188">
        <f>[3]CZ_decarb_opex!M24</f>
        <v>7.6550058821843702E-7</v>
      </c>
      <c r="BQ24" s="188">
        <f>[3]CZ_decarb_opex!N24</f>
        <v>1.1910926338215999E-6</v>
      </c>
      <c r="BR24" s="188">
        <f>[3]CZ_decarb_opex!O24</f>
        <v>4.67201823025258E-8</v>
      </c>
      <c r="BS24" s="188">
        <f>[3]CZ_decarb_opex!P24</f>
        <v>2.1585067224318701E-6</v>
      </c>
      <c r="BT24" s="188">
        <f>[3]CZ_decarb_opex!Q24</f>
        <v>4.7587164082679898E-7</v>
      </c>
      <c r="BU24" s="188">
        <f>[3]CZ_decarb_opex!R24</f>
        <v>6.5533633547143798E-7</v>
      </c>
      <c r="BV24" s="188">
        <f>[3]CZ_decarb_opex!S24</f>
        <v>6.5533633547144105E-7</v>
      </c>
      <c r="BW24" s="188">
        <f>[3]CZ_decarb_opex!T24</f>
        <v>1.00691333690043E-7</v>
      </c>
      <c r="BX24" s="188">
        <f>[3]CZ_decarb_opex!U24</f>
        <v>1.0095853595881E-7</v>
      </c>
      <c r="BY24" s="188">
        <f>[3]CZ_decarb_opex!V24</f>
        <v>1.6093042923231299E-7</v>
      </c>
      <c r="BZ24" s="188">
        <f>[2]CZ_decarbplus_opex!BC24</f>
        <v>9.7999999999999993E-7</v>
      </c>
      <c r="CA24" s="188">
        <f>[2]CZ_decarbplus_opex!BD24</f>
        <v>7.2699999999999999E-7</v>
      </c>
      <c r="CB24" s="188">
        <f>[2]CZ_decarbplus_opex!BE24</f>
        <v>7.8400000000000003E-7</v>
      </c>
      <c r="CC24" s="188">
        <f>[2]CZ_decarbplus_opex!BF24</f>
        <v>4.1699999999999999E-7</v>
      </c>
      <c r="CD24" s="188">
        <f>[2]CZ_decarbplus_opex!BG24</f>
        <v>8.7400000000000002E-7</v>
      </c>
      <c r="CE24" s="188">
        <f>[2]CZ_decarbplus_opex!BH24</f>
        <v>4.6600000000000002E-7</v>
      </c>
      <c r="CF24" s="188">
        <f>[2]CZ_decarbplus_opex!BI24</f>
        <v>4.51E-7</v>
      </c>
      <c r="CG24" s="188">
        <f>[2]CZ_decarbplus_opex!BJ24</f>
        <v>2.34E-7</v>
      </c>
    </row>
    <row r="25" spans="1:85" x14ac:dyDescent="0.25">
      <c r="A25" s="5" t="s">
        <v>69</v>
      </c>
      <c r="B25" s="2" t="s">
        <v>68</v>
      </c>
      <c r="C25" s="1" t="s">
        <v>326</v>
      </c>
      <c r="D25" s="187">
        <f>[2]CZ_decarbplus_opex!B25</f>
        <v>2.4517000000000001E-4</v>
      </c>
      <c r="E25" s="187">
        <f>[2]CZ_decarbplus_opex!C25</f>
        <v>7.47E-5</v>
      </c>
      <c r="F25" s="187">
        <f>[2]CZ_decarbplus_opex!D25</f>
        <v>4.1100000000000003E-5</v>
      </c>
      <c r="G25" s="187">
        <f>[2]CZ_decarbplus_opex!E25</f>
        <v>6.4200000000000004E-6</v>
      </c>
      <c r="H25" s="187">
        <f>[2]CZ_decarbplus_opex!F25</f>
        <v>1.33E-5</v>
      </c>
      <c r="I25" s="187">
        <f>[2]CZ_decarbplus_opex!G25</f>
        <v>1.68271E-4</v>
      </c>
      <c r="J25" s="187">
        <f>[2]CZ_decarbplus_opex!H25</f>
        <v>3.9854300000000001E-4</v>
      </c>
      <c r="K25" s="187">
        <f>[2]CZ_decarbplus_opex!I25</f>
        <v>1.8600000000000001E-5</v>
      </c>
      <c r="L25" s="187">
        <f>[2]CZ_decarbplus_opex!J25</f>
        <v>1.4455800000000001E-4</v>
      </c>
      <c r="M25" s="187">
        <f>[2]CZ_decarbplus_opex!K25</f>
        <v>4.2656399999999999E-4</v>
      </c>
      <c r="N25" s="187">
        <f>[2]CZ_decarbplus_opex!L25</f>
        <v>2.0926399999999999E-4</v>
      </c>
      <c r="O25" s="187">
        <f>[2]CZ_decarbplus_opex!M25</f>
        <v>2.9155799999999998E-4</v>
      </c>
      <c r="P25" s="187">
        <f>[2]CZ_decarbplus_opex!N25</f>
        <v>3.1367400000000001E-4</v>
      </c>
      <c r="Q25" s="187">
        <f>[2]CZ_decarbplus_opex!O25</f>
        <v>1.9826800000000001E-4</v>
      </c>
      <c r="R25" s="187">
        <f>[2]CZ_decarbplus_opex!P25</f>
        <v>3.9100000000000002E-5</v>
      </c>
      <c r="S25" s="187">
        <f>[2]CZ_decarbplus_opex!Q25</f>
        <v>1.33938E-4</v>
      </c>
      <c r="T25" s="187">
        <f>[2]CZ_decarbplus_opex!R25</f>
        <v>1.66212E-4</v>
      </c>
      <c r="U25" s="187">
        <f>[2]CZ_decarbplus_opex!S25</f>
        <v>4.9059600000000004E-4</v>
      </c>
      <c r="V25" s="187">
        <f>[2]CZ_decarbplus_opex!T25</f>
        <v>3.75588E-4</v>
      </c>
      <c r="W25" s="187">
        <f>[2]CZ_decarbplus_opex!U25</f>
        <v>1.6208499999999999E-4</v>
      </c>
      <c r="X25" s="187">
        <f>[2]CZ_decarbplus_opex!V25</f>
        <v>9.5099999999999994E-5</v>
      </c>
      <c r="Y25" s="187">
        <f>[2]CZ_decarbplus_opex!W25</f>
        <v>2.2097100000000001E-4</v>
      </c>
      <c r="Z25" s="187">
        <f>[2]CZ_decarbplus_opex!X25</f>
        <v>4.6756400000000001E-4</v>
      </c>
      <c r="AA25" s="187">
        <f>[2]CZ_decarbplus_opex!Y25</f>
        <v>2.0090099999999999E-4</v>
      </c>
      <c r="AB25" s="188">
        <f>[3]CZ_decarb_opex!B25</f>
        <v>4.0134028601514697E-5</v>
      </c>
      <c r="AC25" s="188">
        <f>[3]CZ_decarb_opex!C25</f>
        <v>4.4743317631299698E-4</v>
      </c>
      <c r="AD25" s="188">
        <f>[3]CZ_decarb_opex!D25</f>
        <v>5.0096477416577999E-4</v>
      </c>
      <c r="AE25" s="188">
        <f>[2]CZ_decarbplus_opex!Z25</f>
        <v>4.8139500000000002E-4</v>
      </c>
      <c r="AF25" s="188">
        <f>[2]CZ_decarbplus_opex!AA25</f>
        <v>4.6055400000000001E-4</v>
      </c>
      <c r="AG25" s="188">
        <f>[2]CZ_decarbplus_opex!AB25</f>
        <v>9.7E-5</v>
      </c>
      <c r="AH25" s="188">
        <f>[2]CZ_decarbplus_opex!AC25</f>
        <v>5.8799999999999999E-5</v>
      </c>
      <c r="AI25" s="188">
        <f>[2]CZ_decarbplus_opex!AD25</f>
        <v>1.2656200000000001E-4</v>
      </c>
      <c r="AJ25" s="188">
        <f>[2]CZ_decarbplus_opex!AE25</f>
        <v>5.13E-5</v>
      </c>
      <c r="AK25" s="188">
        <f>[2]CZ_decarbplus_opex!AF25</f>
        <v>9.1799999999999995E-5</v>
      </c>
      <c r="AL25" s="188">
        <f>[3]CZ_decarb_opex!E25</f>
        <v>1.5542377010820699E-4</v>
      </c>
      <c r="AM25" s="188">
        <f>[3]CZ_decarb_opex!F25</f>
        <v>9.7343174444135806E-5</v>
      </c>
      <c r="AN25" s="188">
        <f>[2]CZ_decarbplus_opex!AG25</f>
        <v>2.1473099999999999E-4</v>
      </c>
      <c r="AO25" s="188">
        <f>[3]CZ_decarb_opex!G25</f>
        <v>1.1474294107694601E-4</v>
      </c>
      <c r="AP25" s="188">
        <f>[3]CZ_decarb_opex!H25</f>
        <v>2.1774112390585099E-4</v>
      </c>
      <c r="AQ25" s="188">
        <f>[2]CZ_decarbplus_opex!AH25</f>
        <v>1.3376999999999999E-4</v>
      </c>
      <c r="AR25" s="188">
        <f>[2]CZ_decarbplus_opex!AI25</f>
        <v>0</v>
      </c>
      <c r="AS25" s="188">
        <f>[2]CZ_decarbplus_opex!AJ25</f>
        <v>1.5182499999999999E-4</v>
      </c>
      <c r="AT25" s="188">
        <f>[2]CZ_decarbplus_opex!AK25</f>
        <v>4.7800000000000003E-5</v>
      </c>
      <c r="AU25" s="188">
        <f>[2]CZ_decarbplus_opex!AL25</f>
        <v>2.0800000000000001E-5</v>
      </c>
      <c r="AV25" s="188">
        <f>[2]CZ_decarbplus_opex!AM25</f>
        <v>1.6500000000000001E-5</v>
      </c>
      <c r="AW25" s="188">
        <f>[2]CZ_decarbplus_opex!AN25</f>
        <v>7.2999999999999999E-5</v>
      </c>
      <c r="AX25" s="188">
        <f>[2]CZ_decarbplus_opex!AO25</f>
        <v>0</v>
      </c>
      <c r="AY25" s="188">
        <f>[2]CZ_decarbplus_opex!AP25</f>
        <v>6.7999999999999999E-5</v>
      </c>
      <c r="AZ25" s="188">
        <f>[2]CZ_decarbplus_opex!AQ25</f>
        <v>0</v>
      </c>
      <c r="BA25" s="188">
        <f>[2]CZ_decarbplus_opex!AR25</f>
        <v>1.0904900000000001E-4</v>
      </c>
      <c r="BB25" s="188">
        <f>[2]CZ_decarbplus_opex!AS25</f>
        <v>2.4080600000000001E-4</v>
      </c>
      <c r="BC25" s="188">
        <f>[2]CZ_decarbplus_opex!AT25</f>
        <v>4.4273799999999997E-4</v>
      </c>
      <c r="BD25" s="188">
        <f>[2]CZ_decarbplus_opex!AU25</f>
        <v>5.9299999999999998E-5</v>
      </c>
      <c r="BE25" s="188">
        <f>[2]CZ_decarbplus_opex!AV25</f>
        <v>2.1548199999999999E-4</v>
      </c>
      <c r="BF25" s="188">
        <f>[2]CZ_decarbplus_opex!AW25</f>
        <v>4.5200000000000001E-5</v>
      </c>
      <c r="BG25" s="188">
        <f>[2]CZ_decarbplus_opex!AX25</f>
        <v>2.5255999999999998E-4</v>
      </c>
      <c r="BH25" s="188">
        <f>[3]CZ_decarb_opex!I25</f>
        <v>1.5232161484567301E-4</v>
      </c>
      <c r="BI25" s="188">
        <f>[2]CZ_decarbplus_opex!AY25</f>
        <v>1.7933700000000001E-4</v>
      </c>
      <c r="BJ25" s="188">
        <f>[2]CZ_decarbplus_opex!AZ25</f>
        <v>1.77837E-4</v>
      </c>
      <c r="BK25" s="188">
        <f>[2]CZ_decarbplus_opex!BA25</f>
        <v>1.42476E-4</v>
      </c>
      <c r="BL25" s="188">
        <f>[2]CZ_decarbplus_opex!BB25</f>
        <v>0</v>
      </c>
      <c r="BM25" s="188">
        <f>[3]CZ_decarb_opex!J25</f>
        <v>1.6002869877843799E-4</v>
      </c>
      <c r="BN25" s="188">
        <f>[3]CZ_decarb_opex!K25</f>
        <v>2.5186506284692898E-4</v>
      </c>
      <c r="BO25" s="188">
        <f>[3]CZ_decarb_opex!L25</f>
        <v>1.14219387489516E-4</v>
      </c>
      <c r="BP25" s="188">
        <f>[3]CZ_decarb_opex!M25</f>
        <v>8.3745667609641403E-5</v>
      </c>
      <c r="BQ25" s="188">
        <f>[3]CZ_decarb_opex!N25</f>
        <v>8.9234600161322406E-5</v>
      </c>
      <c r="BR25" s="188">
        <f>[3]CZ_decarb_opex!O25</f>
        <v>4.2884317864775998E-7</v>
      </c>
      <c r="BS25" s="188">
        <f>[3]CZ_decarb_opex!P25</f>
        <v>1.75791744095147E-4</v>
      </c>
      <c r="BT25" s="188">
        <f>[3]CZ_decarb_opex!Q25</f>
        <v>1.12169283837012E-6</v>
      </c>
      <c r="BU25" s="188">
        <f>[3]CZ_decarb_opex!R25</f>
        <v>4.5565258932628202E-5</v>
      </c>
      <c r="BV25" s="188">
        <f>[3]CZ_decarb_opex!S25</f>
        <v>4.5565258932628202E-5</v>
      </c>
      <c r="BW25" s="188">
        <f>[3]CZ_decarb_opex!T25</f>
        <v>2.5338256662939301E-6</v>
      </c>
      <c r="BX25" s="188">
        <f>[3]CZ_decarb_opex!U25</f>
        <v>8.5972434349110105E-8</v>
      </c>
      <c r="BY25" s="188">
        <f>[3]CZ_decarb_opex!V25</f>
        <v>8.14505876605582E-7</v>
      </c>
      <c r="BZ25" s="188">
        <f>[2]CZ_decarbplus_opex!BC25</f>
        <v>1.4871599999999999E-4</v>
      </c>
      <c r="CA25" s="188">
        <f>[2]CZ_decarbplus_opex!BD25</f>
        <v>7.5217899999999996E-4</v>
      </c>
      <c r="CB25" s="188">
        <f>[2]CZ_decarbplus_opex!BE25</f>
        <v>6.43398E-4</v>
      </c>
      <c r="CC25" s="188">
        <f>[2]CZ_decarbplus_opex!BF25</f>
        <v>2.3647719999999998E-3</v>
      </c>
      <c r="CD25" s="188">
        <f>[2]CZ_decarbplus_opex!BG25</f>
        <v>2.8367399999999998E-4</v>
      </c>
      <c r="CE25" s="188">
        <f>[2]CZ_decarbplus_opex!BH25</f>
        <v>1.671063E-3</v>
      </c>
      <c r="CF25" s="188">
        <f>[2]CZ_decarbplus_opex!BI25</f>
        <v>8.0830400000000003E-4</v>
      </c>
      <c r="CG25" s="188">
        <f>[2]CZ_decarbplus_opex!BJ25</f>
        <v>1.01482E-4</v>
      </c>
    </row>
    <row r="26" spans="1:85" x14ac:dyDescent="0.25">
      <c r="A26" s="5" t="s">
        <v>71</v>
      </c>
      <c r="B26" s="2" t="s">
        <v>70</v>
      </c>
      <c r="C26" s="1" t="s">
        <v>326</v>
      </c>
      <c r="D26" s="187">
        <f>[2]CZ_decarbplus_opex!B26</f>
        <v>4.7500000000000003E-6</v>
      </c>
      <c r="E26" s="187">
        <f>[2]CZ_decarbplus_opex!C26</f>
        <v>7.9999999999999996E-7</v>
      </c>
      <c r="F26" s="187">
        <f>[2]CZ_decarbplus_opex!D26</f>
        <v>1.8899999999999999E-6</v>
      </c>
      <c r="G26" s="187">
        <f>[2]CZ_decarbplus_opex!E26</f>
        <v>2.8700000000000002E-7</v>
      </c>
      <c r="H26" s="187">
        <f>[2]CZ_decarbplus_opex!F26</f>
        <v>1.2200000000000001E-7</v>
      </c>
      <c r="I26" s="187">
        <f>[2]CZ_decarbplus_opex!G26</f>
        <v>9.6599999999999994E-7</v>
      </c>
      <c r="J26" s="187">
        <f>[2]CZ_decarbplus_opex!H26</f>
        <v>3.9199999999999997E-6</v>
      </c>
      <c r="K26" s="187">
        <f>[2]CZ_decarbplus_opex!I26</f>
        <v>2.2000000000000001E-7</v>
      </c>
      <c r="L26" s="187">
        <f>[2]CZ_decarbplus_opex!J26</f>
        <v>3.3100000000000001E-6</v>
      </c>
      <c r="M26" s="187">
        <f>[2]CZ_decarbplus_opex!K26</f>
        <v>1.48E-6</v>
      </c>
      <c r="N26" s="187">
        <f>[2]CZ_decarbplus_opex!L26</f>
        <v>1.57E-6</v>
      </c>
      <c r="O26" s="187">
        <f>[2]CZ_decarbplus_opex!M26</f>
        <v>2.03E-6</v>
      </c>
      <c r="P26" s="187">
        <f>[2]CZ_decarbplus_opex!N26</f>
        <v>1.42E-6</v>
      </c>
      <c r="Q26" s="187">
        <f>[2]CZ_decarbplus_opex!O26</f>
        <v>6.7999999999999995E-7</v>
      </c>
      <c r="R26" s="187">
        <f>[2]CZ_decarbplus_opex!P26</f>
        <v>6.2799999999999996E-7</v>
      </c>
      <c r="S26" s="187">
        <f>[2]CZ_decarbplus_opex!Q26</f>
        <v>8.6400000000000001E-7</v>
      </c>
      <c r="T26" s="187">
        <f>[2]CZ_decarbplus_opex!R26</f>
        <v>1.4300000000000001E-6</v>
      </c>
      <c r="U26" s="187">
        <f>[2]CZ_decarbplus_opex!S26</f>
        <v>6.1600000000000001E-7</v>
      </c>
      <c r="V26" s="187">
        <f>[2]CZ_decarbplus_opex!T26</f>
        <v>4.9900000000000001E-7</v>
      </c>
      <c r="W26" s="187">
        <f>[2]CZ_decarbplus_opex!U26</f>
        <v>6.8800000000000002E-7</v>
      </c>
      <c r="X26" s="187">
        <f>[2]CZ_decarbplus_opex!V26</f>
        <v>7.3799999999999996E-7</v>
      </c>
      <c r="Y26" s="187">
        <f>[2]CZ_decarbplus_opex!W26</f>
        <v>3.3599999999999999E-7</v>
      </c>
      <c r="Z26" s="187">
        <f>[2]CZ_decarbplus_opex!X26</f>
        <v>1.1599999999999999E-6</v>
      </c>
      <c r="AA26" s="187">
        <f>[2]CZ_decarbplus_opex!Y26</f>
        <v>7.23E-7</v>
      </c>
      <c r="AB26" s="188">
        <f>[3]CZ_decarb_opex!B26</f>
        <v>3.7692057145822001E-6</v>
      </c>
      <c r="AC26" s="188">
        <f>[3]CZ_decarb_opex!C26</f>
        <v>1.3216069819405901E-6</v>
      </c>
      <c r="AD26" s="188">
        <f>[3]CZ_decarb_opex!D26</f>
        <v>1.1613598891655601E-6</v>
      </c>
      <c r="AE26" s="188">
        <f>[2]CZ_decarbplus_opex!Z26</f>
        <v>9.7699999999999992E-7</v>
      </c>
      <c r="AF26" s="188">
        <f>[2]CZ_decarbplus_opex!AA26</f>
        <v>1.7099999999999999E-5</v>
      </c>
      <c r="AG26" s="188">
        <f>[2]CZ_decarbplus_opex!AB26</f>
        <v>4.0999999999999997E-6</v>
      </c>
      <c r="AH26" s="188">
        <f>[2]CZ_decarbplus_opex!AC26</f>
        <v>9.91E-6</v>
      </c>
      <c r="AI26" s="188">
        <f>[2]CZ_decarbplus_opex!AD26</f>
        <v>6.3899999999999998E-6</v>
      </c>
      <c r="AJ26" s="188">
        <f>[2]CZ_decarbplus_opex!AE26</f>
        <v>3.4800000000000001E-6</v>
      </c>
      <c r="AK26" s="188">
        <f>[2]CZ_decarbplus_opex!AF26</f>
        <v>6.0100000000000001E-6</v>
      </c>
      <c r="AL26" s="188">
        <f>[3]CZ_decarb_opex!E26</f>
        <v>3.7848046652276698E-6</v>
      </c>
      <c r="AM26" s="188">
        <f>[3]CZ_decarb_opex!F26</f>
        <v>3.5134631998571202E-6</v>
      </c>
      <c r="AN26" s="188">
        <f>[2]CZ_decarbplus_opex!AG26</f>
        <v>7.2300000000000002E-6</v>
      </c>
      <c r="AO26" s="188">
        <f>[3]CZ_decarb_opex!G26</f>
        <v>3.6259517943428798E-2</v>
      </c>
      <c r="AP26" s="188">
        <f>[3]CZ_decarb_opex!H26</f>
        <v>3.9280943539919702E-5</v>
      </c>
      <c r="AQ26" s="188">
        <f>[2]CZ_decarbplus_opex!AH26</f>
        <v>1.9700000000000002E-6</v>
      </c>
      <c r="AR26" s="188">
        <f>[2]CZ_decarbplus_opex!AI26</f>
        <v>0</v>
      </c>
      <c r="AS26" s="188">
        <f>[2]CZ_decarbplus_opex!AJ26</f>
        <v>1.39574E-4</v>
      </c>
      <c r="AT26" s="188">
        <f>[2]CZ_decarbplus_opex!AK26</f>
        <v>6.2899999999999999E-6</v>
      </c>
      <c r="AU26" s="188">
        <f>[2]CZ_decarbplus_opex!AL26</f>
        <v>3.3599999999999999E-7</v>
      </c>
      <c r="AV26" s="188">
        <f>[2]CZ_decarbplus_opex!AM26</f>
        <v>3.0600000000000001E-7</v>
      </c>
      <c r="AW26" s="188">
        <f>[2]CZ_decarbplus_opex!AN26</f>
        <v>5.6400000000000002E-5</v>
      </c>
      <c r="AX26" s="188">
        <f>[2]CZ_decarbplus_opex!AO26</f>
        <v>0</v>
      </c>
      <c r="AY26" s="188">
        <f>[2]CZ_decarbplus_opex!AP26</f>
        <v>3.8079759999999998E-3</v>
      </c>
      <c r="AZ26" s="188">
        <f>[2]CZ_decarbplus_opex!AQ26</f>
        <v>0</v>
      </c>
      <c r="BA26" s="188">
        <f>[2]CZ_decarbplus_opex!AR26</f>
        <v>5.2899999999999998E-5</v>
      </c>
      <c r="BB26" s="188">
        <f>[2]CZ_decarbplus_opex!AS26</f>
        <v>5.5500000000000002E-6</v>
      </c>
      <c r="BC26" s="188">
        <f>[2]CZ_decarbplus_opex!AT26</f>
        <v>3.54E-6</v>
      </c>
      <c r="BD26" s="188">
        <f>[2]CZ_decarbplus_opex!AU26</f>
        <v>9.3200000000000003E-7</v>
      </c>
      <c r="BE26" s="188">
        <f>[2]CZ_decarbplus_opex!AV26</f>
        <v>4.6099999999999999E-6</v>
      </c>
      <c r="BF26" s="188">
        <f>[2]CZ_decarbplus_opex!AW26</f>
        <v>5.0299999999999999E-7</v>
      </c>
      <c r="BG26" s="188">
        <f>[2]CZ_decarbplus_opex!AX26</f>
        <v>1.7600000000000001E-5</v>
      </c>
      <c r="BH26" s="188">
        <f>[3]CZ_decarb_opex!I26</f>
        <v>1.6041660002017001E-6</v>
      </c>
      <c r="BI26" s="188">
        <f>[2]CZ_decarbplus_opex!AY26</f>
        <v>1.53E-6</v>
      </c>
      <c r="BJ26" s="188">
        <f>[2]CZ_decarbplus_opex!AZ26</f>
        <v>2.83E-6</v>
      </c>
      <c r="BK26" s="188">
        <f>[2]CZ_decarbplus_opex!BA26</f>
        <v>5.8199999999999998E-5</v>
      </c>
      <c r="BL26" s="188">
        <f>[2]CZ_decarbplus_opex!BB26</f>
        <v>0</v>
      </c>
      <c r="BM26" s="188">
        <f>[3]CZ_decarb_opex!J26</f>
        <v>8.6487324284757695E-7</v>
      </c>
      <c r="BN26" s="188">
        <f>[3]CZ_decarb_opex!K26</f>
        <v>1.71104287717088E-6</v>
      </c>
      <c r="BO26" s="188">
        <f>[3]CZ_decarb_opex!L26</f>
        <v>2.6009928414700601E-7</v>
      </c>
      <c r="BP26" s="188">
        <f>[3]CZ_decarb_opex!M26</f>
        <v>3.8241554477217301E-7</v>
      </c>
      <c r="BQ26" s="188">
        <f>[3]CZ_decarb_opex!N26</f>
        <v>6.2052445643076498E-7</v>
      </c>
      <c r="BR26" s="188">
        <f>[3]CZ_decarb_opex!O26</f>
        <v>4.8780531428149099E-7</v>
      </c>
      <c r="BS26" s="188">
        <f>[3]CZ_decarb_opex!P26</f>
        <v>1.7846903984326301E-6</v>
      </c>
      <c r="BT26" s="188">
        <f>[3]CZ_decarb_opex!Q26</f>
        <v>3.7217126365995501E-4</v>
      </c>
      <c r="BU26" s="188">
        <f>[3]CZ_decarb_opex!R26</f>
        <v>2.6725053503300898E-7</v>
      </c>
      <c r="BV26" s="188">
        <f>[3]CZ_decarb_opex!S26</f>
        <v>2.6725053503300898E-7</v>
      </c>
      <c r="BW26" s="188">
        <f>[3]CZ_decarb_opex!T26</f>
        <v>2.71911194589889E-6</v>
      </c>
      <c r="BX26" s="188">
        <f>[3]CZ_decarb_opex!U26</f>
        <v>5.3153332391133603E-8</v>
      </c>
      <c r="BY26" s="188">
        <f>[3]CZ_decarb_opex!V26</f>
        <v>1.0707152638512001E-6</v>
      </c>
      <c r="BZ26" s="188">
        <f>[2]CZ_decarbplus_opex!BC26</f>
        <v>5.4199999999999996E-7</v>
      </c>
      <c r="CA26" s="188">
        <f>[2]CZ_decarbplus_opex!BD26</f>
        <v>3.1699999999999999E-7</v>
      </c>
      <c r="CB26" s="188">
        <f>[2]CZ_decarbplus_opex!BE26</f>
        <v>3.22E-7</v>
      </c>
      <c r="CC26" s="188">
        <f>[2]CZ_decarbplus_opex!BF26</f>
        <v>2.8000000000000002E-7</v>
      </c>
      <c r="CD26" s="188">
        <f>[2]CZ_decarbplus_opex!BG26</f>
        <v>1.9099999999999999E-6</v>
      </c>
      <c r="CE26" s="188">
        <f>[2]CZ_decarbplus_opex!BH26</f>
        <v>2.1799999999999999E-6</v>
      </c>
      <c r="CF26" s="188">
        <f>[2]CZ_decarbplus_opex!BI26</f>
        <v>3.1499999999999999E-6</v>
      </c>
      <c r="CG26" s="188">
        <f>[2]CZ_decarbplus_opex!BJ26</f>
        <v>6.6700000000000003E-7</v>
      </c>
    </row>
    <row r="27" spans="1:85" x14ac:dyDescent="0.25">
      <c r="A27" s="5" t="s">
        <v>73</v>
      </c>
      <c r="B27" s="2" t="s">
        <v>72</v>
      </c>
      <c r="C27" s="1" t="s">
        <v>326</v>
      </c>
      <c r="D27" s="187">
        <f>[2]CZ_decarbplus_opex!B27</f>
        <v>7.5292399999999998E-4</v>
      </c>
      <c r="E27" s="187">
        <f>[2]CZ_decarbplus_opex!C27</f>
        <v>3.7982199999999998E-4</v>
      </c>
      <c r="F27" s="187">
        <f>[2]CZ_decarbplus_opex!D27</f>
        <v>2.32205E-4</v>
      </c>
      <c r="G27" s="187">
        <f>[2]CZ_decarbplus_opex!E27</f>
        <v>5.0599999999999997E-5</v>
      </c>
      <c r="H27" s="187">
        <f>[2]CZ_decarbplus_opex!F27</f>
        <v>6.7700000000000006E-5</v>
      </c>
      <c r="I27" s="187">
        <f>[2]CZ_decarbplus_opex!G27</f>
        <v>3.19403E-4</v>
      </c>
      <c r="J27" s="187">
        <f>[2]CZ_decarbplus_opex!H27</f>
        <v>6.75094E-4</v>
      </c>
      <c r="K27" s="187">
        <f>[2]CZ_decarbplus_opex!I27</f>
        <v>1.4751E-4</v>
      </c>
      <c r="L27" s="187">
        <f>[2]CZ_decarbplus_opex!J27</f>
        <v>3.61527E-4</v>
      </c>
      <c r="M27" s="187">
        <f>[2]CZ_decarbplus_opex!K27</f>
        <v>4.5915799999999998E-4</v>
      </c>
      <c r="N27" s="187">
        <f>[2]CZ_decarbplus_opex!L27</f>
        <v>1.3683790000000001E-3</v>
      </c>
      <c r="O27" s="187">
        <f>[2]CZ_decarbplus_opex!M27</f>
        <v>1.197077E-3</v>
      </c>
      <c r="P27" s="187">
        <f>[2]CZ_decarbplus_opex!N27</f>
        <v>6.2939300000000001E-4</v>
      </c>
      <c r="Q27" s="187">
        <f>[2]CZ_decarbplus_opex!O27</f>
        <v>2.9366100000000002E-4</v>
      </c>
      <c r="R27" s="187">
        <f>[2]CZ_decarbplus_opex!P27</f>
        <v>8.61998E-4</v>
      </c>
      <c r="S27" s="187">
        <f>[2]CZ_decarbplus_opex!Q27</f>
        <v>2.7930300000000001E-4</v>
      </c>
      <c r="T27" s="187">
        <f>[2]CZ_decarbplus_opex!R27</f>
        <v>3.8345799999999999E-4</v>
      </c>
      <c r="U27" s="187">
        <f>[2]CZ_decarbplus_opex!S27</f>
        <v>8.7423700000000004E-4</v>
      </c>
      <c r="V27" s="187">
        <f>[2]CZ_decarbplus_opex!T27</f>
        <v>1.522135E-3</v>
      </c>
      <c r="W27" s="187">
        <f>[2]CZ_decarbplus_opex!U27</f>
        <v>4.7186899999999998E-4</v>
      </c>
      <c r="X27" s="187">
        <f>[2]CZ_decarbplus_opex!V27</f>
        <v>2.6769899999999999E-4</v>
      </c>
      <c r="Y27" s="187">
        <f>[2]CZ_decarbplus_opex!W27</f>
        <v>2.2000399999999999E-4</v>
      </c>
      <c r="Z27" s="187">
        <f>[2]CZ_decarbplus_opex!X27</f>
        <v>1.6277970000000001E-3</v>
      </c>
      <c r="AA27" s="187">
        <f>[2]CZ_decarbplus_opex!Y27</f>
        <v>7.7959600000000002E-4</v>
      </c>
      <c r="AB27" s="188">
        <f>[3]CZ_decarb_opex!B27</f>
        <v>2.8196528439808901E-3</v>
      </c>
      <c r="AC27" s="188">
        <f>[3]CZ_decarb_opex!C27</f>
        <v>4.1927615297094297E-3</v>
      </c>
      <c r="AD27" s="188">
        <f>[3]CZ_decarb_opex!D27</f>
        <v>1.22735178037086E-3</v>
      </c>
      <c r="AE27" s="188">
        <f>[2]CZ_decarbplus_opex!Z27</f>
        <v>7.6270600000000004E-4</v>
      </c>
      <c r="AF27" s="188">
        <f>[2]CZ_decarbplus_opex!AA27</f>
        <v>2.0389459999999998E-3</v>
      </c>
      <c r="AG27" s="188">
        <f>[2]CZ_decarbplus_opex!AB27</f>
        <v>8.6207799999999995E-4</v>
      </c>
      <c r="AH27" s="188">
        <f>[2]CZ_decarbplus_opex!AC27</f>
        <v>2.3857629999999999E-3</v>
      </c>
      <c r="AI27" s="188">
        <f>[2]CZ_decarbplus_opex!AD27</f>
        <v>6.3729599999999998E-4</v>
      </c>
      <c r="AJ27" s="188">
        <f>[2]CZ_decarbplus_opex!AE27</f>
        <v>1.780326E-3</v>
      </c>
      <c r="AK27" s="188">
        <f>[2]CZ_decarbplus_opex!AF27</f>
        <v>1.2380410000000001E-3</v>
      </c>
      <c r="AL27" s="188">
        <f>[3]CZ_decarb_opex!E27</f>
        <v>1.01605961309375E-3</v>
      </c>
      <c r="AM27" s="188">
        <f>[3]CZ_decarb_opex!F27</f>
        <v>8.7712617532300903E-4</v>
      </c>
      <c r="AN27" s="188">
        <f>[2]CZ_decarbplus_opex!AG27</f>
        <v>1.162375E-3</v>
      </c>
      <c r="AO27" s="188">
        <f>[3]CZ_decarb_opex!G27</f>
        <v>2.3574331783123001E-2</v>
      </c>
      <c r="AP27" s="188">
        <f>[3]CZ_decarb_opex!H27</f>
        <v>1.5942947992159999E-2</v>
      </c>
      <c r="AQ27" s="188">
        <f>[2]CZ_decarbplus_opex!AH27</f>
        <v>1.8966862000000001E-2</v>
      </c>
      <c r="AR27" s="188">
        <f>[2]CZ_decarbplus_opex!AI27</f>
        <v>0</v>
      </c>
      <c r="AS27" s="188">
        <f>[2]CZ_decarbplus_opex!AJ27</f>
        <v>1.1336254E-2</v>
      </c>
      <c r="AT27" s="188">
        <f>[2]CZ_decarbplus_opex!AK27</f>
        <v>1.2041744E-2</v>
      </c>
      <c r="AU27" s="188">
        <f>[2]CZ_decarbplus_opex!AL27</f>
        <v>9.8695529000000004E-2</v>
      </c>
      <c r="AV27" s="188">
        <f>[2]CZ_decarbplus_opex!AM27</f>
        <v>0.10335649399999999</v>
      </c>
      <c r="AW27" s="188">
        <f>[2]CZ_decarbplus_opex!AN27</f>
        <v>1.1759923E-2</v>
      </c>
      <c r="AX27" s="188">
        <f>[2]CZ_decarbplus_opex!AO27</f>
        <v>0</v>
      </c>
      <c r="AY27" s="188">
        <f>[2]CZ_decarbplus_opex!AP27</f>
        <v>1.5130329E-2</v>
      </c>
      <c r="AZ27" s="188">
        <f>[2]CZ_decarbplus_opex!AQ27</f>
        <v>0</v>
      </c>
      <c r="BA27" s="188">
        <f>[2]CZ_decarbplus_opex!AR27</f>
        <v>1.6733690999999998E-2</v>
      </c>
      <c r="BB27" s="188">
        <f>[2]CZ_decarbplus_opex!AS27</f>
        <v>4.9636350000000001E-3</v>
      </c>
      <c r="BC27" s="188">
        <f>[2]CZ_decarbplus_opex!AT27</f>
        <v>6.4068379999999998E-3</v>
      </c>
      <c r="BD27" s="188">
        <f>[2]CZ_decarbplus_opex!AU27</f>
        <v>8.6194400000000001E-4</v>
      </c>
      <c r="BE27" s="188">
        <f>[2]CZ_decarbplus_opex!AV27</f>
        <v>4.2554969999999996E-3</v>
      </c>
      <c r="BF27" s="188">
        <f>[2]CZ_decarbplus_opex!AW27</f>
        <v>3.6370800000000002E-4</v>
      </c>
      <c r="BG27" s="188">
        <f>[2]CZ_decarbplus_opex!AX27</f>
        <v>1.2163899999999999E-3</v>
      </c>
      <c r="BH27" s="188">
        <f>[3]CZ_decarb_opex!I27</f>
        <v>1.5049664309949801E-3</v>
      </c>
      <c r="BI27" s="188">
        <f>[2]CZ_decarbplus_opex!AY27</f>
        <v>4.0513279999999999E-3</v>
      </c>
      <c r="BJ27" s="188">
        <f>[2]CZ_decarbplus_opex!AZ27</f>
        <v>3.144399E-3</v>
      </c>
      <c r="BK27" s="188">
        <f>[2]CZ_decarbplus_opex!BA27</f>
        <v>1.9298154000000001E-2</v>
      </c>
      <c r="BL27" s="188">
        <f>[2]CZ_decarbplus_opex!BB27</f>
        <v>0</v>
      </c>
      <c r="BM27" s="188">
        <f>[3]CZ_decarb_opex!J27</f>
        <v>4.6568632111485399E-4</v>
      </c>
      <c r="BN27" s="188">
        <f>[3]CZ_decarb_opex!K27</f>
        <v>2.1537630356342299E-3</v>
      </c>
      <c r="BO27" s="188">
        <f>[3]CZ_decarb_opex!L27</f>
        <v>2.74574544439246E-4</v>
      </c>
      <c r="BP27" s="188">
        <f>[3]CZ_decarb_opex!M27</f>
        <v>1.7574731328117901E-3</v>
      </c>
      <c r="BQ27" s="188">
        <f>[3]CZ_decarb_opex!N27</f>
        <v>5.0039683589188995E-4</v>
      </c>
      <c r="BR27" s="188">
        <f>[3]CZ_decarb_opex!O27</f>
        <v>6.9029404911065702E-5</v>
      </c>
      <c r="BS27" s="188">
        <f>[3]CZ_decarb_opex!P27</f>
        <v>1.0489511690257301E-3</v>
      </c>
      <c r="BT27" s="188">
        <f>[3]CZ_decarb_opex!Q27</f>
        <v>1.1565365646315501E-4</v>
      </c>
      <c r="BU27" s="188">
        <f>[3]CZ_decarb_opex!R27</f>
        <v>2.0960724725442399E-4</v>
      </c>
      <c r="BV27" s="188">
        <f>[3]CZ_decarb_opex!S27</f>
        <v>2.0960724725442399E-4</v>
      </c>
      <c r="BW27" s="188">
        <f>[3]CZ_decarb_opex!T27</f>
        <v>4.6435979842765002E-4</v>
      </c>
      <c r="BX27" s="188">
        <f>[3]CZ_decarb_opex!U27</f>
        <v>7.3477634767652396E-5</v>
      </c>
      <c r="BY27" s="188">
        <f>[3]CZ_decarb_opex!V27</f>
        <v>2.9611193060801299E-3</v>
      </c>
      <c r="BZ27" s="188">
        <f>[2]CZ_decarbplus_opex!BC27</f>
        <v>1.1441069999999999E-3</v>
      </c>
      <c r="CA27" s="188">
        <f>[2]CZ_decarbplus_opex!BD27</f>
        <v>4.1948799999999998E-4</v>
      </c>
      <c r="CB27" s="188">
        <f>[2]CZ_decarbplus_opex!BE27</f>
        <v>3.4294099999999998E-4</v>
      </c>
      <c r="CC27" s="188">
        <f>[2]CZ_decarbplus_opex!BF27</f>
        <v>3.00752E-4</v>
      </c>
      <c r="CD27" s="188">
        <f>[2]CZ_decarbplus_opex!BG27</f>
        <v>8.1261099999999998E-4</v>
      </c>
      <c r="CE27" s="188">
        <f>[2]CZ_decarbplus_opex!BH27</f>
        <v>5.6496900000000002E-4</v>
      </c>
      <c r="CF27" s="188">
        <f>[2]CZ_decarbplus_opex!BI27</f>
        <v>8.5638999999999995E-4</v>
      </c>
      <c r="CG27" s="188">
        <f>[2]CZ_decarbplus_opex!BJ27</f>
        <v>6.1017000000000005E-4</v>
      </c>
    </row>
    <row r="28" spans="1:85" x14ac:dyDescent="0.25">
      <c r="A28" s="5" t="s">
        <v>75</v>
      </c>
      <c r="B28" s="2" t="s">
        <v>74</v>
      </c>
      <c r="C28" s="1" t="s">
        <v>326</v>
      </c>
      <c r="D28" s="187">
        <f>[2]CZ_decarbplus_opex!B28</f>
        <v>6.9499999999999995E-5</v>
      </c>
      <c r="E28" s="187">
        <f>[2]CZ_decarbplus_opex!C28</f>
        <v>1.7900000000000001E-5</v>
      </c>
      <c r="F28" s="187">
        <f>[2]CZ_decarbplus_opex!D28</f>
        <v>1.08E-5</v>
      </c>
      <c r="G28" s="187">
        <f>[2]CZ_decarbplus_opex!E28</f>
        <v>8.4799999999999997E-7</v>
      </c>
      <c r="H28" s="187">
        <f>[2]CZ_decarbplus_opex!F28</f>
        <v>1.57E-6</v>
      </c>
      <c r="I28" s="187">
        <f>[2]CZ_decarbplus_opex!G28</f>
        <v>2.3099999999999999E-5</v>
      </c>
      <c r="J28" s="187">
        <f>[2]CZ_decarbplus_opex!H28</f>
        <v>2.8099999999999999E-5</v>
      </c>
      <c r="K28" s="187">
        <f>[2]CZ_decarbplus_opex!I28</f>
        <v>2.5799999999999999E-6</v>
      </c>
      <c r="L28" s="187">
        <f>[2]CZ_decarbplus_opex!J28</f>
        <v>1.9400000000000001E-5</v>
      </c>
      <c r="M28" s="187">
        <f>[2]CZ_decarbplus_opex!K28</f>
        <v>3.5099999999999999E-5</v>
      </c>
      <c r="N28" s="187">
        <f>[2]CZ_decarbplus_opex!L28</f>
        <v>7.4800000000000002E-5</v>
      </c>
      <c r="O28" s="187">
        <f>[2]CZ_decarbplus_opex!M28</f>
        <v>3.2499999999999997E-5</v>
      </c>
      <c r="P28" s="187">
        <f>[2]CZ_decarbplus_opex!N28</f>
        <v>7.5599999999999994E-5</v>
      </c>
      <c r="Q28" s="187">
        <f>[2]CZ_decarbplus_opex!O28</f>
        <v>3.4300000000000002E-6</v>
      </c>
      <c r="R28" s="187">
        <f>[2]CZ_decarbplus_opex!P28</f>
        <v>2.5500000000000001E-6</v>
      </c>
      <c r="S28" s="187">
        <f>[2]CZ_decarbplus_opex!Q28</f>
        <v>2.6100000000000001E-5</v>
      </c>
      <c r="T28" s="187">
        <f>[2]CZ_decarbplus_opex!R28</f>
        <v>3.9900000000000001E-5</v>
      </c>
      <c r="U28" s="187">
        <f>[2]CZ_decarbplus_opex!S28</f>
        <v>2.1399999999999998E-5</v>
      </c>
      <c r="V28" s="187">
        <f>[2]CZ_decarbplus_opex!T28</f>
        <v>3.82E-5</v>
      </c>
      <c r="W28" s="187">
        <f>[2]CZ_decarbplus_opex!U28</f>
        <v>1.6699999999999999E-5</v>
      </c>
      <c r="X28" s="187">
        <f>[2]CZ_decarbplus_opex!V28</f>
        <v>1.8199999999999999E-5</v>
      </c>
      <c r="Y28" s="187">
        <f>[2]CZ_decarbplus_opex!W28</f>
        <v>2.4000000000000001E-5</v>
      </c>
      <c r="Z28" s="187">
        <f>[2]CZ_decarbplus_opex!X28</f>
        <v>5.0399999999999999E-5</v>
      </c>
      <c r="AA28" s="187">
        <f>[2]CZ_decarbplus_opex!Y28</f>
        <v>2.5899999999999999E-5</v>
      </c>
      <c r="AB28" s="188">
        <f>[3]CZ_decarb_opex!B28</f>
        <v>2.1596097588619499E-5</v>
      </c>
      <c r="AC28" s="188">
        <f>[3]CZ_decarb_opex!C28</f>
        <v>2.40027303160956E-4</v>
      </c>
      <c r="AD28" s="188">
        <f>[3]CZ_decarb_opex!D28</f>
        <v>9.6294733803209504E-5</v>
      </c>
      <c r="AE28" s="188">
        <f>[2]CZ_decarbplus_opex!Z28</f>
        <v>8.5699999999999996E-5</v>
      </c>
      <c r="AF28" s="188">
        <f>[2]CZ_decarbplus_opex!AA28</f>
        <v>5.4799999999999997E-5</v>
      </c>
      <c r="AG28" s="188">
        <f>[2]CZ_decarbplus_opex!AB28</f>
        <v>4.1399999999999997E-5</v>
      </c>
      <c r="AH28" s="188">
        <f>[2]CZ_decarbplus_opex!AC28</f>
        <v>5.0983500000000004E-4</v>
      </c>
      <c r="AI28" s="188">
        <f>[2]CZ_decarbplus_opex!AD28</f>
        <v>1.2845000000000001E-4</v>
      </c>
      <c r="AJ28" s="188">
        <f>[2]CZ_decarbplus_opex!AE28</f>
        <v>3.9866400000000002E-4</v>
      </c>
      <c r="AK28" s="188">
        <f>[2]CZ_decarbplus_opex!AF28</f>
        <v>2.68554E-4</v>
      </c>
      <c r="AL28" s="188">
        <f>[3]CZ_decarb_opex!E28</f>
        <v>1.00870113392055E-4</v>
      </c>
      <c r="AM28" s="188">
        <f>[3]CZ_decarb_opex!F28</f>
        <v>1.21363559672192E-4</v>
      </c>
      <c r="AN28" s="188">
        <f>[2]CZ_decarbplus_opex!AG28</f>
        <v>4.2489999999999997E-4</v>
      </c>
      <c r="AO28" s="188">
        <f>[3]CZ_decarb_opex!G28</f>
        <v>3.6136538497839898E-3</v>
      </c>
      <c r="AP28" s="188">
        <f>[3]CZ_decarb_opex!H28</f>
        <v>3.6730918128268001E-3</v>
      </c>
      <c r="AQ28" s="188">
        <f>[2]CZ_decarbplus_opex!AH28</f>
        <v>6.2399999999999999E-5</v>
      </c>
      <c r="AR28" s="188">
        <f>[2]CZ_decarbplus_opex!AI28</f>
        <v>0</v>
      </c>
      <c r="AS28" s="188">
        <f>[2]CZ_decarbplus_opex!AJ28</f>
        <v>1.6482399999999999E-4</v>
      </c>
      <c r="AT28" s="188">
        <f>[2]CZ_decarbplus_opex!AK28</f>
        <v>1.6609700000000001E-4</v>
      </c>
      <c r="AU28" s="188">
        <f>[2]CZ_decarbplus_opex!AL28</f>
        <v>4.6211599999999999E-4</v>
      </c>
      <c r="AV28" s="188">
        <f>[2]CZ_decarbplus_opex!AM28</f>
        <v>4.7314699999999999E-4</v>
      </c>
      <c r="AW28" s="188">
        <f>[2]CZ_decarbplus_opex!AN28</f>
        <v>3.4420300000000001E-4</v>
      </c>
      <c r="AX28" s="188">
        <f>[2]CZ_decarbplus_opex!AO28</f>
        <v>0</v>
      </c>
      <c r="AY28" s="188">
        <f>[2]CZ_decarbplus_opex!AP28</f>
        <v>3.3301076999999998E-2</v>
      </c>
      <c r="AZ28" s="188">
        <f>[2]CZ_decarbplus_opex!AQ28</f>
        <v>0</v>
      </c>
      <c r="BA28" s="188">
        <f>[2]CZ_decarbplus_opex!AR28</f>
        <v>2.3485100000000001E-4</v>
      </c>
      <c r="BB28" s="188">
        <f>[2]CZ_decarbplus_opex!AS28</f>
        <v>1.20158E-4</v>
      </c>
      <c r="BC28" s="188">
        <f>[2]CZ_decarbplus_opex!AT28</f>
        <v>9.7499999999999998E-5</v>
      </c>
      <c r="BD28" s="188">
        <f>[2]CZ_decarbplus_opex!AU28</f>
        <v>5.52E-5</v>
      </c>
      <c r="BE28" s="188">
        <f>[2]CZ_decarbplus_opex!AV28</f>
        <v>7.7299999999999995E-5</v>
      </c>
      <c r="BF28" s="188">
        <f>[2]CZ_decarbplus_opex!AW28</f>
        <v>1.91492E-4</v>
      </c>
      <c r="BG28" s="188">
        <f>[2]CZ_decarbplus_opex!AX28</f>
        <v>6.1199999999999997E-5</v>
      </c>
      <c r="BH28" s="188">
        <f>[3]CZ_decarb_opex!I28</f>
        <v>5.3326345474494502E-5</v>
      </c>
      <c r="BI28" s="188">
        <f>[2]CZ_decarbplus_opex!AY28</f>
        <v>7.8399999999999995E-5</v>
      </c>
      <c r="BJ28" s="188">
        <f>[2]CZ_decarbplus_opex!AZ28</f>
        <v>5.1999999999999997E-5</v>
      </c>
      <c r="BK28" s="188">
        <f>[2]CZ_decarbplus_opex!BA28</f>
        <v>3.31505E-4</v>
      </c>
      <c r="BL28" s="188">
        <f>[2]CZ_decarbplus_opex!BB28</f>
        <v>0</v>
      </c>
      <c r="BM28" s="188">
        <f>[3]CZ_decarb_opex!J28</f>
        <v>1.6627866795222701E-5</v>
      </c>
      <c r="BN28" s="188">
        <f>[3]CZ_decarb_opex!K28</f>
        <v>7.3922308623119304E-5</v>
      </c>
      <c r="BO28" s="188">
        <f>[3]CZ_decarb_opex!L28</f>
        <v>1.15640286646895E-5</v>
      </c>
      <c r="BP28" s="188">
        <f>[3]CZ_decarb_opex!M28</f>
        <v>6.33717624668385E-5</v>
      </c>
      <c r="BQ28" s="188">
        <f>[3]CZ_decarb_opex!N28</f>
        <v>9.7621357122860397E-5</v>
      </c>
      <c r="BR28" s="188">
        <f>[3]CZ_decarb_opex!O28</f>
        <v>4.2383442771946398E-6</v>
      </c>
      <c r="BS28" s="188">
        <f>[3]CZ_decarb_opex!P28</f>
        <v>2.3733213484927501E-5</v>
      </c>
      <c r="BT28" s="188">
        <f>[3]CZ_decarb_opex!Q28</f>
        <v>5.0565466224840003E-6</v>
      </c>
      <c r="BU28" s="188">
        <f>[3]CZ_decarb_opex!R28</f>
        <v>4.2800455632920297E-6</v>
      </c>
      <c r="BV28" s="188">
        <f>[3]CZ_decarb_opex!S28</f>
        <v>4.2800455632920501E-6</v>
      </c>
      <c r="BW28" s="188">
        <f>[3]CZ_decarb_opex!T28</f>
        <v>3.6387479216900898E-5</v>
      </c>
      <c r="BX28" s="188">
        <f>[3]CZ_decarb_opex!U28</f>
        <v>7.1548645717624798E-6</v>
      </c>
      <c r="BY28" s="188">
        <f>[3]CZ_decarb_opex!V28</f>
        <v>4.5093446745452898E-7</v>
      </c>
      <c r="BZ28" s="188">
        <f>[2]CZ_decarbplus_opex!BC28</f>
        <v>3.9400000000000002E-5</v>
      </c>
      <c r="CA28" s="188">
        <f>[2]CZ_decarbplus_opex!BD28</f>
        <v>1.3699999999999999E-5</v>
      </c>
      <c r="CB28" s="188">
        <f>[2]CZ_decarbplus_opex!BE28</f>
        <v>1.0200000000000001E-5</v>
      </c>
      <c r="CC28" s="188">
        <f>[2]CZ_decarbplus_opex!BF28</f>
        <v>1.0200000000000001E-5</v>
      </c>
      <c r="CD28" s="188">
        <f>[2]CZ_decarbplus_opex!BG28</f>
        <v>2.19E-5</v>
      </c>
      <c r="CE28" s="188">
        <f>[2]CZ_decarbplus_opex!BH28</f>
        <v>3.9799999999999998E-5</v>
      </c>
      <c r="CF28" s="188">
        <f>[2]CZ_decarbplus_opex!BI28</f>
        <v>5.1100000000000002E-5</v>
      </c>
      <c r="CG28" s="188">
        <f>[2]CZ_decarbplus_opex!BJ28</f>
        <v>6.2700000000000006E-5</v>
      </c>
    </row>
    <row r="29" spans="1:85" x14ac:dyDescent="0.25">
      <c r="A29" s="5" t="s">
        <v>77</v>
      </c>
      <c r="B29" s="2" t="s">
        <v>76</v>
      </c>
      <c r="C29" s="1" t="s">
        <v>326</v>
      </c>
      <c r="D29" s="187">
        <f>[2]CZ_decarbplus_opex!B29</f>
        <v>1.2300000000000001E-6</v>
      </c>
      <c r="E29" s="187">
        <f>[2]CZ_decarbplus_opex!C29</f>
        <v>2.4600000000000001E-7</v>
      </c>
      <c r="F29" s="187">
        <f>[2]CZ_decarbplus_opex!D29</f>
        <v>3.3599999999999999E-7</v>
      </c>
      <c r="G29" s="187">
        <f>[2]CZ_decarbplus_opex!E29</f>
        <v>3.47E-8</v>
      </c>
      <c r="H29" s="187">
        <f>[2]CZ_decarbplus_opex!F29</f>
        <v>5.6400000000000002E-8</v>
      </c>
      <c r="I29" s="187">
        <f>[2]CZ_decarbplus_opex!G29</f>
        <v>4.7300000000000001E-7</v>
      </c>
      <c r="J29" s="187">
        <f>[2]CZ_decarbplus_opex!H29</f>
        <v>7.3300000000000001E-7</v>
      </c>
      <c r="K29" s="187">
        <f>[2]CZ_decarbplus_opex!I29</f>
        <v>9.9E-8</v>
      </c>
      <c r="L29" s="187">
        <f>[2]CZ_decarbplus_opex!J29</f>
        <v>5.9400000000000005E-7</v>
      </c>
      <c r="M29" s="187">
        <f>[2]CZ_decarbplus_opex!K29</f>
        <v>8.8299999999999995E-7</v>
      </c>
      <c r="N29" s="187">
        <f>[2]CZ_decarbplus_opex!L29</f>
        <v>5.06E-7</v>
      </c>
      <c r="O29" s="187">
        <f>[2]CZ_decarbplus_opex!M29</f>
        <v>8.2500000000000004E-7</v>
      </c>
      <c r="P29" s="187">
        <f>[2]CZ_decarbplus_opex!N29</f>
        <v>1.0699999999999999E-6</v>
      </c>
      <c r="Q29" s="187">
        <f>[2]CZ_decarbplus_opex!O29</f>
        <v>1.29E-7</v>
      </c>
      <c r="R29" s="187">
        <f>[2]CZ_decarbplus_opex!P29</f>
        <v>2.3699999999999999E-7</v>
      </c>
      <c r="S29" s="187">
        <f>[2]CZ_decarbplus_opex!Q29</f>
        <v>6.61E-7</v>
      </c>
      <c r="T29" s="187">
        <f>[2]CZ_decarbplus_opex!R29</f>
        <v>7.0399999999999995E-7</v>
      </c>
      <c r="U29" s="187">
        <f>[2]CZ_decarbplus_opex!S29</f>
        <v>3.7099999999999997E-7</v>
      </c>
      <c r="V29" s="187">
        <f>[2]CZ_decarbplus_opex!T29</f>
        <v>3.7099999999999997E-7</v>
      </c>
      <c r="W29" s="187">
        <f>[2]CZ_decarbplus_opex!U29</f>
        <v>6.7100000000000001E-7</v>
      </c>
      <c r="X29" s="187">
        <f>[2]CZ_decarbplus_opex!V29</f>
        <v>5.5899999999999996E-7</v>
      </c>
      <c r="Y29" s="187">
        <f>[2]CZ_decarbplus_opex!W29</f>
        <v>4.6199999999999998E-7</v>
      </c>
      <c r="Z29" s="187">
        <f>[2]CZ_decarbplus_opex!X29</f>
        <v>3.8600000000000003E-6</v>
      </c>
      <c r="AA29" s="187">
        <f>[2]CZ_decarbplus_opex!Y29</f>
        <v>1.7400000000000001E-6</v>
      </c>
      <c r="AB29" s="188">
        <f>[3]CZ_decarb_opex!B29</f>
        <v>2.5426933172991801E-6</v>
      </c>
      <c r="AC29" s="188">
        <f>[3]CZ_decarb_opex!C29</f>
        <v>4.8239182424342797E-7</v>
      </c>
      <c r="AD29" s="188">
        <f>[3]CZ_decarb_opex!D29</f>
        <v>8.9225946156324803E-7</v>
      </c>
      <c r="AE29" s="188">
        <f>[2]CZ_decarbplus_opex!Z29</f>
        <v>7.1299999999999999E-7</v>
      </c>
      <c r="AF29" s="188">
        <f>[2]CZ_decarbplus_opex!AA29</f>
        <v>3.2700000000000002E-5</v>
      </c>
      <c r="AG29" s="188">
        <f>[2]CZ_decarbplus_opex!AB29</f>
        <v>2.26E-6</v>
      </c>
      <c r="AH29" s="188">
        <f>[2]CZ_decarbplus_opex!AC29</f>
        <v>4.4299999999999999E-5</v>
      </c>
      <c r="AI29" s="188">
        <f>[2]CZ_decarbplus_opex!AD29</f>
        <v>7.5500000000000006E-5</v>
      </c>
      <c r="AJ29" s="188">
        <f>[2]CZ_decarbplus_opex!AE29</f>
        <v>7.96E-6</v>
      </c>
      <c r="AK29" s="188">
        <f>[2]CZ_decarbplus_opex!AF29</f>
        <v>9.0599999999999997E-6</v>
      </c>
      <c r="AL29" s="188">
        <f>[3]CZ_decarb_opex!E29</f>
        <v>5.9954304026264903E-6</v>
      </c>
      <c r="AM29" s="188">
        <f>[3]CZ_decarb_opex!F29</f>
        <v>5.6325159227175604E-6</v>
      </c>
      <c r="AN29" s="188">
        <f>[2]CZ_decarbplus_opex!AG29</f>
        <v>1.8099999999999999E-5</v>
      </c>
      <c r="AO29" s="188">
        <f>[3]CZ_decarb_opex!G29</f>
        <v>3.8825347295320898E-6</v>
      </c>
      <c r="AP29" s="188">
        <f>[3]CZ_decarb_opex!H29</f>
        <v>1.7231548397229101E-6</v>
      </c>
      <c r="AQ29" s="188">
        <f>[2]CZ_decarbplus_opex!AH29</f>
        <v>2.5100000000000001E-6</v>
      </c>
      <c r="AR29" s="188">
        <f>[2]CZ_decarbplus_opex!AI29</f>
        <v>0</v>
      </c>
      <c r="AS29" s="188">
        <f>[2]CZ_decarbplus_opex!AJ29</f>
        <v>3.8212350000000001E-3</v>
      </c>
      <c r="AT29" s="188">
        <f>[2]CZ_decarbplus_opex!AK29</f>
        <v>1.4100000000000001E-6</v>
      </c>
      <c r="AU29" s="188">
        <f>[2]CZ_decarbplus_opex!AL29</f>
        <v>2.5100000000000001E-7</v>
      </c>
      <c r="AV29" s="188">
        <f>[2]CZ_decarbplus_opex!AM29</f>
        <v>1.73E-7</v>
      </c>
      <c r="AW29" s="188">
        <f>[2]CZ_decarbplus_opex!AN29</f>
        <v>1.24E-6</v>
      </c>
      <c r="AX29" s="188">
        <f>[2]CZ_decarbplus_opex!AO29</f>
        <v>0</v>
      </c>
      <c r="AY29" s="188">
        <f>[2]CZ_decarbplus_opex!AP29</f>
        <v>9.7699999999999992E-7</v>
      </c>
      <c r="AZ29" s="188">
        <f>[2]CZ_decarbplus_opex!AQ29</f>
        <v>0</v>
      </c>
      <c r="BA29" s="188">
        <f>[2]CZ_decarbplus_opex!AR29</f>
        <v>9.9900000000000002E-5</v>
      </c>
      <c r="BB29" s="188">
        <f>[2]CZ_decarbplus_opex!AS29</f>
        <v>6.1099999999999999E-6</v>
      </c>
      <c r="BC29" s="188">
        <f>[2]CZ_decarbplus_opex!AT29</f>
        <v>3.0800000000000002E-6</v>
      </c>
      <c r="BD29" s="188">
        <f>[2]CZ_decarbplus_opex!AU29</f>
        <v>7.3300000000000001E-6</v>
      </c>
      <c r="BE29" s="188">
        <f>[2]CZ_decarbplus_opex!AV29</f>
        <v>5.1599999999999997E-6</v>
      </c>
      <c r="BF29" s="188">
        <f>[2]CZ_decarbplus_opex!AW29</f>
        <v>2.4899999999999999E-6</v>
      </c>
      <c r="BG29" s="188">
        <f>[2]CZ_decarbplus_opex!AX29</f>
        <v>1.04E-5</v>
      </c>
      <c r="BH29" s="188">
        <f>[3]CZ_decarb_opex!I29</f>
        <v>4.3186031390151298E-6</v>
      </c>
      <c r="BI29" s="188">
        <f>[2]CZ_decarbplus_opex!AY29</f>
        <v>3.1099999999999999E-6</v>
      </c>
      <c r="BJ29" s="188">
        <f>[2]CZ_decarbplus_opex!AZ29</f>
        <v>1.86E-6</v>
      </c>
      <c r="BK29" s="188">
        <f>[2]CZ_decarbplus_opex!BA29</f>
        <v>1.05096E-4</v>
      </c>
      <c r="BL29" s="188">
        <f>[2]CZ_decarbplus_opex!BB29</f>
        <v>0</v>
      </c>
      <c r="BM29" s="188">
        <f>[3]CZ_decarb_opex!J29</f>
        <v>1.05211222108481E-6</v>
      </c>
      <c r="BN29" s="188">
        <f>[3]CZ_decarb_opex!K29</f>
        <v>1.85355595265987E-6</v>
      </c>
      <c r="BO29" s="188">
        <f>[3]CZ_decarb_opex!L29</f>
        <v>3.71586232102512E-7</v>
      </c>
      <c r="BP29" s="188">
        <f>[3]CZ_decarb_opex!M29</f>
        <v>3.0436622981304702E-7</v>
      </c>
      <c r="BQ29" s="188">
        <f>[3]CZ_decarb_opex!N29</f>
        <v>3.66910732948531E-7</v>
      </c>
      <c r="BR29" s="188">
        <f>[3]CZ_decarb_opex!O29</f>
        <v>3.0021044782812902E-7</v>
      </c>
      <c r="BS29" s="188">
        <f>[3]CZ_decarb_opex!P29</f>
        <v>1.5231435831521799E-6</v>
      </c>
      <c r="BT29" s="188">
        <f>[3]CZ_decarb_opex!Q29</f>
        <v>6.0566992662685895E-7</v>
      </c>
      <c r="BU29" s="188">
        <f>[3]CZ_decarb_opex!R29</f>
        <v>2.8754383216396199E-7</v>
      </c>
      <c r="BV29" s="188">
        <f>[3]CZ_decarb_opex!S29</f>
        <v>2.8754383216396199E-7</v>
      </c>
      <c r="BW29" s="188">
        <f>[3]CZ_decarb_opex!T29</f>
        <v>1.6665367535863099E-6</v>
      </c>
      <c r="BX29" s="188">
        <f>[3]CZ_decarb_opex!U29</f>
        <v>1.8945697207439599E-7</v>
      </c>
      <c r="BY29" s="188">
        <f>[3]CZ_decarb_opex!V29</f>
        <v>9.4602635973339406E-8</v>
      </c>
      <c r="BZ29" s="188">
        <f>[2]CZ_decarbplus_opex!BC29</f>
        <v>6.8100000000000002E-7</v>
      </c>
      <c r="CA29" s="188">
        <f>[2]CZ_decarbplus_opex!BD29</f>
        <v>3.9400000000000001E-7</v>
      </c>
      <c r="CB29" s="188">
        <f>[2]CZ_decarbplus_opex!BE29</f>
        <v>4.5299999999999999E-7</v>
      </c>
      <c r="CC29" s="188">
        <f>[2]CZ_decarbplus_opex!BF29</f>
        <v>1.9399999999999999E-7</v>
      </c>
      <c r="CD29" s="188">
        <f>[2]CZ_decarbplus_opex!BG29</f>
        <v>1.9599999999999999E-6</v>
      </c>
      <c r="CE29" s="188">
        <f>[2]CZ_decarbplus_opex!BH29</f>
        <v>1.33E-6</v>
      </c>
      <c r="CF29" s="188">
        <f>[2]CZ_decarbplus_opex!BI29</f>
        <v>2.9399999999999998E-6</v>
      </c>
      <c r="CG29" s="188">
        <f>[2]CZ_decarbplus_opex!BJ29</f>
        <v>9.5900000000000005E-7</v>
      </c>
    </row>
    <row r="30" spans="1:85" x14ac:dyDescent="0.25">
      <c r="A30" s="5" t="s">
        <v>79</v>
      </c>
      <c r="B30" s="2" t="s">
        <v>78</v>
      </c>
      <c r="C30" s="1" t="s">
        <v>326</v>
      </c>
      <c r="D30" s="187">
        <f>[2]CZ_decarbplus_opex!B30</f>
        <v>3.2121199999999997E-4</v>
      </c>
      <c r="E30" s="187">
        <f>[2]CZ_decarbplus_opex!C30</f>
        <v>7.3399999999999995E-5</v>
      </c>
      <c r="F30" s="187">
        <f>[2]CZ_decarbplus_opex!D30</f>
        <v>1.0084100000000001E-4</v>
      </c>
      <c r="G30" s="187">
        <f>[2]CZ_decarbplus_opex!E30</f>
        <v>1.4800000000000001E-5</v>
      </c>
      <c r="H30" s="187">
        <f>[2]CZ_decarbplus_opex!F30</f>
        <v>2.09E-5</v>
      </c>
      <c r="I30" s="187">
        <f>[2]CZ_decarbplus_opex!G30</f>
        <v>1.1457E-4</v>
      </c>
      <c r="J30" s="187">
        <f>[2]CZ_decarbplus_opex!H30</f>
        <v>1.7083500000000001E-4</v>
      </c>
      <c r="K30" s="187">
        <f>[2]CZ_decarbplus_opex!I30</f>
        <v>3.5899999999999998E-5</v>
      </c>
      <c r="L30" s="187">
        <f>[2]CZ_decarbplus_opex!J30</f>
        <v>1.6541700000000001E-4</v>
      </c>
      <c r="M30" s="187">
        <f>[2]CZ_decarbplus_opex!K30</f>
        <v>1.7083800000000001E-4</v>
      </c>
      <c r="N30" s="187">
        <f>[2]CZ_decarbplus_opex!L30</f>
        <v>2.1023E-4</v>
      </c>
      <c r="O30" s="187">
        <f>[2]CZ_decarbplus_opex!M30</f>
        <v>2.5870800000000002E-4</v>
      </c>
      <c r="P30" s="187">
        <f>[2]CZ_decarbplus_opex!N30</f>
        <v>2.43217E-4</v>
      </c>
      <c r="Q30" s="187">
        <f>[2]CZ_decarbplus_opex!O30</f>
        <v>4.57E-5</v>
      </c>
      <c r="R30" s="187">
        <f>[2]CZ_decarbplus_opex!P30</f>
        <v>1.2804900000000001E-4</v>
      </c>
      <c r="S30" s="187">
        <f>[2]CZ_decarbplus_opex!Q30</f>
        <v>2.4996699999999997E-4</v>
      </c>
      <c r="T30" s="187">
        <f>[2]CZ_decarbplus_opex!R30</f>
        <v>2.8664899999999999E-4</v>
      </c>
      <c r="U30" s="187">
        <f>[2]CZ_decarbplus_opex!S30</f>
        <v>2.6164100000000001E-4</v>
      </c>
      <c r="V30" s="187">
        <f>[2]CZ_decarbplus_opex!T30</f>
        <v>2.9317900000000002E-4</v>
      </c>
      <c r="W30" s="187">
        <f>[2]CZ_decarbplus_opex!U30</f>
        <v>3.5760099999999998E-4</v>
      </c>
      <c r="X30" s="187">
        <f>[2]CZ_decarbplus_opex!V30</f>
        <v>1.2593700000000001E-4</v>
      </c>
      <c r="Y30" s="187">
        <f>[2]CZ_decarbplus_opex!W30</f>
        <v>1.87655E-4</v>
      </c>
      <c r="Z30" s="187">
        <f>[2]CZ_decarbplus_opex!X30</f>
        <v>1.9804100000000001E-4</v>
      </c>
      <c r="AA30" s="187">
        <f>[2]CZ_decarbplus_opex!Y30</f>
        <v>2.28703E-4</v>
      </c>
      <c r="AB30" s="188">
        <f>[3]CZ_decarb_opex!B30</f>
        <v>5.2427569028656504E-4</v>
      </c>
      <c r="AC30" s="188">
        <f>[3]CZ_decarb_opex!C30</f>
        <v>2.8630270859252E-4</v>
      </c>
      <c r="AD30" s="188">
        <f>[3]CZ_decarb_opex!D30</f>
        <v>1.07888591946831E-4</v>
      </c>
      <c r="AE30" s="188">
        <f>[2]CZ_decarbplus_opex!Z30</f>
        <v>9.0400000000000002E-5</v>
      </c>
      <c r="AF30" s="188">
        <f>[2]CZ_decarbplus_opex!AA30</f>
        <v>3.8960119999999999E-3</v>
      </c>
      <c r="AG30" s="188">
        <f>[2]CZ_decarbplus_opex!AB30</f>
        <v>1.8416680000000001E-3</v>
      </c>
      <c r="AH30" s="188">
        <f>[2]CZ_decarbplus_opex!AC30</f>
        <v>9.9677800000000003E-4</v>
      </c>
      <c r="AI30" s="188">
        <f>[2]CZ_decarbplus_opex!AD30</f>
        <v>6.0687899999999995E-4</v>
      </c>
      <c r="AJ30" s="188">
        <f>[2]CZ_decarbplus_opex!AE30</f>
        <v>9.7659799999999996E-4</v>
      </c>
      <c r="AK30" s="188">
        <f>[2]CZ_decarbplus_opex!AF30</f>
        <v>1.379412E-3</v>
      </c>
      <c r="AL30" s="188">
        <f>[3]CZ_decarb_opex!E30</f>
        <v>6.6108658524873204E-4</v>
      </c>
      <c r="AM30" s="188">
        <f>[3]CZ_decarb_opex!F30</f>
        <v>6.24846178165957E-4</v>
      </c>
      <c r="AN30" s="188">
        <f>[2]CZ_decarbplus_opex!AG30</f>
        <v>1.0342560000000001E-3</v>
      </c>
      <c r="AO30" s="188">
        <f>[3]CZ_decarb_opex!G30</f>
        <v>6.7444747463274298E-3</v>
      </c>
      <c r="AP30" s="188">
        <f>[3]CZ_decarb_opex!H30</f>
        <v>7.0342769915321002E-3</v>
      </c>
      <c r="AQ30" s="188">
        <f>[2]CZ_decarbplus_opex!AH30</f>
        <v>7.2524670000000003E-3</v>
      </c>
      <c r="AR30" s="188">
        <f>[2]CZ_decarbplus_opex!AI30</f>
        <v>0</v>
      </c>
      <c r="AS30" s="188">
        <f>[2]CZ_decarbplus_opex!AJ30</f>
        <v>4.4905819999999999E-3</v>
      </c>
      <c r="AT30" s="188">
        <f>[2]CZ_decarbplus_opex!AK30</f>
        <v>5.0038119999999998E-3</v>
      </c>
      <c r="AU30" s="188">
        <f>[2]CZ_decarbplus_opex!AL30</f>
        <v>4.1318519999999997E-2</v>
      </c>
      <c r="AV30" s="188">
        <f>[2]CZ_decarbplus_opex!AM30</f>
        <v>4.3362451000000003E-2</v>
      </c>
      <c r="AW30" s="188">
        <f>[2]CZ_decarbplus_opex!AN30</f>
        <v>3.7979379999999998E-3</v>
      </c>
      <c r="AX30" s="188">
        <f>[2]CZ_decarbplus_opex!AO30</f>
        <v>0</v>
      </c>
      <c r="AY30" s="188">
        <f>[2]CZ_decarbplus_opex!AP30</f>
        <v>5.03401E-4</v>
      </c>
      <c r="AZ30" s="188">
        <f>[2]CZ_decarbplus_opex!AQ30</f>
        <v>0</v>
      </c>
      <c r="BA30" s="188">
        <f>[2]CZ_decarbplus_opex!AR30</f>
        <v>7.0853110000000004E-3</v>
      </c>
      <c r="BB30" s="188">
        <f>[2]CZ_decarbplus_opex!AS30</f>
        <v>2.335003E-3</v>
      </c>
      <c r="BC30" s="188">
        <f>[2]CZ_decarbplus_opex!AT30</f>
        <v>2.8617069999999998E-3</v>
      </c>
      <c r="BD30" s="188">
        <f>[2]CZ_decarbplus_opex!AU30</f>
        <v>1.2280200000000001E-4</v>
      </c>
      <c r="BE30" s="188">
        <f>[2]CZ_decarbplus_opex!AV30</f>
        <v>1.94915E-3</v>
      </c>
      <c r="BF30" s="188">
        <f>[2]CZ_decarbplus_opex!AW30</f>
        <v>1.4790100000000001E-4</v>
      </c>
      <c r="BG30" s="188">
        <f>[2]CZ_decarbplus_opex!AX30</f>
        <v>8.9150000000000004E-4</v>
      </c>
      <c r="BH30" s="188">
        <f>[3]CZ_decarb_opex!I30</f>
        <v>9.3037823267944704E-4</v>
      </c>
      <c r="BI30" s="188">
        <f>[2]CZ_decarbplus_opex!AY30</f>
        <v>2.3507710000000002E-3</v>
      </c>
      <c r="BJ30" s="188">
        <f>[2]CZ_decarbplus_opex!AZ30</f>
        <v>1.8272430000000001E-3</v>
      </c>
      <c r="BK30" s="188">
        <f>[2]CZ_decarbplus_opex!BA30</f>
        <v>8.2750250000000001E-3</v>
      </c>
      <c r="BL30" s="188">
        <f>[2]CZ_decarbplus_opex!BB30</f>
        <v>0</v>
      </c>
      <c r="BM30" s="188">
        <f>[3]CZ_decarb_opex!J30</f>
        <v>1.7184175310904E-4</v>
      </c>
      <c r="BN30" s="188">
        <f>[3]CZ_decarb_opex!K30</f>
        <v>3.6808335208619099E-4</v>
      </c>
      <c r="BO30" s="188">
        <f>[3]CZ_decarb_opex!L30</f>
        <v>6.5132852541496504E-5</v>
      </c>
      <c r="BP30" s="188">
        <f>[3]CZ_decarb_opex!M30</f>
        <v>1.21791183863813E-4</v>
      </c>
      <c r="BQ30" s="188">
        <f>[3]CZ_decarb_opex!N30</f>
        <v>1.4755088167342899E-4</v>
      </c>
      <c r="BR30" s="188">
        <f>[3]CZ_decarb_opex!O30</f>
        <v>2.2667259183317202E-5</v>
      </c>
      <c r="BS30" s="188">
        <f>[3]CZ_decarb_opex!P30</f>
        <v>3.0668701482005001E-4</v>
      </c>
      <c r="BT30" s="188">
        <f>[3]CZ_decarb_opex!Q30</f>
        <v>3.1671119109134403E-5</v>
      </c>
      <c r="BU30" s="188">
        <f>[3]CZ_decarb_opex!R30</f>
        <v>8.4442282292561304E-5</v>
      </c>
      <c r="BV30" s="188">
        <f>[3]CZ_decarb_opex!S30</f>
        <v>8.4442282292561399E-5</v>
      </c>
      <c r="BW30" s="188">
        <f>[3]CZ_decarb_opex!T30</f>
        <v>2.21952462770045E-4</v>
      </c>
      <c r="BX30" s="188">
        <f>[3]CZ_decarb_opex!U30</f>
        <v>1.09077130003885E-5</v>
      </c>
      <c r="BY30" s="188">
        <f>[3]CZ_decarb_opex!V30</f>
        <v>3.12106352737079E-4</v>
      </c>
      <c r="BZ30" s="188">
        <f>[2]CZ_decarbplus_opex!BC30</f>
        <v>1.3925999999999999E-4</v>
      </c>
      <c r="CA30" s="188">
        <f>[2]CZ_decarbplus_opex!BD30</f>
        <v>9.9900000000000002E-5</v>
      </c>
      <c r="CB30" s="188">
        <f>[2]CZ_decarbplus_opex!BE30</f>
        <v>1.0340699999999999E-4</v>
      </c>
      <c r="CC30" s="188">
        <f>[2]CZ_decarbplus_opex!BF30</f>
        <v>9.6600000000000003E-5</v>
      </c>
      <c r="CD30" s="188">
        <f>[2]CZ_decarbplus_opex!BG30</f>
        <v>3.8495800000000002E-4</v>
      </c>
      <c r="CE30" s="188">
        <f>[2]CZ_decarbplus_opex!BH30</f>
        <v>1.4653299999999999E-4</v>
      </c>
      <c r="CF30" s="188">
        <f>[2]CZ_decarbplus_opex!BI30</f>
        <v>3.06908E-4</v>
      </c>
      <c r="CG30" s="188">
        <f>[2]CZ_decarbplus_opex!BJ30</f>
        <v>7.9400000000000006E-5</v>
      </c>
    </row>
    <row r="31" spans="1:85" x14ac:dyDescent="0.25">
      <c r="A31" s="5" t="s">
        <v>81</v>
      </c>
      <c r="B31" s="2" t="s">
        <v>80</v>
      </c>
      <c r="C31" s="1" t="s">
        <v>326</v>
      </c>
      <c r="D31" s="187">
        <f>[2]CZ_decarbplus_opex!B31</f>
        <v>1.7499999999999998E-5</v>
      </c>
      <c r="E31" s="187">
        <f>[2]CZ_decarbplus_opex!C31</f>
        <v>1.1199999999999999E-5</v>
      </c>
      <c r="F31" s="187">
        <f>[2]CZ_decarbplus_opex!D31</f>
        <v>8.9800000000000004E-6</v>
      </c>
      <c r="G31" s="187">
        <f>[2]CZ_decarbplus_opex!E31</f>
        <v>2.26E-6</v>
      </c>
      <c r="H31" s="187">
        <f>[2]CZ_decarbplus_opex!F31</f>
        <v>2.9399999999999998E-6</v>
      </c>
      <c r="I31" s="187">
        <f>[2]CZ_decarbplus_opex!G31</f>
        <v>8.0099999999999995E-6</v>
      </c>
      <c r="J31" s="187">
        <f>[2]CZ_decarbplus_opex!H31</f>
        <v>1.6900000000000001E-5</v>
      </c>
      <c r="K31" s="187">
        <f>[2]CZ_decarbplus_opex!I31</f>
        <v>5.0799999999999996E-6</v>
      </c>
      <c r="L31" s="187">
        <f>[2]CZ_decarbplus_opex!J31</f>
        <v>1.43E-5</v>
      </c>
      <c r="M31" s="187">
        <f>[2]CZ_decarbplus_opex!K31</f>
        <v>1.43E-5</v>
      </c>
      <c r="N31" s="187">
        <f>[2]CZ_decarbplus_opex!L31</f>
        <v>6.2100000000000005E-5</v>
      </c>
      <c r="O31" s="187">
        <f>[2]CZ_decarbplus_opex!M31</f>
        <v>4.8099999999999997E-5</v>
      </c>
      <c r="P31" s="187">
        <f>[2]CZ_decarbplus_opex!N31</f>
        <v>2.02E-5</v>
      </c>
      <c r="Q31" s="187">
        <f>[2]CZ_decarbplus_opex!O31</f>
        <v>3.4300000000000002E-6</v>
      </c>
      <c r="R31" s="187">
        <f>[2]CZ_decarbplus_opex!P31</f>
        <v>8.7199999999999995E-6</v>
      </c>
      <c r="S31" s="187">
        <f>[2]CZ_decarbplus_opex!Q31</f>
        <v>9.0100000000000001E-6</v>
      </c>
      <c r="T31" s="187">
        <f>[2]CZ_decarbplus_opex!R31</f>
        <v>1.08E-5</v>
      </c>
      <c r="U31" s="187">
        <f>[2]CZ_decarbplus_opex!S31</f>
        <v>1.5500000000000001E-5</v>
      </c>
      <c r="V31" s="187">
        <f>[2]CZ_decarbplus_opex!T31</f>
        <v>3.0499999999999999E-5</v>
      </c>
      <c r="W31" s="187">
        <f>[2]CZ_decarbplus_opex!U31</f>
        <v>6.3100000000000002E-5</v>
      </c>
      <c r="X31" s="187">
        <f>[2]CZ_decarbplus_opex!V31</f>
        <v>9.8400000000000007E-6</v>
      </c>
      <c r="Y31" s="187">
        <f>[2]CZ_decarbplus_opex!W31</f>
        <v>7.96E-6</v>
      </c>
      <c r="Z31" s="187">
        <f>[2]CZ_decarbplus_opex!X31</f>
        <v>4.0099999999999999E-5</v>
      </c>
      <c r="AA31" s="187">
        <f>[2]CZ_decarbplus_opex!Y31</f>
        <v>1.9700000000000001E-5</v>
      </c>
      <c r="AB31" s="188">
        <f>[3]CZ_decarb_opex!B31</f>
        <v>1.3561961498246899E-4</v>
      </c>
      <c r="AC31" s="188">
        <f>[3]CZ_decarb_opex!C31</f>
        <v>1.9290262230909499E-4</v>
      </c>
      <c r="AD31" s="188">
        <f>[3]CZ_decarb_opex!D31</f>
        <v>4.1313424733213399E-5</v>
      </c>
      <c r="AE31" s="188">
        <f>[2]CZ_decarbplus_opex!Z31</f>
        <v>2.4199999999999999E-5</v>
      </c>
      <c r="AF31" s="188">
        <f>[2]CZ_decarbplus_opex!AA31</f>
        <v>8.3200000000000003E-5</v>
      </c>
      <c r="AG31" s="188">
        <f>[2]CZ_decarbplus_opex!AB31</f>
        <v>4.1199999999999999E-5</v>
      </c>
      <c r="AH31" s="188">
        <f>[2]CZ_decarbplus_opex!AC31</f>
        <v>1.5694E-4</v>
      </c>
      <c r="AI31" s="188">
        <f>[2]CZ_decarbplus_opex!AD31</f>
        <v>3.3699999999999999E-5</v>
      </c>
      <c r="AJ31" s="188">
        <f>[2]CZ_decarbplus_opex!AE31</f>
        <v>9.7E-5</v>
      </c>
      <c r="AK31" s="188">
        <f>[2]CZ_decarbplus_opex!AF31</f>
        <v>7.1199999999999996E-5</v>
      </c>
      <c r="AL31" s="188">
        <f>[3]CZ_decarb_opex!E31</f>
        <v>4.7181987372213898E-5</v>
      </c>
      <c r="AM31" s="188">
        <f>[3]CZ_decarb_opex!F31</f>
        <v>4.3953328550958999E-5</v>
      </c>
      <c r="AN31" s="188">
        <f>[2]CZ_decarbplus_opex!AG31</f>
        <v>1.4008900000000001E-4</v>
      </c>
      <c r="AO31" s="188">
        <f>[3]CZ_decarb_opex!G31</f>
        <v>6.4072934243100395E-4</v>
      </c>
      <c r="AP31" s="188">
        <f>[3]CZ_decarb_opex!H31</f>
        <v>5.7671480153063102E-4</v>
      </c>
      <c r="AQ31" s="188">
        <f>[2]CZ_decarbplus_opex!AH31</f>
        <v>6.6713999999999999E-4</v>
      </c>
      <c r="AR31" s="188">
        <f>[2]CZ_decarbplus_opex!AI31</f>
        <v>0</v>
      </c>
      <c r="AS31" s="188">
        <f>[2]CZ_decarbplus_opex!AJ31</f>
        <v>3.5218199999999998E-4</v>
      </c>
      <c r="AT31" s="188">
        <f>[2]CZ_decarbplus_opex!AK31</f>
        <v>3.7137200000000002E-4</v>
      </c>
      <c r="AU31" s="188">
        <f>[2]CZ_decarbplus_opex!AL31</f>
        <v>3.493454E-3</v>
      </c>
      <c r="AV31" s="188">
        <f>[2]CZ_decarbplus_opex!AM31</f>
        <v>3.6541439999999998E-3</v>
      </c>
      <c r="AW31" s="188">
        <f>[2]CZ_decarbplus_opex!AN31</f>
        <v>6.6470600000000004E-4</v>
      </c>
      <c r="AX31" s="188">
        <f>[2]CZ_decarbplus_opex!AO31</f>
        <v>0</v>
      </c>
      <c r="AY31" s="188">
        <f>[2]CZ_decarbplus_opex!AP31</f>
        <v>1.493601E-3</v>
      </c>
      <c r="AZ31" s="188">
        <f>[2]CZ_decarbplus_opex!AQ31</f>
        <v>0</v>
      </c>
      <c r="BA31" s="188">
        <f>[2]CZ_decarbplus_opex!AR31</f>
        <v>9.7911900000000008E-4</v>
      </c>
      <c r="BB31" s="188">
        <f>[2]CZ_decarbplus_opex!AS31</f>
        <v>1.8385100000000001E-4</v>
      </c>
      <c r="BC31" s="188">
        <f>[2]CZ_decarbplus_opex!AT31</f>
        <v>2.2150499999999999E-4</v>
      </c>
      <c r="BD31" s="188">
        <f>[2]CZ_decarbplus_opex!AU31</f>
        <v>2.8E-5</v>
      </c>
      <c r="BE31" s="188">
        <f>[2]CZ_decarbplus_opex!AV31</f>
        <v>1.5976200000000001E-4</v>
      </c>
      <c r="BF31" s="188">
        <f>[2]CZ_decarbplus_opex!AW31</f>
        <v>1.38E-5</v>
      </c>
      <c r="BG31" s="188">
        <f>[2]CZ_decarbplus_opex!AX31</f>
        <v>4.9799999999999998E-5</v>
      </c>
      <c r="BH31" s="188">
        <f>[3]CZ_decarb_opex!I31</f>
        <v>5.2520850081344E-5</v>
      </c>
      <c r="BI31" s="188">
        <f>[2]CZ_decarbplus_opex!AY31</f>
        <v>1.4376600000000001E-4</v>
      </c>
      <c r="BJ31" s="188">
        <f>[2]CZ_decarbplus_opex!AZ31</f>
        <v>1.05944E-4</v>
      </c>
      <c r="BK31" s="188">
        <f>[2]CZ_decarbplus_opex!BA31</f>
        <v>8.10409E-4</v>
      </c>
      <c r="BL31" s="188">
        <f>[2]CZ_decarbplus_opex!BB31</f>
        <v>0</v>
      </c>
      <c r="BM31" s="188">
        <f>[3]CZ_decarb_opex!J31</f>
        <v>7.4244990703828801E-6</v>
      </c>
      <c r="BN31" s="188">
        <f>[3]CZ_decarb_opex!K31</f>
        <v>7.0311780988442996E-5</v>
      </c>
      <c r="BO31" s="188">
        <f>[3]CZ_decarb_opex!L31</f>
        <v>5.8891177497475498E-6</v>
      </c>
      <c r="BP31" s="188">
        <f>[3]CZ_decarb_opex!M31</f>
        <v>5.4192345893193603E-5</v>
      </c>
      <c r="BQ31" s="188">
        <f>[3]CZ_decarb_opex!N31</f>
        <v>1.8686868312892E-5</v>
      </c>
      <c r="BR31" s="188">
        <f>[3]CZ_decarb_opex!O31</f>
        <v>8.3954645436840004E-6</v>
      </c>
      <c r="BS31" s="188">
        <f>[3]CZ_decarb_opex!P31</f>
        <v>4.4486311114153903E-5</v>
      </c>
      <c r="BT31" s="188">
        <f>[3]CZ_decarb_opex!Q31</f>
        <v>3.54957230690824E-6</v>
      </c>
      <c r="BU31" s="188">
        <f>[3]CZ_decarb_opex!R31</f>
        <v>1.9107370317976301E-6</v>
      </c>
      <c r="BV31" s="188">
        <f>[3]CZ_decarb_opex!S31</f>
        <v>1.9107370317976301E-6</v>
      </c>
      <c r="BW31" s="188">
        <f>[3]CZ_decarb_opex!T31</f>
        <v>6.6281514690317699E-4</v>
      </c>
      <c r="BX31" s="188">
        <f>[3]CZ_decarb_opex!U31</f>
        <v>1.8613584103502199E-6</v>
      </c>
      <c r="BY31" s="188">
        <f>[3]CZ_decarb_opex!V31</f>
        <v>8.1052858422628996E-5</v>
      </c>
      <c r="BZ31" s="188">
        <f>[2]CZ_decarbplus_opex!BC31</f>
        <v>3.1999999999999999E-5</v>
      </c>
      <c r="CA31" s="188">
        <f>[2]CZ_decarbplus_opex!BD31</f>
        <v>8.7299999999999994E-6</v>
      </c>
      <c r="CB31" s="188">
        <f>[2]CZ_decarbplus_opex!BE31</f>
        <v>5.6300000000000003E-6</v>
      </c>
      <c r="CC31" s="188">
        <f>[2]CZ_decarbplus_opex!BF31</f>
        <v>6.72E-6</v>
      </c>
      <c r="CD31" s="188">
        <f>[2]CZ_decarbplus_opex!BG31</f>
        <v>2.3900000000000002E-5</v>
      </c>
      <c r="CE31" s="188">
        <f>[2]CZ_decarbplus_opex!BH31</f>
        <v>1.6200000000000001E-5</v>
      </c>
      <c r="CF31" s="188">
        <f>[2]CZ_decarbplus_opex!BI31</f>
        <v>2.7699999999999999E-5</v>
      </c>
      <c r="CG31" s="188">
        <f>[2]CZ_decarbplus_opex!BJ31</f>
        <v>3.2499999999999997E-5</v>
      </c>
    </row>
    <row r="32" spans="1:85" x14ac:dyDescent="0.25">
      <c r="A32" s="5" t="s">
        <v>83</v>
      </c>
      <c r="B32" s="2" t="s">
        <v>82</v>
      </c>
      <c r="C32" s="1" t="s">
        <v>326</v>
      </c>
      <c r="D32" s="187">
        <f>[2]CZ_decarbplus_opex!B32</f>
        <v>1.01E-5</v>
      </c>
      <c r="E32" s="187">
        <f>[2]CZ_decarbplus_opex!C32</f>
        <v>2.3999999999999999E-6</v>
      </c>
      <c r="F32" s="187">
        <f>[2]CZ_decarbplus_opex!D32</f>
        <v>3.2399999999999999E-6</v>
      </c>
      <c r="G32" s="187">
        <f>[2]CZ_decarbplus_opex!E32</f>
        <v>2.8900000000000001E-7</v>
      </c>
      <c r="H32" s="187">
        <f>[2]CZ_decarbplus_opex!F32</f>
        <v>4.3500000000000002E-7</v>
      </c>
      <c r="I32" s="187">
        <f>[2]CZ_decarbplus_opex!G32</f>
        <v>3.4599999999999999E-6</v>
      </c>
      <c r="J32" s="187">
        <f>[2]CZ_decarbplus_opex!H32</f>
        <v>2.2500000000000001E-5</v>
      </c>
      <c r="K32" s="187">
        <f>[2]CZ_decarbplus_opex!I32</f>
        <v>8.23E-7</v>
      </c>
      <c r="L32" s="187">
        <f>[2]CZ_decarbplus_opex!J32</f>
        <v>7.2600000000000003E-5</v>
      </c>
      <c r="M32" s="187">
        <f>[2]CZ_decarbplus_opex!K32</f>
        <v>5.8300000000000001E-6</v>
      </c>
      <c r="N32" s="187">
        <f>[2]CZ_decarbplus_opex!L32</f>
        <v>1.59E-5</v>
      </c>
      <c r="O32" s="187">
        <f>[2]CZ_decarbplus_opex!M32</f>
        <v>7.1400000000000002E-6</v>
      </c>
      <c r="P32" s="187">
        <f>[2]CZ_decarbplus_opex!N32</f>
        <v>8.5099999999999998E-6</v>
      </c>
      <c r="Q32" s="187">
        <f>[2]CZ_decarbplus_opex!O32</f>
        <v>1.5E-6</v>
      </c>
      <c r="R32" s="187">
        <f>[2]CZ_decarbplus_opex!P32</f>
        <v>2.8899999999999999E-6</v>
      </c>
      <c r="S32" s="187">
        <f>[2]CZ_decarbplus_opex!Q32</f>
        <v>4.3699999999999997E-6</v>
      </c>
      <c r="T32" s="187">
        <f>[2]CZ_decarbplus_opex!R32</f>
        <v>1.0200000000000001E-5</v>
      </c>
      <c r="U32" s="187">
        <f>[2]CZ_decarbplus_opex!S32</f>
        <v>4.1500000000000001E-6</v>
      </c>
      <c r="V32" s="187">
        <f>[2]CZ_decarbplus_opex!T32</f>
        <v>5.0499999999999999E-6</v>
      </c>
      <c r="W32" s="187">
        <f>[2]CZ_decarbplus_opex!U32</f>
        <v>3.1499999999999999E-6</v>
      </c>
      <c r="X32" s="187">
        <f>[2]CZ_decarbplus_opex!V32</f>
        <v>2.9699999999999999E-6</v>
      </c>
      <c r="Y32" s="187">
        <f>[2]CZ_decarbplus_opex!W32</f>
        <v>3.05E-6</v>
      </c>
      <c r="Z32" s="187">
        <f>[2]CZ_decarbplus_opex!X32</f>
        <v>9.0000000000000002E-6</v>
      </c>
      <c r="AA32" s="187">
        <f>[2]CZ_decarbplus_opex!Y32</f>
        <v>9.73E-6</v>
      </c>
      <c r="AB32" s="188">
        <f>[3]CZ_decarb_opex!B32</f>
        <v>1.60132226993228E-5</v>
      </c>
      <c r="AC32" s="188">
        <f>[3]CZ_decarb_opex!C32</f>
        <v>1.5966992588181501E-5</v>
      </c>
      <c r="AD32" s="188">
        <f>[3]CZ_decarb_opex!D32</f>
        <v>6.7588696847659401E-6</v>
      </c>
      <c r="AE32" s="188">
        <f>[2]CZ_decarbplus_opex!Z32</f>
        <v>5.75E-6</v>
      </c>
      <c r="AF32" s="188">
        <f>[2]CZ_decarbplus_opex!AA32</f>
        <v>4.7599999999999998E-5</v>
      </c>
      <c r="AG32" s="188">
        <f>[2]CZ_decarbplus_opex!AB32</f>
        <v>1.29E-5</v>
      </c>
      <c r="AH32" s="188">
        <f>[2]CZ_decarbplus_opex!AC32</f>
        <v>6.8899999999999994E-5</v>
      </c>
      <c r="AI32" s="188">
        <f>[2]CZ_decarbplus_opex!AD32</f>
        <v>1.63E-5</v>
      </c>
      <c r="AJ32" s="188">
        <f>[2]CZ_decarbplus_opex!AE32</f>
        <v>5.5500000000000001E-5</v>
      </c>
      <c r="AK32" s="188">
        <f>[2]CZ_decarbplus_opex!AF32</f>
        <v>4.2599999999999999E-5</v>
      </c>
      <c r="AL32" s="188">
        <f>[3]CZ_decarb_opex!E32</f>
        <v>2.7445612840193302E-5</v>
      </c>
      <c r="AM32" s="188">
        <f>[3]CZ_decarb_opex!F32</f>
        <v>2.6970741298199699E-5</v>
      </c>
      <c r="AN32" s="188">
        <f>[2]CZ_decarbplus_opex!AG32</f>
        <v>3.57E-5</v>
      </c>
      <c r="AO32" s="188">
        <f>[3]CZ_decarb_opex!G32</f>
        <v>2.0943543525430799E-3</v>
      </c>
      <c r="AP32" s="188">
        <f>[3]CZ_decarb_opex!H32</f>
        <v>1.46457519736504E-3</v>
      </c>
      <c r="AQ32" s="188">
        <f>[2]CZ_decarbplus_opex!AH32</f>
        <v>2.5999999999999998E-5</v>
      </c>
      <c r="AR32" s="188">
        <f>[2]CZ_decarbplus_opex!AI32</f>
        <v>0</v>
      </c>
      <c r="AS32" s="188">
        <f>[2]CZ_decarbplus_opex!AJ32</f>
        <v>4.07E-5</v>
      </c>
      <c r="AT32" s="188">
        <f>[2]CZ_decarbplus_opex!AK32</f>
        <v>4.1E-5</v>
      </c>
      <c r="AU32" s="188">
        <f>[2]CZ_decarbplus_opex!AL32</f>
        <v>3.7666899999999999E-4</v>
      </c>
      <c r="AV32" s="188">
        <f>[2]CZ_decarbplus_opex!AM32</f>
        <v>3.94714E-4</v>
      </c>
      <c r="AW32" s="188">
        <f>[2]CZ_decarbplus_opex!AN32</f>
        <v>1.48262E-4</v>
      </c>
      <c r="AX32" s="188">
        <f>[2]CZ_decarbplus_opex!AO32</f>
        <v>0</v>
      </c>
      <c r="AY32" s="188">
        <f>[2]CZ_decarbplus_opex!AP32</f>
        <v>0.125664307</v>
      </c>
      <c r="AZ32" s="188">
        <f>[2]CZ_decarbplus_opex!AQ32</f>
        <v>0</v>
      </c>
      <c r="BA32" s="188">
        <f>[2]CZ_decarbplus_opex!AR32</f>
        <v>7.8500900000000003E-4</v>
      </c>
      <c r="BB32" s="188">
        <f>[2]CZ_decarbplus_opex!AS32</f>
        <v>4.5300000000000003E-5</v>
      </c>
      <c r="BC32" s="188">
        <f>[2]CZ_decarbplus_opex!AT32</f>
        <v>4.9100000000000001E-5</v>
      </c>
      <c r="BD32" s="188">
        <f>[2]CZ_decarbplus_opex!AU32</f>
        <v>1.9400000000000001E-5</v>
      </c>
      <c r="BE32" s="188">
        <f>[2]CZ_decarbplus_opex!AV32</f>
        <v>4.1E-5</v>
      </c>
      <c r="BF32" s="188">
        <f>[2]CZ_decarbplus_opex!AW32</f>
        <v>1.4800000000000001E-5</v>
      </c>
      <c r="BG32" s="188">
        <f>[2]CZ_decarbplus_opex!AX32</f>
        <v>1.9300000000000002E-5</v>
      </c>
      <c r="BH32" s="188">
        <f>[3]CZ_decarb_opex!I32</f>
        <v>2.0129316787357099E-5</v>
      </c>
      <c r="BI32" s="188">
        <f>[2]CZ_decarbplus_opex!AY32</f>
        <v>3.9400000000000002E-5</v>
      </c>
      <c r="BJ32" s="188">
        <f>[2]CZ_decarbplus_opex!AZ32</f>
        <v>2.1299999999999999E-5</v>
      </c>
      <c r="BK32" s="188">
        <f>[2]CZ_decarbplus_opex!BA32</f>
        <v>1.96701E-4</v>
      </c>
      <c r="BL32" s="188">
        <f>[2]CZ_decarbplus_opex!BB32</f>
        <v>0</v>
      </c>
      <c r="BM32" s="188">
        <f>[3]CZ_decarb_opex!J32</f>
        <v>5.2963786326722903E-6</v>
      </c>
      <c r="BN32" s="188">
        <f>[3]CZ_decarb_opex!K32</f>
        <v>1.15487004423204E-5</v>
      </c>
      <c r="BO32" s="188">
        <f>[3]CZ_decarb_opex!L32</f>
        <v>2.3283273633339301E-6</v>
      </c>
      <c r="BP32" s="188">
        <f>[3]CZ_decarb_opex!M32</f>
        <v>5.11549469902427E-6</v>
      </c>
      <c r="BQ32" s="188">
        <f>[3]CZ_decarb_opex!N32</f>
        <v>8.5781722776040798E-6</v>
      </c>
      <c r="BR32" s="188">
        <f>[3]CZ_decarb_opex!O32</f>
        <v>2.15170799772743E-6</v>
      </c>
      <c r="BS32" s="188">
        <f>[3]CZ_decarb_opex!P32</f>
        <v>9.9910169231071397E-6</v>
      </c>
      <c r="BT32" s="188">
        <f>[3]CZ_decarb_opex!Q32</f>
        <v>2.6234949962634199E-3</v>
      </c>
      <c r="BU32" s="188">
        <f>[3]CZ_decarb_opex!R32</f>
        <v>1.5432766328910899E-6</v>
      </c>
      <c r="BV32" s="188">
        <f>[3]CZ_decarb_opex!S32</f>
        <v>1.5432766328910899E-6</v>
      </c>
      <c r="BW32" s="188">
        <f>[3]CZ_decarb_opex!T32</f>
        <v>6.7011978622276303E-6</v>
      </c>
      <c r="BX32" s="188">
        <f>[3]CZ_decarb_opex!U32</f>
        <v>1.07704737870192E-6</v>
      </c>
      <c r="BY32" s="188">
        <f>[3]CZ_decarb_opex!V32</f>
        <v>2.0405883952220799E-5</v>
      </c>
      <c r="BZ32" s="188">
        <f>[2]CZ_decarbplus_opex!BC32</f>
        <v>5.3199999999999999E-6</v>
      </c>
      <c r="CA32" s="188">
        <f>[2]CZ_decarbplus_opex!BD32</f>
        <v>2.6400000000000001E-6</v>
      </c>
      <c r="CB32" s="188">
        <f>[2]CZ_decarbplus_opex!BE32</f>
        <v>2.79E-6</v>
      </c>
      <c r="CC32" s="188">
        <f>[2]CZ_decarbplus_opex!BF32</f>
        <v>1.48E-6</v>
      </c>
      <c r="CD32" s="188">
        <f>[2]CZ_decarbplus_opex!BG32</f>
        <v>1.06E-5</v>
      </c>
      <c r="CE32" s="188">
        <f>[2]CZ_decarbplus_opex!BH32</f>
        <v>6.9199999999999998E-6</v>
      </c>
      <c r="CF32" s="188">
        <f>[2]CZ_decarbplus_opex!BI32</f>
        <v>1.1800000000000001E-5</v>
      </c>
      <c r="CG32" s="188">
        <f>[2]CZ_decarbplus_opex!BJ32</f>
        <v>4.6700000000000002E-6</v>
      </c>
    </row>
    <row r="33" spans="1:85" x14ac:dyDescent="0.25">
      <c r="A33" s="5" t="s">
        <v>85</v>
      </c>
      <c r="B33" s="2" t="s">
        <v>84</v>
      </c>
      <c r="C33" s="1" t="s">
        <v>326</v>
      </c>
      <c r="D33" s="187">
        <f>[2]CZ_decarbplus_opex!B33</f>
        <v>1.8983199999999999E-4</v>
      </c>
      <c r="E33" s="187">
        <f>[2]CZ_decarbplus_opex!C33</f>
        <v>2.0869899999999999E-4</v>
      </c>
      <c r="F33" s="187">
        <f>[2]CZ_decarbplus_opex!D33</f>
        <v>3.4271699999999998E-4</v>
      </c>
      <c r="G33" s="187">
        <f>[2]CZ_decarbplus_opex!E33</f>
        <v>4.6499999999999999E-5</v>
      </c>
      <c r="H33" s="187">
        <f>[2]CZ_decarbplus_opex!F33</f>
        <v>5.9299999999999998E-5</v>
      </c>
      <c r="I33" s="187">
        <f>[2]CZ_decarbplus_opex!G33</f>
        <v>4.4376600000000001E-4</v>
      </c>
      <c r="J33" s="187">
        <f>[2]CZ_decarbplus_opex!H33</f>
        <v>5.4316599999999998E-4</v>
      </c>
      <c r="K33" s="187">
        <f>[2]CZ_decarbplus_opex!I33</f>
        <v>1.11263E-4</v>
      </c>
      <c r="L33" s="187">
        <f>[2]CZ_decarbplus_opex!J33</f>
        <v>9.3853299999999997E-4</v>
      </c>
      <c r="M33" s="187">
        <f>[2]CZ_decarbplus_opex!K33</f>
        <v>9.04567E-4</v>
      </c>
      <c r="N33" s="187">
        <f>[2]CZ_decarbplus_opex!L33</f>
        <v>6.6097400000000005E-4</v>
      </c>
      <c r="O33" s="187">
        <f>[2]CZ_decarbplus_opex!M33</f>
        <v>2.55887E-4</v>
      </c>
      <c r="P33" s="187">
        <f>[2]CZ_decarbplus_opex!N33</f>
        <v>6.89465E-4</v>
      </c>
      <c r="Q33" s="187">
        <f>[2]CZ_decarbplus_opex!O33</f>
        <v>1.59937E-4</v>
      </c>
      <c r="R33" s="187">
        <f>[2]CZ_decarbplus_opex!P33</f>
        <v>2.3257200000000001E-4</v>
      </c>
      <c r="S33" s="187">
        <f>[2]CZ_decarbplus_opex!Q33</f>
        <v>3.4523799999999999E-4</v>
      </c>
      <c r="T33" s="187">
        <f>[2]CZ_decarbplus_opex!R33</f>
        <v>4.6172999999999999E-4</v>
      </c>
      <c r="U33" s="187">
        <f>[2]CZ_decarbplus_opex!S33</f>
        <v>7.5492699999999996E-4</v>
      </c>
      <c r="V33" s="187">
        <f>[2]CZ_decarbplus_opex!T33</f>
        <v>1.03998E-3</v>
      </c>
      <c r="W33" s="187">
        <f>[2]CZ_decarbplus_opex!U33</f>
        <v>1.99719E-4</v>
      </c>
      <c r="X33" s="187">
        <f>[2]CZ_decarbplus_opex!V33</f>
        <v>1.2790999999999999E-4</v>
      </c>
      <c r="Y33" s="187">
        <f>[2]CZ_decarbplus_opex!W33</f>
        <v>1.4080900000000001E-3</v>
      </c>
      <c r="Z33" s="187">
        <f>[2]CZ_decarbplus_opex!X33</f>
        <v>1.5879170000000001E-3</v>
      </c>
      <c r="AA33" s="187">
        <f>[2]CZ_decarbplus_opex!Y33</f>
        <v>6.6688999999999995E-4</v>
      </c>
      <c r="AB33" s="188">
        <f>[3]CZ_decarb_opex!B33</f>
        <v>8.2281510767581397E-4</v>
      </c>
      <c r="AC33" s="188">
        <f>[3]CZ_decarb_opex!C33</f>
        <v>6.2705115159581804E-4</v>
      </c>
      <c r="AD33" s="188">
        <f>[3]CZ_decarb_opex!D33</f>
        <v>3.3624147129786598E-3</v>
      </c>
      <c r="AE33" s="188">
        <f>[2]CZ_decarbplus_opex!Z33</f>
        <v>3.4291809999999999E-3</v>
      </c>
      <c r="AF33" s="188">
        <f>[2]CZ_decarbplus_opex!AA33</f>
        <v>7.6217600000000004E-4</v>
      </c>
      <c r="AG33" s="188">
        <f>[2]CZ_decarbplus_opex!AB33</f>
        <v>1.4554100000000001E-4</v>
      </c>
      <c r="AH33" s="188">
        <f>[2]CZ_decarbplus_opex!AC33</f>
        <v>2.3442162999999999E-2</v>
      </c>
      <c r="AI33" s="188">
        <f>[2]CZ_decarbplus_opex!AD33</f>
        <v>1.3968380000000001E-3</v>
      </c>
      <c r="AJ33" s="188">
        <f>[2]CZ_decarbplus_opex!AE33</f>
        <v>4.5529539999999997E-3</v>
      </c>
      <c r="AK33" s="188">
        <f>[2]CZ_decarbplus_opex!AF33</f>
        <v>4.9184770000000001E-3</v>
      </c>
      <c r="AL33" s="188">
        <f>[3]CZ_decarb_opex!E33</f>
        <v>2.2176248757376602E-2</v>
      </c>
      <c r="AM33" s="188">
        <f>[3]CZ_decarb_opex!F33</f>
        <v>2.1188770794543101E-2</v>
      </c>
      <c r="AN33" s="188">
        <f>[2]CZ_decarbplus_opex!AG33</f>
        <v>4.3246827000000002E-2</v>
      </c>
      <c r="AO33" s="188">
        <f>[3]CZ_decarb_opex!G33</f>
        <v>1.6402065656385501E-3</v>
      </c>
      <c r="AP33" s="188">
        <f>[3]CZ_decarb_opex!H33</f>
        <v>1.7581214910091601E-3</v>
      </c>
      <c r="AQ33" s="188">
        <f>[2]CZ_decarbplus_opex!AH33</f>
        <v>1.9975739999999998E-3</v>
      </c>
      <c r="AR33" s="188">
        <f>[2]CZ_decarbplus_opex!AI33</f>
        <v>0</v>
      </c>
      <c r="AS33" s="188">
        <f>[2]CZ_decarbplus_opex!AJ33</f>
        <v>1.7073139999999999E-3</v>
      </c>
      <c r="AT33" s="188">
        <f>[2]CZ_decarbplus_opex!AK33</f>
        <v>1.880261E-3</v>
      </c>
      <c r="AU33" s="188">
        <f>[2]CZ_decarbplus_opex!AL33</f>
        <v>5.7292860000000001E-3</v>
      </c>
      <c r="AV33" s="188">
        <f>[2]CZ_decarbplus_opex!AM33</f>
        <v>5.9573739999999997E-3</v>
      </c>
      <c r="AW33" s="188">
        <f>[2]CZ_decarbplus_opex!AN33</f>
        <v>1.1299400000000001E-3</v>
      </c>
      <c r="AX33" s="188">
        <f>[2]CZ_decarbplus_opex!AO33</f>
        <v>0</v>
      </c>
      <c r="AY33" s="188">
        <f>[2]CZ_decarbplus_opex!AP33</f>
        <v>9.3134900000000004E-4</v>
      </c>
      <c r="AZ33" s="188">
        <f>[2]CZ_decarbplus_opex!AQ33</f>
        <v>0</v>
      </c>
      <c r="BA33" s="188">
        <f>[2]CZ_decarbplus_opex!AR33</f>
        <v>3.7958255000000003E-2</v>
      </c>
      <c r="BB33" s="188">
        <f>[2]CZ_decarbplus_opex!AS33</f>
        <v>5.7030700000000004E-4</v>
      </c>
      <c r="BC33" s="188">
        <f>[2]CZ_decarbplus_opex!AT33</f>
        <v>1.196576E-3</v>
      </c>
      <c r="BD33" s="188">
        <f>[2]CZ_decarbplus_opex!AU33</f>
        <v>5.3999999999999998E-5</v>
      </c>
      <c r="BE33" s="188">
        <f>[2]CZ_decarbplus_opex!AV33</f>
        <v>7.2836600000000004E-4</v>
      </c>
      <c r="BF33" s="188">
        <f>[2]CZ_decarbplus_opex!AW33</f>
        <v>2.9985899999999998E-4</v>
      </c>
      <c r="BG33" s="188">
        <f>[2]CZ_decarbplus_opex!AX33</f>
        <v>2.9589200000000002E-4</v>
      </c>
      <c r="BH33" s="188">
        <f>[3]CZ_decarb_opex!I33</f>
        <v>1.9785214949937901E-4</v>
      </c>
      <c r="BI33" s="188">
        <f>[2]CZ_decarbplus_opex!AY33</f>
        <v>4.1041899999999997E-4</v>
      </c>
      <c r="BJ33" s="188">
        <f>[2]CZ_decarbplus_opex!AZ33</f>
        <v>2.9767200000000002E-4</v>
      </c>
      <c r="BK33" s="188">
        <f>[2]CZ_decarbplus_opex!BA33</f>
        <v>2.4259379999999999E-3</v>
      </c>
      <c r="BL33" s="188">
        <f>[2]CZ_decarbplus_opex!BB33</f>
        <v>0</v>
      </c>
      <c r="BM33" s="188">
        <f>[3]CZ_decarb_opex!J33</f>
        <v>1.2189917940024901E-3</v>
      </c>
      <c r="BN33" s="188">
        <f>[3]CZ_decarb_opex!K33</f>
        <v>1.9657155623624498E-3</v>
      </c>
      <c r="BO33" s="188">
        <f>[3]CZ_decarb_opex!L33</f>
        <v>3.1538588676767302E-4</v>
      </c>
      <c r="BP33" s="188">
        <f>[3]CZ_decarb_opex!M33</f>
        <v>4.1172497033233898E-4</v>
      </c>
      <c r="BQ33" s="188">
        <f>[3]CZ_decarb_opex!N33</f>
        <v>4.2461697830672101E-4</v>
      </c>
      <c r="BR33" s="188">
        <f>[3]CZ_decarb_opex!O33</f>
        <v>1.13830492979031E-3</v>
      </c>
      <c r="BS33" s="188">
        <f>[3]CZ_decarb_opex!P33</f>
        <v>1.80440708561987E-3</v>
      </c>
      <c r="BT33" s="188">
        <f>[3]CZ_decarb_opex!Q33</f>
        <v>5.5516886945424296E-4</v>
      </c>
      <c r="BU33" s="188">
        <f>[3]CZ_decarb_opex!R33</f>
        <v>2.7430925676028001E-4</v>
      </c>
      <c r="BV33" s="188">
        <f>[3]CZ_decarb_opex!S33</f>
        <v>2.7430925676028098E-4</v>
      </c>
      <c r="BW33" s="188">
        <f>[3]CZ_decarb_opex!T33</f>
        <v>1.0828598792083899E-3</v>
      </c>
      <c r="BX33" s="188">
        <f>[3]CZ_decarb_opex!U33</f>
        <v>5.7006941005823701E-5</v>
      </c>
      <c r="BY33" s="188">
        <f>[3]CZ_decarb_opex!V33</f>
        <v>4.0810409469084101E-4</v>
      </c>
      <c r="BZ33" s="188">
        <f>[2]CZ_decarbplus_opex!BC33</f>
        <v>8.6592600000000004E-4</v>
      </c>
      <c r="CA33" s="188">
        <f>[2]CZ_decarbplus_opex!BD33</f>
        <v>4.9694799999999999E-4</v>
      </c>
      <c r="CB33" s="188">
        <f>[2]CZ_decarbplus_opex!BE33</f>
        <v>5.6555400000000001E-4</v>
      </c>
      <c r="CC33" s="188">
        <f>[2]CZ_decarbplus_opex!BF33</f>
        <v>3.8516400000000001E-4</v>
      </c>
      <c r="CD33" s="188">
        <f>[2]CZ_decarbplus_opex!BG33</f>
        <v>1.6843699999999999E-3</v>
      </c>
      <c r="CE33" s="188">
        <f>[2]CZ_decarbplus_opex!BH33</f>
        <v>1.5552960000000001E-3</v>
      </c>
      <c r="CF33" s="188">
        <f>[2]CZ_decarbplus_opex!BI33</f>
        <v>7.9328360000000004E-3</v>
      </c>
      <c r="CG33" s="188">
        <f>[2]CZ_decarbplus_opex!BJ33</f>
        <v>9.6000000000000002E-5</v>
      </c>
    </row>
    <row r="34" spans="1:85" x14ac:dyDescent="0.25">
      <c r="A34" s="5" t="s">
        <v>87</v>
      </c>
      <c r="B34" s="2" t="s">
        <v>86</v>
      </c>
      <c r="C34" s="1" t="s">
        <v>326</v>
      </c>
      <c r="D34" s="187">
        <f>[2]CZ_decarbplus_opex!B34</f>
        <v>3.9660800000000001E-4</v>
      </c>
      <c r="E34" s="187">
        <f>[2]CZ_decarbplus_opex!C34</f>
        <v>2.6425999999999999E-4</v>
      </c>
      <c r="F34" s="187">
        <f>[2]CZ_decarbplus_opex!D34</f>
        <v>2.3109899999999999E-4</v>
      </c>
      <c r="G34" s="187">
        <f>[2]CZ_decarbplus_opex!E34</f>
        <v>5.49E-5</v>
      </c>
      <c r="H34" s="187">
        <f>[2]CZ_decarbplus_opex!F34</f>
        <v>8.5099999999999995E-5</v>
      </c>
      <c r="I34" s="187">
        <f>[2]CZ_decarbplus_opex!G34</f>
        <v>5.1475499999999999E-4</v>
      </c>
      <c r="J34" s="187">
        <f>[2]CZ_decarbplus_opex!H34</f>
        <v>6.7720400000000004E-4</v>
      </c>
      <c r="K34" s="187">
        <f>[2]CZ_decarbplus_opex!I34</f>
        <v>1.53778E-4</v>
      </c>
      <c r="L34" s="187">
        <f>[2]CZ_decarbplus_opex!J34</f>
        <v>5.0157999999999995E-4</v>
      </c>
      <c r="M34" s="187">
        <f>[2]CZ_decarbplus_opex!K34</f>
        <v>7.6856099999999996E-4</v>
      </c>
      <c r="N34" s="187">
        <f>[2]CZ_decarbplus_opex!L34</f>
        <v>7.9398999999999995E-4</v>
      </c>
      <c r="O34" s="187">
        <f>[2]CZ_decarbplus_opex!M34</f>
        <v>4.18319E-4</v>
      </c>
      <c r="P34" s="187">
        <f>[2]CZ_decarbplus_opex!N34</f>
        <v>9.1674400000000004E-4</v>
      </c>
      <c r="Q34" s="187">
        <f>[2]CZ_decarbplus_opex!O34</f>
        <v>3.1717799999999999E-4</v>
      </c>
      <c r="R34" s="187">
        <f>[2]CZ_decarbplus_opex!P34</f>
        <v>4.6719099999999999E-4</v>
      </c>
      <c r="S34" s="187">
        <f>[2]CZ_decarbplus_opex!Q34</f>
        <v>4.4961399999999998E-4</v>
      </c>
      <c r="T34" s="187">
        <f>[2]CZ_decarbplus_opex!R34</f>
        <v>5.8620999999999999E-4</v>
      </c>
      <c r="U34" s="187">
        <f>[2]CZ_decarbplus_opex!S34</f>
        <v>1.0581589999999999E-3</v>
      </c>
      <c r="V34" s="187">
        <f>[2]CZ_decarbplus_opex!T34</f>
        <v>1.476694E-3</v>
      </c>
      <c r="W34" s="187">
        <f>[2]CZ_decarbplus_opex!U34</f>
        <v>3.1626499999999998E-4</v>
      </c>
      <c r="X34" s="187">
        <f>[2]CZ_decarbplus_opex!V34</f>
        <v>1.8941300000000001E-4</v>
      </c>
      <c r="Y34" s="187">
        <f>[2]CZ_decarbplus_opex!W34</f>
        <v>1.569396E-3</v>
      </c>
      <c r="Z34" s="187">
        <f>[2]CZ_decarbplus_opex!X34</f>
        <v>1.4186610000000001E-3</v>
      </c>
      <c r="AA34" s="187">
        <f>[2]CZ_decarbplus_opex!Y34</f>
        <v>8.2014100000000003E-4</v>
      </c>
      <c r="AB34" s="188">
        <f>[3]CZ_decarb_opex!B34</f>
        <v>1.6858694531621499E-3</v>
      </c>
      <c r="AC34" s="188">
        <f>[3]CZ_decarb_opex!C34</f>
        <v>1.6014469324412499E-3</v>
      </c>
      <c r="AD34" s="188">
        <f>[3]CZ_decarb_opex!D34</f>
        <v>1.10386798288958E-3</v>
      </c>
      <c r="AE34" s="188">
        <f>[2]CZ_decarbplus_opex!Z34</f>
        <v>1.03199E-3</v>
      </c>
      <c r="AF34" s="188">
        <f>[2]CZ_decarbplus_opex!AA34</f>
        <v>1.1336156999999999E-2</v>
      </c>
      <c r="AG34" s="188">
        <f>[2]CZ_decarbplus_opex!AB34</f>
        <v>3.5931500000000002E-4</v>
      </c>
      <c r="AH34" s="188">
        <f>[2]CZ_decarbplus_opex!AC34</f>
        <v>3.2010626E-2</v>
      </c>
      <c r="AI34" s="188">
        <f>[2]CZ_decarbplus_opex!AD34</f>
        <v>2.1507449999999999E-3</v>
      </c>
      <c r="AJ34" s="188">
        <f>[2]CZ_decarbplus_opex!AE34</f>
        <v>4.6189886999999999E-2</v>
      </c>
      <c r="AK34" s="188">
        <f>[2]CZ_decarbplus_opex!AF34</f>
        <v>4.0445801000000003E-2</v>
      </c>
      <c r="AL34" s="188">
        <f>[3]CZ_decarb_opex!E34</f>
        <v>6.4188829194859104E-2</v>
      </c>
      <c r="AM34" s="188">
        <f>[3]CZ_decarb_opex!F34</f>
        <v>6.1428413510679902E-2</v>
      </c>
      <c r="AN34" s="188">
        <f>[2]CZ_decarbplus_opex!AG34</f>
        <v>4.8941569999999997E-3</v>
      </c>
      <c r="AO34" s="188">
        <f>[3]CZ_decarb_opex!G34</f>
        <v>4.1076245809831798E-3</v>
      </c>
      <c r="AP34" s="188">
        <f>[3]CZ_decarb_opex!H34</f>
        <v>3.2200671927913602E-3</v>
      </c>
      <c r="AQ34" s="188">
        <f>[2]CZ_decarbplus_opex!AH34</f>
        <v>2.865088E-3</v>
      </c>
      <c r="AR34" s="188">
        <f>[2]CZ_decarbplus_opex!AI34</f>
        <v>0</v>
      </c>
      <c r="AS34" s="188">
        <f>[2]CZ_decarbplus_opex!AJ34</f>
        <v>2.8520189999999999E-3</v>
      </c>
      <c r="AT34" s="188">
        <f>[2]CZ_decarbplus_opex!AK34</f>
        <v>3.0595000000000002E-3</v>
      </c>
      <c r="AU34" s="188">
        <f>[2]CZ_decarbplus_opex!AL34</f>
        <v>4.9773559999999996E-3</v>
      </c>
      <c r="AV34" s="188">
        <f>[2]CZ_decarbplus_opex!AM34</f>
        <v>5.1098410000000004E-3</v>
      </c>
      <c r="AW34" s="188">
        <f>[2]CZ_decarbplus_opex!AN34</f>
        <v>1.9797700000000001E-3</v>
      </c>
      <c r="AX34" s="188">
        <f>[2]CZ_decarbplus_opex!AO34</f>
        <v>0</v>
      </c>
      <c r="AY34" s="188">
        <f>[2]CZ_decarbplus_opex!AP34</f>
        <v>3.3815479999999998E-3</v>
      </c>
      <c r="AZ34" s="188">
        <f>[2]CZ_decarbplus_opex!AQ34</f>
        <v>0</v>
      </c>
      <c r="BA34" s="188">
        <f>[2]CZ_decarbplus_opex!AR34</f>
        <v>7.6865630000000004E-3</v>
      </c>
      <c r="BB34" s="188">
        <f>[2]CZ_decarbplus_opex!AS34</f>
        <v>5.99198E-4</v>
      </c>
      <c r="BC34" s="188">
        <f>[2]CZ_decarbplus_opex!AT34</f>
        <v>1.150875E-3</v>
      </c>
      <c r="BD34" s="188">
        <f>[2]CZ_decarbplus_opex!AU34</f>
        <v>1.7491800000000001E-4</v>
      </c>
      <c r="BE34" s="188">
        <f>[2]CZ_decarbplus_opex!AV34</f>
        <v>2.8999849999999999E-3</v>
      </c>
      <c r="BF34" s="188">
        <f>[2]CZ_decarbplus_opex!AW34</f>
        <v>7.6851700000000003E-4</v>
      </c>
      <c r="BG34" s="188">
        <f>[2]CZ_decarbplus_opex!AX34</f>
        <v>8.0975199999999995E-4</v>
      </c>
      <c r="BH34" s="188">
        <f>[3]CZ_decarb_opex!I34</f>
        <v>2.5384749258750499E-4</v>
      </c>
      <c r="BI34" s="188">
        <f>[2]CZ_decarbplus_opex!AY34</f>
        <v>4.67501E-4</v>
      </c>
      <c r="BJ34" s="188">
        <f>[2]CZ_decarbplus_opex!AZ34</f>
        <v>4.2617499999999999E-4</v>
      </c>
      <c r="BK34" s="188">
        <f>[2]CZ_decarbplus_opex!BA34</f>
        <v>2.5665129999999999E-3</v>
      </c>
      <c r="BL34" s="188">
        <f>[2]CZ_decarbplus_opex!BB34</f>
        <v>0</v>
      </c>
      <c r="BM34" s="188">
        <f>[3]CZ_decarb_opex!J34</f>
        <v>1.62115797321454E-3</v>
      </c>
      <c r="BN34" s="188">
        <f>[3]CZ_decarb_opex!K34</f>
        <v>3.0601200657460899E-3</v>
      </c>
      <c r="BO34" s="188">
        <f>[3]CZ_decarb_opex!L34</f>
        <v>5.0307721206164396E-4</v>
      </c>
      <c r="BP34" s="188">
        <f>[3]CZ_decarb_opex!M34</f>
        <v>7.2987987536962098E-4</v>
      </c>
      <c r="BQ34" s="188">
        <f>[3]CZ_decarb_opex!N34</f>
        <v>6.2742698975131004E-4</v>
      </c>
      <c r="BR34" s="188">
        <f>[3]CZ_decarb_opex!O34</f>
        <v>7.7944429716747998E-4</v>
      </c>
      <c r="BS34" s="188">
        <f>[3]CZ_decarb_opex!P34</f>
        <v>2.0880351639240898E-3</v>
      </c>
      <c r="BT34" s="188">
        <f>[3]CZ_decarb_opex!Q34</f>
        <v>2.9710660847477702E-4</v>
      </c>
      <c r="BU34" s="188">
        <f>[3]CZ_decarb_opex!R34</f>
        <v>3.2969757225450902E-4</v>
      </c>
      <c r="BV34" s="188">
        <f>[3]CZ_decarb_opex!S34</f>
        <v>3.2969757225450799E-4</v>
      </c>
      <c r="BW34" s="188">
        <f>[3]CZ_decarb_opex!T34</f>
        <v>7.3590574668390706E-5</v>
      </c>
      <c r="BX34" s="188">
        <f>[3]CZ_decarb_opex!U34</f>
        <v>1.4055352348933E-4</v>
      </c>
      <c r="BY34" s="188">
        <f>[3]CZ_decarb_opex!V34</f>
        <v>3.6390477454428902E-4</v>
      </c>
      <c r="BZ34" s="188">
        <f>[2]CZ_decarbplus_opex!BC34</f>
        <v>1.37896E-3</v>
      </c>
      <c r="CA34" s="188">
        <f>[2]CZ_decarbplus_opex!BD34</f>
        <v>7.4439099999999995E-4</v>
      </c>
      <c r="CB34" s="188">
        <f>[2]CZ_decarbplus_opex!BE34</f>
        <v>8.8418899999999996E-4</v>
      </c>
      <c r="CC34" s="188">
        <f>[2]CZ_decarbplus_opex!BF34</f>
        <v>5.0620400000000001E-4</v>
      </c>
      <c r="CD34" s="188">
        <f>[2]CZ_decarbplus_opex!BG34</f>
        <v>3.3563429999999999E-3</v>
      </c>
      <c r="CE34" s="188">
        <f>[2]CZ_decarbplus_opex!BH34</f>
        <v>2.0021940000000001E-3</v>
      </c>
      <c r="CF34" s="188">
        <f>[2]CZ_decarbplus_opex!BI34</f>
        <v>7.8585589999999993E-3</v>
      </c>
      <c r="CG34" s="188">
        <f>[2]CZ_decarbplus_opex!BJ34</f>
        <v>2.3758500000000001E-4</v>
      </c>
    </row>
    <row r="35" spans="1:85" x14ac:dyDescent="0.25">
      <c r="A35" s="5" t="s">
        <v>89</v>
      </c>
      <c r="B35" s="2" t="s">
        <v>88</v>
      </c>
      <c r="C35" s="1" t="s">
        <v>326</v>
      </c>
      <c r="D35" s="187">
        <f>[2]CZ_decarbplus_opex!B35</f>
        <v>3.3399999999999999E-5</v>
      </c>
      <c r="E35" s="187">
        <f>[2]CZ_decarbplus_opex!C35</f>
        <v>5.5899999999999997E-5</v>
      </c>
      <c r="F35" s="187">
        <f>[2]CZ_decarbplus_opex!D35</f>
        <v>2.4064400000000001E-4</v>
      </c>
      <c r="G35" s="187">
        <f>[2]CZ_decarbplus_opex!E35</f>
        <v>8.2600000000000005E-6</v>
      </c>
      <c r="H35" s="187">
        <f>[2]CZ_decarbplus_opex!F35</f>
        <v>2.2699999999999999E-6</v>
      </c>
      <c r="I35" s="187">
        <f>[2]CZ_decarbplus_opex!G35</f>
        <v>6.7500000000000001E-5</v>
      </c>
      <c r="J35" s="187">
        <f>[2]CZ_decarbplus_opex!H35</f>
        <v>8.0199999999999998E-5</v>
      </c>
      <c r="K35" s="187">
        <f>[2]CZ_decarbplus_opex!I35</f>
        <v>4.4299999999999999E-6</v>
      </c>
      <c r="L35" s="187">
        <f>[2]CZ_decarbplus_opex!J35</f>
        <v>6.2817400000000001E-4</v>
      </c>
      <c r="M35" s="187">
        <f>[2]CZ_decarbplus_opex!K35</f>
        <v>3.7361799999999999E-4</v>
      </c>
      <c r="N35" s="187">
        <f>[2]CZ_decarbplus_opex!L35</f>
        <v>1.89326E-4</v>
      </c>
      <c r="O35" s="187">
        <f>[2]CZ_decarbplus_opex!M35</f>
        <v>1.1399999999999999E-5</v>
      </c>
      <c r="P35" s="187">
        <f>[2]CZ_decarbplus_opex!N35</f>
        <v>8.6399999999999999E-5</v>
      </c>
      <c r="Q35" s="187">
        <f>[2]CZ_decarbplus_opex!O35</f>
        <v>6.8000000000000001E-6</v>
      </c>
      <c r="R35" s="187">
        <f>[2]CZ_decarbplus_opex!P35</f>
        <v>2.16E-5</v>
      </c>
      <c r="S35" s="187">
        <f>[2]CZ_decarbplus_opex!Q35</f>
        <v>2.97E-5</v>
      </c>
      <c r="T35" s="187">
        <f>[2]CZ_decarbplus_opex!R35</f>
        <v>3.43E-5</v>
      </c>
      <c r="U35" s="187">
        <f>[2]CZ_decarbplus_opex!S35</f>
        <v>2.6400000000000001E-5</v>
      </c>
      <c r="V35" s="187">
        <f>[2]CZ_decarbplus_opex!T35</f>
        <v>3.54E-5</v>
      </c>
      <c r="W35" s="187">
        <f>[2]CZ_decarbplus_opex!U35</f>
        <v>1.52E-5</v>
      </c>
      <c r="X35" s="187">
        <f>[2]CZ_decarbplus_opex!V35</f>
        <v>5.4500000000000003E-6</v>
      </c>
      <c r="Y35" s="187">
        <f>[2]CZ_decarbplus_opex!W35</f>
        <v>8.1199999999999995E-5</v>
      </c>
      <c r="Z35" s="187">
        <f>[2]CZ_decarbplus_opex!X35</f>
        <v>3.8800000000000001E-5</v>
      </c>
      <c r="AA35" s="187">
        <f>[2]CZ_decarbplus_opex!Y35</f>
        <v>2.3799999999999999E-5</v>
      </c>
      <c r="AB35" s="188">
        <f>[3]CZ_decarb_opex!B35</f>
        <v>2.3914124155645398E-5</v>
      </c>
      <c r="AC35" s="188">
        <f>[3]CZ_decarb_opex!C35</f>
        <v>1.2628041236443699E-4</v>
      </c>
      <c r="AD35" s="188">
        <f>[3]CZ_decarb_opex!D35</f>
        <v>1.11389283935398E-3</v>
      </c>
      <c r="AE35" s="188">
        <f>[2]CZ_decarbplus_opex!Z35</f>
        <v>8.6029300000000004E-4</v>
      </c>
      <c r="AF35" s="188">
        <f>[2]CZ_decarbplus_opex!AA35</f>
        <v>9.3089399999999999E-3</v>
      </c>
      <c r="AG35" s="188">
        <f>[2]CZ_decarbplus_opex!AB35</f>
        <v>1.4215199999999999E-4</v>
      </c>
      <c r="AH35" s="188">
        <f>[2]CZ_decarbplus_opex!AC35</f>
        <v>1.1628840000000001E-3</v>
      </c>
      <c r="AI35" s="188">
        <f>[2]CZ_decarbplus_opex!AD35</f>
        <v>1.6711499999999999E-4</v>
      </c>
      <c r="AJ35" s="188">
        <f>[2]CZ_decarbplus_opex!AE35</f>
        <v>5.2874699999999998E-4</v>
      </c>
      <c r="AK35" s="188">
        <f>[2]CZ_decarbplus_opex!AF35</f>
        <v>6.3113100000000005E-4</v>
      </c>
      <c r="AL35" s="188">
        <f>[3]CZ_decarb_opex!E35</f>
        <v>3.4357479288574098E-4</v>
      </c>
      <c r="AM35" s="188">
        <f>[3]CZ_decarb_opex!F35</f>
        <v>3.0624416735736999E-4</v>
      </c>
      <c r="AN35" s="188">
        <f>[2]CZ_decarbplus_opex!AG35</f>
        <v>6.7784099999999999E-4</v>
      </c>
      <c r="AO35" s="188">
        <f>[3]CZ_decarb_opex!G35</f>
        <v>9.1363976234760198E-5</v>
      </c>
      <c r="AP35" s="188">
        <f>[3]CZ_decarb_opex!H35</f>
        <v>7.4420923880102002E-5</v>
      </c>
      <c r="AQ35" s="188">
        <f>[2]CZ_decarbplus_opex!AH35</f>
        <v>1.15269E-4</v>
      </c>
      <c r="AR35" s="188">
        <f>[2]CZ_decarbplus_opex!AI35</f>
        <v>0</v>
      </c>
      <c r="AS35" s="188">
        <f>[2]CZ_decarbplus_opex!AJ35</f>
        <v>1.3356199999999999E-4</v>
      </c>
      <c r="AT35" s="188">
        <f>[2]CZ_decarbplus_opex!AK35</f>
        <v>1.4289399999999999E-4</v>
      </c>
      <c r="AU35" s="188">
        <f>[2]CZ_decarbplus_opex!AL35</f>
        <v>1.17514E-4</v>
      </c>
      <c r="AV35" s="188">
        <f>[2]CZ_decarbplus_opex!AM35</f>
        <v>1.2218900000000001E-4</v>
      </c>
      <c r="AW35" s="188">
        <f>[2]CZ_decarbplus_opex!AN35</f>
        <v>5.9799999999999997E-5</v>
      </c>
      <c r="AX35" s="188">
        <f>[2]CZ_decarbplus_opex!AO35</f>
        <v>0</v>
      </c>
      <c r="AY35" s="188">
        <f>[2]CZ_decarbplus_opex!AP35</f>
        <v>6.0600000000000003E-5</v>
      </c>
      <c r="AZ35" s="188">
        <f>[2]CZ_decarbplus_opex!AQ35</f>
        <v>0</v>
      </c>
      <c r="BA35" s="188">
        <f>[2]CZ_decarbplus_opex!AR35</f>
        <v>2.947079E-3</v>
      </c>
      <c r="BB35" s="188">
        <f>[2]CZ_decarbplus_opex!AS35</f>
        <v>3.6100000000000003E-5</v>
      </c>
      <c r="BC35" s="188">
        <f>[2]CZ_decarbplus_opex!AT35</f>
        <v>1.0550100000000001E-4</v>
      </c>
      <c r="BD35" s="188">
        <f>[2]CZ_decarbplus_opex!AU35</f>
        <v>1.2300000000000001E-5</v>
      </c>
      <c r="BE35" s="188">
        <f>[2]CZ_decarbplus_opex!AV35</f>
        <v>4.3600000000000003E-5</v>
      </c>
      <c r="BF35" s="188">
        <f>[2]CZ_decarbplus_opex!AW35</f>
        <v>2.6299999999999999E-5</v>
      </c>
      <c r="BG35" s="188">
        <f>[2]CZ_decarbplus_opex!AX35</f>
        <v>6.2500000000000001E-5</v>
      </c>
      <c r="BH35" s="188">
        <f>[3]CZ_decarb_opex!I35</f>
        <v>1.2462557888889899E-5</v>
      </c>
      <c r="BI35" s="188">
        <f>[2]CZ_decarbplus_opex!AY35</f>
        <v>3.6199999999999999E-5</v>
      </c>
      <c r="BJ35" s="188">
        <f>[2]CZ_decarbplus_opex!AZ35</f>
        <v>1.469599E-3</v>
      </c>
      <c r="BK35" s="188">
        <f>[2]CZ_decarbplus_opex!BA35</f>
        <v>1.26558E-4</v>
      </c>
      <c r="BL35" s="188">
        <f>[2]CZ_decarbplus_opex!BB35</f>
        <v>0</v>
      </c>
      <c r="BM35" s="188">
        <f>[3]CZ_decarb_opex!J35</f>
        <v>5.15522467795291E-5</v>
      </c>
      <c r="BN35" s="188">
        <f>[3]CZ_decarb_opex!K35</f>
        <v>2.4831889486767798E-4</v>
      </c>
      <c r="BO35" s="188">
        <f>[3]CZ_decarb_opex!L35</f>
        <v>1.14256901649986E-5</v>
      </c>
      <c r="BP35" s="188">
        <f>[3]CZ_decarb_opex!M35</f>
        <v>1.5270325361265902E-5</v>
      </c>
      <c r="BQ35" s="188">
        <f>[3]CZ_decarb_opex!N35</f>
        <v>1.7266062016557099E-5</v>
      </c>
      <c r="BR35" s="188">
        <f>[3]CZ_decarb_opex!O35</f>
        <v>1.02802650732401E-4</v>
      </c>
      <c r="BS35" s="188">
        <f>[3]CZ_decarb_opex!P35</f>
        <v>1.5789079071686801E-4</v>
      </c>
      <c r="BT35" s="188">
        <f>[3]CZ_decarb_opex!Q35</f>
        <v>7.6707671621549604E-5</v>
      </c>
      <c r="BU35" s="188">
        <f>[3]CZ_decarb_opex!R35</f>
        <v>9.4574932816532506E-6</v>
      </c>
      <c r="BV35" s="188">
        <f>[3]CZ_decarb_opex!S35</f>
        <v>9.4574932816532692E-6</v>
      </c>
      <c r="BW35" s="188">
        <f>[3]CZ_decarb_opex!T35</f>
        <v>1.04793879378905E-5</v>
      </c>
      <c r="BX35" s="188">
        <f>[3]CZ_decarb_opex!U35</f>
        <v>9.2638879535854592E-6</v>
      </c>
      <c r="BY35" s="188">
        <f>[3]CZ_decarb_opex!V35</f>
        <v>3.1957414290853102E-6</v>
      </c>
      <c r="BZ35" s="188">
        <f>[2]CZ_decarbplus_opex!BC35</f>
        <v>3.0899999999999999E-5</v>
      </c>
      <c r="CA35" s="188">
        <f>[2]CZ_decarbplus_opex!BD35</f>
        <v>1.95E-5</v>
      </c>
      <c r="CB35" s="188">
        <f>[2]CZ_decarbplus_opex!BE35</f>
        <v>2.1399999999999998E-5</v>
      </c>
      <c r="CC35" s="188">
        <f>[2]CZ_decarbplus_opex!BF35</f>
        <v>2.76E-5</v>
      </c>
      <c r="CD35" s="188">
        <f>[2]CZ_decarbplus_opex!BG35</f>
        <v>4.0838099999999998E-4</v>
      </c>
      <c r="CE35" s="188">
        <f>[2]CZ_decarbplus_opex!BH35</f>
        <v>2.9499999999999999E-5</v>
      </c>
      <c r="CF35" s="188">
        <f>[2]CZ_decarbplus_opex!BI35</f>
        <v>6.86E-5</v>
      </c>
      <c r="CG35" s="188">
        <f>[2]CZ_decarbplus_opex!BJ35</f>
        <v>5.1399999999999999E-6</v>
      </c>
    </row>
    <row r="36" spans="1:85" x14ac:dyDescent="0.25">
      <c r="A36" s="5" t="s">
        <v>91</v>
      </c>
      <c r="B36" s="2" t="s">
        <v>90</v>
      </c>
      <c r="C36" s="1" t="s">
        <v>327</v>
      </c>
      <c r="D36" s="187">
        <f>[2]CZ_decarbplus_opex!B36</f>
        <v>8.9115199999999998E-4</v>
      </c>
      <c r="E36" s="187">
        <f>[2]CZ_decarbplus_opex!C36</f>
        <v>1.1169369999999999E-3</v>
      </c>
      <c r="F36" s="187">
        <f>[2]CZ_decarbplus_opex!D36</f>
        <v>6.838472E-3</v>
      </c>
      <c r="G36" s="187">
        <f>[2]CZ_decarbplus_opex!E36</f>
        <v>7.8700000000000002E-5</v>
      </c>
      <c r="H36" s="187">
        <f>[2]CZ_decarbplus_opex!F36</f>
        <v>2.4899999999999999E-5</v>
      </c>
      <c r="I36" s="187">
        <f>[2]CZ_decarbplus_opex!G36</f>
        <v>6.1936300000000005E-4</v>
      </c>
      <c r="J36" s="187">
        <f>[2]CZ_decarbplus_opex!H36</f>
        <v>6.4988100000000005E-4</v>
      </c>
      <c r="K36" s="187">
        <f>[2]CZ_decarbplus_opex!I36</f>
        <v>5.0500000000000001E-5</v>
      </c>
      <c r="L36" s="187">
        <f>[2]CZ_decarbplus_opex!J36</f>
        <v>1.0654587E-2</v>
      </c>
      <c r="M36" s="187">
        <f>[2]CZ_decarbplus_opex!K36</f>
        <v>9.7879799999999991E-4</v>
      </c>
      <c r="N36" s="187">
        <f>[2]CZ_decarbplus_opex!L36</f>
        <v>2.4894100000000001E-3</v>
      </c>
      <c r="O36" s="187">
        <f>[2]CZ_decarbplus_opex!M36</f>
        <v>1.263431E-3</v>
      </c>
      <c r="P36" s="187">
        <f>[2]CZ_decarbplus_opex!N36</f>
        <v>3.9776600000000003E-4</v>
      </c>
      <c r="Q36" s="187">
        <f>[2]CZ_decarbplus_opex!O36</f>
        <v>4.0805799999999999E-4</v>
      </c>
      <c r="R36" s="187">
        <f>[2]CZ_decarbplus_opex!P36</f>
        <v>4.3490599999999999E-4</v>
      </c>
      <c r="S36" s="187">
        <f>[2]CZ_decarbplus_opex!Q36</f>
        <v>6.5699999999999998E-5</v>
      </c>
      <c r="T36" s="187">
        <f>[2]CZ_decarbplus_opex!R36</f>
        <v>1.11258E-4</v>
      </c>
      <c r="U36" s="187">
        <f>[2]CZ_decarbplus_opex!S36</f>
        <v>1.0980399999999999E-4</v>
      </c>
      <c r="V36" s="187">
        <f>[2]CZ_decarbplus_opex!T36</f>
        <v>1.6589600000000001E-4</v>
      </c>
      <c r="W36" s="187">
        <f>[2]CZ_decarbplus_opex!U36</f>
        <v>9.6399999999999999E-5</v>
      </c>
      <c r="X36" s="187">
        <f>[2]CZ_decarbplus_opex!V36</f>
        <v>9.5500000000000004E-5</v>
      </c>
      <c r="Y36" s="187">
        <f>[2]CZ_decarbplus_opex!W36</f>
        <v>4.9599999999999999E-5</v>
      </c>
      <c r="Z36" s="187">
        <f>[2]CZ_decarbplus_opex!X36</f>
        <v>2.1403500000000001E-4</v>
      </c>
      <c r="AA36" s="187">
        <f>[2]CZ_decarbplus_opex!Y36</f>
        <v>1.6176600000000001E-4</v>
      </c>
      <c r="AB36" s="188">
        <f>[3]CZ_decarb_opex!B36</f>
        <v>5.08534392158695E-4</v>
      </c>
      <c r="AC36" s="188">
        <f>[3]CZ_decarb_opex!C36</f>
        <v>7.9959097130697504E-4</v>
      </c>
      <c r="AD36" s="188">
        <f>[3]CZ_decarb_opex!D36</f>
        <v>2.9042981904939599E-4</v>
      </c>
      <c r="AE36" s="188">
        <f>[2]CZ_decarbplus_opex!Z36</f>
        <v>2.5387400000000002E-4</v>
      </c>
      <c r="AF36" s="188">
        <f>[2]CZ_decarbplus_opex!AA36</f>
        <v>3.1221200000000003E-4</v>
      </c>
      <c r="AG36" s="188">
        <f>[2]CZ_decarbplus_opex!AB36</f>
        <v>1.17243E-4</v>
      </c>
      <c r="AH36" s="188">
        <f>[2]CZ_decarbplus_opex!AC36</f>
        <v>6.8999999999999997E-5</v>
      </c>
      <c r="AI36" s="188">
        <f>[2]CZ_decarbplus_opex!AD36</f>
        <v>9.3900000000000006E-5</v>
      </c>
      <c r="AJ36" s="188">
        <f>[2]CZ_decarbplus_opex!AE36</f>
        <v>7.0699999999999997E-5</v>
      </c>
      <c r="AK36" s="188">
        <f>[2]CZ_decarbplus_opex!AF36</f>
        <v>1.14032E-4</v>
      </c>
      <c r="AL36" s="188">
        <f>[3]CZ_decarb_opex!E36</f>
        <v>6.9166382577343999E-5</v>
      </c>
      <c r="AM36" s="188">
        <f>[3]CZ_decarb_opex!F36</f>
        <v>8.9835562654913895E-5</v>
      </c>
      <c r="AN36" s="188">
        <f>[2]CZ_decarbplus_opex!AG36</f>
        <v>9.4300000000000002E-5</v>
      </c>
      <c r="AO36" s="188">
        <f>[3]CZ_decarb_opex!G36</f>
        <v>4.7616318346772798E-5</v>
      </c>
      <c r="AP36" s="188">
        <f>[3]CZ_decarb_opex!H36</f>
        <v>7.9690036814502894E-5</v>
      </c>
      <c r="AQ36" s="188">
        <f>[2]CZ_decarbplus_opex!AH36</f>
        <v>1.0005699999999999E-4</v>
      </c>
      <c r="AR36" s="188">
        <f>[2]CZ_decarbplus_opex!AI36</f>
        <v>0</v>
      </c>
      <c r="AS36" s="188">
        <f>[2]CZ_decarbplus_opex!AJ36</f>
        <v>9.3399999999999993E-5</v>
      </c>
      <c r="AT36" s="188">
        <f>[2]CZ_decarbplus_opex!AK36</f>
        <v>7.0300000000000001E-5</v>
      </c>
      <c r="AU36" s="188">
        <f>[2]CZ_decarbplus_opex!AL36</f>
        <v>6.9900000000000005E-5</v>
      </c>
      <c r="AV36" s="188">
        <f>[2]CZ_decarbplus_opex!AM36</f>
        <v>4.3999999999999999E-5</v>
      </c>
      <c r="AW36" s="188">
        <f>[2]CZ_decarbplus_opex!AN36</f>
        <v>8.9300000000000002E-5</v>
      </c>
      <c r="AX36" s="188">
        <f>[2]CZ_decarbplus_opex!AO36</f>
        <v>0</v>
      </c>
      <c r="AY36" s="188">
        <f>[2]CZ_decarbplus_opex!AP36</f>
        <v>1.5091599999999999E-4</v>
      </c>
      <c r="AZ36" s="188">
        <f>[2]CZ_decarbplus_opex!AQ36</f>
        <v>0</v>
      </c>
      <c r="BA36" s="188">
        <f>[2]CZ_decarbplus_opex!AR36</f>
        <v>5.3900000000000002E-5</v>
      </c>
      <c r="BB36" s="188">
        <f>[2]CZ_decarbplus_opex!AS36</f>
        <v>6.1400000000000002E-5</v>
      </c>
      <c r="BC36" s="188">
        <f>[2]CZ_decarbplus_opex!AT36</f>
        <v>7.8999999999999996E-5</v>
      </c>
      <c r="BD36" s="188">
        <f>[2]CZ_decarbplus_opex!AU36</f>
        <v>8.0900000000000001E-5</v>
      </c>
      <c r="BE36" s="188">
        <f>[2]CZ_decarbplus_opex!AV36</f>
        <v>7.25E-5</v>
      </c>
      <c r="BF36" s="188">
        <f>[2]CZ_decarbplus_opex!AW36</f>
        <v>4.6900000000000002E-5</v>
      </c>
      <c r="BG36" s="188">
        <f>[2]CZ_decarbplus_opex!AX36</f>
        <v>1.2877900000000001E-4</v>
      </c>
      <c r="BH36" s="188">
        <f>[3]CZ_decarb_opex!I36</f>
        <v>7.8949740274024296E-5</v>
      </c>
      <c r="BI36" s="188">
        <f>[2]CZ_decarbplus_opex!AY36</f>
        <v>7.1899999999999999E-5</v>
      </c>
      <c r="BJ36" s="188">
        <f>[2]CZ_decarbplus_opex!AZ36</f>
        <v>8.0500000000000005E-5</v>
      </c>
      <c r="BK36" s="188">
        <f>[2]CZ_decarbplus_opex!BA36</f>
        <v>2.8391499999999998E-4</v>
      </c>
      <c r="BL36" s="188">
        <f>[2]CZ_decarbplus_opex!BB36</f>
        <v>0</v>
      </c>
      <c r="BM36" s="188">
        <f>[3]CZ_decarb_opex!J36</f>
        <v>6.6080229003064996E-5</v>
      </c>
      <c r="BN36" s="188">
        <f>[3]CZ_decarb_opex!K36</f>
        <v>2.5801610015121102E-4</v>
      </c>
      <c r="BO36" s="188">
        <f>[3]CZ_decarb_opex!L36</f>
        <v>3.5254039437526797E-5</v>
      </c>
      <c r="BP36" s="188">
        <f>[3]CZ_decarb_opex!M36</f>
        <v>1.8132612865642901E-4</v>
      </c>
      <c r="BQ36" s="188">
        <f>[3]CZ_decarb_opex!N36</f>
        <v>9.2129566227845696E-5</v>
      </c>
      <c r="BR36" s="188">
        <f>[3]CZ_decarb_opex!O36</f>
        <v>6.6372237260418702E-6</v>
      </c>
      <c r="BS36" s="188">
        <f>[3]CZ_decarb_opex!P36</f>
        <v>2.4718275648784701E-4</v>
      </c>
      <c r="BT36" s="188">
        <f>[3]CZ_decarb_opex!Q36</f>
        <v>7.09428004509033E-5</v>
      </c>
      <c r="BU36" s="188">
        <f>[3]CZ_decarb_opex!R36</f>
        <v>2.6620843731734401E-5</v>
      </c>
      <c r="BV36" s="188">
        <f>[3]CZ_decarb_opex!S36</f>
        <v>2.6620843731734401E-5</v>
      </c>
      <c r="BW36" s="188">
        <f>[3]CZ_decarb_opex!T36</f>
        <v>4.72034873240872E-5</v>
      </c>
      <c r="BX36" s="188">
        <f>[3]CZ_decarb_opex!U36</f>
        <v>9.6991227695475796E-6</v>
      </c>
      <c r="BY36" s="188">
        <f>[3]CZ_decarb_opex!V36</f>
        <v>6.2197760602174105E-4</v>
      </c>
      <c r="BZ36" s="188">
        <f>[2]CZ_decarbplus_opex!BC36</f>
        <v>1.3213100000000001E-4</v>
      </c>
      <c r="CA36" s="188">
        <f>[2]CZ_decarbplus_opex!BD36</f>
        <v>5.5600000000000003E-5</v>
      </c>
      <c r="CB36" s="188">
        <f>[2]CZ_decarbplus_opex!BE36</f>
        <v>4.85E-5</v>
      </c>
      <c r="CC36" s="188">
        <f>[2]CZ_decarbplus_opex!BF36</f>
        <v>4.0200000000000001E-5</v>
      </c>
      <c r="CD36" s="188">
        <f>[2]CZ_decarbplus_opex!BG36</f>
        <v>1.45692E-4</v>
      </c>
      <c r="CE36" s="188">
        <f>[2]CZ_decarbplus_opex!BH36</f>
        <v>1.45112E-4</v>
      </c>
      <c r="CF36" s="188">
        <f>[2]CZ_decarbplus_opex!BI36</f>
        <v>5.27E-5</v>
      </c>
      <c r="CG36" s="188">
        <f>[2]CZ_decarbplus_opex!BJ36</f>
        <v>9.2700000000000004E-5</v>
      </c>
    </row>
    <row r="37" spans="1:85" x14ac:dyDescent="0.25">
      <c r="A37" s="5" t="s">
        <v>93</v>
      </c>
      <c r="B37" s="2" t="s">
        <v>92</v>
      </c>
      <c r="C37" s="1" t="s">
        <v>327</v>
      </c>
      <c r="D37" s="187">
        <f>[2]CZ_decarbplus_opex!B37</f>
        <v>5.9942199999999995E-4</v>
      </c>
      <c r="E37" s="187">
        <f>[2]CZ_decarbplus_opex!C37</f>
        <v>1.0181032E-2</v>
      </c>
      <c r="F37" s="187">
        <f>[2]CZ_decarbplus_opex!D37</f>
        <v>4.2885470000000002E-3</v>
      </c>
      <c r="G37" s="187">
        <f>[2]CZ_decarbplus_opex!E37</f>
        <v>1.7132599999999999E-4</v>
      </c>
      <c r="H37" s="187">
        <f>[2]CZ_decarbplus_opex!F37</f>
        <v>1.7034400000000001E-4</v>
      </c>
      <c r="I37" s="187">
        <f>[2]CZ_decarbplus_opex!G37</f>
        <v>8.19216E-4</v>
      </c>
      <c r="J37" s="187">
        <f>[2]CZ_decarbplus_opex!H37</f>
        <v>1.529704E-3</v>
      </c>
      <c r="K37" s="187">
        <f>[2]CZ_decarbplus_opex!I37</f>
        <v>3.7936300000000002E-4</v>
      </c>
      <c r="L37" s="187">
        <f>[2]CZ_decarbplus_opex!J37</f>
        <v>1.7054219999999998E-2</v>
      </c>
      <c r="M37" s="187">
        <f>[2]CZ_decarbplus_opex!K37</f>
        <v>2.1486370000000001E-3</v>
      </c>
      <c r="N37" s="187">
        <f>[2]CZ_decarbplus_opex!L37</f>
        <v>1.1645343000000001E-2</v>
      </c>
      <c r="O37" s="187">
        <f>[2]CZ_decarbplus_opex!M37</f>
        <v>2.4725459999999999E-3</v>
      </c>
      <c r="P37" s="187">
        <f>[2]CZ_decarbplus_opex!N37</f>
        <v>8.8837599999999997E-4</v>
      </c>
      <c r="Q37" s="187">
        <f>[2]CZ_decarbplus_opex!O37</f>
        <v>6.9471099999999998E-4</v>
      </c>
      <c r="R37" s="187">
        <f>[2]CZ_decarbplus_opex!P37</f>
        <v>1.1300780000000001E-3</v>
      </c>
      <c r="S37" s="187">
        <f>[2]CZ_decarbplus_opex!Q37</f>
        <v>3.5453200000000001E-4</v>
      </c>
      <c r="T37" s="187">
        <f>[2]CZ_decarbplus_opex!R37</f>
        <v>7.5299600000000003E-4</v>
      </c>
      <c r="U37" s="187">
        <f>[2]CZ_decarbplus_opex!S37</f>
        <v>4.6707200000000002E-4</v>
      </c>
      <c r="V37" s="187">
        <f>[2]CZ_decarbplus_opex!T37</f>
        <v>6.2480100000000002E-4</v>
      </c>
      <c r="W37" s="187">
        <f>[2]CZ_decarbplus_opex!U37</f>
        <v>2.8098799999999997E-4</v>
      </c>
      <c r="X37" s="187">
        <f>[2]CZ_decarbplus_opex!V37</f>
        <v>4.3299799999999998E-4</v>
      </c>
      <c r="Y37" s="187">
        <f>[2]CZ_decarbplus_opex!W37</f>
        <v>3.5974100000000001E-4</v>
      </c>
      <c r="Z37" s="187">
        <f>[2]CZ_decarbplus_opex!X37</f>
        <v>2.0781400000000001E-4</v>
      </c>
      <c r="AA37" s="187">
        <f>[2]CZ_decarbplus_opex!Y37</f>
        <v>1.106686E-3</v>
      </c>
      <c r="AB37" s="188">
        <f>[3]CZ_decarb_opex!B37</f>
        <v>1.0890404676379901E-3</v>
      </c>
      <c r="AC37" s="188">
        <f>[3]CZ_decarb_opex!C37</f>
        <v>2.6765512889738601E-3</v>
      </c>
      <c r="AD37" s="188">
        <f>[3]CZ_decarb_opex!D37</f>
        <v>6.99452959996311E-4</v>
      </c>
      <c r="AE37" s="188">
        <f>[2]CZ_decarbplus_opex!Z37</f>
        <v>4.9685099999999998E-4</v>
      </c>
      <c r="AF37" s="188">
        <f>[2]CZ_decarbplus_opex!AA37</f>
        <v>1.781707E-3</v>
      </c>
      <c r="AG37" s="188">
        <f>[2]CZ_decarbplus_opex!AB37</f>
        <v>7.8961600000000004E-4</v>
      </c>
      <c r="AH37" s="188">
        <f>[2]CZ_decarbplus_opex!AC37</f>
        <v>2.6904499999999998E-4</v>
      </c>
      <c r="AI37" s="188">
        <f>[2]CZ_decarbplus_opex!AD37</f>
        <v>5.2042400000000002E-4</v>
      </c>
      <c r="AJ37" s="188">
        <f>[2]CZ_decarbplus_opex!AE37</f>
        <v>2.7947699999999998E-4</v>
      </c>
      <c r="AK37" s="188">
        <f>[2]CZ_decarbplus_opex!AF37</f>
        <v>6.2777600000000003E-4</v>
      </c>
      <c r="AL37" s="188">
        <f>[3]CZ_decarb_opex!E37</f>
        <v>3.2157478218731398E-4</v>
      </c>
      <c r="AM37" s="188">
        <f>[3]CZ_decarb_opex!F37</f>
        <v>5.0176333488626305E-4</v>
      </c>
      <c r="AN37" s="188">
        <f>[2]CZ_decarbplus_opex!AG37</f>
        <v>4.9551399999999996E-4</v>
      </c>
      <c r="AO37" s="188">
        <f>[3]CZ_decarb_opex!G37</f>
        <v>2.4034740308726801E-4</v>
      </c>
      <c r="AP37" s="188">
        <f>[3]CZ_decarb_opex!H37</f>
        <v>3.97525087486422E-4</v>
      </c>
      <c r="AQ37" s="188">
        <f>[2]CZ_decarbplus_opex!AH37</f>
        <v>4.9818300000000002E-4</v>
      </c>
      <c r="AR37" s="188">
        <f>[2]CZ_decarbplus_opex!AI37</f>
        <v>0</v>
      </c>
      <c r="AS37" s="188">
        <f>[2]CZ_decarbplus_opex!AJ37</f>
        <v>5.0688299999999996E-4</v>
      </c>
      <c r="AT37" s="188">
        <f>[2]CZ_decarbplus_opex!AK37</f>
        <v>4.2182599999999998E-4</v>
      </c>
      <c r="AU37" s="188">
        <f>[2]CZ_decarbplus_opex!AL37</f>
        <v>2.7742799999999997E-4</v>
      </c>
      <c r="AV37" s="188">
        <f>[2]CZ_decarbplus_opex!AM37</f>
        <v>2.23169E-4</v>
      </c>
      <c r="AW37" s="188">
        <f>[2]CZ_decarbplus_opex!AN37</f>
        <v>5.8770399999999998E-4</v>
      </c>
      <c r="AX37" s="188">
        <f>[2]CZ_decarbplus_opex!AO37</f>
        <v>0</v>
      </c>
      <c r="AY37" s="188">
        <f>[2]CZ_decarbplus_opex!AP37</f>
        <v>1.1394630000000001E-3</v>
      </c>
      <c r="AZ37" s="188">
        <f>[2]CZ_decarbplus_opex!AQ37</f>
        <v>0</v>
      </c>
      <c r="BA37" s="188">
        <f>[2]CZ_decarbplus_opex!AR37</f>
        <v>2.32773E-4</v>
      </c>
      <c r="BB37" s="188">
        <f>[2]CZ_decarbplus_opex!AS37</f>
        <v>1.7013799999999999E-4</v>
      </c>
      <c r="BC37" s="188">
        <f>[2]CZ_decarbplus_opex!AT37</f>
        <v>2.8394899999999997E-4</v>
      </c>
      <c r="BD37" s="188">
        <f>[2]CZ_decarbplus_opex!AU37</f>
        <v>1.6661200000000001E-4</v>
      </c>
      <c r="BE37" s="188">
        <f>[2]CZ_decarbplus_opex!AV37</f>
        <v>1.4836E-4</v>
      </c>
      <c r="BF37" s="188">
        <f>[2]CZ_decarbplus_opex!AW37</f>
        <v>2.0826199999999999E-4</v>
      </c>
      <c r="BG37" s="188">
        <f>[2]CZ_decarbplus_opex!AX37</f>
        <v>5.90962E-4</v>
      </c>
      <c r="BH37" s="188">
        <f>[3]CZ_decarb_opex!I37</f>
        <v>3.0517123328212698E-4</v>
      </c>
      <c r="BI37" s="188">
        <f>[2]CZ_decarbplus_opex!AY37</f>
        <v>2.4579300000000001E-4</v>
      </c>
      <c r="BJ37" s="188">
        <f>[2]CZ_decarbplus_opex!AZ37</f>
        <v>3.0181000000000001E-4</v>
      </c>
      <c r="BK37" s="188">
        <f>[2]CZ_decarbplus_opex!BA37</f>
        <v>4.9648800000000001E-4</v>
      </c>
      <c r="BL37" s="188">
        <f>[2]CZ_decarbplus_opex!BB37</f>
        <v>0</v>
      </c>
      <c r="BM37" s="188">
        <f>[3]CZ_decarb_opex!J37</f>
        <v>2.3018410114402301E-4</v>
      </c>
      <c r="BN37" s="188">
        <f>[3]CZ_decarb_opex!K37</f>
        <v>7.6040799804422295E-4</v>
      </c>
      <c r="BO37" s="188">
        <f>[3]CZ_decarb_opex!L37</f>
        <v>7.9063451608296601E-5</v>
      </c>
      <c r="BP37" s="188">
        <f>[3]CZ_decarb_opex!M37</f>
        <v>4.3722537212892199E-4</v>
      </c>
      <c r="BQ37" s="188">
        <f>[3]CZ_decarb_opex!N37</f>
        <v>3.6522529730801301E-4</v>
      </c>
      <c r="BR37" s="188">
        <f>[3]CZ_decarb_opex!O37</f>
        <v>2.9899100813160201E-5</v>
      </c>
      <c r="BS37" s="188">
        <f>[3]CZ_decarb_opex!P37</f>
        <v>1.3632621342988701E-3</v>
      </c>
      <c r="BT37" s="188">
        <f>[3]CZ_decarb_opex!Q37</f>
        <v>2.6841829413253E-5</v>
      </c>
      <c r="BU37" s="188">
        <f>[3]CZ_decarb_opex!R37</f>
        <v>1.3309271554056801E-4</v>
      </c>
      <c r="BV37" s="188">
        <f>[3]CZ_decarb_opex!S37</f>
        <v>1.3309271554056801E-4</v>
      </c>
      <c r="BW37" s="188">
        <f>[3]CZ_decarb_opex!T37</f>
        <v>2.1142417778256901E-4</v>
      </c>
      <c r="BX37" s="188">
        <f>[3]CZ_decarb_opex!U37</f>
        <v>6.4499909462131703E-6</v>
      </c>
      <c r="BY37" s="188">
        <f>[3]CZ_decarb_opex!V37</f>
        <v>1.4489163343161499E-4</v>
      </c>
      <c r="BZ37" s="188">
        <f>[2]CZ_decarbplus_opex!BC37</f>
        <v>3.7911299999999999E-4</v>
      </c>
      <c r="CA37" s="188">
        <f>[2]CZ_decarbplus_opex!BD37</f>
        <v>1.6336700000000001E-4</v>
      </c>
      <c r="CB37" s="188">
        <f>[2]CZ_decarbplus_opex!BE37</f>
        <v>1.17606E-4</v>
      </c>
      <c r="CC37" s="188">
        <f>[2]CZ_decarbplus_opex!BF37</f>
        <v>1.01992E-4</v>
      </c>
      <c r="CD37" s="188">
        <f>[2]CZ_decarbplus_opex!BG37</f>
        <v>4.3715900000000001E-4</v>
      </c>
      <c r="CE37" s="188">
        <f>[2]CZ_decarbplus_opex!BH37</f>
        <v>3.0693400000000003E-4</v>
      </c>
      <c r="CF37" s="188">
        <f>[2]CZ_decarbplus_opex!BI37</f>
        <v>5.9299999999999998E-5</v>
      </c>
      <c r="CG37" s="188">
        <f>[2]CZ_decarbplus_opex!BJ37</f>
        <v>2.2154999999999999E-4</v>
      </c>
    </row>
    <row r="38" spans="1:85" x14ac:dyDescent="0.25">
      <c r="A38" s="5" t="s">
        <v>95</v>
      </c>
      <c r="B38" s="2" t="s">
        <v>94</v>
      </c>
      <c r="C38" s="1" t="s">
        <v>327</v>
      </c>
      <c r="D38" s="187">
        <f>[2]CZ_decarbplus_opex!B38</f>
        <v>4.5500000000000001E-5</v>
      </c>
      <c r="E38" s="187">
        <f>[2]CZ_decarbplus_opex!C38</f>
        <v>7.2899999999999997E-5</v>
      </c>
      <c r="F38" s="187">
        <f>[2]CZ_decarbplus_opex!D38</f>
        <v>3.2922600000000001E-4</v>
      </c>
      <c r="G38" s="187">
        <f>[2]CZ_decarbplus_opex!E38</f>
        <v>7.3599999999999998E-6</v>
      </c>
      <c r="H38" s="187">
        <f>[2]CZ_decarbplus_opex!F38</f>
        <v>3.5899999999999999E-6</v>
      </c>
      <c r="I38" s="187">
        <f>[2]CZ_decarbplus_opex!G38</f>
        <v>3.4799999999999999E-5</v>
      </c>
      <c r="J38" s="187">
        <f>[2]CZ_decarbplus_opex!H38</f>
        <v>1.1029799999999999E-4</v>
      </c>
      <c r="K38" s="187">
        <f>[2]CZ_decarbplus_opex!I38</f>
        <v>5.5199999999999997E-6</v>
      </c>
      <c r="L38" s="187">
        <f>[2]CZ_decarbplus_opex!J38</f>
        <v>4.7808799999999999E-4</v>
      </c>
      <c r="M38" s="187">
        <f>[2]CZ_decarbplus_opex!K38</f>
        <v>6.05E-5</v>
      </c>
      <c r="N38" s="187">
        <f>[2]CZ_decarbplus_opex!L38</f>
        <v>9.0593800000000001E-4</v>
      </c>
      <c r="O38" s="187">
        <f>[2]CZ_decarbplus_opex!M38</f>
        <v>1.2040300000000001E-4</v>
      </c>
      <c r="P38" s="187">
        <f>[2]CZ_decarbplus_opex!N38</f>
        <v>7.6500000000000003E-5</v>
      </c>
      <c r="Q38" s="187">
        <f>[2]CZ_decarbplus_opex!O38</f>
        <v>1.35876E-4</v>
      </c>
      <c r="R38" s="187">
        <f>[2]CZ_decarbplus_opex!P38</f>
        <v>1.2889600000000001E-4</v>
      </c>
      <c r="S38" s="187">
        <f>[2]CZ_decarbplus_opex!Q38</f>
        <v>3.96E-5</v>
      </c>
      <c r="T38" s="187">
        <f>[2]CZ_decarbplus_opex!R38</f>
        <v>3.9799999999999998E-5</v>
      </c>
      <c r="U38" s="187">
        <f>[2]CZ_decarbplus_opex!S38</f>
        <v>4.8699999999999998E-5</v>
      </c>
      <c r="V38" s="187">
        <f>[2]CZ_decarbplus_opex!T38</f>
        <v>7.0400000000000004E-5</v>
      </c>
      <c r="W38" s="187">
        <f>[2]CZ_decarbplus_opex!U38</f>
        <v>3.9799999999999998E-5</v>
      </c>
      <c r="X38" s="187">
        <f>[2]CZ_decarbplus_opex!V38</f>
        <v>2.72E-5</v>
      </c>
      <c r="Y38" s="187">
        <f>[2]CZ_decarbplus_opex!W38</f>
        <v>8.5399999999999996E-6</v>
      </c>
      <c r="Z38" s="187">
        <f>[2]CZ_decarbplus_opex!X38</f>
        <v>1.39214E-4</v>
      </c>
      <c r="AA38" s="187">
        <f>[2]CZ_decarbplus_opex!Y38</f>
        <v>2.6699999999999998E-5</v>
      </c>
      <c r="AB38" s="188">
        <f>[3]CZ_decarb_opex!B38</f>
        <v>4.4897929942433202E-4</v>
      </c>
      <c r="AC38" s="188">
        <f>[3]CZ_decarb_opex!C38</f>
        <v>4.2336191851296602E-4</v>
      </c>
      <c r="AD38" s="188">
        <f>[3]CZ_decarb_opex!D38</f>
        <v>2.02183578993548E-4</v>
      </c>
      <c r="AE38" s="188">
        <f>[2]CZ_decarbplus_opex!Z38</f>
        <v>1.8769300000000001E-4</v>
      </c>
      <c r="AF38" s="188">
        <f>[2]CZ_decarbplus_opex!AA38</f>
        <v>3.2254799999999998E-4</v>
      </c>
      <c r="AG38" s="188">
        <f>[2]CZ_decarbplus_opex!AB38</f>
        <v>8.6799999999999996E-5</v>
      </c>
      <c r="AH38" s="188">
        <f>[2]CZ_decarbplus_opex!AC38</f>
        <v>6.9200000000000002E-5</v>
      </c>
      <c r="AI38" s="188">
        <f>[2]CZ_decarbplus_opex!AD38</f>
        <v>2.4499999999999999E-5</v>
      </c>
      <c r="AJ38" s="188">
        <f>[2]CZ_decarbplus_opex!AE38</f>
        <v>4.3000000000000002E-5</v>
      </c>
      <c r="AK38" s="188">
        <f>[2]CZ_decarbplus_opex!AF38</f>
        <v>3.6600000000000002E-5</v>
      </c>
      <c r="AL38" s="188">
        <f>[3]CZ_decarb_opex!E38</f>
        <v>3.1692626215953903E-5</v>
      </c>
      <c r="AM38" s="188">
        <f>[3]CZ_decarb_opex!F38</f>
        <v>2.2795440304493499E-5</v>
      </c>
      <c r="AN38" s="188">
        <f>[2]CZ_decarbplus_opex!AG38</f>
        <v>4.46E-5</v>
      </c>
      <c r="AO38" s="188">
        <f>[3]CZ_decarb_opex!G38</f>
        <v>3.76943327412314E-5</v>
      </c>
      <c r="AP38" s="188">
        <f>[3]CZ_decarb_opex!H38</f>
        <v>4.46832039584569E-5</v>
      </c>
      <c r="AQ38" s="188">
        <f>[2]CZ_decarbplus_opex!AH38</f>
        <v>4.9599999999999999E-5</v>
      </c>
      <c r="AR38" s="188">
        <f>[2]CZ_decarbplus_opex!AI38</f>
        <v>0</v>
      </c>
      <c r="AS38" s="188">
        <f>[2]CZ_decarbplus_opex!AJ38</f>
        <v>5.5699999999999999E-5</v>
      </c>
      <c r="AT38" s="188">
        <f>[2]CZ_decarbplus_opex!AK38</f>
        <v>4.18E-5</v>
      </c>
      <c r="AU38" s="188">
        <f>[2]CZ_decarbplus_opex!AL38</f>
        <v>3.4999999999999997E-5</v>
      </c>
      <c r="AV38" s="188">
        <f>[2]CZ_decarbplus_opex!AM38</f>
        <v>9.6600000000000007E-6</v>
      </c>
      <c r="AW38" s="188">
        <f>[2]CZ_decarbplus_opex!AN38</f>
        <v>1.3677700000000001E-4</v>
      </c>
      <c r="AX38" s="188">
        <f>[2]CZ_decarbplus_opex!AO38</f>
        <v>0</v>
      </c>
      <c r="AY38" s="188">
        <f>[2]CZ_decarbplus_opex!AP38</f>
        <v>2.4600000000000002E-5</v>
      </c>
      <c r="AZ38" s="188">
        <f>[2]CZ_decarbplus_opex!AQ38</f>
        <v>0</v>
      </c>
      <c r="BA38" s="188">
        <f>[2]CZ_decarbplus_opex!AR38</f>
        <v>4.1199999999999999E-5</v>
      </c>
      <c r="BB38" s="188">
        <f>[2]CZ_decarbplus_opex!AS38</f>
        <v>2.2900000000000001E-5</v>
      </c>
      <c r="BC38" s="188">
        <f>[2]CZ_decarbplus_opex!AT38</f>
        <v>5.1600000000000001E-5</v>
      </c>
      <c r="BD38" s="188">
        <f>[2]CZ_decarbplus_opex!AU38</f>
        <v>8.4400000000000005E-5</v>
      </c>
      <c r="BE38" s="188">
        <f>[2]CZ_decarbplus_opex!AV38</f>
        <v>7.1400000000000001E-5</v>
      </c>
      <c r="BF38" s="188">
        <f>[2]CZ_decarbplus_opex!AW38</f>
        <v>6.9300000000000004E-5</v>
      </c>
      <c r="BG38" s="188">
        <f>[2]CZ_decarbplus_opex!AX38</f>
        <v>1.04694E-4</v>
      </c>
      <c r="BH38" s="188">
        <f>[3]CZ_decarb_opex!I38</f>
        <v>3.5790768720660702E-5</v>
      </c>
      <c r="BI38" s="188">
        <f>[2]CZ_decarbplus_opex!AY38</f>
        <v>7.5699999999999997E-5</v>
      </c>
      <c r="BJ38" s="188">
        <f>[2]CZ_decarbplus_opex!AZ38</f>
        <v>7.6199999999999995E-5</v>
      </c>
      <c r="BK38" s="188">
        <f>[2]CZ_decarbplus_opex!BA38</f>
        <v>5.0808400000000001E-4</v>
      </c>
      <c r="BL38" s="188">
        <f>[2]CZ_decarbplus_opex!BB38</f>
        <v>0</v>
      </c>
      <c r="BM38" s="188">
        <f>[3]CZ_decarb_opex!J38</f>
        <v>3.6727187574824098E-5</v>
      </c>
      <c r="BN38" s="188">
        <f>[3]CZ_decarb_opex!K38</f>
        <v>1.7451644867169099E-4</v>
      </c>
      <c r="BO38" s="188">
        <f>[3]CZ_decarb_opex!L38</f>
        <v>1.54043643137606E-5</v>
      </c>
      <c r="BP38" s="188">
        <f>[3]CZ_decarb_opex!M38</f>
        <v>1.20040039423257E-4</v>
      </c>
      <c r="BQ38" s="188">
        <f>[3]CZ_decarb_opex!N38</f>
        <v>2.2902680287970001E-5</v>
      </c>
      <c r="BR38" s="188">
        <f>[3]CZ_decarb_opex!O38</f>
        <v>4.1234828645181098E-6</v>
      </c>
      <c r="BS38" s="188">
        <f>[3]CZ_decarb_opex!P38</f>
        <v>5.8071222380606402E-5</v>
      </c>
      <c r="BT38" s="188">
        <f>[3]CZ_decarb_opex!Q38</f>
        <v>1.6975760208845699E-5</v>
      </c>
      <c r="BU38" s="188">
        <f>[3]CZ_decarb_opex!R38</f>
        <v>5.5324437050663703E-6</v>
      </c>
      <c r="BV38" s="188">
        <f>[3]CZ_decarb_opex!S38</f>
        <v>5.5324437050663796E-6</v>
      </c>
      <c r="BW38" s="188">
        <f>[3]CZ_decarb_opex!T38</f>
        <v>3.2503939594610297E-5</v>
      </c>
      <c r="BX38" s="188">
        <f>[3]CZ_decarb_opex!U38</f>
        <v>8.8661626827225003E-6</v>
      </c>
      <c r="BY38" s="188">
        <f>[3]CZ_decarb_opex!V38</f>
        <v>1.80686762497684E-4</v>
      </c>
      <c r="BZ38" s="188">
        <f>[2]CZ_decarbplus_opex!BC38</f>
        <v>7.6799999999999997E-5</v>
      </c>
      <c r="CA38" s="188">
        <f>[2]CZ_decarbplus_opex!BD38</f>
        <v>2.0800000000000001E-5</v>
      </c>
      <c r="CB38" s="188">
        <f>[2]CZ_decarbplus_opex!BE38</f>
        <v>1.49E-5</v>
      </c>
      <c r="CC38" s="188">
        <f>[2]CZ_decarbplus_opex!BF38</f>
        <v>1.7600000000000001E-5</v>
      </c>
      <c r="CD38" s="188">
        <f>[2]CZ_decarbplus_opex!BG38</f>
        <v>8.3700000000000002E-5</v>
      </c>
      <c r="CE38" s="188">
        <f>[2]CZ_decarbplus_opex!BH38</f>
        <v>2.2826300000000001E-4</v>
      </c>
      <c r="CF38" s="188">
        <f>[2]CZ_decarbplus_opex!BI38</f>
        <v>2.2500000000000001E-5</v>
      </c>
      <c r="CG38" s="188">
        <f>[2]CZ_decarbplus_opex!BJ38</f>
        <v>5.8600000000000001E-5</v>
      </c>
    </row>
    <row r="39" spans="1:85" x14ac:dyDescent="0.25">
      <c r="A39" s="5" t="s">
        <v>97</v>
      </c>
      <c r="B39" s="2" t="s">
        <v>96</v>
      </c>
      <c r="C39" s="1" t="s">
        <v>327</v>
      </c>
      <c r="D39" s="187">
        <f>[2]CZ_decarbplus_opex!B39</f>
        <v>3.6170000000000001E-4</v>
      </c>
      <c r="E39" s="187">
        <f>[2]CZ_decarbplus_opex!C39</f>
        <v>8.5697099999999999E-4</v>
      </c>
      <c r="F39" s="187">
        <f>[2]CZ_decarbplus_opex!D39</f>
        <v>5.6755299999999998E-3</v>
      </c>
      <c r="G39" s="187">
        <f>[2]CZ_decarbplus_opex!E39</f>
        <v>3.9115920000000002E-3</v>
      </c>
      <c r="H39" s="187">
        <f>[2]CZ_decarbplus_opex!F39</f>
        <v>1.1799999999999999E-6</v>
      </c>
      <c r="I39" s="187">
        <f>[2]CZ_decarbplus_opex!G39</f>
        <v>4.3712200000000002E-4</v>
      </c>
      <c r="J39" s="187">
        <f>[2]CZ_decarbplus_opex!H39</f>
        <v>1.8294606000000001E-2</v>
      </c>
      <c r="K39" s="187">
        <f>[2]CZ_decarbplus_opex!I39</f>
        <v>1.81E-6</v>
      </c>
      <c r="L39" s="187">
        <f>[2]CZ_decarbplus_opex!J39</f>
        <v>6.9846020000000003E-3</v>
      </c>
      <c r="M39" s="187">
        <f>[2]CZ_decarbplus_opex!K39</f>
        <v>6.2554799999999997E-4</v>
      </c>
      <c r="N39" s="187">
        <f>[2]CZ_decarbplus_opex!L39</f>
        <v>6.8300230000000002E-3</v>
      </c>
      <c r="O39" s="187">
        <f>[2]CZ_decarbplus_opex!M39</f>
        <v>7.0429100000000001E-4</v>
      </c>
      <c r="P39" s="187">
        <f>[2]CZ_decarbplus_opex!N39</f>
        <v>1.66286E-4</v>
      </c>
      <c r="Q39" s="187">
        <f>[2]CZ_decarbplus_opex!O39</f>
        <v>1.9952199999999999E-4</v>
      </c>
      <c r="R39" s="187">
        <f>[2]CZ_decarbplus_opex!P39</f>
        <v>9.0912899999999995E-4</v>
      </c>
      <c r="S39" s="187">
        <f>[2]CZ_decarbplus_opex!Q39</f>
        <v>1.24E-5</v>
      </c>
      <c r="T39" s="187">
        <f>[2]CZ_decarbplus_opex!R39</f>
        <v>1.7E-5</v>
      </c>
      <c r="U39" s="187">
        <f>[2]CZ_decarbplus_opex!S39</f>
        <v>1.2E-5</v>
      </c>
      <c r="V39" s="187">
        <f>[2]CZ_decarbplus_opex!T39</f>
        <v>1.33E-5</v>
      </c>
      <c r="W39" s="187">
        <f>[2]CZ_decarbplus_opex!U39</f>
        <v>1.0499999999999999E-5</v>
      </c>
      <c r="X39" s="187">
        <f>[2]CZ_decarbplus_opex!V39</f>
        <v>1.7127099999999999E-4</v>
      </c>
      <c r="Y39" s="187">
        <f>[2]CZ_decarbplus_opex!W39</f>
        <v>5.4500000000000003E-6</v>
      </c>
      <c r="Z39" s="187">
        <f>[2]CZ_decarbplus_opex!X39</f>
        <v>6.5500000000000006E-5</v>
      </c>
      <c r="AA39" s="187">
        <f>[2]CZ_decarbplus_opex!Y39</f>
        <v>8.3399999999999998E-6</v>
      </c>
      <c r="AB39" s="188">
        <f>[3]CZ_decarb_opex!B39</f>
        <v>4.70373126065955E-5</v>
      </c>
      <c r="AC39" s="188">
        <f>[3]CZ_decarb_opex!C39</f>
        <v>1.02657340176088E-4</v>
      </c>
      <c r="AD39" s="188">
        <f>[3]CZ_decarb_opex!D39</f>
        <v>9.51510827239466E-5</v>
      </c>
      <c r="AE39" s="188">
        <f>[2]CZ_decarbplus_opex!Z39</f>
        <v>1.0575E-4</v>
      </c>
      <c r="AF39" s="188">
        <f>[2]CZ_decarbplus_opex!AA39</f>
        <v>7.2299999999999996E-5</v>
      </c>
      <c r="AG39" s="188">
        <f>[2]CZ_decarbplus_opex!AB39</f>
        <v>1.8899999999999999E-5</v>
      </c>
      <c r="AH39" s="188">
        <f>[2]CZ_decarbplus_opex!AC39</f>
        <v>2.7399999999999999E-5</v>
      </c>
      <c r="AI39" s="188">
        <f>[2]CZ_decarbplus_opex!AD39</f>
        <v>1.7200000000000001E-5</v>
      </c>
      <c r="AJ39" s="188">
        <f>[2]CZ_decarbplus_opex!AE39</f>
        <v>2.8099999999999999E-5</v>
      </c>
      <c r="AK39" s="188">
        <f>[2]CZ_decarbplus_opex!AF39</f>
        <v>1.8700000000000001E-5</v>
      </c>
      <c r="AL39" s="188">
        <f>[3]CZ_decarb_opex!E39</f>
        <v>1.1227597519042201E-5</v>
      </c>
      <c r="AM39" s="188">
        <f>[3]CZ_decarb_opex!F39</f>
        <v>1.39399967884562E-5</v>
      </c>
      <c r="AN39" s="188">
        <f>[2]CZ_decarbplus_opex!AG39</f>
        <v>1.7900000000000001E-5</v>
      </c>
      <c r="AO39" s="188">
        <f>[3]CZ_decarb_opex!G39</f>
        <v>1.93281512225959E-5</v>
      </c>
      <c r="AP39" s="188">
        <f>[3]CZ_decarb_opex!H39</f>
        <v>9.8027047196092099E-6</v>
      </c>
      <c r="AQ39" s="188">
        <f>[2]CZ_decarbplus_opex!AH39</f>
        <v>1.26E-5</v>
      </c>
      <c r="AR39" s="188">
        <f>[2]CZ_decarbplus_opex!AI39</f>
        <v>0</v>
      </c>
      <c r="AS39" s="188">
        <f>[2]CZ_decarbplus_opex!AJ39</f>
        <v>1.26E-5</v>
      </c>
      <c r="AT39" s="188">
        <f>[2]CZ_decarbplus_opex!AK39</f>
        <v>9.2399999999999996E-6</v>
      </c>
      <c r="AU39" s="188">
        <f>[2]CZ_decarbplus_opex!AL39</f>
        <v>1.13E-5</v>
      </c>
      <c r="AV39" s="188">
        <f>[2]CZ_decarbplus_opex!AM39</f>
        <v>7.2400000000000001E-6</v>
      </c>
      <c r="AW39" s="188">
        <f>[2]CZ_decarbplus_opex!AN39</f>
        <v>2.34E-5</v>
      </c>
      <c r="AX39" s="188">
        <f>[2]CZ_decarbplus_opex!AO39</f>
        <v>0</v>
      </c>
      <c r="AY39" s="188">
        <f>[2]CZ_decarbplus_opex!AP39</f>
        <v>9.7799999999999995E-6</v>
      </c>
      <c r="AZ39" s="188">
        <f>[2]CZ_decarbplus_opex!AQ39</f>
        <v>0</v>
      </c>
      <c r="BA39" s="188">
        <f>[2]CZ_decarbplus_opex!AR39</f>
        <v>3.1699999999999998E-5</v>
      </c>
      <c r="BB39" s="188">
        <f>[2]CZ_decarbplus_opex!AS39</f>
        <v>1.4800000000000001E-5</v>
      </c>
      <c r="BC39" s="188">
        <f>[2]CZ_decarbplus_opex!AT39</f>
        <v>1.2099999999999999E-5</v>
      </c>
      <c r="BD39" s="188">
        <f>[2]CZ_decarbplus_opex!AU39</f>
        <v>7.2000000000000002E-5</v>
      </c>
      <c r="BE39" s="188">
        <f>[2]CZ_decarbplus_opex!AV39</f>
        <v>1.8600000000000001E-5</v>
      </c>
      <c r="BF39" s="188">
        <f>[2]CZ_decarbplus_opex!AW39</f>
        <v>3.1699999999999998E-5</v>
      </c>
      <c r="BG39" s="188">
        <f>[2]CZ_decarbplus_opex!AX39</f>
        <v>2.9348599999999997E-4</v>
      </c>
      <c r="BH39" s="188">
        <f>[3]CZ_decarb_opex!I39</f>
        <v>1.9730672957058001E-5</v>
      </c>
      <c r="BI39" s="188">
        <f>[2]CZ_decarbplus_opex!AY39</f>
        <v>2.5599999999999999E-5</v>
      </c>
      <c r="BJ39" s="188">
        <f>[2]CZ_decarbplus_opex!AZ39</f>
        <v>2.2099999999999998E-5</v>
      </c>
      <c r="BK39" s="188">
        <f>[2]CZ_decarbplus_opex!BA39</f>
        <v>7.2299999999999996E-5</v>
      </c>
      <c r="BL39" s="188">
        <f>[2]CZ_decarbplus_opex!BB39</f>
        <v>0</v>
      </c>
      <c r="BM39" s="188">
        <f>[3]CZ_decarb_opex!J39</f>
        <v>1.79352521212262E-5</v>
      </c>
      <c r="BN39" s="188">
        <f>[3]CZ_decarb_opex!K39</f>
        <v>3.7693846861225297E-5</v>
      </c>
      <c r="BO39" s="188">
        <f>[3]CZ_decarb_opex!L39</f>
        <v>8.5319930502933993E-6</v>
      </c>
      <c r="BP39" s="188">
        <f>[3]CZ_decarb_opex!M39</f>
        <v>1.9243851426679501E-5</v>
      </c>
      <c r="BQ39" s="188">
        <f>[3]CZ_decarb_opex!N39</f>
        <v>5.9608516997033797E-6</v>
      </c>
      <c r="BR39" s="188">
        <f>[3]CZ_decarb_opex!O39</f>
        <v>1.40587549953676E-6</v>
      </c>
      <c r="BS39" s="188">
        <f>[3]CZ_decarb_opex!P39</f>
        <v>2.90409164639782E-5</v>
      </c>
      <c r="BT39" s="188">
        <f>[3]CZ_decarb_opex!Q39</f>
        <v>3.4122546516434001E-6</v>
      </c>
      <c r="BU39" s="188">
        <f>[3]CZ_decarb_opex!R39</f>
        <v>2.0081437339065201E-6</v>
      </c>
      <c r="BV39" s="188">
        <f>[3]CZ_decarb_opex!S39</f>
        <v>2.0081437339065298E-6</v>
      </c>
      <c r="BW39" s="188">
        <f>[3]CZ_decarb_opex!T39</f>
        <v>1.23511541698636E-5</v>
      </c>
      <c r="BX39" s="188">
        <f>[3]CZ_decarb_opex!U39</f>
        <v>6.3962466752788702E-6</v>
      </c>
      <c r="BY39" s="188">
        <f>[3]CZ_decarb_opex!V39</f>
        <v>5.2457164511223203E-5</v>
      </c>
      <c r="BZ39" s="188">
        <f>[2]CZ_decarbplus_opex!BC39</f>
        <v>1.84E-5</v>
      </c>
      <c r="CA39" s="188">
        <f>[2]CZ_decarbplus_opex!BD39</f>
        <v>9.2799999999999992E-6</v>
      </c>
      <c r="CB39" s="188">
        <f>[2]CZ_decarbplus_opex!BE39</f>
        <v>1.22E-5</v>
      </c>
      <c r="CC39" s="188">
        <f>[2]CZ_decarbplus_opex!BF39</f>
        <v>4.9599999999999999E-6</v>
      </c>
      <c r="CD39" s="188">
        <f>[2]CZ_decarbplus_opex!BG39</f>
        <v>4.3699999999999998E-5</v>
      </c>
      <c r="CE39" s="188">
        <f>[2]CZ_decarbplus_opex!BH39</f>
        <v>1.31E-5</v>
      </c>
      <c r="CF39" s="188">
        <f>[2]CZ_decarbplus_opex!BI39</f>
        <v>8.9199999999999993E-6</v>
      </c>
      <c r="CG39" s="188">
        <f>[2]CZ_decarbplus_opex!BJ39</f>
        <v>1.13E-5</v>
      </c>
    </row>
    <row r="40" spans="1:85" x14ac:dyDescent="0.25">
      <c r="A40" s="5" t="s">
        <v>99</v>
      </c>
      <c r="B40" s="2" t="s">
        <v>98</v>
      </c>
      <c r="C40" s="1" t="s">
        <v>327</v>
      </c>
      <c r="D40" s="187">
        <f>[2]CZ_decarbplus_opex!B40</f>
        <v>2.5925299999999998E-4</v>
      </c>
      <c r="E40" s="187">
        <f>[2]CZ_decarbplus_opex!C40</f>
        <v>4.5013600000000001E-4</v>
      </c>
      <c r="F40" s="187">
        <f>[2]CZ_decarbplus_opex!D40</f>
        <v>2.5941430000000001E-3</v>
      </c>
      <c r="G40" s="187">
        <f>[2]CZ_decarbplus_opex!E40</f>
        <v>5.7899999999999998E-5</v>
      </c>
      <c r="H40" s="187">
        <f>[2]CZ_decarbplus_opex!F40</f>
        <v>4.2899999999999999E-5</v>
      </c>
      <c r="I40" s="187">
        <f>[2]CZ_decarbplus_opex!G40</f>
        <v>3.04715E-4</v>
      </c>
      <c r="J40" s="187">
        <f>[2]CZ_decarbplus_opex!H40</f>
        <v>2.886577E-3</v>
      </c>
      <c r="K40" s="187">
        <f>[2]CZ_decarbplus_opex!I40</f>
        <v>9.2100000000000003E-5</v>
      </c>
      <c r="L40" s="187">
        <f>[2]CZ_decarbplus_opex!J40</f>
        <v>1.2556774999999999E-2</v>
      </c>
      <c r="M40" s="187">
        <f>[2]CZ_decarbplus_opex!K40</f>
        <v>6.6267699999999997E-4</v>
      </c>
      <c r="N40" s="187">
        <f>[2]CZ_decarbplus_opex!L40</f>
        <v>1.758349E-3</v>
      </c>
      <c r="O40" s="187">
        <f>[2]CZ_decarbplus_opex!M40</f>
        <v>5.82933E-4</v>
      </c>
      <c r="P40" s="187">
        <f>[2]CZ_decarbplus_opex!N40</f>
        <v>2.1138E-4</v>
      </c>
      <c r="Q40" s="187">
        <f>[2]CZ_decarbplus_opex!O40</f>
        <v>2.4814200000000002E-4</v>
      </c>
      <c r="R40" s="187">
        <f>[2]CZ_decarbplus_opex!P40</f>
        <v>3.5800799999999999E-4</v>
      </c>
      <c r="S40" s="187">
        <f>[2]CZ_decarbplus_opex!Q40</f>
        <v>8.9099999999999997E-5</v>
      </c>
      <c r="T40" s="187">
        <f>[2]CZ_decarbplus_opex!R40</f>
        <v>1.8557799999999999E-4</v>
      </c>
      <c r="U40" s="187">
        <f>[2]CZ_decarbplus_opex!S40</f>
        <v>1.17656E-4</v>
      </c>
      <c r="V40" s="187">
        <f>[2]CZ_decarbplus_opex!T40</f>
        <v>1.44089E-4</v>
      </c>
      <c r="W40" s="187">
        <f>[2]CZ_decarbplus_opex!U40</f>
        <v>7.0300000000000001E-5</v>
      </c>
      <c r="X40" s="187">
        <f>[2]CZ_decarbplus_opex!V40</f>
        <v>1.0712799999999999E-4</v>
      </c>
      <c r="Y40" s="187">
        <f>[2]CZ_decarbplus_opex!W40</f>
        <v>8.8999999999999995E-5</v>
      </c>
      <c r="Z40" s="187">
        <f>[2]CZ_decarbplus_opex!X40</f>
        <v>7.1500000000000003E-5</v>
      </c>
      <c r="AA40" s="187">
        <f>[2]CZ_decarbplus_opex!Y40</f>
        <v>2.78545E-4</v>
      </c>
      <c r="AB40" s="188">
        <f>[3]CZ_decarb_opex!B40</f>
        <v>2.7751497386964798E-4</v>
      </c>
      <c r="AC40" s="188">
        <f>[3]CZ_decarb_opex!C40</f>
        <v>4.8848037080251598E-4</v>
      </c>
      <c r="AD40" s="188">
        <f>[3]CZ_decarb_opex!D40</f>
        <v>1.5520945376436599E-4</v>
      </c>
      <c r="AE40" s="188">
        <f>[2]CZ_decarbplus_opex!Z40</f>
        <v>1.22929E-4</v>
      </c>
      <c r="AF40" s="188">
        <f>[2]CZ_decarbplus_opex!AA40</f>
        <v>5.8723499999999997E-4</v>
      </c>
      <c r="AG40" s="188">
        <f>[2]CZ_decarbplus_opex!AB40</f>
        <v>2.2031000000000001E-4</v>
      </c>
      <c r="AH40" s="188">
        <f>[2]CZ_decarbplus_opex!AC40</f>
        <v>5.8999999999999998E-5</v>
      </c>
      <c r="AI40" s="188">
        <f>[2]CZ_decarbplus_opex!AD40</f>
        <v>1.3101500000000001E-4</v>
      </c>
      <c r="AJ40" s="188">
        <f>[2]CZ_decarbplus_opex!AE40</f>
        <v>6.3299999999999994E-5</v>
      </c>
      <c r="AK40" s="188">
        <f>[2]CZ_decarbplus_opex!AF40</f>
        <v>1.51411E-4</v>
      </c>
      <c r="AL40" s="188">
        <f>[3]CZ_decarb_opex!E40</f>
        <v>7.7237790407528605E-5</v>
      </c>
      <c r="AM40" s="188">
        <f>[3]CZ_decarb_opex!F40</f>
        <v>1.2285847097019399E-4</v>
      </c>
      <c r="AN40" s="188">
        <f>[2]CZ_decarbplus_opex!AG40</f>
        <v>1.2548299999999999E-4</v>
      </c>
      <c r="AO40" s="188">
        <f>[3]CZ_decarb_opex!G40</f>
        <v>5.6446478323691197E-5</v>
      </c>
      <c r="AP40" s="188">
        <f>[3]CZ_decarb_opex!H40</f>
        <v>8.8379073486974998E-5</v>
      </c>
      <c r="AQ40" s="188">
        <f>[2]CZ_decarbplus_opex!AH40</f>
        <v>1.1320299999999999E-4</v>
      </c>
      <c r="AR40" s="188">
        <f>[2]CZ_decarbplus_opex!AI40</f>
        <v>0</v>
      </c>
      <c r="AS40" s="188">
        <f>[2]CZ_decarbplus_opex!AJ40</f>
        <v>1.22531E-4</v>
      </c>
      <c r="AT40" s="188">
        <f>[2]CZ_decarbplus_opex!AK40</f>
        <v>1.06313E-4</v>
      </c>
      <c r="AU40" s="188">
        <f>[2]CZ_decarbplus_opex!AL40</f>
        <v>5.0800000000000002E-5</v>
      </c>
      <c r="AV40" s="188">
        <f>[2]CZ_decarbplus_opex!AM40</f>
        <v>5.1E-5</v>
      </c>
      <c r="AW40" s="188">
        <f>[2]CZ_decarbplus_opex!AN40</f>
        <v>8.6299999999999997E-5</v>
      </c>
      <c r="AX40" s="188">
        <f>[2]CZ_decarbplus_opex!AO40</f>
        <v>0</v>
      </c>
      <c r="AY40" s="188">
        <f>[2]CZ_decarbplus_opex!AP40</f>
        <v>2.7756699999999999E-4</v>
      </c>
      <c r="AZ40" s="188">
        <f>[2]CZ_decarbplus_opex!AQ40</f>
        <v>0</v>
      </c>
      <c r="BA40" s="188">
        <f>[2]CZ_decarbplus_opex!AR40</f>
        <v>5.3699999999999997E-5</v>
      </c>
      <c r="BB40" s="188">
        <f>[2]CZ_decarbplus_opex!AS40</f>
        <v>4.9799999999999998E-5</v>
      </c>
      <c r="BC40" s="188">
        <f>[2]CZ_decarbplus_opex!AT40</f>
        <v>7.4200000000000001E-5</v>
      </c>
      <c r="BD40" s="188">
        <f>[2]CZ_decarbplus_opex!AU40</f>
        <v>7.4900000000000005E-5</v>
      </c>
      <c r="BE40" s="188">
        <f>[2]CZ_decarbplus_opex!AV40</f>
        <v>3.6399999999999997E-5</v>
      </c>
      <c r="BF40" s="188">
        <f>[2]CZ_decarbplus_opex!AW40</f>
        <v>4.9299999999999999E-5</v>
      </c>
      <c r="BG40" s="188">
        <f>[2]CZ_decarbplus_opex!AX40</f>
        <v>1.59679E-4</v>
      </c>
      <c r="BH40" s="188">
        <f>[3]CZ_decarb_opex!I40</f>
        <v>7.6049224855771606E-5</v>
      </c>
      <c r="BI40" s="188">
        <f>[2]CZ_decarbplus_opex!AY40</f>
        <v>5.0599999999999997E-5</v>
      </c>
      <c r="BJ40" s="188">
        <f>[2]CZ_decarbplus_opex!AZ40</f>
        <v>7.9300000000000003E-5</v>
      </c>
      <c r="BK40" s="188">
        <f>[2]CZ_decarbplus_opex!BA40</f>
        <v>1.83291E-4</v>
      </c>
      <c r="BL40" s="188">
        <f>[2]CZ_decarbplus_opex!BB40</f>
        <v>0</v>
      </c>
      <c r="BM40" s="188">
        <f>[3]CZ_decarb_opex!J40</f>
        <v>6.8440871639733293E-5</v>
      </c>
      <c r="BN40" s="188">
        <f>[3]CZ_decarb_opex!K40</f>
        <v>1.4652922641508501E-4</v>
      </c>
      <c r="BO40" s="188">
        <f>[3]CZ_decarb_opex!L40</f>
        <v>2.1145171197583801E-5</v>
      </c>
      <c r="BP40" s="188">
        <f>[3]CZ_decarb_opex!M40</f>
        <v>5.7340147095378998E-5</v>
      </c>
      <c r="BQ40" s="188">
        <f>[3]CZ_decarb_opex!N40</f>
        <v>8.9972418089612205E-5</v>
      </c>
      <c r="BR40" s="188">
        <f>[3]CZ_decarb_opex!O40</f>
        <v>8.4129819216585297E-7</v>
      </c>
      <c r="BS40" s="188">
        <f>[3]CZ_decarb_opex!P40</f>
        <v>3.4743575853558601E-4</v>
      </c>
      <c r="BT40" s="188">
        <f>[3]CZ_decarb_opex!Q40</f>
        <v>1.8054538723256999E-6</v>
      </c>
      <c r="BU40" s="188">
        <f>[3]CZ_decarb_opex!R40</f>
        <v>3.7189795315361798E-5</v>
      </c>
      <c r="BV40" s="188">
        <f>[3]CZ_decarb_opex!S40</f>
        <v>3.71897953153619E-5</v>
      </c>
      <c r="BW40" s="188">
        <f>[3]CZ_decarb_opex!T40</f>
        <v>9.0611237171247204E-6</v>
      </c>
      <c r="BX40" s="188">
        <f>[3]CZ_decarb_opex!U40</f>
        <v>1.7941261123334099E-6</v>
      </c>
      <c r="BY40" s="188">
        <f>[3]CZ_decarb_opex!V40</f>
        <v>3.7453143762885699E-5</v>
      </c>
      <c r="BZ40" s="188">
        <f>[2]CZ_decarbplus_opex!BC40</f>
        <v>7.47E-5</v>
      </c>
      <c r="CA40" s="188">
        <f>[2]CZ_decarbplus_opex!BD40</f>
        <v>5.02E-5</v>
      </c>
      <c r="CB40" s="188">
        <f>[2]CZ_decarbplus_opex!BE40</f>
        <v>4.1900000000000002E-5</v>
      </c>
      <c r="CC40" s="188">
        <f>[2]CZ_decarbplus_opex!BF40</f>
        <v>4.8999999999999998E-5</v>
      </c>
      <c r="CD40" s="188">
        <f>[2]CZ_decarbplus_opex!BG40</f>
        <v>1.4798E-4</v>
      </c>
      <c r="CE40" s="188">
        <f>[2]CZ_decarbplus_opex!BH40</f>
        <v>9.4500000000000007E-5</v>
      </c>
      <c r="CF40" s="188">
        <f>[2]CZ_decarbplus_opex!BI40</f>
        <v>4.1399999999999997E-5</v>
      </c>
      <c r="CG40" s="188">
        <f>[2]CZ_decarbplus_opex!BJ40</f>
        <v>3.68E-5</v>
      </c>
    </row>
    <row r="41" spans="1:85" x14ac:dyDescent="0.25">
      <c r="A41" s="5" t="s">
        <v>101</v>
      </c>
      <c r="B41" s="2" t="s">
        <v>100</v>
      </c>
      <c r="C41" s="1" t="s">
        <v>327</v>
      </c>
      <c r="D41" s="187">
        <f>[2]CZ_decarbplus_opex!B41</f>
        <v>5.8129000000000004E-4</v>
      </c>
      <c r="E41" s="187">
        <f>[2]CZ_decarbplus_opex!C41</f>
        <v>7.2517899999999995E-4</v>
      </c>
      <c r="F41" s="187">
        <f>[2]CZ_decarbplus_opex!D41</f>
        <v>4.1791069999999996E-3</v>
      </c>
      <c r="G41" s="187">
        <f>[2]CZ_decarbplus_opex!E41</f>
        <v>3.12947E-4</v>
      </c>
      <c r="H41" s="187">
        <f>[2]CZ_decarbplus_opex!F41</f>
        <v>5.5899999999999997E-5</v>
      </c>
      <c r="I41" s="187">
        <f>[2]CZ_decarbplus_opex!G41</f>
        <v>0.14339216299999999</v>
      </c>
      <c r="J41" s="187">
        <f>[2]CZ_decarbplus_opex!H41</f>
        <v>2.3368219999999999E-2</v>
      </c>
      <c r="K41" s="187">
        <f>[2]CZ_decarbplus_opex!I41</f>
        <v>1.1943300000000001E-4</v>
      </c>
      <c r="L41" s="187">
        <f>[2]CZ_decarbplus_opex!J41</f>
        <v>2.2991685000000001E-2</v>
      </c>
      <c r="M41" s="187">
        <f>[2]CZ_decarbplus_opex!K41</f>
        <v>2.100345E-3</v>
      </c>
      <c r="N41" s="187">
        <f>[2]CZ_decarbplus_opex!L41</f>
        <v>1.0416409999999999E-2</v>
      </c>
      <c r="O41" s="187">
        <f>[2]CZ_decarbplus_opex!M41</f>
        <v>1.7608704999999999E-2</v>
      </c>
      <c r="P41" s="187">
        <f>[2]CZ_decarbplus_opex!N41</f>
        <v>3.8428239999999999E-3</v>
      </c>
      <c r="Q41" s="187">
        <f>[2]CZ_decarbplus_opex!O41</f>
        <v>2.7951400000000002E-4</v>
      </c>
      <c r="R41" s="187">
        <f>[2]CZ_decarbplus_opex!P41</f>
        <v>3.2532999999999998E-4</v>
      </c>
      <c r="S41" s="187">
        <f>[2]CZ_decarbplus_opex!Q41</f>
        <v>1.5049900000000001E-4</v>
      </c>
      <c r="T41" s="187">
        <f>[2]CZ_decarbplus_opex!R41</f>
        <v>2.6147399999999998E-4</v>
      </c>
      <c r="U41" s="187">
        <f>[2]CZ_decarbplus_opex!S41</f>
        <v>2.2167199999999999E-4</v>
      </c>
      <c r="V41" s="187">
        <f>[2]CZ_decarbplus_opex!T41</f>
        <v>2.6475100000000003E-4</v>
      </c>
      <c r="W41" s="187">
        <f>[2]CZ_decarbplus_opex!U41</f>
        <v>1.2692700000000001E-4</v>
      </c>
      <c r="X41" s="187">
        <f>[2]CZ_decarbplus_opex!V41</f>
        <v>1.87014E-4</v>
      </c>
      <c r="Y41" s="187">
        <f>[2]CZ_decarbplus_opex!W41</f>
        <v>1.2835200000000001E-4</v>
      </c>
      <c r="Z41" s="187">
        <f>[2]CZ_decarbplus_opex!X41</f>
        <v>1.6718700000000001E-4</v>
      </c>
      <c r="AA41" s="187">
        <f>[2]CZ_decarbplus_opex!Y41</f>
        <v>4.0565099999999998E-4</v>
      </c>
      <c r="AB41" s="188">
        <f>[3]CZ_decarb_opex!B41</f>
        <v>3.1692935562888298E-4</v>
      </c>
      <c r="AC41" s="188">
        <f>[3]CZ_decarb_opex!C41</f>
        <v>8.1549068616111598E-4</v>
      </c>
      <c r="AD41" s="188">
        <f>[3]CZ_decarb_opex!D41</f>
        <v>3.1174778824754598E-4</v>
      </c>
      <c r="AE41" s="188">
        <f>[2]CZ_decarbplus_opex!Z41</f>
        <v>2.5804499999999999E-4</v>
      </c>
      <c r="AF41" s="188">
        <f>[2]CZ_decarbplus_opex!AA41</f>
        <v>7.17243E-4</v>
      </c>
      <c r="AG41" s="188">
        <f>[2]CZ_decarbplus_opex!AB41</f>
        <v>2.9427199999999999E-4</v>
      </c>
      <c r="AH41" s="188">
        <f>[2]CZ_decarbplus_opex!AC41</f>
        <v>1.06469E-4</v>
      </c>
      <c r="AI41" s="188">
        <f>[2]CZ_decarbplus_opex!AD41</f>
        <v>2.0567099999999999E-4</v>
      </c>
      <c r="AJ41" s="188">
        <f>[2]CZ_decarbplus_opex!AE41</f>
        <v>1.0932100000000001E-4</v>
      </c>
      <c r="AK41" s="188">
        <f>[2]CZ_decarbplus_opex!AF41</f>
        <v>2.21709E-4</v>
      </c>
      <c r="AL41" s="188">
        <f>[3]CZ_decarb_opex!E41</f>
        <v>1.4121644197346401E-4</v>
      </c>
      <c r="AM41" s="188">
        <f>[3]CZ_decarb_opex!F41</f>
        <v>1.91634005869707E-4</v>
      </c>
      <c r="AN41" s="188">
        <f>[2]CZ_decarbplus_opex!AG41</f>
        <v>2.1007E-4</v>
      </c>
      <c r="AO41" s="188">
        <f>[3]CZ_decarb_opex!G41</f>
        <v>8.5311345708781003E-5</v>
      </c>
      <c r="AP41" s="188">
        <f>[3]CZ_decarb_opex!H41</f>
        <v>1.3062275479023701E-4</v>
      </c>
      <c r="AQ41" s="188">
        <f>[2]CZ_decarbplus_opex!AH41</f>
        <v>1.61989E-4</v>
      </c>
      <c r="AR41" s="188">
        <f>[2]CZ_decarbplus_opex!AI41</f>
        <v>0</v>
      </c>
      <c r="AS41" s="188">
        <f>[2]CZ_decarbplus_opex!AJ41</f>
        <v>1.58111E-4</v>
      </c>
      <c r="AT41" s="188">
        <f>[2]CZ_decarbplus_opex!AK41</f>
        <v>1.33886E-4</v>
      </c>
      <c r="AU41" s="188">
        <f>[2]CZ_decarbplus_opex!AL41</f>
        <v>6.7799999999999995E-5</v>
      </c>
      <c r="AV41" s="188">
        <f>[2]CZ_decarbplus_opex!AM41</f>
        <v>6.5699999999999998E-5</v>
      </c>
      <c r="AW41" s="188">
        <f>[2]CZ_decarbplus_opex!AN41</f>
        <v>1.80442E-4</v>
      </c>
      <c r="AX41" s="188">
        <f>[2]CZ_decarbplus_opex!AO41</f>
        <v>0</v>
      </c>
      <c r="AY41" s="188">
        <f>[2]CZ_decarbplus_opex!AP41</f>
        <v>3.55361E-4</v>
      </c>
      <c r="AZ41" s="188">
        <f>[2]CZ_decarbplus_opex!AQ41</f>
        <v>0</v>
      </c>
      <c r="BA41" s="188">
        <f>[2]CZ_decarbplus_opex!AR41</f>
        <v>9.5199999999999997E-5</v>
      </c>
      <c r="BB41" s="188">
        <f>[2]CZ_decarbplus_opex!AS41</f>
        <v>9.8900000000000005E-5</v>
      </c>
      <c r="BC41" s="188">
        <f>[2]CZ_decarbplus_opex!AT41</f>
        <v>1.5757299999999999E-4</v>
      </c>
      <c r="BD41" s="188">
        <f>[2]CZ_decarbplus_opex!AU41</f>
        <v>1.92769E-4</v>
      </c>
      <c r="BE41" s="188">
        <f>[2]CZ_decarbplus_opex!AV41</f>
        <v>8.6899999999999998E-5</v>
      </c>
      <c r="BF41" s="188">
        <f>[2]CZ_decarbplus_opex!AW41</f>
        <v>7.6199999999999995E-5</v>
      </c>
      <c r="BG41" s="188">
        <f>[2]CZ_decarbplus_opex!AX41</f>
        <v>3.8033700000000001E-4</v>
      </c>
      <c r="BH41" s="188">
        <f>[3]CZ_decarb_opex!I41</f>
        <v>1.2823655170626601E-4</v>
      </c>
      <c r="BI41" s="188">
        <f>[2]CZ_decarbplus_opex!AY41</f>
        <v>9.7499999999999998E-5</v>
      </c>
      <c r="BJ41" s="188">
        <f>[2]CZ_decarbplus_opex!AZ41</f>
        <v>2.0754899999999999E-4</v>
      </c>
      <c r="BK41" s="188">
        <f>[2]CZ_decarbplus_opex!BA41</f>
        <v>2.0781200000000001E-4</v>
      </c>
      <c r="BL41" s="188">
        <f>[2]CZ_decarbplus_opex!BB41</f>
        <v>0</v>
      </c>
      <c r="BM41" s="188">
        <f>[3]CZ_decarb_opex!J41</f>
        <v>1.3893226498499901E-4</v>
      </c>
      <c r="BN41" s="188">
        <f>[3]CZ_decarb_opex!K41</f>
        <v>2.6383059879564398E-4</v>
      </c>
      <c r="BO41" s="188">
        <f>[3]CZ_decarb_opex!L41</f>
        <v>4.8987722006800101E-5</v>
      </c>
      <c r="BP41" s="188">
        <f>[3]CZ_decarb_opex!M41</f>
        <v>1.0034361077220701E-4</v>
      </c>
      <c r="BQ41" s="188">
        <f>[3]CZ_decarb_opex!N41</f>
        <v>1.34046930234914E-4</v>
      </c>
      <c r="BR41" s="188">
        <f>[3]CZ_decarb_opex!O41</f>
        <v>6.9661816290604702E-6</v>
      </c>
      <c r="BS41" s="188">
        <f>[3]CZ_decarb_opex!P41</f>
        <v>4.5202881296952898E-4</v>
      </c>
      <c r="BT41" s="188">
        <f>[3]CZ_decarb_opex!Q41</f>
        <v>2.70423030055878E-5</v>
      </c>
      <c r="BU41" s="188">
        <f>[3]CZ_decarb_opex!R41</f>
        <v>7.4987050592248305E-5</v>
      </c>
      <c r="BV41" s="188">
        <f>[3]CZ_decarb_opex!S41</f>
        <v>7.49870505922484E-5</v>
      </c>
      <c r="BW41" s="188">
        <f>[3]CZ_decarb_opex!T41</f>
        <v>1.05957784442496E-4</v>
      </c>
      <c r="BX41" s="188">
        <f>[3]CZ_decarb_opex!U41</f>
        <v>2.0366794157958898E-6</v>
      </c>
      <c r="BY41" s="188">
        <f>[3]CZ_decarb_opex!V41</f>
        <v>2.1201621360302599E-5</v>
      </c>
      <c r="BZ41" s="188">
        <f>[2]CZ_decarbplus_opex!BC41</f>
        <v>1.4179199999999999E-4</v>
      </c>
      <c r="CA41" s="188">
        <f>[2]CZ_decarbplus_opex!BD41</f>
        <v>1.21371E-4</v>
      </c>
      <c r="CB41" s="188">
        <f>[2]CZ_decarbplus_opex!BE41</f>
        <v>1.06418E-4</v>
      </c>
      <c r="CC41" s="188">
        <f>[2]CZ_decarbplus_opex!BF41</f>
        <v>1.7729900000000001E-4</v>
      </c>
      <c r="CD41" s="188">
        <f>[2]CZ_decarbplus_opex!BG41</f>
        <v>2.3749400000000001E-4</v>
      </c>
      <c r="CE41" s="188">
        <f>[2]CZ_decarbplus_opex!BH41</f>
        <v>2.57877E-4</v>
      </c>
      <c r="CF41" s="188">
        <f>[2]CZ_decarbplus_opex!BI41</f>
        <v>1.98965E-4</v>
      </c>
      <c r="CG41" s="188">
        <f>[2]CZ_decarbplus_opex!BJ41</f>
        <v>8.6899999999999998E-5</v>
      </c>
    </row>
    <row r="42" spans="1:85" x14ac:dyDescent="0.25">
      <c r="A42" s="5" t="s">
        <v>103</v>
      </c>
      <c r="B42" s="2" t="s">
        <v>102</v>
      </c>
      <c r="C42" s="1" t="s">
        <v>327</v>
      </c>
      <c r="D42" s="187">
        <f>[2]CZ_decarbplus_opex!B42</f>
        <v>1.22E-5</v>
      </c>
      <c r="E42" s="187">
        <f>[2]CZ_decarbplus_opex!C42</f>
        <v>2.76E-5</v>
      </c>
      <c r="F42" s="187">
        <f>[2]CZ_decarbplus_opex!D42</f>
        <v>1.25043E-4</v>
      </c>
      <c r="G42" s="187">
        <f>[2]CZ_decarbplus_opex!E42</f>
        <v>1.95E-6</v>
      </c>
      <c r="H42" s="187">
        <f>[2]CZ_decarbplus_opex!F42</f>
        <v>7.0100000000000004E-7</v>
      </c>
      <c r="I42" s="187">
        <f>[2]CZ_decarbplus_opex!G42</f>
        <v>1.5299999999999999E-5</v>
      </c>
      <c r="J42" s="187">
        <f>[2]CZ_decarbplus_opex!H42</f>
        <v>1.4191779999999999E-2</v>
      </c>
      <c r="K42" s="187">
        <f>[2]CZ_decarbplus_opex!I42</f>
        <v>7.0299999999999998E-7</v>
      </c>
      <c r="L42" s="187">
        <f>[2]CZ_decarbplus_opex!J42</f>
        <v>3.310534E-3</v>
      </c>
      <c r="M42" s="187">
        <f>[2]CZ_decarbplus_opex!K42</f>
        <v>1.8499999999999999E-5</v>
      </c>
      <c r="N42" s="187">
        <f>[2]CZ_decarbplus_opex!L42</f>
        <v>9.7646600000000005E-4</v>
      </c>
      <c r="O42" s="187">
        <f>[2]CZ_decarbplus_opex!M42</f>
        <v>2.7500000000000001E-5</v>
      </c>
      <c r="P42" s="187">
        <f>[2]CZ_decarbplus_opex!N42</f>
        <v>2.6800000000000002E-6</v>
      </c>
      <c r="Q42" s="187">
        <f>[2]CZ_decarbplus_opex!O42</f>
        <v>5.0699999999999997E-6</v>
      </c>
      <c r="R42" s="187">
        <f>[2]CZ_decarbplus_opex!P42</f>
        <v>7.2200000000000003E-6</v>
      </c>
      <c r="S42" s="187">
        <f>[2]CZ_decarbplus_opex!Q42</f>
        <v>8.09E-7</v>
      </c>
      <c r="T42" s="187">
        <f>[2]CZ_decarbplus_opex!R42</f>
        <v>9.9199999999999999E-7</v>
      </c>
      <c r="U42" s="187">
        <f>[2]CZ_decarbplus_opex!S42</f>
        <v>8.3799999999999996E-7</v>
      </c>
      <c r="V42" s="187">
        <f>[2]CZ_decarbplus_opex!T42</f>
        <v>8.2399999999999997E-7</v>
      </c>
      <c r="W42" s="187">
        <f>[2]CZ_decarbplus_opex!U42</f>
        <v>1.42E-6</v>
      </c>
      <c r="X42" s="187">
        <f>[2]CZ_decarbplus_opex!V42</f>
        <v>1.99E-6</v>
      </c>
      <c r="Y42" s="187">
        <f>[2]CZ_decarbplus_opex!W42</f>
        <v>4.0999999999999999E-7</v>
      </c>
      <c r="Z42" s="187">
        <f>[2]CZ_decarbplus_opex!X42</f>
        <v>1.2899999999999999E-6</v>
      </c>
      <c r="AA42" s="187">
        <f>[2]CZ_decarbplus_opex!Y42</f>
        <v>9.2900000000000002E-7</v>
      </c>
      <c r="AB42" s="188">
        <f>[3]CZ_decarb_opex!B42</f>
        <v>2.50788993246955E-5</v>
      </c>
      <c r="AC42" s="188">
        <f>[3]CZ_decarb_opex!C42</f>
        <v>1.6334375954098401E-6</v>
      </c>
      <c r="AD42" s="188">
        <f>[3]CZ_decarb_opex!D42</f>
        <v>4.1687488279428897E-7</v>
      </c>
      <c r="AE42" s="188">
        <f>[2]CZ_decarbplus_opex!Z42</f>
        <v>4.5699999999999998E-7</v>
      </c>
      <c r="AF42" s="188">
        <f>[2]CZ_decarbplus_opex!AA42</f>
        <v>1.9300000000000002E-5</v>
      </c>
      <c r="AG42" s="188">
        <f>[2]CZ_decarbplus_opex!AB42</f>
        <v>5.5999999999999997E-6</v>
      </c>
      <c r="AH42" s="188">
        <f>[2]CZ_decarbplus_opex!AC42</f>
        <v>1.37E-6</v>
      </c>
      <c r="AI42" s="188">
        <f>[2]CZ_decarbplus_opex!AD42</f>
        <v>5.4499999999999997E-7</v>
      </c>
      <c r="AJ42" s="188">
        <f>[2]CZ_decarbplus_opex!AE42</f>
        <v>4.34E-7</v>
      </c>
      <c r="AK42" s="188">
        <f>[2]CZ_decarbplus_opex!AF42</f>
        <v>6.5199999999999996E-7</v>
      </c>
      <c r="AL42" s="188">
        <f>[3]CZ_decarb_opex!E42</f>
        <v>5.1650524376581595E-7</v>
      </c>
      <c r="AM42" s="188">
        <f>[3]CZ_decarb_opex!F42</f>
        <v>4.0878955327236399E-7</v>
      </c>
      <c r="AN42" s="188">
        <f>[2]CZ_decarbplus_opex!AG42</f>
        <v>6.8899999999999999E-7</v>
      </c>
      <c r="AO42" s="188">
        <f>[3]CZ_decarb_opex!G42</f>
        <v>8.7437349574312195E-7</v>
      </c>
      <c r="AP42" s="188">
        <f>[3]CZ_decarb_opex!H42</f>
        <v>7.7091515802774301E-7</v>
      </c>
      <c r="AQ42" s="188">
        <f>[2]CZ_decarbplus_opex!AH42</f>
        <v>9.9999999999999995E-7</v>
      </c>
      <c r="AR42" s="188">
        <f>[2]CZ_decarbplus_opex!AI42</f>
        <v>0</v>
      </c>
      <c r="AS42" s="188">
        <f>[2]CZ_decarbplus_opex!AJ42</f>
        <v>1.7099999999999999E-6</v>
      </c>
      <c r="AT42" s="188">
        <f>[2]CZ_decarbplus_opex!AK42</f>
        <v>1.35E-6</v>
      </c>
      <c r="AU42" s="188">
        <f>[2]CZ_decarbplus_opex!AL42</f>
        <v>2.17E-7</v>
      </c>
      <c r="AV42" s="188">
        <f>[2]CZ_decarbplus_opex!AM42</f>
        <v>1.37E-7</v>
      </c>
      <c r="AW42" s="188">
        <f>[2]CZ_decarbplus_opex!AN42</f>
        <v>7.9299999999999997E-7</v>
      </c>
      <c r="AX42" s="188">
        <f>[2]CZ_decarbplus_opex!AO42</f>
        <v>0</v>
      </c>
      <c r="AY42" s="188">
        <f>[2]CZ_decarbplus_opex!AP42</f>
        <v>3.1099999999999999E-6</v>
      </c>
      <c r="AZ42" s="188">
        <f>[2]CZ_decarbplus_opex!AQ42</f>
        <v>0</v>
      </c>
      <c r="BA42" s="188">
        <f>[2]CZ_decarbplus_opex!AR42</f>
        <v>5.8400000000000004E-7</v>
      </c>
      <c r="BB42" s="188">
        <f>[2]CZ_decarbplus_opex!AS42</f>
        <v>8.3699999999999999E-7</v>
      </c>
      <c r="BC42" s="188">
        <f>[2]CZ_decarbplus_opex!AT42</f>
        <v>1.66E-6</v>
      </c>
      <c r="BD42" s="188">
        <f>[2]CZ_decarbplus_opex!AU42</f>
        <v>2.1500000000000002E-6</v>
      </c>
      <c r="BE42" s="188">
        <f>[2]CZ_decarbplus_opex!AV42</f>
        <v>2.04E-6</v>
      </c>
      <c r="BF42" s="188">
        <f>[2]CZ_decarbplus_opex!AW42</f>
        <v>1.13E-6</v>
      </c>
      <c r="BG42" s="188">
        <f>[2]CZ_decarbplus_opex!AX42</f>
        <v>4.3800000000000001E-5</v>
      </c>
      <c r="BH42" s="188">
        <f>[3]CZ_decarb_opex!I42</f>
        <v>1.53241572193619E-6</v>
      </c>
      <c r="BI42" s="188">
        <f>[2]CZ_decarbplus_opex!AY42</f>
        <v>1.44E-6</v>
      </c>
      <c r="BJ42" s="188">
        <f>[2]CZ_decarbplus_opex!AZ42</f>
        <v>4.16E-6</v>
      </c>
      <c r="BK42" s="188">
        <f>[2]CZ_decarbplus_opex!BA42</f>
        <v>1.9999999999999999E-6</v>
      </c>
      <c r="BL42" s="188">
        <f>[2]CZ_decarbplus_opex!BB42</f>
        <v>0</v>
      </c>
      <c r="BM42" s="188">
        <f>[3]CZ_decarb_opex!J42</f>
        <v>8.6917305098168E-7</v>
      </c>
      <c r="BN42" s="188">
        <f>[3]CZ_decarb_opex!K42</f>
        <v>4.5104610627546901E-6</v>
      </c>
      <c r="BO42" s="188">
        <f>[3]CZ_decarb_opex!L42</f>
        <v>3.2363257336780501E-7</v>
      </c>
      <c r="BP42" s="188">
        <f>[3]CZ_decarb_opex!M42</f>
        <v>4.8669753512952297E-7</v>
      </c>
      <c r="BQ42" s="188">
        <f>[3]CZ_decarb_opex!N42</f>
        <v>5.2968353743399605E-7</v>
      </c>
      <c r="BR42" s="188">
        <f>[3]CZ_decarb_opex!O42</f>
        <v>1.62037678778242E-7</v>
      </c>
      <c r="BS42" s="188">
        <f>[3]CZ_decarb_opex!P42</f>
        <v>7.5261851836934203E-6</v>
      </c>
      <c r="BT42" s="188">
        <f>[3]CZ_decarb_opex!Q42</f>
        <v>3.72837031091361E-7</v>
      </c>
      <c r="BU42" s="188">
        <f>[3]CZ_decarb_opex!R42</f>
        <v>1.9172663076015999E-7</v>
      </c>
      <c r="BV42" s="188">
        <f>[3]CZ_decarb_opex!S42</f>
        <v>1.9172663076015999E-7</v>
      </c>
      <c r="BW42" s="188">
        <f>[3]CZ_decarb_opex!T42</f>
        <v>4.3298511617304499E-6</v>
      </c>
      <c r="BX42" s="188">
        <f>[3]CZ_decarb_opex!U42</f>
        <v>3.7581093396848601E-7</v>
      </c>
      <c r="BY42" s="188">
        <f>[3]CZ_decarb_opex!V42</f>
        <v>3.5018550971023601E-6</v>
      </c>
      <c r="BZ42" s="188">
        <f>[2]CZ_decarbplus_opex!BC42</f>
        <v>6.9100000000000003E-7</v>
      </c>
      <c r="CA42" s="188">
        <f>[2]CZ_decarbplus_opex!BD42</f>
        <v>4.1600000000000002E-7</v>
      </c>
      <c r="CB42" s="188">
        <f>[2]CZ_decarbplus_opex!BE42</f>
        <v>5.7800000000000001E-7</v>
      </c>
      <c r="CC42" s="188">
        <f>[2]CZ_decarbplus_opex!BF42</f>
        <v>5.2900000000000004E-7</v>
      </c>
      <c r="CD42" s="188">
        <f>[2]CZ_decarbplus_opex!BG42</f>
        <v>3.3799999999999998E-6</v>
      </c>
      <c r="CE42" s="188">
        <f>[2]CZ_decarbplus_opex!BH42</f>
        <v>3.46E-7</v>
      </c>
      <c r="CF42" s="188">
        <f>[2]CZ_decarbplus_opex!BI42</f>
        <v>6.75E-7</v>
      </c>
      <c r="CG42" s="188">
        <f>[2]CZ_decarbplus_opex!BJ42</f>
        <v>2.0200000000000001E-7</v>
      </c>
    </row>
    <row r="43" spans="1:85" x14ac:dyDescent="0.25">
      <c r="A43" s="5" t="s">
        <v>105</v>
      </c>
      <c r="B43" s="2" t="s">
        <v>104</v>
      </c>
      <c r="C43" s="1" t="s">
        <v>327</v>
      </c>
      <c r="D43" s="187">
        <f>[2]CZ_decarbplus_opex!B43</f>
        <v>1.23316E-4</v>
      </c>
      <c r="E43" s="187">
        <f>[2]CZ_decarbplus_opex!C43</f>
        <v>2.7858400000000001E-4</v>
      </c>
      <c r="F43" s="187">
        <f>[2]CZ_decarbplus_opex!D43</f>
        <v>1.5179010000000001E-3</v>
      </c>
      <c r="G43" s="187">
        <f>[2]CZ_decarbplus_opex!E43</f>
        <v>1.95E-5</v>
      </c>
      <c r="H43" s="187">
        <f>[2]CZ_decarbplus_opex!F43</f>
        <v>3.5700000000000001E-6</v>
      </c>
      <c r="I43" s="187">
        <f>[2]CZ_decarbplus_opex!G43</f>
        <v>3.4058500000000002E-4</v>
      </c>
      <c r="J43" s="187">
        <f>[2]CZ_decarbplus_opex!H43</f>
        <v>7.1799999999999997E-5</v>
      </c>
      <c r="K43" s="187">
        <f>[2]CZ_decarbplus_opex!I43</f>
        <v>1.6399999999999999E-5</v>
      </c>
      <c r="L43" s="187">
        <f>[2]CZ_decarbplus_opex!J43</f>
        <v>2.3160490000000001E-3</v>
      </c>
      <c r="M43" s="187">
        <f>[2]CZ_decarbplus_opex!K43</f>
        <v>1.069717E-3</v>
      </c>
      <c r="N43" s="187">
        <f>[2]CZ_decarbplus_opex!L43</f>
        <v>7.0145099999999996E-4</v>
      </c>
      <c r="O43" s="187">
        <f>[2]CZ_decarbplus_opex!M43</f>
        <v>2.05668E-4</v>
      </c>
      <c r="P43" s="187">
        <f>[2]CZ_decarbplus_opex!N43</f>
        <v>5.8100000000000003E-5</v>
      </c>
      <c r="Q43" s="187">
        <f>[2]CZ_decarbplus_opex!O43</f>
        <v>2.2900000000000001E-5</v>
      </c>
      <c r="R43" s="187">
        <f>[2]CZ_decarbplus_opex!P43</f>
        <v>2.8E-5</v>
      </c>
      <c r="S43" s="187">
        <f>[2]CZ_decarbplus_opex!Q43</f>
        <v>1.0900000000000001E-5</v>
      </c>
      <c r="T43" s="187">
        <f>[2]CZ_decarbplus_opex!R43</f>
        <v>1.8300000000000001E-5</v>
      </c>
      <c r="U43" s="187">
        <f>[2]CZ_decarbplus_opex!S43</f>
        <v>1.2500000000000001E-5</v>
      </c>
      <c r="V43" s="187">
        <f>[2]CZ_decarbplus_opex!T43</f>
        <v>1.4800000000000001E-5</v>
      </c>
      <c r="W43" s="187">
        <f>[2]CZ_decarbplus_opex!U43</f>
        <v>8.7399999999999993E-6</v>
      </c>
      <c r="X43" s="187">
        <f>[2]CZ_decarbplus_opex!V43</f>
        <v>1.0200000000000001E-5</v>
      </c>
      <c r="Y43" s="187">
        <f>[2]CZ_decarbplus_opex!W43</f>
        <v>8.14E-6</v>
      </c>
      <c r="Z43" s="187">
        <f>[2]CZ_decarbplus_opex!X43</f>
        <v>9.3200000000000006E-6</v>
      </c>
      <c r="AA43" s="187">
        <f>[2]CZ_decarbplus_opex!Y43</f>
        <v>2.2200000000000001E-5</v>
      </c>
      <c r="AB43" s="188">
        <f>[3]CZ_decarb_opex!B43</f>
        <v>4.3235524219791499E-5</v>
      </c>
      <c r="AC43" s="188">
        <f>[3]CZ_decarb_opex!C43</f>
        <v>6.1802105681910396E-5</v>
      </c>
      <c r="AD43" s="188">
        <f>[3]CZ_decarb_opex!D43</f>
        <v>2.2628106915426501E-5</v>
      </c>
      <c r="AE43" s="188">
        <f>[2]CZ_decarbplus_opex!Z43</f>
        <v>1.98E-5</v>
      </c>
      <c r="AF43" s="188">
        <f>[2]CZ_decarbplus_opex!AA43</f>
        <v>7.4400000000000006E-5</v>
      </c>
      <c r="AG43" s="188">
        <f>[2]CZ_decarbplus_opex!AB43</f>
        <v>2.6400000000000001E-5</v>
      </c>
      <c r="AH43" s="188">
        <f>[2]CZ_decarbplus_opex!AC43</f>
        <v>1.6200000000000001E-5</v>
      </c>
      <c r="AI43" s="188">
        <f>[2]CZ_decarbplus_opex!AD43</f>
        <v>1.2E-5</v>
      </c>
      <c r="AJ43" s="188">
        <f>[2]CZ_decarbplus_opex!AE43</f>
        <v>1.03E-5</v>
      </c>
      <c r="AK43" s="188">
        <f>[2]CZ_decarbplus_opex!AF43</f>
        <v>1.6799999999999998E-5</v>
      </c>
      <c r="AL43" s="188">
        <f>[3]CZ_decarb_opex!E43</f>
        <v>8.8324777328697697E-6</v>
      </c>
      <c r="AM43" s="188">
        <f>[3]CZ_decarb_opex!F43</f>
        <v>1.11937355994483E-5</v>
      </c>
      <c r="AN43" s="188">
        <f>[2]CZ_decarbplus_opex!AG43</f>
        <v>1.42E-5</v>
      </c>
      <c r="AO43" s="188">
        <f>[3]CZ_decarb_opex!G43</f>
        <v>1.0988654687501399E-5</v>
      </c>
      <c r="AP43" s="188">
        <f>[3]CZ_decarb_opex!H43</f>
        <v>1.24509747716503E-5</v>
      </c>
      <c r="AQ43" s="188">
        <f>[2]CZ_decarbplus_opex!AH43</f>
        <v>1.3200000000000001E-5</v>
      </c>
      <c r="AR43" s="188">
        <f>[2]CZ_decarbplus_opex!AI43</f>
        <v>0</v>
      </c>
      <c r="AS43" s="188">
        <f>[2]CZ_decarbplus_opex!AJ43</f>
        <v>1.4399999999999999E-5</v>
      </c>
      <c r="AT43" s="188">
        <f>[2]CZ_decarbplus_opex!AK43</f>
        <v>1.24E-5</v>
      </c>
      <c r="AU43" s="188">
        <f>[2]CZ_decarbplus_opex!AL43</f>
        <v>6.1099999999999999E-6</v>
      </c>
      <c r="AV43" s="188">
        <f>[2]CZ_decarbplus_opex!AM43</f>
        <v>4.2599999999999999E-6</v>
      </c>
      <c r="AW43" s="188">
        <f>[2]CZ_decarbplus_opex!AN43</f>
        <v>4.0599999999999998E-5</v>
      </c>
      <c r="AX43" s="188">
        <f>[2]CZ_decarbplus_opex!AO43</f>
        <v>0</v>
      </c>
      <c r="AY43" s="188">
        <f>[2]CZ_decarbplus_opex!AP43</f>
        <v>2.9E-5</v>
      </c>
      <c r="AZ43" s="188">
        <f>[2]CZ_decarbplus_opex!AQ43</f>
        <v>0</v>
      </c>
      <c r="BA43" s="188">
        <f>[2]CZ_decarbplus_opex!AR43</f>
        <v>9.1800000000000002E-6</v>
      </c>
      <c r="BB43" s="188">
        <f>[2]CZ_decarbplus_opex!AS43</f>
        <v>8.0499999999999992E-6</v>
      </c>
      <c r="BC43" s="188">
        <f>[2]CZ_decarbplus_opex!AT43</f>
        <v>1.0200000000000001E-5</v>
      </c>
      <c r="BD43" s="188">
        <f>[2]CZ_decarbplus_opex!AU43</f>
        <v>2.16E-5</v>
      </c>
      <c r="BE43" s="188">
        <f>[2]CZ_decarbplus_opex!AV43</f>
        <v>8.6400000000000003E-6</v>
      </c>
      <c r="BF43" s="188">
        <f>[2]CZ_decarbplus_opex!AW43</f>
        <v>6.9800000000000001E-6</v>
      </c>
      <c r="BG43" s="188">
        <f>[2]CZ_decarbplus_opex!AX43</f>
        <v>1.56E-5</v>
      </c>
      <c r="BH43" s="188">
        <f>[3]CZ_decarb_opex!I43</f>
        <v>8.7466409082964107E-6</v>
      </c>
      <c r="BI43" s="188">
        <f>[2]CZ_decarbplus_opex!AY43</f>
        <v>9.1500000000000005E-6</v>
      </c>
      <c r="BJ43" s="188">
        <f>[2]CZ_decarbplus_opex!AZ43</f>
        <v>1.2799999999999999E-5</v>
      </c>
      <c r="BK43" s="188">
        <f>[2]CZ_decarbplus_opex!BA43</f>
        <v>3.3699999999999999E-5</v>
      </c>
      <c r="BL43" s="188">
        <f>[2]CZ_decarbplus_opex!BB43</f>
        <v>0</v>
      </c>
      <c r="BM43" s="188">
        <f>[3]CZ_decarb_opex!J43</f>
        <v>8.5428240751972993E-6</v>
      </c>
      <c r="BN43" s="188">
        <f>[3]CZ_decarb_opex!K43</f>
        <v>2.5006533804589701E-5</v>
      </c>
      <c r="BO43" s="188">
        <f>[3]CZ_decarb_opex!L43</f>
        <v>3.31115380479307E-6</v>
      </c>
      <c r="BP43" s="188">
        <f>[3]CZ_decarb_opex!M43</f>
        <v>1.1590891887562799E-5</v>
      </c>
      <c r="BQ43" s="188">
        <f>[3]CZ_decarb_opex!N43</f>
        <v>8.2143081086572006E-6</v>
      </c>
      <c r="BR43" s="188">
        <f>[3]CZ_decarb_opex!O43</f>
        <v>8.63197207354356E-7</v>
      </c>
      <c r="BS43" s="188">
        <f>[3]CZ_decarb_opex!P43</f>
        <v>3.50198373864013E-5</v>
      </c>
      <c r="BT43" s="188">
        <f>[3]CZ_decarb_opex!Q43</f>
        <v>5.2326166208617902E-6</v>
      </c>
      <c r="BU43" s="188">
        <f>[3]CZ_decarb_opex!R43</f>
        <v>3.1927490520525999E-6</v>
      </c>
      <c r="BV43" s="188">
        <f>[3]CZ_decarb_opex!S43</f>
        <v>3.1927490520525902E-6</v>
      </c>
      <c r="BW43" s="188">
        <f>[3]CZ_decarb_opex!T43</f>
        <v>4.9330537853015198E-6</v>
      </c>
      <c r="BX43" s="188">
        <f>[3]CZ_decarb_opex!U43</f>
        <v>1.14151853502777E-6</v>
      </c>
      <c r="BY43" s="188">
        <f>[3]CZ_decarb_opex!V43</f>
        <v>8.6703238164700997E-6</v>
      </c>
      <c r="BZ43" s="188">
        <f>[2]CZ_decarbplus_opex!BC43</f>
        <v>1.11E-5</v>
      </c>
      <c r="CA43" s="188">
        <f>[2]CZ_decarbplus_opex!BD43</f>
        <v>5.6500000000000001E-6</v>
      </c>
      <c r="CB43" s="188">
        <f>[2]CZ_decarbplus_opex!BE43</f>
        <v>5.8499999999999999E-6</v>
      </c>
      <c r="CC43" s="188">
        <f>[2]CZ_decarbplus_opex!BF43</f>
        <v>5.4E-6</v>
      </c>
      <c r="CD43" s="188">
        <f>[2]CZ_decarbplus_opex!BG43</f>
        <v>2.0800000000000001E-5</v>
      </c>
      <c r="CE43" s="188">
        <f>[2]CZ_decarbplus_opex!BH43</f>
        <v>8.4700000000000002E-6</v>
      </c>
      <c r="CF43" s="188">
        <f>[2]CZ_decarbplus_opex!BI43</f>
        <v>4.8400000000000002E-6</v>
      </c>
      <c r="CG43" s="188">
        <f>[2]CZ_decarbplus_opex!BJ43</f>
        <v>6.5699999999999998E-6</v>
      </c>
    </row>
    <row r="44" spans="1:85" x14ac:dyDescent="0.25">
      <c r="A44" s="5" t="s">
        <v>107</v>
      </c>
      <c r="B44" s="2" t="s">
        <v>106</v>
      </c>
      <c r="C44" s="1" t="s">
        <v>327</v>
      </c>
      <c r="D44" s="187">
        <f>[2]CZ_decarbplus_opex!B44</f>
        <v>8.0256990000000007E-3</v>
      </c>
      <c r="E44" s="187">
        <f>[2]CZ_decarbplus_opex!C44</f>
        <v>1.9785009999999999E-2</v>
      </c>
      <c r="F44" s="187">
        <f>[2]CZ_decarbplus_opex!D44</f>
        <v>0.109782162</v>
      </c>
      <c r="G44" s="187">
        <f>[2]CZ_decarbplus_opex!E44</f>
        <v>1.0122300000000001E-2</v>
      </c>
      <c r="H44" s="187">
        <f>[2]CZ_decarbplus_opex!F44</f>
        <v>4.0099999999999999E-5</v>
      </c>
      <c r="I44" s="187">
        <f>[2]CZ_decarbplus_opex!G44</f>
        <v>3.5431526999999997E-2</v>
      </c>
      <c r="J44" s="187">
        <f>[2]CZ_decarbplus_opex!H44</f>
        <v>4.2870255000000003E-2</v>
      </c>
      <c r="K44" s="187">
        <f>[2]CZ_decarbplus_opex!I44</f>
        <v>1.5729399999999999E-4</v>
      </c>
      <c r="L44" s="187">
        <f>[2]CZ_decarbplus_opex!J44</f>
        <v>0.161484077</v>
      </c>
      <c r="M44" s="187">
        <f>[2]CZ_decarbplus_opex!K44</f>
        <v>2.7793314E-2</v>
      </c>
      <c r="N44" s="187">
        <f>[2]CZ_decarbplus_opex!L44</f>
        <v>3.1211928999999999E-2</v>
      </c>
      <c r="O44" s="187">
        <f>[2]CZ_decarbplus_opex!M44</f>
        <v>1.3545269999999999E-3</v>
      </c>
      <c r="P44" s="187">
        <f>[2]CZ_decarbplus_opex!N44</f>
        <v>4.2962399999999998E-4</v>
      </c>
      <c r="Q44" s="187">
        <f>[2]CZ_decarbplus_opex!O44</f>
        <v>2.2720600000000001E-4</v>
      </c>
      <c r="R44" s="187">
        <f>[2]CZ_decarbplus_opex!P44</f>
        <v>7.1587899999999999E-4</v>
      </c>
      <c r="S44" s="187">
        <f>[2]CZ_decarbplus_opex!Q44</f>
        <v>1.07475E-4</v>
      </c>
      <c r="T44" s="187">
        <f>[2]CZ_decarbplus_opex!R44</f>
        <v>1.8813900000000001E-4</v>
      </c>
      <c r="U44" s="187">
        <f>[2]CZ_decarbplus_opex!S44</f>
        <v>2.2156399999999999E-4</v>
      </c>
      <c r="V44" s="187">
        <f>[2]CZ_decarbplus_opex!T44</f>
        <v>2.39025E-4</v>
      </c>
      <c r="W44" s="187">
        <f>[2]CZ_decarbplus_opex!U44</f>
        <v>1.8782400000000001E-4</v>
      </c>
      <c r="X44" s="187">
        <f>[2]CZ_decarbplus_opex!V44</f>
        <v>4.4826300000000001E-4</v>
      </c>
      <c r="Y44" s="187">
        <f>[2]CZ_decarbplus_opex!W44</f>
        <v>8.9699999999999998E-5</v>
      </c>
      <c r="Z44" s="187">
        <f>[2]CZ_decarbplus_opex!X44</f>
        <v>1.3265299999999999E-4</v>
      </c>
      <c r="AA44" s="187">
        <f>[2]CZ_decarbplus_opex!Y44</f>
        <v>2.7860599999999998E-4</v>
      </c>
      <c r="AB44" s="188">
        <f>[3]CZ_decarb_opex!B44</f>
        <v>5.4931201256912601E-4</v>
      </c>
      <c r="AC44" s="188">
        <f>[3]CZ_decarb_opex!C44</f>
        <v>6.8883279066313903E-4</v>
      </c>
      <c r="AD44" s="188">
        <f>[3]CZ_decarb_opex!D44</f>
        <v>2.16133726746049E-4</v>
      </c>
      <c r="AE44" s="188">
        <f>[2]CZ_decarbplus_opex!Z44</f>
        <v>1.8882099999999999E-4</v>
      </c>
      <c r="AF44" s="188">
        <f>[2]CZ_decarbplus_opex!AA44</f>
        <v>2.1562339999999999E-3</v>
      </c>
      <c r="AG44" s="188">
        <f>[2]CZ_decarbplus_opex!AB44</f>
        <v>3.7051299999999999E-4</v>
      </c>
      <c r="AH44" s="188">
        <f>[2]CZ_decarbplus_opex!AC44</f>
        <v>1.2026E-4</v>
      </c>
      <c r="AI44" s="188">
        <f>[2]CZ_decarbplus_opex!AD44</f>
        <v>1.6354499999999999E-4</v>
      </c>
      <c r="AJ44" s="188">
        <f>[2]CZ_decarbplus_opex!AE44</f>
        <v>1.6430000000000001E-4</v>
      </c>
      <c r="AK44" s="188">
        <f>[2]CZ_decarbplus_opex!AF44</f>
        <v>2.5861100000000001E-4</v>
      </c>
      <c r="AL44" s="188">
        <f>[3]CZ_decarb_opex!E44</f>
        <v>1.8575375675936999E-4</v>
      </c>
      <c r="AM44" s="188">
        <f>[3]CZ_decarb_opex!F44</f>
        <v>2.18608532328113E-4</v>
      </c>
      <c r="AN44" s="188">
        <f>[2]CZ_decarbplus_opex!AG44</f>
        <v>2.2257399999999999E-4</v>
      </c>
      <c r="AO44" s="188">
        <f>[3]CZ_decarb_opex!G44</f>
        <v>8.3854560403720201E-5</v>
      </c>
      <c r="AP44" s="188">
        <f>[3]CZ_decarb_opex!H44</f>
        <v>1.13617993927235E-4</v>
      </c>
      <c r="AQ44" s="188">
        <f>[2]CZ_decarbplus_opex!AH44</f>
        <v>1.7784300000000001E-4</v>
      </c>
      <c r="AR44" s="188">
        <f>[2]CZ_decarbplus_opex!AI44</f>
        <v>0</v>
      </c>
      <c r="AS44" s="188">
        <f>[2]CZ_decarbplus_opex!AJ44</f>
        <v>1.7501600000000001E-4</v>
      </c>
      <c r="AT44" s="188">
        <f>[2]CZ_decarbplus_opex!AK44</f>
        <v>1.48364E-4</v>
      </c>
      <c r="AU44" s="188">
        <f>[2]CZ_decarbplus_opex!AL44</f>
        <v>6.3600000000000001E-5</v>
      </c>
      <c r="AV44" s="188">
        <f>[2]CZ_decarbplus_opex!AM44</f>
        <v>5.7500000000000002E-5</v>
      </c>
      <c r="AW44" s="188">
        <f>[2]CZ_decarbplus_opex!AN44</f>
        <v>1.6541200000000001E-4</v>
      </c>
      <c r="AX44" s="188">
        <f>[2]CZ_decarbplus_opex!AO44</f>
        <v>0</v>
      </c>
      <c r="AY44" s="188">
        <f>[2]CZ_decarbplus_opex!AP44</f>
        <v>3.1476200000000001E-4</v>
      </c>
      <c r="AZ44" s="188">
        <f>[2]CZ_decarbplus_opex!AQ44</f>
        <v>0</v>
      </c>
      <c r="BA44" s="188">
        <f>[2]CZ_decarbplus_opex!AR44</f>
        <v>1.07361E-4</v>
      </c>
      <c r="BB44" s="188">
        <f>[2]CZ_decarbplus_opex!AS44</f>
        <v>3.3301199999999999E-4</v>
      </c>
      <c r="BC44" s="188">
        <f>[2]CZ_decarbplus_opex!AT44</f>
        <v>1.2359E-4</v>
      </c>
      <c r="BD44" s="188">
        <f>[2]CZ_decarbplus_opex!AU44</f>
        <v>1.7128900000000001E-4</v>
      </c>
      <c r="BE44" s="188">
        <f>[2]CZ_decarbplus_opex!AV44</f>
        <v>7.5799999999999999E-5</v>
      </c>
      <c r="BF44" s="188">
        <f>[2]CZ_decarbplus_opex!AW44</f>
        <v>5.41E-5</v>
      </c>
      <c r="BG44" s="188">
        <f>[2]CZ_decarbplus_opex!AX44</f>
        <v>8.4106299999999997E-4</v>
      </c>
      <c r="BH44" s="188">
        <f>[3]CZ_decarb_opex!I44</f>
        <v>1.01331409118245E-4</v>
      </c>
      <c r="BI44" s="188">
        <f>[2]CZ_decarbplus_opex!AY44</f>
        <v>8.0099999999999995E-5</v>
      </c>
      <c r="BJ44" s="188">
        <f>[2]CZ_decarbplus_opex!AZ44</f>
        <v>1.7908999999999999E-4</v>
      </c>
      <c r="BK44" s="188">
        <f>[2]CZ_decarbplus_opex!BA44</f>
        <v>2.4872639999999999E-3</v>
      </c>
      <c r="BL44" s="188">
        <f>[2]CZ_decarbplus_opex!BB44</f>
        <v>0</v>
      </c>
      <c r="BM44" s="188">
        <f>[3]CZ_decarb_opex!J44</f>
        <v>3.2488835516578302E-4</v>
      </c>
      <c r="BN44" s="188">
        <f>[3]CZ_decarb_opex!K44</f>
        <v>3.7744577211497099E-4</v>
      </c>
      <c r="BO44" s="188">
        <f>[3]CZ_decarb_opex!L44</f>
        <v>1.57976033023162E-4</v>
      </c>
      <c r="BP44" s="188">
        <f>[3]CZ_decarb_opex!M44</f>
        <v>1.3958039912495199E-4</v>
      </c>
      <c r="BQ44" s="188">
        <f>[3]CZ_decarb_opex!N44</f>
        <v>1.6985209600038699E-4</v>
      </c>
      <c r="BR44" s="188">
        <f>[3]CZ_decarb_opex!O44</f>
        <v>1.2302907880213199E-5</v>
      </c>
      <c r="BS44" s="188">
        <f>[3]CZ_decarb_opex!P44</f>
        <v>6.1884500758940201E-4</v>
      </c>
      <c r="BT44" s="188">
        <f>[3]CZ_decarb_opex!Q44</f>
        <v>6.3701674300512906E-5</v>
      </c>
      <c r="BU44" s="188">
        <f>[3]CZ_decarb_opex!R44</f>
        <v>5.1545580031620901E-5</v>
      </c>
      <c r="BV44" s="188">
        <f>[3]CZ_decarb_opex!S44</f>
        <v>5.1545580031620799E-5</v>
      </c>
      <c r="BW44" s="188">
        <f>[3]CZ_decarb_opex!T44</f>
        <v>2.36204066609458E-4</v>
      </c>
      <c r="BX44" s="188">
        <f>[3]CZ_decarb_opex!U44</f>
        <v>5.7077820250907299E-5</v>
      </c>
      <c r="BY44" s="188">
        <f>[3]CZ_decarb_opex!V44</f>
        <v>3.22187466275605E-5</v>
      </c>
      <c r="BZ44" s="188">
        <f>[2]CZ_decarbplus_opex!BC44</f>
        <v>2.5594799999999998E-4</v>
      </c>
      <c r="CA44" s="188">
        <f>[2]CZ_decarbplus_opex!BD44</f>
        <v>2.3649899999999999E-4</v>
      </c>
      <c r="CB44" s="188">
        <f>[2]CZ_decarbplus_opex!BE44</f>
        <v>3.3465300000000002E-4</v>
      </c>
      <c r="CC44" s="188">
        <f>[2]CZ_decarbplus_opex!BF44</f>
        <v>1.6463200000000001E-4</v>
      </c>
      <c r="CD44" s="188">
        <f>[2]CZ_decarbplus_opex!BG44</f>
        <v>1.08519E-3</v>
      </c>
      <c r="CE44" s="188">
        <f>[2]CZ_decarbplus_opex!BH44</f>
        <v>2.2729799999999999E-4</v>
      </c>
      <c r="CF44" s="188">
        <f>[2]CZ_decarbplus_opex!BI44</f>
        <v>1.6262000000000001E-4</v>
      </c>
      <c r="CG44" s="188">
        <f>[2]CZ_decarbplus_opex!BJ44</f>
        <v>6.3999999999999997E-5</v>
      </c>
    </row>
    <row r="45" spans="1:85" x14ac:dyDescent="0.25">
      <c r="A45" s="5" t="s">
        <v>109</v>
      </c>
      <c r="B45" s="2" t="s">
        <v>108</v>
      </c>
      <c r="C45" s="1" t="s">
        <v>327</v>
      </c>
      <c r="D45" s="187">
        <f>[2]CZ_decarbplus_opex!B45</f>
        <v>2.5243459999999998E-3</v>
      </c>
      <c r="E45" s="187">
        <f>[2]CZ_decarbplus_opex!C45</f>
        <v>5.7192889999999998E-3</v>
      </c>
      <c r="F45" s="187">
        <f>[2]CZ_decarbplus_opex!D45</f>
        <v>3.6702515999999998E-2</v>
      </c>
      <c r="G45" s="187">
        <f>[2]CZ_decarbplus_opex!E45</f>
        <v>3.3268300000000001E-4</v>
      </c>
      <c r="H45" s="187">
        <f>[2]CZ_decarbplus_opex!F45</f>
        <v>2.19E-5</v>
      </c>
      <c r="I45" s="187">
        <f>[2]CZ_decarbplus_opex!G45</f>
        <v>3.051762E-3</v>
      </c>
      <c r="J45" s="187">
        <f>[2]CZ_decarbplus_opex!H45</f>
        <v>8.0949899999999998E-4</v>
      </c>
      <c r="K45" s="187">
        <f>[2]CZ_decarbplus_opex!I45</f>
        <v>4.6300000000000001E-5</v>
      </c>
      <c r="L45" s="187">
        <f>[2]CZ_decarbplus_opex!J45</f>
        <v>5.8803144000000002E-2</v>
      </c>
      <c r="M45" s="187">
        <f>[2]CZ_decarbplus_opex!K45</f>
        <v>2.50079E-2</v>
      </c>
      <c r="N45" s="187">
        <f>[2]CZ_decarbplus_opex!L45</f>
        <v>1.1650456999999999E-2</v>
      </c>
      <c r="O45" s="187">
        <f>[2]CZ_decarbplus_opex!M45</f>
        <v>4.0178460000000003E-3</v>
      </c>
      <c r="P45" s="187">
        <f>[2]CZ_decarbplus_opex!N45</f>
        <v>9.5461500000000002E-4</v>
      </c>
      <c r="Q45" s="187">
        <f>[2]CZ_decarbplus_opex!O45</f>
        <v>1.2906699999999999E-4</v>
      </c>
      <c r="R45" s="187">
        <f>[2]CZ_decarbplus_opex!P45</f>
        <v>5.8862200000000002E-4</v>
      </c>
      <c r="S45" s="187">
        <f>[2]CZ_decarbplus_opex!Q45</f>
        <v>5.9500000000000003E-5</v>
      </c>
      <c r="T45" s="187">
        <f>[2]CZ_decarbplus_opex!R45</f>
        <v>1.06184E-4</v>
      </c>
      <c r="U45" s="187">
        <f>[2]CZ_decarbplus_opex!S45</f>
        <v>1.6106200000000001E-4</v>
      </c>
      <c r="V45" s="187">
        <f>[2]CZ_decarbplus_opex!T45</f>
        <v>1.77307E-4</v>
      </c>
      <c r="W45" s="187">
        <f>[2]CZ_decarbplus_opex!U45</f>
        <v>1.4071999999999999E-4</v>
      </c>
      <c r="X45" s="187">
        <f>[2]CZ_decarbplus_opex!V45</f>
        <v>8.25E-5</v>
      </c>
      <c r="Y45" s="187">
        <f>[2]CZ_decarbplus_opex!W45</f>
        <v>5.13E-5</v>
      </c>
      <c r="Z45" s="187">
        <f>[2]CZ_decarbplus_opex!X45</f>
        <v>8.03E-5</v>
      </c>
      <c r="AA45" s="187">
        <f>[2]CZ_decarbplus_opex!Y45</f>
        <v>1.6537400000000001E-4</v>
      </c>
      <c r="AB45" s="188">
        <f>[3]CZ_decarb_opex!B45</f>
        <v>4.0549841286129199E-4</v>
      </c>
      <c r="AC45" s="188">
        <f>[3]CZ_decarb_opex!C45</f>
        <v>5.6970768009780601E-4</v>
      </c>
      <c r="AD45" s="188">
        <f>[3]CZ_decarb_opex!D45</f>
        <v>1.65984705481639E-4</v>
      </c>
      <c r="AE45" s="188">
        <f>[2]CZ_decarbplus_opex!Z45</f>
        <v>1.4840900000000001E-4</v>
      </c>
      <c r="AF45" s="188">
        <f>[2]CZ_decarbplus_opex!AA45</f>
        <v>1.7883129999999999E-3</v>
      </c>
      <c r="AG45" s="188">
        <f>[2]CZ_decarbplus_opex!AB45</f>
        <v>2.4007299999999999E-4</v>
      </c>
      <c r="AH45" s="188">
        <f>[2]CZ_decarbplus_opex!AC45</f>
        <v>5.5000000000000002E-5</v>
      </c>
      <c r="AI45" s="188">
        <f>[2]CZ_decarbplus_opex!AD45</f>
        <v>9.7800000000000006E-5</v>
      </c>
      <c r="AJ45" s="188">
        <f>[2]CZ_decarbplus_opex!AE45</f>
        <v>7.1299999999999998E-5</v>
      </c>
      <c r="AK45" s="188">
        <f>[2]CZ_decarbplus_opex!AF45</f>
        <v>1.5101599999999999E-4</v>
      </c>
      <c r="AL45" s="188">
        <f>[3]CZ_decarb_opex!E45</f>
        <v>6.8138125223026803E-5</v>
      </c>
      <c r="AM45" s="188">
        <f>[3]CZ_decarb_opex!F45</f>
        <v>8.8794775514604998E-5</v>
      </c>
      <c r="AN45" s="188">
        <f>[2]CZ_decarbplus_opex!AG45</f>
        <v>1.5438100000000001E-4</v>
      </c>
      <c r="AO45" s="188">
        <f>[3]CZ_decarb_opex!G45</f>
        <v>5.03635435534127E-5</v>
      </c>
      <c r="AP45" s="188">
        <f>[3]CZ_decarb_opex!H45</f>
        <v>6.8591698039085499E-5</v>
      </c>
      <c r="AQ45" s="188">
        <f>[2]CZ_decarbplus_opex!AH45</f>
        <v>1.20494E-4</v>
      </c>
      <c r="AR45" s="188">
        <f>[2]CZ_decarbplus_opex!AI45</f>
        <v>0</v>
      </c>
      <c r="AS45" s="188">
        <f>[2]CZ_decarbplus_opex!AJ45</f>
        <v>1.16502E-4</v>
      </c>
      <c r="AT45" s="188">
        <f>[2]CZ_decarbplus_opex!AK45</f>
        <v>9.7800000000000006E-5</v>
      </c>
      <c r="AU45" s="188">
        <f>[2]CZ_decarbplus_opex!AL45</f>
        <v>4.3900000000000003E-5</v>
      </c>
      <c r="AV45" s="188">
        <f>[2]CZ_decarbplus_opex!AM45</f>
        <v>3.6999999999999998E-5</v>
      </c>
      <c r="AW45" s="188">
        <f>[2]CZ_decarbplus_opex!AN45</f>
        <v>8.5000000000000006E-5</v>
      </c>
      <c r="AX45" s="188">
        <f>[2]CZ_decarbplus_opex!AO45</f>
        <v>0</v>
      </c>
      <c r="AY45" s="188">
        <f>[2]CZ_decarbplus_opex!AP45</f>
        <v>1.95687E-4</v>
      </c>
      <c r="AZ45" s="188">
        <f>[2]CZ_decarbplus_opex!AQ45</f>
        <v>0</v>
      </c>
      <c r="BA45" s="188">
        <f>[2]CZ_decarbplus_opex!AR45</f>
        <v>5.9299999999999998E-5</v>
      </c>
      <c r="BB45" s="188">
        <f>[2]CZ_decarbplus_opex!AS45</f>
        <v>2.8046499999999998E-4</v>
      </c>
      <c r="BC45" s="188">
        <f>[2]CZ_decarbplus_opex!AT45</f>
        <v>7.1799999999999997E-5</v>
      </c>
      <c r="BD45" s="188">
        <f>[2]CZ_decarbplus_opex!AU45</f>
        <v>7.8999999999999996E-5</v>
      </c>
      <c r="BE45" s="188">
        <f>[2]CZ_decarbplus_opex!AV45</f>
        <v>3.9499999999999998E-5</v>
      </c>
      <c r="BF45" s="188">
        <f>[2]CZ_decarbplus_opex!AW45</f>
        <v>2.9499999999999999E-5</v>
      </c>
      <c r="BG45" s="188">
        <f>[2]CZ_decarbplus_opex!AX45</f>
        <v>2.5577500000000002E-4</v>
      </c>
      <c r="BH45" s="188">
        <f>[3]CZ_decarb_opex!I45</f>
        <v>5.5391507880371601E-5</v>
      </c>
      <c r="BI45" s="188">
        <f>[2]CZ_decarbplus_opex!AY45</f>
        <v>4.0399999999999999E-5</v>
      </c>
      <c r="BJ45" s="188">
        <f>[2]CZ_decarbplus_opex!AZ45</f>
        <v>8.0099999999999995E-5</v>
      </c>
      <c r="BK45" s="188">
        <f>[2]CZ_decarbplus_opex!BA45</f>
        <v>2.3083489999999999E-3</v>
      </c>
      <c r="BL45" s="188">
        <f>[2]CZ_decarbplus_opex!BB45</f>
        <v>0</v>
      </c>
      <c r="BM45" s="188">
        <f>[3]CZ_decarb_opex!J45</f>
        <v>2.7942718823773302E-4</v>
      </c>
      <c r="BN45" s="188">
        <f>[3]CZ_decarb_opex!K45</f>
        <v>3.1964073953143099E-4</v>
      </c>
      <c r="BO45" s="188">
        <f>[3]CZ_decarb_opex!L45</f>
        <v>1.4987546916463799E-4</v>
      </c>
      <c r="BP45" s="188">
        <f>[3]CZ_decarb_opex!M45</f>
        <v>1.18320608089078E-4</v>
      </c>
      <c r="BQ45" s="188">
        <f>[3]CZ_decarb_opex!N45</f>
        <v>1.3528157218702E-4</v>
      </c>
      <c r="BR45" s="188">
        <f>[3]CZ_decarb_opex!O45</f>
        <v>3.1010203662618899E-6</v>
      </c>
      <c r="BS45" s="188">
        <f>[3]CZ_decarb_opex!P45</f>
        <v>4.5302675977604301E-4</v>
      </c>
      <c r="BT45" s="188">
        <f>[3]CZ_decarb_opex!Q45</f>
        <v>2.6195787292967699E-5</v>
      </c>
      <c r="BU45" s="188">
        <f>[3]CZ_decarb_opex!R45</f>
        <v>3.3370221798256303E-5</v>
      </c>
      <c r="BV45" s="188">
        <f>[3]CZ_decarb_opex!S45</f>
        <v>3.3370221798256201E-5</v>
      </c>
      <c r="BW45" s="188">
        <f>[3]CZ_decarb_opex!T45</f>
        <v>9.2254820469869699E-5</v>
      </c>
      <c r="BX45" s="188">
        <f>[3]CZ_decarb_opex!U45</f>
        <v>2.3973601904049601E-5</v>
      </c>
      <c r="BY45" s="188">
        <f>[3]CZ_decarb_opex!V45</f>
        <v>2.1562214554855702E-5</v>
      </c>
      <c r="BZ45" s="188">
        <f>[2]CZ_decarbplus_opex!BC45</f>
        <v>2.3188199999999999E-4</v>
      </c>
      <c r="CA45" s="188">
        <f>[2]CZ_decarbplus_opex!BD45</f>
        <v>2.1094899999999999E-4</v>
      </c>
      <c r="CB45" s="188">
        <f>[2]CZ_decarbplus_opex!BE45</f>
        <v>3.0454700000000001E-4</v>
      </c>
      <c r="CC45" s="188">
        <f>[2]CZ_decarbplus_opex!BF45</f>
        <v>9.9199999999999999E-5</v>
      </c>
      <c r="CD45" s="188">
        <f>[2]CZ_decarbplus_opex!BG45</f>
        <v>1.0565290000000001E-3</v>
      </c>
      <c r="CE45" s="188">
        <f>[2]CZ_decarbplus_opex!BH45</f>
        <v>1.3454999999999999E-4</v>
      </c>
      <c r="CF45" s="188">
        <f>[2]CZ_decarbplus_opex!BI45</f>
        <v>9.1899999999999998E-5</v>
      </c>
      <c r="CG45" s="188">
        <f>[2]CZ_decarbplus_opex!BJ45</f>
        <v>4.1399999999999997E-5</v>
      </c>
    </row>
    <row r="46" spans="1:85" x14ac:dyDescent="0.25">
      <c r="A46" s="5" t="s">
        <v>111</v>
      </c>
      <c r="B46" s="2" t="s">
        <v>110</v>
      </c>
      <c r="C46" s="1" t="s">
        <v>327</v>
      </c>
      <c r="D46" s="187">
        <f>[2]CZ_decarbplus_opex!B46</f>
        <v>5.0306400000000001E-4</v>
      </c>
      <c r="E46" s="187">
        <f>[2]CZ_decarbplus_opex!C46</f>
        <v>1.0096040000000001E-3</v>
      </c>
      <c r="F46" s="187">
        <f>[2]CZ_decarbplus_opex!D46</f>
        <v>6.5053079999999996E-3</v>
      </c>
      <c r="G46" s="187">
        <f>[2]CZ_decarbplus_opex!E46</f>
        <v>5.7099999999999999E-5</v>
      </c>
      <c r="H46" s="187">
        <f>[2]CZ_decarbplus_opex!F46</f>
        <v>8.7199999999999995E-6</v>
      </c>
      <c r="I46" s="187">
        <f>[2]CZ_decarbplus_opex!G46</f>
        <v>5.6251300000000005E-4</v>
      </c>
      <c r="J46" s="187">
        <f>[2]CZ_decarbplus_opex!H46</f>
        <v>1.6019100000000001E-4</v>
      </c>
      <c r="K46" s="187">
        <f>[2]CZ_decarbplus_opex!I46</f>
        <v>1.6900000000000001E-5</v>
      </c>
      <c r="L46" s="187">
        <f>[2]CZ_decarbplus_opex!J46</f>
        <v>7.2986960000000004E-3</v>
      </c>
      <c r="M46" s="187">
        <f>[2]CZ_decarbplus_opex!K46</f>
        <v>8.9349600000000003E-4</v>
      </c>
      <c r="N46" s="187">
        <f>[2]CZ_decarbplus_opex!L46</f>
        <v>3.69632E-4</v>
      </c>
      <c r="O46" s="187">
        <f>[2]CZ_decarbplus_opex!M46</f>
        <v>7.7299999999999995E-5</v>
      </c>
      <c r="P46" s="187">
        <f>[2]CZ_decarbplus_opex!N46</f>
        <v>3.8399999999999998E-5</v>
      </c>
      <c r="Q46" s="187">
        <f>[2]CZ_decarbplus_opex!O46</f>
        <v>3.5899999999999998E-5</v>
      </c>
      <c r="R46" s="187">
        <f>[2]CZ_decarbplus_opex!P46</f>
        <v>3.6199999999999999E-5</v>
      </c>
      <c r="S46" s="187">
        <f>[2]CZ_decarbplus_opex!Q46</f>
        <v>2.2399999999999999E-5</v>
      </c>
      <c r="T46" s="187">
        <f>[2]CZ_decarbplus_opex!R46</f>
        <v>3.54E-5</v>
      </c>
      <c r="U46" s="187">
        <f>[2]CZ_decarbplus_opex!S46</f>
        <v>3.2799999999999998E-5</v>
      </c>
      <c r="V46" s="187">
        <f>[2]CZ_decarbplus_opex!T46</f>
        <v>3.7499999999999997E-5</v>
      </c>
      <c r="W46" s="187">
        <f>[2]CZ_decarbplus_opex!U46</f>
        <v>2.2500000000000001E-5</v>
      </c>
      <c r="X46" s="187">
        <f>[2]CZ_decarbplus_opex!V46</f>
        <v>2.9499999999999999E-5</v>
      </c>
      <c r="Y46" s="187">
        <f>[2]CZ_decarbplus_opex!W46</f>
        <v>1.66E-5</v>
      </c>
      <c r="Z46" s="187">
        <f>[2]CZ_decarbplus_opex!X46</f>
        <v>2.72E-5</v>
      </c>
      <c r="AA46" s="187">
        <f>[2]CZ_decarbplus_opex!Y46</f>
        <v>4.9499999999999997E-5</v>
      </c>
      <c r="AB46" s="188">
        <f>[3]CZ_decarb_opex!B46</f>
        <v>3.8211669910012998E-5</v>
      </c>
      <c r="AC46" s="188">
        <f>[3]CZ_decarb_opex!C46</f>
        <v>9.0413877773178297E-5</v>
      </c>
      <c r="AD46" s="188">
        <f>[3]CZ_decarb_opex!D46</f>
        <v>3.6593708435870602E-5</v>
      </c>
      <c r="AE46" s="188">
        <f>[2]CZ_decarbplus_opex!Z46</f>
        <v>3.04E-5</v>
      </c>
      <c r="AF46" s="188">
        <f>[2]CZ_decarbplus_opex!AA46</f>
        <v>1.84339E-4</v>
      </c>
      <c r="AG46" s="188">
        <f>[2]CZ_decarbplus_opex!AB46</f>
        <v>5.38E-5</v>
      </c>
      <c r="AH46" s="188">
        <f>[2]CZ_decarbplus_opex!AC46</f>
        <v>2.3E-5</v>
      </c>
      <c r="AI46" s="188">
        <f>[2]CZ_decarbplus_opex!AD46</f>
        <v>3.1699999999999998E-5</v>
      </c>
      <c r="AJ46" s="188">
        <f>[2]CZ_decarbplus_opex!AE46</f>
        <v>2.87E-5</v>
      </c>
      <c r="AK46" s="188">
        <f>[2]CZ_decarbplus_opex!AF46</f>
        <v>3.9400000000000002E-5</v>
      </c>
      <c r="AL46" s="188">
        <f>[3]CZ_decarb_opex!E46</f>
        <v>3.68150573694861E-5</v>
      </c>
      <c r="AM46" s="188">
        <f>[3]CZ_decarb_opex!F46</f>
        <v>4.1050379613539003E-5</v>
      </c>
      <c r="AN46" s="188">
        <f>[2]CZ_decarbplus_opex!AG46</f>
        <v>3.7400000000000001E-5</v>
      </c>
      <c r="AO46" s="188">
        <f>[3]CZ_decarb_opex!G46</f>
        <v>1.25973336067444E-5</v>
      </c>
      <c r="AP46" s="188">
        <f>[3]CZ_decarb_opex!H46</f>
        <v>1.89140173633174E-5</v>
      </c>
      <c r="AQ46" s="188">
        <f>[2]CZ_decarbplus_opex!AH46</f>
        <v>2.51E-5</v>
      </c>
      <c r="AR46" s="188">
        <f>[2]CZ_decarbplus_opex!AI46</f>
        <v>0</v>
      </c>
      <c r="AS46" s="188">
        <f>[2]CZ_decarbplus_opex!AJ46</f>
        <v>2.7699999999999999E-5</v>
      </c>
      <c r="AT46" s="188">
        <f>[2]CZ_decarbplus_opex!AK46</f>
        <v>2.4899999999999999E-5</v>
      </c>
      <c r="AU46" s="188">
        <f>[2]CZ_decarbplus_opex!AL46</f>
        <v>8.1699999999999997E-6</v>
      </c>
      <c r="AV46" s="188">
        <f>[2]CZ_decarbplus_opex!AM46</f>
        <v>7.7999999999999999E-6</v>
      </c>
      <c r="AW46" s="188">
        <f>[2]CZ_decarbplus_opex!AN46</f>
        <v>3.5299999999999997E-5</v>
      </c>
      <c r="AX46" s="188">
        <f>[2]CZ_decarbplus_opex!AO46</f>
        <v>0</v>
      </c>
      <c r="AY46" s="188">
        <f>[2]CZ_decarbplus_opex!AP46</f>
        <v>5.8100000000000003E-5</v>
      </c>
      <c r="AZ46" s="188">
        <f>[2]CZ_decarbplus_opex!AQ46</f>
        <v>0</v>
      </c>
      <c r="BA46" s="188">
        <f>[2]CZ_decarbplus_opex!AR46</f>
        <v>1.8300000000000001E-5</v>
      </c>
      <c r="BB46" s="188">
        <f>[2]CZ_decarbplus_opex!AS46</f>
        <v>1.66E-5</v>
      </c>
      <c r="BC46" s="188">
        <f>[2]CZ_decarbplus_opex!AT46</f>
        <v>2.8600000000000001E-5</v>
      </c>
      <c r="BD46" s="188">
        <f>[2]CZ_decarbplus_opex!AU46</f>
        <v>5.3900000000000002E-5</v>
      </c>
      <c r="BE46" s="188">
        <f>[2]CZ_decarbplus_opex!AV46</f>
        <v>1.84E-5</v>
      </c>
      <c r="BF46" s="188">
        <f>[2]CZ_decarbplus_opex!AW46</f>
        <v>1.0200000000000001E-5</v>
      </c>
      <c r="BG46" s="188">
        <f>[2]CZ_decarbplus_opex!AX46</f>
        <v>3.9100000000000002E-5</v>
      </c>
      <c r="BH46" s="188">
        <f>[3]CZ_decarb_opex!I46</f>
        <v>2.0794697934767002E-5</v>
      </c>
      <c r="BI46" s="188">
        <f>[2]CZ_decarbplus_opex!AY46</f>
        <v>1.8499999999999999E-5</v>
      </c>
      <c r="BJ46" s="188">
        <f>[2]CZ_decarbplus_opex!AZ46</f>
        <v>2.9899999999999998E-5</v>
      </c>
      <c r="BK46" s="188">
        <f>[2]CZ_decarbplus_opex!BA46</f>
        <v>2.2200000000000001E-5</v>
      </c>
      <c r="BL46" s="188">
        <f>[2]CZ_decarbplus_opex!BB46</f>
        <v>0</v>
      </c>
      <c r="BM46" s="188">
        <f>[3]CZ_decarb_opex!J46</f>
        <v>1.9462654210510002E-5</v>
      </c>
      <c r="BN46" s="188">
        <f>[3]CZ_decarb_opex!K46</f>
        <v>3.7332593720281002E-5</v>
      </c>
      <c r="BO46" s="188">
        <f>[3]CZ_decarb_opex!L46</f>
        <v>8.8552972778669407E-6</v>
      </c>
      <c r="BP46" s="188">
        <f>[3]CZ_decarb_opex!M46</f>
        <v>1.3648783738016299E-5</v>
      </c>
      <c r="BQ46" s="188">
        <f>[3]CZ_decarb_opex!N46</f>
        <v>2.0199756119538899E-5</v>
      </c>
      <c r="BR46" s="188">
        <f>[3]CZ_decarb_opex!O46</f>
        <v>8.6929195801266402E-7</v>
      </c>
      <c r="BS46" s="188">
        <f>[3]CZ_decarb_opex!P46</f>
        <v>5.1126068845515001E-5</v>
      </c>
      <c r="BT46" s="188">
        <f>[3]CZ_decarb_opex!Q46</f>
        <v>1.35877556598157E-5</v>
      </c>
      <c r="BU46" s="188">
        <f>[3]CZ_decarb_opex!R46</f>
        <v>1.0364855568955E-5</v>
      </c>
      <c r="BV46" s="188">
        <f>[3]CZ_decarb_opex!S46</f>
        <v>1.0364855568955E-5</v>
      </c>
      <c r="BW46" s="188">
        <f>[3]CZ_decarb_opex!T46</f>
        <v>1.15501378916842E-4</v>
      </c>
      <c r="BX46" s="188">
        <f>[3]CZ_decarb_opex!U46</f>
        <v>3.7200384558802801E-6</v>
      </c>
      <c r="BY46" s="188">
        <f>[3]CZ_decarb_opex!V46</f>
        <v>4.25550595727578E-6</v>
      </c>
      <c r="BZ46" s="188">
        <f>[2]CZ_decarbplus_opex!BC46</f>
        <v>2.02E-5</v>
      </c>
      <c r="CA46" s="188">
        <f>[2]CZ_decarbplus_opex!BD46</f>
        <v>2.2500000000000001E-5</v>
      </c>
      <c r="CB46" s="188">
        <f>[2]CZ_decarbplus_opex!BE46</f>
        <v>2.4899999999999999E-5</v>
      </c>
      <c r="CC46" s="188">
        <f>[2]CZ_decarbplus_opex!BF46</f>
        <v>4.5599999999999997E-5</v>
      </c>
      <c r="CD46" s="188">
        <f>[2]CZ_decarbplus_opex!BG46</f>
        <v>2.9499999999999999E-5</v>
      </c>
      <c r="CE46" s="188">
        <f>[2]CZ_decarbplus_opex!BH46</f>
        <v>5.2299999999999997E-5</v>
      </c>
      <c r="CF46" s="188">
        <f>[2]CZ_decarbplus_opex!BI46</f>
        <v>4.7200000000000002E-5</v>
      </c>
      <c r="CG46" s="188">
        <f>[2]CZ_decarbplus_opex!BJ46</f>
        <v>1.6699999999999999E-5</v>
      </c>
    </row>
    <row r="47" spans="1:85" x14ac:dyDescent="0.25">
      <c r="A47" s="5" t="s">
        <v>113</v>
      </c>
      <c r="B47" s="2" t="s">
        <v>112</v>
      </c>
      <c r="C47" s="1" t="s">
        <v>327</v>
      </c>
      <c r="D47" s="187">
        <f>[2]CZ_decarbplus_opex!B47</f>
        <v>6.6599999999999998E-6</v>
      </c>
      <c r="E47" s="187">
        <f>[2]CZ_decarbplus_opex!C47</f>
        <v>2.1799999999999999E-6</v>
      </c>
      <c r="F47" s="187">
        <f>[2]CZ_decarbplus_opex!D47</f>
        <v>6.19E-6</v>
      </c>
      <c r="G47" s="187">
        <f>[2]CZ_decarbplus_opex!E47</f>
        <v>2.04E-6</v>
      </c>
      <c r="H47" s="187">
        <f>[2]CZ_decarbplus_opex!F47</f>
        <v>3.49E-6</v>
      </c>
      <c r="I47" s="187">
        <f>[2]CZ_decarbplus_opex!G47</f>
        <v>1.9899999999999999E-5</v>
      </c>
      <c r="J47" s="187">
        <f>[2]CZ_decarbplus_opex!H47</f>
        <v>1.22E-5</v>
      </c>
      <c r="K47" s="187">
        <f>[2]CZ_decarbplus_opex!I47</f>
        <v>3.2899999999999998E-6</v>
      </c>
      <c r="L47" s="187">
        <f>[2]CZ_decarbplus_opex!J47</f>
        <v>1.27E-5</v>
      </c>
      <c r="M47" s="187">
        <f>[2]CZ_decarbplus_opex!K47</f>
        <v>3.2399999999999999E-6</v>
      </c>
      <c r="N47" s="187">
        <f>[2]CZ_decarbplus_opex!L47</f>
        <v>1.4E-5</v>
      </c>
      <c r="O47" s="187">
        <f>[2]CZ_decarbplus_opex!M47</f>
        <v>1.03E-5</v>
      </c>
      <c r="P47" s="187">
        <f>[2]CZ_decarbplus_opex!N47</f>
        <v>2.34E-6</v>
      </c>
      <c r="Q47" s="187">
        <f>[2]CZ_decarbplus_opex!O47</f>
        <v>3.4300000000000002E-6</v>
      </c>
      <c r="R47" s="187">
        <f>[2]CZ_decarbplus_opex!P47</f>
        <v>5.5600000000000003E-5</v>
      </c>
      <c r="S47" s="187">
        <f>[2]CZ_decarbplus_opex!Q47</f>
        <v>2.12E-6</v>
      </c>
      <c r="T47" s="187">
        <f>[2]CZ_decarbplus_opex!R47</f>
        <v>2.7199999999999998E-6</v>
      </c>
      <c r="U47" s="187">
        <f>[2]CZ_decarbplus_opex!S47</f>
        <v>1.44E-6</v>
      </c>
      <c r="V47" s="187">
        <f>[2]CZ_decarbplus_opex!T47</f>
        <v>1.5999999999999999E-6</v>
      </c>
      <c r="W47" s="187">
        <f>[2]CZ_decarbplus_opex!U47</f>
        <v>9.9000000000000001E-6</v>
      </c>
      <c r="X47" s="187">
        <f>[2]CZ_decarbplus_opex!V47</f>
        <v>3.54E-6</v>
      </c>
      <c r="Y47" s="187">
        <f>[2]CZ_decarbplus_opex!W47</f>
        <v>1.5200000000000001E-6</v>
      </c>
      <c r="Z47" s="187">
        <f>[2]CZ_decarbplus_opex!X47</f>
        <v>2.9100000000000001E-6</v>
      </c>
      <c r="AA47" s="187">
        <f>[2]CZ_decarbplus_opex!Y47</f>
        <v>2.4499999999999998E-6</v>
      </c>
      <c r="AB47" s="188">
        <f>[3]CZ_decarb_opex!B47</f>
        <v>1.13344920768648E-4</v>
      </c>
      <c r="AC47" s="188">
        <f>[3]CZ_decarb_opex!C47</f>
        <v>4.77910742401214E-6</v>
      </c>
      <c r="AD47" s="188">
        <f>[3]CZ_decarb_opex!D47</f>
        <v>2.2042340832206098E-6</v>
      </c>
      <c r="AE47" s="188">
        <f>[2]CZ_decarbplus_opex!Z47</f>
        <v>2.8399999999999999E-6</v>
      </c>
      <c r="AF47" s="188">
        <f>[2]CZ_decarbplus_opex!AA47</f>
        <v>5.66E-6</v>
      </c>
      <c r="AG47" s="188">
        <f>[2]CZ_decarbplus_opex!AB47</f>
        <v>3.3000000000000002E-6</v>
      </c>
      <c r="AH47" s="188">
        <f>[2]CZ_decarbplus_opex!AC47</f>
        <v>4.1999999999999996E-6</v>
      </c>
      <c r="AI47" s="188">
        <f>[2]CZ_decarbplus_opex!AD47</f>
        <v>7.0299999999999996E-6</v>
      </c>
      <c r="AJ47" s="188">
        <f>[2]CZ_decarbplus_opex!AE47</f>
        <v>5.4600000000000002E-6</v>
      </c>
      <c r="AK47" s="188">
        <f>[2]CZ_decarbplus_opex!AF47</f>
        <v>4.3900000000000003E-6</v>
      </c>
      <c r="AL47" s="188">
        <f>[3]CZ_decarb_opex!E47</f>
        <v>5.0631100298226E-6</v>
      </c>
      <c r="AM47" s="188">
        <f>[3]CZ_decarb_opex!F47</f>
        <v>4.0040111445980797E-6</v>
      </c>
      <c r="AN47" s="188">
        <f>[2]CZ_decarbplus_opex!AG47</f>
        <v>6.7000000000000002E-6</v>
      </c>
      <c r="AO47" s="188">
        <f>[3]CZ_decarb_opex!G47</f>
        <v>2.4097891650215398E-6</v>
      </c>
      <c r="AP47" s="188">
        <f>[3]CZ_decarb_opex!H47</f>
        <v>1.9082168406456499E-6</v>
      </c>
      <c r="AQ47" s="188">
        <f>[2]CZ_decarbplus_opex!AH47</f>
        <v>1.7099999999999999E-6</v>
      </c>
      <c r="AR47" s="188">
        <f>[2]CZ_decarbplus_opex!AI47</f>
        <v>0</v>
      </c>
      <c r="AS47" s="188">
        <f>[2]CZ_decarbplus_opex!AJ47</f>
        <v>1.86E-6</v>
      </c>
      <c r="AT47" s="188">
        <f>[2]CZ_decarbplus_opex!AK47</f>
        <v>8.6700000000000002E-7</v>
      </c>
      <c r="AU47" s="188">
        <f>[2]CZ_decarbplus_opex!AL47</f>
        <v>3.6399999999999998E-7</v>
      </c>
      <c r="AV47" s="188">
        <f>[2]CZ_decarbplus_opex!AM47</f>
        <v>2.2999999999999999E-7</v>
      </c>
      <c r="AW47" s="188">
        <f>[2]CZ_decarbplus_opex!AN47</f>
        <v>1.53E-6</v>
      </c>
      <c r="AX47" s="188">
        <f>[2]CZ_decarbplus_opex!AO47</f>
        <v>0</v>
      </c>
      <c r="AY47" s="188">
        <f>[2]CZ_decarbplus_opex!AP47</f>
        <v>1.3499999999999999E-5</v>
      </c>
      <c r="AZ47" s="188">
        <f>[2]CZ_decarbplus_opex!AQ47</f>
        <v>0</v>
      </c>
      <c r="BA47" s="188">
        <f>[2]CZ_decarbplus_opex!AR47</f>
        <v>1.1599999999999999E-6</v>
      </c>
      <c r="BB47" s="188">
        <f>[2]CZ_decarbplus_opex!AS47</f>
        <v>1.8199999999999999E-6</v>
      </c>
      <c r="BC47" s="188">
        <f>[2]CZ_decarbplus_opex!AT47</f>
        <v>2.12E-6</v>
      </c>
      <c r="BD47" s="188">
        <f>[2]CZ_decarbplus_opex!AU47</f>
        <v>2.65E-6</v>
      </c>
      <c r="BE47" s="188">
        <f>[2]CZ_decarbplus_opex!AV47</f>
        <v>4.9899999999999997E-6</v>
      </c>
      <c r="BF47" s="188">
        <f>[2]CZ_decarbplus_opex!AW47</f>
        <v>2.0700000000000001E-6</v>
      </c>
      <c r="BG47" s="188">
        <f>[2]CZ_decarbplus_opex!AX47</f>
        <v>5.4E-6</v>
      </c>
      <c r="BH47" s="188">
        <f>[3]CZ_decarb_opex!I47</f>
        <v>1.79808715442443E-6</v>
      </c>
      <c r="BI47" s="188">
        <f>[2]CZ_decarbplus_opex!AY47</f>
        <v>6.8299999999999998E-6</v>
      </c>
      <c r="BJ47" s="188">
        <f>[2]CZ_decarbplus_opex!AZ47</f>
        <v>3.3400000000000002E-6</v>
      </c>
      <c r="BK47" s="188">
        <f>[2]CZ_decarbplus_opex!BA47</f>
        <v>9.7999999999999993E-7</v>
      </c>
      <c r="BL47" s="188">
        <f>[2]CZ_decarbplus_opex!BB47</f>
        <v>0</v>
      </c>
      <c r="BM47" s="188">
        <f>[3]CZ_decarb_opex!J47</f>
        <v>4.0958013506644099E-6</v>
      </c>
      <c r="BN47" s="188">
        <f>[3]CZ_decarb_opex!K47</f>
        <v>1.3428775780685999E-5</v>
      </c>
      <c r="BO47" s="188">
        <f>[3]CZ_decarb_opex!L47</f>
        <v>2.5833204463812001E-6</v>
      </c>
      <c r="BP47" s="188">
        <f>[3]CZ_decarb_opex!M47</f>
        <v>1.4001113517628399E-6</v>
      </c>
      <c r="BQ47" s="188">
        <f>[3]CZ_decarb_opex!N47</f>
        <v>1.01189401874373E-6</v>
      </c>
      <c r="BR47" s="188">
        <f>[3]CZ_decarb_opex!O47</f>
        <v>8.3797909319862598E-7</v>
      </c>
      <c r="BS47" s="188">
        <f>[3]CZ_decarb_opex!P47</f>
        <v>2.9623258007171299E-5</v>
      </c>
      <c r="BT47" s="188">
        <f>[3]CZ_decarb_opex!Q47</f>
        <v>1.1020913201086699E-6</v>
      </c>
      <c r="BU47" s="188">
        <f>[3]CZ_decarb_opex!R47</f>
        <v>9.8653631831941001E-7</v>
      </c>
      <c r="BV47" s="188">
        <f>[3]CZ_decarb_opex!S47</f>
        <v>9.8653631831941404E-7</v>
      </c>
      <c r="BW47" s="188">
        <f>[3]CZ_decarb_opex!T47</f>
        <v>1.2936454349340599E-6</v>
      </c>
      <c r="BX47" s="188">
        <f>[3]CZ_decarb_opex!U47</f>
        <v>1.4847069464920001E-6</v>
      </c>
      <c r="BY47" s="188">
        <f>[3]CZ_decarb_opex!V47</f>
        <v>3.9198102138365202E-6</v>
      </c>
      <c r="BZ47" s="188">
        <f>[2]CZ_decarbplus_opex!BC47</f>
        <v>1.8199999999999999E-6</v>
      </c>
      <c r="CA47" s="188">
        <f>[2]CZ_decarbplus_opex!BD47</f>
        <v>1.8700000000000001E-6</v>
      </c>
      <c r="CB47" s="188">
        <f>[2]CZ_decarbplus_opex!BE47</f>
        <v>2.0200000000000001E-6</v>
      </c>
      <c r="CC47" s="188">
        <f>[2]CZ_decarbplus_opex!BF47</f>
        <v>9.1299999999999998E-7</v>
      </c>
      <c r="CD47" s="188">
        <f>[2]CZ_decarbplus_opex!BG47</f>
        <v>2.2199999999999999E-6</v>
      </c>
      <c r="CE47" s="188">
        <f>[2]CZ_decarbplus_opex!BH47</f>
        <v>6.7100000000000001E-6</v>
      </c>
      <c r="CF47" s="188">
        <f>[2]CZ_decarbplus_opex!BI47</f>
        <v>4.6800000000000001E-6</v>
      </c>
      <c r="CG47" s="188">
        <f>[2]CZ_decarbplus_opex!BJ47</f>
        <v>7.6000000000000003E-7</v>
      </c>
    </row>
    <row r="48" spans="1:85" x14ac:dyDescent="0.25">
      <c r="A48" s="5" t="s">
        <v>115</v>
      </c>
      <c r="B48" s="2" t="s">
        <v>114</v>
      </c>
      <c r="C48" s="1" t="s">
        <v>327</v>
      </c>
      <c r="D48" s="187">
        <f>[2]CZ_decarbplus_opex!B48</f>
        <v>5.7544599999999997E-4</v>
      </c>
      <c r="E48" s="187">
        <f>[2]CZ_decarbplus_opex!C48</f>
        <v>1.3332700000000001E-4</v>
      </c>
      <c r="F48" s="187">
        <f>[2]CZ_decarbplus_opex!D48</f>
        <v>1.18505E-4</v>
      </c>
      <c r="G48" s="187">
        <f>[2]CZ_decarbplus_opex!E48</f>
        <v>2.16E-5</v>
      </c>
      <c r="H48" s="187">
        <f>[2]CZ_decarbplus_opex!F48</f>
        <v>4.2700000000000001E-5</v>
      </c>
      <c r="I48" s="187">
        <f>[2]CZ_decarbplus_opex!G48</f>
        <v>1.8196900000000001E-4</v>
      </c>
      <c r="J48" s="187">
        <f>[2]CZ_decarbplus_opex!H48</f>
        <v>2.2003100000000001E-4</v>
      </c>
      <c r="K48" s="187">
        <f>[2]CZ_decarbplus_opex!I48</f>
        <v>6.6799999999999997E-5</v>
      </c>
      <c r="L48" s="187">
        <f>[2]CZ_decarbplus_opex!J48</f>
        <v>2.5670700000000001E-4</v>
      </c>
      <c r="M48" s="187">
        <f>[2]CZ_decarbplus_opex!K48</f>
        <v>7.2568199999999995E-4</v>
      </c>
      <c r="N48" s="187">
        <f>[2]CZ_decarbplus_opex!L48</f>
        <v>3.78246E-4</v>
      </c>
      <c r="O48" s="187">
        <f>[2]CZ_decarbplus_opex!M48</f>
        <v>2.0686500000000001E-4</v>
      </c>
      <c r="P48" s="187">
        <f>[2]CZ_decarbplus_opex!N48</f>
        <v>0.28902177800000001</v>
      </c>
      <c r="Q48" s="187">
        <f>[2]CZ_decarbplus_opex!O48</f>
        <v>0.134086603</v>
      </c>
      <c r="R48" s="187">
        <f>[2]CZ_decarbplus_opex!P48</f>
        <v>2.4775579999999998E-2</v>
      </c>
      <c r="S48" s="187">
        <f>[2]CZ_decarbplus_opex!Q48</f>
        <v>2.8015400000000001E-4</v>
      </c>
      <c r="T48" s="187">
        <f>[2]CZ_decarbplus_opex!R48</f>
        <v>3.2693899999999999E-4</v>
      </c>
      <c r="U48" s="187">
        <f>[2]CZ_decarbplus_opex!S48</f>
        <v>1.6234800000000001E-4</v>
      </c>
      <c r="V48" s="187">
        <f>[2]CZ_decarbplus_opex!T48</f>
        <v>1.7958199999999999E-4</v>
      </c>
      <c r="W48" s="187">
        <f>[2]CZ_decarbplus_opex!U48</f>
        <v>4.7331100000000002E-4</v>
      </c>
      <c r="X48" s="187">
        <f>[2]CZ_decarbplus_opex!V48</f>
        <v>1.114652E-3</v>
      </c>
      <c r="Y48" s="187">
        <f>[2]CZ_decarbplus_opex!W48</f>
        <v>8.0900000000000001E-5</v>
      </c>
      <c r="Z48" s="187">
        <f>[2]CZ_decarbplus_opex!X48</f>
        <v>2.2828099999999999E-4</v>
      </c>
      <c r="AA48" s="187">
        <f>[2]CZ_decarbplus_opex!Y48</f>
        <v>2.41668E-4</v>
      </c>
      <c r="AB48" s="188">
        <f>[3]CZ_decarb_opex!B48</f>
        <v>2.9201428210030698E-4</v>
      </c>
      <c r="AC48" s="188">
        <f>[3]CZ_decarb_opex!C48</f>
        <v>5.6713575971489003E-4</v>
      </c>
      <c r="AD48" s="188">
        <f>[3]CZ_decarb_opex!D48</f>
        <v>2.8362569155539401E-3</v>
      </c>
      <c r="AE48" s="188">
        <f>[2]CZ_decarbplus_opex!Z48</f>
        <v>2.8052160000000001E-3</v>
      </c>
      <c r="AF48" s="188">
        <f>[2]CZ_decarbplus_opex!AA48</f>
        <v>2.1331457000000002E-2</v>
      </c>
      <c r="AG48" s="188">
        <f>[2]CZ_decarbplus_opex!AB48</f>
        <v>2.4486754999999999E-2</v>
      </c>
      <c r="AH48" s="188">
        <f>[2]CZ_decarbplus_opex!AC48</f>
        <v>4.1191900000000001E-4</v>
      </c>
      <c r="AI48" s="188">
        <f>[2]CZ_decarbplus_opex!AD48</f>
        <v>6.9438599999999996E-4</v>
      </c>
      <c r="AJ48" s="188">
        <f>[2]CZ_decarbplus_opex!AE48</f>
        <v>1.29512E-4</v>
      </c>
      <c r="AK48" s="188">
        <f>[2]CZ_decarbplus_opex!AF48</f>
        <v>2.5562099999999998E-4</v>
      </c>
      <c r="AL48" s="188">
        <f>[3]CZ_decarb_opex!E48</f>
        <v>1.8433744161579799E-4</v>
      </c>
      <c r="AM48" s="188">
        <f>[3]CZ_decarb_opex!F48</f>
        <v>1.85776325150465E-4</v>
      </c>
      <c r="AN48" s="188">
        <f>[2]CZ_decarbplus_opex!AG48</f>
        <v>4.2423200000000003E-4</v>
      </c>
      <c r="AO48" s="188">
        <f>[3]CZ_decarb_opex!G48</f>
        <v>1.0786573041797601E-4</v>
      </c>
      <c r="AP48" s="188">
        <f>[3]CZ_decarb_opex!H48</f>
        <v>1.3616449906715E-4</v>
      </c>
      <c r="AQ48" s="188">
        <f>[2]CZ_decarbplus_opex!AH48</f>
        <v>1.5169599999999999E-4</v>
      </c>
      <c r="AR48" s="188">
        <f>[2]CZ_decarbplus_opex!AI48</f>
        <v>0</v>
      </c>
      <c r="AS48" s="188">
        <f>[2]CZ_decarbplus_opex!AJ48</f>
        <v>2.10633E-4</v>
      </c>
      <c r="AT48" s="188">
        <f>[2]CZ_decarbplus_opex!AK48</f>
        <v>2.0980400000000001E-4</v>
      </c>
      <c r="AU48" s="188">
        <f>[2]CZ_decarbplus_opex!AL48</f>
        <v>4.0299999999999997E-5</v>
      </c>
      <c r="AV48" s="188">
        <f>[2]CZ_decarbplus_opex!AM48</f>
        <v>3.65E-5</v>
      </c>
      <c r="AW48" s="188">
        <f>[2]CZ_decarbplus_opex!AN48</f>
        <v>8.53E-5</v>
      </c>
      <c r="AX48" s="188">
        <f>[2]CZ_decarbplus_opex!AO48</f>
        <v>0</v>
      </c>
      <c r="AY48" s="188">
        <f>[2]CZ_decarbplus_opex!AP48</f>
        <v>2.1680500000000001E-4</v>
      </c>
      <c r="AZ48" s="188">
        <f>[2]CZ_decarbplus_opex!AQ48</f>
        <v>0</v>
      </c>
      <c r="BA48" s="188">
        <f>[2]CZ_decarbplus_opex!AR48</f>
        <v>1.6483099999999999E-4</v>
      </c>
      <c r="BB48" s="188">
        <f>[2]CZ_decarbplus_opex!AS48</f>
        <v>2.6999680000000001E-3</v>
      </c>
      <c r="BC48" s="188">
        <f>[2]CZ_decarbplus_opex!AT48</f>
        <v>3.7122230000000002E-3</v>
      </c>
      <c r="BD48" s="188">
        <f>[2]CZ_decarbplus_opex!AU48</f>
        <v>1.3244799999999999E-4</v>
      </c>
      <c r="BE48" s="188">
        <f>[2]CZ_decarbplus_opex!AV48</f>
        <v>5.82513E-4</v>
      </c>
      <c r="BF48" s="188">
        <f>[2]CZ_decarbplus_opex!AW48</f>
        <v>2.3818299999999999E-4</v>
      </c>
      <c r="BG48" s="188">
        <f>[2]CZ_decarbplus_opex!AX48</f>
        <v>1.764837E-3</v>
      </c>
      <c r="BH48" s="188">
        <f>[3]CZ_decarb_opex!I48</f>
        <v>1.0376635322431301E-2</v>
      </c>
      <c r="BI48" s="188">
        <f>[2]CZ_decarbplus_opex!AY48</f>
        <v>7.6535780000000003E-3</v>
      </c>
      <c r="BJ48" s="188">
        <f>[2]CZ_decarbplus_opex!AZ48</f>
        <v>3.2708350000000001E-3</v>
      </c>
      <c r="BK48" s="188">
        <f>[2]CZ_decarbplus_opex!BA48</f>
        <v>1.6992099999999999E-4</v>
      </c>
      <c r="BL48" s="188">
        <f>[2]CZ_decarbplus_opex!BB48</f>
        <v>0</v>
      </c>
      <c r="BM48" s="188">
        <f>[3]CZ_decarb_opex!J48</f>
        <v>7.5386595053572402E-5</v>
      </c>
      <c r="BN48" s="188">
        <f>[3]CZ_decarb_opex!K48</f>
        <v>1.6009560217675599E-4</v>
      </c>
      <c r="BO48" s="188">
        <f>[3]CZ_decarb_opex!L48</f>
        <v>2.4948937339294001E-5</v>
      </c>
      <c r="BP48" s="188">
        <f>[3]CZ_decarb_opex!M48</f>
        <v>4.3437775850279297E-5</v>
      </c>
      <c r="BQ48" s="188">
        <f>[3]CZ_decarb_opex!N48</f>
        <v>5.9937241418060997E-5</v>
      </c>
      <c r="BR48" s="188">
        <f>[3]CZ_decarb_opex!O48</f>
        <v>1.8156337284715901E-5</v>
      </c>
      <c r="BS48" s="188">
        <f>[3]CZ_decarb_opex!P48</f>
        <v>2.5064436787536798E-4</v>
      </c>
      <c r="BT48" s="188">
        <f>[3]CZ_decarb_opex!Q48</f>
        <v>3.5868802762891103E-5</v>
      </c>
      <c r="BU48" s="188">
        <f>[3]CZ_decarb_opex!R48</f>
        <v>3.2030499721002402E-5</v>
      </c>
      <c r="BV48" s="188">
        <f>[3]CZ_decarb_opex!S48</f>
        <v>3.20304997210023E-5</v>
      </c>
      <c r="BW48" s="188">
        <f>[3]CZ_decarb_opex!T48</f>
        <v>5.12791448645609E-5</v>
      </c>
      <c r="BX48" s="188">
        <f>[3]CZ_decarb_opex!U48</f>
        <v>3.5391015542429998E-6</v>
      </c>
      <c r="BY48" s="188">
        <f>[3]CZ_decarb_opex!V48</f>
        <v>5.3010809467246002E-5</v>
      </c>
      <c r="BZ48" s="188">
        <f>[2]CZ_decarbplus_opex!BC48</f>
        <v>7.0400000000000004E-5</v>
      </c>
      <c r="CA48" s="188">
        <f>[2]CZ_decarbplus_opex!BD48</f>
        <v>5.7599999999999997E-5</v>
      </c>
      <c r="CB48" s="188">
        <f>[2]CZ_decarbplus_opex!BE48</f>
        <v>5.0099999999999998E-5</v>
      </c>
      <c r="CC48" s="188">
        <f>[2]CZ_decarbplus_opex!BF48</f>
        <v>7.8100000000000001E-5</v>
      </c>
      <c r="CD48" s="188">
        <f>[2]CZ_decarbplus_opex!BG48</f>
        <v>1.6562900000000001E-4</v>
      </c>
      <c r="CE48" s="188">
        <f>[2]CZ_decarbplus_opex!BH48</f>
        <v>9.4300000000000002E-5</v>
      </c>
      <c r="CF48" s="188">
        <f>[2]CZ_decarbplus_opex!BI48</f>
        <v>2.6768700000000001E-4</v>
      </c>
      <c r="CG48" s="188">
        <f>[2]CZ_decarbplus_opex!BJ48</f>
        <v>4.2299999999999998E-5</v>
      </c>
    </row>
    <row r="49" spans="1:85" x14ac:dyDescent="0.25">
      <c r="A49" s="5" t="s">
        <v>117</v>
      </c>
      <c r="B49" s="2" t="s">
        <v>116</v>
      </c>
      <c r="C49" s="1" t="s">
        <v>327</v>
      </c>
      <c r="D49" s="187">
        <f>[2]CZ_decarbplus_opex!B49</f>
        <v>7.9699999999999999E-6</v>
      </c>
      <c r="E49" s="187">
        <f>[2]CZ_decarbplus_opex!C49</f>
        <v>2.3700000000000002E-6</v>
      </c>
      <c r="F49" s="187">
        <f>[2]CZ_decarbplus_opex!D49</f>
        <v>5.8799999999999996E-6</v>
      </c>
      <c r="G49" s="187">
        <f>[2]CZ_decarbplus_opex!E49</f>
        <v>2.9400000000000001E-7</v>
      </c>
      <c r="H49" s="187">
        <f>[2]CZ_decarbplus_opex!F49</f>
        <v>1.08E-6</v>
      </c>
      <c r="I49" s="187">
        <f>[2]CZ_decarbplus_opex!G49</f>
        <v>2.7099999999999999E-6</v>
      </c>
      <c r="J49" s="187">
        <f>[2]CZ_decarbplus_opex!H49</f>
        <v>2.0999999999999998E-6</v>
      </c>
      <c r="K49" s="187">
        <f>[2]CZ_decarbplus_opex!I49</f>
        <v>4.63E-7</v>
      </c>
      <c r="L49" s="187">
        <f>[2]CZ_decarbplus_opex!J49</f>
        <v>5.2499999999999997E-6</v>
      </c>
      <c r="M49" s="187">
        <f>[2]CZ_decarbplus_opex!K49</f>
        <v>8.67E-6</v>
      </c>
      <c r="N49" s="187">
        <f>[2]CZ_decarbplus_opex!L49</f>
        <v>5.7200000000000003E-6</v>
      </c>
      <c r="O49" s="187">
        <f>[2]CZ_decarbplus_opex!M49</f>
        <v>7.0600000000000002E-6</v>
      </c>
      <c r="P49" s="187">
        <f>[2]CZ_decarbplus_opex!N49</f>
        <v>1.800362E-3</v>
      </c>
      <c r="Q49" s="187">
        <f>[2]CZ_decarbplus_opex!O49</f>
        <v>0.278465617</v>
      </c>
      <c r="R49" s="187">
        <f>[2]CZ_decarbplus_opex!P49</f>
        <v>6.6711230000000002E-3</v>
      </c>
      <c r="S49" s="187">
        <f>[2]CZ_decarbplus_opex!Q49</f>
        <v>5.0900000000000004E-6</v>
      </c>
      <c r="T49" s="187">
        <f>[2]CZ_decarbplus_opex!R49</f>
        <v>5.49E-6</v>
      </c>
      <c r="U49" s="187">
        <f>[2]CZ_decarbplus_opex!S49</f>
        <v>4.5700000000000003E-6</v>
      </c>
      <c r="V49" s="187">
        <f>[2]CZ_decarbplus_opex!T49</f>
        <v>5.1200000000000001E-6</v>
      </c>
      <c r="W49" s="187">
        <f>[2]CZ_decarbplus_opex!U49</f>
        <v>1.5500000000000001E-5</v>
      </c>
      <c r="X49" s="187">
        <f>[2]CZ_decarbplus_opex!V49</f>
        <v>1.0000000000000001E-5</v>
      </c>
      <c r="Y49" s="187">
        <f>[2]CZ_decarbplus_opex!W49</f>
        <v>1.15E-6</v>
      </c>
      <c r="Z49" s="187">
        <f>[2]CZ_decarbplus_opex!X49</f>
        <v>4.6E-6</v>
      </c>
      <c r="AA49" s="187">
        <f>[2]CZ_decarbplus_opex!Y49</f>
        <v>4.6199999999999998E-6</v>
      </c>
      <c r="AB49" s="188">
        <f>[3]CZ_decarb_opex!B49</f>
        <v>3.9937159948294E-6</v>
      </c>
      <c r="AC49" s="188">
        <f>[3]CZ_decarb_opex!C49</f>
        <v>3.74635817041086E-6</v>
      </c>
      <c r="AD49" s="188">
        <f>[3]CZ_decarb_opex!D49</f>
        <v>1.87546934869326E-5</v>
      </c>
      <c r="AE49" s="188">
        <f>[2]CZ_decarbplus_opex!Z49</f>
        <v>1.8899999999999999E-5</v>
      </c>
      <c r="AF49" s="188">
        <f>[2]CZ_decarbplus_opex!AA49</f>
        <v>1.33497E-4</v>
      </c>
      <c r="AG49" s="188">
        <f>[2]CZ_decarbplus_opex!AB49</f>
        <v>1.6851400000000001E-4</v>
      </c>
      <c r="AH49" s="188">
        <f>[2]CZ_decarbplus_opex!AC49</f>
        <v>7.7700000000000001E-6</v>
      </c>
      <c r="AI49" s="188">
        <f>[2]CZ_decarbplus_opex!AD49</f>
        <v>8.8100000000000004E-6</v>
      </c>
      <c r="AJ49" s="188">
        <f>[2]CZ_decarbplus_opex!AE49</f>
        <v>4.4900000000000002E-6</v>
      </c>
      <c r="AK49" s="188">
        <f>[2]CZ_decarbplus_opex!AF49</f>
        <v>6.2999999999999998E-6</v>
      </c>
      <c r="AL49" s="188">
        <f>[3]CZ_decarb_opex!E49</f>
        <v>3.8488087742265197E-6</v>
      </c>
      <c r="AM49" s="188">
        <f>[3]CZ_decarb_opex!F49</f>
        <v>3.7644988565453001E-6</v>
      </c>
      <c r="AN49" s="188">
        <f>[2]CZ_decarbplus_opex!AG49</f>
        <v>7.3499999999999999E-6</v>
      </c>
      <c r="AO49" s="188">
        <f>[3]CZ_decarb_opex!G49</f>
        <v>5.4997797144517398E-6</v>
      </c>
      <c r="AP49" s="188">
        <f>[3]CZ_decarb_opex!H49</f>
        <v>6.3418579603049303E-6</v>
      </c>
      <c r="AQ49" s="188">
        <f>[2]CZ_decarbplus_opex!AH49</f>
        <v>6.4899999999999997E-6</v>
      </c>
      <c r="AR49" s="188">
        <f>[2]CZ_decarbplus_opex!AI49</f>
        <v>0</v>
      </c>
      <c r="AS49" s="188">
        <f>[2]CZ_decarbplus_opex!AJ49</f>
        <v>5.8799999999999996E-6</v>
      </c>
      <c r="AT49" s="188">
        <f>[2]CZ_decarbplus_opex!AK49</f>
        <v>5.66E-6</v>
      </c>
      <c r="AU49" s="188">
        <f>[2]CZ_decarbplus_opex!AL49</f>
        <v>2.7300000000000001E-6</v>
      </c>
      <c r="AV49" s="188">
        <f>[2]CZ_decarbplus_opex!AM49</f>
        <v>2.52E-6</v>
      </c>
      <c r="AW49" s="188">
        <f>[2]CZ_decarbplus_opex!AN49</f>
        <v>3.3799999999999998E-6</v>
      </c>
      <c r="AX49" s="188">
        <f>[2]CZ_decarbplus_opex!AO49</f>
        <v>0</v>
      </c>
      <c r="AY49" s="188">
        <f>[2]CZ_decarbplus_opex!AP49</f>
        <v>3.8600000000000003E-6</v>
      </c>
      <c r="AZ49" s="188">
        <f>[2]CZ_decarbplus_opex!AQ49</f>
        <v>0</v>
      </c>
      <c r="BA49" s="188">
        <f>[2]CZ_decarbplus_opex!AR49</f>
        <v>9.91E-6</v>
      </c>
      <c r="BB49" s="188">
        <f>[2]CZ_decarbplus_opex!AS49</f>
        <v>3.5099999999999999E-5</v>
      </c>
      <c r="BC49" s="188">
        <f>[2]CZ_decarbplus_opex!AT49</f>
        <v>3.3200000000000001E-5</v>
      </c>
      <c r="BD49" s="188">
        <f>[2]CZ_decarbplus_opex!AU49</f>
        <v>5.0100000000000003E-6</v>
      </c>
      <c r="BE49" s="188">
        <f>[2]CZ_decarbplus_opex!AV49</f>
        <v>1.2099999999999999E-5</v>
      </c>
      <c r="BF49" s="188">
        <f>[2]CZ_decarbplus_opex!AW49</f>
        <v>1.19E-5</v>
      </c>
      <c r="BG49" s="188">
        <f>[2]CZ_decarbplus_opex!AX49</f>
        <v>1.8099999999999999E-5</v>
      </c>
      <c r="BH49" s="188">
        <f>[3]CZ_decarb_opex!I49</f>
        <v>7.7052965174381302E-5</v>
      </c>
      <c r="BI49" s="188">
        <f>[2]CZ_decarbplus_opex!AY49</f>
        <v>5.7200000000000001E-5</v>
      </c>
      <c r="BJ49" s="188">
        <f>[2]CZ_decarbplus_opex!AZ49</f>
        <v>4.7700000000000001E-5</v>
      </c>
      <c r="BK49" s="188">
        <f>[2]CZ_decarbplus_opex!BA49</f>
        <v>1.55E-6</v>
      </c>
      <c r="BL49" s="188">
        <f>[2]CZ_decarbplus_opex!BB49</f>
        <v>0</v>
      </c>
      <c r="BM49" s="188">
        <f>[3]CZ_decarb_opex!J49</f>
        <v>1.6104253864852199E-6</v>
      </c>
      <c r="BN49" s="188">
        <f>[3]CZ_decarb_opex!K49</f>
        <v>2.7196791191272901E-6</v>
      </c>
      <c r="BO49" s="188">
        <f>[3]CZ_decarb_opex!L49</f>
        <v>8.6580073394470405E-7</v>
      </c>
      <c r="BP49" s="188">
        <f>[3]CZ_decarb_opex!M49</f>
        <v>1.0664788019114999E-6</v>
      </c>
      <c r="BQ49" s="188">
        <f>[3]CZ_decarb_opex!N49</f>
        <v>1.4929371201816201E-6</v>
      </c>
      <c r="BR49" s="188">
        <f>[3]CZ_decarb_opex!O49</f>
        <v>3.6647292462081003E-7</v>
      </c>
      <c r="BS49" s="188">
        <f>[3]CZ_decarb_opex!P49</f>
        <v>2.48266787941098E-6</v>
      </c>
      <c r="BT49" s="188">
        <f>[3]CZ_decarb_opex!Q49</f>
        <v>8.0246882193531494E-6</v>
      </c>
      <c r="BU49" s="188">
        <f>[3]CZ_decarb_opex!R49</f>
        <v>6.1016822465103305E-7</v>
      </c>
      <c r="BV49" s="188">
        <f>[3]CZ_decarb_opex!S49</f>
        <v>6.1016822465103496E-7</v>
      </c>
      <c r="BW49" s="188">
        <f>[3]CZ_decarb_opex!T49</f>
        <v>2.4480172394514001E-5</v>
      </c>
      <c r="BX49" s="188">
        <f>[3]CZ_decarb_opex!U49</f>
        <v>7.21361392866545E-7</v>
      </c>
      <c r="BY49" s="188">
        <f>[3]CZ_decarb_opex!V49</f>
        <v>6.01472999163291E-6</v>
      </c>
      <c r="BZ49" s="188">
        <f>[2]CZ_decarbplus_opex!BC49</f>
        <v>1.3599999999999999E-6</v>
      </c>
      <c r="CA49" s="188">
        <f>[2]CZ_decarbplus_opex!BD49</f>
        <v>9.2900000000000002E-7</v>
      </c>
      <c r="CB49" s="188">
        <f>[2]CZ_decarbplus_opex!BE49</f>
        <v>9.9099999999999991E-7</v>
      </c>
      <c r="CC49" s="188">
        <f>[2]CZ_decarbplus_opex!BF49</f>
        <v>4.6699999999999999E-7</v>
      </c>
      <c r="CD49" s="188">
        <f>[2]CZ_decarbplus_opex!BG49</f>
        <v>2.5600000000000001E-6</v>
      </c>
      <c r="CE49" s="188">
        <f>[2]CZ_decarbplus_opex!BH49</f>
        <v>1.8300000000000001E-6</v>
      </c>
      <c r="CF49" s="188">
        <f>[2]CZ_decarbplus_opex!BI49</f>
        <v>3.0299999999999998E-6</v>
      </c>
      <c r="CG49" s="188">
        <f>[2]CZ_decarbplus_opex!BJ49</f>
        <v>8.1699999999999997E-7</v>
      </c>
    </row>
    <row r="50" spans="1:85" x14ac:dyDescent="0.25">
      <c r="A50" s="5" t="s">
        <v>119</v>
      </c>
      <c r="B50" s="2" t="s">
        <v>118</v>
      </c>
      <c r="C50" s="1" t="s">
        <v>327</v>
      </c>
      <c r="D50" s="187">
        <f>[2]CZ_decarbplus_opex!B50</f>
        <v>1.5800000000000001E-5</v>
      </c>
      <c r="E50" s="187">
        <f>[2]CZ_decarbplus_opex!C50</f>
        <v>3.72E-6</v>
      </c>
      <c r="F50" s="187">
        <f>[2]CZ_decarbplus_opex!D50</f>
        <v>6.7100000000000001E-6</v>
      </c>
      <c r="G50" s="187">
        <f>[2]CZ_decarbplus_opex!E50</f>
        <v>2.84E-7</v>
      </c>
      <c r="H50" s="187">
        <f>[2]CZ_decarbplus_opex!F50</f>
        <v>4.27E-7</v>
      </c>
      <c r="I50" s="187">
        <f>[2]CZ_decarbplus_opex!G50</f>
        <v>4.25E-6</v>
      </c>
      <c r="J50" s="187">
        <f>[2]CZ_decarbplus_opex!H50</f>
        <v>8.5599999999999994E-6</v>
      </c>
      <c r="K50" s="187">
        <f>[2]CZ_decarbplus_opex!I50</f>
        <v>5.9100000000000004E-7</v>
      </c>
      <c r="L50" s="187">
        <f>[2]CZ_decarbplus_opex!J50</f>
        <v>1.5699999999999999E-5</v>
      </c>
      <c r="M50" s="187">
        <f>[2]CZ_decarbplus_opex!K50</f>
        <v>1.26E-5</v>
      </c>
      <c r="N50" s="187">
        <f>[2]CZ_decarbplus_opex!L50</f>
        <v>1.06E-5</v>
      </c>
      <c r="O50" s="187">
        <f>[2]CZ_decarbplus_opex!M50</f>
        <v>5.8900000000000004E-6</v>
      </c>
      <c r="P50" s="187">
        <f>[2]CZ_decarbplus_opex!N50</f>
        <v>6.2199999999999994E-5</v>
      </c>
      <c r="Q50" s="187">
        <f>[2]CZ_decarbplus_opex!O50</f>
        <v>1.355754E-3</v>
      </c>
      <c r="R50" s="187">
        <f>[2]CZ_decarbplus_opex!P50</f>
        <v>0.47185125100000003</v>
      </c>
      <c r="S50" s="187">
        <f>[2]CZ_decarbplus_opex!Q50</f>
        <v>7.4200000000000001E-6</v>
      </c>
      <c r="T50" s="187">
        <f>[2]CZ_decarbplus_opex!R50</f>
        <v>7.79E-6</v>
      </c>
      <c r="U50" s="187">
        <f>[2]CZ_decarbplus_opex!S50</f>
        <v>6.63E-6</v>
      </c>
      <c r="V50" s="187">
        <f>[2]CZ_decarbplus_opex!T50</f>
        <v>6.1800000000000001E-6</v>
      </c>
      <c r="W50" s="187">
        <f>[2]CZ_decarbplus_opex!U50</f>
        <v>2.0699999999999998E-5</v>
      </c>
      <c r="X50" s="187">
        <f>[2]CZ_decarbplus_opex!V50</f>
        <v>7.9300000000000003E-6</v>
      </c>
      <c r="Y50" s="187">
        <f>[2]CZ_decarbplus_opex!W50</f>
        <v>4.3800000000000004E-6</v>
      </c>
      <c r="Z50" s="187">
        <f>[2]CZ_decarbplus_opex!X50</f>
        <v>5.5500000000000002E-6</v>
      </c>
      <c r="AA50" s="187">
        <f>[2]CZ_decarbplus_opex!Y50</f>
        <v>3.0199999999999999E-6</v>
      </c>
      <c r="AB50" s="188">
        <f>[3]CZ_decarb_opex!B50</f>
        <v>4.6404280930667401E-6</v>
      </c>
      <c r="AC50" s="188">
        <f>[3]CZ_decarb_opex!C50</f>
        <v>2.0018004468520099E-6</v>
      </c>
      <c r="AD50" s="188">
        <f>[3]CZ_decarb_opex!D50</f>
        <v>3.59962801255467E-6</v>
      </c>
      <c r="AE50" s="188">
        <f>[2]CZ_decarbplus_opex!Z50</f>
        <v>3.7400000000000002E-6</v>
      </c>
      <c r="AF50" s="188">
        <f>[2]CZ_decarbplus_opex!AA50</f>
        <v>1.7900000000000001E-5</v>
      </c>
      <c r="AG50" s="188">
        <f>[2]CZ_decarbplus_opex!AB50</f>
        <v>9.0799999999999998E-5</v>
      </c>
      <c r="AH50" s="188">
        <f>[2]CZ_decarbplus_opex!AC50</f>
        <v>7.96E-6</v>
      </c>
      <c r="AI50" s="188">
        <f>[2]CZ_decarbplus_opex!AD50</f>
        <v>1.03E-5</v>
      </c>
      <c r="AJ50" s="188">
        <f>[2]CZ_decarbplus_opex!AE50</f>
        <v>4.6700000000000002E-6</v>
      </c>
      <c r="AK50" s="188">
        <f>[2]CZ_decarbplus_opex!AF50</f>
        <v>4.95E-6</v>
      </c>
      <c r="AL50" s="188">
        <f>[3]CZ_decarb_opex!E50</f>
        <v>4.2862781362918497E-6</v>
      </c>
      <c r="AM50" s="188">
        <f>[3]CZ_decarb_opex!F50</f>
        <v>4.0189952039578999E-6</v>
      </c>
      <c r="AN50" s="188">
        <f>[2]CZ_decarbplus_opex!AG50</f>
        <v>7.0899999999999999E-6</v>
      </c>
      <c r="AO50" s="188">
        <f>[3]CZ_decarb_opex!G50</f>
        <v>6.9958840076039602E-6</v>
      </c>
      <c r="AP50" s="188">
        <f>[3]CZ_decarb_opex!H50</f>
        <v>7.5282174288838004E-6</v>
      </c>
      <c r="AQ50" s="188">
        <f>[2]CZ_decarbplus_opex!AH50</f>
        <v>9.3400000000000004E-6</v>
      </c>
      <c r="AR50" s="188">
        <f>[2]CZ_decarbplus_opex!AI50</f>
        <v>0</v>
      </c>
      <c r="AS50" s="188">
        <f>[2]CZ_decarbplus_opex!AJ50</f>
        <v>8.1300000000000001E-6</v>
      </c>
      <c r="AT50" s="188">
        <f>[2]CZ_decarbplus_opex!AK50</f>
        <v>7.7800000000000001E-6</v>
      </c>
      <c r="AU50" s="188">
        <f>[2]CZ_decarbplus_opex!AL50</f>
        <v>1.6199999999999999E-6</v>
      </c>
      <c r="AV50" s="188">
        <f>[2]CZ_decarbplus_opex!AM50</f>
        <v>1.24E-6</v>
      </c>
      <c r="AW50" s="188">
        <f>[2]CZ_decarbplus_opex!AN50</f>
        <v>5.4399999999999996E-6</v>
      </c>
      <c r="AX50" s="188">
        <f>[2]CZ_decarbplus_opex!AO50</f>
        <v>0</v>
      </c>
      <c r="AY50" s="188">
        <f>[2]CZ_decarbplus_opex!AP50</f>
        <v>1.01E-5</v>
      </c>
      <c r="AZ50" s="188">
        <f>[2]CZ_decarbplus_opex!AQ50</f>
        <v>0</v>
      </c>
      <c r="BA50" s="188">
        <f>[2]CZ_decarbplus_opex!AR50</f>
        <v>7.79E-6</v>
      </c>
      <c r="BB50" s="188">
        <f>[2]CZ_decarbplus_opex!AS50</f>
        <v>1.7900000000000001E-5</v>
      </c>
      <c r="BC50" s="188">
        <f>[2]CZ_decarbplus_opex!AT50</f>
        <v>8.8599999999999999E-6</v>
      </c>
      <c r="BD50" s="188">
        <f>[2]CZ_decarbplus_opex!AU50</f>
        <v>1.7E-5</v>
      </c>
      <c r="BE50" s="188">
        <f>[2]CZ_decarbplus_opex!AV50</f>
        <v>2.7800000000000001E-5</v>
      </c>
      <c r="BF50" s="188">
        <f>[2]CZ_decarbplus_opex!AW50</f>
        <v>9.9699999999999998E-5</v>
      </c>
      <c r="BG50" s="188">
        <f>[2]CZ_decarbplus_opex!AX50</f>
        <v>2.9099999999999999E-5</v>
      </c>
      <c r="BH50" s="188">
        <f>[3]CZ_decarb_opex!I50</f>
        <v>6.7204607742409595E-5</v>
      </c>
      <c r="BI50" s="188">
        <f>[2]CZ_decarbplus_opex!AY50</f>
        <v>4.18E-5</v>
      </c>
      <c r="BJ50" s="188">
        <f>[2]CZ_decarbplus_opex!AZ50</f>
        <v>1.21033E-4</v>
      </c>
      <c r="BK50" s="188">
        <f>[2]CZ_decarbplus_opex!BA50</f>
        <v>5.7300000000000002E-6</v>
      </c>
      <c r="BL50" s="188">
        <f>[2]CZ_decarbplus_opex!BB50</f>
        <v>0</v>
      </c>
      <c r="BM50" s="188">
        <f>[3]CZ_decarb_opex!J50</f>
        <v>1.7604852424847899E-6</v>
      </c>
      <c r="BN50" s="188">
        <f>[3]CZ_decarb_opex!K50</f>
        <v>2.95970951753323E-6</v>
      </c>
      <c r="BO50" s="188">
        <f>[3]CZ_decarb_opex!L50</f>
        <v>9.5815645015156594E-7</v>
      </c>
      <c r="BP50" s="188">
        <f>[3]CZ_decarb_opex!M50</f>
        <v>7.14726786245756E-7</v>
      </c>
      <c r="BQ50" s="188">
        <f>[3]CZ_decarb_opex!N50</f>
        <v>6.2282904416479396E-7</v>
      </c>
      <c r="BR50" s="188">
        <f>[3]CZ_decarb_opex!O50</f>
        <v>6.10649448776822E-7</v>
      </c>
      <c r="BS50" s="188">
        <f>[3]CZ_decarb_opex!P50</f>
        <v>2.7664162520423698E-6</v>
      </c>
      <c r="BT50" s="188">
        <f>[3]CZ_decarb_opex!Q50</f>
        <v>6.6973429401645503E-6</v>
      </c>
      <c r="BU50" s="188">
        <f>[3]CZ_decarb_opex!R50</f>
        <v>4.91613032114312E-7</v>
      </c>
      <c r="BV50" s="188">
        <f>[3]CZ_decarb_opex!S50</f>
        <v>4.9161303211431295E-7</v>
      </c>
      <c r="BW50" s="188">
        <f>[3]CZ_decarb_opex!T50</f>
        <v>4.1638127709147501E-6</v>
      </c>
      <c r="BX50" s="188">
        <f>[3]CZ_decarb_opex!U50</f>
        <v>3.61659053187557E-7</v>
      </c>
      <c r="BY50" s="188">
        <f>[3]CZ_decarb_opex!V50</f>
        <v>8.9242126458808296E-6</v>
      </c>
      <c r="BZ50" s="188">
        <f>[2]CZ_decarbplus_opex!BC50</f>
        <v>1.28E-6</v>
      </c>
      <c r="CA50" s="188">
        <f>[2]CZ_decarbplus_opex!BD50</f>
        <v>9.2500000000000004E-7</v>
      </c>
      <c r="CB50" s="188">
        <f>[2]CZ_decarbplus_opex!BE50</f>
        <v>1.0499999999999999E-6</v>
      </c>
      <c r="CC50" s="188">
        <f>[2]CZ_decarbplus_opex!BF50</f>
        <v>7.1099999999999995E-7</v>
      </c>
      <c r="CD50" s="188">
        <f>[2]CZ_decarbplus_opex!BG50</f>
        <v>5.6200000000000004E-6</v>
      </c>
      <c r="CE50" s="188">
        <f>[2]CZ_decarbplus_opex!BH50</f>
        <v>3.1E-6</v>
      </c>
      <c r="CF50" s="188">
        <f>[2]CZ_decarbplus_opex!BI50</f>
        <v>2.9799999999999998E-6</v>
      </c>
      <c r="CG50" s="188">
        <f>[2]CZ_decarbplus_opex!BJ50</f>
        <v>4.4799999999999999E-7</v>
      </c>
    </row>
    <row r="51" spans="1:85" x14ac:dyDescent="0.25">
      <c r="A51" s="5" t="s">
        <v>121</v>
      </c>
      <c r="B51" s="2" t="s">
        <v>120</v>
      </c>
      <c r="C51" s="1" t="s">
        <v>327</v>
      </c>
      <c r="D51" s="187">
        <f>[2]CZ_decarbplus_opex!B51</f>
        <v>4.1513299999999998E-4</v>
      </c>
      <c r="E51" s="187">
        <f>[2]CZ_decarbplus_opex!C51</f>
        <v>1.9435000000000001E-4</v>
      </c>
      <c r="F51" s="187">
        <f>[2]CZ_decarbplus_opex!D51</f>
        <v>1.64253E-4</v>
      </c>
      <c r="G51" s="187">
        <f>[2]CZ_decarbplus_opex!E51</f>
        <v>5.13E-5</v>
      </c>
      <c r="H51" s="187">
        <f>[2]CZ_decarbplus_opex!F51</f>
        <v>5.3499999999999999E-5</v>
      </c>
      <c r="I51" s="187">
        <f>[2]CZ_decarbplus_opex!G51</f>
        <v>3.6817799999999998E-4</v>
      </c>
      <c r="J51" s="187">
        <f>[2]CZ_decarbplus_opex!H51</f>
        <v>5.35882E-4</v>
      </c>
      <c r="K51" s="187">
        <f>[2]CZ_decarbplus_opex!I51</f>
        <v>1.0163200000000001E-4</v>
      </c>
      <c r="L51" s="187">
        <f>[2]CZ_decarbplus_opex!J51</f>
        <v>5.5251300000000003E-4</v>
      </c>
      <c r="M51" s="187">
        <f>[2]CZ_decarbplus_opex!K51</f>
        <v>1.163421E-3</v>
      </c>
      <c r="N51" s="187">
        <f>[2]CZ_decarbplus_opex!L51</f>
        <v>8.5625100000000004E-4</v>
      </c>
      <c r="O51" s="187">
        <f>[2]CZ_decarbplus_opex!M51</f>
        <v>3.9254140000000003E-3</v>
      </c>
      <c r="P51" s="187">
        <f>[2]CZ_decarbplus_opex!N51</f>
        <v>1.0979290000000001E-3</v>
      </c>
      <c r="Q51" s="187">
        <f>[2]CZ_decarbplus_opex!O51</f>
        <v>4.5521400000000001E-4</v>
      </c>
      <c r="R51" s="187">
        <f>[2]CZ_decarbplus_opex!P51</f>
        <v>6.2751199999999999E-4</v>
      </c>
      <c r="S51" s="187">
        <f>[2]CZ_decarbplus_opex!Q51</f>
        <v>0.19527950599999999</v>
      </c>
      <c r="T51" s="187">
        <f>[2]CZ_decarbplus_opex!R51</f>
        <v>0.201708093</v>
      </c>
      <c r="U51" s="187">
        <f>[2]CZ_decarbplus_opex!S51</f>
        <v>7.5990184000000002E-2</v>
      </c>
      <c r="V51" s="187">
        <f>[2]CZ_decarbplus_opex!T51</f>
        <v>1.2860549999999999E-3</v>
      </c>
      <c r="W51" s="187">
        <f>[2]CZ_decarbplus_opex!U51</f>
        <v>3.7197921000000002E-2</v>
      </c>
      <c r="X51" s="187">
        <f>[2]CZ_decarbplus_opex!V51</f>
        <v>1.0097839999999999E-3</v>
      </c>
      <c r="Y51" s="187">
        <f>[2]CZ_decarbplus_opex!W51</f>
        <v>1.42211E-4</v>
      </c>
      <c r="Z51" s="187">
        <f>[2]CZ_decarbplus_opex!X51</f>
        <v>3.4868399999999998E-4</v>
      </c>
      <c r="AA51" s="187">
        <f>[2]CZ_decarbplus_opex!Y51</f>
        <v>5.4027700000000003E-4</v>
      </c>
      <c r="AB51" s="188">
        <f>[3]CZ_decarb_opex!B51</f>
        <v>2.71673886211382E-4</v>
      </c>
      <c r="AC51" s="188">
        <f>[3]CZ_decarb_opex!C51</f>
        <v>2.3819806318764801E-3</v>
      </c>
      <c r="AD51" s="188">
        <f>[3]CZ_decarb_opex!D51</f>
        <v>7.4207903223627602E-4</v>
      </c>
      <c r="AE51" s="188">
        <f>[2]CZ_decarbplus_opex!Z51</f>
        <v>6.8092700000000001E-4</v>
      </c>
      <c r="AF51" s="188">
        <f>[2]CZ_decarbplus_opex!AA51</f>
        <v>2.7066709999999999E-3</v>
      </c>
      <c r="AG51" s="188">
        <f>[2]CZ_decarbplus_opex!AB51</f>
        <v>8.3693589999999998E-3</v>
      </c>
      <c r="AH51" s="188">
        <f>[2]CZ_decarbplus_opex!AC51</f>
        <v>6.0603590000000004E-3</v>
      </c>
      <c r="AI51" s="188">
        <f>[2]CZ_decarbplus_opex!AD51</f>
        <v>1.1081094999999999E-2</v>
      </c>
      <c r="AJ51" s="188">
        <f>[2]CZ_decarbplus_opex!AE51</f>
        <v>1.3033045E-2</v>
      </c>
      <c r="AK51" s="188">
        <f>[2]CZ_decarbplus_opex!AF51</f>
        <v>5.1698040000000001E-3</v>
      </c>
      <c r="AL51" s="188">
        <f>[3]CZ_decarb_opex!E51</f>
        <v>1.2536370173504799E-3</v>
      </c>
      <c r="AM51" s="188">
        <f>[3]CZ_decarb_opex!F51</f>
        <v>1.1594382829699899E-3</v>
      </c>
      <c r="AN51" s="188">
        <f>[2]CZ_decarbplus_opex!AG51</f>
        <v>4.4175550000000001E-3</v>
      </c>
      <c r="AO51" s="188">
        <f>[3]CZ_decarb_opex!G51</f>
        <v>2.7790431304786499E-2</v>
      </c>
      <c r="AP51" s="188">
        <f>[3]CZ_decarb_opex!H51</f>
        <v>3.1783979298286198E-2</v>
      </c>
      <c r="AQ51" s="188">
        <f>[2]CZ_decarbplus_opex!AH51</f>
        <v>6.2069394999999999E-2</v>
      </c>
      <c r="AR51" s="188">
        <f>[2]CZ_decarbplus_opex!AI51</f>
        <v>0</v>
      </c>
      <c r="AS51" s="188">
        <f>[2]CZ_decarbplus_opex!AJ51</f>
        <v>3.3793704000000001E-2</v>
      </c>
      <c r="AT51" s="188">
        <f>[2]CZ_decarbplus_opex!AK51</f>
        <v>3.3573730000000003E-2</v>
      </c>
      <c r="AU51" s="188">
        <f>[2]CZ_decarbplus_opex!AL51</f>
        <v>7.2049200000000001E-3</v>
      </c>
      <c r="AV51" s="188">
        <f>[2]CZ_decarbplus_opex!AM51</f>
        <v>5.3222779999999997E-3</v>
      </c>
      <c r="AW51" s="188">
        <f>[2]CZ_decarbplus_opex!AN51</f>
        <v>2.1147239000000002E-2</v>
      </c>
      <c r="AX51" s="188">
        <f>[2]CZ_decarbplus_opex!AO51</f>
        <v>0</v>
      </c>
      <c r="AY51" s="188">
        <f>[2]CZ_decarbplus_opex!AP51</f>
        <v>4.5336178999999997E-2</v>
      </c>
      <c r="AZ51" s="188">
        <f>[2]CZ_decarbplus_opex!AQ51</f>
        <v>0</v>
      </c>
      <c r="BA51" s="188">
        <f>[2]CZ_decarbplus_opex!AR51</f>
        <v>5.4107453999999999E-2</v>
      </c>
      <c r="BB51" s="188">
        <f>[2]CZ_decarbplus_opex!AS51</f>
        <v>1.8503219999999999E-3</v>
      </c>
      <c r="BC51" s="188">
        <f>[2]CZ_decarbplus_opex!AT51</f>
        <v>1.973631E-3</v>
      </c>
      <c r="BD51" s="188">
        <f>[2]CZ_decarbplus_opex!AU51</f>
        <v>9.0099999999999995E-5</v>
      </c>
      <c r="BE51" s="188">
        <f>[2]CZ_decarbplus_opex!AV51</f>
        <v>7.0293999999999999E-4</v>
      </c>
      <c r="BF51" s="188">
        <f>[2]CZ_decarbplus_opex!AW51</f>
        <v>9.2744699999999997E-4</v>
      </c>
      <c r="BG51" s="188">
        <f>[2]CZ_decarbplus_opex!AX51</f>
        <v>3.2789709999999999E-3</v>
      </c>
      <c r="BH51" s="188">
        <f>[3]CZ_decarb_opex!I51</f>
        <v>1.3233677161854E-2</v>
      </c>
      <c r="BI51" s="188">
        <f>[2]CZ_decarbplus_opex!AY51</f>
        <v>3.9353729999999998E-3</v>
      </c>
      <c r="BJ51" s="188">
        <f>[2]CZ_decarbplus_opex!AZ51</f>
        <v>5.7714612999999998E-2</v>
      </c>
      <c r="BK51" s="188">
        <f>[2]CZ_decarbplus_opex!BA51</f>
        <v>2.9907689999999999E-3</v>
      </c>
      <c r="BL51" s="188">
        <f>[2]CZ_decarbplus_opex!BB51</f>
        <v>0</v>
      </c>
      <c r="BM51" s="188">
        <f>[3]CZ_decarb_opex!J51</f>
        <v>4.4582490103133097E-4</v>
      </c>
      <c r="BN51" s="188">
        <f>[3]CZ_decarb_opex!K51</f>
        <v>7.1196309553209398E-4</v>
      </c>
      <c r="BO51" s="188">
        <f>[3]CZ_decarb_opex!L51</f>
        <v>2.13522569107786E-4</v>
      </c>
      <c r="BP51" s="188">
        <f>[3]CZ_decarb_opex!M51</f>
        <v>2.3676825782057399E-4</v>
      </c>
      <c r="BQ51" s="188">
        <f>[3]CZ_decarb_opex!N51</f>
        <v>2.5193515424108801E-4</v>
      </c>
      <c r="BR51" s="188">
        <f>[3]CZ_decarb_opex!O51</f>
        <v>1.85400503554303E-4</v>
      </c>
      <c r="BS51" s="188">
        <f>[3]CZ_decarb_opex!P51</f>
        <v>6.5517888795054498E-4</v>
      </c>
      <c r="BT51" s="188">
        <f>[3]CZ_decarb_opex!Q51</f>
        <v>1.9985969887756001E-3</v>
      </c>
      <c r="BU51" s="188">
        <f>[3]CZ_decarb_opex!R51</f>
        <v>1.20007986034433E-4</v>
      </c>
      <c r="BV51" s="188">
        <f>[3]CZ_decarb_opex!S51</f>
        <v>1.20007986034433E-4</v>
      </c>
      <c r="BW51" s="188">
        <f>[3]CZ_decarb_opex!T51</f>
        <v>1.00780297849118E-4</v>
      </c>
      <c r="BX51" s="188">
        <f>[3]CZ_decarb_opex!U51</f>
        <v>1.28763982625229E-5</v>
      </c>
      <c r="BY51" s="188">
        <f>[3]CZ_decarb_opex!V51</f>
        <v>2.43710791122305E-5</v>
      </c>
      <c r="BZ51" s="188">
        <f>[2]CZ_decarbplus_opex!BC51</f>
        <v>4.1317200000000001E-4</v>
      </c>
      <c r="CA51" s="188">
        <f>[2]CZ_decarbplus_opex!BD51</f>
        <v>3.17399E-4</v>
      </c>
      <c r="CB51" s="188">
        <f>[2]CZ_decarbplus_opex!BE51</f>
        <v>3.4259600000000002E-4</v>
      </c>
      <c r="CC51" s="188">
        <f>[2]CZ_decarbplus_opex!BF51</f>
        <v>2.3593299999999999E-4</v>
      </c>
      <c r="CD51" s="188">
        <f>[2]CZ_decarbplus_opex!BG51</f>
        <v>1.1761950000000001E-3</v>
      </c>
      <c r="CE51" s="188">
        <f>[2]CZ_decarbplus_opex!BH51</f>
        <v>1.5661620000000001E-3</v>
      </c>
      <c r="CF51" s="188">
        <f>[2]CZ_decarbplus_opex!BI51</f>
        <v>9.4683099999999997E-4</v>
      </c>
      <c r="CG51" s="188">
        <f>[2]CZ_decarbplus_opex!BJ51</f>
        <v>8.8999999999999995E-5</v>
      </c>
    </row>
    <row r="52" spans="1:85" x14ac:dyDescent="0.25">
      <c r="A52" s="5" t="s">
        <v>123</v>
      </c>
      <c r="B52" s="2" t="s">
        <v>122</v>
      </c>
      <c r="C52" s="1" t="s">
        <v>327</v>
      </c>
      <c r="D52" s="187">
        <f>[2]CZ_decarbplus_opex!B52</f>
        <v>4.5800000000000002E-5</v>
      </c>
      <c r="E52" s="187">
        <f>[2]CZ_decarbplus_opex!C52</f>
        <v>1.6699999999999999E-5</v>
      </c>
      <c r="F52" s="187">
        <f>[2]CZ_decarbplus_opex!D52</f>
        <v>1.31E-5</v>
      </c>
      <c r="G52" s="187">
        <f>[2]CZ_decarbplus_opex!E52</f>
        <v>2.83E-6</v>
      </c>
      <c r="H52" s="187">
        <f>[2]CZ_decarbplus_opex!F52</f>
        <v>3.54E-6</v>
      </c>
      <c r="I52" s="187">
        <f>[2]CZ_decarbplus_opex!G52</f>
        <v>3.4E-5</v>
      </c>
      <c r="J52" s="187">
        <f>[2]CZ_decarbplus_opex!H52</f>
        <v>3.5299999999999997E-5</v>
      </c>
      <c r="K52" s="187">
        <f>[2]CZ_decarbplus_opex!I52</f>
        <v>5.9100000000000002E-6</v>
      </c>
      <c r="L52" s="187">
        <f>[2]CZ_decarbplus_opex!J52</f>
        <v>3.7799999999999997E-5</v>
      </c>
      <c r="M52" s="187">
        <f>[2]CZ_decarbplus_opex!K52</f>
        <v>8.2100000000000003E-5</v>
      </c>
      <c r="N52" s="187">
        <f>[2]CZ_decarbplus_opex!L52</f>
        <v>5.4299999999999998E-5</v>
      </c>
      <c r="O52" s="187">
        <f>[2]CZ_decarbplus_opex!M52</f>
        <v>2.50578E-4</v>
      </c>
      <c r="P52" s="187">
        <f>[2]CZ_decarbplus_opex!N52</f>
        <v>9.3900000000000006E-5</v>
      </c>
      <c r="Q52" s="187">
        <f>[2]CZ_decarbplus_opex!O52</f>
        <v>5.5600000000000003E-5</v>
      </c>
      <c r="R52" s="187">
        <f>[2]CZ_decarbplus_opex!P52</f>
        <v>1.6269900000000001E-4</v>
      </c>
      <c r="S52" s="187">
        <f>[2]CZ_decarbplus_opex!Q52</f>
        <v>1.5677152E-2</v>
      </c>
      <c r="T52" s="187">
        <f>[2]CZ_decarbplus_opex!R52</f>
        <v>1.6236433000000002E-2</v>
      </c>
      <c r="U52" s="187">
        <f>[2]CZ_decarbplus_opex!S52</f>
        <v>6.1790389999999999E-3</v>
      </c>
      <c r="V52" s="187">
        <f>[2]CZ_decarbplus_opex!T52</f>
        <v>9.6299999999999996E-5</v>
      </c>
      <c r="W52" s="187">
        <f>[2]CZ_decarbplus_opex!U52</f>
        <v>3.0519050000000002E-3</v>
      </c>
      <c r="X52" s="187">
        <f>[2]CZ_decarbplus_opex!V52</f>
        <v>1.0691099999999999E-4</v>
      </c>
      <c r="Y52" s="187">
        <f>[2]CZ_decarbplus_opex!W52</f>
        <v>1.11E-5</v>
      </c>
      <c r="Z52" s="187">
        <f>[2]CZ_decarbplus_opex!X52</f>
        <v>1.8E-5</v>
      </c>
      <c r="AA52" s="187">
        <f>[2]CZ_decarbplus_opex!Y52</f>
        <v>3.3200000000000001E-5</v>
      </c>
      <c r="AB52" s="188">
        <f>[3]CZ_decarb_opex!B52</f>
        <v>1.4921851079568299E-5</v>
      </c>
      <c r="AC52" s="188">
        <f>[3]CZ_decarb_opex!C52</f>
        <v>1.6636903224247901E-4</v>
      </c>
      <c r="AD52" s="188">
        <f>[3]CZ_decarb_opex!D52</f>
        <v>3.8970665702097398E-5</v>
      </c>
      <c r="AE52" s="188">
        <f>[2]CZ_decarbplus_opex!Z52</f>
        <v>3.5099999999999999E-5</v>
      </c>
      <c r="AF52" s="188">
        <f>[2]CZ_decarbplus_opex!AA52</f>
        <v>2.25443E-4</v>
      </c>
      <c r="AG52" s="188">
        <f>[2]CZ_decarbplus_opex!AB52</f>
        <v>7.6320399999999997E-4</v>
      </c>
      <c r="AH52" s="188">
        <f>[2]CZ_decarbplus_opex!AC52</f>
        <v>5.0725300000000004E-4</v>
      </c>
      <c r="AI52" s="188">
        <f>[2]CZ_decarbplus_opex!AD52</f>
        <v>9.2324499999999995E-4</v>
      </c>
      <c r="AJ52" s="188">
        <f>[2]CZ_decarbplus_opex!AE52</f>
        <v>1.1326109999999999E-3</v>
      </c>
      <c r="AK52" s="188">
        <f>[2]CZ_decarbplus_opex!AF52</f>
        <v>4.5953600000000003E-4</v>
      </c>
      <c r="AL52" s="188">
        <f>[3]CZ_decarb_opex!E52</f>
        <v>1.14687181839051E-4</v>
      </c>
      <c r="AM52" s="188">
        <f>[3]CZ_decarb_opex!F52</f>
        <v>1.04715115315316E-4</v>
      </c>
      <c r="AN52" s="188">
        <f>[2]CZ_decarbplus_opex!AG52</f>
        <v>3.8776000000000001E-4</v>
      </c>
      <c r="AO52" s="188">
        <f>[3]CZ_decarb_opex!G52</f>
        <v>2.2033418442178E-3</v>
      </c>
      <c r="AP52" s="188">
        <f>[3]CZ_decarb_opex!H52</f>
        <v>2.5258836624246898E-3</v>
      </c>
      <c r="AQ52" s="188">
        <f>[2]CZ_decarbplus_opex!AH52</f>
        <v>4.9041459999999999E-3</v>
      </c>
      <c r="AR52" s="188">
        <f>[2]CZ_decarbplus_opex!AI52</f>
        <v>0</v>
      </c>
      <c r="AS52" s="188">
        <f>[2]CZ_decarbplus_opex!AJ52</f>
        <v>2.7033679999999998E-3</v>
      </c>
      <c r="AT52" s="188">
        <f>[2]CZ_decarbplus_opex!AK52</f>
        <v>2.6901099999999999E-3</v>
      </c>
      <c r="AU52" s="188">
        <f>[2]CZ_decarbplus_opex!AL52</f>
        <v>6.0913600000000003E-4</v>
      </c>
      <c r="AV52" s="188">
        <f>[2]CZ_decarbplus_opex!AM52</f>
        <v>4.57854E-4</v>
      </c>
      <c r="AW52" s="188">
        <f>[2]CZ_decarbplus_opex!AN52</f>
        <v>1.6829760000000001E-3</v>
      </c>
      <c r="AX52" s="188">
        <f>[2]CZ_decarbplus_opex!AO52</f>
        <v>0</v>
      </c>
      <c r="AY52" s="188">
        <f>[2]CZ_decarbplus_opex!AP52</f>
        <v>3.5788310000000002E-3</v>
      </c>
      <c r="AZ52" s="188">
        <f>[2]CZ_decarbplus_opex!AQ52</f>
        <v>0</v>
      </c>
      <c r="BA52" s="188">
        <f>[2]CZ_decarbplus_opex!AR52</f>
        <v>4.3223070000000001E-3</v>
      </c>
      <c r="BB52" s="188">
        <f>[2]CZ_decarbplus_opex!AS52</f>
        <v>1.6868800000000001E-4</v>
      </c>
      <c r="BC52" s="188">
        <f>[2]CZ_decarbplus_opex!AT52</f>
        <v>1.5980500000000001E-4</v>
      </c>
      <c r="BD52" s="188">
        <f>[2]CZ_decarbplus_opex!AU52</f>
        <v>1.9000000000000001E-5</v>
      </c>
      <c r="BE52" s="188">
        <f>[2]CZ_decarbplus_opex!AV52</f>
        <v>8.8599999999999999E-5</v>
      </c>
      <c r="BF52" s="188">
        <f>[2]CZ_decarbplus_opex!AW52</f>
        <v>8.4499999999999994E-5</v>
      </c>
      <c r="BG52" s="188">
        <f>[2]CZ_decarbplus_opex!AX52</f>
        <v>2.8655899999999998E-4</v>
      </c>
      <c r="BH52" s="188">
        <f>[3]CZ_decarb_opex!I52</f>
        <v>1.10474685340965E-3</v>
      </c>
      <c r="BI52" s="188">
        <f>[2]CZ_decarbplus_opex!AY52</f>
        <v>3.5939899999999999E-4</v>
      </c>
      <c r="BJ52" s="188">
        <f>[2]CZ_decarbplus_opex!AZ52</f>
        <v>4.6720249999999998E-3</v>
      </c>
      <c r="BK52" s="188">
        <f>[2]CZ_decarbplus_opex!BA52</f>
        <v>2.38445E-4</v>
      </c>
      <c r="BL52" s="188">
        <f>[2]CZ_decarbplus_opex!BB52</f>
        <v>0</v>
      </c>
      <c r="BM52" s="188">
        <f>[3]CZ_decarb_opex!J52</f>
        <v>3.91868585796407E-5</v>
      </c>
      <c r="BN52" s="188">
        <f>[3]CZ_decarb_opex!K52</f>
        <v>6.1262471163063206E-5</v>
      </c>
      <c r="BO52" s="188">
        <f>[3]CZ_decarb_opex!L52</f>
        <v>1.45313532052851E-5</v>
      </c>
      <c r="BP52" s="188">
        <f>[3]CZ_decarb_opex!M52</f>
        <v>1.56109161959638E-5</v>
      </c>
      <c r="BQ52" s="188">
        <f>[3]CZ_decarb_opex!N52</f>
        <v>1.5372382026708598E-5</v>
      </c>
      <c r="BR52" s="188">
        <f>[3]CZ_decarb_opex!O52</f>
        <v>3.78251001668909E-5</v>
      </c>
      <c r="BS52" s="188">
        <f>[3]CZ_decarb_opex!P52</f>
        <v>5.5652337101294898E-5</v>
      </c>
      <c r="BT52" s="188">
        <f>[3]CZ_decarb_opex!Q52</f>
        <v>8.5436773294711302E-4</v>
      </c>
      <c r="BU52" s="188">
        <f>[3]CZ_decarb_opex!R52</f>
        <v>7.13302500607803E-6</v>
      </c>
      <c r="BV52" s="188">
        <f>[3]CZ_decarb_opex!S52</f>
        <v>7.1330250060780401E-6</v>
      </c>
      <c r="BW52" s="188">
        <f>[3]CZ_decarb_opex!T52</f>
        <v>3.0961075404328401E-5</v>
      </c>
      <c r="BX52" s="188">
        <f>[3]CZ_decarb_opex!U52</f>
        <v>2.9658343918853201E-6</v>
      </c>
      <c r="BY52" s="188">
        <f>[3]CZ_decarb_opex!V52</f>
        <v>7.6488532706539203E-6</v>
      </c>
      <c r="BZ52" s="188">
        <f>[2]CZ_decarbplus_opex!BC52</f>
        <v>3.0599999999999998E-5</v>
      </c>
      <c r="CA52" s="188">
        <f>[2]CZ_decarbplus_opex!BD52</f>
        <v>2.0299999999999999E-5</v>
      </c>
      <c r="CB52" s="188">
        <f>[2]CZ_decarbplus_opex!BE52</f>
        <v>2.41E-5</v>
      </c>
      <c r="CC52" s="188">
        <f>[2]CZ_decarbplus_opex!BF52</f>
        <v>1.2E-5</v>
      </c>
      <c r="CD52" s="188">
        <f>[2]CZ_decarbplus_opex!BG52</f>
        <v>1.11419E-4</v>
      </c>
      <c r="CE52" s="188">
        <f>[2]CZ_decarbplus_opex!BH52</f>
        <v>5.9599999999999999E-5</v>
      </c>
      <c r="CF52" s="188">
        <f>[2]CZ_decarbplus_opex!BI52</f>
        <v>6.1500000000000004E-5</v>
      </c>
      <c r="CG52" s="188">
        <f>[2]CZ_decarbplus_opex!BJ52</f>
        <v>5.9399999999999999E-6</v>
      </c>
    </row>
    <row r="53" spans="1:85" x14ac:dyDescent="0.25">
      <c r="A53" s="5" t="s">
        <v>125</v>
      </c>
      <c r="B53" s="2" t="s">
        <v>124</v>
      </c>
      <c r="C53" s="1" t="s">
        <v>327</v>
      </c>
      <c r="D53" s="187">
        <f>[2]CZ_decarbplus_opex!B53</f>
        <v>1.2642400000000001E-4</v>
      </c>
      <c r="E53" s="187">
        <f>[2]CZ_decarbplus_opex!C53</f>
        <v>6.5400000000000004E-5</v>
      </c>
      <c r="F53" s="187">
        <f>[2]CZ_decarbplus_opex!D53</f>
        <v>6.5400000000000004E-5</v>
      </c>
      <c r="G53" s="187">
        <f>[2]CZ_decarbplus_opex!E53</f>
        <v>1.31E-5</v>
      </c>
      <c r="H53" s="187">
        <f>[2]CZ_decarbplus_opex!F53</f>
        <v>2.1800000000000001E-5</v>
      </c>
      <c r="I53" s="187">
        <f>[2]CZ_decarbplus_opex!G53</f>
        <v>1.4557099999999999E-4</v>
      </c>
      <c r="J53" s="187">
        <f>[2]CZ_decarbplus_opex!H53</f>
        <v>2.34773E-4</v>
      </c>
      <c r="K53" s="187">
        <f>[2]CZ_decarbplus_opex!I53</f>
        <v>4.2899999999999999E-5</v>
      </c>
      <c r="L53" s="187">
        <f>[2]CZ_decarbplus_opex!J53</f>
        <v>1.5632800000000001E-4</v>
      </c>
      <c r="M53" s="187">
        <f>[2]CZ_decarbplus_opex!K53</f>
        <v>3.0483300000000001E-4</v>
      </c>
      <c r="N53" s="187">
        <f>[2]CZ_decarbplus_opex!L53</f>
        <v>2.03511E-4</v>
      </c>
      <c r="O53" s="187">
        <f>[2]CZ_decarbplus_opex!M53</f>
        <v>3.5016520000000001E-3</v>
      </c>
      <c r="P53" s="187">
        <f>[2]CZ_decarbplus_opex!N53</f>
        <v>6.8702499999999996E-4</v>
      </c>
      <c r="Q53" s="187">
        <f>[2]CZ_decarbplus_opex!O53</f>
        <v>2.54916E-4</v>
      </c>
      <c r="R53" s="187">
        <f>[2]CZ_decarbplus_opex!P53</f>
        <v>1.7496100000000001E-4</v>
      </c>
      <c r="S53" s="187">
        <f>[2]CZ_decarbplus_opex!Q53</f>
        <v>4.5135500000000002E-4</v>
      </c>
      <c r="T53" s="187">
        <f>[2]CZ_decarbplus_opex!R53</f>
        <v>4.73509E-4</v>
      </c>
      <c r="U53" s="187">
        <f>[2]CZ_decarbplus_opex!S53</f>
        <v>2.3372900000000001E-4</v>
      </c>
      <c r="V53" s="187">
        <f>[2]CZ_decarbplus_opex!T53</f>
        <v>1.7550700000000001E-4</v>
      </c>
      <c r="W53" s="187">
        <f>[2]CZ_decarbplus_opex!U53</f>
        <v>0.13838592599999999</v>
      </c>
      <c r="X53" s="187">
        <f>[2]CZ_decarbplus_opex!V53</f>
        <v>2.5757459999999999E-3</v>
      </c>
      <c r="Y53" s="187">
        <f>[2]CZ_decarbplus_opex!W53</f>
        <v>1.1126E-4</v>
      </c>
      <c r="Z53" s="187">
        <f>[2]CZ_decarbplus_opex!X53</f>
        <v>1.92556E-4</v>
      </c>
      <c r="AA53" s="187">
        <f>[2]CZ_decarbplus_opex!Y53</f>
        <v>1.17046E-4</v>
      </c>
      <c r="AB53" s="188">
        <f>[3]CZ_decarb_opex!B53</f>
        <v>1.91856195678395E-4</v>
      </c>
      <c r="AC53" s="188">
        <f>[3]CZ_decarb_opex!C53</f>
        <v>1.9165035302409299E-3</v>
      </c>
      <c r="AD53" s="188">
        <f>[3]CZ_decarb_opex!D53</f>
        <v>1.4715459431608699E-4</v>
      </c>
      <c r="AE53" s="188">
        <f>[2]CZ_decarbplus_opex!Z53</f>
        <v>1.3720799999999999E-4</v>
      </c>
      <c r="AF53" s="188">
        <f>[2]CZ_decarbplus_opex!AA53</f>
        <v>5.4650300000000005E-4</v>
      </c>
      <c r="AG53" s="188">
        <f>[2]CZ_decarbplus_opex!AB53</f>
        <v>6.5704200000000004E-4</v>
      </c>
      <c r="AH53" s="188">
        <f>[2]CZ_decarbplus_opex!AC53</f>
        <v>1.43277E-4</v>
      </c>
      <c r="AI53" s="188">
        <f>[2]CZ_decarbplus_opex!AD53</f>
        <v>1.3552099999999999E-4</v>
      </c>
      <c r="AJ53" s="188">
        <f>[2]CZ_decarbplus_opex!AE53</f>
        <v>8.0000000000000007E-5</v>
      </c>
      <c r="AK53" s="188">
        <f>[2]CZ_decarbplus_opex!AF53</f>
        <v>1.46456E-4</v>
      </c>
      <c r="AL53" s="188">
        <f>[3]CZ_decarb_opex!E53</f>
        <v>1.43799930374661E-4</v>
      </c>
      <c r="AM53" s="188">
        <f>[3]CZ_decarb_opex!F53</f>
        <v>1.33007829531938E-4</v>
      </c>
      <c r="AN53" s="188">
        <f>[2]CZ_decarbplus_opex!AG53</f>
        <v>1.6545700000000001E-4</v>
      </c>
      <c r="AO53" s="188">
        <f>[3]CZ_decarb_opex!G53</f>
        <v>1.3280421789958199E-4</v>
      </c>
      <c r="AP53" s="188">
        <f>[3]CZ_decarb_opex!H53</f>
        <v>1.8704973243895801E-4</v>
      </c>
      <c r="AQ53" s="188">
        <f>[2]CZ_decarbplus_opex!AH53</f>
        <v>4.29271E-4</v>
      </c>
      <c r="AR53" s="188">
        <f>[2]CZ_decarbplus_opex!AI53</f>
        <v>0</v>
      </c>
      <c r="AS53" s="188">
        <f>[2]CZ_decarbplus_opex!AJ53</f>
        <v>3.48912E-4</v>
      </c>
      <c r="AT53" s="188">
        <f>[2]CZ_decarbplus_opex!AK53</f>
        <v>2.6781500000000002E-4</v>
      </c>
      <c r="AU53" s="188">
        <f>[2]CZ_decarbplus_opex!AL53</f>
        <v>1.0788799999999999E-4</v>
      </c>
      <c r="AV53" s="188">
        <f>[2]CZ_decarbplus_opex!AM53</f>
        <v>8.3100000000000001E-5</v>
      </c>
      <c r="AW53" s="188">
        <f>[2]CZ_decarbplus_opex!AN53</f>
        <v>1.9548600000000001E-4</v>
      </c>
      <c r="AX53" s="188">
        <f>[2]CZ_decarbplus_opex!AO53</f>
        <v>0</v>
      </c>
      <c r="AY53" s="188">
        <f>[2]CZ_decarbplus_opex!AP53</f>
        <v>3.03982E-4</v>
      </c>
      <c r="AZ53" s="188">
        <f>[2]CZ_decarbplus_opex!AQ53</f>
        <v>0</v>
      </c>
      <c r="BA53" s="188">
        <f>[2]CZ_decarbplus_opex!AR53</f>
        <v>1.78402E-4</v>
      </c>
      <c r="BB53" s="188">
        <f>[2]CZ_decarbplus_opex!AS53</f>
        <v>1.4549800000000001E-4</v>
      </c>
      <c r="BC53" s="188">
        <f>[2]CZ_decarbplus_opex!AT53</f>
        <v>1.3583000000000001E-4</v>
      </c>
      <c r="BD53" s="188">
        <f>[2]CZ_decarbplus_opex!AU53</f>
        <v>5.3699999999999997E-5</v>
      </c>
      <c r="BE53" s="188">
        <f>[2]CZ_decarbplus_opex!AV53</f>
        <v>1.4286799999999999E-4</v>
      </c>
      <c r="BF53" s="188">
        <f>[2]CZ_decarbplus_opex!AW53</f>
        <v>5.7000000000000003E-5</v>
      </c>
      <c r="BG53" s="188">
        <f>[2]CZ_decarbplus_opex!AX53</f>
        <v>2.46312E-4</v>
      </c>
      <c r="BH53" s="188">
        <f>[3]CZ_decarb_opex!I53</f>
        <v>2.1321799643723001E-4</v>
      </c>
      <c r="BI53" s="188">
        <f>[2]CZ_decarbplus_opex!AY53</f>
        <v>2.44326E-4</v>
      </c>
      <c r="BJ53" s="188">
        <f>[2]CZ_decarbplus_opex!AZ53</f>
        <v>1.345193E-3</v>
      </c>
      <c r="BK53" s="188">
        <f>[2]CZ_decarbplus_opex!BA53</f>
        <v>1.00895E-4</v>
      </c>
      <c r="BL53" s="188">
        <f>[2]CZ_decarbplus_opex!BB53</f>
        <v>0</v>
      </c>
      <c r="BM53" s="188">
        <f>[3]CZ_decarb_opex!J53</f>
        <v>4.4811887902870397E-5</v>
      </c>
      <c r="BN53" s="188">
        <f>[3]CZ_decarb_opex!K53</f>
        <v>9.1774381406172994E-5</v>
      </c>
      <c r="BO53" s="188">
        <f>[3]CZ_decarb_opex!L53</f>
        <v>1.6129506381360899E-5</v>
      </c>
      <c r="BP53" s="188">
        <f>[3]CZ_decarb_opex!M53</f>
        <v>3.3439644499435797E-5</v>
      </c>
      <c r="BQ53" s="188">
        <f>[3]CZ_decarb_opex!N53</f>
        <v>3.7243430998768998E-5</v>
      </c>
      <c r="BR53" s="188">
        <f>[3]CZ_decarb_opex!O53</f>
        <v>8.0264369445104103E-6</v>
      </c>
      <c r="BS53" s="188">
        <f>[3]CZ_decarb_opex!P53</f>
        <v>1.3805015258567001E-4</v>
      </c>
      <c r="BT53" s="188">
        <f>[3]CZ_decarb_opex!Q53</f>
        <v>1.5745532562181501E-5</v>
      </c>
      <c r="BU53" s="188">
        <f>[3]CZ_decarb_opex!R53</f>
        <v>1.82384115380197E-5</v>
      </c>
      <c r="BV53" s="188">
        <f>[3]CZ_decarb_opex!S53</f>
        <v>1.82384115380197E-5</v>
      </c>
      <c r="BW53" s="188">
        <f>[3]CZ_decarb_opex!T53</f>
        <v>2.9859246771483198E-6</v>
      </c>
      <c r="BX53" s="188">
        <f>[3]CZ_decarb_opex!U53</f>
        <v>5.2279470287234001E-7</v>
      </c>
      <c r="BY53" s="188">
        <f>[3]CZ_decarb_opex!V53</f>
        <v>7.5563587766519703E-6</v>
      </c>
      <c r="BZ53" s="188">
        <f>[2]CZ_decarbplus_opex!BC53</f>
        <v>4.57E-5</v>
      </c>
      <c r="CA53" s="188">
        <f>[2]CZ_decarbplus_opex!BD53</f>
        <v>2.6120800000000002E-4</v>
      </c>
      <c r="CB53" s="188">
        <f>[2]CZ_decarbplus_opex!BE53</f>
        <v>2.24348E-4</v>
      </c>
      <c r="CC53" s="188">
        <f>[2]CZ_decarbplus_opex!BF53</f>
        <v>9.1394499999999999E-4</v>
      </c>
      <c r="CD53" s="188">
        <f>[2]CZ_decarbplus_opex!BG53</f>
        <v>1.1670100000000001E-4</v>
      </c>
      <c r="CE53" s="188">
        <f>[2]CZ_decarbplus_opex!BH53</f>
        <v>6.4499999999999996E-5</v>
      </c>
      <c r="CF53" s="188">
        <f>[2]CZ_decarbplus_opex!BI53</f>
        <v>3.8899999999999997E-5</v>
      </c>
      <c r="CG53" s="188">
        <f>[2]CZ_decarbplus_opex!BJ53</f>
        <v>3.2199999999999997E-5</v>
      </c>
    </row>
    <row r="54" spans="1:85" x14ac:dyDescent="0.25">
      <c r="A54" s="5" t="s">
        <v>127</v>
      </c>
      <c r="B54" s="2" t="s">
        <v>126</v>
      </c>
      <c r="C54" s="1" t="s">
        <v>327</v>
      </c>
      <c r="D54" s="187">
        <f>[2]CZ_decarbplus_opex!B54</f>
        <v>7.7700000000000005E-5</v>
      </c>
      <c r="E54" s="187">
        <f>[2]CZ_decarbplus_opex!C54</f>
        <v>3.26E-5</v>
      </c>
      <c r="F54" s="187">
        <f>[2]CZ_decarbplus_opex!D54</f>
        <v>3.0599999999999998E-5</v>
      </c>
      <c r="G54" s="187">
        <f>[2]CZ_decarbplus_opex!E54</f>
        <v>6.64E-6</v>
      </c>
      <c r="H54" s="187">
        <f>[2]CZ_decarbplus_opex!F54</f>
        <v>1.1199999999999999E-5</v>
      </c>
      <c r="I54" s="187">
        <f>[2]CZ_decarbplus_opex!G54</f>
        <v>6.8999999999999997E-5</v>
      </c>
      <c r="J54" s="187">
        <f>[2]CZ_decarbplus_opex!H54</f>
        <v>1.07854E-4</v>
      </c>
      <c r="K54" s="187">
        <f>[2]CZ_decarbplus_opex!I54</f>
        <v>2.1500000000000001E-5</v>
      </c>
      <c r="L54" s="187">
        <f>[2]CZ_decarbplus_opex!J54</f>
        <v>7.0699999999999997E-5</v>
      </c>
      <c r="M54" s="187">
        <f>[2]CZ_decarbplus_opex!K54</f>
        <v>1.3779600000000001E-4</v>
      </c>
      <c r="N54" s="187">
        <f>[2]CZ_decarbplus_opex!L54</f>
        <v>9.8400000000000007E-5</v>
      </c>
      <c r="O54" s="187">
        <f>[2]CZ_decarbplus_opex!M54</f>
        <v>1.711572E-3</v>
      </c>
      <c r="P54" s="187">
        <f>[2]CZ_decarbplus_opex!N54</f>
        <v>5.03883E-4</v>
      </c>
      <c r="Q54" s="187">
        <f>[2]CZ_decarbplus_opex!O54</f>
        <v>2.00826E-4</v>
      </c>
      <c r="R54" s="187">
        <f>[2]CZ_decarbplus_opex!P54</f>
        <v>1.33743E-4</v>
      </c>
      <c r="S54" s="187">
        <f>[2]CZ_decarbplus_opex!Q54</f>
        <v>2.3311499999999999E-4</v>
      </c>
      <c r="T54" s="187">
        <f>[2]CZ_decarbplus_opex!R54</f>
        <v>2.4591400000000002E-4</v>
      </c>
      <c r="U54" s="187">
        <f>[2]CZ_decarbplus_opex!S54</f>
        <v>1.0929099999999999E-4</v>
      </c>
      <c r="V54" s="187">
        <f>[2]CZ_decarbplus_opex!T54</f>
        <v>8.2799999999999993E-5</v>
      </c>
      <c r="W54" s="187">
        <f>[2]CZ_decarbplus_opex!U54</f>
        <v>6.8576827000000007E-2</v>
      </c>
      <c r="X54" s="187">
        <f>[2]CZ_decarbplus_opex!V54</f>
        <v>1.248557E-3</v>
      </c>
      <c r="Y54" s="187">
        <f>[2]CZ_decarbplus_opex!W54</f>
        <v>4.7599999999999998E-5</v>
      </c>
      <c r="Z54" s="187">
        <f>[2]CZ_decarbplus_opex!X54</f>
        <v>8.1699999999999994E-5</v>
      </c>
      <c r="AA54" s="187">
        <f>[2]CZ_decarbplus_opex!Y54</f>
        <v>5.41E-5</v>
      </c>
      <c r="AB54" s="188">
        <f>[3]CZ_decarb_opex!B54</f>
        <v>1.13132120627034E-4</v>
      </c>
      <c r="AC54" s="188">
        <f>[3]CZ_decarb_opex!C54</f>
        <v>9.5637447364410697E-4</v>
      </c>
      <c r="AD54" s="188">
        <f>[3]CZ_decarb_opex!D54</f>
        <v>7.5171887408994706E-5</v>
      </c>
      <c r="AE54" s="188">
        <f>[2]CZ_decarbplus_opex!Z54</f>
        <v>7.0400000000000004E-5</v>
      </c>
      <c r="AF54" s="188">
        <f>[2]CZ_decarbplus_opex!AA54</f>
        <v>2.67414E-4</v>
      </c>
      <c r="AG54" s="188">
        <f>[2]CZ_decarbplus_opex!AB54</f>
        <v>4.0479999999999997E-4</v>
      </c>
      <c r="AH54" s="188">
        <f>[2]CZ_decarbplus_opex!AC54</f>
        <v>1.0217000000000001E-4</v>
      </c>
      <c r="AI54" s="188">
        <f>[2]CZ_decarbplus_opex!AD54</f>
        <v>8.2899999999999996E-5</v>
      </c>
      <c r="AJ54" s="188">
        <f>[2]CZ_decarbplus_opex!AE54</f>
        <v>5.8699999999999997E-5</v>
      </c>
      <c r="AK54" s="188">
        <f>[2]CZ_decarbplus_opex!AF54</f>
        <v>8.1500000000000002E-5</v>
      </c>
      <c r="AL54" s="188">
        <f>[3]CZ_decarb_opex!E54</f>
        <v>7.4400230804391894E-5</v>
      </c>
      <c r="AM54" s="188">
        <f>[3]CZ_decarb_opex!F54</f>
        <v>6.9227760122968102E-5</v>
      </c>
      <c r="AN54" s="188">
        <f>[2]CZ_decarbplus_opex!AG54</f>
        <v>9.2E-5</v>
      </c>
      <c r="AO54" s="188">
        <f>[3]CZ_decarb_opex!G54</f>
        <v>6.6150494291556601E-5</v>
      </c>
      <c r="AP54" s="188">
        <f>[3]CZ_decarb_opex!H54</f>
        <v>9.0525698765446104E-5</v>
      </c>
      <c r="AQ54" s="188">
        <f>[2]CZ_decarbplus_opex!AH54</f>
        <v>2.0489299999999999E-4</v>
      </c>
      <c r="AR54" s="188">
        <f>[2]CZ_decarbplus_opex!AI54</f>
        <v>0</v>
      </c>
      <c r="AS54" s="188">
        <f>[2]CZ_decarbplus_opex!AJ54</f>
        <v>1.71354E-4</v>
      </c>
      <c r="AT54" s="188">
        <f>[2]CZ_decarbplus_opex!AK54</f>
        <v>1.3441000000000001E-4</v>
      </c>
      <c r="AU54" s="188">
        <f>[2]CZ_decarbplus_opex!AL54</f>
        <v>5.6900000000000001E-5</v>
      </c>
      <c r="AV54" s="188">
        <f>[2]CZ_decarbplus_opex!AM54</f>
        <v>4.3000000000000002E-5</v>
      </c>
      <c r="AW54" s="188">
        <f>[2]CZ_decarbplus_opex!AN54</f>
        <v>1.6339499999999999E-4</v>
      </c>
      <c r="AX54" s="188">
        <f>[2]CZ_decarbplus_opex!AO54</f>
        <v>0</v>
      </c>
      <c r="AY54" s="188">
        <f>[2]CZ_decarbplus_opex!AP54</f>
        <v>1.3953199999999999E-4</v>
      </c>
      <c r="AZ54" s="188">
        <f>[2]CZ_decarbplus_opex!AQ54</f>
        <v>0</v>
      </c>
      <c r="BA54" s="188">
        <f>[2]CZ_decarbplus_opex!AR54</f>
        <v>9.2800000000000006E-5</v>
      </c>
      <c r="BB54" s="188">
        <f>[2]CZ_decarbplus_opex!AS54</f>
        <v>8.9499999999999994E-5</v>
      </c>
      <c r="BC54" s="188">
        <f>[2]CZ_decarbplus_opex!AT54</f>
        <v>7.1799999999999997E-5</v>
      </c>
      <c r="BD54" s="188">
        <f>[2]CZ_decarbplus_opex!AU54</f>
        <v>4.0200000000000001E-5</v>
      </c>
      <c r="BE54" s="188">
        <f>[2]CZ_decarbplus_opex!AV54</f>
        <v>9.4500000000000007E-5</v>
      </c>
      <c r="BF54" s="188">
        <f>[2]CZ_decarbplus_opex!AW54</f>
        <v>3.6100000000000003E-5</v>
      </c>
      <c r="BG54" s="188">
        <f>[2]CZ_decarbplus_opex!AX54</f>
        <v>1.36637E-4</v>
      </c>
      <c r="BH54" s="188">
        <f>[3]CZ_decarb_opex!I54</f>
        <v>1.4783142276278701E-4</v>
      </c>
      <c r="BI54" s="188">
        <f>[2]CZ_decarbplus_opex!AY54</f>
        <v>1.7133599999999999E-4</v>
      </c>
      <c r="BJ54" s="188">
        <f>[2]CZ_decarbplus_opex!AZ54</f>
        <v>6.93287E-4</v>
      </c>
      <c r="BK54" s="188">
        <f>[2]CZ_decarbplus_opex!BA54</f>
        <v>5.1900000000000001E-5</v>
      </c>
      <c r="BL54" s="188">
        <f>[2]CZ_decarbplus_opex!BB54</f>
        <v>0</v>
      </c>
      <c r="BM54" s="188">
        <f>[3]CZ_decarb_opex!J54</f>
        <v>2.6174065396390201E-5</v>
      </c>
      <c r="BN54" s="188">
        <f>[3]CZ_decarb_opex!K54</f>
        <v>4.88283348866075E-5</v>
      </c>
      <c r="BO54" s="188">
        <f>[3]CZ_decarb_opex!L54</f>
        <v>1.19902794369667E-5</v>
      </c>
      <c r="BP54" s="188">
        <f>[3]CZ_decarb_opex!M54</f>
        <v>2.2773895760628101E-5</v>
      </c>
      <c r="BQ54" s="188">
        <f>[3]CZ_decarb_opex!N54</f>
        <v>1.7378604630291701E-5</v>
      </c>
      <c r="BR54" s="188">
        <f>[3]CZ_decarb_opex!O54</f>
        <v>2.6990697742525501E-5</v>
      </c>
      <c r="BS54" s="188">
        <f>[3]CZ_decarb_opex!P54</f>
        <v>6.1830289044614004E-5</v>
      </c>
      <c r="BT54" s="188">
        <f>[3]CZ_decarb_opex!Q54</f>
        <v>4.1860674657533197E-5</v>
      </c>
      <c r="BU54" s="188">
        <f>[3]CZ_decarb_opex!R54</f>
        <v>9.4258242019203297E-6</v>
      </c>
      <c r="BV54" s="188">
        <f>[3]CZ_decarb_opex!S54</f>
        <v>9.4258242019203399E-6</v>
      </c>
      <c r="BW54" s="188">
        <f>[3]CZ_decarb_opex!T54</f>
        <v>9.0464968537233907E-6</v>
      </c>
      <c r="BX54" s="188">
        <f>[3]CZ_decarb_opex!U54</f>
        <v>5.9210367708251404E-7</v>
      </c>
      <c r="BY54" s="188">
        <f>[3]CZ_decarb_opex!V54</f>
        <v>9.2408347463680292E-6</v>
      </c>
      <c r="BZ54" s="188">
        <f>[2]CZ_decarbplus_opex!BC54</f>
        <v>2.6699999999999998E-5</v>
      </c>
      <c r="CA54" s="188">
        <f>[2]CZ_decarbplus_opex!BD54</f>
        <v>1.12448E-4</v>
      </c>
      <c r="CB54" s="188">
        <f>[2]CZ_decarbplus_opex!BE54</f>
        <v>9.7200000000000004E-5</v>
      </c>
      <c r="CC54" s="188">
        <f>[2]CZ_decarbplus_opex!BF54</f>
        <v>3.7571399999999997E-4</v>
      </c>
      <c r="CD54" s="188">
        <f>[2]CZ_decarbplus_opex!BG54</f>
        <v>5.52E-5</v>
      </c>
      <c r="CE54" s="188">
        <f>[2]CZ_decarbplus_opex!BH54</f>
        <v>3.8000000000000002E-5</v>
      </c>
      <c r="CF54" s="188">
        <f>[2]CZ_decarbplus_opex!BI54</f>
        <v>2.2900000000000001E-5</v>
      </c>
      <c r="CG54" s="188">
        <f>[2]CZ_decarbplus_opex!BJ54</f>
        <v>1.5699999999999999E-5</v>
      </c>
    </row>
    <row r="55" spans="1:85" x14ac:dyDescent="0.25">
      <c r="A55" s="5" t="s">
        <v>129</v>
      </c>
      <c r="B55" s="2" t="s">
        <v>128</v>
      </c>
      <c r="C55" s="1" t="s">
        <v>327</v>
      </c>
      <c r="D55" s="187">
        <f>[2]CZ_decarbplus_opex!B55</f>
        <v>2.1673740000000001E-3</v>
      </c>
      <c r="E55" s="187">
        <f>[2]CZ_decarbplus_opex!C55</f>
        <v>5.112704E-3</v>
      </c>
      <c r="F55" s="187">
        <f>[2]CZ_decarbplus_opex!D55</f>
        <v>2.953734E-3</v>
      </c>
      <c r="G55" s="187">
        <f>[2]CZ_decarbplus_opex!E55</f>
        <v>2.3380100000000001E-4</v>
      </c>
      <c r="H55" s="187">
        <f>[2]CZ_decarbplus_opex!F55</f>
        <v>6.7402900000000003E-4</v>
      </c>
      <c r="I55" s="187">
        <f>[2]CZ_decarbplus_opex!G55</f>
        <v>1.6475719999999999E-2</v>
      </c>
      <c r="J55" s="187">
        <f>[2]CZ_decarbplus_opex!H55</f>
        <v>7.4070560000000004E-3</v>
      </c>
      <c r="K55" s="187">
        <f>[2]CZ_decarbplus_opex!I55</f>
        <v>8.4546100000000004E-4</v>
      </c>
      <c r="L55" s="187">
        <f>[2]CZ_decarbplus_opex!J55</f>
        <v>5.2558489999999999E-3</v>
      </c>
      <c r="M55" s="187">
        <f>[2]CZ_decarbplus_opex!K55</f>
        <v>1.1081186999999999E-2</v>
      </c>
      <c r="N55" s="187">
        <f>[2]CZ_decarbplus_opex!L55</f>
        <v>6.8451429999999997E-3</v>
      </c>
      <c r="O55" s="187">
        <f>[2]CZ_decarbplus_opex!M55</f>
        <v>9.6288867E-2</v>
      </c>
      <c r="P55" s="187">
        <f>[2]CZ_decarbplus_opex!N55</f>
        <v>4.9477790000000002E-3</v>
      </c>
      <c r="Q55" s="187">
        <f>[2]CZ_decarbplus_opex!O55</f>
        <v>6.0140300000000003E-4</v>
      </c>
      <c r="R55" s="187">
        <f>[2]CZ_decarbplus_opex!P55</f>
        <v>5.2171329999999997E-3</v>
      </c>
      <c r="S55" s="187">
        <f>[2]CZ_decarbplus_opex!Q55</f>
        <v>2.0409535999999999E-2</v>
      </c>
      <c r="T55" s="187">
        <f>[2]CZ_decarbplus_opex!R55</f>
        <v>2.154267E-2</v>
      </c>
      <c r="U55" s="187">
        <f>[2]CZ_decarbplus_opex!S55</f>
        <v>3.253026E-3</v>
      </c>
      <c r="V55" s="187">
        <f>[2]CZ_decarbplus_opex!T55</f>
        <v>2.9244980000000002E-3</v>
      </c>
      <c r="W55" s="187">
        <f>[2]CZ_decarbplus_opex!U55</f>
        <v>0.236861338</v>
      </c>
      <c r="X55" s="187">
        <f>[2]CZ_decarbplus_opex!V55</f>
        <v>6.7228164000000007E-2</v>
      </c>
      <c r="Y55" s="187">
        <f>[2]CZ_decarbplus_opex!W55</f>
        <v>1.3188800000000001E-4</v>
      </c>
      <c r="Z55" s="187">
        <f>[2]CZ_decarbplus_opex!X55</f>
        <v>2.4368E-4</v>
      </c>
      <c r="AA55" s="187">
        <f>[2]CZ_decarbplus_opex!Y55</f>
        <v>1.0969899999999999E-4</v>
      </c>
      <c r="AB55" s="188">
        <f>[3]CZ_decarb_opex!B55</f>
        <v>1.00153927625416E-4</v>
      </c>
      <c r="AC55" s="188">
        <f>[3]CZ_decarb_opex!C55</f>
        <v>4.3632984896082097E-3</v>
      </c>
      <c r="AD55" s="188">
        <f>[3]CZ_decarb_opex!D55</f>
        <v>7.2731977315082796E-3</v>
      </c>
      <c r="AE55" s="188">
        <f>[2]CZ_decarbplus_opex!Z55</f>
        <v>6.1088829999999998E-3</v>
      </c>
      <c r="AF55" s="188">
        <f>[2]CZ_decarbplus_opex!AA55</f>
        <v>1.4372539E-2</v>
      </c>
      <c r="AG55" s="188">
        <f>[2]CZ_decarbplus_opex!AB55</f>
        <v>7.4194259999999998E-3</v>
      </c>
      <c r="AH55" s="188">
        <f>[2]CZ_decarbplus_opex!AC55</f>
        <v>1.5265319999999999E-3</v>
      </c>
      <c r="AI55" s="188">
        <f>[2]CZ_decarbplus_opex!AD55</f>
        <v>2.906456E-3</v>
      </c>
      <c r="AJ55" s="188">
        <f>[2]CZ_decarbplus_opex!AE55</f>
        <v>1.8244330000000001E-3</v>
      </c>
      <c r="AK55" s="188">
        <f>[2]CZ_decarbplus_opex!AF55</f>
        <v>2.3919100000000001E-3</v>
      </c>
      <c r="AL55" s="188">
        <f>[3]CZ_decarb_opex!E55</f>
        <v>5.2718157632158002E-4</v>
      </c>
      <c r="AM55" s="188">
        <f>[3]CZ_decarb_opex!F55</f>
        <v>4.7081015463668399E-4</v>
      </c>
      <c r="AN55" s="188">
        <f>[2]CZ_decarbplus_opex!AG55</f>
        <v>1.271255E-3</v>
      </c>
      <c r="AO55" s="188">
        <f>[3]CZ_decarb_opex!G55</f>
        <v>4.2124148735269199E-4</v>
      </c>
      <c r="AP55" s="188">
        <f>[3]CZ_decarb_opex!H55</f>
        <v>4.9979892526106305E-4</v>
      </c>
      <c r="AQ55" s="188">
        <f>[2]CZ_decarbplus_opex!AH55</f>
        <v>8.0948700000000001E-4</v>
      </c>
      <c r="AR55" s="188">
        <f>[2]CZ_decarbplus_opex!AI55</f>
        <v>0</v>
      </c>
      <c r="AS55" s="188">
        <f>[2]CZ_decarbplus_opex!AJ55</f>
        <v>7.0358300000000003E-4</v>
      </c>
      <c r="AT55" s="188">
        <f>[2]CZ_decarbplus_opex!AK55</f>
        <v>5.4072699999999996E-4</v>
      </c>
      <c r="AU55" s="188">
        <f>[2]CZ_decarbplus_opex!AL55</f>
        <v>1.0217600000000001E-4</v>
      </c>
      <c r="AV55" s="188">
        <f>[2]CZ_decarbplus_opex!AM55</f>
        <v>6.19E-5</v>
      </c>
      <c r="AW55" s="188">
        <f>[2]CZ_decarbplus_opex!AN55</f>
        <v>8.3670700000000001E-4</v>
      </c>
      <c r="AX55" s="188">
        <f>[2]CZ_decarbplus_opex!AO55</f>
        <v>0</v>
      </c>
      <c r="AY55" s="188">
        <f>[2]CZ_decarbplus_opex!AP55</f>
        <v>4.3233600000000002E-4</v>
      </c>
      <c r="AZ55" s="188">
        <f>[2]CZ_decarbplus_opex!AQ55</f>
        <v>0</v>
      </c>
      <c r="BA55" s="188">
        <f>[2]CZ_decarbplus_opex!AR55</f>
        <v>3.8265599999999999E-4</v>
      </c>
      <c r="BB55" s="188">
        <f>[2]CZ_decarbplus_opex!AS55</f>
        <v>1.7950520000000001E-3</v>
      </c>
      <c r="BC55" s="188">
        <f>[2]CZ_decarbplus_opex!AT55</f>
        <v>3.1900689999999998E-3</v>
      </c>
      <c r="BD55" s="188">
        <f>[2]CZ_decarbplus_opex!AU55</f>
        <v>1.0205049999999999E-3</v>
      </c>
      <c r="BE55" s="188">
        <f>[2]CZ_decarbplus_opex!AV55</f>
        <v>2.5945650000000001E-3</v>
      </c>
      <c r="BF55" s="188">
        <f>[2]CZ_decarbplus_opex!AW55</f>
        <v>1.3415090000000001E-3</v>
      </c>
      <c r="BG55" s="188">
        <f>[2]CZ_decarbplus_opex!AX55</f>
        <v>5.8934019999999998E-3</v>
      </c>
      <c r="BH55" s="188">
        <f>[3]CZ_decarb_opex!I55</f>
        <v>2.7214075927317399E-3</v>
      </c>
      <c r="BI55" s="188">
        <f>[2]CZ_decarbplus_opex!AY55</f>
        <v>1.0568159999999999E-3</v>
      </c>
      <c r="BJ55" s="188">
        <f>[2]CZ_decarbplus_opex!AZ55</f>
        <v>2.3795191E-2</v>
      </c>
      <c r="BK55" s="188">
        <f>[2]CZ_decarbplus_opex!BA55</f>
        <v>2.0309700000000001E-4</v>
      </c>
      <c r="BL55" s="188">
        <f>[2]CZ_decarbplus_opex!BB55</f>
        <v>0</v>
      </c>
      <c r="BM55" s="188">
        <f>[3]CZ_decarb_opex!J55</f>
        <v>1.77175401876181E-4</v>
      </c>
      <c r="BN55" s="188">
        <f>[3]CZ_decarb_opex!K55</f>
        <v>1.53174562604501E-4</v>
      </c>
      <c r="BO55" s="188">
        <f>[3]CZ_decarb_opex!L55</f>
        <v>1.00507656080528E-4</v>
      </c>
      <c r="BP55" s="188">
        <f>[3]CZ_decarb_opex!M55</f>
        <v>9.7757930067770201E-5</v>
      </c>
      <c r="BQ55" s="188">
        <f>[3]CZ_decarb_opex!N55</f>
        <v>8.1596924353958294E-5</v>
      </c>
      <c r="BR55" s="188">
        <f>[3]CZ_decarb_opex!O55</f>
        <v>2.3067429707749998E-5</v>
      </c>
      <c r="BS55" s="188">
        <f>[3]CZ_decarb_opex!P55</f>
        <v>2.1003341621448E-4</v>
      </c>
      <c r="BT55" s="188">
        <f>[3]CZ_decarb_opex!Q55</f>
        <v>8.9543119101492401E-5</v>
      </c>
      <c r="BU55" s="188">
        <f>[3]CZ_decarb_opex!R55</f>
        <v>1.70851207084729E-5</v>
      </c>
      <c r="BV55" s="188">
        <f>[3]CZ_decarb_opex!S55</f>
        <v>1.7085120708472999E-5</v>
      </c>
      <c r="BW55" s="188">
        <f>[3]CZ_decarb_opex!T55</f>
        <v>1.3422901131374899E-4</v>
      </c>
      <c r="BX55" s="188">
        <f>[3]CZ_decarb_opex!U55</f>
        <v>3.7312706057674899E-6</v>
      </c>
      <c r="BY55" s="188">
        <f>[3]CZ_decarb_opex!V55</f>
        <v>4.8083013652862302E-6</v>
      </c>
      <c r="BZ55" s="188">
        <f>[2]CZ_decarbplus_opex!BC55</f>
        <v>1.69049E-4</v>
      </c>
      <c r="CA55" s="188">
        <f>[2]CZ_decarbplus_opex!BD55</f>
        <v>4.29047E-4</v>
      </c>
      <c r="CB55" s="188">
        <f>[2]CZ_decarbplus_opex!BE55</f>
        <v>4.1372000000000002E-4</v>
      </c>
      <c r="CC55" s="188">
        <f>[2]CZ_decarbplus_opex!BF55</f>
        <v>1.1779900000000001E-3</v>
      </c>
      <c r="CD55" s="188">
        <f>[2]CZ_decarbplus_opex!BG55</f>
        <v>9.9363199999999994E-4</v>
      </c>
      <c r="CE55" s="188">
        <f>[2]CZ_decarbplus_opex!BH55</f>
        <v>3.34727E-4</v>
      </c>
      <c r="CF55" s="188">
        <f>[2]CZ_decarbplus_opex!BI55</f>
        <v>1.5097099999999999E-4</v>
      </c>
      <c r="CG55" s="188">
        <f>[2]CZ_decarbplus_opex!BJ55</f>
        <v>7.1400000000000001E-5</v>
      </c>
    </row>
    <row r="56" spans="1:85" x14ac:dyDescent="0.25">
      <c r="A56" s="6" t="s">
        <v>131</v>
      </c>
      <c r="B56" s="2" t="s">
        <v>130</v>
      </c>
      <c r="C56" s="1" t="s">
        <v>327</v>
      </c>
      <c r="D56" s="187">
        <f>[2]CZ_decarbplus_opex!B56</f>
        <v>2.971638E-3</v>
      </c>
      <c r="E56" s="187">
        <f>[2]CZ_decarbplus_opex!C56</f>
        <v>7.5874500000000001E-4</v>
      </c>
      <c r="F56" s="187">
        <f>[2]CZ_decarbplus_opex!D56</f>
        <v>4.9648900000000002E-4</v>
      </c>
      <c r="G56" s="187">
        <f>[2]CZ_decarbplus_opex!E56</f>
        <v>1.09955E-4</v>
      </c>
      <c r="H56" s="187">
        <f>[2]CZ_decarbplus_opex!F56</f>
        <v>2.0082499999999999E-4</v>
      </c>
      <c r="I56" s="187">
        <f>[2]CZ_decarbplus_opex!G56</f>
        <v>1.286466E-3</v>
      </c>
      <c r="J56" s="187">
        <f>[2]CZ_decarbplus_opex!H56</f>
        <v>2.0837920000000001E-3</v>
      </c>
      <c r="K56" s="187">
        <f>[2]CZ_decarbplus_opex!I56</f>
        <v>2.9955699999999999E-4</v>
      </c>
      <c r="L56" s="187">
        <f>[2]CZ_decarbplus_opex!J56</f>
        <v>1.617299E-3</v>
      </c>
      <c r="M56" s="187">
        <f>[2]CZ_decarbplus_opex!K56</f>
        <v>4.9544050000000003E-3</v>
      </c>
      <c r="N56" s="187">
        <f>[2]CZ_decarbplus_opex!L56</f>
        <v>2.522051E-3</v>
      </c>
      <c r="O56" s="187">
        <f>[2]CZ_decarbplus_opex!M56</f>
        <v>2.1774972E-2</v>
      </c>
      <c r="P56" s="187">
        <f>[2]CZ_decarbplus_opex!N56</f>
        <v>3.5185059999999998E-3</v>
      </c>
      <c r="Q56" s="187">
        <f>[2]CZ_decarbplus_opex!O56</f>
        <v>5.1208600000000003E-4</v>
      </c>
      <c r="R56" s="187">
        <f>[2]CZ_decarbplus_opex!P56</f>
        <v>5.2010999999999995E-4</v>
      </c>
      <c r="S56" s="187">
        <f>[2]CZ_decarbplus_opex!Q56</f>
        <v>1.0041029999999999E-3</v>
      </c>
      <c r="T56" s="187">
        <f>[2]CZ_decarbplus_opex!R56</f>
        <v>1.1882310000000001E-3</v>
      </c>
      <c r="U56" s="187">
        <f>[2]CZ_decarbplus_opex!S56</f>
        <v>1.1931175E-2</v>
      </c>
      <c r="V56" s="187">
        <f>[2]CZ_decarbplus_opex!T56</f>
        <v>1.3293472000000001E-2</v>
      </c>
      <c r="W56" s="187">
        <f>[2]CZ_decarbplus_opex!U56</f>
        <v>3.8119878000000003E-2</v>
      </c>
      <c r="X56" s="187">
        <f>[2]CZ_decarbplus_opex!V56</f>
        <v>0.282525146</v>
      </c>
      <c r="Y56" s="187">
        <f>[2]CZ_decarbplus_opex!W56</f>
        <v>3.68224E-4</v>
      </c>
      <c r="Z56" s="187">
        <f>[2]CZ_decarbplus_opex!X56</f>
        <v>4.8030499999999999E-4</v>
      </c>
      <c r="AA56" s="187">
        <f>[2]CZ_decarbplus_opex!Y56</f>
        <v>7.4832299999999996E-4</v>
      </c>
      <c r="AB56" s="188">
        <f>[3]CZ_decarb_opex!B56</f>
        <v>1.93731626552095E-3</v>
      </c>
      <c r="AC56" s="188">
        <f>[3]CZ_decarb_opex!C56</f>
        <v>1.57776281546787E-3</v>
      </c>
      <c r="AD56" s="188">
        <f>[3]CZ_decarb_opex!D56</f>
        <v>4.2245372374762596E-3</v>
      </c>
      <c r="AE56" s="188">
        <f>[2]CZ_decarbplus_opex!Z56</f>
        <v>3.9817430000000003E-3</v>
      </c>
      <c r="AF56" s="188">
        <f>[2]CZ_decarbplus_opex!AA56</f>
        <v>7.4376019999999998E-3</v>
      </c>
      <c r="AG56" s="188">
        <f>[2]CZ_decarbplus_opex!AB56</f>
        <v>2.47555E-3</v>
      </c>
      <c r="AH56" s="188">
        <f>[2]CZ_decarbplus_opex!AC56</f>
        <v>1.1102639999999999E-3</v>
      </c>
      <c r="AI56" s="188">
        <f>[2]CZ_decarbplus_opex!AD56</f>
        <v>1.976467E-3</v>
      </c>
      <c r="AJ56" s="188">
        <f>[2]CZ_decarbplus_opex!AE56</f>
        <v>2.1404369999999998E-3</v>
      </c>
      <c r="AK56" s="188">
        <f>[2]CZ_decarbplus_opex!AF56</f>
        <v>2.0512030000000001E-3</v>
      </c>
      <c r="AL56" s="188">
        <f>[3]CZ_decarb_opex!E56</f>
        <v>1.5004181919881E-3</v>
      </c>
      <c r="AM56" s="188">
        <f>[3]CZ_decarb_opex!F56</f>
        <v>1.4488492446693699E-3</v>
      </c>
      <c r="AN56" s="188">
        <f>[2]CZ_decarbplus_opex!AG56</f>
        <v>2.4486349999999998E-3</v>
      </c>
      <c r="AO56" s="188">
        <f>[3]CZ_decarb_opex!G56</f>
        <v>1.1406192299524001E-3</v>
      </c>
      <c r="AP56" s="188">
        <f>[3]CZ_decarb_opex!H56</f>
        <v>1.32123687535519E-3</v>
      </c>
      <c r="AQ56" s="188">
        <f>[2]CZ_decarbplus_opex!AH56</f>
        <v>1.4438669999999999E-3</v>
      </c>
      <c r="AR56" s="188">
        <f>[2]CZ_decarbplus_opex!AI56</f>
        <v>0</v>
      </c>
      <c r="AS56" s="188">
        <f>[2]CZ_decarbplus_opex!AJ56</f>
        <v>1.4150479999999999E-3</v>
      </c>
      <c r="AT56" s="188">
        <f>[2]CZ_decarbplus_opex!AK56</f>
        <v>1.465975E-3</v>
      </c>
      <c r="AU56" s="188">
        <f>[2]CZ_decarbplus_opex!AL56</f>
        <v>4.06516E-4</v>
      </c>
      <c r="AV56" s="188">
        <f>[2]CZ_decarbplus_opex!AM56</f>
        <v>3.5867199999999998E-4</v>
      </c>
      <c r="AW56" s="188">
        <f>[2]CZ_decarbplus_opex!AN56</f>
        <v>9.6610100000000003E-4</v>
      </c>
      <c r="AX56" s="188">
        <f>[2]CZ_decarbplus_opex!AO56</f>
        <v>0</v>
      </c>
      <c r="AY56" s="188">
        <f>[2]CZ_decarbplus_opex!AP56</f>
        <v>1.5443740000000001E-3</v>
      </c>
      <c r="AZ56" s="188">
        <f>[2]CZ_decarbplus_opex!AQ56</f>
        <v>0</v>
      </c>
      <c r="BA56" s="188">
        <f>[2]CZ_decarbplus_opex!AR56</f>
        <v>1.7665910000000001E-3</v>
      </c>
      <c r="BB56" s="188">
        <f>[2]CZ_decarbplus_opex!AS56</f>
        <v>1.03206E-3</v>
      </c>
      <c r="BC56" s="188">
        <f>[2]CZ_decarbplus_opex!AT56</f>
        <v>2.2967719999999999E-3</v>
      </c>
      <c r="BD56" s="188">
        <f>[2]CZ_decarbplus_opex!AU56</f>
        <v>2.5837149999999999E-3</v>
      </c>
      <c r="BE56" s="188">
        <f>[2]CZ_decarbplus_opex!AV56</f>
        <v>2.410653E-3</v>
      </c>
      <c r="BF56" s="188">
        <f>[2]CZ_decarbplus_opex!AW56</f>
        <v>1.7585229999999999E-3</v>
      </c>
      <c r="BG56" s="188">
        <f>[2]CZ_decarbplus_opex!AX56</f>
        <v>4.9676379999999999E-3</v>
      </c>
      <c r="BH56" s="188">
        <f>[3]CZ_decarb_opex!I56</f>
        <v>1.2278051479569299E-3</v>
      </c>
      <c r="BI56" s="188">
        <f>[2]CZ_decarbplus_opex!AY56</f>
        <v>7.4141699999999997E-4</v>
      </c>
      <c r="BJ56" s="188">
        <f>[2]CZ_decarbplus_opex!AZ56</f>
        <v>1.2380565E-2</v>
      </c>
      <c r="BK56" s="188">
        <f>[2]CZ_decarbplus_opex!BA56</f>
        <v>1.4737789999999999E-3</v>
      </c>
      <c r="BL56" s="188">
        <f>[2]CZ_decarbplus_opex!BB56</f>
        <v>0</v>
      </c>
      <c r="BM56" s="188">
        <f>[3]CZ_decarb_opex!J56</f>
        <v>1.77737153820002E-3</v>
      </c>
      <c r="BN56" s="188">
        <f>[3]CZ_decarb_opex!K56</f>
        <v>1.56590040507093E-3</v>
      </c>
      <c r="BO56" s="188">
        <f>[3]CZ_decarb_opex!L56</f>
        <v>8.5320552888576505E-4</v>
      </c>
      <c r="BP56" s="188">
        <f>[3]CZ_decarb_opex!M56</f>
        <v>7.9062707174762403E-4</v>
      </c>
      <c r="BQ56" s="188">
        <f>[3]CZ_decarb_opex!N56</f>
        <v>6.64544670857718E-4</v>
      </c>
      <c r="BR56" s="188">
        <f>[3]CZ_decarb_opex!O56</f>
        <v>2.68784689972417E-3</v>
      </c>
      <c r="BS56" s="188">
        <f>[3]CZ_decarb_opex!P56</f>
        <v>1.34635456941008E-3</v>
      </c>
      <c r="BT56" s="188">
        <f>[3]CZ_decarb_opex!Q56</f>
        <v>3.2191949564971901E-4</v>
      </c>
      <c r="BU56" s="188">
        <f>[3]CZ_decarb_opex!R56</f>
        <v>1.68539275612633E-4</v>
      </c>
      <c r="BV56" s="188">
        <f>[3]CZ_decarb_opex!S56</f>
        <v>1.68539275612633E-4</v>
      </c>
      <c r="BW56" s="188">
        <f>[3]CZ_decarb_opex!T56</f>
        <v>2.5686237618824299E-3</v>
      </c>
      <c r="BX56" s="188">
        <f>[3]CZ_decarb_opex!U56</f>
        <v>4.2497970496103697E-5</v>
      </c>
      <c r="BY56" s="188">
        <f>[3]CZ_decarb_opex!V56</f>
        <v>3.2535819481201199E-5</v>
      </c>
      <c r="BZ56" s="188">
        <f>[2]CZ_decarbplus_opex!BC56</f>
        <v>1.300105E-3</v>
      </c>
      <c r="CA56" s="188">
        <f>[2]CZ_decarbplus_opex!BD56</f>
        <v>1.220421E-3</v>
      </c>
      <c r="CB56" s="188">
        <f>[2]CZ_decarbplus_opex!BE56</f>
        <v>1.166923E-3</v>
      </c>
      <c r="CC56" s="188">
        <f>[2]CZ_decarbplus_opex!BF56</f>
        <v>1.8168599999999999E-4</v>
      </c>
      <c r="CD56" s="188">
        <f>[2]CZ_decarbplus_opex!BG56</f>
        <v>1.749015E-3</v>
      </c>
      <c r="CE56" s="188">
        <f>[2]CZ_decarbplus_opex!BH56</f>
        <v>1.5920419999999999E-3</v>
      </c>
      <c r="CF56" s="188">
        <f>[2]CZ_decarbplus_opex!BI56</f>
        <v>1.787949E-3</v>
      </c>
      <c r="CG56" s="188">
        <f>[2]CZ_decarbplus_opex!BJ56</f>
        <v>6.4029799999999997E-4</v>
      </c>
    </row>
    <row r="57" spans="1:85" x14ac:dyDescent="0.25">
      <c r="A57" s="5" t="s">
        <v>133</v>
      </c>
      <c r="B57" s="2" t="s">
        <v>132</v>
      </c>
      <c r="C57" s="1" t="s">
        <v>328</v>
      </c>
      <c r="D57" s="187">
        <f>[2]CZ_decarbplus_opex!B57</f>
        <v>5.3399999999999997E-6</v>
      </c>
      <c r="E57" s="187">
        <f>[2]CZ_decarbplus_opex!C57</f>
        <v>7.2599999999999999E-6</v>
      </c>
      <c r="F57" s="187">
        <f>[2]CZ_decarbplus_opex!D57</f>
        <v>6.19E-6</v>
      </c>
      <c r="G57" s="187">
        <f>[2]CZ_decarbplus_opex!E57</f>
        <v>5.3000000000000001E-7</v>
      </c>
      <c r="H57" s="187">
        <f>[2]CZ_decarbplus_opex!F57</f>
        <v>1.3799999999999999E-6</v>
      </c>
      <c r="I57" s="187">
        <f>[2]CZ_decarbplus_opex!G57</f>
        <v>2.1999999999999999E-5</v>
      </c>
      <c r="J57" s="187">
        <f>[2]CZ_decarbplus_opex!H57</f>
        <v>7.6899999999999992E-6</v>
      </c>
      <c r="K57" s="187">
        <f>[2]CZ_decarbplus_opex!I57</f>
        <v>1.53E-6</v>
      </c>
      <c r="L57" s="187">
        <f>[2]CZ_decarbplus_opex!J57</f>
        <v>1.19E-5</v>
      </c>
      <c r="M57" s="187">
        <f>[2]CZ_decarbplus_opex!K57</f>
        <v>3.7100000000000001E-5</v>
      </c>
      <c r="N57" s="187">
        <f>[2]CZ_decarbplus_opex!L57</f>
        <v>2.7800000000000001E-5</v>
      </c>
      <c r="O57" s="187">
        <f>[2]CZ_decarbplus_opex!M57</f>
        <v>9.4399999999999994E-6</v>
      </c>
      <c r="P57" s="187">
        <f>[2]CZ_decarbplus_opex!N57</f>
        <v>1.0499999999999999E-5</v>
      </c>
      <c r="Q57" s="187">
        <f>[2]CZ_decarbplus_opex!O57</f>
        <v>1.26E-5</v>
      </c>
      <c r="R57" s="187">
        <f>[2]CZ_decarbplus_opex!P57</f>
        <v>7.9000000000000006E-6</v>
      </c>
      <c r="S57" s="187">
        <f>[2]CZ_decarbplus_opex!Q57</f>
        <v>6.1299999999999998E-6</v>
      </c>
      <c r="T57" s="187">
        <f>[2]CZ_decarbplus_opex!R57</f>
        <v>1.13E-5</v>
      </c>
      <c r="U57" s="187">
        <f>[2]CZ_decarbplus_opex!S57</f>
        <v>8.8899999999999996E-6</v>
      </c>
      <c r="V57" s="187">
        <f>[2]CZ_decarbplus_opex!T57</f>
        <v>7.5000000000000002E-6</v>
      </c>
      <c r="W57" s="187">
        <f>[2]CZ_decarbplus_opex!U57</f>
        <v>7.2300000000000002E-6</v>
      </c>
      <c r="X57" s="187">
        <f>[2]CZ_decarbplus_opex!V57</f>
        <v>2.4499999999999998E-6</v>
      </c>
      <c r="Y57" s="187">
        <f>[2]CZ_decarbplus_opex!W57</f>
        <v>2.2730600000000001E-4</v>
      </c>
      <c r="Z57" s="187">
        <f>[2]CZ_decarbplus_opex!X57</f>
        <v>7.625672E-3</v>
      </c>
      <c r="AA57" s="187">
        <f>[2]CZ_decarbplus_opex!Y57</f>
        <v>6.4400000000000002E-6</v>
      </c>
      <c r="AB57" s="188">
        <f>[3]CZ_decarb_opex!B57</f>
        <v>5.0701931124400803E-5</v>
      </c>
      <c r="AC57" s="188">
        <f>[3]CZ_decarb_opex!C57</f>
        <v>1.95315726400779E-5</v>
      </c>
      <c r="AD57" s="188">
        <f>[3]CZ_decarb_opex!D57</f>
        <v>1.5276177846295901E-4</v>
      </c>
      <c r="AE57" s="188">
        <f>[2]CZ_decarbplus_opex!Z57</f>
        <v>1.31738E-4</v>
      </c>
      <c r="AF57" s="188">
        <f>[2]CZ_decarbplus_opex!AA57</f>
        <v>6.2934199999999997E-4</v>
      </c>
      <c r="AG57" s="188">
        <f>[2]CZ_decarbplus_opex!AB57</f>
        <v>8.5900000000000001E-5</v>
      </c>
      <c r="AH57" s="188">
        <f>[2]CZ_decarbplus_opex!AC57</f>
        <v>1.4107729999999999E-3</v>
      </c>
      <c r="AI57" s="188">
        <f>[2]CZ_decarbplus_opex!AD57</f>
        <v>7.5406799999999999E-4</v>
      </c>
      <c r="AJ57" s="188">
        <f>[2]CZ_decarbplus_opex!AE57</f>
        <v>7.2745100000000005E-4</v>
      </c>
      <c r="AK57" s="188">
        <f>[2]CZ_decarbplus_opex!AF57</f>
        <v>2.2471790000000002E-3</v>
      </c>
      <c r="AL57" s="188">
        <f>[3]CZ_decarb_opex!E57</f>
        <v>1.0606002360879199E-3</v>
      </c>
      <c r="AM57" s="188">
        <f>[3]CZ_decarb_opex!F57</f>
        <v>8.3297622271098098E-4</v>
      </c>
      <c r="AN57" s="188">
        <f>[2]CZ_decarbplus_opex!AG57</f>
        <v>2.7836549999999999E-3</v>
      </c>
      <c r="AO57" s="188">
        <f>[3]CZ_decarb_opex!G57</f>
        <v>3.2442916560662398E-3</v>
      </c>
      <c r="AP57" s="188">
        <f>[3]CZ_decarb_opex!H57</f>
        <v>1.43517294715439E-3</v>
      </c>
      <c r="AQ57" s="188">
        <f>[2]CZ_decarbplus_opex!AH57</f>
        <v>1.474824E-3</v>
      </c>
      <c r="AR57" s="188">
        <f>[2]CZ_decarbplus_opex!AI57</f>
        <v>0</v>
      </c>
      <c r="AS57" s="188">
        <f>[2]CZ_decarbplus_opex!AJ57</f>
        <v>3.7386899999999998E-3</v>
      </c>
      <c r="AT57" s="188">
        <f>[2]CZ_decarbplus_opex!AK57</f>
        <v>1.9269650000000001E-3</v>
      </c>
      <c r="AU57" s="188">
        <f>[2]CZ_decarbplus_opex!AL57</f>
        <v>5.1413499999999998E-4</v>
      </c>
      <c r="AV57" s="188">
        <f>[2]CZ_decarbplus_opex!AM57</f>
        <v>2.1708299999999999E-4</v>
      </c>
      <c r="AW57" s="188">
        <f>[2]CZ_decarbplus_opex!AN57</f>
        <v>1.651656E-3</v>
      </c>
      <c r="AX57" s="188">
        <f>[2]CZ_decarbplus_opex!AO57</f>
        <v>0</v>
      </c>
      <c r="AY57" s="188">
        <f>[2]CZ_decarbplus_opex!AP57</f>
        <v>1.147054E-3</v>
      </c>
      <c r="AZ57" s="188">
        <f>[2]CZ_decarbplus_opex!AQ57</f>
        <v>0</v>
      </c>
      <c r="BA57" s="188">
        <f>[2]CZ_decarbplus_opex!AR57</f>
        <v>3.328756E-3</v>
      </c>
      <c r="BB57" s="188">
        <f>[2]CZ_decarbplus_opex!AS57</f>
        <v>2.9499999999999999E-5</v>
      </c>
      <c r="BC57" s="188">
        <f>[2]CZ_decarbplus_opex!AT57</f>
        <v>3.3200000000000001E-5</v>
      </c>
      <c r="BD57" s="188">
        <f>[2]CZ_decarbplus_opex!AU57</f>
        <v>8.1000000000000004E-6</v>
      </c>
      <c r="BE57" s="188">
        <f>[2]CZ_decarbplus_opex!AV57</f>
        <v>8.6400000000000003E-6</v>
      </c>
      <c r="BF57" s="188">
        <f>[2]CZ_decarbplus_opex!AW57</f>
        <v>8.9099999999999994E-6</v>
      </c>
      <c r="BG57" s="188">
        <f>[2]CZ_decarbplus_opex!AX57</f>
        <v>2.48E-5</v>
      </c>
      <c r="BH57" s="188">
        <f>[3]CZ_decarb_opex!I57</f>
        <v>4.3935461311936801E-6</v>
      </c>
      <c r="BI57" s="188">
        <f>[2]CZ_decarbplus_opex!AY57</f>
        <v>9.7699999999999996E-6</v>
      </c>
      <c r="BJ57" s="188">
        <f>[2]CZ_decarbplus_opex!AZ57</f>
        <v>1.98E-5</v>
      </c>
      <c r="BK57" s="188">
        <f>[2]CZ_decarbplus_opex!BA57</f>
        <v>2.0100000000000001E-5</v>
      </c>
      <c r="BL57" s="188">
        <f>[2]CZ_decarbplus_opex!BB57</f>
        <v>0</v>
      </c>
      <c r="BM57" s="188">
        <f>[3]CZ_decarb_opex!J57</f>
        <v>2.70075722413804E-3</v>
      </c>
      <c r="BN57" s="188">
        <f>[3]CZ_decarb_opex!K57</f>
        <v>1.8960648684333099E-3</v>
      </c>
      <c r="BO57" s="188">
        <f>[3]CZ_decarb_opex!L57</f>
        <v>1.2118898410348E-4</v>
      </c>
      <c r="BP57" s="188">
        <f>[3]CZ_decarb_opex!M57</f>
        <v>6.9546815582337602E-5</v>
      </c>
      <c r="BQ57" s="188">
        <f>[3]CZ_decarb_opex!N57</f>
        <v>4.3495916827221997E-6</v>
      </c>
      <c r="BR57" s="188">
        <f>[3]CZ_decarb_opex!O57</f>
        <v>6.43354914927067E-6</v>
      </c>
      <c r="BS57" s="188">
        <f>[3]CZ_decarb_opex!P57</f>
        <v>1.6715674035697501E-4</v>
      </c>
      <c r="BT57" s="188">
        <f>[3]CZ_decarb_opex!Q57</f>
        <v>5.0329970030745099E-5</v>
      </c>
      <c r="BU57" s="188">
        <f>[3]CZ_decarb_opex!R57</f>
        <v>1.45266253107806E-6</v>
      </c>
      <c r="BV57" s="188">
        <f>[3]CZ_decarb_opex!S57</f>
        <v>1.45266253107806E-6</v>
      </c>
      <c r="BW57" s="188">
        <f>[3]CZ_decarb_opex!T57</f>
        <v>6.2696329912800401E-6</v>
      </c>
      <c r="BX57" s="188">
        <f>[3]CZ_decarb_opex!U57</f>
        <v>2.0933709933875098E-6</v>
      </c>
      <c r="BY57" s="188">
        <f>[3]CZ_decarb_opex!V57</f>
        <v>3.6397631607324497E-5</v>
      </c>
      <c r="BZ57" s="188">
        <f>[2]CZ_decarbplus_opex!BC57</f>
        <v>5.8152099999999999E-4</v>
      </c>
      <c r="CA57" s="188">
        <f>[2]CZ_decarbplus_opex!BD57</f>
        <v>4.5800000000000002E-6</v>
      </c>
      <c r="CB57" s="188">
        <f>[2]CZ_decarbplus_opex!BE57</f>
        <v>4.4700000000000004E-6</v>
      </c>
      <c r="CC57" s="188">
        <f>[2]CZ_decarbplus_opex!BF57</f>
        <v>1.2371499999999999E-4</v>
      </c>
      <c r="CD57" s="188">
        <f>[2]CZ_decarbplus_opex!BG57</f>
        <v>9.5007000000000002E-4</v>
      </c>
      <c r="CE57" s="188">
        <f>[2]CZ_decarbplus_opex!BH57</f>
        <v>1.27E-5</v>
      </c>
      <c r="CF57" s="188">
        <f>[2]CZ_decarbplus_opex!BI57</f>
        <v>2.5600000000000001E-6</v>
      </c>
      <c r="CG57" s="188">
        <f>[2]CZ_decarbplus_opex!BJ57</f>
        <v>1.5400000000000001E-6</v>
      </c>
    </row>
    <row r="58" spans="1:85" x14ac:dyDescent="0.25">
      <c r="A58" s="5" t="s">
        <v>135</v>
      </c>
      <c r="B58" s="2" t="s">
        <v>134</v>
      </c>
      <c r="C58" s="1" t="s">
        <v>328</v>
      </c>
      <c r="D58" s="187">
        <f>[2]CZ_decarbplus_opex!B58</f>
        <v>3.49639E-4</v>
      </c>
      <c r="E58" s="187">
        <f>[2]CZ_decarbplus_opex!C58</f>
        <v>8.5254700000000005E-4</v>
      </c>
      <c r="F58" s="187">
        <f>[2]CZ_decarbplus_opex!D58</f>
        <v>5.3366399999999999E-4</v>
      </c>
      <c r="G58" s="187">
        <f>[2]CZ_decarbplus_opex!E58</f>
        <v>4.0599999999999998E-5</v>
      </c>
      <c r="H58" s="187">
        <f>[2]CZ_decarbplus_opex!F58</f>
        <v>8.8900000000000006E-5</v>
      </c>
      <c r="I58" s="187">
        <f>[2]CZ_decarbplus_opex!G58</f>
        <v>2.9650900000000001E-3</v>
      </c>
      <c r="J58" s="187">
        <f>[2]CZ_decarbplus_opex!H58</f>
        <v>5.9709499999999996E-4</v>
      </c>
      <c r="K58" s="187">
        <f>[2]CZ_decarbplus_opex!I58</f>
        <v>1.3757299999999999E-4</v>
      </c>
      <c r="L58" s="187">
        <f>[2]CZ_decarbplus_opex!J58</f>
        <v>1.414715E-3</v>
      </c>
      <c r="M58" s="187">
        <f>[2]CZ_decarbplus_opex!K58</f>
        <v>5.3299200000000001E-3</v>
      </c>
      <c r="N58" s="187">
        <f>[2]CZ_decarbplus_opex!L58</f>
        <v>1.520354E-3</v>
      </c>
      <c r="O58" s="187">
        <f>[2]CZ_decarbplus_opex!M58</f>
        <v>1.1769630000000001E-3</v>
      </c>
      <c r="P58" s="187">
        <f>[2]CZ_decarbplus_opex!N58</f>
        <v>6.8948799999999999E-3</v>
      </c>
      <c r="Q58" s="187">
        <f>[2]CZ_decarbplus_opex!O58</f>
        <v>2.5783099999999998E-4</v>
      </c>
      <c r="R58" s="187">
        <f>[2]CZ_decarbplus_opex!P58</f>
        <v>2.25539E-4</v>
      </c>
      <c r="S58" s="187">
        <f>[2]CZ_decarbplus_opex!Q58</f>
        <v>1.7398180999999999E-2</v>
      </c>
      <c r="T58" s="187">
        <f>[2]CZ_decarbplus_opex!R58</f>
        <v>5.0012624999999998E-2</v>
      </c>
      <c r="U58" s="187">
        <f>[2]CZ_decarbplus_opex!S58</f>
        <v>1.3056167E-2</v>
      </c>
      <c r="V58" s="187">
        <f>[2]CZ_decarbplus_opex!T58</f>
        <v>2.5499939999999999E-3</v>
      </c>
      <c r="W58" s="187">
        <f>[2]CZ_decarbplus_opex!U58</f>
        <v>5.8057229999999996E-3</v>
      </c>
      <c r="X58" s="187">
        <f>[2]CZ_decarbplus_opex!V58</f>
        <v>1.6898659999999999E-3</v>
      </c>
      <c r="Y58" s="187">
        <f>[2]CZ_decarbplus_opex!W58</f>
        <v>5.2560400000000005E-4</v>
      </c>
      <c r="Z58" s="187">
        <f>[2]CZ_decarbplus_opex!X58</f>
        <v>3.0661302000000001E-2</v>
      </c>
      <c r="AA58" s="187">
        <f>[2]CZ_decarbplus_opex!Y58</f>
        <v>4.2551300000000002E-3</v>
      </c>
      <c r="AB58" s="188">
        <f>[3]CZ_decarb_opex!B58</f>
        <v>1.8100147387346398E-2</v>
      </c>
      <c r="AC58" s="188">
        <f>[3]CZ_decarb_opex!C58</f>
        <v>7.0636463480509403E-4</v>
      </c>
      <c r="AD58" s="188">
        <f>[3]CZ_decarb_opex!D58</f>
        <v>1.0076354723968201E-2</v>
      </c>
      <c r="AE58" s="188">
        <f>[2]CZ_decarbplus_opex!Z58</f>
        <v>8.353727E-3</v>
      </c>
      <c r="AF58" s="188">
        <f>[2]CZ_decarbplus_opex!AA58</f>
        <v>3.0411033000000001E-2</v>
      </c>
      <c r="AG58" s="188">
        <f>[2]CZ_decarbplus_opex!AB58</f>
        <v>9.4488660000000002E-3</v>
      </c>
      <c r="AH58" s="188">
        <f>[2]CZ_decarbplus_opex!AC58</f>
        <v>2.7358199999999999E-3</v>
      </c>
      <c r="AI58" s="188">
        <f>[2]CZ_decarbplus_opex!AD58</f>
        <v>1.558739E-3</v>
      </c>
      <c r="AJ58" s="188">
        <f>[2]CZ_decarbplus_opex!AE58</f>
        <v>5.2255599999999998E-3</v>
      </c>
      <c r="AK58" s="188">
        <f>[2]CZ_decarbplus_opex!AF58</f>
        <v>2.8095210000000002E-3</v>
      </c>
      <c r="AL58" s="188">
        <f>[3]CZ_decarb_opex!E58</f>
        <v>2.34426915369322E-3</v>
      </c>
      <c r="AM58" s="188">
        <f>[3]CZ_decarb_opex!F58</f>
        <v>1.73896747510856E-3</v>
      </c>
      <c r="AN58" s="188">
        <f>[2]CZ_decarbplus_opex!AG58</f>
        <v>4.3709270000000001E-3</v>
      </c>
      <c r="AO58" s="188">
        <f>[3]CZ_decarb_opex!G58</f>
        <v>7.5174037116861403E-3</v>
      </c>
      <c r="AP58" s="188">
        <f>[3]CZ_decarb_opex!H58</f>
        <v>3.0526107830822001E-3</v>
      </c>
      <c r="AQ58" s="188">
        <f>[2]CZ_decarbplus_opex!AH58</f>
        <v>8.6572609999999994E-3</v>
      </c>
      <c r="AR58" s="188">
        <f>[2]CZ_decarbplus_opex!AI58</f>
        <v>0</v>
      </c>
      <c r="AS58" s="188">
        <f>[2]CZ_decarbplus_opex!AJ58</f>
        <v>1.1072871E-2</v>
      </c>
      <c r="AT58" s="188">
        <f>[2]CZ_decarbplus_opex!AK58</f>
        <v>6.9431509999999998E-3</v>
      </c>
      <c r="AU58" s="188">
        <f>[2]CZ_decarbplus_opex!AL58</f>
        <v>3.1468220000000001E-3</v>
      </c>
      <c r="AV58" s="188">
        <f>[2]CZ_decarbplus_opex!AM58</f>
        <v>1.704119E-3</v>
      </c>
      <c r="AW58" s="188">
        <f>[2]CZ_decarbplus_opex!AN58</f>
        <v>7.5060190000000001E-3</v>
      </c>
      <c r="AX58" s="188">
        <f>[2]CZ_decarbplus_opex!AO58</f>
        <v>0</v>
      </c>
      <c r="AY58" s="188">
        <f>[2]CZ_decarbplus_opex!AP58</f>
        <v>4.0831940000000001E-3</v>
      </c>
      <c r="AZ58" s="188">
        <f>[2]CZ_decarbplus_opex!AQ58</f>
        <v>0</v>
      </c>
      <c r="BA58" s="188">
        <f>[2]CZ_decarbplus_opex!AR58</f>
        <v>1.211258E-2</v>
      </c>
      <c r="BB58" s="188">
        <f>[2]CZ_decarbplus_opex!AS58</f>
        <v>2.2453310000000001E-3</v>
      </c>
      <c r="BC58" s="188">
        <f>[2]CZ_decarbplus_opex!AT58</f>
        <v>2.655171E-3</v>
      </c>
      <c r="BD58" s="188">
        <f>[2]CZ_decarbplus_opex!AU58</f>
        <v>1.7289399999999999E-4</v>
      </c>
      <c r="BE58" s="188">
        <f>[2]CZ_decarbplus_opex!AV58</f>
        <v>4.8999999999999998E-5</v>
      </c>
      <c r="BF58" s="188">
        <f>[2]CZ_decarbplus_opex!AW58</f>
        <v>1.22397E-4</v>
      </c>
      <c r="BG58" s="188">
        <f>[2]CZ_decarbplus_opex!AX58</f>
        <v>1.3471259999999999E-3</v>
      </c>
      <c r="BH58" s="188">
        <f>[3]CZ_decarb_opex!I58</f>
        <v>4.9263064104649599E-3</v>
      </c>
      <c r="BI58" s="188">
        <f>[2]CZ_decarbplus_opex!AY58</f>
        <v>1.0026329E-2</v>
      </c>
      <c r="BJ58" s="188">
        <f>[2]CZ_decarbplus_opex!AZ58</f>
        <v>3.2166629999999998E-3</v>
      </c>
      <c r="BK58" s="188">
        <f>[2]CZ_decarbplus_opex!BA58</f>
        <v>3.352907E-3</v>
      </c>
      <c r="BL58" s="188">
        <f>[2]CZ_decarbplus_opex!BB58</f>
        <v>0</v>
      </c>
      <c r="BM58" s="188">
        <f>[3]CZ_decarb_opex!J58</f>
        <v>2.1319106098944201E-2</v>
      </c>
      <c r="BN58" s="188">
        <f>[3]CZ_decarb_opex!K58</f>
        <v>3.5737450313644802E-2</v>
      </c>
      <c r="BO58" s="188">
        <f>[3]CZ_decarb_opex!L58</f>
        <v>1.61822773333319E-3</v>
      </c>
      <c r="BP58" s="188">
        <f>[3]CZ_decarb_opex!M58</f>
        <v>3.62246427933385E-3</v>
      </c>
      <c r="BQ58" s="188">
        <f>[3]CZ_decarb_opex!N58</f>
        <v>4.66218174970602E-3</v>
      </c>
      <c r="BR58" s="188">
        <f>[3]CZ_decarb_opex!O58</f>
        <v>2.3189251722962401E-3</v>
      </c>
      <c r="BS58" s="188">
        <f>[3]CZ_decarb_opex!P58</f>
        <v>4.7973679957663398E-2</v>
      </c>
      <c r="BT58" s="188">
        <f>[3]CZ_decarb_opex!Q58</f>
        <v>1.52463947982011E-3</v>
      </c>
      <c r="BU58" s="188">
        <f>[3]CZ_decarb_opex!R58</f>
        <v>3.6656889237918803E-5</v>
      </c>
      <c r="BV58" s="188">
        <f>[3]CZ_decarb_opex!S58</f>
        <v>3.6656889237918803E-5</v>
      </c>
      <c r="BW58" s="188">
        <f>[3]CZ_decarb_opex!T58</f>
        <v>1.37992280312749E-2</v>
      </c>
      <c r="BX58" s="188">
        <f>[3]CZ_decarb_opex!U58</f>
        <v>5.5253008553262E-3</v>
      </c>
      <c r="BY58" s="188">
        <f>[3]CZ_decarb_opex!V58</f>
        <v>4.0935277219958204E-3</v>
      </c>
      <c r="BZ58" s="188">
        <f>[2]CZ_decarbplus_opex!BC58</f>
        <v>1.319413E-2</v>
      </c>
      <c r="CA58" s="188">
        <f>[2]CZ_decarbplus_opex!BD58</f>
        <v>1.360773E-3</v>
      </c>
      <c r="CB58" s="188">
        <f>[2]CZ_decarbplus_opex!BE58</f>
        <v>2.1776360000000002E-3</v>
      </c>
      <c r="CC58" s="188">
        <f>[2]CZ_decarbplus_opex!BF58</f>
        <v>8.0398299999999998E-4</v>
      </c>
      <c r="CD58" s="188">
        <f>[2]CZ_decarbplus_opex!BG58</f>
        <v>2.5888161E-2</v>
      </c>
      <c r="CE58" s="188">
        <f>[2]CZ_decarbplus_opex!BH58</f>
        <v>2.9844250000000002E-3</v>
      </c>
      <c r="CF58" s="188">
        <f>[2]CZ_decarbplus_opex!BI58</f>
        <v>4.3984749999999998E-3</v>
      </c>
      <c r="CG58" s="188">
        <f>[2]CZ_decarbplus_opex!BJ58</f>
        <v>6.4300000000000004E-5</v>
      </c>
    </row>
    <row r="59" spans="1:85" x14ac:dyDescent="0.25">
      <c r="A59" s="6" t="s">
        <v>137</v>
      </c>
      <c r="B59" s="2" t="s">
        <v>136</v>
      </c>
      <c r="C59" s="1" t="s">
        <v>328</v>
      </c>
      <c r="D59" s="187">
        <f>[2]CZ_decarbplus_opex!B59</f>
        <v>2.6299999999999998E-6</v>
      </c>
      <c r="E59" s="187">
        <f>[2]CZ_decarbplus_opex!C59</f>
        <v>1.0100000000000001E-6</v>
      </c>
      <c r="F59" s="187">
        <f>[2]CZ_decarbplus_opex!D59</f>
        <v>1.5099999999999999E-6</v>
      </c>
      <c r="G59" s="187">
        <f>[2]CZ_decarbplus_opex!E59</f>
        <v>4.0400000000000002E-7</v>
      </c>
      <c r="H59" s="187">
        <f>[2]CZ_decarbplus_opex!F59</f>
        <v>6.5300000000000004E-7</v>
      </c>
      <c r="I59" s="187">
        <f>[2]CZ_decarbplus_opex!G59</f>
        <v>1.75E-6</v>
      </c>
      <c r="J59" s="187">
        <f>[2]CZ_decarbplus_opex!H59</f>
        <v>3.4699999999999998E-6</v>
      </c>
      <c r="K59" s="187">
        <f>[2]CZ_decarbplus_opex!I59</f>
        <v>9.1800000000000004E-7</v>
      </c>
      <c r="L59" s="187">
        <f>[2]CZ_decarbplus_opex!J59</f>
        <v>1.55E-6</v>
      </c>
      <c r="M59" s="187">
        <f>[2]CZ_decarbplus_opex!K59</f>
        <v>2.2699999999999999E-6</v>
      </c>
      <c r="N59" s="187">
        <f>[2]CZ_decarbplus_opex!L59</f>
        <v>4.1200000000000004E-6</v>
      </c>
      <c r="O59" s="187">
        <f>[2]CZ_decarbplus_opex!M59</f>
        <v>4.0099999999999997E-6</v>
      </c>
      <c r="P59" s="187">
        <f>[2]CZ_decarbplus_opex!N59</f>
        <v>4.1999999999999996E-6</v>
      </c>
      <c r="Q59" s="187">
        <f>[2]CZ_decarbplus_opex!O59</f>
        <v>1.7099999999999999E-5</v>
      </c>
      <c r="R59" s="187">
        <f>[2]CZ_decarbplus_opex!P59</f>
        <v>3.9700000000000001E-6</v>
      </c>
      <c r="S59" s="187">
        <f>[2]CZ_decarbplus_opex!Q59</f>
        <v>2.04E-6</v>
      </c>
      <c r="T59" s="187">
        <f>[2]CZ_decarbplus_opex!R59</f>
        <v>2.5000000000000002E-6</v>
      </c>
      <c r="U59" s="187">
        <f>[2]CZ_decarbplus_opex!S59</f>
        <v>3.0800000000000002E-6</v>
      </c>
      <c r="V59" s="187">
        <f>[2]CZ_decarbplus_opex!T59</f>
        <v>3.6399999999999999E-6</v>
      </c>
      <c r="W59" s="187">
        <f>[2]CZ_decarbplus_opex!U59</f>
        <v>8.6600000000000001E-6</v>
      </c>
      <c r="X59" s="187">
        <f>[2]CZ_decarbplus_opex!V59</f>
        <v>2.6900000000000001E-6</v>
      </c>
      <c r="Y59" s="187">
        <f>[2]CZ_decarbplus_opex!W59</f>
        <v>1.9700000000000002E-6</v>
      </c>
      <c r="Z59" s="187">
        <f>[2]CZ_decarbplus_opex!X59</f>
        <v>9.2899999999999995E-5</v>
      </c>
      <c r="AA59" s="187">
        <f>[2]CZ_decarbplus_opex!Y59</f>
        <v>2.9000000000000002E-6</v>
      </c>
      <c r="AB59" s="188">
        <f>[3]CZ_decarb_opex!B59</f>
        <v>2.3035570974855401E-5</v>
      </c>
      <c r="AC59" s="188">
        <f>[3]CZ_decarb_opex!C59</f>
        <v>5.3815745927251699E-6</v>
      </c>
      <c r="AD59" s="188">
        <f>[3]CZ_decarb_opex!D59</f>
        <v>4.2886752799363398E-6</v>
      </c>
      <c r="AE59" s="188">
        <f>[2]CZ_decarbplus_opex!Z59</f>
        <v>4.5499999999999996E-6</v>
      </c>
      <c r="AF59" s="188">
        <f>[2]CZ_decarbplus_opex!AA59</f>
        <v>7.1400000000000001E-5</v>
      </c>
      <c r="AG59" s="188">
        <f>[2]CZ_decarbplus_opex!AB59</f>
        <v>2.9300000000000001E-5</v>
      </c>
      <c r="AH59" s="188">
        <f>[2]CZ_decarbplus_opex!AC59</f>
        <v>8.2400000000000007E-6</v>
      </c>
      <c r="AI59" s="188">
        <f>[2]CZ_decarbplus_opex!AD59</f>
        <v>3.3000000000000002E-6</v>
      </c>
      <c r="AJ59" s="188">
        <f>[2]CZ_decarbplus_opex!AE59</f>
        <v>3.0800000000000002E-6</v>
      </c>
      <c r="AK59" s="188">
        <f>[2]CZ_decarbplus_opex!AF59</f>
        <v>6.4400000000000002E-6</v>
      </c>
      <c r="AL59" s="188">
        <f>[3]CZ_decarb_opex!E59</f>
        <v>2.7468684002348399E-6</v>
      </c>
      <c r="AM59" s="188">
        <f>[3]CZ_decarb_opex!F59</f>
        <v>2.7919358181402801E-6</v>
      </c>
      <c r="AN59" s="188">
        <f>[2]CZ_decarbplus_opex!AG59</f>
        <v>4.87E-6</v>
      </c>
      <c r="AO59" s="188">
        <f>[3]CZ_decarb_opex!G59</f>
        <v>2.7871509702314501E-6</v>
      </c>
      <c r="AP59" s="188">
        <f>[3]CZ_decarb_opex!H59</f>
        <v>3.2329102138211998E-6</v>
      </c>
      <c r="AQ59" s="188">
        <f>[2]CZ_decarbplus_opex!AH59</f>
        <v>2.48E-6</v>
      </c>
      <c r="AR59" s="188">
        <f>[2]CZ_decarbplus_opex!AI59</f>
        <v>0</v>
      </c>
      <c r="AS59" s="188">
        <f>[2]CZ_decarbplus_opex!AJ59</f>
        <v>6.8800000000000002E-6</v>
      </c>
      <c r="AT59" s="188">
        <f>[2]CZ_decarbplus_opex!AK59</f>
        <v>6.0700000000000003E-6</v>
      </c>
      <c r="AU59" s="188">
        <f>[2]CZ_decarbplus_opex!AL59</f>
        <v>6.5700000000000002E-7</v>
      </c>
      <c r="AV59" s="188">
        <f>[2]CZ_decarbplus_opex!AM59</f>
        <v>6.7100000000000001E-7</v>
      </c>
      <c r="AW59" s="188">
        <f>[2]CZ_decarbplus_opex!AN59</f>
        <v>1.11E-6</v>
      </c>
      <c r="AX59" s="188">
        <f>[2]CZ_decarbplus_opex!AO59</f>
        <v>0</v>
      </c>
      <c r="AY59" s="188">
        <f>[2]CZ_decarbplus_opex!AP59</f>
        <v>3.4300000000000002E-6</v>
      </c>
      <c r="AZ59" s="188">
        <f>[2]CZ_decarbplus_opex!AQ59</f>
        <v>0</v>
      </c>
      <c r="BA59" s="188">
        <f>[2]CZ_decarbplus_opex!AR59</f>
        <v>1.9400000000000001E-6</v>
      </c>
      <c r="BB59" s="188">
        <f>[2]CZ_decarbplus_opex!AS59</f>
        <v>2.0700000000000001E-6</v>
      </c>
      <c r="BC59" s="188">
        <f>[2]CZ_decarbplus_opex!AT59</f>
        <v>2.9799999999999998E-6</v>
      </c>
      <c r="BD59" s="188">
        <f>[2]CZ_decarbplus_opex!AU59</f>
        <v>4.3800000000000004E-6</v>
      </c>
      <c r="BE59" s="188">
        <f>[2]CZ_decarbplus_opex!AV59</f>
        <v>2.2800000000000002E-6</v>
      </c>
      <c r="BF59" s="188">
        <f>[2]CZ_decarbplus_opex!AW59</f>
        <v>1.79E-6</v>
      </c>
      <c r="BG59" s="188">
        <f>[2]CZ_decarbplus_opex!AX59</f>
        <v>9.4199999999999996E-6</v>
      </c>
      <c r="BH59" s="188">
        <f>[3]CZ_decarb_opex!I59</f>
        <v>3.1546004251581402E-6</v>
      </c>
      <c r="BI59" s="188">
        <f>[2]CZ_decarbplus_opex!AY59</f>
        <v>5.6099999999999997E-6</v>
      </c>
      <c r="BJ59" s="188">
        <f>[2]CZ_decarbplus_opex!AZ59</f>
        <v>3.2499999999999997E-5</v>
      </c>
      <c r="BK59" s="188">
        <f>[2]CZ_decarbplus_opex!BA59</f>
        <v>2.0999999999999998E-6</v>
      </c>
      <c r="BL59" s="188">
        <f>[2]CZ_decarbplus_opex!BB59</f>
        <v>0</v>
      </c>
      <c r="BM59" s="188">
        <f>[3]CZ_decarb_opex!J59</f>
        <v>1.78881674279671E-6</v>
      </c>
      <c r="BN59" s="188">
        <f>[3]CZ_decarb_opex!K59</f>
        <v>6.6871543100827701E-6</v>
      </c>
      <c r="BO59" s="188">
        <f>[3]CZ_decarb_opex!L59</f>
        <v>5.9338267020359997E-7</v>
      </c>
      <c r="BP59" s="188">
        <f>[3]CZ_decarb_opex!M59</f>
        <v>1.3757917746518099E-6</v>
      </c>
      <c r="BQ59" s="188">
        <f>[3]CZ_decarb_opex!N59</f>
        <v>2.0291544844026702E-6</v>
      </c>
      <c r="BR59" s="188">
        <f>[3]CZ_decarb_opex!O59</f>
        <v>9.1168662518813795E-7</v>
      </c>
      <c r="BS59" s="188">
        <f>[3]CZ_decarb_opex!P59</f>
        <v>7.7918217865726194E-6</v>
      </c>
      <c r="BT59" s="188">
        <f>[3]CZ_decarb_opex!Q59</f>
        <v>1.0818872342521899E-6</v>
      </c>
      <c r="BU59" s="188">
        <f>[3]CZ_decarb_opex!R59</f>
        <v>7.0030807706871403E-7</v>
      </c>
      <c r="BV59" s="188">
        <f>[3]CZ_decarb_opex!S59</f>
        <v>7.0030807706871604E-7</v>
      </c>
      <c r="BW59" s="188">
        <f>[3]CZ_decarb_opex!T59</f>
        <v>1.9143971331686598E-5</v>
      </c>
      <c r="BX59" s="188">
        <f>[3]CZ_decarb_opex!U59</f>
        <v>5.2627984442992702E-7</v>
      </c>
      <c r="BY59" s="188">
        <f>[3]CZ_decarb_opex!V59</f>
        <v>1.9640144319646601E-5</v>
      </c>
      <c r="BZ59" s="188">
        <f>[2]CZ_decarbplus_opex!BC59</f>
        <v>1.3400000000000001E-6</v>
      </c>
      <c r="CA59" s="188">
        <f>[2]CZ_decarbplus_opex!BD59</f>
        <v>2.5799999999999999E-6</v>
      </c>
      <c r="CB59" s="188">
        <f>[2]CZ_decarbplus_opex!BE59</f>
        <v>2.3700000000000002E-6</v>
      </c>
      <c r="CC59" s="188">
        <f>[2]CZ_decarbplus_opex!BF59</f>
        <v>8.67E-6</v>
      </c>
      <c r="CD59" s="188">
        <f>[2]CZ_decarbplus_opex!BG59</f>
        <v>6.55E-6</v>
      </c>
      <c r="CE59" s="188">
        <f>[2]CZ_decarbplus_opex!BH59</f>
        <v>1.08E-6</v>
      </c>
      <c r="CF59" s="188">
        <f>[2]CZ_decarbplus_opex!BI59</f>
        <v>1.2899999999999999E-6</v>
      </c>
      <c r="CG59" s="188">
        <f>[2]CZ_decarbplus_opex!BJ59</f>
        <v>7.1900000000000002E-7</v>
      </c>
    </row>
    <row r="60" spans="1:85" x14ac:dyDescent="0.25">
      <c r="A60" s="5" t="s">
        <v>139</v>
      </c>
      <c r="B60" s="2" t="s">
        <v>138</v>
      </c>
      <c r="C60" s="1" t="s">
        <v>328</v>
      </c>
      <c r="D60" s="187">
        <f>[2]CZ_decarbplus_opex!B60</f>
        <v>6.67933E-4</v>
      </c>
      <c r="E60" s="187">
        <f>[2]CZ_decarbplus_opex!C60</f>
        <v>1.7340000000000001E-4</v>
      </c>
      <c r="F60" s="187">
        <f>[2]CZ_decarbplus_opex!D60</f>
        <v>2.8112299999999998E-4</v>
      </c>
      <c r="G60" s="187">
        <f>[2]CZ_decarbplus_opex!E60</f>
        <v>1.8199999999999999E-5</v>
      </c>
      <c r="H60" s="187">
        <f>[2]CZ_decarbplus_opex!F60</f>
        <v>2.8500000000000002E-5</v>
      </c>
      <c r="I60" s="187">
        <f>[2]CZ_decarbplus_opex!G60</f>
        <v>4.1183600000000001E-4</v>
      </c>
      <c r="J60" s="187">
        <f>[2]CZ_decarbplus_opex!H60</f>
        <v>2.4793200000000002E-4</v>
      </c>
      <c r="K60" s="187">
        <f>[2]CZ_decarbplus_opex!I60</f>
        <v>3.96E-5</v>
      </c>
      <c r="L60" s="187">
        <f>[2]CZ_decarbplus_opex!J60</f>
        <v>7.8949200000000004E-4</v>
      </c>
      <c r="M60" s="187">
        <f>[2]CZ_decarbplus_opex!K60</f>
        <v>5.5116799999999999E-4</v>
      </c>
      <c r="N60" s="187">
        <f>[2]CZ_decarbplus_opex!L60</f>
        <v>3.5533500000000003E-4</v>
      </c>
      <c r="O60" s="187">
        <f>[2]CZ_decarbplus_opex!M60</f>
        <v>1.51571E-4</v>
      </c>
      <c r="P60" s="187">
        <f>[2]CZ_decarbplus_opex!N60</f>
        <v>1.1043579999999999E-3</v>
      </c>
      <c r="Q60" s="187">
        <f>[2]CZ_decarbplus_opex!O60</f>
        <v>3.1487600000000001E-4</v>
      </c>
      <c r="R60" s="187">
        <f>[2]CZ_decarbplus_opex!P60</f>
        <v>1.7837350000000001E-3</v>
      </c>
      <c r="S60" s="187">
        <f>[2]CZ_decarbplus_opex!Q60</f>
        <v>7.4991999999999995E-4</v>
      </c>
      <c r="T60" s="187">
        <f>[2]CZ_decarbplus_opex!R60</f>
        <v>1.975493E-3</v>
      </c>
      <c r="U60" s="187">
        <f>[2]CZ_decarbplus_opex!S60</f>
        <v>6.3739999999999999E-4</v>
      </c>
      <c r="V60" s="187">
        <f>[2]CZ_decarbplus_opex!T60</f>
        <v>2.5824000000000002E-4</v>
      </c>
      <c r="W60" s="187">
        <f>[2]CZ_decarbplus_opex!U60</f>
        <v>5.4050699999999997E-4</v>
      </c>
      <c r="X60" s="187">
        <f>[2]CZ_decarbplus_opex!V60</f>
        <v>1.5813399999999999E-4</v>
      </c>
      <c r="Y60" s="187">
        <f>[2]CZ_decarbplus_opex!W60</f>
        <v>1.15771E-4</v>
      </c>
      <c r="Z60" s="187">
        <f>[2]CZ_decarbplus_opex!X60</f>
        <v>8.2948600000000005E-4</v>
      </c>
      <c r="AA60" s="187">
        <f>[2]CZ_decarbplus_opex!Y60</f>
        <v>3.0122900000000003E-4</v>
      </c>
      <c r="AB60" s="188">
        <f>[3]CZ_decarb_opex!B60</f>
        <v>2.74641458508856E-3</v>
      </c>
      <c r="AC60" s="188">
        <f>[3]CZ_decarb_opex!C60</f>
        <v>1.8051052786372299E-4</v>
      </c>
      <c r="AD60" s="188">
        <f>[3]CZ_decarb_opex!D60</f>
        <v>2.3318204953814601E-4</v>
      </c>
      <c r="AE60" s="188">
        <f>[2]CZ_decarbplus_opex!Z60</f>
        <v>2.2604E-4</v>
      </c>
      <c r="AF60" s="188">
        <f>[2]CZ_decarbplus_opex!AA60</f>
        <v>1.371061E-3</v>
      </c>
      <c r="AG60" s="188">
        <f>[2]CZ_decarbplus_opex!AB60</f>
        <v>3.4494359000000002E-2</v>
      </c>
      <c r="AH60" s="188">
        <f>[2]CZ_decarbplus_opex!AC60</f>
        <v>1.3918240000000001E-3</v>
      </c>
      <c r="AI60" s="188">
        <f>[2]CZ_decarbplus_opex!AD60</f>
        <v>5.1977299999999996E-4</v>
      </c>
      <c r="AJ60" s="188">
        <f>[2]CZ_decarbplus_opex!AE60</f>
        <v>8.9079299999999997E-4</v>
      </c>
      <c r="AK60" s="188">
        <f>[2]CZ_decarbplus_opex!AF60</f>
        <v>6.9748200000000003E-4</v>
      </c>
      <c r="AL60" s="188">
        <f>[3]CZ_decarb_opex!E60</f>
        <v>4.5322454034917102E-4</v>
      </c>
      <c r="AM60" s="188">
        <f>[3]CZ_decarb_opex!F60</f>
        <v>3.9307995506851598E-4</v>
      </c>
      <c r="AN60" s="188">
        <f>[2]CZ_decarbplus_opex!AG60</f>
        <v>6.8642799999999999E-4</v>
      </c>
      <c r="AO60" s="188">
        <f>[3]CZ_decarb_opex!G60</f>
        <v>1.05313432756342E-3</v>
      </c>
      <c r="AP60" s="188">
        <f>[3]CZ_decarb_opex!H60</f>
        <v>1.0170372084702601E-3</v>
      </c>
      <c r="AQ60" s="188">
        <f>[2]CZ_decarbplus_opex!AH60</f>
        <v>6.1701900000000001E-4</v>
      </c>
      <c r="AR60" s="188">
        <f>[2]CZ_decarbplus_opex!AI60</f>
        <v>0</v>
      </c>
      <c r="AS60" s="188">
        <f>[2]CZ_decarbplus_opex!AJ60</f>
        <v>1.0619099999999999E-3</v>
      </c>
      <c r="AT60" s="188">
        <f>[2]CZ_decarbplus_opex!AK60</f>
        <v>9.7941400000000007E-4</v>
      </c>
      <c r="AU60" s="188">
        <f>[2]CZ_decarbplus_opex!AL60</f>
        <v>5.7246900000000004E-4</v>
      </c>
      <c r="AV60" s="188">
        <f>[2]CZ_decarbplus_opex!AM60</f>
        <v>5.0809499999999997E-4</v>
      </c>
      <c r="AW60" s="188">
        <f>[2]CZ_decarbplus_opex!AN60</f>
        <v>2.3883820000000001E-3</v>
      </c>
      <c r="AX60" s="188">
        <f>[2]CZ_decarbplus_opex!AO60</f>
        <v>0</v>
      </c>
      <c r="AY60" s="188">
        <f>[2]CZ_decarbplus_opex!AP60</f>
        <v>7.8992999999999999E-4</v>
      </c>
      <c r="AZ60" s="188">
        <f>[2]CZ_decarbplus_opex!AQ60</f>
        <v>0</v>
      </c>
      <c r="BA60" s="188">
        <f>[2]CZ_decarbplus_opex!AR60</f>
        <v>1.199206E-3</v>
      </c>
      <c r="BB60" s="188">
        <f>[2]CZ_decarbplus_opex!AS60</f>
        <v>8.8826900000000002E-4</v>
      </c>
      <c r="BC60" s="188">
        <f>[2]CZ_decarbplus_opex!AT60</f>
        <v>7.3857800000000004E-4</v>
      </c>
      <c r="BD60" s="188">
        <f>[2]CZ_decarbplus_opex!AU60</f>
        <v>2.43537E-4</v>
      </c>
      <c r="BE60" s="188">
        <f>[2]CZ_decarbplus_opex!AV60</f>
        <v>8.9051099999999997E-4</v>
      </c>
      <c r="BF60" s="188">
        <f>[2]CZ_decarbplus_opex!AW60</f>
        <v>2.744E-4</v>
      </c>
      <c r="BG60" s="188">
        <f>[2]CZ_decarbplus_opex!AX60</f>
        <v>6.032417E-3</v>
      </c>
      <c r="BH60" s="188">
        <f>[3]CZ_decarb_opex!I60</f>
        <v>1.39496795408732E-3</v>
      </c>
      <c r="BI60" s="188">
        <f>[2]CZ_decarbplus_opex!AY60</f>
        <v>1.867182E-3</v>
      </c>
      <c r="BJ60" s="188">
        <f>[2]CZ_decarbplus_opex!AZ60</f>
        <v>1.1144670000000001E-3</v>
      </c>
      <c r="BK60" s="188">
        <f>[2]CZ_decarbplus_opex!BA60</f>
        <v>1.181252E-3</v>
      </c>
      <c r="BL60" s="188">
        <f>[2]CZ_decarbplus_opex!BB60</f>
        <v>0</v>
      </c>
      <c r="BM60" s="188">
        <f>[3]CZ_decarb_opex!J60</f>
        <v>6.6060886988295302E-4</v>
      </c>
      <c r="BN60" s="188">
        <f>[3]CZ_decarb_opex!K60</f>
        <v>7.9640599616999505E-4</v>
      </c>
      <c r="BO60" s="188">
        <f>[3]CZ_decarb_opex!L60</f>
        <v>1.16114906208781E-4</v>
      </c>
      <c r="BP60" s="188">
        <f>[3]CZ_decarb_opex!M60</f>
        <v>1.2234258444525101E-4</v>
      </c>
      <c r="BQ60" s="188">
        <f>[3]CZ_decarb_opex!N60</f>
        <v>1.5401264134124999E-4</v>
      </c>
      <c r="BR60" s="188">
        <f>[3]CZ_decarb_opex!O60</f>
        <v>6.1845153533328704E-4</v>
      </c>
      <c r="BS60" s="188">
        <f>[3]CZ_decarb_opex!P60</f>
        <v>1.00108131127593E-3</v>
      </c>
      <c r="BT60" s="188">
        <f>[3]CZ_decarb_opex!Q60</f>
        <v>5.6756898382202099E-4</v>
      </c>
      <c r="BU60" s="188">
        <f>[3]CZ_decarb_opex!R60</f>
        <v>4.2670321915005601E-5</v>
      </c>
      <c r="BV60" s="188">
        <f>[3]CZ_decarb_opex!S60</f>
        <v>4.2670321915005601E-5</v>
      </c>
      <c r="BW60" s="188">
        <f>[3]CZ_decarb_opex!T60</f>
        <v>9.6576122534843998E-4</v>
      </c>
      <c r="BX60" s="188">
        <f>[3]CZ_decarb_opex!U60</f>
        <v>7.5078872819267194E-5</v>
      </c>
      <c r="BY60" s="188">
        <f>[3]CZ_decarb_opex!V60</f>
        <v>1.5632259048804201E-4</v>
      </c>
      <c r="BZ60" s="188">
        <f>[2]CZ_decarbplus_opex!BC60</f>
        <v>2.94734E-4</v>
      </c>
      <c r="CA60" s="188">
        <f>[2]CZ_decarbplus_opex!BD60</f>
        <v>1.1054599999999999E-4</v>
      </c>
      <c r="CB60" s="188">
        <f>[2]CZ_decarbplus_opex!BE60</f>
        <v>1.6118299999999999E-4</v>
      </c>
      <c r="CC60" s="188">
        <f>[2]CZ_decarbplus_opex!BF60</f>
        <v>5.6799999999999998E-5</v>
      </c>
      <c r="CD60" s="188">
        <f>[2]CZ_decarbplus_opex!BG60</f>
        <v>1.0945830000000001E-3</v>
      </c>
      <c r="CE60" s="188">
        <f>[2]CZ_decarbplus_opex!BH60</f>
        <v>2.1751100000000001E-4</v>
      </c>
      <c r="CF60" s="188">
        <f>[2]CZ_decarbplus_opex!BI60</f>
        <v>3.4065799999999998E-4</v>
      </c>
      <c r="CG60" s="188">
        <f>[2]CZ_decarbplus_opex!BJ60</f>
        <v>4.2299999999999998E-5</v>
      </c>
    </row>
    <row r="61" spans="1:85" x14ac:dyDescent="0.25">
      <c r="A61" s="5" t="s">
        <v>141</v>
      </c>
      <c r="B61" s="2" t="s">
        <v>140</v>
      </c>
      <c r="C61" s="1" t="s">
        <v>328</v>
      </c>
      <c r="D61" s="187">
        <f>[2]CZ_decarbplus_opex!B61</f>
        <v>1.69424E-4</v>
      </c>
      <c r="E61" s="187">
        <f>[2]CZ_decarbplus_opex!C61</f>
        <v>4.3000000000000002E-5</v>
      </c>
      <c r="F61" s="187">
        <f>[2]CZ_decarbplus_opex!D61</f>
        <v>7.7799999999999994E-5</v>
      </c>
      <c r="G61" s="187">
        <f>[2]CZ_decarbplus_opex!E61</f>
        <v>8.0399999999999993E-6</v>
      </c>
      <c r="H61" s="187">
        <f>[2]CZ_decarbplus_opex!F61</f>
        <v>1.2799999999999999E-5</v>
      </c>
      <c r="I61" s="187">
        <f>[2]CZ_decarbplus_opex!G61</f>
        <v>1.05481E-4</v>
      </c>
      <c r="J61" s="187">
        <f>[2]CZ_decarbplus_opex!H61</f>
        <v>1.02363E-4</v>
      </c>
      <c r="K61" s="187">
        <f>[2]CZ_decarbplus_opex!I61</f>
        <v>1.5E-5</v>
      </c>
      <c r="L61" s="187">
        <f>[2]CZ_decarbplus_opex!J61</f>
        <v>2.3843599999999999E-4</v>
      </c>
      <c r="M61" s="187">
        <f>[2]CZ_decarbplus_opex!K61</f>
        <v>1.4183699999999999E-4</v>
      </c>
      <c r="N61" s="187">
        <f>[2]CZ_decarbplus_opex!L61</f>
        <v>1.1726300000000001E-4</v>
      </c>
      <c r="O61" s="187">
        <f>[2]CZ_decarbplus_opex!M61</f>
        <v>5.2800000000000003E-5</v>
      </c>
      <c r="P61" s="187">
        <f>[2]CZ_decarbplus_opex!N61</f>
        <v>2.9399899999999997E-4</v>
      </c>
      <c r="Q61" s="187">
        <f>[2]CZ_decarbplus_opex!O61</f>
        <v>8.53E-5</v>
      </c>
      <c r="R61" s="187">
        <f>[2]CZ_decarbplus_opex!P61</f>
        <v>4.5355699999999999E-4</v>
      </c>
      <c r="S61" s="187">
        <f>[2]CZ_decarbplus_opex!Q61</f>
        <v>1.3631900000000001E-4</v>
      </c>
      <c r="T61" s="187">
        <f>[2]CZ_decarbplus_opex!R61</f>
        <v>3.5237700000000002E-4</v>
      </c>
      <c r="U61" s="187">
        <f>[2]CZ_decarbplus_opex!S61</f>
        <v>1.05369E-4</v>
      </c>
      <c r="V61" s="187">
        <f>[2]CZ_decarbplus_opex!T61</f>
        <v>3.9799999999999998E-5</v>
      </c>
      <c r="W61" s="187">
        <f>[2]CZ_decarbplus_opex!U61</f>
        <v>1.0970400000000001E-4</v>
      </c>
      <c r="X61" s="187">
        <f>[2]CZ_decarbplus_opex!V61</f>
        <v>4.1499999999999999E-5</v>
      </c>
      <c r="Y61" s="187">
        <f>[2]CZ_decarbplus_opex!W61</f>
        <v>3.4199999999999998E-5</v>
      </c>
      <c r="Z61" s="187">
        <f>[2]CZ_decarbplus_opex!X61</f>
        <v>1.6936300000000001E-4</v>
      </c>
      <c r="AA61" s="187">
        <f>[2]CZ_decarbplus_opex!Y61</f>
        <v>6.3399999999999996E-5</v>
      </c>
      <c r="AB61" s="188">
        <f>[3]CZ_decarb_opex!B61</f>
        <v>9.6366873017324E-4</v>
      </c>
      <c r="AC61" s="188">
        <f>[3]CZ_decarb_opex!C61</f>
        <v>4.5551682436794403E-5</v>
      </c>
      <c r="AD61" s="188">
        <f>[3]CZ_decarb_opex!D61</f>
        <v>1.00997476064826E-4</v>
      </c>
      <c r="AE61" s="188">
        <f>[2]CZ_decarbplus_opex!Z61</f>
        <v>1.06333E-4</v>
      </c>
      <c r="AF61" s="188">
        <f>[2]CZ_decarbplus_opex!AA61</f>
        <v>3.5700400000000001E-4</v>
      </c>
      <c r="AG61" s="188">
        <f>[2]CZ_decarbplus_opex!AB61</f>
        <v>8.4426650000000002E-3</v>
      </c>
      <c r="AH61" s="188">
        <f>[2]CZ_decarbplus_opex!AC61</f>
        <v>3.1271499999999998E-4</v>
      </c>
      <c r="AI61" s="188">
        <f>[2]CZ_decarbplus_opex!AD61</f>
        <v>1.1425399999999999E-4</v>
      </c>
      <c r="AJ61" s="188">
        <f>[2]CZ_decarbplus_opex!AE61</f>
        <v>3.02081E-4</v>
      </c>
      <c r="AK61" s="188">
        <f>[2]CZ_decarbplus_opex!AF61</f>
        <v>1.74067E-4</v>
      </c>
      <c r="AL61" s="188">
        <f>[3]CZ_decarb_opex!E61</f>
        <v>1.2532868247595099E-4</v>
      </c>
      <c r="AM61" s="188">
        <f>[3]CZ_decarb_opex!F61</f>
        <v>1.08183551452827E-4</v>
      </c>
      <c r="AN61" s="188">
        <f>[2]CZ_decarbplus_opex!AG61</f>
        <v>1.6002200000000001E-4</v>
      </c>
      <c r="AO61" s="188">
        <f>[3]CZ_decarb_opex!G61</f>
        <v>2.1179003477712899E-4</v>
      </c>
      <c r="AP61" s="188">
        <f>[3]CZ_decarb_opex!H61</f>
        <v>1.61569698691782E-4</v>
      </c>
      <c r="AQ61" s="188">
        <f>[2]CZ_decarbplus_opex!AH61</f>
        <v>1.1877100000000001E-4</v>
      </c>
      <c r="AR61" s="188">
        <f>[2]CZ_decarbplus_opex!AI61</f>
        <v>0</v>
      </c>
      <c r="AS61" s="188">
        <f>[2]CZ_decarbplus_opex!AJ61</f>
        <v>2.10664E-4</v>
      </c>
      <c r="AT61" s="188">
        <f>[2]CZ_decarbplus_opex!AK61</f>
        <v>1.9118499999999999E-4</v>
      </c>
      <c r="AU61" s="188">
        <f>[2]CZ_decarbplus_opex!AL61</f>
        <v>9.7700000000000003E-5</v>
      </c>
      <c r="AV61" s="188">
        <f>[2]CZ_decarbplus_opex!AM61</f>
        <v>7.3800000000000005E-5</v>
      </c>
      <c r="AW61" s="188">
        <f>[2]CZ_decarbplus_opex!AN61</f>
        <v>3.5235099999999999E-4</v>
      </c>
      <c r="AX61" s="188">
        <f>[2]CZ_decarbplus_opex!AO61</f>
        <v>0</v>
      </c>
      <c r="AY61" s="188">
        <f>[2]CZ_decarbplus_opex!AP61</f>
        <v>1.4966099999999999E-4</v>
      </c>
      <c r="AZ61" s="188">
        <f>[2]CZ_decarbplus_opex!AQ61</f>
        <v>0</v>
      </c>
      <c r="BA61" s="188">
        <f>[2]CZ_decarbplus_opex!AR61</f>
        <v>2.7674600000000002E-4</v>
      </c>
      <c r="BB61" s="188">
        <f>[2]CZ_decarbplus_opex!AS61</f>
        <v>1.5855900000000001E-4</v>
      </c>
      <c r="BC61" s="188">
        <f>[2]CZ_decarbplus_opex!AT61</f>
        <v>1.51688E-4</v>
      </c>
      <c r="BD61" s="188">
        <f>[2]CZ_decarbplus_opex!AU61</f>
        <v>8.3800000000000004E-5</v>
      </c>
      <c r="BE61" s="188">
        <f>[2]CZ_decarbplus_opex!AV61</f>
        <v>1.6090700000000001E-4</v>
      </c>
      <c r="BF61" s="188">
        <f>[2]CZ_decarbplus_opex!AW61</f>
        <v>5.2099999999999999E-5</v>
      </c>
      <c r="BG61" s="188">
        <f>[2]CZ_decarbplus_opex!AX61</f>
        <v>1.461831E-3</v>
      </c>
      <c r="BH61" s="188">
        <f>[3]CZ_decarb_opex!I61</f>
        <v>2.6728887936949098E-4</v>
      </c>
      <c r="BI61" s="188">
        <f>[2]CZ_decarbplus_opex!AY61</f>
        <v>3.2693799999999998E-4</v>
      </c>
      <c r="BJ61" s="188">
        <f>[2]CZ_decarbplus_opex!AZ61</f>
        <v>2.2493799999999999E-4</v>
      </c>
      <c r="BK61" s="188">
        <f>[2]CZ_decarbplus_opex!BA61</f>
        <v>1.8333100000000001E-4</v>
      </c>
      <c r="BL61" s="188">
        <f>[2]CZ_decarbplus_opex!BB61</f>
        <v>0</v>
      </c>
      <c r="BM61" s="188">
        <f>[3]CZ_decarb_opex!J61</f>
        <v>1.1450592559892401E-4</v>
      </c>
      <c r="BN61" s="188">
        <f>[3]CZ_decarb_opex!K61</f>
        <v>1.6527118723265501E-4</v>
      </c>
      <c r="BO61" s="188">
        <f>[3]CZ_decarb_opex!L61</f>
        <v>1.9854795981337398E-5</v>
      </c>
      <c r="BP61" s="188">
        <f>[3]CZ_decarb_opex!M61</f>
        <v>2.16297228246114E-5</v>
      </c>
      <c r="BQ61" s="188">
        <f>[3]CZ_decarb_opex!N61</f>
        <v>2.8575484122851399E-5</v>
      </c>
      <c r="BR61" s="188">
        <f>[3]CZ_decarb_opex!O61</f>
        <v>1.2335228716961599E-4</v>
      </c>
      <c r="BS61" s="188">
        <f>[3]CZ_decarb_opex!P61</f>
        <v>2.4776177915542197E-4</v>
      </c>
      <c r="BT61" s="188">
        <f>[3]CZ_decarb_opex!Q61</f>
        <v>2.07028831622179E-4</v>
      </c>
      <c r="BU61" s="188">
        <f>[3]CZ_decarb_opex!R61</f>
        <v>7.110562456741E-6</v>
      </c>
      <c r="BV61" s="188">
        <f>[3]CZ_decarb_opex!S61</f>
        <v>7.1105624567410203E-6</v>
      </c>
      <c r="BW61" s="188">
        <f>[3]CZ_decarb_opex!T61</f>
        <v>2.21880660668432E-4</v>
      </c>
      <c r="BX61" s="188">
        <f>[3]CZ_decarb_opex!U61</f>
        <v>3.03301508235472E-5</v>
      </c>
      <c r="BY61" s="188">
        <f>[3]CZ_decarb_opex!V61</f>
        <v>9.3823046656833507E-5</v>
      </c>
      <c r="BZ61" s="188">
        <f>[2]CZ_decarbplus_opex!BC61</f>
        <v>5.27E-5</v>
      </c>
      <c r="CA61" s="188">
        <f>[2]CZ_decarbplus_opex!BD61</f>
        <v>2.6999999999999999E-5</v>
      </c>
      <c r="CB61" s="188">
        <f>[2]CZ_decarbplus_opex!BE61</f>
        <v>3.3800000000000002E-5</v>
      </c>
      <c r="CC61" s="188">
        <f>[2]CZ_decarbplus_opex!BF61</f>
        <v>4.2400000000000001E-5</v>
      </c>
      <c r="CD61" s="188">
        <f>[2]CZ_decarbplus_opex!BG61</f>
        <v>2.0374299999999999E-4</v>
      </c>
      <c r="CE61" s="188">
        <f>[2]CZ_decarbplus_opex!BH61</f>
        <v>5.5500000000000001E-5</v>
      </c>
      <c r="CF61" s="188">
        <f>[2]CZ_decarbplus_opex!BI61</f>
        <v>1.0197E-4</v>
      </c>
      <c r="CG61" s="188">
        <f>[2]CZ_decarbplus_opex!BJ61</f>
        <v>1.7799999999999999E-5</v>
      </c>
    </row>
    <row r="62" spans="1:85" x14ac:dyDescent="0.25">
      <c r="A62" s="5" t="s">
        <v>143</v>
      </c>
      <c r="B62" s="2" t="s">
        <v>142</v>
      </c>
      <c r="C62" s="1" t="s">
        <v>328</v>
      </c>
      <c r="D62" s="187">
        <f>[2]CZ_decarbplus_opex!B62</f>
        <v>5.1600000000000001E-5</v>
      </c>
      <c r="E62" s="187">
        <f>[2]CZ_decarbplus_opex!C62</f>
        <v>2.87E-5</v>
      </c>
      <c r="F62" s="187">
        <f>[2]CZ_decarbplus_opex!D62</f>
        <v>3.01E-5</v>
      </c>
      <c r="G62" s="187">
        <f>[2]CZ_decarbplus_opex!E62</f>
        <v>6.6100000000000002E-6</v>
      </c>
      <c r="H62" s="187">
        <f>[2]CZ_decarbplus_opex!F62</f>
        <v>9.9499999999999996E-6</v>
      </c>
      <c r="I62" s="187">
        <f>[2]CZ_decarbplus_opex!G62</f>
        <v>5.5500000000000001E-5</v>
      </c>
      <c r="J62" s="187">
        <f>[2]CZ_decarbplus_opex!H62</f>
        <v>1.2097200000000001E-4</v>
      </c>
      <c r="K62" s="187">
        <f>[2]CZ_decarbplus_opex!I62</f>
        <v>2.16E-5</v>
      </c>
      <c r="L62" s="187">
        <f>[2]CZ_decarbplus_opex!J62</f>
        <v>5.5699999999999999E-5</v>
      </c>
      <c r="M62" s="187">
        <f>[2]CZ_decarbplus_opex!K62</f>
        <v>1.3172699999999999E-4</v>
      </c>
      <c r="N62" s="187">
        <f>[2]CZ_decarbplus_opex!L62</f>
        <v>9.1299999999999997E-5</v>
      </c>
      <c r="O62" s="187">
        <f>[2]CZ_decarbplus_opex!M62</f>
        <v>6.2399999999999999E-5</v>
      </c>
      <c r="P62" s="187">
        <f>[2]CZ_decarbplus_opex!N62</f>
        <v>1.6399399999999999E-4</v>
      </c>
      <c r="Q62" s="187">
        <f>[2]CZ_decarbplus_opex!O62</f>
        <v>1.02242E-4</v>
      </c>
      <c r="R62" s="187">
        <f>[2]CZ_decarbplus_opex!P62</f>
        <v>7.7200000000000006E-5</v>
      </c>
      <c r="S62" s="187">
        <f>[2]CZ_decarbplus_opex!Q62</f>
        <v>1.08891E-4</v>
      </c>
      <c r="T62" s="187">
        <f>[2]CZ_decarbplus_opex!R62</f>
        <v>1.66902E-4</v>
      </c>
      <c r="U62" s="187">
        <f>[2]CZ_decarbplus_opex!S62</f>
        <v>1.14096E-4</v>
      </c>
      <c r="V62" s="187">
        <f>[2]CZ_decarbplus_opex!T62</f>
        <v>1.03101E-4</v>
      </c>
      <c r="W62" s="187">
        <f>[2]CZ_decarbplus_opex!U62</f>
        <v>5.7500000000000002E-5</v>
      </c>
      <c r="X62" s="187">
        <f>[2]CZ_decarbplus_opex!V62</f>
        <v>3.9499999999999998E-5</v>
      </c>
      <c r="Y62" s="187">
        <f>[2]CZ_decarbplus_opex!W62</f>
        <v>5.8100000000000003E-5</v>
      </c>
      <c r="Z62" s="187">
        <f>[2]CZ_decarbplus_opex!X62</f>
        <v>2.2184E-4</v>
      </c>
      <c r="AA62" s="187">
        <f>[2]CZ_decarbplus_opex!Y62</f>
        <v>8.4099999999999998E-5</v>
      </c>
      <c r="AB62" s="188">
        <f>[3]CZ_decarb_opex!B62</f>
        <v>6.1390243049706006E-5</v>
      </c>
      <c r="AC62" s="188">
        <f>[3]CZ_decarb_opex!C62</f>
        <v>1.3443519230375001E-3</v>
      </c>
      <c r="AD62" s="188">
        <f>[3]CZ_decarb_opex!D62</f>
        <v>7.0135231819952806E-5</v>
      </c>
      <c r="AE62" s="188">
        <f>[2]CZ_decarbplus_opex!Z62</f>
        <v>5.6199999999999997E-5</v>
      </c>
      <c r="AF62" s="188">
        <f>[2]CZ_decarbplus_opex!AA62</f>
        <v>7.2746900000000001E-4</v>
      </c>
      <c r="AG62" s="188">
        <f>[2]CZ_decarbplus_opex!AB62</f>
        <v>1.07522E-4</v>
      </c>
      <c r="AH62" s="188">
        <f>[2]CZ_decarbplus_opex!AC62</f>
        <v>4.7899999999999999E-5</v>
      </c>
      <c r="AI62" s="188">
        <f>[2]CZ_decarbplus_opex!AD62</f>
        <v>7.5799999999999999E-5</v>
      </c>
      <c r="AJ62" s="188">
        <f>[2]CZ_decarbplus_opex!AE62</f>
        <v>2.9899999999999998E-5</v>
      </c>
      <c r="AK62" s="188">
        <f>[2]CZ_decarbplus_opex!AF62</f>
        <v>5.41E-5</v>
      </c>
      <c r="AL62" s="188">
        <f>[3]CZ_decarb_opex!E62</f>
        <v>4.6043226735265301E-5</v>
      </c>
      <c r="AM62" s="188">
        <f>[3]CZ_decarb_opex!F62</f>
        <v>4.4150210703221502E-5</v>
      </c>
      <c r="AN62" s="188">
        <f>[2]CZ_decarbplus_opex!AG62</f>
        <v>2.02442E-4</v>
      </c>
      <c r="AO62" s="188">
        <f>[3]CZ_decarb_opex!G62</f>
        <v>1.5491978302724501E-4</v>
      </c>
      <c r="AP62" s="188">
        <f>[3]CZ_decarb_opex!H62</f>
        <v>8.5891404787344101E-5</v>
      </c>
      <c r="AQ62" s="188">
        <f>[2]CZ_decarbplus_opex!AH62</f>
        <v>1.16259E-4</v>
      </c>
      <c r="AR62" s="188">
        <f>[2]CZ_decarbplus_opex!AI62</f>
        <v>0</v>
      </c>
      <c r="AS62" s="188">
        <f>[2]CZ_decarbplus_opex!AJ62</f>
        <v>1.09953E-4</v>
      </c>
      <c r="AT62" s="188">
        <f>[2]CZ_decarbplus_opex!AK62</f>
        <v>8.3700000000000002E-5</v>
      </c>
      <c r="AU62" s="188">
        <f>[2]CZ_decarbplus_opex!AL62</f>
        <v>3.2700000000000002E-5</v>
      </c>
      <c r="AV62" s="188">
        <f>[2]CZ_decarbplus_opex!AM62</f>
        <v>3.15E-5</v>
      </c>
      <c r="AW62" s="188">
        <f>[2]CZ_decarbplus_opex!AN62</f>
        <v>1.4433E-4</v>
      </c>
      <c r="AX62" s="188">
        <f>[2]CZ_decarbplus_opex!AO62</f>
        <v>0</v>
      </c>
      <c r="AY62" s="188">
        <f>[2]CZ_decarbplus_opex!AP62</f>
        <v>2.6991500000000002E-4</v>
      </c>
      <c r="AZ62" s="188">
        <f>[2]CZ_decarbplus_opex!AQ62</f>
        <v>0</v>
      </c>
      <c r="BA62" s="188">
        <f>[2]CZ_decarbplus_opex!AR62</f>
        <v>9.8499999999999995E-5</v>
      </c>
      <c r="BB62" s="188">
        <f>[2]CZ_decarbplus_opex!AS62</f>
        <v>5.4599999999999999E-5</v>
      </c>
      <c r="BC62" s="188">
        <f>[2]CZ_decarbplus_opex!AT62</f>
        <v>7.7100000000000004E-5</v>
      </c>
      <c r="BD62" s="188">
        <f>[2]CZ_decarbplus_opex!AU62</f>
        <v>1.2999999999999999E-5</v>
      </c>
      <c r="BE62" s="188">
        <f>[2]CZ_decarbplus_opex!AV62</f>
        <v>7.6899999999999999E-5</v>
      </c>
      <c r="BF62" s="188">
        <f>[2]CZ_decarbplus_opex!AW62</f>
        <v>1.7E-5</v>
      </c>
      <c r="BG62" s="188">
        <f>[2]CZ_decarbplus_opex!AX62</f>
        <v>8.0099999999999995E-5</v>
      </c>
      <c r="BH62" s="188">
        <f>[3]CZ_decarb_opex!I62</f>
        <v>5.0749767740199598E-5</v>
      </c>
      <c r="BI62" s="188">
        <f>[2]CZ_decarbplus_opex!AY62</f>
        <v>5.9899999999999999E-5</v>
      </c>
      <c r="BJ62" s="188">
        <f>[2]CZ_decarbplus_opex!AZ62</f>
        <v>6.1199999999999997E-5</v>
      </c>
      <c r="BK62" s="188">
        <f>[2]CZ_decarbplus_opex!BA62</f>
        <v>8.5699999999999996E-5</v>
      </c>
      <c r="BL62" s="188">
        <f>[2]CZ_decarbplus_opex!BB62</f>
        <v>0</v>
      </c>
      <c r="BM62" s="188">
        <f>[3]CZ_decarb_opex!J62</f>
        <v>2.3337663351528999E-4</v>
      </c>
      <c r="BN62" s="188">
        <f>[3]CZ_decarb_opex!K62</f>
        <v>1.1780288048634E-4</v>
      </c>
      <c r="BO62" s="188">
        <f>[3]CZ_decarb_opex!L62</f>
        <v>1.6770861874597201E-5</v>
      </c>
      <c r="BP62" s="188">
        <f>[3]CZ_decarb_opex!M62</f>
        <v>6.05768823091545E-5</v>
      </c>
      <c r="BQ62" s="188">
        <f>[3]CZ_decarb_opex!N62</f>
        <v>2.9777238673887301E-5</v>
      </c>
      <c r="BR62" s="188">
        <f>[3]CZ_decarb_opex!O62</f>
        <v>6.8074357841054999E-7</v>
      </c>
      <c r="BS62" s="188">
        <f>[3]CZ_decarb_opex!P62</f>
        <v>2.6170445699917101E-4</v>
      </c>
      <c r="BT62" s="188">
        <f>[3]CZ_decarb_opex!Q62</f>
        <v>2.3385776199689101E-6</v>
      </c>
      <c r="BU62" s="188">
        <f>[3]CZ_decarb_opex!R62</f>
        <v>1.7231308360165301E-5</v>
      </c>
      <c r="BV62" s="188">
        <f>[3]CZ_decarb_opex!S62</f>
        <v>1.72313083601654E-5</v>
      </c>
      <c r="BW62" s="188">
        <f>[3]CZ_decarb_opex!T62</f>
        <v>1.8184810332272801E-6</v>
      </c>
      <c r="BX62" s="188">
        <f>[3]CZ_decarb_opex!U62</f>
        <v>3.1793314961076499E-6</v>
      </c>
      <c r="BY62" s="188">
        <f>[3]CZ_decarb_opex!V62</f>
        <v>4.6769670057435E-6</v>
      </c>
      <c r="BZ62" s="188">
        <f>[2]CZ_decarbplus_opex!BC62</f>
        <v>9.9300000000000001E-5</v>
      </c>
      <c r="CA62" s="188">
        <f>[2]CZ_decarbplus_opex!BD62</f>
        <v>2.0438800000000001E-4</v>
      </c>
      <c r="CB62" s="188">
        <f>[2]CZ_decarbplus_opex!BE62</f>
        <v>1.88662E-4</v>
      </c>
      <c r="CC62" s="188">
        <f>[2]CZ_decarbplus_opex!BF62</f>
        <v>3.9898899999999998E-4</v>
      </c>
      <c r="CD62" s="188">
        <f>[2]CZ_decarbplus_opex!BG62</f>
        <v>2.0018400000000001E-4</v>
      </c>
      <c r="CE62" s="188">
        <f>[2]CZ_decarbplus_opex!BH62</f>
        <v>5.5999999999999999E-5</v>
      </c>
      <c r="CF62" s="188">
        <f>[2]CZ_decarbplus_opex!BI62</f>
        <v>4.8099999999999997E-5</v>
      </c>
      <c r="CG62" s="188">
        <f>[2]CZ_decarbplus_opex!BJ62</f>
        <v>2.8099999999999999E-5</v>
      </c>
    </row>
    <row r="63" spans="1:85" x14ac:dyDescent="0.25">
      <c r="A63" s="5" t="s">
        <v>145</v>
      </c>
      <c r="B63" s="2" t="s">
        <v>144</v>
      </c>
      <c r="C63" s="1" t="s">
        <v>328</v>
      </c>
      <c r="D63" s="187">
        <f>[2]CZ_decarbplus_opex!B63</f>
        <v>1.3810100000000001E-4</v>
      </c>
      <c r="E63" s="187">
        <f>[2]CZ_decarbplus_opex!C63</f>
        <v>8.0400000000000003E-5</v>
      </c>
      <c r="F63" s="187">
        <f>[2]CZ_decarbplus_opex!D63</f>
        <v>9.1399999999999999E-5</v>
      </c>
      <c r="G63" s="187">
        <f>[2]CZ_decarbplus_opex!E63</f>
        <v>2.1399999999999998E-5</v>
      </c>
      <c r="H63" s="187">
        <f>[2]CZ_decarbplus_opex!F63</f>
        <v>2.6999999999999999E-5</v>
      </c>
      <c r="I63" s="187">
        <f>[2]CZ_decarbplus_opex!G63</f>
        <v>1.62855E-4</v>
      </c>
      <c r="J63" s="187">
        <f>[2]CZ_decarbplus_opex!H63</f>
        <v>3.1242599999999998E-4</v>
      </c>
      <c r="K63" s="187">
        <f>[2]CZ_decarbplus_opex!I63</f>
        <v>6.8899999999999994E-5</v>
      </c>
      <c r="L63" s="187">
        <f>[2]CZ_decarbplus_opex!J63</f>
        <v>1.6027200000000001E-4</v>
      </c>
      <c r="M63" s="187">
        <f>[2]CZ_decarbplus_opex!K63</f>
        <v>3.6304700000000002E-4</v>
      </c>
      <c r="N63" s="187">
        <f>[2]CZ_decarbplus_opex!L63</f>
        <v>2.72506E-4</v>
      </c>
      <c r="O63" s="187">
        <f>[2]CZ_decarbplus_opex!M63</f>
        <v>1.6671000000000001E-4</v>
      </c>
      <c r="P63" s="187">
        <f>[2]CZ_decarbplus_opex!N63</f>
        <v>4.12197E-4</v>
      </c>
      <c r="Q63" s="187">
        <f>[2]CZ_decarbplus_opex!O63</f>
        <v>3.5530099999999998E-4</v>
      </c>
      <c r="R63" s="187">
        <f>[2]CZ_decarbplus_opex!P63</f>
        <v>2.0201999999999999E-4</v>
      </c>
      <c r="S63" s="187">
        <f>[2]CZ_decarbplus_opex!Q63</f>
        <v>1.8314500000000001E-4</v>
      </c>
      <c r="T63" s="187">
        <f>[2]CZ_decarbplus_opex!R63</f>
        <v>3.4367000000000002E-4</v>
      </c>
      <c r="U63" s="187">
        <f>[2]CZ_decarbplus_opex!S63</f>
        <v>2.7417899999999999E-4</v>
      </c>
      <c r="V63" s="187">
        <f>[2]CZ_decarbplus_opex!T63</f>
        <v>2.3948200000000001E-4</v>
      </c>
      <c r="W63" s="187">
        <f>[2]CZ_decarbplus_opex!U63</f>
        <v>1.67956E-4</v>
      </c>
      <c r="X63" s="187">
        <f>[2]CZ_decarbplus_opex!V63</f>
        <v>1.0389499999999999E-4</v>
      </c>
      <c r="Y63" s="187">
        <f>[2]CZ_decarbplus_opex!W63</f>
        <v>1.5019400000000001E-4</v>
      </c>
      <c r="Z63" s="187">
        <f>[2]CZ_decarbplus_opex!X63</f>
        <v>5.3480300000000004E-4</v>
      </c>
      <c r="AA63" s="187">
        <f>[2]CZ_decarbplus_opex!Y63</f>
        <v>2.23928E-4</v>
      </c>
      <c r="AB63" s="188">
        <f>[3]CZ_decarb_opex!B63</f>
        <v>3.6056081440099098E-4</v>
      </c>
      <c r="AC63" s="188">
        <f>[3]CZ_decarb_opex!C63</f>
        <v>2.2259339230789798E-3</v>
      </c>
      <c r="AD63" s="188">
        <f>[3]CZ_decarb_opex!D63</f>
        <v>1.8265005762136801E-4</v>
      </c>
      <c r="AE63" s="188">
        <f>[2]CZ_decarbplus_opex!Z63</f>
        <v>1.4615900000000001E-4</v>
      </c>
      <c r="AF63" s="188">
        <f>[2]CZ_decarbplus_opex!AA63</f>
        <v>1.481413E-3</v>
      </c>
      <c r="AG63" s="188">
        <f>[2]CZ_decarbplus_opex!AB63</f>
        <v>3.1667000000000002E-4</v>
      </c>
      <c r="AH63" s="188">
        <f>[2]CZ_decarbplus_opex!AC63</f>
        <v>1.2094799999999999E-4</v>
      </c>
      <c r="AI63" s="188">
        <f>[2]CZ_decarbplus_opex!AD63</f>
        <v>1.7768699999999999E-4</v>
      </c>
      <c r="AJ63" s="188">
        <f>[2]CZ_decarbplus_opex!AE63</f>
        <v>9.6799999999999995E-5</v>
      </c>
      <c r="AK63" s="188">
        <f>[2]CZ_decarbplus_opex!AF63</f>
        <v>1.67863E-4</v>
      </c>
      <c r="AL63" s="188">
        <f>[3]CZ_decarb_opex!E63</f>
        <v>1.2466601208034001E-4</v>
      </c>
      <c r="AM63" s="188">
        <f>[3]CZ_decarb_opex!F63</f>
        <v>1.2242188859480101E-4</v>
      </c>
      <c r="AN63" s="188">
        <f>[2]CZ_decarbplus_opex!AG63</f>
        <v>3.8483099999999998E-4</v>
      </c>
      <c r="AO63" s="188">
        <f>[3]CZ_decarb_opex!G63</f>
        <v>3.83324242177097E-4</v>
      </c>
      <c r="AP63" s="188">
        <f>[3]CZ_decarb_opex!H63</f>
        <v>2.1956015862261999E-4</v>
      </c>
      <c r="AQ63" s="188">
        <f>[2]CZ_decarbplus_opex!AH63</f>
        <v>2.74228E-4</v>
      </c>
      <c r="AR63" s="188">
        <f>[2]CZ_decarbplus_opex!AI63</f>
        <v>0</v>
      </c>
      <c r="AS63" s="188">
        <f>[2]CZ_decarbplus_opex!AJ63</f>
        <v>2.9941199999999999E-4</v>
      </c>
      <c r="AT63" s="188">
        <f>[2]CZ_decarbplus_opex!AK63</f>
        <v>2.31874E-4</v>
      </c>
      <c r="AU63" s="188">
        <f>[2]CZ_decarbplus_opex!AL63</f>
        <v>9.87E-5</v>
      </c>
      <c r="AV63" s="188">
        <f>[2]CZ_decarbplus_opex!AM63</f>
        <v>9.2999999999999997E-5</v>
      </c>
      <c r="AW63" s="188">
        <f>[2]CZ_decarbplus_opex!AN63</f>
        <v>2.4434599999999999E-4</v>
      </c>
      <c r="AX63" s="188">
        <f>[2]CZ_decarbplus_opex!AO63</f>
        <v>0</v>
      </c>
      <c r="AY63" s="188">
        <f>[2]CZ_decarbplus_opex!AP63</f>
        <v>7.5863799999999996E-4</v>
      </c>
      <c r="AZ63" s="188">
        <f>[2]CZ_decarbplus_opex!AQ63</f>
        <v>0</v>
      </c>
      <c r="BA63" s="188">
        <f>[2]CZ_decarbplus_opex!AR63</f>
        <v>2.4843100000000002E-4</v>
      </c>
      <c r="BB63" s="188">
        <f>[2]CZ_decarbplus_opex!AS63</f>
        <v>1.3762299999999999E-4</v>
      </c>
      <c r="BC63" s="188">
        <f>[2]CZ_decarbplus_opex!AT63</f>
        <v>1.8881099999999999E-4</v>
      </c>
      <c r="BD63" s="188">
        <f>[2]CZ_decarbplus_opex!AU63</f>
        <v>3.4999999999999997E-5</v>
      </c>
      <c r="BE63" s="188">
        <f>[2]CZ_decarbplus_opex!AV63</f>
        <v>1.62619E-4</v>
      </c>
      <c r="BF63" s="188">
        <f>[2]CZ_decarbplus_opex!AW63</f>
        <v>4.74E-5</v>
      </c>
      <c r="BG63" s="188">
        <f>[2]CZ_decarbplus_opex!AX63</f>
        <v>2.1181999999999999E-4</v>
      </c>
      <c r="BH63" s="188">
        <f>[3]CZ_decarb_opex!I63</f>
        <v>1.3084015086350901E-4</v>
      </c>
      <c r="BI63" s="188">
        <f>[2]CZ_decarbplus_opex!AY63</f>
        <v>1.58682E-4</v>
      </c>
      <c r="BJ63" s="188">
        <f>[2]CZ_decarbplus_opex!AZ63</f>
        <v>3.36872E-4</v>
      </c>
      <c r="BK63" s="188">
        <f>[2]CZ_decarbplus_opex!BA63</f>
        <v>2.14589E-4</v>
      </c>
      <c r="BL63" s="188">
        <f>[2]CZ_decarbplus_opex!BB63</f>
        <v>0</v>
      </c>
      <c r="BM63" s="188">
        <f>[3]CZ_decarb_opex!J63</f>
        <v>4.0378078212081599E-4</v>
      </c>
      <c r="BN63" s="188">
        <f>[3]CZ_decarb_opex!K63</f>
        <v>2.7017151332727499E-4</v>
      </c>
      <c r="BO63" s="188">
        <f>[3]CZ_decarb_opex!L63</f>
        <v>3.71295650137469E-5</v>
      </c>
      <c r="BP63" s="188">
        <f>[3]CZ_decarb_opex!M63</f>
        <v>1.20007215329256E-4</v>
      </c>
      <c r="BQ63" s="188">
        <f>[3]CZ_decarb_opex!N63</f>
        <v>7.9920267836684005E-5</v>
      </c>
      <c r="BR63" s="188">
        <f>[3]CZ_decarb_opex!O63</f>
        <v>1.5638140723716502E-5</v>
      </c>
      <c r="BS63" s="188">
        <f>[3]CZ_decarb_opex!P63</f>
        <v>6.3187416468800004E-4</v>
      </c>
      <c r="BT63" s="188">
        <f>[3]CZ_decarb_opex!Q63</f>
        <v>5.7497216674023298E-6</v>
      </c>
      <c r="BU63" s="188">
        <f>[3]CZ_decarb_opex!R63</f>
        <v>4.0646480043490402E-5</v>
      </c>
      <c r="BV63" s="188">
        <f>[3]CZ_decarb_opex!S63</f>
        <v>4.0646480043490503E-5</v>
      </c>
      <c r="BW63" s="188">
        <f>[3]CZ_decarb_opex!T63</f>
        <v>8.8242294701234498E-5</v>
      </c>
      <c r="BX63" s="188">
        <f>[3]CZ_decarb_opex!U63</f>
        <v>4.0447940430053398E-5</v>
      </c>
      <c r="BY63" s="188">
        <f>[3]CZ_decarb_opex!V63</f>
        <v>4.8634088933673199E-5</v>
      </c>
      <c r="BZ63" s="188">
        <f>[2]CZ_decarbplus_opex!BC63</f>
        <v>1.93826E-4</v>
      </c>
      <c r="CA63" s="188">
        <f>[2]CZ_decarbplus_opex!BD63</f>
        <v>4.2622500000000002E-4</v>
      </c>
      <c r="CB63" s="188">
        <f>[2]CZ_decarbplus_opex!BE63</f>
        <v>3.969E-4</v>
      </c>
      <c r="CC63" s="188">
        <f>[2]CZ_decarbplus_opex!BF63</f>
        <v>9.5744600000000003E-4</v>
      </c>
      <c r="CD63" s="188">
        <f>[2]CZ_decarbplus_opex!BG63</f>
        <v>4.5836299999999999E-4</v>
      </c>
      <c r="CE63" s="188">
        <f>[2]CZ_decarbplus_opex!BH63</f>
        <v>1.40593E-4</v>
      </c>
      <c r="CF63" s="188">
        <f>[2]CZ_decarbplus_opex!BI63</f>
        <v>1.14057E-4</v>
      </c>
      <c r="CG63" s="188">
        <f>[2]CZ_decarbplus_opex!BJ63</f>
        <v>5.8E-5</v>
      </c>
    </row>
    <row r="64" spans="1:85" x14ac:dyDescent="0.25">
      <c r="A64" s="5" t="s">
        <v>147</v>
      </c>
      <c r="B64" s="2" t="s">
        <v>146</v>
      </c>
      <c r="C64" s="1" t="s">
        <v>328</v>
      </c>
      <c r="D64" s="187">
        <f>[2]CZ_decarbplus_opex!B64</f>
        <v>5.7996399999999998E-4</v>
      </c>
      <c r="E64" s="187">
        <f>[2]CZ_decarbplus_opex!C64</f>
        <v>5.1218699999999999E-4</v>
      </c>
      <c r="F64" s="187">
        <f>[2]CZ_decarbplus_opex!D64</f>
        <v>8.8487899999999998E-4</v>
      </c>
      <c r="G64" s="187">
        <f>[2]CZ_decarbplus_opex!E64</f>
        <v>2.3E-5</v>
      </c>
      <c r="H64" s="187">
        <f>[2]CZ_decarbplus_opex!F64</f>
        <v>7.5900000000000002E-5</v>
      </c>
      <c r="I64" s="187">
        <f>[2]CZ_decarbplus_opex!G64</f>
        <v>1.4608710000000001E-3</v>
      </c>
      <c r="J64" s="187">
        <f>[2]CZ_decarbplus_opex!H64</f>
        <v>6.7525799999999998E-4</v>
      </c>
      <c r="K64" s="187">
        <f>[2]CZ_decarbplus_opex!I64</f>
        <v>8.1000000000000004E-5</v>
      </c>
      <c r="L64" s="187">
        <f>[2]CZ_decarbplus_opex!J64</f>
        <v>8.8037399999999996E-4</v>
      </c>
      <c r="M64" s="187">
        <f>[2]CZ_decarbplus_opex!K64</f>
        <v>2.570985E-3</v>
      </c>
      <c r="N64" s="187">
        <f>[2]CZ_decarbplus_opex!L64</f>
        <v>1.600064E-3</v>
      </c>
      <c r="O64" s="187">
        <f>[2]CZ_decarbplus_opex!M64</f>
        <v>3.1153799999999998E-4</v>
      </c>
      <c r="P64" s="187">
        <f>[2]CZ_decarbplus_opex!N64</f>
        <v>1.1217902E-2</v>
      </c>
      <c r="Q64" s="187">
        <f>[2]CZ_decarbplus_opex!O64</f>
        <v>1.24603E-3</v>
      </c>
      <c r="R64" s="187">
        <f>[2]CZ_decarbplus_opex!P64</f>
        <v>2.4639660000000002E-3</v>
      </c>
      <c r="S64" s="187">
        <f>[2]CZ_decarbplus_opex!Q64</f>
        <v>8.275559E-3</v>
      </c>
      <c r="T64" s="187">
        <f>[2]CZ_decarbplus_opex!R64</f>
        <v>9.0175150000000003E-3</v>
      </c>
      <c r="U64" s="187">
        <f>[2]CZ_decarbplus_opex!S64</f>
        <v>7.7545369999999997E-3</v>
      </c>
      <c r="V64" s="187">
        <f>[2]CZ_decarbplus_opex!T64</f>
        <v>7.9067459999999992E-3</v>
      </c>
      <c r="W64" s="187">
        <f>[2]CZ_decarbplus_opex!U64</f>
        <v>4.5253100000000003E-3</v>
      </c>
      <c r="X64" s="187">
        <f>[2]CZ_decarbplus_opex!V64</f>
        <v>1.361098E-3</v>
      </c>
      <c r="Y64" s="187">
        <f>[2]CZ_decarbplus_opex!W64</f>
        <v>5.9655299999999999E-4</v>
      </c>
      <c r="Z64" s="187">
        <f>[2]CZ_decarbplus_opex!X64</f>
        <v>2.4648679999999998E-3</v>
      </c>
      <c r="AA64" s="187">
        <f>[2]CZ_decarbplus_opex!Y64</f>
        <v>3.9579399999999999E-4</v>
      </c>
      <c r="AB64" s="188">
        <f>[3]CZ_decarb_opex!B64</f>
        <v>2.2042257166381102E-3</v>
      </c>
      <c r="AC64" s="188">
        <f>[3]CZ_decarb_opex!C64</f>
        <v>4.4570586660270299E-2</v>
      </c>
      <c r="AD64" s="188">
        <f>[3]CZ_decarb_opex!D64</f>
        <v>1.1406303800218899E-2</v>
      </c>
      <c r="AE64" s="188">
        <f>[2]CZ_decarbplus_opex!Z64</f>
        <v>8.7155059999999996E-3</v>
      </c>
      <c r="AF64" s="188">
        <f>[2]CZ_decarbplus_opex!AA64</f>
        <v>0.14975327999999999</v>
      </c>
      <c r="AG64" s="188">
        <f>[2]CZ_decarbplus_opex!AB64</f>
        <v>4.4154410999999998E-2</v>
      </c>
      <c r="AH64" s="188">
        <f>[2]CZ_decarbplus_opex!AC64</f>
        <v>3.2357000000000002E-3</v>
      </c>
      <c r="AI64" s="188">
        <f>[2]CZ_decarbplus_opex!AD64</f>
        <v>5.2092900000000001E-3</v>
      </c>
      <c r="AJ64" s="188">
        <f>[2]CZ_decarbplus_opex!AE64</f>
        <v>4.2058200000000002E-4</v>
      </c>
      <c r="AK64" s="188">
        <f>[2]CZ_decarbplus_opex!AF64</f>
        <v>1.762118E-3</v>
      </c>
      <c r="AL64" s="188">
        <f>[3]CZ_decarb_opex!E64</f>
        <v>1.4316934057775001E-3</v>
      </c>
      <c r="AM64" s="188">
        <f>[3]CZ_decarb_opex!F64</f>
        <v>1.12922705101354E-3</v>
      </c>
      <c r="AN64" s="188">
        <f>[2]CZ_decarbplus_opex!AG64</f>
        <v>1.2114911000000001E-2</v>
      </c>
      <c r="AO64" s="188">
        <f>[3]CZ_decarb_opex!G64</f>
        <v>3.39187735266391E-3</v>
      </c>
      <c r="AP64" s="188">
        <f>[3]CZ_decarb_opex!H64</f>
        <v>2.47931653747941E-3</v>
      </c>
      <c r="AQ64" s="188">
        <f>[2]CZ_decarbplus_opex!AH64</f>
        <v>3.817955E-3</v>
      </c>
      <c r="AR64" s="188">
        <f>[2]CZ_decarbplus_opex!AI64</f>
        <v>0</v>
      </c>
      <c r="AS64" s="188">
        <f>[2]CZ_decarbplus_opex!AJ64</f>
        <v>1.5668912E-2</v>
      </c>
      <c r="AT64" s="188">
        <f>[2]CZ_decarbplus_opex!AK64</f>
        <v>1.6649884E-2</v>
      </c>
      <c r="AU64" s="188">
        <f>[2]CZ_decarbplus_opex!AL64</f>
        <v>5.6799999999999998E-5</v>
      </c>
      <c r="AV64" s="188">
        <f>[2]CZ_decarbplus_opex!AM64</f>
        <v>3.4700000000000003E-5</v>
      </c>
      <c r="AW64" s="188">
        <f>[2]CZ_decarbplus_opex!AN64</f>
        <v>1.66336E-3</v>
      </c>
      <c r="AX64" s="188">
        <f>[2]CZ_decarbplus_opex!AO64</f>
        <v>0</v>
      </c>
      <c r="AY64" s="188">
        <f>[2]CZ_decarbplus_opex!AP64</f>
        <v>3.1114010000000002E-3</v>
      </c>
      <c r="AZ64" s="188">
        <f>[2]CZ_decarbplus_opex!AQ64</f>
        <v>0</v>
      </c>
      <c r="BA64" s="188">
        <f>[2]CZ_decarbplus_opex!AR64</f>
        <v>1.9494860000000001E-3</v>
      </c>
      <c r="BB64" s="188">
        <f>[2]CZ_decarbplus_opex!AS64</f>
        <v>2.1752130000000001E-3</v>
      </c>
      <c r="BC64" s="188">
        <f>[2]CZ_decarbplus_opex!AT64</f>
        <v>4.667671E-3</v>
      </c>
      <c r="BD64" s="188">
        <f>[2]CZ_decarbplus_opex!AU64</f>
        <v>1.212606E-3</v>
      </c>
      <c r="BE64" s="188">
        <f>[2]CZ_decarbplus_opex!AV64</f>
        <v>1.9972779999999999E-3</v>
      </c>
      <c r="BF64" s="188">
        <f>[2]CZ_decarbplus_opex!AW64</f>
        <v>2.58342E-4</v>
      </c>
      <c r="BG64" s="188">
        <f>[2]CZ_decarbplus_opex!AX64</f>
        <v>1.1760915E-2</v>
      </c>
      <c r="BH64" s="188">
        <f>[3]CZ_decarb_opex!I64</f>
        <v>2.0342040691661602E-3</v>
      </c>
      <c r="BI64" s="188">
        <f>[2]CZ_decarbplus_opex!AY64</f>
        <v>4.5168079999999998E-3</v>
      </c>
      <c r="BJ64" s="188">
        <f>[2]CZ_decarbplus_opex!AZ64</f>
        <v>1.4423195999999999E-2</v>
      </c>
      <c r="BK64" s="188">
        <f>[2]CZ_decarbplus_opex!BA64</f>
        <v>8.0183000000000001E-4</v>
      </c>
      <c r="BL64" s="188">
        <f>[2]CZ_decarbplus_opex!BB64</f>
        <v>0</v>
      </c>
      <c r="BM64" s="188">
        <f>[3]CZ_decarb_opex!J64</f>
        <v>2.7765967472823802E-3</v>
      </c>
      <c r="BN64" s="188">
        <f>[3]CZ_decarb_opex!K64</f>
        <v>7.0667204203045198E-3</v>
      </c>
      <c r="BO64" s="188">
        <f>[3]CZ_decarb_opex!L64</f>
        <v>3.0400986403840598E-4</v>
      </c>
      <c r="BP64" s="188">
        <f>[3]CZ_decarb_opex!M64</f>
        <v>6.4582055732463996E-4</v>
      </c>
      <c r="BQ64" s="188">
        <f>[3]CZ_decarb_opex!N64</f>
        <v>3.5160664653442801E-4</v>
      </c>
      <c r="BR64" s="188">
        <f>[3]CZ_decarb_opex!O64</f>
        <v>4.28686849520238E-5</v>
      </c>
      <c r="BS64" s="188">
        <f>[3]CZ_decarb_opex!P64</f>
        <v>3.41189186834187E-3</v>
      </c>
      <c r="BT64" s="188">
        <f>[3]CZ_decarb_opex!Q64</f>
        <v>9.0550874091126105E-5</v>
      </c>
      <c r="BU64" s="188">
        <f>[3]CZ_decarb_opex!R64</f>
        <v>3.9854906591850902E-5</v>
      </c>
      <c r="BV64" s="188">
        <f>[3]CZ_decarb_opex!S64</f>
        <v>3.9854906591850997E-5</v>
      </c>
      <c r="BW64" s="188">
        <f>[3]CZ_decarb_opex!T64</f>
        <v>2.1433848738768201E-4</v>
      </c>
      <c r="BX64" s="188">
        <f>[3]CZ_decarb_opex!U64</f>
        <v>1.3941962730929999E-4</v>
      </c>
      <c r="BY64" s="188">
        <f>[3]CZ_decarb_opex!V64</f>
        <v>2.1502274434193099E-4</v>
      </c>
      <c r="BZ64" s="188">
        <f>[2]CZ_decarbplus_opex!BC64</f>
        <v>1.604671E-3</v>
      </c>
      <c r="CA64" s="188">
        <f>[2]CZ_decarbplus_opex!BD64</f>
        <v>2.3156660000000001E-3</v>
      </c>
      <c r="CB64" s="188">
        <f>[2]CZ_decarbplus_opex!BE64</f>
        <v>1.572007E-3</v>
      </c>
      <c r="CC64" s="188">
        <f>[2]CZ_decarbplus_opex!BF64</f>
        <v>5.4015410000000002E-3</v>
      </c>
      <c r="CD64" s="188">
        <f>[2]CZ_decarbplus_opex!BG64</f>
        <v>1.1908609000000001E-2</v>
      </c>
      <c r="CE64" s="188">
        <f>[2]CZ_decarbplus_opex!BH64</f>
        <v>2.4617480000000001E-3</v>
      </c>
      <c r="CF64" s="188">
        <f>[2]CZ_decarbplus_opex!BI64</f>
        <v>6.5441800000000004E-4</v>
      </c>
      <c r="CG64" s="188">
        <f>[2]CZ_decarbplus_opex!BJ64</f>
        <v>1.8134800000000001E-4</v>
      </c>
    </row>
    <row r="65" spans="1:85" x14ac:dyDescent="0.25">
      <c r="A65" s="5" t="s">
        <v>149</v>
      </c>
      <c r="B65" s="2" t="s">
        <v>148</v>
      </c>
      <c r="C65" s="1" t="s">
        <v>328</v>
      </c>
      <c r="D65" s="187">
        <f>[2]CZ_decarbplus_opex!B65</f>
        <v>5.3262561999999999E-2</v>
      </c>
      <c r="E65" s="187">
        <f>[2]CZ_decarbplus_opex!C65</f>
        <v>5.7573879999999996E-3</v>
      </c>
      <c r="F65" s="187">
        <f>[2]CZ_decarbplus_opex!D65</f>
        <v>3.306668E-3</v>
      </c>
      <c r="G65" s="187">
        <f>[2]CZ_decarbplus_opex!E65</f>
        <v>3.7293200000000003E-4</v>
      </c>
      <c r="H65" s="187">
        <f>[2]CZ_decarbplus_opex!F65</f>
        <v>9.0833099999999996E-4</v>
      </c>
      <c r="I65" s="187">
        <f>[2]CZ_decarbplus_opex!G65</f>
        <v>5.4413309999999998E-3</v>
      </c>
      <c r="J65" s="187">
        <f>[2]CZ_decarbplus_opex!H65</f>
        <v>2.2994270000000002E-3</v>
      </c>
      <c r="K65" s="187">
        <f>[2]CZ_decarbplus_opex!I65</f>
        <v>1.3048929999999999E-3</v>
      </c>
      <c r="L65" s="187">
        <f>[2]CZ_decarbplus_opex!J65</f>
        <v>4.4665399999999997E-3</v>
      </c>
      <c r="M65" s="187">
        <f>[2]CZ_decarbplus_opex!K65</f>
        <v>8.4307879999999998E-3</v>
      </c>
      <c r="N65" s="187">
        <f>[2]CZ_decarbplus_opex!L65</f>
        <v>5.1798620000000004E-3</v>
      </c>
      <c r="O65" s="187">
        <f>[2]CZ_decarbplus_opex!M65</f>
        <v>1.197601E-3</v>
      </c>
      <c r="P65" s="187">
        <f>[2]CZ_decarbplus_opex!N65</f>
        <v>1.8145343000000001E-2</v>
      </c>
      <c r="Q65" s="187">
        <f>[2]CZ_decarbplus_opex!O65</f>
        <v>4.7844510000000003E-3</v>
      </c>
      <c r="R65" s="187">
        <f>[2]CZ_decarbplus_opex!P65</f>
        <v>7.0141659999999996E-3</v>
      </c>
      <c r="S65" s="187">
        <f>[2]CZ_decarbplus_opex!Q65</f>
        <v>2.670838E-3</v>
      </c>
      <c r="T65" s="187">
        <f>[2]CZ_decarbplus_opex!R65</f>
        <v>2.9346939999999998E-3</v>
      </c>
      <c r="U65" s="187">
        <f>[2]CZ_decarbplus_opex!S65</f>
        <v>1.9943890000000001E-3</v>
      </c>
      <c r="V65" s="187">
        <f>[2]CZ_decarbplus_opex!T65</f>
        <v>1.597355E-3</v>
      </c>
      <c r="W65" s="187">
        <f>[2]CZ_decarbplus_opex!U65</f>
        <v>5.5031999999999998E-3</v>
      </c>
      <c r="X65" s="187">
        <f>[2]CZ_decarbplus_opex!V65</f>
        <v>3.522889E-3</v>
      </c>
      <c r="Y65" s="187">
        <f>[2]CZ_decarbplus_opex!W65</f>
        <v>6.1660899999999995E-4</v>
      </c>
      <c r="Z65" s="187">
        <f>[2]CZ_decarbplus_opex!X65</f>
        <v>1.1095479999999999E-3</v>
      </c>
      <c r="AA65" s="187">
        <f>[2]CZ_decarbplus_opex!Y65</f>
        <v>6.2511620000000002E-3</v>
      </c>
      <c r="AB65" s="188">
        <f>[3]CZ_decarb_opex!B65</f>
        <v>4.6992534331772001E-4</v>
      </c>
      <c r="AC65" s="188">
        <f>[3]CZ_decarb_opex!C65</f>
        <v>1.1287589183924601E-3</v>
      </c>
      <c r="AD65" s="188">
        <f>[3]CZ_decarb_opex!D65</f>
        <v>9.6401302934476902E-4</v>
      </c>
      <c r="AE65" s="188">
        <f>[2]CZ_decarbplus_opex!Z65</f>
        <v>8.3403800000000005E-4</v>
      </c>
      <c r="AF65" s="188">
        <f>[2]CZ_decarbplus_opex!AA65</f>
        <v>5.1474240000000003E-3</v>
      </c>
      <c r="AG65" s="188">
        <f>[2]CZ_decarbplus_opex!AB65</f>
        <v>0.24498441800000001</v>
      </c>
      <c r="AH65" s="188">
        <f>[2]CZ_decarbplus_opex!AC65</f>
        <v>1.1956222000000001E-2</v>
      </c>
      <c r="AI65" s="188">
        <f>[2]CZ_decarbplus_opex!AD65</f>
        <v>2.2098737E-2</v>
      </c>
      <c r="AJ65" s="188">
        <f>[2]CZ_decarbplus_opex!AE65</f>
        <v>3.0897519999999999E-3</v>
      </c>
      <c r="AK65" s="188">
        <f>[2]CZ_decarbplus_opex!AF65</f>
        <v>5.9614000000000004E-3</v>
      </c>
      <c r="AL65" s="188">
        <f>[3]CZ_decarb_opex!E65</f>
        <v>4.6055889891371601E-3</v>
      </c>
      <c r="AM65" s="188">
        <f>[3]CZ_decarb_opex!F65</f>
        <v>4.22950635125585E-3</v>
      </c>
      <c r="AN65" s="188">
        <f>[2]CZ_decarbplus_opex!AG65</f>
        <v>1.0032671999999999E-2</v>
      </c>
      <c r="AO65" s="188">
        <f>[3]CZ_decarb_opex!G65</f>
        <v>3.76500652309861E-3</v>
      </c>
      <c r="AP65" s="188">
        <f>[3]CZ_decarb_opex!H65</f>
        <v>4.30433151244357E-3</v>
      </c>
      <c r="AQ65" s="188">
        <f>[2]CZ_decarbplus_opex!AH65</f>
        <v>4.8301209999999997E-3</v>
      </c>
      <c r="AR65" s="188">
        <f>[2]CZ_decarbplus_opex!AI65</f>
        <v>0</v>
      </c>
      <c r="AS65" s="188">
        <f>[2]CZ_decarbplus_opex!AJ65</f>
        <v>4.1085569999999997E-3</v>
      </c>
      <c r="AT65" s="188">
        <f>[2]CZ_decarbplus_opex!AK65</f>
        <v>3.9688500000000003E-3</v>
      </c>
      <c r="AU65" s="188">
        <f>[2]CZ_decarbplus_opex!AL65</f>
        <v>8.09934E-4</v>
      </c>
      <c r="AV65" s="188">
        <f>[2]CZ_decarbplus_opex!AM65</f>
        <v>5.9336199999999995E-4</v>
      </c>
      <c r="AW65" s="188">
        <f>[2]CZ_decarbplus_opex!AN65</f>
        <v>2.5711380000000002E-3</v>
      </c>
      <c r="AX65" s="188">
        <f>[2]CZ_decarbplus_opex!AO65</f>
        <v>0</v>
      </c>
      <c r="AY65" s="188">
        <f>[2]CZ_decarbplus_opex!AP65</f>
        <v>3.119915E-3</v>
      </c>
      <c r="AZ65" s="188">
        <f>[2]CZ_decarbplus_opex!AQ65</f>
        <v>0</v>
      </c>
      <c r="BA65" s="188">
        <f>[2]CZ_decarbplus_opex!AR65</f>
        <v>7.3311310000000003E-3</v>
      </c>
      <c r="BB65" s="188">
        <f>[2]CZ_decarbplus_opex!AS65</f>
        <v>5.089921E-2</v>
      </c>
      <c r="BC65" s="188">
        <f>[2]CZ_decarbplus_opex!AT65</f>
        <v>1.2255271999999999E-2</v>
      </c>
      <c r="BD65" s="188">
        <f>[2]CZ_decarbplus_opex!AU65</f>
        <v>2.5856920000000001E-3</v>
      </c>
      <c r="BE65" s="188">
        <f>[2]CZ_decarbplus_opex!AV65</f>
        <v>4.7650495000000001E-2</v>
      </c>
      <c r="BF65" s="188">
        <f>[2]CZ_decarbplus_opex!AW65</f>
        <v>2.0899226999999999E-2</v>
      </c>
      <c r="BG65" s="188">
        <f>[2]CZ_decarbplus_opex!AX65</f>
        <v>5.6369130000000003E-2</v>
      </c>
      <c r="BH65" s="188">
        <f>[3]CZ_decarb_opex!I65</f>
        <v>0.107099642501538</v>
      </c>
      <c r="BI65" s="188">
        <f>[2]CZ_decarbplus_opex!AY65</f>
        <v>0.12839708599999999</v>
      </c>
      <c r="BJ65" s="188">
        <f>[2]CZ_decarbplus_opex!AZ65</f>
        <v>5.3317679E-2</v>
      </c>
      <c r="BK65" s="188">
        <f>[2]CZ_decarbplus_opex!BA65</f>
        <v>3.1668310000000002E-3</v>
      </c>
      <c r="BL65" s="188">
        <f>[2]CZ_decarbplus_opex!BB65</f>
        <v>0</v>
      </c>
      <c r="BM65" s="188">
        <f>[3]CZ_decarb_opex!J65</f>
        <v>5.5924871132915198E-4</v>
      </c>
      <c r="BN65" s="188">
        <f>[3]CZ_decarb_opex!K65</f>
        <v>1.1175155931112701E-3</v>
      </c>
      <c r="BO65" s="188">
        <f>[3]CZ_decarb_opex!L65</f>
        <v>2.4858751394540998E-4</v>
      </c>
      <c r="BP65" s="188">
        <f>[3]CZ_decarb_opex!M65</f>
        <v>2.6862867780571003E-4</v>
      </c>
      <c r="BQ65" s="188">
        <f>[3]CZ_decarb_opex!N65</f>
        <v>2.6930313068557503E-4</v>
      </c>
      <c r="BR65" s="188">
        <f>[3]CZ_decarb_opex!O65</f>
        <v>1.30894473031693E-3</v>
      </c>
      <c r="BS65" s="188">
        <f>[3]CZ_decarb_opex!P65</f>
        <v>8.9016511857446204E-4</v>
      </c>
      <c r="BT65" s="188">
        <f>[3]CZ_decarb_opex!Q65</f>
        <v>2.3038990170977299E-4</v>
      </c>
      <c r="BU65" s="188">
        <f>[3]CZ_decarb_opex!R65</f>
        <v>1.2965019129684E-4</v>
      </c>
      <c r="BV65" s="188">
        <f>[3]CZ_decarb_opex!S65</f>
        <v>1.2965019129684E-4</v>
      </c>
      <c r="BW65" s="188">
        <f>[3]CZ_decarb_opex!T65</f>
        <v>2.0969729293529899E-4</v>
      </c>
      <c r="BX65" s="188">
        <f>[3]CZ_decarb_opex!U65</f>
        <v>5.4567809563830702E-4</v>
      </c>
      <c r="BY65" s="188">
        <f>[3]CZ_decarb_opex!V65</f>
        <v>6.11900375810515E-5</v>
      </c>
      <c r="BZ65" s="188">
        <f>[2]CZ_decarbplus_opex!BC65</f>
        <v>5.0048400000000004E-4</v>
      </c>
      <c r="CA65" s="188">
        <f>[2]CZ_decarbplus_opex!BD65</f>
        <v>3.23049E-4</v>
      </c>
      <c r="CB65" s="188">
        <f>[2]CZ_decarbplus_opex!BE65</f>
        <v>3.5768799999999999E-4</v>
      </c>
      <c r="CC65" s="188">
        <f>[2]CZ_decarbplus_opex!BF65</f>
        <v>1.8170099999999999E-4</v>
      </c>
      <c r="CD65" s="188">
        <f>[2]CZ_decarbplus_opex!BG65</f>
        <v>1.679701E-3</v>
      </c>
      <c r="CE65" s="188">
        <f>[2]CZ_decarbplus_opex!BH65</f>
        <v>8.0326599999999996E-4</v>
      </c>
      <c r="CF65" s="188">
        <f>[2]CZ_decarbplus_opex!BI65</f>
        <v>5.0401070000000003E-3</v>
      </c>
      <c r="CG65" s="188">
        <f>[2]CZ_decarbplus_opex!BJ65</f>
        <v>7.7054000000000001E-4</v>
      </c>
    </row>
    <row r="66" spans="1:85" x14ac:dyDescent="0.25">
      <c r="A66" s="5" t="s">
        <v>151</v>
      </c>
      <c r="B66" s="2" t="s">
        <v>150</v>
      </c>
      <c r="C66" s="1" t="s">
        <v>329</v>
      </c>
      <c r="D66" s="187">
        <f>[2]CZ_decarbplus_opex!B66</f>
        <v>1.1131590000000001E-3</v>
      </c>
      <c r="E66" s="187">
        <f>[2]CZ_decarbplus_opex!C66</f>
        <v>1.9931340000000001E-3</v>
      </c>
      <c r="F66" s="187">
        <f>[2]CZ_decarbplus_opex!D66</f>
        <v>9.6612800000000002E-4</v>
      </c>
      <c r="G66" s="187">
        <f>[2]CZ_decarbplus_opex!E66</f>
        <v>1.58858E-4</v>
      </c>
      <c r="H66" s="187">
        <f>[2]CZ_decarbplus_opex!F66</f>
        <v>2.8246E-4</v>
      </c>
      <c r="I66" s="187">
        <f>[2]CZ_decarbplus_opex!G66</f>
        <v>6.9450140000000002E-3</v>
      </c>
      <c r="J66" s="187">
        <f>[2]CZ_decarbplus_opex!H66</f>
        <v>5.5066299999999996E-4</v>
      </c>
      <c r="K66" s="187">
        <f>[2]CZ_decarbplus_opex!I66</f>
        <v>4.6344300000000001E-4</v>
      </c>
      <c r="L66" s="187">
        <f>[2]CZ_decarbplus_opex!J66</f>
        <v>3.6880900000000002E-3</v>
      </c>
      <c r="M66" s="187">
        <f>[2]CZ_decarbplus_opex!K66</f>
        <v>8.7687640000000001E-3</v>
      </c>
      <c r="N66" s="187">
        <f>[2]CZ_decarbplus_opex!L66</f>
        <v>4.5349379999999996E-3</v>
      </c>
      <c r="O66" s="187">
        <f>[2]CZ_decarbplus_opex!M66</f>
        <v>4.2832100000000001E-4</v>
      </c>
      <c r="P66" s="187">
        <f>[2]CZ_decarbplus_opex!N66</f>
        <v>2.1539584000000001E-2</v>
      </c>
      <c r="Q66" s="187">
        <f>[2]CZ_decarbplus_opex!O66</f>
        <v>1.030675E-3</v>
      </c>
      <c r="R66" s="187">
        <f>[2]CZ_decarbplus_opex!P66</f>
        <v>9.69701E-4</v>
      </c>
      <c r="S66" s="187">
        <f>[2]CZ_decarbplus_opex!Q66</f>
        <v>8.4226200000000005E-3</v>
      </c>
      <c r="T66" s="187">
        <f>[2]CZ_decarbplus_opex!R66</f>
        <v>8.9722110000000008E-3</v>
      </c>
      <c r="U66" s="187">
        <f>[2]CZ_decarbplus_opex!S66</f>
        <v>3.80336E-4</v>
      </c>
      <c r="V66" s="187">
        <f>[2]CZ_decarbplus_opex!T66</f>
        <v>4.5101700000000001E-4</v>
      </c>
      <c r="W66" s="187">
        <f>[2]CZ_decarbplus_opex!U66</f>
        <v>2.9436399999999998E-4</v>
      </c>
      <c r="X66" s="187">
        <f>[2]CZ_decarbplus_opex!V66</f>
        <v>2.30442E-4</v>
      </c>
      <c r="Y66" s="187">
        <f>[2]CZ_decarbplus_opex!W66</f>
        <v>2.0903499999999999E-4</v>
      </c>
      <c r="Z66" s="187">
        <f>[2]CZ_decarbplus_opex!X66</f>
        <v>2.0092740000000001E-3</v>
      </c>
      <c r="AA66" s="187">
        <f>[2]CZ_decarbplus_opex!Y66</f>
        <v>7.3797499999999998E-4</v>
      </c>
      <c r="AB66" s="188">
        <f>[3]CZ_decarb_opex!B66</f>
        <v>4.1560928907110998E-4</v>
      </c>
      <c r="AC66" s="188">
        <f>[3]CZ_decarb_opex!C66</f>
        <v>1.3185645507289799E-3</v>
      </c>
      <c r="AD66" s="188">
        <f>[3]CZ_decarb_opex!D66</f>
        <v>4.2238793687378399E-4</v>
      </c>
      <c r="AE66" s="188">
        <f>[2]CZ_decarbplus_opex!Z66</f>
        <v>3.6867200000000001E-4</v>
      </c>
      <c r="AF66" s="188">
        <f>[2]CZ_decarbplus_opex!AA66</f>
        <v>8.0632389999999998E-3</v>
      </c>
      <c r="AG66" s="188">
        <f>[2]CZ_decarbplus_opex!AB66</f>
        <v>1.276959E-3</v>
      </c>
      <c r="AH66" s="188">
        <f>[2]CZ_decarbplus_opex!AC66</f>
        <v>0.36272555400000001</v>
      </c>
      <c r="AI66" s="188">
        <f>[2]CZ_decarbplus_opex!AD66</f>
        <v>1.210453E-3</v>
      </c>
      <c r="AJ66" s="188">
        <f>[2]CZ_decarbplus_opex!AE66</f>
        <v>1.375315E-3</v>
      </c>
      <c r="AK66" s="188">
        <f>[2]CZ_decarbplus_opex!AF66</f>
        <v>2.6382710000000002E-3</v>
      </c>
      <c r="AL66" s="188">
        <f>[3]CZ_decarb_opex!E66</f>
        <v>2.5791858495999801E-3</v>
      </c>
      <c r="AM66" s="188">
        <f>[3]CZ_decarb_opex!F66</f>
        <v>2.4088449482827E-3</v>
      </c>
      <c r="AN66" s="188">
        <f>[2]CZ_decarbplus_opex!AG66</f>
        <v>1.6485584000000001E-2</v>
      </c>
      <c r="AO66" s="188">
        <f>[3]CZ_decarb_opex!G66</f>
        <v>4.5868093885071602E-4</v>
      </c>
      <c r="AP66" s="188">
        <f>[3]CZ_decarb_opex!H66</f>
        <v>4.8855275370873405E-4</v>
      </c>
      <c r="AQ66" s="188">
        <f>[2]CZ_decarbplus_opex!AH66</f>
        <v>6.2733400000000001E-4</v>
      </c>
      <c r="AR66" s="188">
        <f>[2]CZ_decarbplus_opex!AI66</f>
        <v>0</v>
      </c>
      <c r="AS66" s="188">
        <f>[2]CZ_decarbplus_opex!AJ66</f>
        <v>5.6981299999999996E-4</v>
      </c>
      <c r="AT66" s="188">
        <f>[2]CZ_decarbplus_opex!AK66</f>
        <v>5.1449999999999998E-4</v>
      </c>
      <c r="AU66" s="188">
        <f>[2]CZ_decarbplus_opex!AL66</f>
        <v>1.9860400000000001E-4</v>
      </c>
      <c r="AV66" s="188">
        <f>[2]CZ_decarbplus_opex!AM66</f>
        <v>1.72659E-4</v>
      </c>
      <c r="AW66" s="188">
        <f>[2]CZ_decarbplus_opex!AN66</f>
        <v>3.4730200000000002E-4</v>
      </c>
      <c r="AX66" s="188">
        <f>[2]CZ_decarbplus_opex!AO66</f>
        <v>0</v>
      </c>
      <c r="AY66" s="188">
        <f>[2]CZ_decarbplus_opex!AP66</f>
        <v>8.6067999999999995E-4</v>
      </c>
      <c r="AZ66" s="188">
        <f>[2]CZ_decarbplus_opex!AQ66</f>
        <v>0</v>
      </c>
      <c r="BA66" s="188">
        <f>[2]CZ_decarbplus_opex!AR66</f>
        <v>5.91864E-4</v>
      </c>
      <c r="BB66" s="188">
        <f>[2]CZ_decarbplus_opex!AS66</f>
        <v>4.7521610000000004E-3</v>
      </c>
      <c r="BC66" s="188">
        <f>[2]CZ_decarbplus_opex!AT66</f>
        <v>2.4566919999999999E-3</v>
      </c>
      <c r="BD66" s="188">
        <f>[2]CZ_decarbplus_opex!AU66</f>
        <v>2.8680999999999997E-4</v>
      </c>
      <c r="BE66" s="188">
        <f>[2]CZ_decarbplus_opex!AV66</f>
        <v>5.0556489999999997E-3</v>
      </c>
      <c r="BF66" s="188">
        <f>[2]CZ_decarbplus_opex!AW66</f>
        <v>4.8198099999999998E-4</v>
      </c>
      <c r="BG66" s="188">
        <f>[2]CZ_decarbplus_opex!AX66</f>
        <v>1.8943930000000001E-3</v>
      </c>
      <c r="BH66" s="188">
        <f>[3]CZ_decarb_opex!I66</f>
        <v>1.45188643206604E-3</v>
      </c>
      <c r="BI66" s="188">
        <f>[2]CZ_decarbplus_opex!AY66</f>
        <v>5.4568289999999998E-3</v>
      </c>
      <c r="BJ66" s="188">
        <f>[2]CZ_decarbplus_opex!AZ66</f>
        <v>7.8891699999999998E-4</v>
      </c>
      <c r="BK66" s="188">
        <f>[2]CZ_decarbplus_opex!BA66</f>
        <v>2.2188400000000001E-3</v>
      </c>
      <c r="BL66" s="188">
        <f>[2]CZ_decarbplus_opex!BB66</f>
        <v>0</v>
      </c>
      <c r="BM66" s="188">
        <f>[3]CZ_decarb_opex!J66</f>
        <v>2.62868139358329E-4</v>
      </c>
      <c r="BN66" s="188">
        <f>[3]CZ_decarb_opex!K66</f>
        <v>3.5803182564101798E-4</v>
      </c>
      <c r="BO66" s="188">
        <f>[3]CZ_decarb_opex!L66</f>
        <v>1.1051343880352299E-4</v>
      </c>
      <c r="BP66" s="188">
        <f>[3]CZ_decarb_opex!M66</f>
        <v>1.60881152947943E-4</v>
      </c>
      <c r="BQ66" s="188">
        <f>[3]CZ_decarb_opex!N66</f>
        <v>2.23369339827643E-4</v>
      </c>
      <c r="BR66" s="188">
        <f>[3]CZ_decarb_opex!O66</f>
        <v>1.3922943420973299E-4</v>
      </c>
      <c r="BS66" s="188">
        <f>[3]CZ_decarb_opex!P66</f>
        <v>7.7051574170377201E-4</v>
      </c>
      <c r="BT66" s="188">
        <f>[3]CZ_decarb_opex!Q66</f>
        <v>4.13705596051194E-6</v>
      </c>
      <c r="BU66" s="188">
        <f>[3]CZ_decarb_opex!R66</f>
        <v>1.11331097744129E-4</v>
      </c>
      <c r="BV66" s="188">
        <f>[3]CZ_decarb_opex!S66</f>
        <v>1.11331097744129E-4</v>
      </c>
      <c r="BW66" s="188">
        <f>[3]CZ_decarb_opex!T66</f>
        <v>2.1506333903644599E-5</v>
      </c>
      <c r="BX66" s="188">
        <f>[3]CZ_decarb_opex!U66</f>
        <v>3.8072718869367899E-6</v>
      </c>
      <c r="BY66" s="188">
        <f>[3]CZ_decarb_opex!V66</f>
        <v>5.0628325175984399E-6</v>
      </c>
      <c r="BZ66" s="188">
        <f>[2]CZ_decarbplus_opex!BC66</f>
        <v>2.4065800000000001E-4</v>
      </c>
      <c r="CA66" s="188">
        <f>[2]CZ_decarbplus_opex!BD66</f>
        <v>1.97166E-4</v>
      </c>
      <c r="CB66" s="188">
        <f>[2]CZ_decarbplus_opex!BE66</f>
        <v>2.0719600000000001E-4</v>
      </c>
      <c r="CC66" s="188">
        <f>[2]CZ_decarbplus_opex!BF66</f>
        <v>1.52044E-4</v>
      </c>
      <c r="CD66" s="188">
        <f>[2]CZ_decarbplus_opex!BG66</f>
        <v>7.4373899999999999E-4</v>
      </c>
      <c r="CE66" s="188">
        <f>[2]CZ_decarbplus_opex!BH66</f>
        <v>3.96315E-4</v>
      </c>
      <c r="CF66" s="188">
        <f>[2]CZ_decarbplus_opex!BI66</f>
        <v>2.8015520000000001E-3</v>
      </c>
      <c r="CG66" s="188">
        <f>[2]CZ_decarbplus_opex!BJ66</f>
        <v>2.4336900000000001E-4</v>
      </c>
    </row>
    <row r="67" spans="1:85" x14ac:dyDescent="0.25">
      <c r="A67" s="5" t="s">
        <v>153</v>
      </c>
      <c r="B67" s="2" t="s">
        <v>152</v>
      </c>
      <c r="C67" s="1" t="s">
        <v>329</v>
      </c>
      <c r="D67" s="187">
        <f>[2]CZ_decarbplus_opex!B67</f>
        <v>1.3011399999999999E-4</v>
      </c>
      <c r="E67" s="187">
        <f>[2]CZ_decarbplus_opex!C67</f>
        <v>2.4769100000000002E-4</v>
      </c>
      <c r="F67" s="187">
        <f>[2]CZ_decarbplus_opex!D67</f>
        <v>1.1056300000000001E-4</v>
      </c>
      <c r="G67" s="187">
        <f>[2]CZ_decarbplus_opex!E67</f>
        <v>1.8899999999999999E-5</v>
      </c>
      <c r="H67" s="187">
        <f>[2]CZ_decarbplus_opex!F67</f>
        <v>3.3000000000000003E-5</v>
      </c>
      <c r="I67" s="187">
        <f>[2]CZ_decarbplus_opex!G67</f>
        <v>8.8240599999999997E-4</v>
      </c>
      <c r="J67" s="187">
        <f>[2]CZ_decarbplus_opex!H67</f>
        <v>5.0399999999999999E-5</v>
      </c>
      <c r="K67" s="187">
        <f>[2]CZ_decarbplus_opex!I67</f>
        <v>5.38E-5</v>
      </c>
      <c r="L67" s="187">
        <f>[2]CZ_decarbplus_opex!J67</f>
        <v>4.5881200000000001E-4</v>
      </c>
      <c r="M67" s="187">
        <f>[2]CZ_decarbplus_opex!K67</f>
        <v>1.0828999999999999E-3</v>
      </c>
      <c r="N67" s="187">
        <f>[2]CZ_decarbplus_opex!L67</f>
        <v>5.44379E-4</v>
      </c>
      <c r="O67" s="187">
        <f>[2]CZ_decarbplus_opex!M67</f>
        <v>3.7499999999999997E-5</v>
      </c>
      <c r="P67" s="187">
        <f>[2]CZ_decarbplus_opex!N67</f>
        <v>2.642967E-3</v>
      </c>
      <c r="Q67" s="187">
        <f>[2]CZ_decarbplus_opex!O67</f>
        <v>9.7E-5</v>
      </c>
      <c r="R67" s="187">
        <f>[2]CZ_decarbplus_opex!P67</f>
        <v>1.01E-4</v>
      </c>
      <c r="S67" s="187">
        <f>[2]CZ_decarbplus_opex!Q67</f>
        <v>1.055814E-3</v>
      </c>
      <c r="T67" s="187">
        <f>[2]CZ_decarbplus_opex!R67</f>
        <v>1.120642E-3</v>
      </c>
      <c r="U67" s="187">
        <f>[2]CZ_decarbplus_opex!S67</f>
        <v>3.6399999999999997E-5</v>
      </c>
      <c r="V67" s="187">
        <f>[2]CZ_decarbplus_opex!T67</f>
        <v>4.2899999999999999E-5</v>
      </c>
      <c r="W67" s="187">
        <f>[2]CZ_decarbplus_opex!U67</f>
        <v>2.83E-5</v>
      </c>
      <c r="X67" s="187">
        <f>[2]CZ_decarbplus_opex!V67</f>
        <v>2.1100000000000001E-5</v>
      </c>
      <c r="Y67" s="187">
        <f>[2]CZ_decarbplus_opex!W67</f>
        <v>2.34E-5</v>
      </c>
      <c r="Z67" s="187">
        <f>[2]CZ_decarbplus_opex!X67</f>
        <v>1.7585699999999999E-4</v>
      </c>
      <c r="AA67" s="187">
        <f>[2]CZ_decarbplus_opex!Y67</f>
        <v>7.2100000000000004E-5</v>
      </c>
      <c r="AB67" s="188">
        <f>[3]CZ_decarb_opex!B67</f>
        <v>4.9587168488963299E-5</v>
      </c>
      <c r="AC67" s="188">
        <f>[3]CZ_decarb_opex!C67</f>
        <v>1.39257945647667E-4</v>
      </c>
      <c r="AD67" s="188">
        <f>[3]CZ_decarb_opex!D67</f>
        <v>4.1872903356080798E-5</v>
      </c>
      <c r="AE67" s="188">
        <f>[2]CZ_decarbplus_opex!Z67</f>
        <v>3.7700000000000002E-5</v>
      </c>
      <c r="AF67" s="188">
        <f>[2]CZ_decarbplus_opex!AA67</f>
        <v>9.7210999999999999E-4</v>
      </c>
      <c r="AG67" s="188">
        <f>[2]CZ_decarbplus_opex!AB67</f>
        <v>1.4866200000000001E-4</v>
      </c>
      <c r="AH67" s="188">
        <f>[2]CZ_decarbplus_opex!AC67</f>
        <v>4.6716127000000003E-2</v>
      </c>
      <c r="AI67" s="188">
        <f>[2]CZ_decarbplus_opex!AD67</f>
        <v>1.46606E-4</v>
      </c>
      <c r="AJ67" s="188">
        <f>[2]CZ_decarbplus_opex!AE67</f>
        <v>1.5524899999999999E-4</v>
      </c>
      <c r="AK67" s="188">
        <f>[2]CZ_decarbplus_opex!AF67</f>
        <v>3.0996399999999998E-4</v>
      </c>
      <c r="AL67" s="188">
        <f>[3]CZ_decarb_opex!E67</f>
        <v>2.9090678961120401E-4</v>
      </c>
      <c r="AM67" s="188">
        <f>[3]CZ_decarb_opex!F67</f>
        <v>2.68037201078195E-4</v>
      </c>
      <c r="AN67" s="188">
        <f>[2]CZ_decarbplus_opex!AG67</f>
        <v>2.064481E-3</v>
      </c>
      <c r="AO67" s="188">
        <f>[3]CZ_decarb_opex!G67</f>
        <v>4.8612219986296298E-5</v>
      </c>
      <c r="AP67" s="188">
        <f>[3]CZ_decarb_opex!H67</f>
        <v>5.5191340886276198E-5</v>
      </c>
      <c r="AQ67" s="188">
        <f>[2]CZ_decarbplus_opex!AH67</f>
        <v>7.2000000000000002E-5</v>
      </c>
      <c r="AR67" s="188">
        <f>[2]CZ_decarbplus_opex!AI67</f>
        <v>0</v>
      </c>
      <c r="AS67" s="188">
        <f>[2]CZ_decarbplus_opex!AJ67</f>
        <v>6.19E-5</v>
      </c>
      <c r="AT67" s="188">
        <f>[2]CZ_decarbplus_opex!AK67</f>
        <v>5.7399999999999999E-5</v>
      </c>
      <c r="AU67" s="188">
        <f>[2]CZ_decarbplus_opex!AL67</f>
        <v>2.0800000000000001E-5</v>
      </c>
      <c r="AV67" s="188">
        <f>[2]CZ_decarbplus_opex!AM67</f>
        <v>1.77E-5</v>
      </c>
      <c r="AW67" s="188">
        <f>[2]CZ_decarbplus_opex!AN67</f>
        <v>4.5899999999999998E-5</v>
      </c>
      <c r="AX67" s="188">
        <f>[2]CZ_decarbplus_opex!AO67</f>
        <v>0</v>
      </c>
      <c r="AY67" s="188">
        <f>[2]CZ_decarbplus_opex!AP67</f>
        <v>6.4800000000000003E-5</v>
      </c>
      <c r="AZ67" s="188">
        <f>[2]CZ_decarbplus_opex!AQ67</f>
        <v>0</v>
      </c>
      <c r="BA67" s="188">
        <f>[2]CZ_decarbplus_opex!AR67</f>
        <v>6.0699999999999998E-5</v>
      </c>
      <c r="BB67" s="188">
        <f>[2]CZ_decarbplus_opex!AS67</f>
        <v>5.8849200000000003E-4</v>
      </c>
      <c r="BC67" s="188">
        <f>[2]CZ_decarbplus_opex!AT67</f>
        <v>2.9938399999999998E-4</v>
      </c>
      <c r="BD67" s="188">
        <f>[2]CZ_decarbplus_opex!AU67</f>
        <v>3.0899999999999999E-5</v>
      </c>
      <c r="BE67" s="188">
        <f>[2]CZ_decarbplus_opex!AV67</f>
        <v>6.3537100000000003E-4</v>
      </c>
      <c r="BF67" s="188">
        <f>[2]CZ_decarbplus_opex!AW67</f>
        <v>6.2299999999999996E-5</v>
      </c>
      <c r="BG67" s="188">
        <f>[2]CZ_decarbplus_opex!AX67</f>
        <v>2.27054E-4</v>
      </c>
      <c r="BH67" s="188">
        <f>[3]CZ_decarb_opex!I67</f>
        <v>1.8028895627444401E-4</v>
      </c>
      <c r="BI67" s="188">
        <f>[2]CZ_decarbplus_opex!AY67</f>
        <v>6.7223599999999999E-4</v>
      </c>
      <c r="BJ67" s="188">
        <f>[2]CZ_decarbplus_opex!AZ67</f>
        <v>9.1399999999999999E-5</v>
      </c>
      <c r="BK67" s="188">
        <f>[2]CZ_decarbplus_opex!BA67</f>
        <v>2.7114000000000001E-4</v>
      </c>
      <c r="BL67" s="188">
        <f>[2]CZ_decarbplus_opex!BB67</f>
        <v>0</v>
      </c>
      <c r="BM67" s="188">
        <f>[3]CZ_decarb_opex!J67</f>
        <v>2.93918791289906E-5</v>
      </c>
      <c r="BN67" s="188">
        <f>[3]CZ_decarb_opex!K67</f>
        <v>3.6747038252134098E-5</v>
      </c>
      <c r="BO67" s="188">
        <f>[3]CZ_decarb_opex!L67</f>
        <v>1.20368084117539E-5</v>
      </c>
      <c r="BP67" s="188">
        <f>[3]CZ_decarb_opex!M67</f>
        <v>1.54125391637209E-5</v>
      </c>
      <c r="BQ67" s="188">
        <f>[3]CZ_decarb_opex!N67</f>
        <v>2.38875828180428E-5</v>
      </c>
      <c r="BR67" s="188">
        <f>[3]CZ_decarb_opex!O67</f>
        <v>4.7219224402150897E-5</v>
      </c>
      <c r="BS67" s="188">
        <f>[3]CZ_decarb_opex!P67</f>
        <v>9.0045975803021905E-5</v>
      </c>
      <c r="BT67" s="188">
        <f>[3]CZ_decarb_opex!Q67</f>
        <v>1.1611015932341201E-6</v>
      </c>
      <c r="BU67" s="188">
        <f>[3]CZ_decarb_opex!R67</f>
        <v>1.0020855023198301E-5</v>
      </c>
      <c r="BV67" s="188">
        <f>[3]CZ_decarb_opex!S67</f>
        <v>1.0020855023198401E-5</v>
      </c>
      <c r="BW67" s="188">
        <f>[3]CZ_decarb_opex!T67</f>
        <v>9.9148774962773502E-6</v>
      </c>
      <c r="BX67" s="188">
        <f>[3]CZ_decarb_opex!U67</f>
        <v>1.4515240675213599E-6</v>
      </c>
      <c r="BY67" s="188">
        <f>[3]CZ_decarb_opex!V67</f>
        <v>9.9568773244286209E-7</v>
      </c>
      <c r="BZ67" s="188">
        <f>[2]CZ_decarbplus_opex!BC67</f>
        <v>2.3799999999999999E-5</v>
      </c>
      <c r="CA67" s="188">
        <f>[2]CZ_decarbplus_opex!BD67</f>
        <v>1.98E-5</v>
      </c>
      <c r="CB67" s="188">
        <f>[2]CZ_decarbplus_opex!BE67</f>
        <v>2.2099999999999998E-5</v>
      </c>
      <c r="CC67" s="188">
        <f>[2]CZ_decarbplus_opex!BF67</f>
        <v>1.47E-5</v>
      </c>
      <c r="CD67" s="188">
        <f>[2]CZ_decarbplus_opex!BG67</f>
        <v>7.9599999999999997E-5</v>
      </c>
      <c r="CE67" s="188">
        <f>[2]CZ_decarbplus_opex!BH67</f>
        <v>4.0899999999999998E-5</v>
      </c>
      <c r="CF67" s="188">
        <f>[2]CZ_decarbplus_opex!BI67</f>
        <v>3.3000500000000002E-4</v>
      </c>
      <c r="CG67" s="188">
        <f>[2]CZ_decarbplus_opex!BJ67</f>
        <v>2.76E-5</v>
      </c>
    </row>
    <row r="68" spans="1:85" x14ac:dyDescent="0.25">
      <c r="A68" s="5" t="s">
        <v>155</v>
      </c>
      <c r="B68" s="2" t="s">
        <v>154</v>
      </c>
      <c r="C68" s="1" t="s">
        <v>329</v>
      </c>
      <c r="D68" s="187">
        <f>[2]CZ_decarbplus_opex!B68</f>
        <v>2.4141200000000001E-4</v>
      </c>
      <c r="E68" s="187">
        <f>[2]CZ_decarbplus_opex!C68</f>
        <v>1.2349099999999999E-4</v>
      </c>
      <c r="F68" s="187">
        <f>[2]CZ_decarbplus_opex!D68</f>
        <v>1.4065400000000001E-4</v>
      </c>
      <c r="G68" s="187">
        <f>[2]CZ_decarbplus_opex!E68</f>
        <v>4.8600000000000002E-5</v>
      </c>
      <c r="H68" s="187">
        <f>[2]CZ_decarbplus_opex!F68</f>
        <v>7.0199999999999999E-5</v>
      </c>
      <c r="I68" s="187">
        <f>[2]CZ_decarbplus_opex!G68</f>
        <v>2.0379E-4</v>
      </c>
      <c r="J68" s="187">
        <f>[2]CZ_decarbplus_opex!H68</f>
        <v>3.5726399999999999E-4</v>
      </c>
      <c r="K68" s="187">
        <f>[2]CZ_decarbplus_opex!I68</f>
        <v>1.5487899999999999E-4</v>
      </c>
      <c r="L68" s="187">
        <f>[2]CZ_decarbplus_opex!J68</f>
        <v>1.9305E-4</v>
      </c>
      <c r="M68" s="187">
        <f>[2]CZ_decarbplus_opex!K68</f>
        <v>4.8546400000000001E-4</v>
      </c>
      <c r="N68" s="187">
        <f>[2]CZ_decarbplus_opex!L68</f>
        <v>4.1146500000000002E-4</v>
      </c>
      <c r="O68" s="187">
        <f>[2]CZ_decarbplus_opex!M68</f>
        <v>2.7822600000000002E-4</v>
      </c>
      <c r="P68" s="187">
        <f>[2]CZ_decarbplus_opex!N68</f>
        <v>2.4828459999999999E-3</v>
      </c>
      <c r="Q68" s="187">
        <f>[2]CZ_decarbplus_opex!O68</f>
        <v>6.2215800000000004E-4</v>
      </c>
      <c r="R68" s="187">
        <f>[2]CZ_decarbplus_opex!P68</f>
        <v>3.5282899999999998E-4</v>
      </c>
      <c r="S68" s="187">
        <f>[2]CZ_decarbplus_opex!Q68</f>
        <v>4.3548300000000002E-4</v>
      </c>
      <c r="T68" s="187">
        <f>[2]CZ_decarbplus_opex!R68</f>
        <v>5.5206799999999996E-4</v>
      </c>
      <c r="U68" s="187">
        <f>[2]CZ_decarbplus_opex!S68</f>
        <v>2.2428500000000001E-4</v>
      </c>
      <c r="V68" s="187">
        <f>[2]CZ_decarbplus_opex!T68</f>
        <v>2.77557E-4</v>
      </c>
      <c r="W68" s="187">
        <f>[2]CZ_decarbplus_opex!U68</f>
        <v>1.7858899999999999E-4</v>
      </c>
      <c r="X68" s="187">
        <f>[2]CZ_decarbplus_opex!V68</f>
        <v>1.4574799999999999E-4</v>
      </c>
      <c r="Y68" s="187">
        <f>[2]CZ_decarbplus_opex!W68</f>
        <v>4.4593500000000001E-4</v>
      </c>
      <c r="Z68" s="187">
        <f>[2]CZ_decarbplus_opex!X68</f>
        <v>3.03541E-4</v>
      </c>
      <c r="AA68" s="187">
        <f>[2]CZ_decarbplus_opex!Y68</f>
        <v>5.8098299999999998E-4</v>
      </c>
      <c r="AB68" s="188">
        <f>[3]CZ_decarb_opex!B68</f>
        <v>2.7002800195090202E-4</v>
      </c>
      <c r="AC68" s="188">
        <f>[3]CZ_decarb_opex!C68</f>
        <v>4.38679350905948E-4</v>
      </c>
      <c r="AD68" s="188">
        <f>[3]CZ_decarb_opex!D68</f>
        <v>2.3473292372275299E-4</v>
      </c>
      <c r="AE68" s="188">
        <f>[2]CZ_decarbplus_opex!Z68</f>
        <v>1.8924E-4</v>
      </c>
      <c r="AF68" s="188">
        <f>[2]CZ_decarbplus_opex!AA68</f>
        <v>6.1029599999999997E-4</v>
      </c>
      <c r="AG68" s="188">
        <f>[2]CZ_decarbplus_opex!AB68</f>
        <v>4.4357199999999999E-4</v>
      </c>
      <c r="AH68" s="188">
        <f>[2]CZ_decarbplus_opex!AC68</f>
        <v>6.2332000000000002E-4</v>
      </c>
      <c r="AI68" s="188">
        <f>[2]CZ_decarbplus_opex!AD68</f>
        <v>4.9574099999999996E-4</v>
      </c>
      <c r="AJ68" s="188">
        <f>[2]CZ_decarbplus_opex!AE68</f>
        <v>0.1496681</v>
      </c>
      <c r="AK68" s="188">
        <f>[2]CZ_decarbplus_opex!AF68</f>
        <v>9.6754800000000004E-4</v>
      </c>
      <c r="AL68" s="188">
        <f>[3]CZ_decarb_opex!E68</f>
        <v>2.7816299237983502E-3</v>
      </c>
      <c r="AM68" s="188">
        <f>[3]CZ_decarb_opex!F68</f>
        <v>2.6045948843853501E-3</v>
      </c>
      <c r="AN68" s="188">
        <f>[2]CZ_decarbplus_opex!AG68</f>
        <v>6.7626299999999997E-4</v>
      </c>
      <c r="AO68" s="188">
        <f>[3]CZ_decarb_opex!G68</f>
        <v>2.6785417875991598E-4</v>
      </c>
      <c r="AP68" s="188">
        <f>[3]CZ_decarb_opex!H68</f>
        <v>2.7838314207795199E-4</v>
      </c>
      <c r="AQ68" s="188">
        <f>[2]CZ_decarbplus_opex!AH68</f>
        <v>3.2107099999999998E-4</v>
      </c>
      <c r="AR68" s="188">
        <f>[2]CZ_decarbplus_opex!AI68</f>
        <v>0</v>
      </c>
      <c r="AS68" s="188">
        <f>[2]CZ_decarbplus_opex!AJ68</f>
        <v>2.7960600000000001E-4</v>
      </c>
      <c r="AT68" s="188">
        <f>[2]CZ_decarbplus_opex!AK68</f>
        <v>2.4913600000000001E-4</v>
      </c>
      <c r="AU68" s="188">
        <f>[2]CZ_decarbplus_opex!AL68</f>
        <v>1.1937E-4</v>
      </c>
      <c r="AV68" s="188">
        <f>[2]CZ_decarbplus_opex!AM68</f>
        <v>1.15103E-4</v>
      </c>
      <c r="AW68" s="188">
        <f>[2]CZ_decarbplus_opex!AN68</f>
        <v>2.62966E-4</v>
      </c>
      <c r="AX68" s="188">
        <f>[2]CZ_decarbplus_opex!AO68</f>
        <v>0</v>
      </c>
      <c r="AY68" s="188">
        <f>[2]CZ_decarbplus_opex!AP68</f>
        <v>6.1372599999999999E-4</v>
      </c>
      <c r="AZ68" s="188">
        <f>[2]CZ_decarbplus_opex!AQ68</f>
        <v>0</v>
      </c>
      <c r="BA68" s="188">
        <f>[2]CZ_decarbplus_opex!AR68</f>
        <v>5.0520700000000003E-4</v>
      </c>
      <c r="BB68" s="188">
        <f>[2]CZ_decarbplus_opex!AS68</f>
        <v>3.8246599999999998E-4</v>
      </c>
      <c r="BC68" s="188">
        <f>[2]CZ_decarbplus_opex!AT68</f>
        <v>3.7231500000000002E-4</v>
      </c>
      <c r="BD68" s="188">
        <f>[2]CZ_decarbplus_opex!AU68</f>
        <v>1.7833500000000001E-4</v>
      </c>
      <c r="BE68" s="188">
        <f>[2]CZ_decarbplus_opex!AV68</f>
        <v>2.4063840000000001E-3</v>
      </c>
      <c r="BF68" s="188">
        <f>[2]CZ_decarbplus_opex!AW68</f>
        <v>1.4025909999999999E-3</v>
      </c>
      <c r="BG68" s="188">
        <f>[2]CZ_decarbplus_opex!AX68</f>
        <v>3.6791999999999999E-4</v>
      </c>
      <c r="BH68" s="188">
        <f>[3]CZ_decarb_opex!I68</f>
        <v>2.8713709075298501E-4</v>
      </c>
      <c r="BI68" s="188">
        <f>[2]CZ_decarbplus_opex!AY68</f>
        <v>2.7674999999999998E-4</v>
      </c>
      <c r="BJ68" s="188">
        <f>[2]CZ_decarbplus_opex!AZ68</f>
        <v>2.86054E-4</v>
      </c>
      <c r="BK68" s="188">
        <f>[2]CZ_decarbplus_opex!BA68</f>
        <v>2.83138E-4</v>
      </c>
      <c r="BL68" s="188">
        <f>[2]CZ_decarbplus_opex!BB68</f>
        <v>0</v>
      </c>
      <c r="BM68" s="188">
        <f>[3]CZ_decarb_opex!J68</f>
        <v>1.5859129823255901E-4</v>
      </c>
      <c r="BN68" s="188">
        <f>[3]CZ_decarb_opex!K68</f>
        <v>2.8951997555392499E-4</v>
      </c>
      <c r="BO68" s="188">
        <f>[3]CZ_decarb_opex!L68</f>
        <v>6.0438981032274798E-5</v>
      </c>
      <c r="BP68" s="188">
        <f>[3]CZ_decarb_opex!M68</f>
        <v>1.3556516840418199E-4</v>
      </c>
      <c r="BQ68" s="188">
        <f>[3]CZ_decarb_opex!N68</f>
        <v>1.2644078500462501E-4</v>
      </c>
      <c r="BR68" s="188">
        <f>[3]CZ_decarb_opex!O68</f>
        <v>3.1199143356136998E-4</v>
      </c>
      <c r="BS68" s="188">
        <f>[3]CZ_decarb_opex!P68</f>
        <v>3.9449805786612402E-4</v>
      </c>
      <c r="BT68" s="188">
        <f>[3]CZ_decarb_opex!Q68</f>
        <v>7.5125109366559003E-6</v>
      </c>
      <c r="BU68" s="188">
        <f>[3]CZ_decarb_opex!R68</f>
        <v>7.6075696372770801E-5</v>
      </c>
      <c r="BV68" s="188">
        <f>[3]CZ_decarb_opex!S68</f>
        <v>7.6075696372771099E-5</v>
      </c>
      <c r="BW68" s="188">
        <f>[3]CZ_decarb_opex!T68</f>
        <v>8.4723365634402795E-5</v>
      </c>
      <c r="BX68" s="188">
        <f>[3]CZ_decarb_opex!U68</f>
        <v>9.6014431516426791E-7</v>
      </c>
      <c r="BY68" s="188">
        <f>[3]CZ_decarb_opex!V68</f>
        <v>5.5584798922545001E-6</v>
      </c>
      <c r="BZ68" s="188">
        <f>[2]CZ_decarbplus_opex!BC68</f>
        <v>1.61022E-4</v>
      </c>
      <c r="CA68" s="188">
        <f>[2]CZ_decarbplus_opex!BD68</f>
        <v>1.1086699999999999E-4</v>
      </c>
      <c r="CB68" s="188">
        <f>[2]CZ_decarbplus_opex!BE68</f>
        <v>1.10246E-4</v>
      </c>
      <c r="CC68" s="188">
        <f>[2]CZ_decarbplus_opex!BF68</f>
        <v>9.6899999999999997E-5</v>
      </c>
      <c r="CD68" s="188">
        <f>[2]CZ_decarbplus_opex!BG68</f>
        <v>3.5511100000000002E-4</v>
      </c>
      <c r="CE68" s="188">
        <f>[2]CZ_decarbplus_opex!BH68</f>
        <v>3.7241299999999999E-4</v>
      </c>
      <c r="CF68" s="188">
        <f>[2]CZ_decarbplus_opex!BI68</f>
        <v>7.0744110000000001E-3</v>
      </c>
      <c r="CG68" s="188">
        <f>[2]CZ_decarbplus_opex!BJ68</f>
        <v>1.7266800000000001E-4</v>
      </c>
    </row>
    <row r="69" spans="1:85" x14ac:dyDescent="0.25">
      <c r="A69" s="5" t="s">
        <v>157</v>
      </c>
      <c r="B69" s="2" t="s">
        <v>156</v>
      </c>
      <c r="C69" s="1" t="s">
        <v>329</v>
      </c>
      <c r="D69" s="187">
        <f>[2]CZ_decarbplus_opex!B69</f>
        <v>3.5099999999999999E-5</v>
      </c>
      <c r="E69" s="187">
        <f>[2]CZ_decarbplus_opex!C69</f>
        <v>1.42E-5</v>
      </c>
      <c r="F69" s="187">
        <f>[2]CZ_decarbplus_opex!D69</f>
        <v>1.8300000000000001E-5</v>
      </c>
      <c r="G69" s="187">
        <f>[2]CZ_decarbplus_opex!E69</f>
        <v>3.7100000000000001E-6</v>
      </c>
      <c r="H69" s="187">
        <f>[2]CZ_decarbplus_opex!F69</f>
        <v>5.2399999999999998E-6</v>
      </c>
      <c r="I69" s="187">
        <f>[2]CZ_decarbplus_opex!G69</f>
        <v>2.0400000000000001E-5</v>
      </c>
      <c r="J69" s="187">
        <f>[2]CZ_decarbplus_opex!H69</f>
        <v>4.2500000000000003E-5</v>
      </c>
      <c r="K69" s="187">
        <f>[2]CZ_decarbplus_opex!I69</f>
        <v>1.19E-5</v>
      </c>
      <c r="L69" s="187">
        <f>[2]CZ_decarbplus_opex!J69</f>
        <v>2.2399999999999999E-5</v>
      </c>
      <c r="M69" s="187">
        <f>[2]CZ_decarbplus_opex!K69</f>
        <v>5.3499999999999999E-5</v>
      </c>
      <c r="N69" s="187">
        <f>[2]CZ_decarbplus_opex!L69</f>
        <v>4.8099999999999997E-5</v>
      </c>
      <c r="O69" s="187">
        <f>[2]CZ_decarbplus_opex!M69</f>
        <v>3.4600000000000001E-5</v>
      </c>
      <c r="P69" s="187">
        <f>[2]CZ_decarbplus_opex!N69</f>
        <v>3.4047599999999998E-4</v>
      </c>
      <c r="Q69" s="187">
        <f>[2]CZ_decarbplus_opex!O69</f>
        <v>9.0400000000000002E-5</v>
      </c>
      <c r="R69" s="187">
        <f>[2]CZ_decarbplus_opex!P69</f>
        <v>4.8399999999999997E-5</v>
      </c>
      <c r="S69" s="187">
        <f>[2]CZ_decarbplus_opex!Q69</f>
        <v>3.8999999999999999E-5</v>
      </c>
      <c r="T69" s="187">
        <f>[2]CZ_decarbplus_opex!R69</f>
        <v>5.1199999999999998E-5</v>
      </c>
      <c r="U69" s="187">
        <f>[2]CZ_decarbplus_opex!S69</f>
        <v>2.94E-5</v>
      </c>
      <c r="V69" s="187">
        <f>[2]CZ_decarbplus_opex!T69</f>
        <v>3.4499999999999998E-5</v>
      </c>
      <c r="W69" s="187">
        <f>[2]CZ_decarbplus_opex!U69</f>
        <v>2.6599999999999999E-5</v>
      </c>
      <c r="X69" s="187">
        <f>[2]CZ_decarbplus_opex!V69</f>
        <v>2.0000000000000002E-5</v>
      </c>
      <c r="Y69" s="187">
        <f>[2]CZ_decarbplus_opex!W69</f>
        <v>2.19E-5</v>
      </c>
      <c r="Z69" s="187">
        <f>[2]CZ_decarbplus_opex!X69</f>
        <v>1.01121E-4</v>
      </c>
      <c r="AA69" s="187">
        <f>[2]CZ_decarbplus_opex!Y69</f>
        <v>5.6100000000000002E-5</v>
      </c>
      <c r="AB69" s="188">
        <f>[3]CZ_decarb_opex!B69</f>
        <v>4.6167778606495799E-5</v>
      </c>
      <c r="AC69" s="188">
        <f>[3]CZ_decarb_opex!C69</f>
        <v>6.0461827037096301E-5</v>
      </c>
      <c r="AD69" s="188">
        <f>[3]CZ_decarb_opex!D69</f>
        <v>3.2447749983003601E-5</v>
      </c>
      <c r="AE69" s="188">
        <f>[2]CZ_decarbplus_opex!Z69</f>
        <v>2.8E-5</v>
      </c>
      <c r="AF69" s="188">
        <f>[2]CZ_decarbplus_opex!AA69</f>
        <v>1.06005E-4</v>
      </c>
      <c r="AG69" s="188">
        <f>[2]CZ_decarbplus_opex!AB69</f>
        <v>9.1700000000000006E-5</v>
      </c>
      <c r="AH69" s="188">
        <f>[2]CZ_decarbplus_opex!AC69</f>
        <v>7.4099999999999999E-5</v>
      </c>
      <c r="AI69" s="188">
        <f>[2]CZ_decarbplus_opex!AD69</f>
        <v>7.8499999999999997E-5</v>
      </c>
      <c r="AJ69" s="188">
        <f>[2]CZ_decarbplus_opex!AE69</f>
        <v>4.636093E-3</v>
      </c>
      <c r="AK69" s="188">
        <f>[2]CZ_decarbplus_opex!AF69</f>
        <v>3.6350436999999999E-2</v>
      </c>
      <c r="AL69" s="188">
        <f>[3]CZ_decarb_opex!E69</f>
        <v>2.48639746040368E-3</v>
      </c>
      <c r="AM69" s="188">
        <f>[3]CZ_decarb_opex!F69</f>
        <v>2.24748956443609E-3</v>
      </c>
      <c r="AN69" s="188">
        <f>[2]CZ_decarbplus_opex!AG69</f>
        <v>2.517119E-3</v>
      </c>
      <c r="AO69" s="188">
        <f>[3]CZ_decarb_opex!G69</f>
        <v>6.1908153570682894E-5</v>
      </c>
      <c r="AP69" s="188">
        <f>[3]CZ_decarb_opex!H69</f>
        <v>5.5719863602808799E-5</v>
      </c>
      <c r="AQ69" s="188">
        <f>[2]CZ_decarbplus_opex!AH69</f>
        <v>5.6700000000000003E-5</v>
      </c>
      <c r="AR69" s="188">
        <f>[2]CZ_decarbplus_opex!AI69</f>
        <v>0</v>
      </c>
      <c r="AS69" s="188">
        <f>[2]CZ_decarbplus_opex!AJ69</f>
        <v>6.2700000000000006E-5</v>
      </c>
      <c r="AT69" s="188">
        <f>[2]CZ_decarbplus_opex!AK69</f>
        <v>5.5899999999999997E-5</v>
      </c>
      <c r="AU69" s="188">
        <f>[2]CZ_decarbplus_opex!AL69</f>
        <v>1.59E-5</v>
      </c>
      <c r="AV69" s="188">
        <f>[2]CZ_decarbplus_opex!AM69</f>
        <v>1.4399999999999999E-5</v>
      </c>
      <c r="AW69" s="188">
        <f>[2]CZ_decarbplus_opex!AN69</f>
        <v>7.6199999999999995E-5</v>
      </c>
      <c r="AX69" s="188">
        <f>[2]CZ_decarbplus_opex!AO69</f>
        <v>0</v>
      </c>
      <c r="AY69" s="188">
        <f>[2]CZ_decarbplus_opex!AP69</f>
        <v>3.0818099999999998E-4</v>
      </c>
      <c r="AZ69" s="188">
        <f>[2]CZ_decarbplus_opex!AQ69</f>
        <v>0</v>
      </c>
      <c r="BA69" s="188">
        <f>[2]CZ_decarbplus_opex!AR69</f>
        <v>7.36E-5</v>
      </c>
      <c r="BB69" s="188">
        <f>[2]CZ_decarbplus_opex!AS69</f>
        <v>7.6000000000000004E-5</v>
      </c>
      <c r="BC69" s="188">
        <f>[2]CZ_decarbplus_opex!AT69</f>
        <v>2.97936E-4</v>
      </c>
      <c r="BD69" s="188">
        <f>[2]CZ_decarbplus_opex!AU69</f>
        <v>3.5200000000000002E-5</v>
      </c>
      <c r="BE69" s="188">
        <f>[2]CZ_decarbplus_opex!AV69</f>
        <v>8.81E-5</v>
      </c>
      <c r="BF69" s="188">
        <f>[2]CZ_decarbplus_opex!AW69</f>
        <v>2.9E-5</v>
      </c>
      <c r="BG69" s="188">
        <f>[2]CZ_decarbplus_opex!AX69</f>
        <v>7.7999999999999999E-5</v>
      </c>
      <c r="BH69" s="188">
        <f>[3]CZ_decarb_opex!I69</f>
        <v>4.6372021335316898E-5</v>
      </c>
      <c r="BI69" s="188">
        <f>[2]CZ_decarbplus_opex!AY69</f>
        <v>5.2299999999999997E-5</v>
      </c>
      <c r="BJ69" s="188">
        <f>[2]CZ_decarbplus_opex!AZ69</f>
        <v>5.0399999999999999E-5</v>
      </c>
      <c r="BK69" s="188">
        <f>[2]CZ_decarbplus_opex!BA69</f>
        <v>4.7500000000000003E-5</v>
      </c>
      <c r="BL69" s="188">
        <f>[2]CZ_decarbplus_opex!BB69</f>
        <v>0</v>
      </c>
      <c r="BM69" s="188">
        <f>[3]CZ_decarb_opex!J69</f>
        <v>3.3252450419189E-5</v>
      </c>
      <c r="BN69" s="188">
        <f>[3]CZ_decarb_opex!K69</f>
        <v>4.5405914345776003E-5</v>
      </c>
      <c r="BO69" s="188">
        <f>[3]CZ_decarb_opex!L69</f>
        <v>9.2128079662930992E-6</v>
      </c>
      <c r="BP69" s="188">
        <f>[3]CZ_decarb_opex!M69</f>
        <v>1.53221722935336E-5</v>
      </c>
      <c r="BQ69" s="188">
        <f>[3]CZ_decarb_opex!N69</f>
        <v>1.59509399322893E-5</v>
      </c>
      <c r="BR69" s="188">
        <f>[3]CZ_decarb_opex!O69</f>
        <v>2.7013221465125301E-4</v>
      </c>
      <c r="BS69" s="188">
        <f>[3]CZ_decarb_opex!P69</f>
        <v>4.9608938215236699E-5</v>
      </c>
      <c r="BT69" s="188">
        <f>[3]CZ_decarb_opex!Q69</f>
        <v>1.2475355140408701E-5</v>
      </c>
      <c r="BU69" s="188">
        <f>[3]CZ_decarb_opex!R69</f>
        <v>9.8615925969017297E-6</v>
      </c>
      <c r="BV69" s="188">
        <f>[3]CZ_decarb_opex!S69</f>
        <v>9.86159259690175E-6</v>
      </c>
      <c r="BW69" s="188">
        <f>[3]CZ_decarb_opex!T69</f>
        <v>3.2061318155037299E-5</v>
      </c>
      <c r="BX69" s="188">
        <f>[3]CZ_decarb_opex!U69</f>
        <v>5.1216800048968299E-7</v>
      </c>
      <c r="BY69" s="188">
        <f>[3]CZ_decarb_opex!V69</f>
        <v>4.8684043004723799E-6</v>
      </c>
      <c r="BZ69" s="188">
        <f>[2]CZ_decarbplus_opex!BC69</f>
        <v>2.1699999999999999E-5</v>
      </c>
      <c r="CA69" s="188">
        <f>[2]CZ_decarbplus_opex!BD69</f>
        <v>1.5400000000000002E-5</v>
      </c>
      <c r="CB69" s="188">
        <f>[2]CZ_decarbplus_opex!BE69</f>
        <v>1.49E-5</v>
      </c>
      <c r="CC69" s="188">
        <f>[2]CZ_decarbplus_opex!BF69</f>
        <v>1.6099999999999998E-5</v>
      </c>
      <c r="CD69" s="188">
        <f>[2]CZ_decarbplus_opex!BG69</f>
        <v>6.1199999999999997E-5</v>
      </c>
      <c r="CE69" s="188">
        <f>[2]CZ_decarbplus_opex!BH69</f>
        <v>4.9299999999999999E-5</v>
      </c>
      <c r="CF69" s="188">
        <f>[2]CZ_decarbplus_opex!BI69</f>
        <v>1.62576E-3</v>
      </c>
      <c r="CG69" s="188">
        <f>[2]CZ_decarbplus_opex!BJ69</f>
        <v>1.1600000000000001E-5</v>
      </c>
    </row>
    <row r="70" spans="1:85" x14ac:dyDescent="0.25">
      <c r="A70" s="5" t="s">
        <v>159</v>
      </c>
      <c r="B70" s="2" t="s">
        <v>158</v>
      </c>
      <c r="C70" s="1" t="s">
        <v>329</v>
      </c>
      <c r="D70" s="187">
        <f>[2]CZ_decarbplus_opex!B70</f>
        <v>1.6134600000000001E-4</v>
      </c>
      <c r="E70" s="187">
        <f>[2]CZ_decarbplus_opex!C70</f>
        <v>5.77E-5</v>
      </c>
      <c r="F70" s="187">
        <f>[2]CZ_decarbplus_opex!D70</f>
        <v>6.4499999999999996E-5</v>
      </c>
      <c r="G70" s="187">
        <f>[2]CZ_decarbplus_opex!E70</f>
        <v>1.4399999999999999E-5</v>
      </c>
      <c r="H70" s="187">
        <f>[2]CZ_decarbplus_opex!F70</f>
        <v>2.1500000000000001E-5</v>
      </c>
      <c r="I70" s="187">
        <f>[2]CZ_decarbplus_opex!G70</f>
        <v>8.2899999999999996E-5</v>
      </c>
      <c r="J70" s="187">
        <f>[2]CZ_decarbplus_opex!H70</f>
        <v>1.7626499999999999E-4</v>
      </c>
      <c r="K70" s="187">
        <f>[2]CZ_decarbplus_opex!I70</f>
        <v>4.6499999999999999E-5</v>
      </c>
      <c r="L70" s="187">
        <f>[2]CZ_decarbplus_opex!J70</f>
        <v>8.7800000000000006E-5</v>
      </c>
      <c r="M70" s="187">
        <f>[2]CZ_decarbplus_opex!K70</f>
        <v>2.14556E-4</v>
      </c>
      <c r="N70" s="187">
        <f>[2]CZ_decarbplus_opex!L70</f>
        <v>1.7452799999999999E-4</v>
      </c>
      <c r="O70" s="187">
        <f>[2]CZ_decarbplus_opex!M70</f>
        <v>1.41669E-4</v>
      </c>
      <c r="P70" s="187">
        <f>[2]CZ_decarbplus_opex!N70</f>
        <v>2.312372E-3</v>
      </c>
      <c r="Q70" s="187">
        <f>[2]CZ_decarbplus_opex!O70</f>
        <v>3.8814200000000001E-4</v>
      </c>
      <c r="R70" s="187">
        <f>[2]CZ_decarbplus_opex!P70</f>
        <v>1.8998800000000001E-4</v>
      </c>
      <c r="S70" s="187">
        <f>[2]CZ_decarbplus_opex!Q70</f>
        <v>1.56372E-4</v>
      </c>
      <c r="T70" s="187">
        <f>[2]CZ_decarbplus_opex!R70</f>
        <v>2.06622E-4</v>
      </c>
      <c r="U70" s="187">
        <f>[2]CZ_decarbplus_opex!S70</f>
        <v>1.3721299999999999E-4</v>
      </c>
      <c r="V70" s="187">
        <f>[2]CZ_decarbplus_opex!T70</f>
        <v>1.5726100000000001E-4</v>
      </c>
      <c r="W70" s="187">
        <f>[2]CZ_decarbplus_opex!U70</f>
        <v>1.14368E-4</v>
      </c>
      <c r="X70" s="187">
        <f>[2]CZ_decarbplus_opex!V70</f>
        <v>7.9800000000000002E-5</v>
      </c>
      <c r="Y70" s="187">
        <f>[2]CZ_decarbplus_opex!W70</f>
        <v>9.3700000000000001E-5</v>
      </c>
      <c r="Z70" s="187">
        <f>[2]CZ_decarbplus_opex!X70</f>
        <v>3.5540399999999997E-4</v>
      </c>
      <c r="AA70" s="187">
        <f>[2]CZ_decarbplus_opex!Y70</f>
        <v>2.20728E-4</v>
      </c>
      <c r="AB70" s="188">
        <f>[3]CZ_decarb_opex!B70</f>
        <v>1.5875549024868901E-4</v>
      </c>
      <c r="AC70" s="188">
        <f>[3]CZ_decarb_opex!C70</f>
        <v>2.22041289113036E-4</v>
      </c>
      <c r="AD70" s="188">
        <f>[3]CZ_decarb_opex!D70</f>
        <v>1.2725787037740701E-4</v>
      </c>
      <c r="AE70" s="188">
        <f>[2]CZ_decarbplus_opex!Z70</f>
        <v>1.0794300000000001E-4</v>
      </c>
      <c r="AF70" s="188">
        <f>[2]CZ_decarbplus_opex!AA70</f>
        <v>4.6803399999999998E-4</v>
      </c>
      <c r="AG70" s="188">
        <f>[2]CZ_decarbplus_opex!AB70</f>
        <v>4.6371200000000002E-4</v>
      </c>
      <c r="AH70" s="188">
        <f>[2]CZ_decarbplus_opex!AC70</f>
        <v>3.6824299999999998E-4</v>
      </c>
      <c r="AI70" s="188">
        <f>[2]CZ_decarbplus_opex!AD70</f>
        <v>4.1712699999999999E-4</v>
      </c>
      <c r="AJ70" s="188">
        <f>[2]CZ_decarbplus_opex!AE70</f>
        <v>4.8771699999999998E-4</v>
      </c>
      <c r="AK70" s="188">
        <f>[2]CZ_decarbplus_opex!AF70</f>
        <v>2.2621120000000002E-3</v>
      </c>
      <c r="AL70" s="188">
        <f>[3]CZ_decarb_opex!E70</f>
        <v>0.14937267828621301</v>
      </c>
      <c r="AM70" s="188">
        <f>[3]CZ_decarb_opex!F70</f>
        <v>0.134461538742562</v>
      </c>
      <c r="AN70" s="188">
        <f>[2]CZ_decarbplus_opex!AG70</f>
        <v>2.2892210000000001E-3</v>
      </c>
      <c r="AO70" s="188">
        <f>[3]CZ_decarb_opex!G70</f>
        <v>4.2253605473737701E-4</v>
      </c>
      <c r="AP70" s="188">
        <f>[3]CZ_decarb_opex!H70</f>
        <v>2.5298500185425601E-4</v>
      </c>
      <c r="AQ70" s="188">
        <f>[2]CZ_decarbplus_opex!AH70</f>
        <v>2.5632699999999999E-4</v>
      </c>
      <c r="AR70" s="188">
        <f>[2]CZ_decarbplus_opex!AI70</f>
        <v>0</v>
      </c>
      <c r="AS70" s="188">
        <f>[2]CZ_decarbplus_opex!AJ70</f>
        <v>2.47548E-4</v>
      </c>
      <c r="AT70" s="188">
        <f>[2]CZ_decarbplus_opex!AK70</f>
        <v>2.40201E-4</v>
      </c>
      <c r="AU70" s="188">
        <f>[2]CZ_decarbplus_opex!AL70</f>
        <v>5.8900000000000002E-5</v>
      </c>
      <c r="AV70" s="188">
        <f>[2]CZ_decarbplus_opex!AM70</f>
        <v>5.3900000000000002E-5</v>
      </c>
      <c r="AW70" s="188">
        <f>[2]CZ_decarbplus_opex!AN70</f>
        <v>2.4711699999999999E-4</v>
      </c>
      <c r="AX70" s="188">
        <f>[2]CZ_decarbplus_opex!AO70</f>
        <v>0</v>
      </c>
      <c r="AY70" s="188">
        <f>[2]CZ_decarbplus_opex!AP70</f>
        <v>4.8231700000000001E-4</v>
      </c>
      <c r="AZ70" s="188">
        <f>[2]CZ_decarbplus_opex!AQ70</f>
        <v>0</v>
      </c>
      <c r="BA70" s="188">
        <f>[2]CZ_decarbplus_opex!AR70</f>
        <v>3.6243199999999999E-4</v>
      </c>
      <c r="BB70" s="188">
        <f>[2]CZ_decarbplus_opex!AS70</f>
        <v>3.3336699999999999E-4</v>
      </c>
      <c r="BC70" s="188">
        <f>[2]CZ_decarbplus_opex!AT70</f>
        <v>3.19585E-4</v>
      </c>
      <c r="BD70" s="188">
        <f>[2]CZ_decarbplus_opex!AU70</f>
        <v>1.5713899999999999E-4</v>
      </c>
      <c r="BE70" s="188">
        <f>[2]CZ_decarbplus_opex!AV70</f>
        <v>2.6170499999999999E-4</v>
      </c>
      <c r="BF70" s="188">
        <f>[2]CZ_decarbplus_opex!AW70</f>
        <v>1.62912E-4</v>
      </c>
      <c r="BG70" s="188">
        <f>[2]CZ_decarbplus_opex!AX70</f>
        <v>1.96033E-4</v>
      </c>
      <c r="BH70" s="188">
        <f>[3]CZ_decarb_opex!I70</f>
        <v>2.4482752742497103E-4</v>
      </c>
      <c r="BI70" s="188">
        <f>[2]CZ_decarbplus_opex!AY70</f>
        <v>2.59103E-4</v>
      </c>
      <c r="BJ70" s="188">
        <f>[2]CZ_decarbplus_opex!AZ70</f>
        <v>2.4106799999999999E-4</v>
      </c>
      <c r="BK70" s="188">
        <f>[2]CZ_decarbplus_opex!BA70</f>
        <v>2.2896099999999999E-4</v>
      </c>
      <c r="BL70" s="188">
        <f>[2]CZ_decarbplus_opex!BB70</f>
        <v>0</v>
      </c>
      <c r="BM70" s="188">
        <f>[3]CZ_decarb_opex!J70</f>
        <v>1.5168639457913599E-4</v>
      </c>
      <c r="BN70" s="188">
        <f>[3]CZ_decarb_opex!K70</f>
        <v>1.7490380223197799E-4</v>
      </c>
      <c r="BO70" s="188">
        <f>[3]CZ_decarb_opex!L70</f>
        <v>4.6749185306530302E-5</v>
      </c>
      <c r="BP70" s="188">
        <f>[3]CZ_decarb_opex!M70</f>
        <v>6.2126918091481997E-5</v>
      </c>
      <c r="BQ70" s="188">
        <f>[3]CZ_decarb_opex!N70</f>
        <v>7.6970061505044401E-5</v>
      </c>
      <c r="BR70" s="188">
        <f>[3]CZ_decarb_opex!O70</f>
        <v>1.8245150444857099E-3</v>
      </c>
      <c r="BS70" s="188">
        <f>[3]CZ_decarb_opex!P70</f>
        <v>3.05573509777863E-4</v>
      </c>
      <c r="BT70" s="188">
        <f>[3]CZ_decarb_opex!Q70</f>
        <v>1.6745894111931301E-4</v>
      </c>
      <c r="BU70" s="188">
        <f>[3]CZ_decarb_opex!R70</f>
        <v>4.6471645855372197E-5</v>
      </c>
      <c r="BV70" s="188">
        <f>[3]CZ_decarb_opex!S70</f>
        <v>4.6471645855372299E-5</v>
      </c>
      <c r="BW70" s="188">
        <f>[3]CZ_decarb_opex!T70</f>
        <v>6.5836435406445596E-4</v>
      </c>
      <c r="BX70" s="188">
        <f>[3]CZ_decarb_opex!U70</f>
        <v>4.95166396899552E-5</v>
      </c>
      <c r="BY70" s="188">
        <f>[3]CZ_decarb_opex!V70</f>
        <v>2.1815954152625901E-5</v>
      </c>
      <c r="BZ70" s="188">
        <f>[2]CZ_decarbplus_opex!BC70</f>
        <v>9.7200000000000004E-5</v>
      </c>
      <c r="CA70" s="188">
        <f>[2]CZ_decarbplus_opex!BD70</f>
        <v>7.2399999999999998E-5</v>
      </c>
      <c r="CB70" s="188">
        <f>[2]CZ_decarbplus_opex!BE70</f>
        <v>7.36E-5</v>
      </c>
      <c r="CC70" s="188">
        <f>[2]CZ_decarbplus_opex!BF70</f>
        <v>5.5399999999999998E-5</v>
      </c>
      <c r="CD70" s="188">
        <f>[2]CZ_decarbplus_opex!BG70</f>
        <v>2.7227099999999998E-4</v>
      </c>
      <c r="CE70" s="188">
        <f>[2]CZ_decarbplus_opex!BH70</f>
        <v>2.9516699999999999E-4</v>
      </c>
      <c r="CF70" s="188">
        <f>[2]CZ_decarbplus_opex!BI70</f>
        <v>1.16311E-2</v>
      </c>
      <c r="CG70" s="188">
        <f>[2]CZ_decarbplus_opex!BJ70</f>
        <v>5.0300000000000003E-5</v>
      </c>
    </row>
    <row r="71" spans="1:85" x14ac:dyDescent="0.25">
      <c r="A71" s="5" t="s">
        <v>161</v>
      </c>
      <c r="B71" s="2" t="s">
        <v>160</v>
      </c>
      <c r="C71" s="1" t="s">
        <v>329</v>
      </c>
      <c r="D71" s="187">
        <f>[2]CZ_decarbplus_opex!B71</f>
        <v>3.4499999999999998E-5</v>
      </c>
      <c r="E71" s="187">
        <f>[2]CZ_decarbplus_opex!C71</f>
        <v>1.1600000000000001E-5</v>
      </c>
      <c r="F71" s="187">
        <f>[2]CZ_decarbplus_opex!D71</f>
        <v>1.2799999999999999E-5</v>
      </c>
      <c r="G71" s="187">
        <f>[2]CZ_decarbplus_opex!E71</f>
        <v>2.9399999999999998E-6</v>
      </c>
      <c r="H71" s="187">
        <f>[2]CZ_decarbplus_opex!F71</f>
        <v>4.3000000000000003E-6</v>
      </c>
      <c r="I71" s="187">
        <f>[2]CZ_decarbplus_opex!G71</f>
        <v>1.6399999999999999E-5</v>
      </c>
      <c r="J71" s="187">
        <f>[2]CZ_decarbplus_opex!H71</f>
        <v>3.5800000000000003E-5</v>
      </c>
      <c r="K71" s="187">
        <f>[2]CZ_decarbplus_opex!I71</f>
        <v>9.2599999999999994E-6</v>
      </c>
      <c r="L71" s="187">
        <f>[2]CZ_decarbplus_opex!J71</f>
        <v>1.7399999999999999E-5</v>
      </c>
      <c r="M71" s="187">
        <f>[2]CZ_decarbplus_opex!K71</f>
        <v>4.32E-5</v>
      </c>
      <c r="N71" s="187">
        <f>[2]CZ_decarbplus_opex!L71</f>
        <v>3.4900000000000001E-5</v>
      </c>
      <c r="O71" s="187">
        <f>[2]CZ_decarbplus_opex!M71</f>
        <v>2.8200000000000001E-5</v>
      </c>
      <c r="P71" s="187">
        <f>[2]CZ_decarbplus_opex!N71</f>
        <v>4.3473999999999997E-4</v>
      </c>
      <c r="Q71" s="187">
        <f>[2]CZ_decarbplus_opex!O71</f>
        <v>7.2899999999999997E-5</v>
      </c>
      <c r="R71" s="187">
        <f>[2]CZ_decarbplus_opex!P71</f>
        <v>3.4999999999999997E-5</v>
      </c>
      <c r="S71" s="187">
        <f>[2]CZ_decarbplus_opex!Q71</f>
        <v>2.83E-5</v>
      </c>
      <c r="T71" s="187">
        <f>[2]CZ_decarbplus_opex!R71</f>
        <v>3.7799999999999997E-5</v>
      </c>
      <c r="U71" s="187">
        <f>[2]CZ_decarbplus_opex!S71</f>
        <v>2.55E-5</v>
      </c>
      <c r="V71" s="187">
        <f>[2]CZ_decarbplus_opex!T71</f>
        <v>3.0199999999999999E-5</v>
      </c>
      <c r="W71" s="187">
        <f>[2]CZ_decarbplus_opex!U71</f>
        <v>2.1299999999999999E-5</v>
      </c>
      <c r="X71" s="187">
        <f>[2]CZ_decarbplus_opex!V71</f>
        <v>1.5500000000000001E-5</v>
      </c>
      <c r="Y71" s="187">
        <f>[2]CZ_decarbplus_opex!W71</f>
        <v>1.5699999999999999E-5</v>
      </c>
      <c r="Z71" s="187">
        <f>[2]CZ_decarbplus_opex!X71</f>
        <v>6.69E-5</v>
      </c>
      <c r="AA71" s="187">
        <f>[2]CZ_decarbplus_opex!Y71</f>
        <v>4.3999999999999999E-5</v>
      </c>
      <c r="AB71" s="188">
        <f>[3]CZ_decarb_opex!B71</f>
        <v>3.5252904607789799E-5</v>
      </c>
      <c r="AC71" s="188">
        <f>[3]CZ_decarb_opex!C71</f>
        <v>4.3026698432445299E-5</v>
      </c>
      <c r="AD71" s="188">
        <f>[3]CZ_decarb_opex!D71</f>
        <v>2.40244189461584E-5</v>
      </c>
      <c r="AE71" s="188">
        <f>[2]CZ_decarbplus_opex!Z71</f>
        <v>2.0299999999999999E-5</v>
      </c>
      <c r="AF71" s="188">
        <f>[2]CZ_decarbplus_opex!AA71</f>
        <v>8.4599999999999996E-5</v>
      </c>
      <c r="AG71" s="188">
        <f>[2]CZ_decarbplus_opex!AB71</f>
        <v>9.5799999999999998E-5</v>
      </c>
      <c r="AH71" s="188">
        <f>[2]CZ_decarbplus_opex!AC71</f>
        <v>6.9400000000000006E-5</v>
      </c>
      <c r="AI71" s="188">
        <f>[2]CZ_decarbplus_opex!AD71</f>
        <v>8.2799999999999993E-5</v>
      </c>
      <c r="AJ71" s="188">
        <f>[2]CZ_decarbplus_opex!AE71</f>
        <v>9.1299999999999997E-5</v>
      </c>
      <c r="AK71" s="188">
        <f>[2]CZ_decarbplus_opex!AF71</f>
        <v>4.3712999999999998E-4</v>
      </c>
      <c r="AL71" s="188">
        <f>[3]CZ_decarb_opex!E71</f>
        <v>2.8877782298888401E-2</v>
      </c>
      <c r="AM71" s="188">
        <f>[3]CZ_decarb_opex!F71</f>
        <v>2.6086773455175499E-2</v>
      </c>
      <c r="AN71" s="188">
        <f>[2]CZ_decarbplus_opex!AG71</f>
        <v>4.3364400000000001E-4</v>
      </c>
      <c r="AO71" s="188">
        <f>[3]CZ_decarb_opex!G71</f>
        <v>4.5050856448853403E-5</v>
      </c>
      <c r="AP71" s="188">
        <f>[3]CZ_decarb_opex!H71</f>
        <v>5.0966293030572598E-5</v>
      </c>
      <c r="AQ71" s="188">
        <f>[2]CZ_decarbplus_opex!AH71</f>
        <v>5.2099999999999999E-5</v>
      </c>
      <c r="AR71" s="188">
        <f>[2]CZ_decarbplus_opex!AI71</f>
        <v>0</v>
      </c>
      <c r="AS71" s="188">
        <f>[2]CZ_decarbplus_opex!AJ71</f>
        <v>4.9200000000000003E-5</v>
      </c>
      <c r="AT71" s="188">
        <f>[2]CZ_decarbplus_opex!AK71</f>
        <v>5.0599999999999997E-5</v>
      </c>
      <c r="AU71" s="188">
        <f>[2]CZ_decarbplus_opex!AL71</f>
        <v>1.2E-5</v>
      </c>
      <c r="AV71" s="188">
        <f>[2]CZ_decarbplus_opex!AM71</f>
        <v>1.1E-5</v>
      </c>
      <c r="AW71" s="188">
        <f>[2]CZ_decarbplus_opex!AN71</f>
        <v>5.0899999999999997E-5</v>
      </c>
      <c r="AX71" s="188">
        <f>[2]CZ_decarbplus_opex!AO71</f>
        <v>0</v>
      </c>
      <c r="AY71" s="188">
        <f>[2]CZ_decarbplus_opex!AP71</f>
        <v>5.0399999999999999E-5</v>
      </c>
      <c r="AZ71" s="188">
        <f>[2]CZ_decarbplus_opex!AQ71</f>
        <v>0</v>
      </c>
      <c r="BA71" s="188">
        <f>[2]CZ_decarbplus_opex!AR71</f>
        <v>7.1500000000000003E-5</v>
      </c>
      <c r="BB71" s="188">
        <f>[2]CZ_decarbplus_opex!AS71</f>
        <v>7.0900000000000002E-5</v>
      </c>
      <c r="BC71" s="188">
        <f>[2]CZ_decarbplus_opex!AT71</f>
        <v>6.5199999999999999E-5</v>
      </c>
      <c r="BD71" s="188">
        <f>[2]CZ_decarbplus_opex!AU71</f>
        <v>3.2799999999999998E-5</v>
      </c>
      <c r="BE71" s="188">
        <f>[2]CZ_decarbplus_opex!AV71</f>
        <v>5.3999999999999998E-5</v>
      </c>
      <c r="BF71" s="188">
        <f>[2]CZ_decarbplus_opex!AW71</f>
        <v>4.1699999999999997E-5</v>
      </c>
      <c r="BG71" s="188">
        <f>[2]CZ_decarbplus_opex!AX71</f>
        <v>4.0500000000000002E-5</v>
      </c>
      <c r="BH71" s="188">
        <f>[3]CZ_decarb_opex!I71</f>
        <v>4.9948192686310203E-5</v>
      </c>
      <c r="BI71" s="188">
        <f>[2]CZ_decarbplus_opex!AY71</f>
        <v>5.5300000000000002E-5</v>
      </c>
      <c r="BJ71" s="188">
        <f>[2]CZ_decarbplus_opex!AZ71</f>
        <v>5.0800000000000002E-5</v>
      </c>
      <c r="BK71" s="188">
        <f>[2]CZ_decarbplus_opex!BA71</f>
        <v>4.74E-5</v>
      </c>
      <c r="BL71" s="188">
        <f>[2]CZ_decarbplus_opex!BB71</f>
        <v>0</v>
      </c>
      <c r="BM71" s="188">
        <f>[3]CZ_decarb_opex!J71</f>
        <v>2.4939628197935798E-5</v>
      </c>
      <c r="BN71" s="188">
        <f>[3]CZ_decarb_opex!K71</f>
        <v>3.3132655114363501E-5</v>
      </c>
      <c r="BO71" s="188">
        <f>[3]CZ_decarb_opex!L71</f>
        <v>9.5220649883658898E-6</v>
      </c>
      <c r="BP71" s="188">
        <f>[3]CZ_decarb_opex!M71</f>
        <v>1.1735954883976199E-5</v>
      </c>
      <c r="BQ71" s="188">
        <f>[3]CZ_decarb_opex!N71</f>
        <v>1.51295674489489E-5</v>
      </c>
      <c r="BR71" s="188">
        <f>[3]CZ_decarb_opex!O71</f>
        <v>3.1520299985845303E-4</v>
      </c>
      <c r="BS71" s="188">
        <f>[3]CZ_decarb_opex!P71</f>
        <v>5.83078778595066E-5</v>
      </c>
      <c r="BT71" s="188">
        <f>[3]CZ_decarb_opex!Q71</f>
        <v>4.4649560895554902E-5</v>
      </c>
      <c r="BU71" s="188">
        <f>[3]CZ_decarb_opex!R71</f>
        <v>9.0765493347816995E-6</v>
      </c>
      <c r="BV71" s="188">
        <f>[3]CZ_decarb_opex!S71</f>
        <v>9.0765493347817096E-6</v>
      </c>
      <c r="BW71" s="188">
        <f>[3]CZ_decarb_opex!T71</f>
        <v>4.4911275736089502E-4</v>
      </c>
      <c r="BX71" s="188">
        <f>[3]CZ_decarb_opex!U71</f>
        <v>1.52866298093599E-5</v>
      </c>
      <c r="BY71" s="188">
        <f>[3]CZ_decarb_opex!V71</f>
        <v>1.3290809066799101E-6</v>
      </c>
      <c r="BZ71" s="188">
        <f>[2]CZ_decarbplus_opex!BC71</f>
        <v>1.8499999999999999E-5</v>
      </c>
      <c r="CA71" s="188">
        <f>[2]CZ_decarbplus_opex!BD71</f>
        <v>1.42E-5</v>
      </c>
      <c r="CB71" s="188">
        <f>[2]CZ_decarbplus_opex!BE71</f>
        <v>1.4399999999999999E-5</v>
      </c>
      <c r="CC71" s="188">
        <f>[2]CZ_decarbplus_opex!BF71</f>
        <v>1.1399999999999999E-5</v>
      </c>
      <c r="CD71" s="188">
        <f>[2]CZ_decarbplus_opex!BG71</f>
        <v>5.1400000000000003E-5</v>
      </c>
      <c r="CE71" s="188">
        <f>[2]CZ_decarbplus_opex!BH71</f>
        <v>5.8600000000000001E-5</v>
      </c>
      <c r="CF71" s="188">
        <f>[2]CZ_decarbplus_opex!BI71</f>
        <v>2.185439E-3</v>
      </c>
      <c r="CG71" s="188">
        <f>[2]CZ_decarbplus_opex!BJ71</f>
        <v>9.8200000000000008E-6</v>
      </c>
    </row>
    <row r="72" spans="1:85" x14ac:dyDescent="0.25">
      <c r="A72" s="5" t="s">
        <v>163</v>
      </c>
      <c r="B72" s="2" t="s">
        <v>162</v>
      </c>
      <c r="C72" s="1" t="s">
        <v>329</v>
      </c>
      <c r="D72" s="187">
        <f>[2]CZ_decarbplus_opex!B72</f>
        <v>2.13179E-4</v>
      </c>
      <c r="E72" s="187">
        <f>[2]CZ_decarbplus_opex!C72</f>
        <v>2.7685900000000001E-4</v>
      </c>
      <c r="F72" s="187">
        <f>[2]CZ_decarbplus_opex!D72</f>
        <v>1.5843199999999999E-4</v>
      </c>
      <c r="G72" s="187">
        <f>[2]CZ_decarbplus_opex!E72</f>
        <v>2.5599999999999999E-5</v>
      </c>
      <c r="H72" s="187">
        <f>[2]CZ_decarbplus_opex!F72</f>
        <v>4.6100000000000002E-5</v>
      </c>
      <c r="I72" s="187">
        <f>[2]CZ_decarbplus_opex!G72</f>
        <v>9.0241900000000001E-4</v>
      </c>
      <c r="J72" s="187">
        <f>[2]CZ_decarbplus_opex!H72</f>
        <v>1.3756799999999999E-4</v>
      </c>
      <c r="K72" s="187">
        <f>[2]CZ_decarbplus_opex!I72</f>
        <v>7.7600000000000002E-5</v>
      </c>
      <c r="L72" s="187">
        <f>[2]CZ_decarbplus_opex!J72</f>
        <v>5.0655700000000004E-4</v>
      </c>
      <c r="M72" s="187">
        <f>[2]CZ_decarbplus_opex!K72</f>
        <v>1.2224359999999999E-3</v>
      </c>
      <c r="N72" s="187">
        <f>[2]CZ_decarbplus_opex!L72</f>
        <v>6.89775E-4</v>
      </c>
      <c r="O72" s="187">
        <f>[2]CZ_decarbplus_opex!M72</f>
        <v>1.16474E-4</v>
      </c>
      <c r="P72" s="187">
        <f>[2]CZ_decarbplus_opex!N72</f>
        <v>5.1242700000000002E-3</v>
      </c>
      <c r="Q72" s="187">
        <f>[2]CZ_decarbplus_opex!O72</f>
        <v>3.3827199999999998E-4</v>
      </c>
      <c r="R72" s="187">
        <f>[2]CZ_decarbplus_opex!P72</f>
        <v>3.1942899999999998E-4</v>
      </c>
      <c r="S72" s="187">
        <f>[2]CZ_decarbplus_opex!Q72</f>
        <v>6.3533999999999997E-4</v>
      </c>
      <c r="T72" s="187">
        <f>[2]CZ_decarbplus_opex!R72</f>
        <v>7.0017899999999999E-4</v>
      </c>
      <c r="U72" s="187">
        <f>[2]CZ_decarbplus_opex!S72</f>
        <v>1.0173799999999999E-4</v>
      </c>
      <c r="V72" s="187">
        <f>[2]CZ_decarbplus_opex!T72</f>
        <v>1.17037E-4</v>
      </c>
      <c r="W72" s="187">
        <f>[2]CZ_decarbplus_opex!U72</f>
        <v>9.0099999999999995E-5</v>
      </c>
      <c r="X72" s="187">
        <f>[2]CZ_decarbplus_opex!V72</f>
        <v>6.3499999999999999E-5</v>
      </c>
      <c r="Y72" s="187">
        <f>[2]CZ_decarbplus_opex!W72</f>
        <v>6.9575870000000003E-3</v>
      </c>
      <c r="Z72" s="187">
        <f>[2]CZ_decarbplus_opex!X72</f>
        <v>3.2061749999999999E-3</v>
      </c>
      <c r="AA72" s="187">
        <f>[2]CZ_decarbplus_opex!Y72</f>
        <v>2.1936199999999999E-4</v>
      </c>
      <c r="AB72" s="188">
        <f>[3]CZ_decarb_opex!B72</f>
        <v>2.2817784509342699E-4</v>
      </c>
      <c r="AC72" s="188">
        <f>[3]CZ_decarb_opex!C72</f>
        <v>3.82147073953366E-4</v>
      </c>
      <c r="AD72" s="188">
        <f>[3]CZ_decarb_opex!D72</f>
        <v>4.0669151236746398E-4</v>
      </c>
      <c r="AE72" s="188">
        <f>[2]CZ_decarbplus_opex!Z72</f>
        <v>3.8175600000000002E-4</v>
      </c>
      <c r="AF72" s="188">
        <f>[2]CZ_decarbplus_opex!AA72</f>
        <v>8.9276899999999996E-4</v>
      </c>
      <c r="AG72" s="188">
        <f>[2]CZ_decarbplus_opex!AB72</f>
        <v>3.0346399999999998E-4</v>
      </c>
      <c r="AH72" s="188">
        <f>[2]CZ_decarbplus_opex!AC72</f>
        <v>3.5247427999999997E-2</v>
      </c>
      <c r="AI72" s="188">
        <f>[2]CZ_decarbplus_opex!AD72</f>
        <v>6.5973340000000005E-2</v>
      </c>
      <c r="AJ72" s="188">
        <f>[2]CZ_decarbplus_opex!AE72</f>
        <v>6.5254968999999996E-2</v>
      </c>
      <c r="AK72" s="188">
        <f>[2]CZ_decarbplus_opex!AF72</f>
        <v>0.20061304799999999</v>
      </c>
      <c r="AL72" s="188">
        <f>[3]CZ_decarb_opex!E72</f>
        <v>6.7832194266020995E-2</v>
      </c>
      <c r="AM72" s="188">
        <f>[3]CZ_decarb_opex!F72</f>
        <v>6.1446348995724799E-2</v>
      </c>
      <c r="AN72" s="188">
        <f>[2]CZ_decarbplus_opex!AG72</f>
        <v>0.15219761500000001</v>
      </c>
      <c r="AO72" s="188">
        <f>[3]CZ_decarb_opex!G72</f>
        <v>9.9677363842564596E-4</v>
      </c>
      <c r="AP72" s="188">
        <f>[3]CZ_decarb_opex!H72</f>
        <v>1.1359719222405599E-3</v>
      </c>
      <c r="AQ72" s="188">
        <f>[2]CZ_decarbplus_opex!AH72</f>
        <v>2.7996599999999998E-4</v>
      </c>
      <c r="AR72" s="188">
        <f>[2]CZ_decarbplus_opex!AI72</f>
        <v>0</v>
      </c>
      <c r="AS72" s="188">
        <f>[2]CZ_decarbplus_opex!AJ72</f>
        <v>1.9449968000000002E-2</v>
      </c>
      <c r="AT72" s="188">
        <f>[2]CZ_decarbplus_opex!AK72</f>
        <v>2.3760784E-2</v>
      </c>
      <c r="AU72" s="188">
        <f>[2]CZ_decarbplus_opex!AL72</f>
        <v>4.74E-5</v>
      </c>
      <c r="AV72" s="188">
        <f>[2]CZ_decarbplus_opex!AM72</f>
        <v>4.1999999999999998E-5</v>
      </c>
      <c r="AW72" s="188">
        <f>[2]CZ_decarbplus_opex!AN72</f>
        <v>1.59994E-4</v>
      </c>
      <c r="AX72" s="188">
        <f>[2]CZ_decarbplus_opex!AO72</f>
        <v>0</v>
      </c>
      <c r="AY72" s="188">
        <f>[2]CZ_decarbplus_opex!AP72</f>
        <v>4.2492799999999998E-4</v>
      </c>
      <c r="AZ72" s="188">
        <f>[2]CZ_decarbplus_opex!AQ72</f>
        <v>0</v>
      </c>
      <c r="BA72" s="188">
        <f>[2]CZ_decarbplus_opex!AR72</f>
        <v>9.9276599999999996E-4</v>
      </c>
      <c r="BB72" s="188">
        <f>[2]CZ_decarbplus_opex!AS72</f>
        <v>1.240955E-3</v>
      </c>
      <c r="BC72" s="188">
        <f>[2]CZ_decarbplus_opex!AT72</f>
        <v>1.7159E-3</v>
      </c>
      <c r="BD72" s="188">
        <f>[2]CZ_decarbplus_opex!AU72</f>
        <v>1.14181E-4</v>
      </c>
      <c r="BE72" s="188">
        <f>[2]CZ_decarbplus_opex!AV72</f>
        <v>2.7861230000000002E-3</v>
      </c>
      <c r="BF72" s="188">
        <f>[2]CZ_decarbplus_opex!AW72</f>
        <v>2.1523199999999999E-4</v>
      </c>
      <c r="BG72" s="188">
        <f>[2]CZ_decarbplus_opex!AX72</f>
        <v>7.7439700000000002E-4</v>
      </c>
      <c r="BH72" s="188">
        <f>[3]CZ_decarb_opex!I72</f>
        <v>3.7001503794827399E-4</v>
      </c>
      <c r="BI72" s="188">
        <f>[2]CZ_decarbplus_opex!AY72</f>
        <v>1.0312749999999999E-3</v>
      </c>
      <c r="BJ72" s="188">
        <f>[2]CZ_decarbplus_opex!AZ72</f>
        <v>2.15851E-4</v>
      </c>
      <c r="BK72" s="188">
        <f>[2]CZ_decarbplus_opex!BA72</f>
        <v>6.7172200000000003E-4</v>
      </c>
      <c r="BL72" s="188">
        <f>[2]CZ_decarbplus_opex!BB72</f>
        <v>0</v>
      </c>
      <c r="BM72" s="188">
        <f>[3]CZ_decarb_opex!J72</f>
        <v>1.07517037399245E-4</v>
      </c>
      <c r="BN72" s="188">
        <f>[3]CZ_decarb_opex!K72</f>
        <v>1.28061120760397E-4</v>
      </c>
      <c r="BO72" s="188">
        <f>[3]CZ_decarb_opex!L72</f>
        <v>3.7359507441653502E-5</v>
      </c>
      <c r="BP72" s="188">
        <f>[3]CZ_decarb_opex!M72</f>
        <v>6.5008470155944895E-5</v>
      </c>
      <c r="BQ72" s="188">
        <f>[3]CZ_decarb_opex!N72</f>
        <v>9.2947818615565501E-5</v>
      </c>
      <c r="BR72" s="188">
        <f>[3]CZ_decarb_opex!O72</f>
        <v>4.7811713463229703E-4</v>
      </c>
      <c r="BS72" s="188">
        <f>[3]CZ_decarb_opex!P72</f>
        <v>3.8160624199342702E-4</v>
      </c>
      <c r="BT72" s="188">
        <f>[3]CZ_decarb_opex!Q72</f>
        <v>1.7744483794178999E-5</v>
      </c>
      <c r="BU72" s="188">
        <f>[3]CZ_decarb_opex!R72</f>
        <v>3.0641345521258198E-5</v>
      </c>
      <c r="BV72" s="188">
        <f>[3]CZ_decarb_opex!S72</f>
        <v>3.06413455212583E-5</v>
      </c>
      <c r="BW72" s="188">
        <f>[3]CZ_decarb_opex!T72</f>
        <v>6.9488299515219304E-5</v>
      </c>
      <c r="BX72" s="188">
        <f>[3]CZ_decarb_opex!U72</f>
        <v>7.5323351436103702E-6</v>
      </c>
      <c r="BY72" s="188">
        <f>[3]CZ_decarb_opex!V72</f>
        <v>6.4692264151334903E-6</v>
      </c>
      <c r="BZ72" s="188">
        <f>[2]CZ_decarbplus_opex!BC72</f>
        <v>1.0089E-4</v>
      </c>
      <c r="CA72" s="188">
        <f>[2]CZ_decarbplus_opex!BD72</f>
        <v>9.5000000000000005E-5</v>
      </c>
      <c r="CB72" s="188">
        <f>[2]CZ_decarbplus_opex!BE72</f>
        <v>9.6000000000000002E-5</v>
      </c>
      <c r="CC72" s="188">
        <f>[2]CZ_decarbplus_opex!BF72</f>
        <v>4.88E-5</v>
      </c>
      <c r="CD72" s="188">
        <f>[2]CZ_decarbplus_opex!BG72</f>
        <v>2.6744099999999999E-4</v>
      </c>
      <c r="CE72" s="188">
        <f>[2]CZ_decarbplus_opex!BH72</f>
        <v>9.6909399999999999E-4</v>
      </c>
      <c r="CF72" s="188">
        <f>[2]CZ_decarbplus_opex!BI72</f>
        <v>2.9705080000000002E-3</v>
      </c>
      <c r="CG72" s="188">
        <f>[2]CZ_decarbplus_opex!BJ72</f>
        <v>8.0000000000000007E-5</v>
      </c>
    </row>
    <row r="73" spans="1:85" x14ac:dyDescent="0.25">
      <c r="A73" s="5" t="s">
        <v>165</v>
      </c>
      <c r="B73" s="2" t="s">
        <v>164</v>
      </c>
      <c r="C73" s="1" t="s">
        <v>329</v>
      </c>
      <c r="D73" s="187">
        <f>[2]CZ_decarbplus_opex!B73</f>
        <v>6.9800000000000003E-5</v>
      </c>
      <c r="E73" s="187">
        <f>[2]CZ_decarbplus_opex!C73</f>
        <v>4.3900000000000003E-5</v>
      </c>
      <c r="F73" s="187">
        <f>[2]CZ_decarbplus_opex!D73</f>
        <v>3.7400000000000001E-5</v>
      </c>
      <c r="G73" s="187">
        <f>[2]CZ_decarbplus_opex!E73</f>
        <v>8.3499999999999997E-6</v>
      </c>
      <c r="H73" s="187">
        <f>[2]CZ_decarbplus_opex!F73</f>
        <v>5.6200000000000004E-6</v>
      </c>
      <c r="I73" s="187">
        <f>[2]CZ_decarbplus_opex!G73</f>
        <v>1.0922299999999999E-4</v>
      </c>
      <c r="J73" s="187">
        <f>[2]CZ_decarbplus_opex!H73</f>
        <v>3.3403799999999999E-4</v>
      </c>
      <c r="K73" s="187">
        <f>[2]CZ_decarbplus_opex!I73</f>
        <v>8.4800000000000001E-6</v>
      </c>
      <c r="L73" s="187">
        <f>[2]CZ_decarbplus_opex!J73</f>
        <v>8.5699999999999996E-5</v>
      </c>
      <c r="M73" s="187">
        <f>[2]CZ_decarbplus_opex!K73</f>
        <v>2.46202E-4</v>
      </c>
      <c r="N73" s="187">
        <f>[2]CZ_decarbplus_opex!L73</f>
        <v>1.2403699999999999E-4</v>
      </c>
      <c r="O73" s="187">
        <f>[2]CZ_decarbplus_opex!M73</f>
        <v>4.3558699999999998E-4</v>
      </c>
      <c r="P73" s="187">
        <f>[2]CZ_decarbplus_opex!N73</f>
        <v>2.10168E-4</v>
      </c>
      <c r="Q73" s="187">
        <f>[2]CZ_decarbplus_opex!O73</f>
        <v>5.5300000000000002E-5</v>
      </c>
      <c r="R73" s="187">
        <f>[2]CZ_decarbplus_opex!P73</f>
        <v>9.1700000000000006E-5</v>
      </c>
      <c r="S73" s="187">
        <f>[2]CZ_decarbplus_opex!Q73</f>
        <v>4.3849200000000002E-4</v>
      </c>
      <c r="T73" s="187">
        <f>[2]CZ_decarbplus_opex!R73</f>
        <v>9.0171900000000004E-4</v>
      </c>
      <c r="U73" s="187">
        <f>[2]CZ_decarbplus_opex!S73</f>
        <v>4.45167E-4</v>
      </c>
      <c r="V73" s="187">
        <f>[2]CZ_decarbplus_opex!T73</f>
        <v>2.2815499999999999E-4</v>
      </c>
      <c r="W73" s="187">
        <f>[2]CZ_decarbplus_opex!U73</f>
        <v>3.61617E-4</v>
      </c>
      <c r="X73" s="187">
        <f>[2]CZ_decarbplus_opex!V73</f>
        <v>7.2299999999999996E-5</v>
      </c>
      <c r="Y73" s="187">
        <f>[2]CZ_decarbplus_opex!W73</f>
        <v>1.4157899999999999E-4</v>
      </c>
      <c r="Z73" s="187">
        <f>[2]CZ_decarbplus_opex!X73</f>
        <v>5.8212800000000001E-4</v>
      </c>
      <c r="AA73" s="187">
        <f>[2]CZ_decarbplus_opex!Y73</f>
        <v>1.380392E-3</v>
      </c>
      <c r="AB73" s="188">
        <f>[3]CZ_decarb_opex!B73</f>
        <v>8.2209885105279906E-5</v>
      </c>
      <c r="AC73" s="188">
        <f>[3]CZ_decarb_opex!C73</f>
        <v>2.3040490317185501E-4</v>
      </c>
      <c r="AD73" s="188">
        <f>[3]CZ_decarb_opex!D73</f>
        <v>2.1033868188510599E-4</v>
      </c>
      <c r="AE73" s="188">
        <f>[2]CZ_decarbplus_opex!Z73</f>
        <v>1.81039E-4</v>
      </c>
      <c r="AF73" s="188">
        <f>[2]CZ_decarbplus_opex!AA73</f>
        <v>7.8177800000000001E-4</v>
      </c>
      <c r="AG73" s="188">
        <f>[2]CZ_decarbplus_opex!AB73</f>
        <v>1.641287E-3</v>
      </c>
      <c r="AH73" s="188">
        <f>[2]CZ_decarbplus_opex!AC73</f>
        <v>2.43821E-4</v>
      </c>
      <c r="AI73" s="188">
        <f>[2]CZ_decarbplus_opex!AD73</f>
        <v>3.3080199999999999E-4</v>
      </c>
      <c r="AJ73" s="188">
        <f>[2]CZ_decarbplus_opex!AE73</f>
        <v>2.4259300000000001E-4</v>
      </c>
      <c r="AK73" s="188">
        <f>[2]CZ_decarbplus_opex!AF73</f>
        <v>3.7314100000000001E-4</v>
      </c>
      <c r="AL73" s="188">
        <f>[3]CZ_decarb_opex!E73</f>
        <v>1.3711388812176E-3</v>
      </c>
      <c r="AM73" s="188">
        <f>[3]CZ_decarb_opex!F73</f>
        <v>1.22205286226133E-3</v>
      </c>
      <c r="AN73" s="188">
        <f>[2]CZ_decarbplus_opex!AG73</f>
        <v>1.067681E-3</v>
      </c>
      <c r="AO73" s="188">
        <f>[3]CZ_decarb_opex!G73</f>
        <v>8.0744457062183E-2</v>
      </c>
      <c r="AP73" s="188">
        <f>[3]CZ_decarb_opex!H73</f>
        <v>9.1472464956099994E-2</v>
      </c>
      <c r="AQ73" s="188">
        <f>[2]CZ_decarbplus_opex!AH73</f>
        <v>1.1246446E-2</v>
      </c>
      <c r="AR73" s="188">
        <f>[2]CZ_decarbplus_opex!AI73</f>
        <v>0</v>
      </c>
      <c r="AS73" s="188">
        <f>[2]CZ_decarbplus_opex!AJ73</f>
        <v>8.1897580000000001E-3</v>
      </c>
      <c r="AT73" s="188">
        <f>[2]CZ_decarbplus_opex!AK73</f>
        <v>6.3239589999999997E-3</v>
      </c>
      <c r="AU73" s="188">
        <f>[2]CZ_decarbplus_opex!AL73</f>
        <v>1.8705100000000001E-4</v>
      </c>
      <c r="AV73" s="188">
        <f>[2]CZ_decarbplus_opex!AM73</f>
        <v>1.35656E-4</v>
      </c>
      <c r="AW73" s="188">
        <f>[2]CZ_decarbplus_opex!AN73</f>
        <v>3.229581E-3</v>
      </c>
      <c r="AX73" s="188">
        <f>[2]CZ_decarbplus_opex!AO73</f>
        <v>0</v>
      </c>
      <c r="AY73" s="188">
        <f>[2]CZ_decarbplus_opex!AP73</f>
        <v>3.712187E-3</v>
      </c>
      <c r="AZ73" s="188">
        <f>[2]CZ_decarbplus_opex!AQ73</f>
        <v>0</v>
      </c>
      <c r="BA73" s="188">
        <f>[2]CZ_decarbplus_opex!AR73</f>
        <v>5.5974673000000003E-2</v>
      </c>
      <c r="BB73" s="188">
        <f>[2]CZ_decarbplus_opex!AS73</f>
        <v>2.4749489999999999E-2</v>
      </c>
      <c r="BC73" s="188">
        <f>[2]CZ_decarbplus_opex!AT73</f>
        <v>2.5519822000000001E-2</v>
      </c>
      <c r="BD73" s="188">
        <f>[2]CZ_decarbplus_opex!AU73</f>
        <v>2.5674200000000002E-4</v>
      </c>
      <c r="BE73" s="188">
        <f>[2]CZ_decarbplus_opex!AV73</f>
        <v>1.6142452000000002E-2</v>
      </c>
      <c r="BF73" s="188">
        <f>[2]CZ_decarbplus_opex!AW73</f>
        <v>2.3090299999999999E-4</v>
      </c>
      <c r="BG73" s="188">
        <f>[2]CZ_decarbplus_opex!AX73</f>
        <v>2.114758E-3</v>
      </c>
      <c r="BH73" s="188">
        <f>[3]CZ_decarb_opex!I73</f>
        <v>6.2194365075736203E-3</v>
      </c>
      <c r="BI73" s="188">
        <f>[2]CZ_decarbplus_opex!AY73</f>
        <v>1.9938232E-2</v>
      </c>
      <c r="BJ73" s="188">
        <f>[2]CZ_decarbplus_opex!AZ73</f>
        <v>7.3013380000000001E-3</v>
      </c>
      <c r="BK73" s="188">
        <f>[2]CZ_decarbplus_opex!BA73</f>
        <v>8.1315428999999995E-2</v>
      </c>
      <c r="BL73" s="188">
        <f>[2]CZ_decarbplus_opex!BB73</f>
        <v>0</v>
      </c>
      <c r="BM73" s="188">
        <f>[3]CZ_decarb_opex!J73</f>
        <v>5.1633938331711599E-4</v>
      </c>
      <c r="BN73" s="188">
        <f>[3]CZ_decarb_opex!K73</f>
        <v>9.0181707925569398E-4</v>
      </c>
      <c r="BO73" s="188">
        <f>[3]CZ_decarb_opex!L73</f>
        <v>6.72890672352809E-5</v>
      </c>
      <c r="BP73" s="188">
        <f>[3]CZ_decarb_opex!M73</f>
        <v>1.11595263486389E-4</v>
      </c>
      <c r="BQ73" s="188">
        <f>[3]CZ_decarb_opex!N73</f>
        <v>1.06460225429765E-4</v>
      </c>
      <c r="BR73" s="188">
        <f>[3]CZ_decarb_opex!O73</f>
        <v>1.2278883803686E-3</v>
      </c>
      <c r="BS73" s="188">
        <f>[3]CZ_decarb_opex!P73</f>
        <v>9.5417962627337202E-4</v>
      </c>
      <c r="BT73" s="188">
        <f>[3]CZ_decarb_opex!Q73</f>
        <v>6.3920031629681104E-4</v>
      </c>
      <c r="BU73" s="188">
        <f>[3]CZ_decarb_opex!R73</f>
        <v>1.7095589690078399E-5</v>
      </c>
      <c r="BV73" s="188">
        <f>[3]CZ_decarb_opex!S73</f>
        <v>1.7095589690078399E-5</v>
      </c>
      <c r="BW73" s="188">
        <f>[3]CZ_decarb_opex!T73</f>
        <v>9.3440510585250606E-5</v>
      </c>
      <c r="BX73" s="188">
        <f>[3]CZ_decarb_opex!U73</f>
        <v>1.40087304032452E-5</v>
      </c>
      <c r="BY73" s="188">
        <f>[3]CZ_decarb_opex!V73</f>
        <v>3.8266351879052598E-5</v>
      </c>
      <c r="BZ73" s="188">
        <f>[2]CZ_decarbplus_opex!BC73</f>
        <v>3.3632399999999999E-4</v>
      </c>
      <c r="CA73" s="188">
        <f>[2]CZ_decarbplus_opex!BD73</f>
        <v>1.07314E-4</v>
      </c>
      <c r="CB73" s="188">
        <f>[2]CZ_decarbplus_opex!BE73</f>
        <v>1.04843E-4</v>
      </c>
      <c r="CC73" s="188">
        <f>[2]CZ_decarbplus_opex!BF73</f>
        <v>3.45397E-4</v>
      </c>
      <c r="CD73" s="188">
        <f>[2]CZ_decarbplus_opex!BG73</f>
        <v>6.5161699999999995E-4</v>
      </c>
      <c r="CE73" s="188">
        <f>[2]CZ_decarbplus_opex!BH73</f>
        <v>5.4437799999999998E-4</v>
      </c>
      <c r="CF73" s="188">
        <f>[2]CZ_decarbplus_opex!BI73</f>
        <v>1.4200339999999999E-3</v>
      </c>
      <c r="CG73" s="188">
        <f>[2]CZ_decarbplus_opex!BJ73</f>
        <v>1.0857300000000001E-4</v>
      </c>
    </row>
    <row r="74" spans="1:85" x14ac:dyDescent="0.25">
      <c r="A74" s="5" t="s">
        <v>167</v>
      </c>
      <c r="B74" s="2" t="s">
        <v>166</v>
      </c>
      <c r="C74" s="1" t="s">
        <v>329</v>
      </c>
      <c r="D74" s="187">
        <f>[2]CZ_decarbplus_opex!B74</f>
        <v>7.1000000000000005E-5</v>
      </c>
      <c r="E74" s="187">
        <f>[2]CZ_decarbplus_opex!C74</f>
        <v>2.5599999999999999E-5</v>
      </c>
      <c r="F74" s="187">
        <f>[2]CZ_decarbplus_opex!D74</f>
        <v>1.56E-5</v>
      </c>
      <c r="G74" s="187">
        <f>[2]CZ_decarbplus_opex!E74</f>
        <v>1.44E-6</v>
      </c>
      <c r="H74" s="187">
        <f>[2]CZ_decarbplus_opex!F74</f>
        <v>3.4800000000000001E-6</v>
      </c>
      <c r="I74" s="187">
        <f>[2]CZ_decarbplus_opex!G74</f>
        <v>6.4599999999999998E-5</v>
      </c>
      <c r="J74" s="187">
        <f>[2]CZ_decarbplus_opex!H74</f>
        <v>4.9200000000000003E-5</v>
      </c>
      <c r="K74" s="187">
        <f>[2]CZ_decarbplus_opex!I74</f>
        <v>4.5499999999999996E-6</v>
      </c>
      <c r="L74" s="187">
        <f>[2]CZ_decarbplus_opex!J74</f>
        <v>4.3000000000000002E-5</v>
      </c>
      <c r="M74" s="187">
        <f>[2]CZ_decarbplus_opex!K74</f>
        <v>1.37472E-4</v>
      </c>
      <c r="N74" s="187">
        <f>[2]CZ_decarbplus_opex!L74</f>
        <v>6.3899999999999995E-5</v>
      </c>
      <c r="O74" s="187">
        <f>[2]CZ_decarbplus_opex!M74</f>
        <v>2.26827E-4</v>
      </c>
      <c r="P74" s="187">
        <f>[2]CZ_decarbplus_opex!N74</f>
        <v>1.18941E-4</v>
      </c>
      <c r="Q74" s="187">
        <f>[2]CZ_decarbplus_opex!O74</f>
        <v>2.55E-5</v>
      </c>
      <c r="R74" s="187">
        <f>[2]CZ_decarbplus_opex!P74</f>
        <v>4.21E-5</v>
      </c>
      <c r="S74" s="187">
        <f>[2]CZ_decarbplus_opex!Q74</f>
        <v>2.4388400000000001E-4</v>
      </c>
      <c r="T74" s="187">
        <f>[2]CZ_decarbplus_opex!R74</f>
        <v>5.55865E-4</v>
      </c>
      <c r="U74" s="187">
        <f>[2]CZ_decarbplus_opex!S74</f>
        <v>2.60766E-4</v>
      </c>
      <c r="V74" s="187">
        <f>[2]CZ_decarbplus_opex!T74</f>
        <v>9.8999999999999994E-5</v>
      </c>
      <c r="W74" s="187">
        <f>[2]CZ_decarbplus_opex!U74</f>
        <v>1.9688799999999999E-4</v>
      </c>
      <c r="X74" s="187">
        <f>[2]CZ_decarbplus_opex!V74</f>
        <v>4.4299999999999999E-5</v>
      </c>
      <c r="Y74" s="187">
        <f>[2]CZ_decarbplus_opex!W74</f>
        <v>6.3800000000000006E-5</v>
      </c>
      <c r="Z74" s="187">
        <f>[2]CZ_decarbplus_opex!X74</f>
        <v>3.6772399999999999E-4</v>
      </c>
      <c r="AA74" s="187">
        <f>[2]CZ_decarbplus_opex!Y74</f>
        <v>6.4627900000000004E-4</v>
      </c>
      <c r="AB74" s="188">
        <f>[3]CZ_decarb_opex!B74</f>
        <v>2.3434888237944002E-5</v>
      </c>
      <c r="AC74" s="188">
        <f>[3]CZ_decarb_opex!C74</f>
        <v>6.12612839228334E-5</v>
      </c>
      <c r="AD74" s="188">
        <f>[3]CZ_decarb_opex!D74</f>
        <v>7.8473932878503997E-5</v>
      </c>
      <c r="AE74" s="188">
        <f>[2]CZ_decarbplus_opex!Z74</f>
        <v>7.5699999999999997E-5</v>
      </c>
      <c r="AF74" s="188">
        <f>[2]CZ_decarbplus_opex!AA74</f>
        <v>3.8081500000000001E-4</v>
      </c>
      <c r="AG74" s="188">
        <f>[2]CZ_decarbplus_opex!AB74</f>
        <v>7.7777499999999997E-4</v>
      </c>
      <c r="AH74" s="188">
        <f>[2]CZ_decarbplus_opex!AC74</f>
        <v>1.2599700000000001E-4</v>
      </c>
      <c r="AI74" s="188">
        <f>[2]CZ_decarbplus_opex!AD74</f>
        <v>1.6508500000000001E-4</v>
      </c>
      <c r="AJ74" s="188">
        <f>[2]CZ_decarbplus_opex!AE74</f>
        <v>1.24015E-4</v>
      </c>
      <c r="AK74" s="188">
        <f>[2]CZ_decarbplus_opex!AF74</f>
        <v>1.89865E-4</v>
      </c>
      <c r="AL74" s="188">
        <f>[3]CZ_decarb_opex!E74</f>
        <v>6.5942450289757995E-4</v>
      </c>
      <c r="AM74" s="188">
        <f>[3]CZ_decarb_opex!F74</f>
        <v>5.8811940732029599E-4</v>
      </c>
      <c r="AN74" s="188">
        <f>[2]CZ_decarbplus_opex!AG74</f>
        <v>5.1941599999999997E-4</v>
      </c>
      <c r="AO74" s="188">
        <f>[3]CZ_decarb_opex!G74</f>
        <v>3.8264487147094399E-2</v>
      </c>
      <c r="AP74" s="188">
        <f>[3]CZ_decarb_opex!H74</f>
        <v>4.3348898814086698E-2</v>
      </c>
      <c r="AQ74" s="188">
        <f>[2]CZ_decarbplus_opex!AH74</f>
        <v>5.3217890000000004E-3</v>
      </c>
      <c r="AR74" s="188">
        <f>[2]CZ_decarbplus_opex!AI74</f>
        <v>0</v>
      </c>
      <c r="AS74" s="188">
        <f>[2]CZ_decarbplus_opex!AJ74</f>
        <v>3.9084599999999999E-3</v>
      </c>
      <c r="AT74" s="188">
        <f>[2]CZ_decarbplus_opex!AK74</f>
        <v>3.0096480000000002E-3</v>
      </c>
      <c r="AU74" s="188">
        <f>[2]CZ_decarbplus_opex!AL74</f>
        <v>9.2100000000000003E-5</v>
      </c>
      <c r="AV74" s="188">
        <f>[2]CZ_decarbplus_opex!AM74</f>
        <v>6.2399999999999999E-5</v>
      </c>
      <c r="AW74" s="188">
        <f>[2]CZ_decarbplus_opex!AN74</f>
        <v>1.554136E-3</v>
      </c>
      <c r="AX74" s="188">
        <f>[2]CZ_decarbplus_opex!AO74</f>
        <v>0</v>
      </c>
      <c r="AY74" s="188">
        <f>[2]CZ_decarbplus_opex!AP74</f>
        <v>1.7116430000000001E-3</v>
      </c>
      <c r="AZ74" s="188">
        <f>[2]CZ_decarbplus_opex!AQ74</f>
        <v>0</v>
      </c>
      <c r="BA74" s="188">
        <f>[2]CZ_decarbplus_opex!AR74</f>
        <v>2.6564634E-2</v>
      </c>
      <c r="BB74" s="188">
        <f>[2]CZ_decarbplus_opex!AS74</f>
        <v>1.168133E-2</v>
      </c>
      <c r="BC74" s="188">
        <f>[2]CZ_decarbplus_opex!AT74</f>
        <v>1.2074550999999999E-2</v>
      </c>
      <c r="BD74" s="188">
        <f>[2]CZ_decarbplus_opex!AU74</f>
        <v>1.19852E-4</v>
      </c>
      <c r="BE74" s="188">
        <f>[2]CZ_decarbplus_opex!AV74</f>
        <v>7.6618449999999996E-3</v>
      </c>
      <c r="BF74" s="188">
        <f>[2]CZ_decarbplus_opex!AW74</f>
        <v>1.02138E-4</v>
      </c>
      <c r="BG74" s="188">
        <f>[2]CZ_decarbplus_opex!AX74</f>
        <v>9.9728399999999997E-4</v>
      </c>
      <c r="BH74" s="188">
        <f>[3]CZ_decarb_opex!I74</f>
        <v>2.9570541983872101E-3</v>
      </c>
      <c r="BI74" s="188">
        <f>[2]CZ_decarbplus_opex!AY74</f>
        <v>9.4803969999999998E-3</v>
      </c>
      <c r="BJ74" s="188">
        <f>[2]CZ_decarbplus_opex!AZ74</f>
        <v>3.4514609999999999E-3</v>
      </c>
      <c r="BK74" s="188">
        <f>[2]CZ_decarbplus_opex!BA74</f>
        <v>3.8569724E-2</v>
      </c>
      <c r="BL74" s="188">
        <f>[2]CZ_decarbplus_opex!BB74</f>
        <v>0</v>
      </c>
      <c r="BM74" s="188">
        <f>[3]CZ_decarb_opex!J74</f>
        <v>3.7153578291141E-4</v>
      </c>
      <c r="BN74" s="188">
        <f>[3]CZ_decarb_opex!K74</f>
        <v>6.5106237413209498E-4</v>
      </c>
      <c r="BO74" s="188">
        <f>[3]CZ_decarb_opex!L74</f>
        <v>4.1330898842490603E-5</v>
      </c>
      <c r="BP74" s="188">
        <f>[3]CZ_decarb_opex!M74</f>
        <v>7.4063263186285901E-5</v>
      </c>
      <c r="BQ74" s="188">
        <f>[3]CZ_decarb_opex!N74</f>
        <v>7.0347684173982601E-5</v>
      </c>
      <c r="BR74" s="188">
        <f>[3]CZ_decarb_opex!O74</f>
        <v>4.9547859264665705E-4</v>
      </c>
      <c r="BS74" s="188">
        <f>[3]CZ_decarb_opex!P74</f>
        <v>7.0971671469784202E-4</v>
      </c>
      <c r="BT74" s="188">
        <f>[3]CZ_decarb_opex!Q74</f>
        <v>1.40891249272068E-4</v>
      </c>
      <c r="BU74" s="188">
        <f>[3]CZ_decarb_opex!R74</f>
        <v>1.0439632655583901E-5</v>
      </c>
      <c r="BV74" s="188">
        <f>[3]CZ_decarb_opex!S74</f>
        <v>1.0439632655583901E-5</v>
      </c>
      <c r="BW74" s="188">
        <f>[3]CZ_decarb_opex!T74</f>
        <v>2.12510103323914E-4</v>
      </c>
      <c r="BX74" s="188">
        <f>[3]CZ_decarb_opex!U74</f>
        <v>1.03027707416684E-5</v>
      </c>
      <c r="BY74" s="188">
        <f>[3]CZ_decarb_opex!V74</f>
        <v>2.1122474607704302E-5</v>
      </c>
      <c r="BZ74" s="188">
        <f>[2]CZ_decarbplus_opex!BC74</f>
        <v>2.4526000000000002E-4</v>
      </c>
      <c r="CA74" s="188">
        <f>[2]CZ_decarbplus_opex!BD74</f>
        <v>4.6699999999999997E-5</v>
      </c>
      <c r="CB74" s="188">
        <f>[2]CZ_decarbplus_opex!BE74</f>
        <v>4.7700000000000001E-5</v>
      </c>
      <c r="CC74" s="188">
        <f>[2]CZ_decarbplus_opex!BF74</f>
        <v>1.02583E-4</v>
      </c>
      <c r="CD74" s="188">
        <f>[2]CZ_decarbplus_opex!BG74</f>
        <v>4.1886199999999999E-4</v>
      </c>
      <c r="CE74" s="188">
        <f>[2]CZ_decarbplus_opex!BH74</f>
        <v>2.8723799999999999E-4</v>
      </c>
      <c r="CF74" s="188">
        <f>[2]CZ_decarbplus_opex!BI74</f>
        <v>6.9038499999999996E-4</v>
      </c>
      <c r="CG74" s="188">
        <f>[2]CZ_decarbplus_opex!BJ74</f>
        <v>5.2099999999999999E-5</v>
      </c>
    </row>
    <row r="75" spans="1:85" x14ac:dyDescent="0.25">
      <c r="A75" s="5" t="s">
        <v>169</v>
      </c>
      <c r="B75" s="2" t="s">
        <v>168</v>
      </c>
      <c r="C75" s="1" t="s">
        <v>329</v>
      </c>
      <c r="D75" s="187">
        <f>[2]CZ_decarbplus_opex!B75</f>
        <v>3.3000000000000003E-5</v>
      </c>
      <c r="E75" s="187">
        <f>[2]CZ_decarbplus_opex!C75</f>
        <v>1.2099999999999999E-5</v>
      </c>
      <c r="F75" s="187">
        <f>[2]CZ_decarbplus_opex!D75</f>
        <v>1.08E-5</v>
      </c>
      <c r="G75" s="187">
        <f>[2]CZ_decarbplus_opex!E75</f>
        <v>1.48E-6</v>
      </c>
      <c r="H75" s="187">
        <f>[2]CZ_decarbplus_opex!F75</f>
        <v>2.6900000000000001E-6</v>
      </c>
      <c r="I75" s="187">
        <f>[2]CZ_decarbplus_opex!G75</f>
        <v>2.05E-5</v>
      </c>
      <c r="J75" s="187">
        <f>[2]CZ_decarbplus_opex!H75</f>
        <v>2.0699999999999998E-5</v>
      </c>
      <c r="K75" s="187">
        <f>[2]CZ_decarbplus_opex!I75</f>
        <v>3.2100000000000002E-6</v>
      </c>
      <c r="L75" s="187">
        <f>[2]CZ_decarbplus_opex!J75</f>
        <v>1.4800000000000001E-5</v>
      </c>
      <c r="M75" s="187">
        <f>[2]CZ_decarbplus_opex!K75</f>
        <v>3.4100000000000002E-5</v>
      </c>
      <c r="N75" s="187">
        <f>[2]CZ_decarbplus_opex!L75</f>
        <v>5.1900000000000001E-5</v>
      </c>
      <c r="O75" s="187">
        <f>[2]CZ_decarbplus_opex!M75</f>
        <v>2.3900000000000002E-5</v>
      </c>
      <c r="P75" s="187">
        <f>[2]CZ_decarbplus_opex!N75</f>
        <v>4.4400000000000002E-5</v>
      </c>
      <c r="Q75" s="187">
        <f>[2]CZ_decarbplus_opex!O75</f>
        <v>2.0000000000000002E-5</v>
      </c>
      <c r="R75" s="187">
        <f>[2]CZ_decarbplus_opex!P75</f>
        <v>1.9000000000000001E-5</v>
      </c>
      <c r="S75" s="187">
        <f>[2]CZ_decarbplus_opex!Q75</f>
        <v>6.41E-5</v>
      </c>
      <c r="T75" s="187">
        <f>[2]CZ_decarbplus_opex!R75</f>
        <v>1.56057E-4</v>
      </c>
      <c r="U75" s="187">
        <f>[2]CZ_decarbplus_opex!S75</f>
        <v>8.1899999999999999E-5</v>
      </c>
      <c r="V75" s="187">
        <f>[2]CZ_decarbplus_opex!T75</f>
        <v>4.2500000000000003E-5</v>
      </c>
      <c r="W75" s="187">
        <f>[2]CZ_decarbplus_opex!U75</f>
        <v>5.4700000000000001E-5</v>
      </c>
      <c r="X75" s="187">
        <f>[2]CZ_decarbplus_opex!V75</f>
        <v>1.8700000000000001E-5</v>
      </c>
      <c r="Y75" s="187">
        <f>[2]CZ_decarbplus_opex!W75</f>
        <v>1.3499999999999999E-5</v>
      </c>
      <c r="Z75" s="187">
        <f>[2]CZ_decarbplus_opex!X75</f>
        <v>1.2746599999999999E-4</v>
      </c>
      <c r="AA75" s="187">
        <f>[2]CZ_decarbplus_opex!Y75</f>
        <v>5.7899999999999998E-5</v>
      </c>
      <c r="AB75" s="188">
        <f>[3]CZ_decarb_opex!B75</f>
        <v>7.9378699999555104E-5</v>
      </c>
      <c r="AC75" s="188">
        <f>[3]CZ_decarb_opex!C75</f>
        <v>1.3264968348479099E-4</v>
      </c>
      <c r="AD75" s="188">
        <f>[3]CZ_decarb_opex!D75</f>
        <v>4.2160929128266E-5</v>
      </c>
      <c r="AE75" s="188">
        <f>[2]CZ_decarbplus_opex!Z75</f>
        <v>3.3300000000000003E-5</v>
      </c>
      <c r="AF75" s="188">
        <f>[2]CZ_decarbplus_opex!AA75</f>
        <v>3.3915799999999999E-4</v>
      </c>
      <c r="AG75" s="188">
        <f>[2]CZ_decarbplus_opex!AB75</f>
        <v>9.2399999999999996E-5</v>
      </c>
      <c r="AH75" s="188">
        <f>[2]CZ_decarbplus_opex!AC75</f>
        <v>5.4299999999999998E-5</v>
      </c>
      <c r="AI75" s="188">
        <f>[2]CZ_decarbplus_opex!AD75</f>
        <v>5.4599999999999999E-5</v>
      </c>
      <c r="AJ75" s="188">
        <f>[2]CZ_decarbplus_opex!AE75</f>
        <v>5.2599999999999998E-5</v>
      </c>
      <c r="AK75" s="188">
        <f>[2]CZ_decarbplus_opex!AF75</f>
        <v>6.5199999999999999E-5</v>
      </c>
      <c r="AL75" s="188">
        <f>[3]CZ_decarb_opex!E75</f>
        <v>3.8111883365890102E-5</v>
      </c>
      <c r="AM75" s="188">
        <f>[3]CZ_decarb_opex!F75</f>
        <v>4.6658506987569601E-5</v>
      </c>
      <c r="AN75" s="188">
        <f>[2]CZ_decarbplus_opex!AG75</f>
        <v>7.1099999999999994E-5</v>
      </c>
      <c r="AO75" s="188">
        <f>[3]CZ_decarb_opex!G75</f>
        <v>1.4137271464666399E-4</v>
      </c>
      <c r="AP75" s="188">
        <f>[3]CZ_decarb_opex!H75</f>
        <v>1.37746433714706E-4</v>
      </c>
      <c r="AQ75" s="188">
        <f>[2]CZ_decarbplus_opex!AH75</f>
        <v>0.17711449900000001</v>
      </c>
      <c r="AR75" s="188">
        <f>[2]CZ_decarbplus_opex!AI75</f>
        <v>0</v>
      </c>
      <c r="AS75" s="188">
        <f>[2]CZ_decarbplus_opex!AJ75</f>
        <v>1.49433E-4</v>
      </c>
      <c r="AT75" s="188">
        <f>[2]CZ_decarbplus_opex!AK75</f>
        <v>1.09885E-4</v>
      </c>
      <c r="AU75" s="188">
        <f>[2]CZ_decarbplus_opex!AL75</f>
        <v>3.7499999999999997E-5</v>
      </c>
      <c r="AV75" s="188">
        <f>[2]CZ_decarbplus_opex!AM75</f>
        <v>2.8900000000000001E-5</v>
      </c>
      <c r="AW75" s="188">
        <f>[2]CZ_decarbplus_opex!AN75</f>
        <v>1.02692E-4</v>
      </c>
      <c r="AX75" s="188">
        <f>[2]CZ_decarbplus_opex!AO75</f>
        <v>0</v>
      </c>
      <c r="AY75" s="188">
        <f>[2]CZ_decarbplus_opex!AP75</f>
        <v>1.56809E-4</v>
      </c>
      <c r="AZ75" s="188">
        <f>[2]CZ_decarbplus_opex!AQ75</f>
        <v>0</v>
      </c>
      <c r="BA75" s="188">
        <f>[2]CZ_decarbplus_opex!AR75</f>
        <v>2.8521689999999999E-2</v>
      </c>
      <c r="BB75" s="188">
        <f>[2]CZ_decarbplus_opex!AS75</f>
        <v>3.7446700000000002E-4</v>
      </c>
      <c r="BC75" s="188">
        <f>[2]CZ_decarbplus_opex!AT75</f>
        <v>4.8566599999999999E-4</v>
      </c>
      <c r="BD75" s="188">
        <f>[2]CZ_decarbplus_opex!AU75</f>
        <v>3.2400000000000001E-5</v>
      </c>
      <c r="BE75" s="188">
        <f>[2]CZ_decarbplus_opex!AV75</f>
        <v>2.3217499999999999E-4</v>
      </c>
      <c r="BF75" s="188">
        <f>[2]CZ_decarbplus_opex!AW75</f>
        <v>3.1900000000000003E-5</v>
      </c>
      <c r="BG75" s="188">
        <f>[2]CZ_decarbplus_opex!AX75</f>
        <v>6.1727500000000003E-4</v>
      </c>
      <c r="BH75" s="188">
        <f>[3]CZ_decarb_opex!I75</f>
        <v>5.85338013947898E-5</v>
      </c>
      <c r="BI75" s="188">
        <f>[2]CZ_decarbplus_opex!AY75</f>
        <v>1.8202100000000001E-4</v>
      </c>
      <c r="BJ75" s="188">
        <f>[2]CZ_decarbplus_opex!AZ75</f>
        <v>3.4224540000000001E-3</v>
      </c>
      <c r="BK75" s="188">
        <f>[2]CZ_decarbplus_opex!BA75</f>
        <v>3.0333249999999999E-3</v>
      </c>
      <c r="BL75" s="188">
        <f>[2]CZ_decarbplus_opex!BB75</f>
        <v>0</v>
      </c>
      <c r="BM75" s="188">
        <f>[3]CZ_decarb_opex!J75</f>
        <v>1.11174648293529E-4</v>
      </c>
      <c r="BN75" s="188">
        <f>[3]CZ_decarb_opex!K75</f>
        <v>2.2449300693183101E-4</v>
      </c>
      <c r="BO75" s="188">
        <f>[3]CZ_decarb_opex!L75</f>
        <v>1.46862184936399E-5</v>
      </c>
      <c r="BP75" s="188">
        <f>[3]CZ_decarb_opex!M75</f>
        <v>4.8980379473657597E-5</v>
      </c>
      <c r="BQ75" s="188">
        <f>[3]CZ_decarb_opex!N75</f>
        <v>6.5432675878094505E-5</v>
      </c>
      <c r="BR75" s="188">
        <f>[3]CZ_decarb_opex!O75</f>
        <v>1.4883156345243201E-5</v>
      </c>
      <c r="BS75" s="188">
        <f>[3]CZ_decarb_opex!P75</f>
        <v>2.23083075881263E-4</v>
      </c>
      <c r="BT75" s="188">
        <f>[3]CZ_decarb_opex!Q75</f>
        <v>1.8879571229497399E-5</v>
      </c>
      <c r="BU75" s="188">
        <f>[3]CZ_decarb_opex!R75</f>
        <v>3.89755449213673E-6</v>
      </c>
      <c r="BV75" s="188">
        <f>[3]CZ_decarb_opex!S75</f>
        <v>3.8975544921367402E-6</v>
      </c>
      <c r="BW75" s="188">
        <f>[3]CZ_decarb_opex!T75</f>
        <v>3.0121470694630501E-5</v>
      </c>
      <c r="BX75" s="188">
        <f>[3]CZ_decarb_opex!U75</f>
        <v>4.7132545535384597E-6</v>
      </c>
      <c r="BY75" s="188">
        <f>[3]CZ_decarb_opex!V75</f>
        <v>2.3819706953741099E-5</v>
      </c>
      <c r="BZ75" s="188">
        <f>[2]CZ_decarbplus_opex!BC75</f>
        <v>8.6100000000000006E-5</v>
      </c>
      <c r="CA75" s="188">
        <f>[2]CZ_decarbplus_opex!BD75</f>
        <v>2.0100000000000001E-5</v>
      </c>
      <c r="CB75" s="188">
        <f>[2]CZ_decarbplus_opex!BE75</f>
        <v>1.77E-5</v>
      </c>
      <c r="CC75" s="188">
        <f>[2]CZ_decarbplus_opex!BF75</f>
        <v>7.0599999999999995E-5</v>
      </c>
      <c r="CD75" s="188">
        <f>[2]CZ_decarbplus_opex!BG75</f>
        <v>1.31741E-4</v>
      </c>
      <c r="CE75" s="188">
        <f>[2]CZ_decarbplus_opex!BH75</f>
        <v>3.1999999999999999E-5</v>
      </c>
      <c r="CF75" s="188">
        <f>[2]CZ_decarbplus_opex!BI75</f>
        <v>3.9400000000000002E-5</v>
      </c>
      <c r="CG75" s="188">
        <f>[2]CZ_decarbplus_opex!BJ75</f>
        <v>2.9499999999999999E-5</v>
      </c>
    </row>
    <row r="76" spans="1:85" x14ac:dyDescent="0.25">
      <c r="A76" s="5" t="s">
        <v>171</v>
      </c>
      <c r="B76" s="2" t="s">
        <v>170</v>
      </c>
      <c r="C76" s="1" t="s">
        <v>329</v>
      </c>
      <c r="D76" s="187">
        <f>[2]CZ_decarbplus_opex!B76</f>
        <v>6.96E-9</v>
      </c>
      <c r="E76" s="187">
        <f>[2]CZ_decarbplus_opex!C76</f>
        <v>1.7800000000000001E-9</v>
      </c>
      <c r="F76" s="187">
        <f>[2]CZ_decarbplus_opex!D76</f>
        <v>4.5299999999999999E-9</v>
      </c>
      <c r="G76" s="187">
        <f>[2]CZ_decarbplus_opex!E76</f>
        <v>1.8400000000000001E-10</v>
      </c>
      <c r="H76" s="187">
        <f>[2]CZ_decarbplus_opex!F76</f>
        <v>3.58E-10</v>
      </c>
      <c r="I76" s="187">
        <f>[2]CZ_decarbplus_opex!G76</f>
        <v>3.46E-9</v>
      </c>
      <c r="J76" s="187">
        <f>[2]CZ_decarbplus_opex!H76</f>
        <v>1.5400000000000001E-9</v>
      </c>
      <c r="K76" s="187">
        <f>[2]CZ_decarbplus_opex!I76</f>
        <v>4.64E-10</v>
      </c>
      <c r="L76" s="187">
        <f>[2]CZ_decarbplus_opex!J76</f>
        <v>3.5699999999999999E-9</v>
      </c>
      <c r="M76" s="187">
        <f>[2]CZ_decarbplus_opex!K76</f>
        <v>1.04E-8</v>
      </c>
      <c r="N76" s="187">
        <f>[2]CZ_decarbplus_opex!L76</f>
        <v>7.7900000000000006E-9</v>
      </c>
      <c r="O76" s="187">
        <f>[2]CZ_decarbplus_opex!M76</f>
        <v>2.0799999999999998E-9</v>
      </c>
      <c r="P76" s="187">
        <f>[2]CZ_decarbplus_opex!N76</f>
        <v>2.4599999999999999E-8</v>
      </c>
      <c r="Q76" s="187">
        <f>[2]CZ_decarbplus_opex!O76</f>
        <v>3.3000000000000002E-9</v>
      </c>
      <c r="R76" s="187">
        <f>[2]CZ_decarbplus_opex!P76</f>
        <v>1.8299999999999998E-8</v>
      </c>
      <c r="S76" s="187">
        <f>[2]CZ_decarbplus_opex!Q76</f>
        <v>1.13E-8</v>
      </c>
      <c r="T76" s="187">
        <f>[2]CZ_decarbplus_opex!R76</f>
        <v>1.2100000000000001E-8</v>
      </c>
      <c r="U76" s="187">
        <f>[2]CZ_decarbplus_opex!S76</f>
        <v>9.4899999999999993E-9</v>
      </c>
      <c r="V76" s="187">
        <f>[2]CZ_decarbplus_opex!T76</f>
        <v>1.03E-8</v>
      </c>
      <c r="W76" s="187">
        <f>[2]CZ_decarbplus_opex!U76</f>
        <v>1.55E-8</v>
      </c>
      <c r="X76" s="187">
        <f>[2]CZ_decarbplus_opex!V76</f>
        <v>1.1700000000000001E-9</v>
      </c>
      <c r="Y76" s="187">
        <f>[2]CZ_decarbplus_opex!W76</f>
        <v>4.0499999999999999E-9</v>
      </c>
      <c r="Z76" s="187">
        <f>[2]CZ_decarbplus_opex!X76</f>
        <v>8.7299999999999994E-9</v>
      </c>
      <c r="AA76" s="187">
        <f>[2]CZ_decarbplus_opex!Y76</f>
        <v>2.5200000000000001E-8</v>
      </c>
      <c r="AB76" s="188">
        <f>[3]CZ_decarb_opex!B76</f>
        <v>4.1058205390244502E-9</v>
      </c>
      <c r="AC76" s="188">
        <f>[3]CZ_decarb_opex!C76</f>
        <v>6.2561078037399999E-9</v>
      </c>
      <c r="AD76" s="188">
        <f>[3]CZ_decarb_opex!D76</f>
        <v>1.0163879830782401E-9</v>
      </c>
      <c r="AE76" s="188">
        <f>[2]CZ_decarbplus_opex!Z76</f>
        <v>9.4800000000000004E-10</v>
      </c>
      <c r="AF76" s="188">
        <f>[2]CZ_decarbplus_opex!AA76</f>
        <v>5.5199999999999997E-7</v>
      </c>
      <c r="AG76" s="188">
        <f>[2]CZ_decarbplus_opex!AB76</f>
        <v>1.5900000000000001E-7</v>
      </c>
      <c r="AH76" s="188">
        <f>[2]CZ_decarbplus_opex!AC76</f>
        <v>1.24E-8</v>
      </c>
      <c r="AI76" s="188">
        <f>[2]CZ_decarbplus_opex!AD76</f>
        <v>1.7100000000000001E-8</v>
      </c>
      <c r="AJ76" s="188">
        <f>[2]CZ_decarbplus_opex!AE76</f>
        <v>1.1700000000000001E-8</v>
      </c>
      <c r="AK76" s="188">
        <f>[2]CZ_decarbplus_opex!AF76</f>
        <v>1.7900000000000001E-8</v>
      </c>
      <c r="AL76" s="188">
        <f>[3]CZ_decarb_opex!E76</f>
        <v>1.11923180324565E-8</v>
      </c>
      <c r="AM76" s="188">
        <f>[3]CZ_decarb_opex!F76</f>
        <v>1.02703159432469E-8</v>
      </c>
      <c r="AN76" s="188">
        <f>[2]CZ_decarbplus_opex!AG76</f>
        <v>2.4E-8</v>
      </c>
      <c r="AO76" s="188">
        <f>[3]CZ_decarb_opex!G76</f>
        <v>1.2819430444289101E-7</v>
      </c>
      <c r="AP76" s="188">
        <f>[3]CZ_decarb_opex!H76</f>
        <v>1.4335559861317099E-7</v>
      </c>
      <c r="AQ76" s="188">
        <f>[2]CZ_decarbplus_opex!AH76</f>
        <v>6.8700000000000003E-5</v>
      </c>
      <c r="AR76" s="188">
        <f>[2]CZ_decarbplus_opex!AI76</f>
        <v>0</v>
      </c>
      <c r="AS76" s="188">
        <f>[2]CZ_decarbplus_opex!AJ76</f>
        <v>7.6799999999999999E-8</v>
      </c>
      <c r="AT76" s="188">
        <f>[2]CZ_decarbplus_opex!AK76</f>
        <v>6.87E-8</v>
      </c>
      <c r="AU76" s="188">
        <f>[2]CZ_decarbplus_opex!AL76</f>
        <v>7.1099999999999996E-9</v>
      </c>
      <c r="AV76" s="188">
        <f>[2]CZ_decarbplus_opex!AM76</f>
        <v>5.2199999999999998E-9</v>
      </c>
      <c r="AW76" s="188">
        <f>[2]CZ_decarbplus_opex!AN76</f>
        <v>3.1E-7</v>
      </c>
      <c r="AX76" s="188">
        <f>[2]CZ_decarbplus_opex!AO76</f>
        <v>0</v>
      </c>
      <c r="AY76" s="188">
        <f>[2]CZ_decarbplus_opex!AP76</f>
        <v>2.9399999999999999E-8</v>
      </c>
      <c r="AZ76" s="188">
        <f>[2]CZ_decarbplus_opex!AQ76</f>
        <v>0</v>
      </c>
      <c r="BA76" s="188">
        <f>[2]CZ_decarbplus_opex!AR76</f>
        <v>1.1800000000000001E-5</v>
      </c>
      <c r="BB76" s="188">
        <f>[2]CZ_decarbplus_opex!AS76</f>
        <v>1.98E-7</v>
      </c>
      <c r="BC76" s="188">
        <f>[2]CZ_decarbplus_opex!AT76</f>
        <v>2.9999999999999999E-7</v>
      </c>
      <c r="BD76" s="188">
        <f>[2]CZ_decarbplus_opex!AU76</f>
        <v>9.8000000000000004E-8</v>
      </c>
      <c r="BE76" s="188">
        <f>[2]CZ_decarbplus_opex!AV76</f>
        <v>2.34E-7</v>
      </c>
      <c r="BF76" s="188">
        <f>[2]CZ_decarbplus_opex!AW76</f>
        <v>1.7999999999999999E-8</v>
      </c>
      <c r="BG76" s="188">
        <f>[2]CZ_decarbplus_opex!AX76</f>
        <v>2.84E-7</v>
      </c>
      <c r="BH76" s="188">
        <f>[3]CZ_decarb_opex!I76</f>
        <v>6.8361550023615102E-8</v>
      </c>
      <c r="BI76" s="188">
        <f>[2]CZ_decarbplus_opex!AY76</f>
        <v>1.1000000000000001E-7</v>
      </c>
      <c r="BJ76" s="188">
        <f>[2]CZ_decarbplus_opex!AZ76</f>
        <v>1.42E-6</v>
      </c>
      <c r="BK76" s="188">
        <f>[2]CZ_decarbplus_opex!BA76</f>
        <v>1.33E-6</v>
      </c>
      <c r="BL76" s="188">
        <f>[2]CZ_decarbplus_opex!BB76</f>
        <v>0</v>
      </c>
      <c r="BM76" s="188">
        <f>[3]CZ_decarb_opex!J76</f>
        <v>2.07859513478479E-8</v>
      </c>
      <c r="BN76" s="188">
        <f>[3]CZ_decarb_opex!K76</f>
        <v>8.8969252311283994E-8</v>
      </c>
      <c r="BO76" s="188">
        <f>[3]CZ_decarb_opex!L76</f>
        <v>6.0681300395174001E-9</v>
      </c>
      <c r="BP76" s="188">
        <f>[3]CZ_decarb_opex!M76</f>
        <v>5.6311606193216504E-9</v>
      </c>
      <c r="BQ76" s="188">
        <f>[3]CZ_decarb_opex!N76</f>
        <v>4.9508541018179401E-9</v>
      </c>
      <c r="BR76" s="188">
        <f>[3]CZ_decarb_opex!O76</f>
        <v>2.1920086720617099E-8</v>
      </c>
      <c r="BS76" s="188">
        <f>[3]CZ_decarb_opex!P76</f>
        <v>4.2737167297405098E-8</v>
      </c>
      <c r="BT76" s="188">
        <f>[3]CZ_decarb_opex!Q76</f>
        <v>1.9273581136442601E-8</v>
      </c>
      <c r="BU76" s="188">
        <f>[3]CZ_decarb_opex!R76</f>
        <v>6.1553884813391E-9</v>
      </c>
      <c r="BV76" s="188">
        <f>[3]CZ_decarb_opex!S76</f>
        <v>6.1553884813391099E-9</v>
      </c>
      <c r="BW76" s="188">
        <f>[3]CZ_decarb_opex!T76</f>
        <v>5.8057426845275601E-9</v>
      </c>
      <c r="BX76" s="188">
        <f>[3]CZ_decarb_opex!U76</f>
        <v>7.8476683035078202E-9</v>
      </c>
      <c r="BY76" s="188">
        <f>[3]CZ_decarb_opex!V76</f>
        <v>4.1362687779706201E-10</v>
      </c>
      <c r="BZ76" s="188">
        <f>[2]CZ_decarbplus_opex!BC76</f>
        <v>2.1200000000000001E-8</v>
      </c>
      <c r="CA76" s="188">
        <f>[2]CZ_decarbplus_opex!BD76</f>
        <v>8.5199999999999995E-9</v>
      </c>
      <c r="CB76" s="188">
        <f>[2]CZ_decarbplus_opex!BE76</f>
        <v>1.0999999999999999E-8</v>
      </c>
      <c r="CC76" s="188">
        <f>[2]CZ_decarbplus_opex!BF76</f>
        <v>1.1900000000000001E-8</v>
      </c>
      <c r="CD76" s="188">
        <f>[2]CZ_decarbplus_opex!BG76</f>
        <v>1.2100000000000001E-7</v>
      </c>
      <c r="CE76" s="188">
        <f>[2]CZ_decarbplus_opex!BH76</f>
        <v>1.67E-9</v>
      </c>
      <c r="CF76" s="188">
        <f>[2]CZ_decarbplus_opex!BI76</f>
        <v>2.3899999999999999E-8</v>
      </c>
      <c r="CG76" s="188">
        <f>[2]CZ_decarbplus_opex!BJ76</f>
        <v>3.9E-10</v>
      </c>
    </row>
    <row r="77" spans="1:85" x14ac:dyDescent="0.25">
      <c r="A77" s="5" t="s">
        <v>173</v>
      </c>
      <c r="B77" s="2" t="s">
        <v>172</v>
      </c>
      <c r="C77" s="1" t="s">
        <v>329</v>
      </c>
      <c r="D77" s="187">
        <f>[2]CZ_decarbplus_opex!B77</f>
        <v>6.7399999999999998E-5</v>
      </c>
      <c r="E77" s="187">
        <f>[2]CZ_decarbplus_opex!C77</f>
        <v>6.41E-5</v>
      </c>
      <c r="F77" s="187">
        <f>[2]CZ_decarbplus_opex!D77</f>
        <v>3.9700000000000003E-5</v>
      </c>
      <c r="G77" s="187">
        <f>[2]CZ_decarbplus_opex!E77</f>
        <v>6.1600000000000003E-6</v>
      </c>
      <c r="H77" s="187">
        <f>[2]CZ_decarbplus_opex!F77</f>
        <v>1.08E-5</v>
      </c>
      <c r="I77" s="187">
        <f>[2]CZ_decarbplus_opex!G77</f>
        <v>1.44912E-4</v>
      </c>
      <c r="J77" s="187">
        <f>[2]CZ_decarbplus_opex!H77</f>
        <v>1.1421600000000001E-4</v>
      </c>
      <c r="K77" s="187">
        <f>[2]CZ_decarbplus_opex!I77</f>
        <v>1.5699999999999999E-5</v>
      </c>
      <c r="L77" s="187">
        <f>[2]CZ_decarbplus_opex!J77</f>
        <v>1.9137200000000001E-4</v>
      </c>
      <c r="M77" s="187">
        <f>[2]CZ_decarbplus_opex!K77</f>
        <v>5.8238699999999997E-4</v>
      </c>
      <c r="N77" s="187">
        <f>[2]CZ_decarbplus_opex!L77</f>
        <v>2.8387900000000001E-4</v>
      </c>
      <c r="O77" s="187">
        <f>[2]CZ_decarbplus_opex!M77</f>
        <v>2.0083829999999999E-3</v>
      </c>
      <c r="P77" s="187">
        <f>[2]CZ_decarbplus_opex!N77</f>
        <v>1.1548399999999999E-4</v>
      </c>
      <c r="Q77" s="187">
        <f>[2]CZ_decarbplus_opex!O77</f>
        <v>6.3800000000000006E-5</v>
      </c>
      <c r="R77" s="187">
        <f>[2]CZ_decarbplus_opex!P77</f>
        <v>5.1100000000000002E-5</v>
      </c>
      <c r="S77" s="187">
        <f>[2]CZ_decarbplus_opex!Q77</f>
        <v>1.49359E-4</v>
      </c>
      <c r="T77" s="187">
        <f>[2]CZ_decarbplus_opex!R77</f>
        <v>2.7839100000000001E-4</v>
      </c>
      <c r="U77" s="187">
        <f>[2]CZ_decarbplus_opex!S77</f>
        <v>1.9020500000000001E-4</v>
      </c>
      <c r="V77" s="187">
        <f>[2]CZ_decarbplus_opex!T77</f>
        <v>1.3852999999999999E-4</v>
      </c>
      <c r="W77" s="187">
        <f>[2]CZ_decarbplus_opex!U77</f>
        <v>3.1268399999999998E-4</v>
      </c>
      <c r="X77" s="187">
        <f>[2]CZ_decarbplus_opex!V77</f>
        <v>1.19824E-4</v>
      </c>
      <c r="Y77" s="187">
        <f>[2]CZ_decarbplus_opex!W77</f>
        <v>4.8600000000000002E-5</v>
      </c>
      <c r="Z77" s="187">
        <f>[2]CZ_decarbplus_opex!X77</f>
        <v>2.2031899999999999E-4</v>
      </c>
      <c r="AA77" s="187">
        <f>[2]CZ_decarbplus_opex!Y77</f>
        <v>2.1609099999999999E-4</v>
      </c>
      <c r="AB77" s="188">
        <f>[3]CZ_decarb_opex!B77</f>
        <v>7.1840442553387006E-5</v>
      </c>
      <c r="AC77" s="188">
        <f>[3]CZ_decarb_opex!C77</f>
        <v>1.9555467397853901E-4</v>
      </c>
      <c r="AD77" s="188">
        <f>[3]CZ_decarb_opex!D77</f>
        <v>1.0976584279770699E-4</v>
      </c>
      <c r="AE77" s="188">
        <f>[2]CZ_decarbplus_opex!Z77</f>
        <v>9.8999999999999994E-5</v>
      </c>
      <c r="AF77" s="188">
        <f>[2]CZ_decarbplus_opex!AA77</f>
        <v>1.006552E-3</v>
      </c>
      <c r="AG77" s="188">
        <f>[2]CZ_decarbplus_opex!AB77</f>
        <v>7.5382499999999996E-4</v>
      </c>
      <c r="AH77" s="188">
        <f>[2]CZ_decarbplus_opex!AC77</f>
        <v>5.2459000000000002E-4</v>
      </c>
      <c r="AI77" s="188">
        <f>[2]CZ_decarbplus_opex!AD77</f>
        <v>9.7577099999999995E-4</v>
      </c>
      <c r="AJ77" s="188">
        <f>[2]CZ_decarbplus_opex!AE77</f>
        <v>3.4863299999999999E-4</v>
      </c>
      <c r="AK77" s="188">
        <f>[2]CZ_decarbplus_opex!AF77</f>
        <v>8.3686299999999997E-4</v>
      </c>
      <c r="AL77" s="188">
        <f>[3]CZ_decarb_opex!E77</f>
        <v>1.89002458218134E-4</v>
      </c>
      <c r="AM77" s="188">
        <f>[3]CZ_decarb_opex!F77</f>
        <v>1.6634010706843001E-4</v>
      </c>
      <c r="AN77" s="188">
        <f>[2]CZ_decarbplus_opex!AG77</f>
        <v>5.9740900000000003E-4</v>
      </c>
      <c r="AO77" s="188">
        <f>[3]CZ_decarb_opex!G77</f>
        <v>4.3544202078188102E-3</v>
      </c>
      <c r="AP77" s="188">
        <f>[3]CZ_decarb_opex!H77</f>
        <v>5.05462976425385E-3</v>
      </c>
      <c r="AQ77" s="188">
        <f>[2]CZ_decarbplus_opex!AH77</f>
        <v>3.45597E-3</v>
      </c>
      <c r="AR77" s="188">
        <f>[2]CZ_decarbplus_opex!AI77</f>
        <v>0</v>
      </c>
      <c r="AS77" s="188">
        <f>[2]CZ_decarbplus_opex!AJ77</f>
        <v>8.2638920000000005E-2</v>
      </c>
      <c r="AT77" s="188">
        <f>[2]CZ_decarbplus_opex!AK77</f>
        <v>9.7851641000000003E-2</v>
      </c>
      <c r="AU77" s="188">
        <f>[2]CZ_decarbplus_opex!AL77</f>
        <v>7.4512099999999996E-4</v>
      </c>
      <c r="AV77" s="188">
        <f>[2]CZ_decarbplus_opex!AM77</f>
        <v>4.8771099999999999E-4</v>
      </c>
      <c r="AW77" s="188">
        <f>[2]CZ_decarbplus_opex!AN77</f>
        <v>1.149415E-3</v>
      </c>
      <c r="AX77" s="188">
        <f>[2]CZ_decarbplus_opex!AO77</f>
        <v>0</v>
      </c>
      <c r="AY77" s="188">
        <f>[2]CZ_decarbplus_opex!AP77</f>
        <v>1.346014E-3</v>
      </c>
      <c r="AZ77" s="188">
        <f>[2]CZ_decarbplus_opex!AQ77</f>
        <v>0</v>
      </c>
      <c r="BA77" s="188">
        <f>[2]CZ_decarbplus_opex!AR77</f>
        <v>4.1056751000000002E-2</v>
      </c>
      <c r="BB77" s="188">
        <f>[2]CZ_decarbplus_opex!AS77</f>
        <v>8.7278760000000007E-3</v>
      </c>
      <c r="BC77" s="188">
        <f>[2]CZ_decarbplus_opex!AT77</f>
        <v>1.6092460999999999E-2</v>
      </c>
      <c r="BD77" s="188">
        <f>[2]CZ_decarbplus_opex!AU77</f>
        <v>1.2283800000000001E-4</v>
      </c>
      <c r="BE77" s="188">
        <f>[2]CZ_decarbplus_opex!AV77</f>
        <v>8.0528600000000002E-3</v>
      </c>
      <c r="BF77" s="188">
        <f>[2]CZ_decarbplus_opex!AW77</f>
        <v>1.1304800000000001E-4</v>
      </c>
      <c r="BG77" s="188">
        <f>[2]CZ_decarbplus_opex!AX77</f>
        <v>3.4843740000000002E-3</v>
      </c>
      <c r="BH77" s="188">
        <f>[3]CZ_decarb_opex!I77</f>
        <v>1.7835398262608399E-3</v>
      </c>
      <c r="BI77" s="188">
        <f>[2]CZ_decarbplus_opex!AY77</f>
        <v>4.7480839999999996E-3</v>
      </c>
      <c r="BJ77" s="188">
        <f>[2]CZ_decarbplus_opex!AZ77</f>
        <v>1.2756293E-2</v>
      </c>
      <c r="BK77" s="188">
        <f>[2]CZ_decarbplus_opex!BA77</f>
        <v>3.3236101999999997E-2</v>
      </c>
      <c r="BL77" s="188">
        <f>[2]CZ_decarbplus_opex!BB77</f>
        <v>0</v>
      </c>
      <c r="BM77" s="188">
        <f>[3]CZ_decarb_opex!J77</f>
        <v>1.4243791121795E-4</v>
      </c>
      <c r="BN77" s="188">
        <f>[3]CZ_decarb_opex!K77</f>
        <v>2.3650074140173401E-4</v>
      </c>
      <c r="BO77" s="188">
        <f>[3]CZ_decarb_opex!L77</f>
        <v>3.2622250174201403E-5</v>
      </c>
      <c r="BP77" s="188">
        <f>[3]CZ_decarb_opex!M77</f>
        <v>3.8004313303021897E-5</v>
      </c>
      <c r="BQ77" s="188">
        <f>[3]CZ_decarb_opex!N77</f>
        <v>3.8154800832515903E-5</v>
      </c>
      <c r="BR77" s="188">
        <f>[3]CZ_decarb_opex!O77</f>
        <v>8.5298501706019105E-5</v>
      </c>
      <c r="BS77" s="188">
        <f>[3]CZ_decarb_opex!P77</f>
        <v>2.8541910461253399E-4</v>
      </c>
      <c r="BT77" s="188">
        <f>[3]CZ_decarb_opex!Q77</f>
        <v>7.3376846695518503E-5</v>
      </c>
      <c r="BU77" s="188">
        <f>[3]CZ_decarb_opex!R77</f>
        <v>1.1898215258792599E-5</v>
      </c>
      <c r="BV77" s="188">
        <f>[3]CZ_decarb_opex!S77</f>
        <v>1.1898215258792599E-5</v>
      </c>
      <c r="BW77" s="188">
        <f>[3]CZ_decarb_opex!T77</f>
        <v>3.7439903108715102E-5</v>
      </c>
      <c r="BX77" s="188">
        <f>[3]CZ_decarb_opex!U77</f>
        <v>1.84991610626626E-6</v>
      </c>
      <c r="BY77" s="188">
        <f>[3]CZ_decarb_opex!V77</f>
        <v>9.6592753034695594E-6</v>
      </c>
      <c r="BZ77" s="188">
        <f>[2]CZ_decarbplus_opex!BC77</f>
        <v>9.5099999999999994E-5</v>
      </c>
      <c r="CA77" s="188">
        <f>[2]CZ_decarbplus_opex!BD77</f>
        <v>1.00905E-4</v>
      </c>
      <c r="CB77" s="188">
        <f>[2]CZ_decarbplus_opex!BE77</f>
        <v>9.31E-5</v>
      </c>
      <c r="CC77" s="188">
        <f>[2]CZ_decarbplus_opex!BF77</f>
        <v>3.15285E-4</v>
      </c>
      <c r="CD77" s="188">
        <f>[2]CZ_decarbplus_opex!BG77</f>
        <v>2.1473799999999999E-4</v>
      </c>
      <c r="CE77" s="188">
        <f>[2]CZ_decarbplus_opex!BH77</f>
        <v>1.7646099999999999E-4</v>
      </c>
      <c r="CF77" s="188">
        <f>[2]CZ_decarbplus_opex!BI77</f>
        <v>2.26858E-4</v>
      </c>
      <c r="CG77" s="188">
        <f>[2]CZ_decarbplus_opex!BJ77</f>
        <v>4.5200000000000001E-5</v>
      </c>
    </row>
    <row r="78" spans="1:85" x14ac:dyDescent="0.25">
      <c r="A78" s="5" t="s">
        <v>175</v>
      </c>
      <c r="B78" s="2" t="s">
        <v>174</v>
      </c>
      <c r="C78" s="1" t="s">
        <v>329</v>
      </c>
      <c r="D78" s="187">
        <f>[2]CZ_decarbplus_opex!B78</f>
        <v>1.0075E-4</v>
      </c>
      <c r="E78" s="187">
        <f>[2]CZ_decarbplus_opex!C78</f>
        <v>8.6899999999999998E-5</v>
      </c>
      <c r="F78" s="187">
        <f>[2]CZ_decarbplus_opex!D78</f>
        <v>5.52E-5</v>
      </c>
      <c r="G78" s="187">
        <f>[2]CZ_decarbplus_opex!E78</f>
        <v>8.4999999999999999E-6</v>
      </c>
      <c r="H78" s="187">
        <f>[2]CZ_decarbplus_opex!F78</f>
        <v>1.6500000000000001E-5</v>
      </c>
      <c r="I78" s="187">
        <f>[2]CZ_decarbplus_opex!G78</f>
        <v>1.97462E-4</v>
      </c>
      <c r="J78" s="187">
        <f>[2]CZ_decarbplus_opex!H78</f>
        <v>1.5677000000000001E-4</v>
      </c>
      <c r="K78" s="187">
        <f>[2]CZ_decarbplus_opex!I78</f>
        <v>2.4700000000000001E-5</v>
      </c>
      <c r="L78" s="187">
        <f>[2]CZ_decarbplus_opex!J78</f>
        <v>2.4319000000000001E-4</v>
      </c>
      <c r="M78" s="187">
        <f>[2]CZ_decarbplus_opex!K78</f>
        <v>7.4351699999999996E-4</v>
      </c>
      <c r="N78" s="187">
        <f>[2]CZ_decarbplus_opex!L78</f>
        <v>3.6689399999999999E-4</v>
      </c>
      <c r="O78" s="187">
        <f>[2]CZ_decarbplus_opex!M78</f>
        <v>2.5964859999999998E-3</v>
      </c>
      <c r="P78" s="187">
        <f>[2]CZ_decarbplus_opex!N78</f>
        <v>1.7580100000000001E-4</v>
      </c>
      <c r="Q78" s="187">
        <f>[2]CZ_decarbplus_opex!O78</f>
        <v>9.5099999999999994E-5</v>
      </c>
      <c r="R78" s="187">
        <f>[2]CZ_decarbplus_opex!P78</f>
        <v>7.64E-5</v>
      </c>
      <c r="S78" s="187">
        <f>[2]CZ_decarbplus_opex!Q78</f>
        <v>2.1938599999999999E-4</v>
      </c>
      <c r="T78" s="187">
        <f>[2]CZ_decarbplus_opex!R78</f>
        <v>3.3162900000000001E-4</v>
      </c>
      <c r="U78" s="187">
        <f>[2]CZ_decarbplus_opex!S78</f>
        <v>2.6411099999999998E-4</v>
      </c>
      <c r="V78" s="187">
        <f>[2]CZ_decarbplus_opex!T78</f>
        <v>2.14236E-4</v>
      </c>
      <c r="W78" s="187">
        <f>[2]CZ_decarbplus_opex!U78</f>
        <v>4.4176799999999999E-4</v>
      </c>
      <c r="X78" s="187">
        <f>[2]CZ_decarbplus_opex!V78</f>
        <v>1.61714E-4</v>
      </c>
      <c r="Y78" s="187">
        <f>[2]CZ_decarbplus_opex!W78</f>
        <v>9.8400000000000007E-5</v>
      </c>
      <c r="Z78" s="187">
        <f>[2]CZ_decarbplus_opex!X78</f>
        <v>3.21706E-4</v>
      </c>
      <c r="AA78" s="187">
        <f>[2]CZ_decarbplus_opex!Y78</f>
        <v>4.2290699999999998E-4</v>
      </c>
      <c r="AB78" s="188">
        <f>[3]CZ_decarb_opex!B78</f>
        <v>4.6883454352378798E-5</v>
      </c>
      <c r="AC78" s="188">
        <f>[3]CZ_decarb_opex!C78</f>
        <v>2.1837761203076801E-4</v>
      </c>
      <c r="AD78" s="188">
        <f>[3]CZ_decarb_opex!D78</f>
        <v>1.06994863769973E-4</v>
      </c>
      <c r="AE78" s="188">
        <f>[2]CZ_decarbplus_opex!Z78</f>
        <v>8.9800000000000001E-5</v>
      </c>
      <c r="AF78" s="188">
        <f>[2]CZ_decarbplus_opex!AA78</f>
        <v>1.352041E-3</v>
      </c>
      <c r="AG78" s="188">
        <f>[2]CZ_decarbplus_opex!AB78</f>
        <v>1.08599E-3</v>
      </c>
      <c r="AH78" s="188">
        <f>[2]CZ_decarbplus_opex!AC78</f>
        <v>6.6395699999999996E-4</v>
      </c>
      <c r="AI78" s="188">
        <f>[2]CZ_decarbplus_opex!AD78</f>
        <v>1.263243E-3</v>
      </c>
      <c r="AJ78" s="188">
        <f>[2]CZ_decarbplus_opex!AE78</f>
        <v>4.17145E-4</v>
      </c>
      <c r="AK78" s="188">
        <f>[2]CZ_decarbplus_opex!AF78</f>
        <v>1.04608E-3</v>
      </c>
      <c r="AL78" s="188">
        <f>[3]CZ_decarb_opex!E78</f>
        <v>2.6319321876983802E-4</v>
      </c>
      <c r="AM78" s="188">
        <f>[3]CZ_decarb_opex!F78</f>
        <v>2.2733316540903299E-4</v>
      </c>
      <c r="AN78" s="188">
        <f>[2]CZ_decarbplus_opex!AG78</f>
        <v>8.0525799999999999E-4</v>
      </c>
      <c r="AO78" s="188">
        <f>[3]CZ_decarb_opex!G78</f>
        <v>5.7449224905340296E-3</v>
      </c>
      <c r="AP78" s="188">
        <f>[3]CZ_decarb_opex!H78</f>
        <v>6.6715844984741304E-3</v>
      </c>
      <c r="AQ78" s="188">
        <f>[2]CZ_decarbplus_opex!AH78</f>
        <v>4.6338309999999997E-3</v>
      </c>
      <c r="AR78" s="188">
        <f>[2]CZ_decarbplus_opex!AI78</f>
        <v>0</v>
      </c>
      <c r="AS78" s="188">
        <f>[2]CZ_decarbplus_opex!AJ78</f>
        <v>0.10497445499999999</v>
      </c>
      <c r="AT78" s="188">
        <f>[2]CZ_decarbplus_opex!AK78</f>
        <v>0.124098192</v>
      </c>
      <c r="AU78" s="188">
        <f>[2]CZ_decarbplus_opex!AL78</f>
        <v>9.1090699999999997E-4</v>
      </c>
      <c r="AV78" s="188">
        <f>[2]CZ_decarbplus_opex!AM78</f>
        <v>5.8687699999999997E-4</v>
      </c>
      <c r="AW78" s="188">
        <f>[2]CZ_decarbplus_opex!AN78</f>
        <v>1.5427240000000001E-3</v>
      </c>
      <c r="AX78" s="188">
        <f>[2]CZ_decarbplus_opex!AO78</f>
        <v>0</v>
      </c>
      <c r="AY78" s="188">
        <f>[2]CZ_decarbplus_opex!AP78</f>
        <v>1.6803650000000001E-3</v>
      </c>
      <c r="AZ78" s="188">
        <f>[2]CZ_decarbplus_opex!AQ78</f>
        <v>0</v>
      </c>
      <c r="BA78" s="188">
        <f>[2]CZ_decarbplus_opex!AR78</f>
        <v>5.2435713000000002E-2</v>
      </c>
      <c r="BB78" s="188">
        <f>[2]CZ_decarbplus_opex!AS78</f>
        <v>1.1848195000000001E-2</v>
      </c>
      <c r="BC78" s="188">
        <f>[2]CZ_decarbplus_opex!AT78</f>
        <v>2.0836396E-2</v>
      </c>
      <c r="BD78" s="188">
        <f>[2]CZ_decarbplus_opex!AU78</f>
        <v>1.7822199999999999E-4</v>
      </c>
      <c r="BE78" s="188">
        <f>[2]CZ_decarbplus_opex!AV78</f>
        <v>1.032428E-2</v>
      </c>
      <c r="BF78" s="188">
        <f>[2]CZ_decarbplus_opex!AW78</f>
        <v>1.7012900000000001E-4</v>
      </c>
      <c r="BG78" s="188">
        <f>[2]CZ_decarbplus_opex!AX78</f>
        <v>4.5390589999999998E-3</v>
      </c>
      <c r="BH78" s="188">
        <f>[3]CZ_decarb_opex!I78</f>
        <v>2.3332228366655999E-3</v>
      </c>
      <c r="BI78" s="188">
        <f>[2]CZ_decarbplus_opex!AY78</f>
        <v>6.1191550000000003E-3</v>
      </c>
      <c r="BJ78" s="188">
        <f>[2]CZ_decarbplus_opex!AZ78</f>
        <v>1.6368809000000002E-2</v>
      </c>
      <c r="BK78" s="188">
        <f>[2]CZ_decarbplus_opex!BA78</f>
        <v>4.2205342999999999E-2</v>
      </c>
      <c r="BL78" s="188">
        <f>[2]CZ_decarbplus_opex!BB78</f>
        <v>0</v>
      </c>
      <c r="BM78" s="188">
        <f>[3]CZ_decarb_opex!J78</f>
        <v>1.31076685045941E-4</v>
      </c>
      <c r="BN78" s="188">
        <f>[3]CZ_decarb_opex!K78</f>
        <v>2.1543816985725899E-4</v>
      </c>
      <c r="BO78" s="188">
        <f>[3]CZ_decarb_opex!L78</f>
        <v>3.4486779160754398E-5</v>
      </c>
      <c r="BP78" s="188">
        <f>[3]CZ_decarb_opex!M78</f>
        <v>3.3406082484702003E-5</v>
      </c>
      <c r="BQ78" s="188">
        <f>[3]CZ_decarb_opex!N78</f>
        <v>3.60681710188841E-5</v>
      </c>
      <c r="BR78" s="188">
        <f>[3]CZ_decarb_opex!O78</f>
        <v>1.10430995356662E-4</v>
      </c>
      <c r="BS78" s="188">
        <f>[3]CZ_decarb_opex!P78</f>
        <v>2.5828479621855599E-4</v>
      </c>
      <c r="BT78" s="188">
        <f>[3]CZ_decarb_opex!Q78</f>
        <v>5.5545453700424797E-4</v>
      </c>
      <c r="BU78" s="188">
        <f>[3]CZ_decarb_opex!R78</f>
        <v>2.21245850549177E-5</v>
      </c>
      <c r="BV78" s="188">
        <f>[3]CZ_decarb_opex!S78</f>
        <v>2.2124585054917798E-5</v>
      </c>
      <c r="BW78" s="188">
        <f>[3]CZ_decarb_opex!T78</f>
        <v>2.46168307462694E-5</v>
      </c>
      <c r="BX78" s="188">
        <f>[3]CZ_decarb_opex!U78</f>
        <v>2.0570476699673501E-6</v>
      </c>
      <c r="BY78" s="188">
        <f>[3]CZ_decarb_opex!V78</f>
        <v>8.0939602856385694E-6</v>
      </c>
      <c r="BZ78" s="188">
        <f>[2]CZ_decarbplus_opex!BC78</f>
        <v>8.5699999999999996E-5</v>
      </c>
      <c r="CA78" s="188">
        <f>[2]CZ_decarbplus_opex!BD78</f>
        <v>2.0445000000000001E-4</v>
      </c>
      <c r="CB78" s="188">
        <f>[2]CZ_decarbplus_opex!BE78</f>
        <v>1.8194700000000001E-4</v>
      </c>
      <c r="CC78" s="188">
        <f>[2]CZ_decarbplus_opex!BF78</f>
        <v>7.1236499999999996E-4</v>
      </c>
      <c r="CD78" s="188">
        <f>[2]CZ_decarbplus_opex!BG78</f>
        <v>2.56242E-4</v>
      </c>
      <c r="CE78" s="188">
        <f>[2]CZ_decarbplus_opex!BH78</f>
        <v>1.21044E-4</v>
      </c>
      <c r="CF78" s="188">
        <f>[2]CZ_decarbplus_opex!BI78</f>
        <v>3.1449800000000002E-4</v>
      </c>
      <c r="CG78" s="188">
        <f>[2]CZ_decarbplus_opex!BJ78</f>
        <v>5.8999999999999998E-5</v>
      </c>
    </row>
    <row r="79" spans="1:85" x14ac:dyDescent="0.25">
      <c r="A79" s="5" t="s">
        <v>177</v>
      </c>
      <c r="B79" s="2" t="s">
        <v>176</v>
      </c>
      <c r="C79" s="1" t="s">
        <v>329</v>
      </c>
      <c r="D79" s="187">
        <f>[2]CZ_decarbplus_opex!B79</f>
        <v>3.79E-5</v>
      </c>
      <c r="E79" s="187">
        <f>[2]CZ_decarbplus_opex!C79</f>
        <v>2.3099999999999999E-5</v>
      </c>
      <c r="F79" s="187">
        <f>[2]CZ_decarbplus_opex!D79</f>
        <v>2.16E-5</v>
      </c>
      <c r="G79" s="187">
        <f>[2]CZ_decarbplus_opex!E79</f>
        <v>3.3299999999999999E-6</v>
      </c>
      <c r="H79" s="187">
        <f>[2]CZ_decarbplus_opex!F79</f>
        <v>5.0000000000000004E-6</v>
      </c>
      <c r="I79" s="187">
        <f>[2]CZ_decarbplus_opex!G79</f>
        <v>4.32E-5</v>
      </c>
      <c r="J79" s="187">
        <f>[2]CZ_decarbplus_opex!H79</f>
        <v>7.1099999999999994E-5</v>
      </c>
      <c r="K79" s="187">
        <f>[2]CZ_decarbplus_opex!I79</f>
        <v>3.1199999999999999E-5</v>
      </c>
      <c r="L79" s="187">
        <f>[2]CZ_decarbplus_opex!J79</f>
        <v>3.3200000000000001E-5</v>
      </c>
      <c r="M79" s="187">
        <f>[2]CZ_decarbplus_opex!K79</f>
        <v>8.8599999999999999E-5</v>
      </c>
      <c r="N79" s="187">
        <f>[2]CZ_decarbplus_opex!L79</f>
        <v>8.7600000000000002E-5</v>
      </c>
      <c r="O79" s="187">
        <f>[2]CZ_decarbplus_opex!M79</f>
        <v>3.8699999999999999E-5</v>
      </c>
      <c r="P79" s="187">
        <f>[2]CZ_decarbplus_opex!N79</f>
        <v>7.5400000000000003E-5</v>
      </c>
      <c r="Q79" s="187">
        <f>[2]CZ_decarbplus_opex!O79</f>
        <v>5.8900000000000002E-5</v>
      </c>
      <c r="R79" s="187">
        <f>[2]CZ_decarbplus_opex!P79</f>
        <v>2.8E-5</v>
      </c>
      <c r="S79" s="187">
        <f>[2]CZ_decarbplus_opex!Q79</f>
        <v>1.01222E-4</v>
      </c>
      <c r="T79" s="187">
        <f>[2]CZ_decarbplus_opex!R79</f>
        <v>2.12625E-4</v>
      </c>
      <c r="U79" s="187">
        <f>[2]CZ_decarbplus_opex!S79</f>
        <v>1.3374799999999999E-4</v>
      </c>
      <c r="V79" s="187">
        <f>[2]CZ_decarbplus_opex!T79</f>
        <v>1.05803E-4</v>
      </c>
      <c r="W79" s="187">
        <f>[2]CZ_decarbplus_opex!U79</f>
        <v>1.04108E-4</v>
      </c>
      <c r="X79" s="187">
        <f>[2]CZ_decarbplus_opex!V79</f>
        <v>3.4400000000000003E-5</v>
      </c>
      <c r="Y79" s="187">
        <f>[2]CZ_decarbplus_opex!W79</f>
        <v>4.1300000000000001E-5</v>
      </c>
      <c r="Z79" s="187">
        <f>[2]CZ_decarbplus_opex!X79</f>
        <v>1.5356899999999999E-4</v>
      </c>
      <c r="AA79" s="187">
        <f>[2]CZ_decarbplus_opex!Y79</f>
        <v>1.5507499999999999E-4</v>
      </c>
      <c r="AB79" s="188">
        <f>[3]CZ_decarb_opex!B79</f>
        <v>6.6707824353124203E-4</v>
      </c>
      <c r="AC79" s="188">
        <f>[3]CZ_decarb_opex!C79</f>
        <v>1.38811681335564E-4</v>
      </c>
      <c r="AD79" s="188">
        <f>[3]CZ_decarb_opex!D79</f>
        <v>9.2405559290406299E-5</v>
      </c>
      <c r="AE79" s="188">
        <f>[2]CZ_decarbplus_opex!Z79</f>
        <v>7.5400000000000003E-5</v>
      </c>
      <c r="AF79" s="188">
        <f>[2]CZ_decarbplus_opex!AA79</f>
        <v>3.8850000000000001E-4</v>
      </c>
      <c r="AG79" s="188">
        <f>[2]CZ_decarbplus_opex!AB79</f>
        <v>1.7281299999999999E-4</v>
      </c>
      <c r="AH79" s="188">
        <f>[2]CZ_decarbplus_opex!AC79</f>
        <v>8.6399999999999999E-5</v>
      </c>
      <c r="AI79" s="188">
        <f>[2]CZ_decarbplus_opex!AD79</f>
        <v>1.05846E-4</v>
      </c>
      <c r="AJ79" s="188">
        <f>[2]CZ_decarbplus_opex!AE79</f>
        <v>2.8508E-4</v>
      </c>
      <c r="AK79" s="188">
        <f>[2]CZ_decarbplus_opex!AF79</f>
        <v>1.17805E-4</v>
      </c>
      <c r="AL79" s="188">
        <f>[3]CZ_decarb_opex!E79</f>
        <v>1.10688398525569E-4</v>
      </c>
      <c r="AM79" s="188">
        <f>[3]CZ_decarb_opex!F79</f>
        <v>1.05332564962938E-4</v>
      </c>
      <c r="AN79" s="188">
        <f>[2]CZ_decarbplus_opex!AG79</f>
        <v>2.06672E-4</v>
      </c>
      <c r="AO79" s="188">
        <f>[3]CZ_decarb_opex!G79</f>
        <v>1.32975585764888E-3</v>
      </c>
      <c r="AP79" s="188">
        <f>[3]CZ_decarb_opex!H79</f>
        <v>1.6628931409732701E-3</v>
      </c>
      <c r="AQ79" s="188">
        <f>[2]CZ_decarbplus_opex!AH79</f>
        <v>2.6066099999999998E-4</v>
      </c>
      <c r="AR79" s="188">
        <f>[2]CZ_decarbplus_opex!AI79</f>
        <v>0</v>
      </c>
      <c r="AS79" s="188">
        <f>[2]CZ_decarbplus_opex!AJ79</f>
        <v>2.71721E-4</v>
      </c>
      <c r="AT79" s="188">
        <f>[2]CZ_decarbplus_opex!AK79</f>
        <v>2.2547600000000001E-4</v>
      </c>
      <c r="AU79" s="188">
        <f>[2]CZ_decarbplus_opex!AL79</f>
        <v>0.34302748399999999</v>
      </c>
      <c r="AV79" s="188">
        <f>[2]CZ_decarbplus_opex!AM79</f>
        <v>0.35510819399999999</v>
      </c>
      <c r="AW79" s="188">
        <f>[2]CZ_decarbplus_opex!AN79</f>
        <v>1.59023E-4</v>
      </c>
      <c r="AX79" s="188">
        <f>[2]CZ_decarbplus_opex!AO79</f>
        <v>0</v>
      </c>
      <c r="AY79" s="188">
        <f>[2]CZ_decarbplus_opex!AP79</f>
        <v>2.8741500000000001E-4</v>
      </c>
      <c r="AZ79" s="188">
        <f>[2]CZ_decarbplus_opex!AQ79</f>
        <v>0</v>
      </c>
      <c r="BA79" s="188">
        <f>[2]CZ_decarbplus_opex!AR79</f>
        <v>2.1030760000000002E-3</v>
      </c>
      <c r="BB79" s="188">
        <f>[2]CZ_decarbplus_opex!AS79</f>
        <v>1.2542020000000001E-3</v>
      </c>
      <c r="BC79" s="188">
        <f>[2]CZ_decarbplus_opex!AT79</f>
        <v>1.564621E-3</v>
      </c>
      <c r="BD79" s="188">
        <f>[2]CZ_decarbplus_opex!AU79</f>
        <v>4.88E-5</v>
      </c>
      <c r="BE79" s="188">
        <f>[2]CZ_decarbplus_opex!AV79</f>
        <v>7.09007E-4</v>
      </c>
      <c r="BF79" s="188">
        <f>[2]CZ_decarbplus_opex!AW79</f>
        <v>4.1699999999999997E-5</v>
      </c>
      <c r="BG79" s="188">
        <f>[2]CZ_decarbplus_opex!AX79</f>
        <v>3.24171E-4</v>
      </c>
      <c r="BH79" s="188">
        <f>[3]CZ_decarb_opex!I79</f>
        <v>1.5347428986770201E-4</v>
      </c>
      <c r="BI79" s="188">
        <f>[2]CZ_decarbplus_opex!AY79</f>
        <v>3.8565099999999998E-4</v>
      </c>
      <c r="BJ79" s="188">
        <f>[2]CZ_decarbplus_opex!AZ79</f>
        <v>2.5500499999999999E-4</v>
      </c>
      <c r="BK79" s="188">
        <f>[2]CZ_decarbplus_opex!BA79</f>
        <v>5.8904309999999998E-3</v>
      </c>
      <c r="BL79" s="188">
        <f>[2]CZ_decarbplus_opex!BB79</f>
        <v>0</v>
      </c>
      <c r="BM79" s="188">
        <f>[3]CZ_decarb_opex!J79</f>
        <v>1.12038313332212E-4</v>
      </c>
      <c r="BN79" s="188">
        <f>[3]CZ_decarb_opex!K79</f>
        <v>2.2206715993926401E-4</v>
      </c>
      <c r="BO79" s="188">
        <f>[3]CZ_decarb_opex!L79</f>
        <v>2.73919537474368E-5</v>
      </c>
      <c r="BP79" s="188">
        <f>[3]CZ_decarb_opex!M79</f>
        <v>6.0723741115526398E-5</v>
      </c>
      <c r="BQ79" s="188">
        <f>[3]CZ_decarb_opex!N79</f>
        <v>5.1102090322221402E-5</v>
      </c>
      <c r="BR79" s="188">
        <f>[3]CZ_decarb_opex!O79</f>
        <v>1.4698050002193199E-4</v>
      </c>
      <c r="BS79" s="188">
        <f>[3]CZ_decarb_opex!P79</f>
        <v>5.1429926478649803E-4</v>
      </c>
      <c r="BT79" s="188">
        <f>[3]CZ_decarb_opex!Q79</f>
        <v>3.7500954841145201E-5</v>
      </c>
      <c r="BU79" s="188">
        <f>[3]CZ_decarb_opex!R79</f>
        <v>1.1257975608851001E-5</v>
      </c>
      <c r="BV79" s="188">
        <f>[3]CZ_decarb_opex!S79</f>
        <v>1.1257975608851001E-5</v>
      </c>
      <c r="BW79" s="188">
        <f>[3]CZ_decarb_opex!T79</f>
        <v>2.7710362954976299E-5</v>
      </c>
      <c r="BX79" s="188">
        <f>[3]CZ_decarb_opex!U79</f>
        <v>2.3887445002438601E-6</v>
      </c>
      <c r="BY79" s="188">
        <f>[3]CZ_decarb_opex!V79</f>
        <v>1.7424716262445301E-5</v>
      </c>
      <c r="BZ79" s="188">
        <f>[2]CZ_decarbplus_opex!BC79</f>
        <v>9.0600000000000007E-5</v>
      </c>
      <c r="CA79" s="188">
        <f>[2]CZ_decarbplus_opex!BD79</f>
        <v>7.9200000000000001E-5</v>
      </c>
      <c r="CB79" s="188">
        <f>[2]CZ_decarbplus_opex!BE79</f>
        <v>7.08E-5</v>
      </c>
      <c r="CC79" s="188">
        <f>[2]CZ_decarbplus_opex!BF79</f>
        <v>2.03501E-4</v>
      </c>
      <c r="CD79" s="188">
        <f>[2]CZ_decarbplus_opex!BG79</f>
        <v>1.55296E-4</v>
      </c>
      <c r="CE79" s="188">
        <f>[2]CZ_decarbplus_opex!BH79</f>
        <v>1.4724599999999999E-4</v>
      </c>
      <c r="CF79" s="188">
        <f>[2]CZ_decarbplus_opex!BI79</f>
        <v>4.0945599999999999E-4</v>
      </c>
      <c r="CG79" s="188">
        <f>[2]CZ_decarbplus_opex!BJ79</f>
        <v>4.32E-5</v>
      </c>
    </row>
    <row r="80" spans="1:85" x14ac:dyDescent="0.25">
      <c r="A80" s="5" t="s">
        <v>179</v>
      </c>
      <c r="B80" s="2" t="s">
        <v>178</v>
      </c>
      <c r="C80" s="1" t="s">
        <v>329</v>
      </c>
      <c r="D80" s="187">
        <f>[2]CZ_decarbplus_opex!B80</f>
        <v>2.0000000000000002E-5</v>
      </c>
      <c r="E80" s="187">
        <f>[2]CZ_decarbplus_opex!C80</f>
        <v>1.2099999999999999E-5</v>
      </c>
      <c r="F80" s="187">
        <f>[2]CZ_decarbplus_opex!D80</f>
        <v>1.22E-5</v>
      </c>
      <c r="G80" s="187">
        <f>[2]CZ_decarbplus_opex!E80</f>
        <v>1.84E-6</v>
      </c>
      <c r="H80" s="187">
        <f>[2]CZ_decarbplus_opex!F80</f>
        <v>3.0599999999999999E-6</v>
      </c>
      <c r="I80" s="187">
        <f>[2]CZ_decarbplus_opex!G80</f>
        <v>2.5199999999999999E-5</v>
      </c>
      <c r="J80" s="187">
        <f>[2]CZ_decarbplus_opex!H80</f>
        <v>4.0899999999999998E-5</v>
      </c>
      <c r="K80" s="187">
        <f>[2]CZ_decarbplus_opex!I80</f>
        <v>1.47E-5</v>
      </c>
      <c r="L80" s="187">
        <f>[2]CZ_decarbplus_opex!J80</f>
        <v>1.6799999999999998E-5</v>
      </c>
      <c r="M80" s="187">
        <f>[2]CZ_decarbplus_opex!K80</f>
        <v>4.5899999999999998E-5</v>
      </c>
      <c r="N80" s="187">
        <f>[2]CZ_decarbplus_opex!L80</f>
        <v>3.82E-5</v>
      </c>
      <c r="O80" s="187">
        <f>[2]CZ_decarbplus_opex!M80</f>
        <v>2.34E-5</v>
      </c>
      <c r="P80" s="187">
        <f>[2]CZ_decarbplus_opex!N80</f>
        <v>4.2799999999999997E-5</v>
      </c>
      <c r="Q80" s="187">
        <f>[2]CZ_decarbplus_opex!O80</f>
        <v>2.9099999999999999E-5</v>
      </c>
      <c r="R80" s="187">
        <f>[2]CZ_decarbplus_opex!P80</f>
        <v>1.8600000000000001E-5</v>
      </c>
      <c r="S80" s="187">
        <f>[2]CZ_decarbplus_opex!Q80</f>
        <v>5.41E-5</v>
      </c>
      <c r="T80" s="187">
        <f>[2]CZ_decarbplus_opex!R80</f>
        <v>9.2499999999999999E-5</v>
      </c>
      <c r="U80" s="187">
        <f>[2]CZ_decarbplus_opex!S80</f>
        <v>7.0699999999999997E-5</v>
      </c>
      <c r="V80" s="187">
        <f>[2]CZ_decarbplus_opex!T80</f>
        <v>5.9500000000000003E-5</v>
      </c>
      <c r="W80" s="187">
        <f>[2]CZ_decarbplus_opex!U80</f>
        <v>6.2199999999999994E-5</v>
      </c>
      <c r="X80" s="187">
        <f>[2]CZ_decarbplus_opex!V80</f>
        <v>2.05E-5</v>
      </c>
      <c r="Y80" s="187">
        <f>[2]CZ_decarbplus_opex!W80</f>
        <v>2.97E-5</v>
      </c>
      <c r="Z80" s="187">
        <f>[2]CZ_decarbplus_opex!X80</f>
        <v>8.3499999999999997E-5</v>
      </c>
      <c r="AA80" s="187">
        <f>[2]CZ_decarbplus_opex!Y80</f>
        <v>1.11668E-4</v>
      </c>
      <c r="AB80" s="188">
        <f>[3]CZ_decarb_opex!B80</f>
        <v>2.02632353177162E-4</v>
      </c>
      <c r="AC80" s="188">
        <f>[3]CZ_decarb_opex!C80</f>
        <v>3.8060453314709099E-5</v>
      </c>
      <c r="AD80" s="188">
        <f>[3]CZ_decarb_opex!D80</f>
        <v>3.1749141964156797E-5</v>
      </c>
      <c r="AE80" s="188">
        <f>[2]CZ_decarbplus_opex!Z80</f>
        <v>2.4899999999999999E-5</v>
      </c>
      <c r="AF80" s="188">
        <f>[2]CZ_decarbplus_opex!AA80</f>
        <v>2.0687E-4</v>
      </c>
      <c r="AG80" s="188">
        <f>[2]CZ_decarbplus_opex!AB80</f>
        <v>1.05363E-4</v>
      </c>
      <c r="AH80" s="188">
        <f>[2]CZ_decarbplus_opex!AC80</f>
        <v>4.1699999999999997E-5</v>
      </c>
      <c r="AI80" s="188">
        <f>[2]CZ_decarbplus_opex!AD80</f>
        <v>5.7299999999999997E-5</v>
      </c>
      <c r="AJ80" s="188">
        <f>[2]CZ_decarbplus_opex!AE80</f>
        <v>1.3747799999999999E-4</v>
      </c>
      <c r="AK80" s="188">
        <f>[2]CZ_decarbplus_opex!AF80</f>
        <v>5.4599999999999999E-5</v>
      </c>
      <c r="AL80" s="188">
        <f>[3]CZ_decarb_opex!E80</f>
        <v>5.99056327879187E-5</v>
      </c>
      <c r="AM80" s="188">
        <f>[3]CZ_decarb_opex!F80</f>
        <v>5.3617834842718798E-5</v>
      </c>
      <c r="AN80" s="188">
        <f>[2]CZ_decarbplus_opex!AG80</f>
        <v>1.15915E-4</v>
      </c>
      <c r="AO80" s="188">
        <f>[3]CZ_decarb_opex!G80</f>
        <v>7.7134573911632402E-4</v>
      </c>
      <c r="AP80" s="188">
        <f>[3]CZ_decarb_opex!H80</f>
        <v>9.5988244200042195E-4</v>
      </c>
      <c r="AQ80" s="188">
        <f>[2]CZ_decarbplus_opex!AH80</f>
        <v>1.7325199999999999E-4</v>
      </c>
      <c r="AR80" s="188">
        <f>[2]CZ_decarbplus_opex!AI80</f>
        <v>0</v>
      </c>
      <c r="AS80" s="188">
        <f>[2]CZ_decarbplus_opex!AJ80</f>
        <v>1.69195E-4</v>
      </c>
      <c r="AT80" s="188">
        <f>[2]CZ_decarbplus_opex!AK80</f>
        <v>1.48381E-4</v>
      </c>
      <c r="AU80" s="188">
        <f>[2]CZ_decarbplus_opex!AL80</f>
        <v>0.17282090999999999</v>
      </c>
      <c r="AV80" s="188">
        <f>[2]CZ_decarbplus_opex!AM80</f>
        <v>0.17683897500000001</v>
      </c>
      <c r="AW80" s="188">
        <f>[2]CZ_decarbplus_opex!AN80</f>
        <v>8.8900000000000006E-5</v>
      </c>
      <c r="AX80" s="188">
        <f>[2]CZ_decarbplus_opex!AO80</f>
        <v>0</v>
      </c>
      <c r="AY80" s="188">
        <f>[2]CZ_decarbplus_opex!AP80</f>
        <v>1.3512999999999999E-4</v>
      </c>
      <c r="AZ80" s="188">
        <f>[2]CZ_decarbplus_opex!AQ80</f>
        <v>0</v>
      </c>
      <c r="BA80" s="188">
        <f>[2]CZ_decarbplus_opex!AR80</f>
        <v>1.2053859999999999E-3</v>
      </c>
      <c r="BB80" s="188">
        <f>[2]CZ_decarbplus_opex!AS80</f>
        <v>8.1915799999999995E-4</v>
      </c>
      <c r="BC80" s="188">
        <f>[2]CZ_decarbplus_opex!AT80</f>
        <v>9.2586000000000003E-4</v>
      </c>
      <c r="BD80" s="188">
        <f>[2]CZ_decarbplus_opex!AU80</f>
        <v>2.9300000000000001E-5</v>
      </c>
      <c r="BE80" s="188">
        <f>[2]CZ_decarbplus_opex!AV80</f>
        <v>4.0591299999999999E-4</v>
      </c>
      <c r="BF80" s="188">
        <f>[2]CZ_decarbplus_opex!AW80</f>
        <v>2.5000000000000001E-5</v>
      </c>
      <c r="BG80" s="188">
        <f>[2]CZ_decarbplus_opex!AX80</f>
        <v>1.9224800000000001E-4</v>
      </c>
      <c r="BH80" s="188">
        <f>[3]CZ_decarb_opex!I80</f>
        <v>8.9683780166885605E-5</v>
      </c>
      <c r="BI80" s="188">
        <f>[2]CZ_decarbplus_opex!AY80</f>
        <v>2.1573E-4</v>
      </c>
      <c r="BJ80" s="188">
        <f>[2]CZ_decarbplus_opex!AZ80</f>
        <v>1.46773E-4</v>
      </c>
      <c r="BK80" s="188">
        <f>[2]CZ_decarbplus_opex!BA80</f>
        <v>3.2475310000000001E-3</v>
      </c>
      <c r="BL80" s="188">
        <f>[2]CZ_decarbplus_opex!BB80</f>
        <v>0</v>
      </c>
      <c r="BM80" s="188">
        <f>[3]CZ_decarb_opex!J80</f>
        <v>3.96634452463612E-5</v>
      </c>
      <c r="BN80" s="188">
        <f>[3]CZ_decarb_opex!K80</f>
        <v>7.7119029646661893E-5</v>
      </c>
      <c r="BO80" s="188">
        <f>[3]CZ_decarb_opex!L80</f>
        <v>9.5196854592560195E-6</v>
      </c>
      <c r="BP80" s="188">
        <f>[3]CZ_decarb_opex!M80</f>
        <v>1.8792608708883699E-5</v>
      </c>
      <c r="BQ80" s="188">
        <f>[3]CZ_decarb_opex!N80</f>
        <v>1.3087224760444701E-5</v>
      </c>
      <c r="BR80" s="188">
        <f>[3]CZ_decarb_opex!O80</f>
        <v>5.7253850920473801E-5</v>
      </c>
      <c r="BS80" s="188">
        <f>[3]CZ_decarb_opex!P80</f>
        <v>2.1913789620190601E-4</v>
      </c>
      <c r="BT80" s="188">
        <f>[3]CZ_decarb_opex!Q80</f>
        <v>2.82482191229469E-5</v>
      </c>
      <c r="BU80" s="188">
        <f>[3]CZ_decarb_opex!R80</f>
        <v>7.7272316256915602E-6</v>
      </c>
      <c r="BV80" s="188">
        <f>[3]CZ_decarb_opex!S80</f>
        <v>7.7272316256915704E-6</v>
      </c>
      <c r="BW80" s="188">
        <f>[3]CZ_decarb_opex!T80</f>
        <v>8.2186970516571902E-6</v>
      </c>
      <c r="BX80" s="188">
        <f>[3]CZ_decarb_opex!U80</f>
        <v>7.472065792786E-7</v>
      </c>
      <c r="BY80" s="188">
        <f>[3]CZ_decarb_opex!V80</f>
        <v>3.7351784684731298E-6</v>
      </c>
      <c r="BZ80" s="188">
        <f>[2]CZ_decarbplus_opex!BC80</f>
        <v>3.1199999999999999E-5</v>
      </c>
      <c r="CA80" s="188">
        <f>[2]CZ_decarbplus_opex!BD80</f>
        <v>5.8400000000000003E-5</v>
      </c>
      <c r="CB80" s="188">
        <f>[2]CZ_decarbplus_opex!BE80</f>
        <v>5.1199999999999998E-5</v>
      </c>
      <c r="CC80" s="188">
        <f>[2]CZ_decarbplus_opex!BF80</f>
        <v>1.7399700000000001E-4</v>
      </c>
      <c r="CD80" s="188">
        <f>[2]CZ_decarbplus_opex!BG80</f>
        <v>6.6400000000000001E-5</v>
      </c>
      <c r="CE80" s="188">
        <f>[2]CZ_decarbplus_opex!BH80</f>
        <v>3.3699999999999999E-5</v>
      </c>
      <c r="CF80" s="188">
        <f>[2]CZ_decarbplus_opex!BI80</f>
        <v>2.2579300000000001E-4</v>
      </c>
      <c r="CG80" s="188">
        <f>[2]CZ_decarbplus_opex!BJ80</f>
        <v>1.5500000000000001E-5</v>
      </c>
    </row>
    <row r="81" spans="1:85" x14ac:dyDescent="0.25">
      <c r="A81" s="5" t="s">
        <v>181</v>
      </c>
      <c r="B81" s="2" t="s">
        <v>180</v>
      </c>
      <c r="C81" s="1" t="s">
        <v>329</v>
      </c>
      <c r="D81" s="187">
        <f>[2]CZ_decarbplus_opex!B81</f>
        <v>4.0200000000000001E-5</v>
      </c>
      <c r="E81" s="187">
        <f>[2]CZ_decarbplus_opex!C81</f>
        <v>2.2500000000000001E-5</v>
      </c>
      <c r="F81" s="187">
        <f>[2]CZ_decarbplus_opex!D81</f>
        <v>1.77E-5</v>
      </c>
      <c r="G81" s="187">
        <f>[2]CZ_decarbplus_opex!E81</f>
        <v>4.2599999999999999E-6</v>
      </c>
      <c r="H81" s="187">
        <f>[2]CZ_decarbplus_opex!F81</f>
        <v>5.0699999999999997E-6</v>
      </c>
      <c r="I81" s="187">
        <f>[2]CZ_decarbplus_opex!G81</f>
        <v>3.8800000000000001E-5</v>
      </c>
      <c r="J81" s="187">
        <f>[2]CZ_decarbplus_opex!H81</f>
        <v>9.5199999999999997E-5</v>
      </c>
      <c r="K81" s="187">
        <f>[2]CZ_decarbplus_opex!I81</f>
        <v>6.6000000000000003E-6</v>
      </c>
      <c r="L81" s="187">
        <f>[2]CZ_decarbplus_opex!J81</f>
        <v>3.04E-5</v>
      </c>
      <c r="M81" s="187">
        <f>[2]CZ_decarbplus_opex!K81</f>
        <v>8.1799999999999996E-5</v>
      </c>
      <c r="N81" s="187">
        <f>[2]CZ_decarbplus_opex!L81</f>
        <v>9.9300000000000001E-5</v>
      </c>
      <c r="O81" s="187">
        <f>[2]CZ_decarbplus_opex!M81</f>
        <v>4.1300000000000001E-5</v>
      </c>
      <c r="P81" s="187">
        <f>[2]CZ_decarbplus_opex!N81</f>
        <v>7.9499999999999994E-5</v>
      </c>
      <c r="Q81" s="187">
        <f>[2]CZ_decarbplus_opex!O81</f>
        <v>3.6300000000000001E-5</v>
      </c>
      <c r="R81" s="187">
        <f>[2]CZ_decarbplus_opex!P81</f>
        <v>3.18E-5</v>
      </c>
      <c r="S81" s="187">
        <f>[2]CZ_decarbplus_opex!Q81</f>
        <v>1.18484E-4</v>
      </c>
      <c r="T81" s="187">
        <f>[2]CZ_decarbplus_opex!R81</f>
        <v>2.5923899999999998E-4</v>
      </c>
      <c r="U81" s="187">
        <f>[2]CZ_decarbplus_opex!S81</f>
        <v>1.4888100000000001E-4</v>
      </c>
      <c r="V81" s="187">
        <f>[2]CZ_decarbplus_opex!T81</f>
        <v>1.08712E-4</v>
      </c>
      <c r="W81" s="187">
        <f>[2]CZ_decarbplus_opex!U81</f>
        <v>9.9900000000000002E-5</v>
      </c>
      <c r="X81" s="187">
        <f>[2]CZ_decarbplus_opex!V81</f>
        <v>3.6300000000000001E-5</v>
      </c>
      <c r="Y81" s="187">
        <f>[2]CZ_decarbplus_opex!W81</f>
        <v>2.65E-5</v>
      </c>
      <c r="Z81" s="187">
        <f>[2]CZ_decarbplus_opex!X81</f>
        <v>1.7192600000000001E-4</v>
      </c>
      <c r="AA81" s="187">
        <f>[2]CZ_decarbplus_opex!Y81</f>
        <v>1.41633E-4</v>
      </c>
      <c r="AB81" s="188">
        <f>[3]CZ_decarb_opex!B81</f>
        <v>1.70865505160655E-4</v>
      </c>
      <c r="AC81" s="188">
        <f>[3]CZ_decarb_opex!C81</f>
        <v>2.9650870049547701E-4</v>
      </c>
      <c r="AD81" s="188">
        <f>[3]CZ_decarb_opex!D81</f>
        <v>9.2161331207673403E-5</v>
      </c>
      <c r="AE81" s="188">
        <f>[2]CZ_decarbplus_opex!Z81</f>
        <v>7.0199999999999999E-5</v>
      </c>
      <c r="AF81" s="188">
        <f>[2]CZ_decarbplus_opex!AA81</f>
        <v>6.8580699999999997E-4</v>
      </c>
      <c r="AG81" s="188">
        <f>[2]CZ_decarbplus_opex!AB81</f>
        <v>2.1477900000000001E-4</v>
      </c>
      <c r="AH81" s="188">
        <f>[2]CZ_decarbplus_opex!AC81</f>
        <v>1.0944E-4</v>
      </c>
      <c r="AI81" s="188">
        <f>[2]CZ_decarbplus_opex!AD81</f>
        <v>1.3946E-4</v>
      </c>
      <c r="AJ81" s="188">
        <f>[2]CZ_decarbplus_opex!AE81</f>
        <v>1.16051E-4</v>
      </c>
      <c r="AK81" s="188">
        <f>[2]CZ_decarbplus_opex!AF81</f>
        <v>1.5812000000000001E-4</v>
      </c>
      <c r="AL81" s="188">
        <f>[3]CZ_decarb_opex!E81</f>
        <v>1.27248029846097E-4</v>
      </c>
      <c r="AM81" s="188">
        <f>[3]CZ_decarb_opex!F81</f>
        <v>1.2949897074048E-4</v>
      </c>
      <c r="AN81" s="188">
        <f>[2]CZ_decarbplus_opex!AG81</f>
        <v>1.8248299999999999E-4</v>
      </c>
      <c r="AO81" s="188">
        <f>[3]CZ_decarb_opex!G81</f>
        <v>2.8194570115600199E-3</v>
      </c>
      <c r="AP81" s="188">
        <f>[3]CZ_decarb_opex!H81</f>
        <v>3.1359811455271701E-3</v>
      </c>
      <c r="AQ81" s="188">
        <f>[2]CZ_decarbplus_opex!AH81</f>
        <v>1.9563879999999999E-3</v>
      </c>
      <c r="AR81" s="188">
        <f>[2]CZ_decarbplus_opex!AI81</f>
        <v>0</v>
      </c>
      <c r="AS81" s="188">
        <f>[2]CZ_decarbplus_opex!AJ81</f>
        <v>1.6135030000000001E-3</v>
      </c>
      <c r="AT81" s="188">
        <f>[2]CZ_decarbplus_opex!AK81</f>
        <v>1.278602E-3</v>
      </c>
      <c r="AU81" s="188">
        <f>[2]CZ_decarbplus_opex!AL81</f>
        <v>9.7E-5</v>
      </c>
      <c r="AV81" s="188">
        <f>[2]CZ_decarbplus_opex!AM81</f>
        <v>6.0699999999999998E-5</v>
      </c>
      <c r="AW81" s="188">
        <f>[2]CZ_decarbplus_opex!AN81</f>
        <v>0.371808472</v>
      </c>
      <c r="AX81" s="188">
        <f>[2]CZ_decarbplus_opex!AO81</f>
        <v>0</v>
      </c>
      <c r="AY81" s="188">
        <f>[2]CZ_decarbplus_opex!AP81</f>
        <v>1.2875160000000001E-3</v>
      </c>
      <c r="AZ81" s="188">
        <f>[2]CZ_decarbplus_opex!AQ81</f>
        <v>0</v>
      </c>
      <c r="BA81" s="188">
        <f>[2]CZ_decarbplus_opex!AR81</f>
        <v>4.1399660000000001E-3</v>
      </c>
      <c r="BB81" s="188">
        <f>[2]CZ_decarbplus_opex!AS81</f>
        <v>4.5915069999999999E-3</v>
      </c>
      <c r="BC81" s="188">
        <f>[2]CZ_decarbplus_opex!AT81</f>
        <v>5.6218450000000003E-3</v>
      </c>
      <c r="BD81" s="188">
        <f>[2]CZ_decarbplus_opex!AU81</f>
        <v>8.9499999999999994E-5</v>
      </c>
      <c r="BE81" s="188">
        <f>[2]CZ_decarbplus_opex!AV81</f>
        <v>1.3625646999999999E-2</v>
      </c>
      <c r="BF81" s="188">
        <f>[2]CZ_decarbplus_opex!AW81</f>
        <v>1.44673E-4</v>
      </c>
      <c r="BG81" s="188">
        <f>[2]CZ_decarbplus_opex!AX81</f>
        <v>3.3774429999999999E-3</v>
      </c>
      <c r="BH81" s="188">
        <f>[3]CZ_decarb_opex!I81</f>
        <v>2.66629744245051E-4</v>
      </c>
      <c r="BI81" s="188">
        <f>[2]CZ_decarbplus_opex!AY81</f>
        <v>1.4130989999999999E-3</v>
      </c>
      <c r="BJ81" s="188">
        <f>[2]CZ_decarbplus_opex!AZ81</f>
        <v>6.1457500000000002E-4</v>
      </c>
      <c r="BK81" s="188">
        <f>[2]CZ_decarbplus_opex!BA81</f>
        <v>2.7936697999999999E-2</v>
      </c>
      <c r="BL81" s="188">
        <f>[2]CZ_decarbplus_opex!BB81</f>
        <v>0</v>
      </c>
      <c r="BM81" s="188">
        <f>[3]CZ_decarb_opex!J81</f>
        <v>1.5187950887589401E-4</v>
      </c>
      <c r="BN81" s="188">
        <f>[3]CZ_decarb_opex!K81</f>
        <v>3.0415012623066898E-4</v>
      </c>
      <c r="BO81" s="188">
        <f>[3]CZ_decarb_opex!L81</f>
        <v>3.40307977815541E-5</v>
      </c>
      <c r="BP81" s="188">
        <f>[3]CZ_decarb_opex!M81</f>
        <v>8.2195983414110597E-5</v>
      </c>
      <c r="BQ81" s="188">
        <f>[3]CZ_decarb_opex!N81</f>
        <v>9.2782515768875898E-5</v>
      </c>
      <c r="BR81" s="188">
        <f>[3]CZ_decarb_opex!O81</f>
        <v>4.8007642632627698E-4</v>
      </c>
      <c r="BS81" s="188">
        <f>[3]CZ_decarb_opex!P81</f>
        <v>3.1227448488731902E-4</v>
      </c>
      <c r="BT81" s="188">
        <f>[3]CZ_decarb_opex!Q81</f>
        <v>1.47466077870211E-4</v>
      </c>
      <c r="BU81" s="188">
        <f>[3]CZ_decarb_opex!R81</f>
        <v>1.0326482894561E-5</v>
      </c>
      <c r="BV81" s="188">
        <f>[3]CZ_decarb_opex!S81</f>
        <v>1.0326482894561E-5</v>
      </c>
      <c r="BW81" s="188">
        <f>[3]CZ_decarb_opex!T81</f>
        <v>9.2710739926508395E-5</v>
      </c>
      <c r="BX81" s="188">
        <f>[3]CZ_decarb_opex!U81</f>
        <v>9.1494115368673706E-6</v>
      </c>
      <c r="BY81" s="188">
        <f>[3]CZ_decarb_opex!V81</f>
        <v>3.5629356396544201E-5</v>
      </c>
      <c r="BZ81" s="188">
        <f>[2]CZ_decarbplus_opex!BC81</f>
        <v>1.19268E-4</v>
      </c>
      <c r="CA81" s="188">
        <f>[2]CZ_decarbplus_opex!BD81</f>
        <v>5.1900000000000001E-5</v>
      </c>
      <c r="CB81" s="188">
        <f>[2]CZ_decarbplus_opex!BE81</f>
        <v>4.99E-5</v>
      </c>
      <c r="CC81" s="188">
        <f>[2]CZ_decarbplus_opex!BF81</f>
        <v>1.11377E-4</v>
      </c>
      <c r="CD81" s="188">
        <f>[2]CZ_decarbplus_opex!BG81</f>
        <v>2.2299599999999999E-4</v>
      </c>
      <c r="CE81" s="188">
        <f>[2]CZ_decarbplus_opex!BH81</f>
        <v>1.15586E-4</v>
      </c>
      <c r="CF81" s="188">
        <f>[2]CZ_decarbplus_opex!BI81</f>
        <v>7.5789E-4</v>
      </c>
      <c r="CG81" s="188">
        <f>[2]CZ_decarbplus_opex!BJ81</f>
        <v>6.3200000000000005E-5</v>
      </c>
    </row>
    <row r="82" spans="1:85" x14ac:dyDescent="0.25">
      <c r="A82" s="5" t="s">
        <v>183</v>
      </c>
      <c r="B82" s="2" t="s">
        <v>182</v>
      </c>
      <c r="C82" s="1" t="s">
        <v>329</v>
      </c>
      <c r="D82" s="187">
        <f>[2]CZ_decarbplus_opex!B82</f>
        <v>1.1199999999999999E-5</v>
      </c>
      <c r="E82" s="187">
        <f>[2]CZ_decarbplus_opex!C82</f>
        <v>1.9599999999999999E-6</v>
      </c>
      <c r="F82" s="187">
        <f>[2]CZ_decarbplus_opex!D82</f>
        <v>1.15E-6</v>
      </c>
      <c r="G82" s="187">
        <f>[2]CZ_decarbplus_opex!E82</f>
        <v>1.5599999999999999E-7</v>
      </c>
      <c r="H82" s="187">
        <f>[2]CZ_decarbplus_opex!F82</f>
        <v>3.0899999999999997E-7</v>
      </c>
      <c r="I82" s="187">
        <f>[2]CZ_decarbplus_opex!G82</f>
        <v>3.3000000000000002E-6</v>
      </c>
      <c r="J82" s="187">
        <f>[2]CZ_decarbplus_opex!H82</f>
        <v>5.5400000000000003E-6</v>
      </c>
      <c r="K82" s="187">
        <f>[2]CZ_decarbplus_opex!I82</f>
        <v>4.3599999999999999E-7</v>
      </c>
      <c r="L82" s="187">
        <f>[2]CZ_decarbplus_opex!J82</f>
        <v>2.5799999999999999E-6</v>
      </c>
      <c r="M82" s="187">
        <f>[2]CZ_decarbplus_opex!K82</f>
        <v>6.7800000000000003E-6</v>
      </c>
      <c r="N82" s="187">
        <f>[2]CZ_decarbplus_opex!L82</f>
        <v>4.33E-6</v>
      </c>
      <c r="O82" s="187">
        <f>[2]CZ_decarbplus_opex!M82</f>
        <v>4.7600000000000002E-6</v>
      </c>
      <c r="P82" s="187">
        <f>[2]CZ_decarbplus_opex!N82</f>
        <v>8.32E-6</v>
      </c>
      <c r="Q82" s="187">
        <f>[2]CZ_decarbplus_opex!O82</f>
        <v>2.43E-6</v>
      </c>
      <c r="R82" s="187">
        <f>[2]CZ_decarbplus_opex!P82</f>
        <v>2.8600000000000001E-6</v>
      </c>
      <c r="S82" s="187">
        <f>[2]CZ_decarbplus_opex!Q82</f>
        <v>8.5299999999999996E-6</v>
      </c>
      <c r="T82" s="187">
        <f>[2]CZ_decarbplus_opex!R82</f>
        <v>1.7200000000000001E-5</v>
      </c>
      <c r="U82" s="187">
        <f>[2]CZ_decarbplus_opex!S82</f>
        <v>9.9199999999999999E-6</v>
      </c>
      <c r="V82" s="187">
        <f>[2]CZ_decarbplus_opex!T82</f>
        <v>6.8900000000000001E-6</v>
      </c>
      <c r="W82" s="187">
        <f>[2]CZ_decarbplus_opex!U82</f>
        <v>6.8199999999999999E-6</v>
      </c>
      <c r="X82" s="187">
        <f>[2]CZ_decarbplus_opex!V82</f>
        <v>2.4899999999999999E-6</v>
      </c>
      <c r="Y82" s="187">
        <f>[2]CZ_decarbplus_opex!W82</f>
        <v>1.33E-6</v>
      </c>
      <c r="Z82" s="187">
        <f>[2]CZ_decarbplus_opex!X82</f>
        <v>9.7899999999999994E-6</v>
      </c>
      <c r="AA82" s="187">
        <f>[2]CZ_decarbplus_opex!Y82</f>
        <v>1.2799999999999999E-5</v>
      </c>
      <c r="AB82" s="188">
        <f>[3]CZ_decarb_opex!B82</f>
        <v>1.5951605619348199E-5</v>
      </c>
      <c r="AC82" s="188">
        <f>[3]CZ_decarb_opex!C82</f>
        <v>9.1110088622434701E-6</v>
      </c>
      <c r="AD82" s="188">
        <f>[3]CZ_decarb_opex!D82</f>
        <v>3.96898461778239E-6</v>
      </c>
      <c r="AE82" s="188">
        <f>[2]CZ_decarbplus_opex!Z82</f>
        <v>3.5499999999999999E-6</v>
      </c>
      <c r="AF82" s="188">
        <f>[2]CZ_decarbplus_opex!AA82</f>
        <v>5.8499999999999999E-5</v>
      </c>
      <c r="AG82" s="188">
        <f>[2]CZ_decarbplus_opex!AB82</f>
        <v>2.1800000000000001E-5</v>
      </c>
      <c r="AH82" s="188">
        <f>[2]CZ_decarbplus_opex!AC82</f>
        <v>9.8400000000000007E-6</v>
      </c>
      <c r="AI82" s="188">
        <f>[2]CZ_decarbplus_opex!AD82</f>
        <v>1.22E-5</v>
      </c>
      <c r="AJ82" s="188">
        <f>[2]CZ_decarbplus_opex!AE82</f>
        <v>1.2500000000000001E-5</v>
      </c>
      <c r="AK82" s="188">
        <f>[2]CZ_decarbplus_opex!AF82</f>
        <v>1.26E-5</v>
      </c>
      <c r="AL82" s="188">
        <f>[3]CZ_decarb_opex!E82</f>
        <v>1.31872783137378E-5</v>
      </c>
      <c r="AM82" s="188">
        <f>[3]CZ_decarb_opex!F82</f>
        <v>1.2041321898687E-5</v>
      </c>
      <c r="AN82" s="188">
        <f>[2]CZ_decarbplus_opex!AG82</f>
        <v>1.56E-5</v>
      </c>
      <c r="AO82" s="188">
        <f>[3]CZ_decarb_opex!G82</f>
        <v>2.03969700218559E-4</v>
      </c>
      <c r="AP82" s="188">
        <f>[3]CZ_decarb_opex!H82</f>
        <v>2.2493989954695701E-4</v>
      </c>
      <c r="AQ82" s="188">
        <f>[2]CZ_decarbplus_opex!AH82</f>
        <v>1.41526E-4</v>
      </c>
      <c r="AR82" s="188">
        <f>[2]CZ_decarbplus_opex!AI82</f>
        <v>0</v>
      </c>
      <c r="AS82" s="188">
        <f>[2]CZ_decarbplus_opex!AJ82</f>
        <v>1.1764000000000001E-4</v>
      </c>
      <c r="AT82" s="188">
        <f>[2]CZ_decarbplus_opex!AK82</f>
        <v>9.6199999999999994E-5</v>
      </c>
      <c r="AU82" s="188">
        <f>[2]CZ_decarbplus_opex!AL82</f>
        <v>5.4700000000000001E-6</v>
      </c>
      <c r="AV82" s="188">
        <f>[2]CZ_decarbplus_opex!AM82</f>
        <v>3.6600000000000001E-6</v>
      </c>
      <c r="AW82" s="188">
        <f>[2]CZ_decarbplus_opex!AN82</f>
        <v>2.6050659E-2</v>
      </c>
      <c r="AX82" s="188">
        <f>[2]CZ_decarbplus_opex!AO82</f>
        <v>0</v>
      </c>
      <c r="AY82" s="188">
        <f>[2]CZ_decarbplus_opex!AP82</f>
        <v>8.7499999999999999E-5</v>
      </c>
      <c r="AZ82" s="188">
        <f>[2]CZ_decarbplus_opex!AQ82</f>
        <v>0</v>
      </c>
      <c r="BA82" s="188">
        <f>[2]CZ_decarbplus_opex!AR82</f>
        <v>3.00869E-4</v>
      </c>
      <c r="BB82" s="188">
        <f>[2]CZ_decarbplus_opex!AS82</f>
        <v>3.4092999999999998E-4</v>
      </c>
      <c r="BC82" s="188">
        <f>[2]CZ_decarbplus_opex!AT82</f>
        <v>4.0989299999999999E-4</v>
      </c>
      <c r="BD82" s="188">
        <f>[2]CZ_decarbplus_opex!AU82</f>
        <v>1.4100000000000001E-5</v>
      </c>
      <c r="BE82" s="188">
        <f>[2]CZ_decarbplus_opex!AV82</f>
        <v>9.6010500000000005E-4</v>
      </c>
      <c r="BF82" s="188">
        <f>[2]CZ_decarbplus_opex!AW82</f>
        <v>1.0200000000000001E-5</v>
      </c>
      <c r="BG82" s="188">
        <f>[2]CZ_decarbplus_opex!AX82</f>
        <v>2.4042200000000001E-4</v>
      </c>
      <c r="BH82" s="188">
        <f>[3]CZ_decarb_opex!I82</f>
        <v>2.48179044551278E-5</v>
      </c>
      <c r="BI82" s="188">
        <f>[2]CZ_decarbplus_opex!AY82</f>
        <v>1.0446300000000001E-4</v>
      </c>
      <c r="BJ82" s="188">
        <f>[2]CZ_decarbplus_opex!AZ82</f>
        <v>5.0399999999999999E-5</v>
      </c>
      <c r="BK82" s="188">
        <f>[2]CZ_decarbplus_opex!BA82</f>
        <v>1.9534349999999999E-3</v>
      </c>
      <c r="BL82" s="188">
        <f>[2]CZ_decarbplus_opex!BB82</f>
        <v>0</v>
      </c>
      <c r="BM82" s="188">
        <f>[3]CZ_decarb_opex!J82</f>
        <v>1.36295854817307E-5</v>
      </c>
      <c r="BN82" s="188">
        <f>[3]CZ_decarb_opex!K82</f>
        <v>2.6338478337909901E-5</v>
      </c>
      <c r="BO82" s="188">
        <f>[3]CZ_decarb_opex!L82</f>
        <v>3.5428383741703301E-6</v>
      </c>
      <c r="BP82" s="188">
        <f>[3]CZ_decarb_opex!M82</f>
        <v>4.0436116726382602E-6</v>
      </c>
      <c r="BQ82" s="188">
        <f>[3]CZ_decarb_opex!N82</f>
        <v>2.9551499129921099E-6</v>
      </c>
      <c r="BR82" s="188">
        <f>[3]CZ_decarb_opex!O82</f>
        <v>1.99242351468759E-5</v>
      </c>
      <c r="BS82" s="188">
        <f>[3]CZ_decarb_opex!P82</f>
        <v>2.4530358770158598E-5</v>
      </c>
      <c r="BT82" s="188">
        <f>[3]CZ_decarb_opex!Q82</f>
        <v>3.12264420219156E-4</v>
      </c>
      <c r="BU82" s="188">
        <f>[3]CZ_decarb_opex!R82</f>
        <v>1.7149777832530399E-6</v>
      </c>
      <c r="BV82" s="188">
        <f>[3]CZ_decarb_opex!S82</f>
        <v>1.7149777832530399E-6</v>
      </c>
      <c r="BW82" s="188">
        <f>[3]CZ_decarb_opex!T82</f>
        <v>2.8220396785200401E-6</v>
      </c>
      <c r="BX82" s="188">
        <f>[3]CZ_decarb_opex!U82</f>
        <v>9.7047520431913693E-7</v>
      </c>
      <c r="BY82" s="188">
        <f>[3]CZ_decarb_opex!V82</f>
        <v>3.9839556271831899E-6</v>
      </c>
      <c r="BZ82" s="188">
        <f>[2]CZ_decarbplus_opex!BC82</f>
        <v>1.0000000000000001E-5</v>
      </c>
      <c r="CA82" s="188">
        <f>[2]CZ_decarbplus_opex!BD82</f>
        <v>3.1599999999999998E-6</v>
      </c>
      <c r="CB82" s="188">
        <f>[2]CZ_decarbplus_opex!BE82</f>
        <v>3.67E-6</v>
      </c>
      <c r="CC82" s="188">
        <f>[2]CZ_decarbplus_opex!BF82</f>
        <v>1.4300000000000001E-6</v>
      </c>
      <c r="CD82" s="188">
        <f>[2]CZ_decarbplus_opex!BG82</f>
        <v>2.4499999999999999E-5</v>
      </c>
      <c r="CE82" s="188">
        <f>[2]CZ_decarbplus_opex!BH82</f>
        <v>1.03E-5</v>
      </c>
      <c r="CF82" s="188">
        <f>[2]CZ_decarbplus_opex!BI82</f>
        <v>5.8699999999999997E-5</v>
      </c>
      <c r="CG82" s="188">
        <f>[2]CZ_decarbplus_opex!BJ82</f>
        <v>2.5100000000000001E-6</v>
      </c>
    </row>
    <row r="83" spans="1:85" x14ac:dyDescent="0.25">
      <c r="A83" s="5" t="s">
        <v>185</v>
      </c>
      <c r="B83" s="2" t="s">
        <v>184</v>
      </c>
      <c r="C83" s="1" t="s">
        <v>329</v>
      </c>
      <c r="D83" s="187">
        <f>[2]CZ_decarbplus_opex!B83</f>
        <v>8.9600000000000006E-6</v>
      </c>
      <c r="E83" s="187">
        <f>[2]CZ_decarbplus_opex!C83</f>
        <v>2.6199999999999999E-6</v>
      </c>
      <c r="F83" s="187">
        <f>[2]CZ_decarbplus_opex!D83</f>
        <v>3.05E-6</v>
      </c>
      <c r="G83" s="187">
        <f>[2]CZ_decarbplus_opex!E83</f>
        <v>1.37E-7</v>
      </c>
      <c r="H83" s="187">
        <f>[2]CZ_decarbplus_opex!F83</f>
        <v>2.16E-7</v>
      </c>
      <c r="I83" s="187">
        <f>[2]CZ_decarbplus_opex!G83</f>
        <v>2.8100000000000002E-6</v>
      </c>
      <c r="J83" s="187">
        <f>[2]CZ_decarbplus_opex!H83</f>
        <v>3.5099999999999999E-6</v>
      </c>
      <c r="K83" s="187">
        <f>[2]CZ_decarbplus_opex!I83</f>
        <v>4.0499999999999999E-7</v>
      </c>
      <c r="L83" s="187">
        <f>[2]CZ_decarbplus_opex!J83</f>
        <v>3.49E-6</v>
      </c>
      <c r="M83" s="187">
        <f>[2]CZ_decarbplus_opex!K83</f>
        <v>6.2099999999999998E-6</v>
      </c>
      <c r="N83" s="187">
        <f>[2]CZ_decarbplus_opex!L83</f>
        <v>1.0499999999999999E-5</v>
      </c>
      <c r="O83" s="187">
        <f>[2]CZ_decarbplus_opex!M83</f>
        <v>4.7999999999999998E-6</v>
      </c>
      <c r="P83" s="187">
        <f>[2]CZ_decarbplus_opex!N83</f>
        <v>9.5699999999999999E-6</v>
      </c>
      <c r="Q83" s="187">
        <f>[2]CZ_decarbplus_opex!O83</f>
        <v>6.1600000000000003E-6</v>
      </c>
      <c r="R83" s="187">
        <f>[2]CZ_decarbplus_opex!P83</f>
        <v>1.4600000000000001E-5</v>
      </c>
      <c r="S83" s="187">
        <f>[2]CZ_decarbplus_opex!Q83</f>
        <v>8.4700000000000002E-6</v>
      </c>
      <c r="T83" s="187">
        <f>[2]CZ_decarbplus_opex!R83</f>
        <v>1.19E-5</v>
      </c>
      <c r="U83" s="187">
        <f>[2]CZ_decarbplus_opex!S83</f>
        <v>7.5800000000000003E-6</v>
      </c>
      <c r="V83" s="187">
        <f>[2]CZ_decarbplus_opex!T83</f>
        <v>9.5100000000000004E-6</v>
      </c>
      <c r="W83" s="187">
        <f>[2]CZ_decarbplus_opex!U83</f>
        <v>1.0200000000000001E-5</v>
      </c>
      <c r="X83" s="187">
        <f>[2]CZ_decarbplus_opex!V83</f>
        <v>3.9999999999999998E-6</v>
      </c>
      <c r="Y83" s="187">
        <f>[2]CZ_decarbplus_opex!W83</f>
        <v>2.5799999999999999E-6</v>
      </c>
      <c r="Z83" s="187">
        <f>[2]CZ_decarbplus_opex!X83</f>
        <v>1.43E-5</v>
      </c>
      <c r="AA83" s="187">
        <f>[2]CZ_decarbplus_opex!Y83</f>
        <v>1.15E-5</v>
      </c>
      <c r="AB83" s="188">
        <f>[3]CZ_decarb_opex!B83</f>
        <v>9.0366496289934003E-6</v>
      </c>
      <c r="AC83" s="188">
        <f>[3]CZ_decarb_opex!C83</f>
        <v>3.34515584742981E-5</v>
      </c>
      <c r="AD83" s="188">
        <f>[3]CZ_decarb_opex!D83</f>
        <v>8.6431424388801692E-6</v>
      </c>
      <c r="AE83" s="188">
        <f>[2]CZ_decarbplus_opex!Z83</f>
        <v>5.6799999999999998E-6</v>
      </c>
      <c r="AF83" s="188">
        <f>[2]CZ_decarbplus_opex!AA83</f>
        <v>5.77E-5</v>
      </c>
      <c r="AG83" s="188">
        <f>[2]CZ_decarbplus_opex!AB83</f>
        <v>3.8699999999999999E-5</v>
      </c>
      <c r="AH83" s="188">
        <f>[2]CZ_decarbplus_opex!AC83</f>
        <v>2.0000000000000002E-5</v>
      </c>
      <c r="AI83" s="188">
        <f>[2]CZ_decarbplus_opex!AD83</f>
        <v>2.1999999999999999E-5</v>
      </c>
      <c r="AJ83" s="188">
        <f>[2]CZ_decarbplus_opex!AE83</f>
        <v>1.8499999999999999E-5</v>
      </c>
      <c r="AK83" s="188">
        <f>[2]CZ_decarbplus_opex!AF83</f>
        <v>2.27E-5</v>
      </c>
      <c r="AL83" s="188">
        <f>[3]CZ_decarb_opex!E83</f>
        <v>1.3348433603170399E-5</v>
      </c>
      <c r="AM83" s="188">
        <f>[3]CZ_decarb_opex!F83</f>
        <v>1.59591542313412E-5</v>
      </c>
      <c r="AN83" s="188">
        <f>[2]CZ_decarbplus_opex!AG83</f>
        <v>1.68469E-4</v>
      </c>
      <c r="AO83" s="188">
        <f>[3]CZ_decarb_opex!G83</f>
        <v>4.2062223061010602E-3</v>
      </c>
      <c r="AP83" s="188">
        <f>[3]CZ_decarb_opex!H83</f>
        <v>4.2852975296679002E-3</v>
      </c>
      <c r="AQ83" s="188">
        <f>[2]CZ_decarbplus_opex!AH83</f>
        <v>1.5211000000000001E-3</v>
      </c>
      <c r="AR83" s="188">
        <f>[2]CZ_decarbplus_opex!AI83</f>
        <v>0</v>
      </c>
      <c r="AS83" s="188">
        <f>[2]CZ_decarbplus_opex!AJ83</f>
        <v>2.5445157999999999E-2</v>
      </c>
      <c r="AT83" s="188">
        <f>[2]CZ_decarbplus_opex!AK83</f>
        <v>2.7390742999999999E-2</v>
      </c>
      <c r="AU83" s="188">
        <f>[2]CZ_decarbplus_opex!AL83</f>
        <v>7.7100000000000007E-6</v>
      </c>
      <c r="AV83" s="188">
        <f>[2]CZ_decarbplus_opex!AM83</f>
        <v>6.8600000000000004E-6</v>
      </c>
      <c r="AW83" s="188">
        <f>[2]CZ_decarbplus_opex!AN83</f>
        <v>2.1092763E-2</v>
      </c>
      <c r="AX83" s="188">
        <f>[2]CZ_decarbplus_opex!AO83</f>
        <v>0</v>
      </c>
      <c r="AY83" s="188">
        <f>[2]CZ_decarbplus_opex!AP83</f>
        <v>9.6640989999999996E-2</v>
      </c>
      <c r="AZ83" s="188">
        <f>[2]CZ_decarbplus_opex!AQ83</f>
        <v>0</v>
      </c>
      <c r="BA83" s="188">
        <f>[2]CZ_decarbplus_opex!AR83</f>
        <v>8.9968289999999996E-3</v>
      </c>
      <c r="BB83" s="188">
        <f>[2]CZ_decarbplus_opex!AS83</f>
        <v>1.3782390000000001E-3</v>
      </c>
      <c r="BC83" s="188">
        <f>[2]CZ_decarbplus_opex!AT83</f>
        <v>1.223191E-3</v>
      </c>
      <c r="BD83" s="188">
        <f>[2]CZ_decarbplus_opex!AU83</f>
        <v>2.9899999999999998E-5</v>
      </c>
      <c r="BE83" s="188">
        <f>[2]CZ_decarbplus_opex!AV83</f>
        <v>1.047805E-3</v>
      </c>
      <c r="BF83" s="188">
        <f>[2]CZ_decarbplus_opex!AW83</f>
        <v>1.9199999999999999E-5</v>
      </c>
      <c r="BG83" s="188">
        <f>[2]CZ_decarbplus_opex!AX83</f>
        <v>6.9811899999999997E-4</v>
      </c>
      <c r="BH83" s="188">
        <f>[3]CZ_decarb_opex!I83</f>
        <v>9.3596404351459206E-5</v>
      </c>
      <c r="BI83" s="188">
        <f>[2]CZ_decarbplus_opex!AY83</f>
        <v>9.7292899999999998E-4</v>
      </c>
      <c r="BJ83" s="188">
        <f>[2]CZ_decarbplus_opex!AZ83</f>
        <v>3.8625529999999999E-3</v>
      </c>
      <c r="BK83" s="188">
        <f>[2]CZ_decarbplus_opex!BA83</f>
        <v>5.7057210000000004E-3</v>
      </c>
      <c r="BL83" s="188">
        <f>[2]CZ_decarbplus_opex!BB83</f>
        <v>0</v>
      </c>
      <c r="BM83" s="188">
        <f>[3]CZ_decarb_opex!J83</f>
        <v>1.0837874321367199E-5</v>
      </c>
      <c r="BN83" s="188">
        <f>[3]CZ_decarb_opex!K83</f>
        <v>1.8869888058554199E-5</v>
      </c>
      <c r="BO83" s="188">
        <f>[3]CZ_decarb_opex!L83</f>
        <v>5.4660033261106397E-6</v>
      </c>
      <c r="BP83" s="188">
        <f>[3]CZ_decarb_opex!M83</f>
        <v>1.05423626010099E-5</v>
      </c>
      <c r="BQ83" s="188">
        <f>[3]CZ_decarb_opex!N83</f>
        <v>1.46290812918585E-5</v>
      </c>
      <c r="BR83" s="188">
        <f>[3]CZ_decarb_opex!O83</f>
        <v>2.4682630383344401E-6</v>
      </c>
      <c r="BS83" s="188">
        <f>[3]CZ_decarb_opex!P83</f>
        <v>8.8651488098675392E-6</v>
      </c>
      <c r="BT83" s="188">
        <f>[3]CZ_decarb_opex!Q83</f>
        <v>2.4601197121680698E-4</v>
      </c>
      <c r="BU83" s="188">
        <f>[3]CZ_decarb_opex!R83</f>
        <v>2.0783453776497499E-6</v>
      </c>
      <c r="BV83" s="188">
        <f>[3]CZ_decarb_opex!S83</f>
        <v>2.0783453776497499E-6</v>
      </c>
      <c r="BW83" s="188">
        <f>[3]CZ_decarb_opex!T83</f>
        <v>2.9373928187649601E-6</v>
      </c>
      <c r="BX83" s="188">
        <f>[3]CZ_decarb_opex!U83</f>
        <v>2.6151007337408199E-6</v>
      </c>
      <c r="BY83" s="188">
        <f>[3]CZ_decarb_opex!V83</f>
        <v>4.9438736703605402E-6</v>
      </c>
      <c r="BZ83" s="188">
        <f>[2]CZ_decarbplus_opex!BC83</f>
        <v>1.06E-5</v>
      </c>
      <c r="CA83" s="188">
        <f>[2]CZ_decarbplus_opex!BD83</f>
        <v>6.0100000000000001E-6</v>
      </c>
      <c r="CB83" s="188">
        <f>[2]CZ_decarbplus_opex!BE83</f>
        <v>4.8600000000000001E-6</v>
      </c>
      <c r="CC83" s="188">
        <f>[2]CZ_decarbplus_opex!BF83</f>
        <v>4.2200000000000003E-6</v>
      </c>
      <c r="CD83" s="188">
        <f>[2]CZ_decarbplus_opex!BG83</f>
        <v>1.6699999999999999E-5</v>
      </c>
      <c r="CE83" s="188">
        <f>[2]CZ_decarbplus_opex!BH83</f>
        <v>1.3200000000000001E-5</v>
      </c>
      <c r="CF83" s="188">
        <f>[2]CZ_decarbplus_opex!BI83</f>
        <v>7.8200000000000003E-5</v>
      </c>
      <c r="CG83" s="188">
        <f>[2]CZ_decarbplus_opex!BJ83</f>
        <v>1.5299999999999999E-5</v>
      </c>
    </row>
    <row r="84" spans="1:85" x14ac:dyDescent="0.25">
      <c r="A84" s="5" t="s">
        <v>187</v>
      </c>
      <c r="B84" s="2" t="s">
        <v>186</v>
      </c>
      <c r="C84" s="1" t="s">
        <v>329</v>
      </c>
      <c r="D84" s="187">
        <f>[2]CZ_decarbplus_opex!B84</f>
        <v>1.0800000000000001E-8</v>
      </c>
      <c r="E84" s="187">
        <f>[2]CZ_decarbplus_opex!C84</f>
        <v>6.6400000000000002E-9</v>
      </c>
      <c r="F84" s="187">
        <f>[2]CZ_decarbplus_opex!D84</f>
        <v>6.5400000000000003E-8</v>
      </c>
      <c r="G84" s="187">
        <f>[2]CZ_decarbplus_opex!E84</f>
        <v>1.37E-9</v>
      </c>
      <c r="H84" s="187">
        <f>[2]CZ_decarbplus_opex!F84</f>
        <v>6.3799999999999997E-10</v>
      </c>
      <c r="I84" s="187">
        <f>[2]CZ_decarbplus_opex!G84</f>
        <v>1.29E-8</v>
      </c>
      <c r="J84" s="187">
        <f>[2]CZ_decarbplus_opex!H84</f>
        <v>3.3499999999999998E-9</v>
      </c>
      <c r="K84" s="187">
        <f>[2]CZ_decarbplus_opex!I84</f>
        <v>4.25E-9</v>
      </c>
      <c r="L84" s="187">
        <f>[2]CZ_decarbplus_opex!J84</f>
        <v>3.7100000000000001E-8</v>
      </c>
      <c r="M84" s="187">
        <f>[2]CZ_decarbplus_opex!K84</f>
        <v>1.6899999999999999E-7</v>
      </c>
      <c r="N84" s="187">
        <f>[2]CZ_decarbplus_opex!L84</f>
        <v>3.7E-8</v>
      </c>
      <c r="O84" s="187">
        <f>[2]CZ_decarbplus_opex!M84</f>
        <v>3.3000000000000002E-9</v>
      </c>
      <c r="P84" s="187">
        <f>[2]CZ_decarbplus_opex!N84</f>
        <v>1.8199999999999999E-7</v>
      </c>
      <c r="Q84" s="187">
        <f>[2]CZ_decarbplus_opex!O84</f>
        <v>1.01E-7</v>
      </c>
      <c r="R84" s="187">
        <f>[2]CZ_decarbplus_opex!P84</f>
        <v>1.1000000000000001E-6</v>
      </c>
      <c r="S84" s="187">
        <f>[2]CZ_decarbplus_opex!Q84</f>
        <v>1.68E-7</v>
      </c>
      <c r="T84" s="187">
        <f>[2]CZ_decarbplus_opex!R84</f>
        <v>1.7700000000000001E-7</v>
      </c>
      <c r="U84" s="187">
        <f>[2]CZ_decarbplus_opex!S84</f>
        <v>3.8299999999999999E-8</v>
      </c>
      <c r="V84" s="187">
        <f>[2]CZ_decarbplus_opex!T84</f>
        <v>4.7500000000000002E-8</v>
      </c>
      <c r="W84" s="187">
        <f>[2]CZ_decarbplus_opex!U84</f>
        <v>2.22E-7</v>
      </c>
      <c r="X84" s="187">
        <f>[2]CZ_decarbplus_opex!V84</f>
        <v>2.0100000000000001E-8</v>
      </c>
      <c r="Y84" s="187">
        <f>[2]CZ_decarbplus_opex!W84</f>
        <v>2.4100000000000001E-8</v>
      </c>
      <c r="Z84" s="187">
        <f>[2]CZ_decarbplus_opex!X84</f>
        <v>4.03E-7</v>
      </c>
      <c r="AA84" s="187">
        <f>[2]CZ_decarbplus_opex!Y84</f>
        <v>8.5199999999999995E-8</v>
      </c>
      <c r="AB84" s="188">
        <f>[3]CZ_decarb_opex!B84</f>
        <v>8.6035397783405394E-8</v>
      </c>
      <c r="AC84" s="188">
        <f>[3]CZ_decarb_opex!C84</f>
        <v>8.4765890244920008E-9</v>
      </c>
      <c r="AD84" s="188">
        <f>[3]CZ_decarb_opex!D84</f>
        <v>7.1281056474228395E-8</v>
      </c>
      <c r="AE84" s="188">
        <f>[2]CZ_decarbplus_opex!Z84</f>
        <v>1.35E-8</v>
      </c>
      <c r="AF84" s="188">
        <f>[2]CZ_decarbplus_opex!AA84</f>
        <v>4.4399999999999998E-6</v>
      </c>
      <c r="AG84" s="188">
        <f>[2]CZ_decarbplus_opex!AB84</f>
        <v>2.3099999999999999E-6</v>
      </c>
      <c r="AH84" s="188">
        <f>[2]CZ_decarbplus_opex!AC84</f>
        <v>5.5099999999999997E-8</v>
      </c>
      <c r="AI84" s="188">
        <f>[2]CZ_decarbplus_opex!AD84</f>
        <v>2.1799999999999999E-7</v>
      </c>
      <c r="AJ84" s="188">
        <f>[2]CZ_decarbplus_opex!AE84</f>
        <v>6.6100000000000003E-8</v>
      </c>
      <c r="AK84" s="188">
        <f>[2]CZ_decarbplus_opex!AF84</f>
        <v>1.2800000000000001E-7</v>
      </c>
      <c r="AL84" s="188">
        <f>[3]CZ_decarb_opex!E84</f>
        <v>7.8836990771720995E-8</v>
      </c>
      <c r="AM84" s="188">
        <f>[3]CZ_decarb_opex!F84</f>
        <v>9.2304704422628905E-8</v>
      </c>
      <c r="AN84" s="188">
        <f>[2]CZ_decarbplus_opex!AG84</f>
        <v>1.34E-5</v>
      </c>
      <c r="AO84" s="188">
        <f>[3]CZ_decarb_opex!G84</f>
        <v>3.6702367043394698E-4</v>
      </c>
      <c r="AP84" s="188">
        <f>[3]CZ_decarb_opex!H84</f>
        <v>3.7492763881250398E-4</v>
      </c>
      <c r="AQ84" s="188">
        <f>[2]CZ_decarbplus_opex!AH84</f>
        <v>1.3159700000000001E-4</v>
      </c>
      <c r="AR84" s="188">
        <f>[2]CZ_decarbplus_opex!AI84</f>
        <v>0</v>
      </c>
      <c r="AS84" s="188">
        <f>[2]CZ_decarbplus_opex!AJ84</f>
        <v>2.2452610000000001E-3</v>
      </c>
      <c r="AT84" s="188">
        <f>[2]CZ_decarbplus_opex!AK84</f>
        <v>2.4236399999999999E-3</v>
      </c>
      <c r="AU84" s="188">
        <f>[2]CZ_decarbplus_opex!AL84</f>
        <v>3.1300000000000002E-8</v>
      </c>
      <c r="AV84" s="188">
        <f>[2]CZ_decarbplus_opex!AM84</f>
        <v>2.4900000000000001E-8</v>
      </c>
      <c r="AW84" s="188">
        <f>[2]CZ_decarbplus_opex!AN84</f>
        <v>1.8552099999999999E-3</v>
      </c>
      <c r="AX84" s="188">
        <f>[2]CZ_decarbplus_opex!AO84</f>
        <v>0</v>
      </c>
      <c r="AY84" s="188">
        <f>[2]CZ_decarbplus_opex!AP84</f>
        <v>8.4431990000000002E-3</v>
      </c>
      <c r="AZ84" s="188">
        <f>[2]CZ_decarbplus_opex!AQ84</f>
        <v>0</v>
      </c>
      <c r="BA84" s="188">
        <f>[2]CZ_decarbplus_opex!AR84</f>
        <v>7.9186000000000002E-4</v>
      </c>
      <c r="BB84" s="188">
        <f>[2]CZ_decarbplus_opex!AS84</f>
        <v>1.17924E-4</v>
      </c>
      <c r="BC84" s="188">
        <f>[2]CZ_decarbplus_opex!AT84</f>
        <v>1.05295E-4</v>
      </c>
      <c r="BD84" s="188">
        <f>[2]CZ_decarbplus_opex!AU84</f>
        <v>1.53E-6</v>
      </c>
      <c r="BE84" s="188">
        <f>[2]CZ_decarbplus_opex!AV84</f>
        <v>9.1500000000000001E-5</v>
      </c>
      <c r="BF84" s="188">
        <f>[2]CZ_decarbplus_opex!AW84</f>
        <v>1.0100000000000001E-6</v>
      </c>
      <c r="BG84" s="188">
        <f>[2]CZ_decarbplus_opex!AX84</f>
        <v>6.0000000000000002E-5</v>
      </c>
      <c r="BH84" s="188">
        <f>[3]CZ_decarb_opex!I84</f>
        <v>7.0829288802974696E-6</v>
      </c>
      <c r="BI84" s="188">
        <f>[2]CZ_decarbplus_opex!AY84</f>
        <v>8.3999999999999995E-5</v>
      </c>
      <c r="BJ84" s="188">
        <f>[2]CZ_decarbplus_opex!AZ84</f>
        <v>3.38628E-4</v>
      </c>
      <c r="BK84" s="188">
        <f>[2]CZ_decarbplus_opex!BA84</f>
        <v>5.0250999999999996E-4</v>
      </c>
      <c r="BL84" s="188">
        <f>[2]CZ_decarbplus_opex!BB84</f>
        <v>0</v>
      </c>
      <c r="BM84" s="188">
        <f>[3]CZ_decarb_opex!J84</f>
        <v>2.0712417064868401E-7</v>
      </c>
      <c r="BN84" s="188">
        <f>[3]CZ_decarb_opex!K84</f>
        <v>2.8328601953452798E-7</v>
      </c>
      <c r="BO84" s="188">
        <f>[3]CZ_decarb_opex!L84</f>
        <v>3.89805725116517E-8</v>
      </c>
      <c r="BP84" s="188">
        <f>[3]CZ_decarb_opex!M84</f>
        <v>4.6851485057264701E-8</v>
      </c>
      <c r="BQ84" s="188">
        <f>[3]CZ_decarb_opex!N84</f>
        <v>3.3206537214747597E-8</v>
      </c>
      <c r="BR84" s="188">
        <f>[3]CZ_decarb_opex!O84</f>
        <v>7.8604909072974002E-8</v>
      </c>
      <c r="BS84" s="188">
        <f>[3]CZ_decarb_opex!P84</f>
        <v>2.4697540768162898E-7</v>
      </c>
      <c r="BT84" s="188">
        <f>[3]CZ_decarb_opex!Q84</f>
        <v>9.53467422533602E-7</v>
      </c>
      <c r="BU84" s="188">
        <f>[3]CZ_decarb_opex!R84</f>
        <v>2.1324305506285199E-8</v>
      </c>
      <c r="BV84" s="188">
        <f>[3]CZ_decarb_opex!S84</f>
        <v>2.1324305506285199E-8</v>
      </c>
      <c r="BW84" s="188">
        <f>[3]CZ_decarb_opex!T84</f>
        <v>1.71849031988797E-8</v>
      </c>
      <c r="BX84" s="188">
        <f>[3]CZ_decarb_opex!U84</f>
        <v>3.08678492730288E-7</v>
      </c>
      <c r="BY84" s="188">
        <f>[3]CZ_decarb_opex!V84</f>
        <v>2.05415151076479E-9</v>
      </c>
      <c r="BZ84" s="188">
        <f>[2]CZ_decarbplus_opex!BC84</f>
        <v>1.8300000000000001E-7</v>
      </c>
      <c r="CA84" s="188">
        <f>[2]CZ_decarbplus_opex!BD84</f>
        <v>1.3899999999999999E-7</v>
      </c>
      <c r="CB84" s="188">
        <f>[2]CZ_decarbplus_opex!BE84</f>
        <v>4.3299999999999997E-8</v>
      </c>
      <c r="CC84" s="188">
        <f>[2]CZ_decarbplus_opex!BF84</f>
        <v>4.2699999999999999E-8</v>
      </c>
      <c r="CD84" s="188">
        <f>[2]CZ_decarbplus_opex!BG84</f>
        <v>6.1799999999999995E-7</v>
      </c>
      <c r="CE84" s="188">
        <f>[2]CZ_decarbplus_opex!BH84</f>
        <v>1.6299999999999999E-7</v>
      </c>
      <c r="CF84" s="188">
        <f>[2]CZ_decarbplus_opex!BI84</f>
        <v>6.3199999999999996E-6</v>
      </c>
      <c r="CG84" s="188">
        <f>[2]CZ_decarbplus_opex!BJ84</f>
        <v>6.4300000000000003E-7</v>
      </c>
    </row>
    <row r="85" spans="1:85" x14ac:dyDescent="0.25">
      <c r="A85" s="5" t="s">
        <v>189</v>
      </c>
      <c r="B85" s="2" t="s">
        <v>188</v>
      </c>
      <c r="C85" s="1" t="s">
        <v>329</v>
      </c>
      <c r="D85" s="187">
        <f>[2]CZ_decarbplus_opex!B85</f>
        <v>8.5400000000000002E-5</v>
      </c>
      <c r="E85" s="187">
        <f>[2]CZ_decarbplus_opex!C85</f>
        <v>4.8099999999999997E-5</v>
      </c>
      <c r="F85" s="187">
        <f>[2]CZ_decarbplus_opex!D85</f>
        <v>3.3699999999999999E-5</v>
      </c>
      <c r="G85" s="187">
        <f>[2]CZ_decarbplus_opex!E85</f>
        <v>4.9200000000000003E-6</v>
      </c>
      <c r="H85" s="187">
        <f>[2]CZ_decarbplus_opex!F85</f>
        <v>8.8300000000000002E-6</v>
      </c>
      <c r="I85" s="187">
        <f>[2]CZ_decarbplus_opex!G85</f>
        <v>1.14082E-4</v>
      </c>
      <c r="J85" s="187">
        <f>[2]CZ_decarbplus_opex!H85</f>
        <v>1.33392E-4</v>
      </c>
      <c r="K85" s="187">
        <f>[2]CZ_decarbplus_opex!I85</f>
        <v>1.5500000000000001E-5</v>
      </c>
      <c r="L85" s="187">
        <f>[2]CZ_decarbplus_opex!J85</f>
        <v>9.4400000000000004E-5</v>
      </c>
      <c r="M85" s="187">
        <f>[2]CZ_decarbplus_opex!K85</f>
        <v>2.7483500000000002E-4</v>
      </c>
      <c r="N85" s="187">
        <f>[2]CZ_decarbplus_opex!L85</f>
        <v>1.483E-4</v>
      </c>
      <c r="O85" s="187">
        <f>[2]CZ_decarbplus_opex!M85</f>
        <v>1.194227E-3</v>
      </c>
      <c r="P85" s="187">
        <f>[2]CZ_decarbplus_opex!N85</f>
        <v>1.98679E-4</v>
      </c>
      <c r="Q85" s="187">
        <f>[2]CZ_decarbplus_opex!O85</f>
        <v>9.59E-5</v>
      </c>
      <c r="R85" s="187">
        <f>[2]CZ_decarbplus_opex!P85</f>
        <v>9.8200000000000002E-5</v>
      </c>
      <c r="S85" s="187">
        <f>[2]CZ_decarbplus_opex!Q85</f>
        <v>2.9986699999999999E-4</v>
      </c>
      <c r="T85" s="187">
        <f>[2]CZ_decarbplus_opex!R85</f>
        <v>5.1825000000000005E-4</v>
      </c>
      <c r="U85" s="187">
        <f>[2]CZ_decarbplus_opex!S85</f>
        <v>3.3523E-4</v>
      </c>
      <c r="V85" s="187">
        <f>[2]CZ_decarbplus_opex!T85</f>
        <v>3.4419600000000001E-4</v>
      </c>
      <c r="W85" s="187">
        <f>[2]CZ_decarbplus_opex!U85</f>
        <v>3.59489E-4</v>
      </c>
      <c r="X85" s="187">
        <f>[2]CZ_decarbplus_opex!V85</f>
        <v>7.0500000000000006E-5</v>
      </c>
      <c r="Y85" s="187">
        <f>[2]CZ_decarbplus_opex!W85</f>
        <v>6.4455899999999995E-4</v>
      </c>
      <c r="Z85" s="187">
        <f>[2]CZ_decarbplus_opex!X85</f>
        <v>6.1211900000000005E-4</v>
      </c>
      <c r="AA85" s="187">
        <f>[2]CZ_decarbplus_opex!Y85</f>
        <v>8.9073199999999998E-4</v>
      </c>
      <c r="AB85" s="188">
        <f>[3]CZ_decarb_opex!B85</f>
        <v>7.5522760802157696E-5</v>
      </c>
      <c r="AC85" s="188">
        <f>[3]CZ_decarb_opex!C85</f>
        <v>1.92548061627304E-4</v>
      </c>
      <c r="AD85" s="188">
        <f>[3]CZ_decarb_opex!D85</f>
        <v>2.21789908323414E-4</v>
      </c>
      <c r="AE85" s="188">
        <f>[2]CZ_decarbplus_opex!Z85</f>
        <v>1.82282E-4</v>
      </c>
      <c r="AF85" s="188">
        <f>[2]CZ_decarbplus_opex!AA85</f>
        <v>5.9412899999999999E-4</v>
      </c>
      <c r="AG85" s="188">
        <f>[2]CZ_decarbplus_opex!AB85</f>
        <v>1.005064E-3</v>
      </c>
      <c r="AH85" s="188">
        <f>[2]CZ_decarbplus_opex!AC85</f>
        <v>2.8414299999999999E-4</v>
      </c>
      <c r="AI85" s="188">
        <f>[2]CZ_decarbplus_opex!AD85</f>
        <v>4.54473E-4</v>
      </c>
      <c r="AJ85" s="188">
        <f>[2]CZ_decarbplus_opex!AE85</f>
        <v>4.0474400000000001E-4</v>
      </c>
      <c r="AK85" s="188">
        <f>[2]CZ_decarbplus_opex!AF85</f>
        <v>4.4417700000000003E-4</v>
      </c>
      <c r="AL85" s="188">
        <f>[3]CZ_decarb_opex!E85</f>
        <v>1.43372700206412E-3</v>
      </c>
      <c r="AM85" s="188">
        <f>[3]CZ_decarb_opex!F85</f>
        <v>1.3148948221556099E-3</v>
      </c>
      <c r="AN85" s="188">
        <f>[2]CZ_decarbplus_opex!AG85</f>
        <v>1.335288E-3</v>
      </c>
      <c r="AO85" s="188">
        <f>[3]CZ_decarb_opex!G85</f>
        <v>6.16658202414841E-2</v>
      </c>
      <c r="AP85" s="188">
        <f>[3]CZ_decarb_opex!H85</f>
        <v>7.2741771567330402E-2</v>
      </c>
      <c r="AQ85" s="188">
        <f>[2]CZ_decarbplus_opex!AH85</f>
        <v>1.2459138999999999E-2</v>
      </c>
      <c r="AR85" s="188">
        <f>[2]CZ_decarbplus_opex!AI85</f>
        <v>0</v>
      </c>
      <c r="AS85" s="188">
        <f>[2]CZ_decarbplus_opex!AJ85</f>
        <v>8.3381050000000002E-3</v>
      </c>
      <c r="AT85" s="188">
        <f>[2]CZ_decarbplus_opex!AK85</f>
        <v>6.876269E-3</v>
      </c>
      <c r="AU85" s="188">
        <f>[2]CZ_decarbplus_opex!AL85</f>
        <v>1.9055020000000001E-3</v>
      </c>
      <c r="AV85" s="188">
        <f>[2]CZ_decarbplus_opex!AM85</f>
        <v>1.2186230000000001E-3</v>
      </c>
      <c r="AW85" s="188">
        <f>[2]CZ_decarbplus_opex!AN85</f>
        <v>3.7425190000000001E-3</v>
      </c>
      <c r="AX85" s="188">
        <f>[2]CZ_decarbplus_opex!AO85</f>
        <v>0</v>
      </c>
      <c r="AY85" s="188">
        <f>[2]CZ_decarbplus_opex!AP85</f>
        <v>4.5298500000000002E-3</v>
      </c>
      <c r="AZ85" s="188">
        <f>[2]CZ_decarbplus_opex!AQ85</f>
        <v>0</v>
      </c>
      <c r="BA85" s="188">
        <f>[2]CZ_decarbplus_opex!AR85</f>
        <v>7.3945383000000003E-2</v>
      </c>
      <c r="BB85" s="188">
        <f>[2]CZ_decarbplus_opex!AS85</f>
        <v>2.0617785E-2</v>
      </c>
      <c r="BC85" s="188">
        <f>[2]CZ_decarbplus_opex!AT85</f>
        <v>4.2783024000000003E-2</v>
      </c>
      <c r="BD85" s="188">
        <f>[2]CZ_decarbplus_opex!AU85</f>
        <v>3.9954900000000002E-4</v>
      </c>
      <c r="BE85" s="188">
        <f>[2]CZ_decarbplus_opex!AV85</f>
        <v>5.3924523000000002E-2</v>
      </c>
      <c r="BF85" s="188">
        <f>[2]CZ_decarbplus_opex!AW85</f>
        <v>3.6065700000000001E-4</v>
      </c>
      <c r="BG85" s="188">
        <f>[2]CZ_decarbplus_opex!AX85</f>
        <v>7.310782E-3</v>
      </c>
      <c r="BH85" s="188">
        <f>[3]CZ_decarb_opex!I85</f>
        <v>1.4726229696442199E-2</v>
      </c>
      <c r="BI85" s="188">
        <f>[2]CZ_decarbplus_opex!AY85</f>
        <v>1.9334611000000002E-2</v>
      </c>
      <c r="BJ85" s="188">
        <f>[2]CZ_decarbplus_opex!AZ85</f>
        <v>4.2557769999999997E-3</v>
      </c>
      <c r="BK85" s="188">
        <f>[2]CZ_decarbplus_opex!BA85</f>
        <v>2.1621950000000001E-2</v>
      </c>
      <c r="BL85" s="188">
        <f>[2]CZ_decarbplus_opex!BB85</f>
        <v>0</v>
      </c>
      <c r="BM85" s="188">
        <f>[3]CZ_decarb_opex!J85</f>
        <v>1.9249048856374699E-4</v>
      </c>
      <c r="BN85" s="188">
        <f>[3]CZ_decarb_opex!K85</f>
        <v>3.7767319476146398E-4</v>
      </c>
      <c r="BO85" s="188">
        <f>[3]CZ_decarb_opex!L85</f>
        <v>6.3179812383657103E-5</v>
      </c>
      <c r="BP85" s="188">
        <f>[3]CZ_decarb_opex!M85</f>
        <v>5.8495442033825303E-5</v>
      </c>
      <c r="BQ85" s="188">
        <f>[3]CZ_decarb_opex!N85</f>
        <v>4.9104388573427899E-5</v>
      </c>
      <c r="BR85" s="188">
        <f>[3]CZ_decarb_opex!O85</f>
        <v>7.1996741179571999E-4</v>
      </c>
      <c r="BS85" s="188">
        <f>[3]CZ_decarb_opex!P85</f>
        <v>3.04596919345065E-4</v>
      </c>
      <c r="BT85" s="188">
        <f>[3]CZ_decarb_opex!Q85</f>
        <v>6.7430035739826297E-4</v>
      </c>
      <c r="BU85" s="188">
        <f>[3]CZ_decarb_opex!R85</f>
        <v>2.34081359267076E-5</v>
      </c>
      <c r="BV85" s="188">
        <f>[3]CZ_decarb_opex!S85</f>
        <v>2.3408135926707702E-5</v>
      </c>
      <c r="BW85" s="188">
        <f>[3]CZ_decarb_opex!T85</f>
        <v>6.0319627475132003E-5</v>
      </c>
      <c r="BX85" s="188">
        <f>[3]CZ_decarb_opex!U85</f>
        <v>1.1007546865164701E-5</v>
      </c>
      <c r="BY85" s="188">
        <f>[3]CZ_decarb_opex!V85</f>
        <v>1.7059101685800998E-5</v>
      </c>
      <c r="BZ85" s="188">
        <f>[2]CZ_decarbplus_opex!BC85</f>
        <v>1.4079000000000001E-4</v>
      </c>
      <c r="CA85" s="188">
        <f>[2]CZ_decarbplus_opex!BD85</f>
        <v>2.3855799999999999E-4</v>
      </c>
      <c r="CB85" s="188">
        <f>[2]CZ_decarbplus_opex!BE85</f>
        <v>2.1511600000000001E-4</v>
      </c>
      <c r="CC85" s="188">
        <f>[2]CZ_decarbplus_opex!BF85</f>
        <v>7.7679300000000001E-4</v>
      </c>
      <c r="CD85" s="188">
        <f>[2]CZ_decarbplus_opex!BG85</f>
        <v>4.2489399999999999E-4</v>
      </c>
      <c r="CE85" s="188">
        <f>[2]CZ_decarbplus_opex!BH85</f>
        <v>1.282369E-3</v>
      </c>
      <c r="CF85" s="188">
        <f>[2]CZ_decarbplus_opex!BI85</f>
        <v>3.767065E-3</v>
      </c>
      <c r="CG85" s="188">
        <f>[2]CZ_decarbplus_opex!BJ85</f>
        <v>9.9699999999999998E-5</v>
      </c>
    </row>
    <row r="86" spans="1:85" x14ac:dyDescent="0.25">
      <c r="A86" s="5" t="s">
        <v>191</v>
      </c>
      <c r="B86" s="2" t="s">
        <v>190</v>
      </c>
      <c r="C86" s="1" t="s">
        <v>329</v>
      </c>
      <c r="D86" s="187">
        <f>[2]CZ_decarbplus_opex!B86</f>
        <v>3.8593569999999999E-3</v>
      </c>
      <c r="E86" s="187">
        <f>[2]CZ_decarbplus_opex!C86</f>
        <v>1.912307E-3</v>
      </c>
      <c r="F86" s="187">
        <f>[2]CZ_decarbplus_opex!D86</f>
        <v>1.1821150000000001E-3</v>
      </c>
      <c r="G86" s="187">
        <f>[2]CZ_decarbplus_opex!E86</f>
        <v>1.9836800000000001E-4</v>
      </c>
      <c r="H86" s="187">
        <f>[2]CZ_decarbplus_opex!F86</f>
        <v>3.6166600000000002E-4</v>
      </c>
      <c r="I86" s="187">
        <f>[2]CZ_decarbplus_opex!G86</f>
        <v>5.0774749999999997E-3</v>
      </c>
      <c r="J86" s="187">
        <f>[2]CZ_decarbplus_opex!H86</f>
        <v>3.993618E-3</v>
      </c>
      <c r="K86" s="187">
        <f>[2]CZ_decarbplus_opex!I86</f>
        <v>6.0698999999999996E-4</v>
      </c>
      <c r="L86" s="187">
        <f>[2]CZ_decarbplus_opex!J86</f>
        <v>2.6696020000000001E-3</v>
      </c>
      <c r="M86" s="187">
        <f>[2]CZ_decarbplus_opex!K86</f>
        <v>6.2216260000000001E-3</v>
      </c>
      <c r="N86" s="187">
        <f>[2]CZ_decarbplus_opex!L86</f>
        <v>3.8385379999999998E-3</v>
      </c>
      <c r="O86" s="187">
        <f>[2]CZ_decarbplus_opex!M86</f>
        <v>3.181087E-3</v>
      </c>
      <c r="P86" s="187">
        <f>[2]CZ_decarbplus_opex!N86</f>
        <v>1.0545827000000001E-2</v>
      </c>
      <c r="Q86" s="187">
        <f>[2]CZ_decarbplus_opex!O86</f>
        <v>3.9442119999999999E-3</v>
      </c>
      <c r="R86" s="187">
        <f>[2]CZ_decarbplus_opex!P86</f>
        <v>3.3537440000000001E-3</v>
      </c>
      <c r="S86" s="187">
        <f>[2]CZ_decarbplus_opex!Q86</f>
        <v>1.3905735000000001E-2</v>
      </c>
      <c r="T86" s="187">
        <f>[2]CZ_decarbplus_opex!R86</f>
        <v>1.4978831E-2</v>
      </c>
      <c r="U86" s="187">
        <f>[2]CZ_decarbplus_opex!S86</f>
        <v>1.090173E-2</v>
      </c>
      <c r="V86" s="187">
        <f>[2]CZ_decarbplus_opex!T86</f>
        <v>1.2988553999999999E-2</v>
      </c>
      <c r="W86" s="187">
        <f>[2]CZ_decarbplus_opex!U86</f>
        <v>9.2983479999999997E-3</v>
      </c>
      <c r="X86" s="187">
        <f>[2]CZ_decarbplus_opex!V86</f>
        <v>1.116304E-3</v>
      </c>
      <c r="Y86" s="187">
        <f>[2]CZ_decarbplus_opex!W86</f>
        <v>3.5476290000000001E-3</v>
      </c>
      <c r="Z86" s="187">
        <f>[2]CZ_decarbplus_opex!X86</f>
        <v>5.1053720000000004E-3</v>
      </c>
      <c r="AA86" s="187">
        <f>[2]CZ_decarbplus_opex!Y86</f>
        <v>5.3654151999999997E-2</v>
      </c>
      <c r="AB86" s="188">
        <f>[3]CZ_decarb_opex!B86</f>
        <v>8.8062495485758297E-4</v>
      </c>
      <c r="AC86" s="188">
        <f>[3]CZ_decarb_opex!C86</f>
        <v>3.62569614846181E-3</v>
      </c>
      <c r="AD86" s="188">
        <f>[3]CZ_decarb_opex!D86</f>
        <v>1.4774513054240199E-3</v>
      </c>
      <c r="AE86" s="188">
        <f>[2]CZ_decarbplus_opex!Z86</f>
        <v>1.318261E-3</v>
      </c>
      <c r="AF86" s="188">
        <f>[2]CZ_decarbplus_opex!AA86</f>
        <v>2.1080324000000001E-2</v>
      </c>
      <c r="AG86" s="188">
        <f>[2]CZ_decarbplus_opex!AB86</f>
        <v>1.8742182E-2</v>
      </c>
      <c r="AH86" s="188">
        <f>[2]CZ_decarbplus_opex!AC86</f>
        <v>8.2674250000000001E-3</v>
      </c>
      <c r="AI86" s="188">
        <f>[2]CZ_decarbplus_opex!AD86</f>
        <v>1.2092543000000001E-2</v>
      </c>
      <c r="AJ86" s="188">
        <f>[2]CZ_decarbplus_opex!AE86</f>
        <v>9.9806730000000007E-3</v>
      </c>
      <c r="AK86" s="188">
        <f>[2]CZ_decarbplus_opex!AF86</f>
        <v>6.9467640000000002E-3</v>
      </c>
      <c r="AL86" s="188">
        <f>[3]CZ_decarb_opex!E86</f>
        <v>1.06613766790528E-2</v>
      </c>
      <c r="AM86" s="188">
        <f>[3]CZ_decarb_opex!F86</f>
        <v>9.8672428912474491E-3</v>
      </c>
      <c r="AN86" s="188">
        <f>[2]CZ_decarbplus_opex!AG86</f>
        <v>1.5378938E-2</v>
      </c>
      <c r="AO86" s="188">
        <f>[3]CZ_decarb_opex!G86</f>
        <v>8.6184981834572197E-2</v>
      </c>
      <c r="AP86" s="188">
        <f>[3]CZ_decarb_opex!H86</f>
        <v>9.8934798526672196E-2</v>
      </c>
      <c r="AQ86" s="188">
        <f>[2]CZ_decarbplus_opex!AH86</f>
        <v>9.6366254999999998E-2</v>
      </c>
      <c r="AR86" s="188">
        <f>[2]CZ_decarbplus_opex!AI86</f>
        <v>0</v>
      </c>
      <c r="AS86" s="188">
        <f>[2]CZ_decarbplus_opex!AJ86</f>
        <v>8.5758824999999997E-2</v>
      </c>
      <c r="AT86" s="188">
        <f>[2]CZ_decarbplus_opex!AK86</f>
        <v>8.3580156000000003E-2</v>
      </c>
      <c r="AU86" s="188">
        <f>[2]CZ_decarbplus_opex!AL86</f>
        <v>1.9340386000000001E-2</v>
      </c>
      <c r="AV86" s="188">
        <f>[2]CZ_decarbplus_opex!AM86</f>
        <v>1.4899427E-2</v>
      </c>
      <c r="AW86" s="188">
        <f>[2]CZ_decarbplus_opex!AN86</f>
        <v>5.2399528000000001E-2</v>
      </c>
      <c r="AX86" s="188">
        <f>[2]CZ_decarbplus_opex!AO86</f>
        <v>0</v>
      </c>
      <c r="AY86" s="188">
        <f>[2]CZ_decarbplus_opex!AP86</f>
        <v>5.1945009E-2</v>
      </c>
      <c r="AZ86" s="188">
        <f>[2]CZ_decarbplus_opex!AQ86</f>
        <v>0</v>
      </c>
      <c r="BA86" s="188">
        <f>[2]CZ_decarbplus_opex!AR86</f>
        <v>0.16032344600000001</v>
      </c>
      <c r="BB86" s="188">
        <f>[2]CZ_decarbplus_opex!AS86</f>
        <v>0.32645389200000002</v>
      </c>
      <c r="BC86" s="188">
        <f>[2]CZ_decarbplus_opex!AT86</f>
        <v>0.183599815</v>
      </c>
      <c r="BD86" s="188">
        <f>[2]CZ_decarbplus_opex!AU86</f>
        <v>5.8480720000000002E-3</v>
      </c>
      <c r="BE86" s="188">
        <f>[2]CZ_decarbplus_opex!AV86</f>
        <v>5.7247841000000001E-2</v>
      </c>
      <c r="BF86" s="188">
        <f>[2]CZ_decarbplus_opex!AW86</f>
        <v>6.9208070000000002E-3</v>
      </c>
      <c r="BG86" s="188">
        <f>[2]CZ_decarbplus_opex!AX86</f>
        <v>2.1999399999999999E-2</v>
      </c>
      <c r="BH86" s="188">
        <f>[3]CZ_decarb_opex!I86</f>
        <v>2.2402321751589301E-2</v>
      </c>
      <c r="BI86" s="188">
        <f>[2]CZ_decarbplus_opex!AY86</f>
        <v>1.8108604E-2</v>
      </c>
      <c r="BJ86" s="188">
        <f>[2]CZ_decarbplus_opex!AZ86</f>
        <v>6.0179692E-2</v>
      </c>
      <c r="BK86" s="188">
        <f>[2]CZ_decarbplus_opex!BA86</f>
        <v>1.0796735999999999E-2</v>
      </c>
      <c r="BL86" s="188">
        <f>[2]CZ_decarbplus_opex!BB86</f>
        <v>0</v>
      </c>
      <c r="BM86" s="188">
        <f>[3]CZ_decarb_opex!J86</f>
        <v>2.87680237992269E-3</v>
      </c>
      <c r="BN86" s="188">
        <f>[3]CZ_decarb_opex!K86</f>
        <v>5.4951852727337701E-3</v>
      </c>
      <c r="BO86" s="188">
        <f>[3]CZ_decarb_opex!L86</f>
        <v>1.4139459840396701E-3</v>
      </c>
      <c r="BP86" s="188">
        <f>[3]CZ_decarb_opex!M86</f>
        <v>1.03662810863545E-3</v>
      </c>
      <c r="BQ86" s="188">
        <f>[3]CZ_decarb_opex!N86</f>
        <v>9.9895795080199895E-4</v>
      </c>
      <c r="BR86" s="188">
        <f>[3]CZ_decarb_opex!O86</f>
        <v>3.1294821900973899E-3</v>
      </c>
      <c r="BS86" s="188">
        <f>[3]CZ_decarb_opex!P86</f>
        <v>3.23948168443902E-3</v>
      </c>
      <c r="BT86" s="188">
        <f>[3]CZ_decarb_opex!Q86</f>
        <v>4.6281821114931498E-4</v>
      </c>
      <c r="BU86" s="188">
        <f>[3]CZ_decarb_opex!R86</f>
        <v>9.6843697588147202E-4</v>
      </c>
      <c r="BV86" s="188">
        <f>[3]CZ_decarb_opex!S86</f>
        <v>9.6843697588147495E-4</v>
      </c>
      <c r="BW86" s="188">
        <f>[3]CZ_decarb_opex!T86</f>
        <v>5.9066432768137504E-3</v>
      </c>
      <c r="BX86" s="188">
        <f>[3]CZ_decarb_opex!U86</f>
        <v>1.2295645877325901E-4</v>
      </c>
      <c r="BY86" s="188">
        <f>[3]CZ_decarb_opex!V86</f>
        <v>8.25421684622216E-5</v>
      </c>
      <c r="BZ86" s="188">
        <f>[2]CZ_decarbplus_opex!BC86</f>
        <v>2.440472E-3</v>
      </c>
      <c r="CA86" s="188">
        <f>[2]CZ_decarbplus_opex!BD86</f>
        <v>1.620256E-3</v>
      </c>
      <c r="CB86" s="188">
        <f>[2]CZ_decarbplus_opex!BE86</f>
        <v>1.765352E-3</v>
      </c>
      <c r="CC86" s="188">
        <f>[2]CZ_decarbplus_opex!BF86</f>
        <v>7.1565400000000003E-4</v>
      </c>
      <c r="CD86" s="188">
        <f>[2]CZ_decarbplus_opex!BG86</f>
        <v>7.107744E-3</v>
      </c>
      <c r="CE86" s="188">
        <f>[2]CZ_decarbplus_opex!BH86</f>
        <v>4.0076549999999997E-3</v>
      </c>
      <c r="CF86" s="188">
        <f>[2]CZ_decarbplus_opex!BI86</f>
        <v>7.63622E-3</v>
      </c>
      <c r="CG86" s="188">
        <f>[2]CZ_decarbplus_opex!BJ86</f>
        <v>5.1541399999999995E-4</v>
      </c>
    </row>
    <row r="87" spans="1:85" x14ac:dyDescent="0.25">
      <c r="A87" s="5" t="s">
        <v>193</v>
      </c>
      <c r="B87" s="2" t="s">
        <v>192</v>
      </c>
      <c r="C87" s="1" t="s">
        <v>329</v>
      </c>
      <c r="D87" s="187">
        <f>[2]CZ_decarbplus_opex!B87</f>
        <v>1.8340940000000001E-3</v>
      </c>
      <c r="E87" s="187">
        <f>[2]CZ_decarbplus_opex!C87</f>
        <v>5.6154100000000004E-4</v>
      </c>
      <c r="F87" s="187">
        <f>[2]CZ_decarbplus_opex!D87</f>
        <v>4.5557799999999999E-4</v>
      </c>
      <c r="G87" s="187">
        <f>[2]CZ_decarbplus_opex!E87</f>
        <v>9.2399999999999996E-5</v>
      </c>
      <c r="H87" s="187">
        <f>[2]CZ_decarbplus_opex!F87</f>
        <v>1.47539E-4</v>
      </c>
      <c r="I87" s="187">
        <f>[2]CZ_decarbplus_opex!G87</f>
        <v>1.0723830000000001E-3</v>
      </c>
      <c r="J87" s="187">
        <f>[2]CZ_decarbplus_opex!H87</f>
        <v>1.545804E-3</v>
      </c>
      <c r="K87" s="187">
        <f>[2]CZ_decarbplus_opex!I87</f>
        <v>2.9250100000000002E-4</v>
      </c>
      <c r="L87" s="187">
        <f>[2]CZ_decarbplus_opex!J87</f>
        <v>9.2884700000000001E-4</v>
      </c>
      <c r="M87" s="187">
        <f>[2]CZ_decarbplus_opex!K87</f>
        <v>2.8490189999999999E-3</v>
      </c>
      <c r="N87" s="187">
        <f>[2]CZ_decarbplus_opex!L87</f>
        <v>1.45874E-3</v>
      </c>
      <c r="O87" s="187">
        <f>[2]CZ_decarbplus_opex!M87</f>
        <v>1.525656E-3</v>
      </c>
      <c r="P87" s="187">
        <f>[2]CZ_decarbplus_opex!N87</f>
        <v>3.6125739999999999E-3</v>
      </c>
      <c r="Q87" s="187">
        <f>[2]CZ_decarbplus_opex!O87</f>
        <v>1.1219800000000001E-3</v>
      </c>
      <c r="R87" s="187">
        <f>[2]CZ_decarbplus_opex!P87</f>
        <v>1.33091E-3</v>
      </c>
      <c r="S87" s="187">
        <f>[2]CZ_decarbplus_opex!Q87</f>
        <v>8.5429080000000001E-3</v>
      </c>
      <c r="T87" s="187">
        <f>[2]CZ_decarbplus_opex!R87</f>
        <v>8.9727379999999992E-3</v>
      </c>
      <c r="U87" s="187">
        <f>[2]CZ_decarbplus_opex!S87</f>
        <v>7.0094370000000003E-3</v>
      </c>
      <c r="V87" s="187">
        <f>[2]CZ_decarbplus_opex!T87</f>
        <v>9.2423190000000006E-3</v>
      </c>
      <c r="W87" s="187">
        <f>[2]CZ_decarbplus_opex!U87</f>
        <v>4.6881240000000001E-3</v>
      </c>
      <c r="X87" s="187">
        <f>[2]CZ_decarbplus_opex!V87</f>
        <v>3.060185E-3</v>
      </c>
      <c r="Y87" s="187">
        <f>[2]CZ_decarbplus_opex!W87</f>
        <v>1.089788E-3</v>
      </c>
      <c r="Z87" s="187">
        <f>[2]CZ_decarbplus_opex!X87</f>
        <v>4.5378809999999997E-3</v>
      </c>
      <c r="AA87" s="187">
        <f>[2]CZ_decarbplus_opex!Y87</f>
        <v>7.0657080000000004E-3</v>
      </c>
      <c r="AB87" s="188">
        <f>[3]CZ_decarb_opex!B87</f>
        <v>1.2975767643744101E-3</v>
      </c>
      <c r="AC87" s="188">
        <f>[3]CZ_decarb_opex!C87</f>
        <v>2.8694198441743301E-3</v>
      </c>
      <c r="AD87" s="188">
        <f>[3]CZ_decarb_opex!D87</f>
        <v>4.3430533472242801E-3</v>
      </c>
      <c r="AE87" s="188">
        <f>[2]CZ_decarbplus_opex!Z87</f>
        <v>4.5659400000000001E-3</v>
      </c>
      <c r="AF87" s="188">
        <f>[2]CZ_decarbplus_opex!AA87</f>
        <v>1.6535828999999998E-2</v>
      </c>
      <c r="AG87" s="188">
        <f>[2]CZ_decarbplus_opex!AB87</f>
        <v>1.7712272000000001E-2</v>
      </c>
      <c r="AH87" s="188">
        <f>[2]CZ_decarbplus_opex!AC87</f>
        <v>4.3649193000000003E-2</v>
      </c>
      <c r="AI87" s="188">
        <f>[2]CZ_decarbplus_opex!AD87</f>
        <v>7.2297543000000006E-2</v>
      </c>
      <c r="AJ87" s="188">
        <f>[2]CZ_decarbplus_opex!AE87</f>
        <v>5.2838354999999997E-2</v>
      </c>
      <c r="AK87" s="188">
        <f>[2]CZ_decarbplus_opex!AF87</f>
        <v>3.6037536000000002E-2</v>
      </c>
      <c r="AL87" s="188">
        <f>[3]CZ_decarb_opex!E87</f>
        <v>4.42024715405148E-2</v>
      </c>
      <c r="AM87" s="188">
        <f>[3]CZ_decarb_opex!F87</f>
        <v>3.9192696964078302E-2</v>
      </c>
      <c r="AN87" s="188">
        <f>[2]CZ_decarbplus_opex!AG87</f>
        <v>6.5991039000000001E-2</v>
      </c>
      <c r="AO87" s="188">
        <f>[3]CZ_decarb_opex!G87</f>
        <v>7.6912936999679804E-3</v>
      </c>
      <c r="AP87" s="188">
        <f>[3]CZ_decarb_opex!H87</f>
        <v>8.9259323874253896E-3</v>
      </c>
      <c r="AQ87" s="188">
        <f>[2]CZ_decarbplus_opex!AH87</f>
        <v>1.3345499E-2</v>
      </c>
      <c r="AR87" s="188">
        <f>[2]CZ_decarbplus_opex!AI87</f>
        <v>0</v>
      </c>
      <c r="AS87" s="188">
        <f>[2]CZ_decarbplus_opex!AJ87</f>
        <v>1.1442384E-2</v>
      </c>
      <c r="AT87" s="188">
        <f>[2]CZ_decarbplus_opex!AK87</f>
        <v>1.2340429E-2</v>
      </c>
      <c r="AU87" s="188">
        <f>[2]CZ_decarbplus_opex!AL87</f>
        <v>2.5579180000000002E-3</v>
      </c>
      <c r="AV87" s="188">
        <f>[2]CZ_decarbplus_opex!AM87</f>
        <v>2.2077799999999999E-3</v>
      </c>
      <c r="AW87" s="188">
        <f>[2]CZ_decarbplus_opex!AN87</f>
        <v>7.9606320000000005E-3</v>
      </c>
      <c r="AX87" s="188">
        <f>[2]CZ_decarbplus_opex!AO87</f>
        <v>0</v>
      </c>
      <c r="AY87" s="188">
        <f>[2]CZ_decarbplus_opex!AP87</f>
        <v>5.3330740000000001E-3</v>
      </c>
      <c r="AZ87" s="188">
        <f>[2]CZ_decarbplus_opex!AQ87</f>
        <v>0</v>
      </c>
      <c r="BA87" s="188">
        <f>[2]CZ_decarbplus_opex!AR87</f>
        <v>1.5688856000000001E-2</v>
      </c>
      <c r="BB87" s="188">
        <f>[2]CZ_decarbplus_opex!AS87</f>
        <v>1.5969051000000001E-2</v>
      </c>
      <c r="BC87" s="188">
        <f>[2]CZ_decarbplus_opex!AT87</f>
        <v>1.3543713000000001E-2</v>
      </c>
      <c r="BD87" s="188">
        <f>[2]CZ_decarbplus_opex!AU87</f>
        <v>1.499615E-2</v>
      </c>
      <c r="BE87" s="188">
        <f>[2]CZ_decarbplus_opex!AV87</f>
        <v>5.5663517000000003E-2</v>
      </c>
      <c r="BF87" s="188">
        <f>[2]CZ_decarbplus_opex!AW87</f>
        <v>1.9001767999999999E-2</v>
      </c>
      <c r="BG87" s="188">
        <f>[2]CZ_decarbplus_opex!AX87</f>
        <v>4.8795264999999997E-2</v>
      </c>
      <c r="BH87" s="188">
        <f>[3]CZ_decarb_opex!I87</f>
        <v>1.8263956074753999E-2</v>
      </c>
      <c r="BI87" s="188">
        <f>[2]CZ_decarbplus_opex!AY87</f>
        <v>7.6243725999999998E-2</v>
      </c>
      <c r="BJ87" s="188">
        <f>[2]CZ_decarbplus_opex!AZ87</f>
        <v>1.365336E-2</v>
      </c>
      <c r="BK87" s="188">
        <f>[2]CZ_decarbplus_opex!BA87</f>
        <v>1.027521E-2</v>
      </c>
      <c r="BL87" s="188">
        <f>[2]CZ_decarbplus_opex!BB87</f>
        <v>0</v>
      </c>
      <c r="BM87" s="188">
        <f>[3]CZ_decarb_opex!J87</f>
        <v>4.0390177797142497E-2</v>
      </c>
      <c r="BN87" s="188">
        <f>[3]CZ_decarb_opex!K87</f>
        <v>1.81783029365724E-2</v>
      </c>
      <c r="BO87" s="188">
        <f>[3]CZ_decarb_opex!L87</f>
        <v>2.7404594834053799E-2</v>
      </c>
      <c r="BP87" s="188">
        <f>[3]CZ_decarb_opex!M87</f>
        <v>9.4115646099642899E-3</v>
      </c>
      <c r="BQ87" s="188">
        <f>[3]CZ_decarb_opex!N87</f>
        <v>6.73647933714119E-3</v>
      </c>
      <c r="BR87" s="188">
        <f>[3]CZ_decarb_opex!O87</f>
        <v>9.9748182522043098E-4</v>
      </c>
      <c r="BS87" s="188">
        <f>[3]CZ_decarb_opex!P87</f>
        <v>7.8799748357054403E-3</v>
      </c>
      <c r="BT87" s="188">
        <f>[3]CZ_decarb_opex!Q87</f>
        <v>1.24271921909558E-3</v>
      </c>
      <c r="BU87" s="188">
        <f>[3]CZ_decarb_opex!R87</f>
        <v>8.3894151196640798E-3</v>
      </c>
      <c r="BV87" s="188">
        <f>[3]CZ_decarb_opex!S87</f>
        <v>8.3894151196640902E-3</v>
      </c>
      <c r="BW87" s="188">
        <f>[3]CZ_decarb_opex!T87</f>
        <v>1.3828060495321699E-3</v>
      </c>
      <c r="BX87" s="188">
        <f>[3]CZ_decarb_opex!U87</f>
        <v>1.7155975225413599E-5</v>
      </c>
      <c r="BY87" s="188">
        <f>[3]CZ_decarb_opex!V87</f>
        <v>5.6627615860247197E-5</v>
      </c>
      <c r="BZ87" s="188">
        <f>[2]CZ_decarbplus_opex!BC87</f>
        <v>1.6200198999999998E-2</v>
      </c>
      <c r="CA87" s="188">
        <f>[2]CZ_decarbplus_opex!BD87</f>
        <v>1.7317949999999999E-2</v>
      </c>
      <c r="CB87" s="188">
        <f>[2]CZ_decarbplus_opex!BE87</f>
        <v>1.9184198999999999E-2</v>
      </c>
      <c r="CC87" s="188">
        <f>[2]CZ_decarbplus_opex!BF87</f>
        <v>9.0143600000000003E-4</v>
      </c>
      <c r="CD87" s="188">
        <f>[2]CZ_decarbplus_opex!BG87</f>
        <v>1.6661525E-2</v>
      </c>
      <c r="CE87" s="188">
        <f>[2]CZ_decarbplus_opex!BH87</f>
        <v>5.9550275999999999E-2</v>
      </c>
      <c r="CF87" s="188">
        <f>[2]CZ_decarbplus_opex!BI87</f>
        <v>1.9113374999999998E-2</v>
      </c>
      <c r="CG87" s="188">
        <f>[2]CZ_decarbplus_opex!BJ87</f>
        <v>1.343487E-3</v>
      </c>
    </row>
    <row r="88" spans="1:85" x14ac:dyDescent="0.25">
      <c r="A88" s="5" t="s">
        <v>195</v>
      </c>
      <c r="B88" s="2" t="s">
        <v>194</v>
      </c>
      <c r="C88" s="1" t="s">
        <v>329</v>
      </c>
      <c r="D88" s="187">
        <f>[2]CZ_decarbplus_opex!B88</f>
        <v>1.04855E-4</v>
      </c>
      <c r="E88" s="187">
        <f>[2]CZ_decarbplus_opex!C88</f>
        <v>2.5439100000000002E-4</v>
      </c>
      <c r="F88" s="187">
        <f>[2]CZ_decarbplus_opex!D88</f>
        <v>2.0888159999999998E-3</v>
      </c>
      <c r="G88" s="187">
        <f>[2]CZ_decarbplus_opex!E88</f>
        <v>2.48E-6</v>
      </c>
      <c r="H88" s="187">
        <f>[2]CZ_decarbplus_opex!F88</f>
        <v>9.0199999999999997E-5</v>
      </c>
      <c r="I88" s="187">
        <f>[2]CZ_decarbplus_opex!G88</f>
        <v>8.0500000000000005E-5</v>
      </c>
      <c r="J88" s="187">
        <f>[2]CZ_decarbplus_opex!H88</f>
        <v>1.4201099999999999E-4</v>
      </c>
      <c r="K88" s="187">
        <f>[2]CZ_decarbplus_opex!I88</f>
        <v>5.3900000000000001E-6</v>
      </c>
      <c r="L88" s="187">
        <f>[2]CZ_decarbplus_opex!J88</f>
        <v>1.4445500000000001E-4</v>
      </c>
      <c r="M88" s="187">
        <f>[2]CZ_decarbplus_opex!K88</f>
        <v>1.5738199999999999E-4</v>
      </c>
      <c r="N88" s="187">
        <f>[2]CZ_decarbplus_opex!L88</f>
        <v>1.2258169999999999E-3</v>
      </c>
      <c r="O88" s="187">
        <f>[2]CZ_decarbplus_opex!M88</f>
        <v>1.355347E-3</v>
      </c>
      <c r="P88" s="187">
        <f>[2]CZ_decarbplus_opex!N88</f>
        <v>4.8000000000000001E-5</v>
      </c>
      <c r="Q88" s="187">
        <f>[2]CZ_decarbplus_opex!O88</f>
        <v>5.7299999999999997E-5</v>
      </c>
      <c r="R88" s="187">
        <f>[2]CZ_decarbplus_opex!P88</f>
        <v>4.5068300000000001E-4</v>
      </c>
      <c r="S88" s="187">
        <f>[2]CZ_decarbplus_opex!Q88</f>
        <v>7.4800000000000002E-5</v>
      </c>
      <c r="T88" s="187">
        <f>[2]CZ_decarbplus_opex!R88</f>
        <v>7.5799999999999999E-5</v>
      </c>
      <c r="U88" s="187">
        <f>[2]CZ_decarbplus_opex!S88</f>
        <v>2.2061699999999999E-4</v>
      </c>
      <c r="V88" s="187">
        <f>[2]CZ_decarbplus_opex!T88</f>
        <v>1.2287499999999999E-4</v>
      </c>
      <c r="W88" s="187">
        <f>[2]CZ_decarbplus_opex!U88</f>
        <v>9.2042399999999998E-4</v>
      </c>
      <c r="X88" s="187">
        <f>[2]CZ_decarbplus_opex!V88</f>
        <v>1.81578E-4</v>
      </c>
      <c r="Y88" s="187">
        <f>[2]CZ_decarbplus_opex!W88</f>
        <v>2.9200000000000002E-5</v>
      </c>
      <c r="Z88" s="187">
        <f>[2]CZ_decarbplus_opex!X88</f>
        <v>1.8251199999999999E-4</v>
      </c>
      <c r="AA88" s="187">
        <f>[2]CZ_decarbplus_opex!Y88</f>
        <v>8.7100000000000003E-5</v>
      </c>
      <c r="AB88" s="188">
        <f>[3]CZ_decarb_opex!B88</f>
        <v>7.5614508124041103E-6</v>
      </c>
      <c r="AC88" s="188">
        <f>[3]CZ_decarb_opex!C88</f>
        <v>2.2493855822139301E-5</v>
      </c>
      <c r="AD88" s="188">
        <f>[3]CZ_decarb_opex!D88</f>
        <v>1.6820958732086499E-5</v>
      </c>
      <c r="AE88" s="188">
        <f>[2]CZ_decarbplus_opex!Z88</f>
        <v>1.4600000000000001E-5</v>
      </c>
      <c r="AF88" s="188">
        <f>[2]CZ_decarbplus_opex!AA88</f>
        <v>7.9594400000000004E-4</v>
      </c>
      <c r="AG88" s="188">
        <f>[2]CZ_decarbplus_opex!AB88</f>
        <v>1.99469E-4</v>
      </c>
      <c r="AH88" s="188">
        <f>[2]CZ_decarbplus_opex!AC88</f>
        <v>9.5299999999999999E-5</v>
      </c>
      <c r="AI88" s="188">
        <f>[2]CZ_decarbplus_opex!AD88</f>
        <v>1.8139400000000001E-4</v>
      </c>
      <c r="AJ88" s="188">
        <f>[2]CZ_decarbplus_opex!AE88</f>
        <v>8.9099999999999997E-5</v>
      </c>
      <c r="AK88" s="188">
        <f>[2]CZ_decarbplus_opex!AF88</f>
        <v>7.7899999999999996E-5</v>
      </c>
      <c r="AL88" s="188">
        <f>[3]CZ_decarb_opex!E88</f>
        <v>9.4509892795263499E-5</v>
      </c>
      <c r="AM88" s="188">
        <f>[3]CZ_decarb_opex!F88</f>
        <v>8.2399891970097604E-5</v>
      </c>
      <c r="AN88" s="188">
        <f>[2]CZ_decarbplus_opex!AG88</f>
        <v>1.7588900000000001E-4</v>
      </c>
      <c r="AO88" s="188">
        <f>[3]CZ_decarb_opex!G88</f>
        <v>8.3593065225505699E-5</v>
      </c>
      <c r="AP88" s="188">
        <f>[3]CZ_decarb_opex!H88</f>
        <v>9.4590759494364197E-5</v>
      </c>
      <c r="AQ88" s="188">
        <f>[2]CZ_decarbplus_opex!AH88</f>
        <v>1.14364E-4</v>
      </c>
      <c r="AR88" s="188">
        <f>[2]CZ_decarbplus_opex!AI88</f>
        <v>0</v>
      </c>
      <c r="AS88" s="188">
        <f>[2]CZ_decarbplus_opex!AJ88</f>
        <v>1.13632E-4</v>
      </c>
      <c r="AT88" s="188">
        <f>[2]CZ_decarbplus_opex!AK88</f>
        <v>1.10231E-4</v>
      </c>
      <c r="AU88" s="188">
        <f>[2]CZ_decarbplus_opex!AL88</f>
        <v>1.98E-5</v>
      </c>
      <c r="AV88" s="188">
        <f>[2]CZ_decarbplus_opex!AM88</f>
        <v>1.4800000000000001E-5</v>
      </c>
      <c r="AW88" s="188">
        <f>[2]CZ_decarbplus_opex!AN88</f>
        <v>8.14E-5</v>
      </c>
      <c r="AX88" s="188">
        <f>[2]CZ_decarbplus_opex!AO88</f>
        <v>0</v>
      </c>
      <c r="AY88" s="188">
        <f>[2]CZ_decarbplus_opex!AP88</f>
        <v>1.1592800000000001E-4</v>
      </c>
      <c r="AZ88" s="188">
        <f>[2]CZ_decarbplus_opex!AQ88</f>
        <v>0</v>
      </c>
      <c r="BA88" s="188">
        <f>[2]CZ_decarbplus_opex!AR88</f>
        <v>1.20452E-4</v>
      </c>
      <c r="BB88" s="188">
        <f>[2]CZ_decarbplus_opex!AS88</f>
        <v>3.6033000000000001E-4</v>
      </c>
      <c r="BC88" s="188">
        <f>[2]CZ_decarbplus_opex!AT88</f>
        <v>3.4961600000000002E-4</v>
      </c>
      <c r="BD88" s="188">
        <f>[2]CZ_decarbplus_opex!AU88</f>
        <v>0.467517132</v>
      </c>
      <c r="BE88" s="188">
        <f>[2]CZ_decarbplus_opex!AV88</f>
        <v>7.6389899999999996E-4</v>
      </c>
      <c r="BF88" s="188">
        <f>[2]CZ_decarbplus_opex!AW88</f>
        <v>5.0205220000000004E-3</v>
      </c>
      <c r="BG88" s="188">
        <f>[2]CZ_decarbplus_opex!AX88</f>
        <v>3.6282399999999998E-4</v>
      </c>
      <c r="BH88" s="188">
        <f>[3]CZ_decarb_opex!I88</f>
        <v>4.3737759252145098E-4</v>
      </c>
      <c r="BI88" s="188">
        <f>[2]CZ_decarbplus_opex!AY88</f>
        <v>8.9902793999999994E-2</v>
      </c>
      <c r="BJ88" s="188">
        <f>[2]CZ_decarbplus_opex!AZ88</f>
        <v>1.4654830000000001E-3</v>
      </c>
      <c r="BK88" s="188">
        <f>[2]CZ_decarbplus_opex!BA88</f>
        <v>4.0899999999999998E-5</v>
      </c>
      <c r="BL88" s="188">
        <f>[2]CZ_decarbplus_opex!BB88</f>
        <v>0</v>
      </c>
      <c r="BM88" s="188">
        <f>[3]CZ_decarb_opex!J88</f>
        <v>1.0242525711619601E-4</v>
      </c>
      <c r="BN88" s="188">
        <f>[3]CZ_decarb_opex!K88</f>
        <v>1.91551138842451E-4</v>
      </c>
      <c r="BO88" s="188">
        <f>[3]CZ_decarb_opex!L88</f>
        <v>5.4982201417902603E-5</v>
      </c>
      <c r="BP88" s="188">
        <f>[3]CZ_decarb_opex!M88</f>
        <v>3.0457715570212601E-5</v>
      </c>
      <c r="BQ88" s="188">
        <f>[3]CZ_decarb_opex!N88</f>
        <v>2.4097425888759599E-5</v>
      </c>
      <c r="BR88" s="188">
        <f>[3]CZ_decarb_opex!O88</f>
        <v>5.6999348196475702E-5</v>
      </c>
      <c r="BS88" s="188">
        <f>[3]CZ_decarb_opex!P88</f>
        <v>9.3845950430850497E-5</v>
      </c>
      <c r="BT88" s="188">
        <f>[3]CZ_decarb_opex!Q88</f>
        <v>3.7123204524345E-5</v>
      </c>
      <c r="BU88" s="188">
        <f>[3]CZ_decarb_opex!R88</f>
        <v>2.6097762713719999E-5</v>
      </c>
      <c r="BV88" s="188">
        <f>[3]CZ_decarb_opex!S88</f>
        <v>2.6097762713720101E-5</v>
      </c>
      <c r="BW88" s="188">
        <f>[3]CZ_decarb_opex!T88</f>
        <v>6.0078773407806402E-5</v>
      </c>
      <c r="BX88" s="188">
        <f>[3]CZ_decarb_opex!U88</f>
        <v>7.1763326980455795E-7</v>
      </c>
      <c r="BY88" s="188">
        <f>[3]CZ_decarb_opex!V88</f>
        <v>2.6414559386483101E-7</v>
      </c>
      <c r="BZ88" s="188">
        <f>[2]CZ_decarbplus_opex!BC88</f>
        <v>7.6500000000000003E-5</v>
      </c>
      <c r="CA88" s="188">
        <f>[2]CZ_decarbplus_opex!BD88</f>
        <v>5.0000000000000002E-5</v>
      </c>
      <c r="CB88" s="188">
        <f>[2]CZ_decarbplus_opex!BE88</f>
        <v>5.6900000000000001E-5</v>
      </c>
      <c r="CC88" s="188">
        <f>[2]CZ_decarbplus_opex!BF88</f>
        <v>2.94E-5</v>
      </c>
      <c r="CD88" s="188">
        <f>[2]CZ_decarbplus_opex!BG88</f>
        <v>2.5420999999999999E-4</v>
      </c>
      <c r="CE88" s="188">
        <f>[2]CZ_decarbplus_opex!BH88</f>
        <v>1.1315E-4</v>
      </c>
      <c r="CF88" s="188">
        <f>[2]CZ_decarbplus_opex!BI88</f>
        <v>1.52867E-4</v>
      </c>
      <c r="CG88" s="188">
        <f>[2]CZ_decarbplus_opex!BJ88</f>
        <v>1.21048E-4</v>
      </c>
    </row>
    <row r="89" spans="1:85" x14ac:dyDescent="0.25">
      <c r="A89" s="5" t="s">
        <v>197</v>
      </c>
      <c r="B89" s="2" t="s">
        <v>196</v>
      </c>
      <c r="C89" s="1" t="s">
        <v>329</v>
      </c>
      <c r="D89" s="187">
        <f>[2]CZ_decarbplus_opex!B89</f>
        <v>1.128549E-3</v>
      </c>
      <c r="E89" s="187">
        <f>[2]CZ_decarbplus_opex!C89</f>
        <v>1.078133E-3</v>
      </c>
      <c r="F89" s="187">
        <f>[2]CZ_decarbplus_opex!D89</f>
        <v>7.8495500000000005E-4</v>
      </c>
      <c r="G89" s="187">
        <f>[2]CZ_decarbplus_opex!E89</f>
        <v>1.5206099999999999E-4</v>
      </c>
      <c r="H89" s="187">
        <f>[2]CZ_decarbplus_opex!F89</f>
        <v>2.6043600000000001E-4</v>
      </c>
      <c r="I89" s="187">
        <f>[2]CZ_decarbplus_opex!G89</f>
        <v>1.701344E-3</v>
      </c>
      <c r="J89" s="187">
        <f>[2]CZ_decarbplus_opex!H89</f>
        <v>1.0503629999999999E-3</v>
      </c>
      <c r="K89" s="187">
        <f>[2]CZ_decarbplus_opex!I89</f>
        <v>4.3672600000000002E-4</v>
      </c>
      <c r="L89" s="187">
        <f>[2]CZ_decarbplus_opex!J89</f>
        <v>3.0767680000000001E-3</v>
      </c>
      <c r="M89" s="187">
        <f>[2]CZ_decarbplus_opex!K89</f>
        <v>1.1933209E-2</v>
      </c>
      <c r="N89" s="187">
        <f>[2]CZ_decarbplus_opex!L89</f>
        <v>5.1459009999999996E-3</v>
      </c>
      <c r="O89" s="187">
        <f>[2]CZ_decarbplus_opex!M89</f>
        <v>7.3237599999999997E-4</v>
      </c>
      <c r="P89" s="187">
        <f>[2]CZ_decarbplus_opex!N89</f>
        <v>1.3988667999999999E-2</v>
      </c>
      <c r="Q89" s="187">
        <f>[2]CZ_decarbplus_opex!O89</f>
        <v>1.396135E-3</v>
      </c>
      <c r="R89" s="187">
        <f>[2]CZ_decarbplus_opex!P89</f>
        <v>1.1112353E-2</v>
      </c>
      <c r="S89" s="187">
        <f>[2]CZ_decarbplus_opex!Q89</f>
        <v>4.2147130000000001E-3</v>
      </c>
      <c r="T89" s="187">
        <f>[2]CZ_decarbplus_opex!R89</f>
        <v>4.8643599999999999E-3</v>
      </c>
      <c r="U89" s="187">
        <f>[2]CZ_decarbplus_opex!S89</f>
        <v>6.8417080000000002E-3</v>
      </c>
      <c r="V89" s="187">
        <f>[2]CZ_decarbplus_opex!T89</f>
        <v>8.7072E-3</v>
      </c>
      <c r="W89" s="187">
        <f>[2]CZ_decarbplus_opex!U89</f>
        <v>4.8783000000000003E-3</v>
      </c>
      <c r="X89" s="187">
        <f>[2]CZ_decarbplus_opex!V89</f>
        <v>6.0657799999999998E-4</v>
      </c>
      <c r="Y89" s="187">
        <f>[2]CZ_decarbplus_opex!W89</f>
        <v>1.0904420000000001E-3</v>
      </c>
      <c r="Z89" s="187">
        <f>[2]CZ_decarbplus_opex!X89</f>
        <v>4.5355600000000001E-3</v>
      </c>
      <c r="AA89" s="187">
        <f>[2]CZ_decarbplus_opex!Y89</f>
        <v>6.5075569999999998E-3</v>
      </c>
      <c r="AB89" s="188">
        <f>[3]CZ_decarb_opex!B89</f>
        <v>7.8532628743868801E-4</v>
      </c>
      <c r="AC89" s="188">
        <f>[3]CZ_decarb_opex!C89</f>
        <v>3.6879611765475201E-3</v>
      </c>
      <c r="AD89" s="188">
        <f>[3]CZ_decarb_opex!D89</f>
        <v>1.2178518924449099E-3</v>
      </c>
      <c r="AE89" s="188">
        <f>[2]CZ_decarbplus_opex!Z89</f>
        <v>1.0602090000000001E-3</v>
      </c>
      <c r="AF89" s="188">
        <f>[2]CZ_decarbplus_opex!AA89</f>
        <v>1.9021327000000001E-2</v>
      </c>
      <c r="AG89" s="188">
        <f>[2]CZ_decarbplus_opex!AB89</f>
        <v>1.8424020999999999E-2</v>
      </c>
      <c r="AH89" s="188">
        <f>[2]CZ_decarbplus_opex!AC89</f>
        <v>6.4428699999999998E-3</v>
      </c>
      <c r="AI89" s="188">
        <f>[2]CZ_decarbplus_opex!AD89</f>
        <v>1.1757705E-2</v>
      </c>
      <c r="AJ89" s="188">
        <f>[2]CZ_decarbplus_opex!AE89</f>
        <v>3.2792229999999999E-3</v>
      </c>
      <c r="AK89" s="188">
        <f>[2]CZ_decarbplus_opex!AF89</f>
        <v>5.7614670000000002E-3</v>
      </c>
      <c r="AL89" s="188">
        <f>[3]CZ_decarb_opex!E89</f>
        <v>4.2573499307659701E-3</v>
      </c>
      <c r="AM89" s="188">
        <f>[3]CZ_decarb_opex!F89</f>
        <v>3.9916679034434199E-3</v>
      </c>
      <c r="AN89" s="188">
        <f>[2]CZ_decarbplus_opex!AG89</f>
        <v>5.6612140000000004E-3</v>
      </c>
      <c r="AO89" s="188">
        <f>[3]CZ_decarb_opex!G89</f>
        <v>2.6088480296050302E-3</v>
      </c>
      <c r="AP89" s="188">
        <f>[3]CZ_decarb_opex!H89</f>
        <v>3.11527345818479E-3</v>
      </c>
      <c r="AQ89" s="188">
        <f>[2]CZ_decarbplus_opex!AH89</f>
        <v>4.3564950000000002E-3</v>
      </c>
      <c r="AR89" s="188">
        <f>[2]CZ_decarbplus_opex!AI89</f>
        <v>0</v>
      </c>
      <c r="AS89" s="188">
        <f>[2]CZ_decarbplus_opex!AJ89</f>
        <v>3.6184500000000001E-3</v>
      </c>
      <c r="AT89" s="188">
        <f>[2]CZ_decarbplus_opex!AK89</f>
        <v>3.7740059999999999E-3</v>
      </c>
      <c r="AU89" s="188">
        <f>[2]CZ_decarbplus_opex!AL89</f>
        <v>1.0591540000000001E-3</v>
      </c>
      <c r="AV89" s="188">
        <f>[2]CZ_decarbplus_opex!AM89</f>
        <v>9.7671999999999993E-4</v>
      </c>
      <c r="AW89" s="188">
        <f>[2]CZ_decarbplus_opex!AN89</f>
        <v>2.709384E-3</v>
      </c>
      <c r="AX89" s="188">
        <f>[2]CZ_decarbplus_opex!AO89</f>
        <v>0</v>
      </c>
      <c r="AY89" s="188">
        <f>[2]CZ_decarbplus_opex!AP89</f>
        <v>2.5065840000000001E-3</v>
      </c>
      <c r="AZ89" s="188">
        <f>[2]CZ_decarbplus_opex!AQ89</f>
        <v>0</v>
      </c>
      <c r="BA89" s="188">
        <f>[2]CZ_decarbplus_opex!AR89</f>
        <v>4.7211409999999999E-3</v>
      </c>
      <c r="BB89" s="188">
        <f>[2]CZ_decarbplus_opex!AS89</f>
        <v>1.6798960000000002E-2</v>
      </c>
      <c r="BC89" s="188">
        <f>[2]CZ_decarbplus_opex!AT89</f>
        <v>0.108074543</v>
      </c>
      <c r="BD89" s="188">
        <f>[2]CZ_decarbplus_opex!AU89</f>
        <v>0.146828135</v>
      </c>
      <c r="BE89" s="188">
        <f>[2]CZ_decarbplus_opex!AV89</f>
        <v>0.17218772600000001</v>
      </c>
      <c r="BF89" s="188">
        <f>[2]CZ_decarbplus_opex!AW89</f>
        <v>2.8476556E-2</v>
      </c>
      <c r="BG89" s="188">
        <f>[2]CZ_decarbplus_opex!AX89</f>
        <v>1.6993042E-2</v>
      </c>
      <c r="BH89" s="188">
        <f>[3]CZ_decarb_opex!I89</f>
        <v>6.7916756976679094E-2</v>
      </c>
      <c r="BI89" s="188">
        <f>[2]CZ_decarbplus_opex!AY89</f>
        <v>3.8586090000000003E-2</v>
      </c>
      <c r="BJ89" s="188">
        <f>[2]CZ_decarbplus_opex!AZ89</f>
        <v>4.8085419999999999E-3</v>
      </c>
      <c r="BK89" s="188">
        <f>[2]CZ_decarbplus_opex!BA89</f>
        <v>2.1735220000000002E-3</v>
      </c>
      <c r="BL89" s="188">
        <f>[2]CZ_decarbplus_opex!BB89</f>
        <v>0</v>
      </c>
      <c r="BM89" s="188">
        <f>[3]CZ_decarb_opex!J89</f>
        <v>2.7141427142226199E-2</v>
      </c>
      <c r="BN89" s="188">
        <f>[3]CZ_decarb_opex!K89</f>
        <v>0.101462028600419</v>
      </c>
      <c r="BO89" s="188">
        <f>[3]CZ_decarb_opex!L89</f>
        <v>9.4148792560986398E-3</v>
      </c>
      <c r="BP89" s="188">
        <f>[3]CZ_decarb_opex!M89</f>
        <v>8.6942218381764504E-3</v>
      </c>
      <c r="BQ89" s="188">
        <f>[3]CZ_decarb_opex!N89</f>
        <v>7.6593221269091703E-3</v>
      </c>
      <c r="BR89" s="188">
        <f>[3]CZ_decarb_opex!O89</f>
        <v>1.5307896591996399E-2</v>
      </c>
      <c r="BS89" s="188">
        <f>[3]CZ_decarb_opex!P89</f>
        <v>4.9099797830625097E-2</v>
      </c>
      <c r="BT89" s="188">
        <f>[3]CZ_decarb_opex!Q89</f>
        <v>2.4777830276884499E-2</v>
      </c>
      <c r="BU89" s="188">
        <f>[3]CZ_decarb_opex!R89</f>
        <v>9.5716004342947907E-3</v>
      </c>
      <c r="BV89" s="188">
        <f>[3]CZ_decarb_opex!S89</f>
        <v>9.5716004342947993E-3</v>
      </c>
      <c r="BW89" s="188">
        <f>[3]CZ_decarb_opex!T89</f>
        <v>9.1104983702187704E-3</v>
      </c>
      <c r="BX89" s="188">
        <f>[3]CZ_decarb_opex!U89</f>
        <v>1.3164929783584701E-4</v>
      </c>
      <c r="BY89" s="188">
        <f>[3]CZ_decarb_opex!V89</f>
        <v>6.1764162920422203E-5</v>
      </c>
      <c r="BZ89" s="188">
        <f>[2]CZ_decarbplus_opex!BC89</f>
        <v>3.2123629000000001E-2</v>
      </c>
      <c r="CA89" s="188">
        <f>[2]CZ_decarbplus_opex!BD89</f>
        <v>1.333987E-2</v>
      </c>
      <c r="CB89" s="188">
        <f>[2]CZ_decarbplus_opex!BE89</f>
        <v>1.7033981E-2</v>
      </c>
      <c r="CC89" s="188">
        <f>[2]CZ_decarbplus_opex!BF89</f>
        <v>1.1116302999999999E-2</v>
      </c>
      <c r="CD89" s="188">
        <f>[2]CZ_decarbplus_opex!BG89</f>
        <v>0.13360408600000001</v>
      </c>
      <c r="CE89" s="188">
        <f>[2]CZ_decarbplus_opex!BH89</f>
        <v>1.82569E-3</v>
      </c>
      <c r="CF89" s="188">
        <f>[2]CZ_decarbplus_opex!BI89</f>
        <v>2.5264401999999998E-2</v>
      </c>
      <c r="CG89" s="188">
        <f>[2]CZ_decarbplus_opex!BJ89</f>
        <v>2.98907E-4</v>
      </c>
    </row>
    <row r="90" spans="1:85" x14ac:dyDescent="0.25">
      <c r="A90" s="5" t="s">
        <v>199</v>
      </c>
      <c r="B90" s="2" t="s">
        <v>198</v>
      </c>
      <c r="C90" s="1" t="s">
        <v>329</v>
      </c>
      <c r="D90" s="187">
        <f>[2]CZ_decarbplus_opex!B90</f>
        <v>3.0586099999999999E-4</v>
      </c>
      <c r="E90" s="187">
        <f>[2]CZ_decarbplus_opex!C90</f>
        <v>2.22556E-4</v>
      </c>
      <c r="F90" s="187">
        <f>[2]CZ_decarbplus_opex!D90</f>
        <v>3.1013999999999998E-4</v>
      </c>
      <c r="G90" s="187">
        <f>[2]CZ_decarbplus_opex!E90</f>
        <v>5.7800000000000002E-5</v>
      </c>
      <c r="H90" s="187">
        <f>[2]CZ_decarbplus_opex!F90</f>
        <v>8.7700000000000004E-5</v>
      </c>
      <c r="I90" s="187">
        <f>[2]CZ_decarbplus_opex!G90</f>
        <v>2.9829699999999999E-4</v>
      </c>
      <c r="J90" s="187">
        <f>[2]CZ_decarbplus_opex!H90</f>
        <v>6.0303500000000003E-4</v>
      </c>
      <c r="K90" s="187">
        <f>[2]CZ_decarbplus_opex!I90</f>
        <v>1.86248E-4</v>
      </c>
      <c r="L90" s="187">
        <f>[2]CZ_decarbplus_opex!J90</f>
        <v>4.3433399999999998E-4</v>
      </c>
      <c r="M90" s="187">
        <f>[2]CZ_decarbplus_opex!K90</f>
        <v>1.333875E-3</v>
      </c>
      <c r="N90" s="187">
        <f>[2]CZ_decarbplus_opex!L90</f>
        <v>9.0684399999999997E-4</v>
      </c>
      <c r="O90" s="187">
        <f>[2]CZ_decarbplus_opex!M90</f>
        <v>6.4591099999999999E-4</v>
      </c>
      <c r="P90" s="187">
        <f>[2]CZ_decarbplus_opex!N90</f>
        <v>4.0205599999999997E-4</v>
      </c>
      <c r="Q90" s="187">
        <f>[2]CZ_decarbplus_opex!O90</f>
        <v>5.7406299999999998E-4</v>
      </c>
      <c r="R90" s="187">
        <f>[2]CZ_decarbplus_opex!P90</f>
        <v>6.9974000000000002E-4</v>
      </c>
      <c r="S90" s="187">
        <f>[2]CZ_decarbplus_opex!Q90</f>
        <v>2.2626699999999999E-4</v>
      </c>
      <c r="T90" s="187">
        <f>[2]CZ_decarbplus_opex!R90</f>
        <v>4.21366E-4</v>
      </c>
      <c r="U90" s="187">
        <f>[2]CZ_decarbplus_opex!S90</f>
        <v>2.9232500000000002E-4</v>
      </c>
      <c r="V90" s="187">
        <f>[2]CZ_decarbplus_opex!T90</f>
        <v>3.7047300000000002E-4</v>
      </c>
      <c r="W90" s="187">
        <f>[2]CZ_decarbplus_opex!U90</f>
        <v>3.0394100000000001E-4</v>
      </c>
      <c r="X90" s="187">
        <f>[2]CZ_decarbplus_opex!V90</f>
        <v>8.9713919999999999E-3</v>
      </c>
      <c r="Y90" s="187">
        <f>[2]CZ_decarbplus_opex!W90</f>
        <v>7.99323E-4</v>
      </c>
      <c r="Z90" s="187">
        <f>[2]CZ_decarbplus_opex!X90</f>
        <v>4.2775809999999999E-3</v>
      </c>
      <c r="AA90" s="187">
        <f>[2]CZ_decarbplus_opex!Y90</f>
        <v>1.847294E-3</v>
      </c>
      <c r="AB90" s="188">
        <f>[3]CZ_decarb_opex!B90</f>
        <v>4.8992156042393896E-4</v>
      </c>
      <c r="AC90" s="188">
        <f>[3]CZ_decarb_opex!C90</f>
        <v>6.8609769655439304E-4</v>
      </c>
      <c r="AD90" s="188">
        <f>[3]CZ_decarb_opex!D90</f>
        <v>2.3422591411693001E-4</v>
      </c>
      <c r="AE90" s="188">
        <f>[2]CZ_decarbplus_opex!Z90</f>
        <v>1.78424E-4</v>
      </c>
      <c r="AF90" s="188">
        <f>[2]CZ_decarbplus_opex!AA90</f>
        <v>7.5884399999999995E-4</v>
      </c>
      <c r="AG90" s="188">
        <f>[2]CZ_decarbplus_opex!AB90</f>
        <v>2.468357E-3</v>
      </c>
      <c r="AH90" s="188">
        <f>[2]CZ_decarbplus_opex!AC90</f>
        <v>4.0725899999999998E-4</v>
      </c>
      <c r="AI90" s="188">
        <f>[2]CZ_decarbplus_opex!AD90</f>
        <v>7.5946E-4</v>
      </c>
      <c r="AJ90" s="188">
        <f>[2]CZ_decarbplus_opex!AE90</f>
        <v>3.3198199999999998E-4</v>
      </c>
      <c r="AK90" s="188">
        <f>[2]CZ_decarbplus_opex!AF90</f>
        <v>5.2713599999999999E-4</v>
      </c>
      <c r="AL90" s="188">
        <f>[3]CZ_decarb_opex!E90</f>
        <v>3.9549845016022099E-4</v>
      </c>
      <c r="AM90" s="188">
        <f>[3]CZ_decarb_opex!F90</f>
        <v>4.6074700822858498E-4</v>
      </c>
      <c r="AN90" s="188">
        <f>[2]CZ_decarbplus_opex!AG90</f>
        <v>5.3210599999999996E-4</v>
      </c>
      <c r="AO90" s="188">
        <f>[3]CZ_decarb_opex!G90</f>
        <v>4.3646691329505101E-4</v>
      </c>
      <c r="AP90" s="188">
        <f>[3]CZ_decarb_opex!H90</f>
        <v>5.1058841977657296E-4</v>
      </c>
      <c r="AQ90" s="188">
        <f>[2]CZ_decarbplus_opex!AH90</f>
        <v>6.91221E-4</v>
      </c>
      <c r="AR90" s="188">
        <f>[2]CZ_decarbplus_opex!AI90</f>
        <v>0</v>
      </c>
      <c r="AS90" s="188">
        <f>[2]CZ_decarbplus_opex!AJ90</f>
        <v>6.11303E-4</v>
      </c>
      <c r="AT90" s="188">
        <f>[2]CZ_decarbplus_opex!AK90</f>
        <v>5.87953E-4</v>
      </c>
      <c r="AU90" s="188">
        <f>[2]CZ_decarbplus_opex!AL90</f>
        <v>1.6494799999999999E-4</v>
      </c>
      <c r="AV90" s="188">
        <f>[2]CZ_decarbplus_opex!AM90</f>
        <v>1.4725200000000001E-4</v>
      </c>
      <c r="AW90" s="188">
        <f>[2]CZ_decarbplus_opex!AN90</f>
        <v>3.95055E-4</v>
      </c>
      <c r="AX90" s="188">
        <f>[2]CZ_decarbplus_opex!AO90</f>
        <v>0</v>
      </c>
      <c r="AY90" s="188">
        <f>[2]CZ_decarbplus_opex!AP90</f>
        <v>8.1426600000000001E-4</v>
      </c>
      <c r="AZ90" s="188">
        <f>[2]CZ_decarbplus_opex!AQ90</f>
        <v>0</v>
      </c>
      <c r="BA90" s="188">
        <f>[2]CZ_decarbplus_opex!AR90</f>
        <v>5.6248099999999998E-4</v>
      </c>
      <c r="BB90" s="188">
        <f>[2]CZ_decarbplus_opex!AS90</f>
        <v>1.2067989999999999E-3</v>
      </c>
      <c r="BC90" s="188">
        <f>[2]CZ_decarbplus_opex!AT90</f>
        <v>5.7190169999999999E-3</v>
      </c>
      <c r="BD90" s="188">
        <f>[2]CZ_decarbplus_opex!AU90</f>
        <v>9.3920017999999994E-2</v>
      </c>
      <c r="BE90" s="188">
        <f>[2]CZ_decarbplus_opex!AV90</f>
        <v>3.437402E-3</v>
      </c>
      <c r="BF90" s="188">
        <f>[2]CZ_decarbplus_opex!AW90</f>
        <v>0.64078042800000001</v>
      </c>
      <c r="BG90" s="188">
        <f>[2]CZ_decarbplus_opex!AX90</f>
        <v>1.7215098000000002E-2</v>
      </c>
      <c r="BH90" s="188">
        <f>[3]CZ_decarb_opex!I90</f>
        <v>7.0530638240300899E-3</v>
      </c>
      <c r="BI90" s="188">
        <f>[2]CZ_decarbplus_opex!AY90</f>
        <v>3.681218E-3</v>
      </c>
      <c r="BJ90" s="188">
        <f>[2]CZ_decarbplus_opex!AZ90</f>
        <v>5.9434889999999997E-3</v>
      </c>
      <c r="BK90" s="188">
        <f>[2]CZ_decarbplus_opex!BA90</f>
        <v>3.9567699999999999E-4</v>
      </c>
      <c r="BL90" s="188">
        <f>[2]CZ_decarbplus_opex!BB90</f>
        <v>0</v>
      </c>
      <c r="BM90" s="188">
        <f>[3]CZ_decarb_opex!J90</f>
        <v>5.3485012168703601E-4</v>
      </c>
      <c r="BN90" s="188">
        <f>[3]CZ_decarb_opex!K90</f>
        <v>1.3758313237966001E-3</v>
      </c>
      <c r="BO90" s="188">
        <f>[3]CZ_decarb_opex!L90</f>
        <v>2.3179092224845401E-4</v>
      </c>
      <c r="BP90" s="188">
        <f>[3]CZ_decarb_opex!M90</f>
        <v>2.4354424817162E-4</v>
      </c>
      <c r="BQ90" s="188">
        <f>[3]CZ_decarb_opex!N90</f>
        <v>2.7231612021225599E-4</v>
      </c>
      <c r="BR90" s="188">
        <f>[3]CZ_decarb_opex!O90</f>
        <v>2.4262638000980199E-4</v>
      </c>
      <c r="BS90" s="188">
        <f>[3]CZ_decarb_opex!P90</f>
        <v>1.2412945495646401E-3</v>
      </c>
      <c r="BT90" s="188">
        <f>[3]CZ_decarb_opex!Q90</f>
        <v>3.0046773286326802E-4</v>
      </c>
      <c r="BU90" s="188">
        <f>[3]CZ_decarb_opex!R90</f>
        <v>1.9118957291166101E-4</v>
      </c>
      <c r="BV90" s="188">
        <f>[3]CZ_decarb_opex!S90</f>
        <v>1.9118957291166101E-4</v>
      </c>
      <c r="BW90" s="188">
        <f>[3]CZ_decarb_opex!T90</f>
        <v>1.03492004736503E-4</v>
      </c>
      <c r="BX90" s="188">
        <f>[3]CZ_decarb_opex!U90</f>
        <v>1.1865586741825801E-5</v>
      </c>
      <c r="BY90" s="188">
        <f>[3]CZ_decarb_opex!V90</f>
        <v>5.7442026160210103E-5</v>
      </c>
      <c r="BZ90" s="188">
        <f>[2]CZ_decarbplus_opex!BC90</f>
        <v>5.4726299999999998E-4</v>
      </c>
      <c r="CA90" s="188">
        <f>[2]CZ_decarbplus_opex!BD90</f>
        <v>2.9331700000000002E-4</v>
      </c>
      <c r="CB90" s="188">
        <f>[2]CZ_decarbplus_opex!BE90</f>
        <v>3.2914100000000003E-4</v>
      </c>
      <c r="CC90" s="188">
        <f>[2]CZ_decarbplus_opex!BF90</f>
        <v>1.5919900000000001E-4</v>
      </c>
      <c r="CD90" s="188">
        <f>[2]CZ_decarbplus_opex!BG90</f>
        <v>1.8328019999999999E-3</v>
      </c>
      <c r="CE90" s="188">
        <f>[2]CZ_decarbplus_opex!BH90</f>
        <v>6.9103000000000003E-4</v>
      </c>
      <c r="CF90" s="188">
        <f>[2]CZ_decarbplus_opex!BI90</f>
        <v>1.2994009999999999E-3</v>
      </c>
      <c r="CG90" s="188">
        <f>[2]CZ_decarbplus_opex!BJ90</f>
        <v>9.2299999999999994E-5</v>
      </c>
    </row>
    <row r="91" spans="1:85" x14ac:dyDescent="0.25">
      <c r="A91" s="5" t="s">
        <v>201</v>
      </c>
      <c r="B91" s="2" t="s">
        <v>200</v>
      </c>
      <c r="C91" s="1" t="s">
        <v>329</v>
      </c>
      <c r="D91" s="187">
        <f>[2]CZ_decarbplus_opex!B91</f>
        <v>8.2328800000000004E-4</v>
      </c>
      <c r="E91" s="187">
        <f>[2]CZ_decarbplus_opex!C91</f>
        <v>1.02174E-4</v>
      </c>
      <c r="F91" s="187">
        <f>[2]CZ_decarbplus_opex!D91</f>
        <v>1.3365299999999999E-4</v>
      </c>
      <c r="G91" s="187">
        <f>[2]CZ_decarbplus_opex!E91</f>
        <v>8.1499999999999999E-6</v>
      </c>
      <c r="H91" s="187">
        <f>[2]CZ_decarbplus_opex!F91</f>
        <v>1.9599999999999999E-5</v>
      </c>
      <c r="I91" s="187">
        <f>[2]CZ_decarbplus_opex!G91</f>
        <v>1.0770200000000001E-4</v>
      </c>
      <c r="J91" s="187">
        <f>[2]CZ_decarbplus_opex!H91</f>
        <v>3.7364499999999998E-4</v>
      </c>
      <c r="K91" s="187">
        <f>[2]CZ_decarbplus_opex!I91</f>
        <v>2.55E-5</v>
      </c>
      <c r="L91" s="187">
        <f>[2]CZ_decarbplus_opex!J91</f>
        <v>1.62261E-4</v>
      </c>
      <c r="M91" s="187">
        <f>[2]CZ_decarbplus_opex!K91</f>
        <v>5.6403400000000004E-4</v>
      </c>
      <c r="N91" s="187">
        <f>[2]CZ_decarbplus_opex!L91</f>
        <v>4.4955499999999997E-4</v>
      </c>
      <c r="O91" s="187">
        <f>[2]CZ_decarbplus_opex!M91</f>
        <v>3.2459200000000001E-4</v>
      </c>
      <c r="P91" s="187">
        <f>[2]CZ_decarbplus_opex!N91</f>
        <v>3.4864599999999998E-4</v>
      </c>
      <c r="Q91" s="187">
        <f>[2]CZ_decarbplus_opex!O91</f>
        <v>9.5562800000000003E-4</v>
      </c>
      <c r="R91" s="187">
        <f>[2]CZ_decarbplus_opex!P91</f>
        <v>4.4587099999999997E-4</v>
      </c>
      <c r="S91" s="187">
        <f>[2]CZ_decarbplus_opex!Q91</f>
        <v>2.41287E-4</v>
      </c>
      <c r="T91" s="187">
        <f>[2]CZ_decarbplus_opex!R91</f>
        <v>2.48488E-4</v>
      </c>
      <c r="U91" s="187">
        <f>[2]CZ_decarbplus_opex!S91</f>
        <v>1.9560199999999999E-4</v>
      </c>
      <c r="V91" s="187">
        <f>[2]CZ_decarbplus_opex!T91</f>
        <v>2.40511E-4</v>
      </c>
      <c r="W91" s="187">
        <f>[2]CZ_decarbplus_opex!U91</f>
        <v>4.9520399999999996E-4</v>
      </c>
      <c r="X91" s="187">
        <f>[2]CZ_decarbplus_opex!V91</f>
        <v>1.8511100000000001E-4</v>
      </c>
      <c r="Y91" s="187">
        <f>[2]CZ_decarbplus_opex!W91</f>
        <v>8.5516080000000005E-3</v>
      </c>
      <c r="Z91" s="187">
        <f>[2]CZ_decarbplus_opex!X91</f>
        <v>6.0902356999999997E-2</v>
      </c>
      <c r="AA91" s="187">
        <f>[2]CZ_decarbplus_opex!Y91</f>
        <v>6.7477320000000002E-3</v>
      </c>
      <c r="AB91" s="188">
        <f>[3]CZ_decarb_opex!B91</f>
        <v>6.87240465499072E-5</v>
      </c>
      <c r="AC91" s="188">
        <f>[3]CZ_decarb_opex!C91</f>
        <v>2.4542061682552798E-4</v>
      </c>
      <c r="AD91" s="188">
        <f>[3]CZ_decarb_opex!D91</f>
        <v>2.01363432015958E-4</v>
      </c>
      <c r="AE91" s="188">
        <f>[2]CZ_decarbplus_opex!Z91</f>
        <v>1.8459800000000001E-4</v>
      </c>
      <c r="AF91" s="188">
        <f>[2]CZ_decarbplus_opex!AA91</f>
        <v>2.4883129999999998E-3</v>
      </c>
      <c r="AG91" s="188">
        <f>[2]CZ_decarbplus_opex!AB91</f>
        <v>1.762734E-3</v>
      </c>
      <c r="AH91" s="188">
        <f>[2]CZ_decarbplus_opex!AC91</f>
        <v>6.5667999999999998E-4</v>
      </c>
      <c r="AI91" s="188">
        <f>[2]CZ_decarbplus_opex!AD91</f>
        <v>9.5029900000000004E-4</v>
      </c>
      <c r="AJ91" s="188">
        <f>[2]CZ_decarbplus_opex!AE91</f>
        <v>6.6475200000000001E-4</v>
      </c>
      <c r="AK91" s="188">
        <f>[2]CZ_decarbplus_opex!AF91</f>
        <v>5.0540199999999996E-4</v>
      </c>
      <c r="AL91" s="188">
        <f>[3]CZ_decarb_opex!E91</f>
        <v>5.7269915865769199E-4</v>
      </c>
      <c r="AM91" s="188">
        <f>[3]CZ_decarb_opex!F91</f>
        <v>5.1089410714743005E-4</v>
      </c>
      <c r="AN91" s="188">
        <f>[2]CZ_decarbplus_opex!AG91</f>
        <v>9.4533099999999999E-4</v>
      </c>
      <c r="AO91" s="188">
        <f>[3]CZ_decarb_opex!G91</f>
        <v>3.7305482228500099E-4</v>
      </c>
      <c r="AP91" s="188">
        <f>[3]CZ_decarb_opex!H91</f>
        <v>4.0868688183574999E-4</v>
      </c>
      <c r="AQ91" s="188">
        <f>[2]CZ_decarbplus_opex!AH91</f>
        <v>7.3037999999999998E-4</v>
      </c>
      <c r="AR91" s="188">
        <f>[2]CZ_decarbplus_opex!AI91</f>
        <v>0</v>
      </c>
      <c r="AS91" s="188">
        <f>[2]CZ_decarbplus_opex!AJ91</f>
        <v>5.1946499999999999E-4</v>
      </c>
      <c r="AT91" s="188">
        <f>[2]CZ_decarbplus_opex!AK91</f>
        <v>5.5951899999999997E-4</v>
      </c>
      <c r="AU91" s="188">
        <f>[2]CZ_decarbplus_opex!AL91</f>
        <v>4.9499999999999997E-5</v>
      </c>
      <c r="AV91" s="188">
        <f>[2]CZ_decarbplus_opex!AM91</f>
        <v>3.7799999999999997E-5</v>
      </c>
      <c r="AW91" s="188">
        <f>[2]CZ_decarbplus_opex!AN91</f>
        <v>3.24567E-4</v>
      </c>
      <c r="AX91" s="188">
        <f>[2]CZ_decarbplus_opex!AO91</f>
        <v>0</v>
      </c>
      <c r="AY91" s="188">
        <f>[2]CZ_decarbplus_opex!AP91</f>
        <v>2.42768E-4</v>
      </c>
      <c r="AZ91" s="188">
        <f>[2]CZ_decarbplus_opex!AQ91</f>
        <v>0</v>
      </c>
      <c r="BA91" s="188">
        <f>[2]CZ_decarbplus_opex!AR91</f>
        <v>7.1486E-4</v>
      </c>
      <c r="BB91" s="188">
        <f>[2]CZ_decarbplus_opex!AS91</f>
        <v>9.4546699999999997E-4</v>
      </c>
      <c r="BC91" s="188">
        <f>[2]CZ_decarbplus_opex!AT91</f>
        <v>1.888998E-3</v>
      </c>
      <c r="BD91" s="188">
        <f>[2]CZ_decarbplus_opex!AU91</f>
        <v>2.227611E-3</v>
      </c>
      <c r="BE91" s="188">
        <f>[2]CZ_decarbplus_opex!AV91</f>
        <v>2.089526E-3</v>
      </c>
      <c r="BF91" s="188">
        <f>[2]CZ_decarbplus_opex!AW91</f>
        <v>3.4133499999999999E-3</v>
      </c>
      <c r="BG91" s="188">
        <f>[2]CZ_decarbplus_opex!AX91</f>
        <v>4.4791539999999998E-2</v>
      </c>
      <c r="BH91" s="188">
        <f>[3]CZ_decarb_opex!I91</f>
        <v>1.0570080160432699E-3</v>
      </c>
      <c r="BI91" s="188">
        <f>[2]CZ_decarbplus_opex!AY91</f>
        <v>4.6904770000000002E-3</v>
      </c>
      <c r="BJ91" s="188">
        <f>[2]CZ_decarbplus_opex!AZ91</f>
        <v>7.9890600000000005E-4</v>
      </c>
      <c r="BK91" s="188">
        <f>[2]CZ_decarbplus_opex!BA91</f>
        <v>2.8317099999999998E-4</v>
      </c>
      <c r="BL91" s="188">
        <f>[2]CZ_decarbplus_opex!BB91</f>
        <v>0</v>
      </c>
      <c r="BM91" s="188">
        <f>[3]CZ_decarb_opex!J91</f>
        <v>6.3043084386420103E-4</v>
      </c>
      <c r="BN91" s="188">
        <f>[3]CZ_decarb_opex!K91</f>
        <v>9.4077403005206502E-4</v>
      </c>
      <c r="BO91" s="188">
        <f>[3]CZ_decarb_opex!L91</f>
        <v>3.6901047670596698E-4</v>
      </c>
      <c r="BP91" s="188">
        <f>[3]CZ_decarb_opex!M91</f>
        <v>1.8202258459692401E-4</v>
      </c>
      <c r="BQ91" s="188">
        <f>[3]CZ_decarb_opex!N91</f>
        <v>1.4759518338021901E-4</v>
      </c>
      <c r="BR91" s="188">
        <f>[3]CZ_decarb_opex!O91</f>
        <v>3.9968045626878699E-4</v>
      </c>
      <c r="BS91" s="188">
        <f>[3]CZ_decarb_opex!P91</f>
        <v>4.4819146138886902E-4</v>
      </c>
      <c r="BT91" s="188">
        <f>[3]CZ_decarb_opex!Q91</f>
        <v>4.0574251908634401E-4</v>
      </c>
      <c r="BU91" s="188">
        <f>[3]CZ_decarb_opex!R91</f>
        <v>1.79034854606857E-4</v>
      </c>
      <c r="BV91" s="188">
        <f>[3]CZ_decarb_opex!S91</f>
        <v>1.79034854606857E-4</v>
      </c>
      <c r="BW91" s="188">
        <f>[3]CZ_decarb_opex!T91</f>
        <v>1.64735017263028E-4</v>
      </c>
      <c r="BX91" s="188">
        <f>[3]CZ_decarb_opex!U91</f>
        <v>3.9783008440760201E-6</v>
      </c>
      <c r="BY91" s="188">
        <f>[3]CZ_decarb_opex!V91</f>
        <v>2.0219449033516401E-5</v>
      </c>
      <c r="BZ91" s="188">
        <f>[2]CZ_decarbplus_opex!BC91</f>
        <v>4.2539999999999999E-4</v>
      </c>
      <c r="CA91" s="188">
        <f>[2]CZ_decarbplus_opex!BD91</f>
        <v>3.1577299999999999E-4</v>
      </c>
      <c r="CB91" s="188">
        <f>[2]CZ_decarbplus_opex!BE91</f>
        <v>3.5266300000000002E-4</v>
      </c>
      <c r="CC91" s="188">
        <f>[2]CZ_decarbplus_opex!BF91</f>
        <v>2.8161800000000003E-4</v>
      </c>
      <c r="CD91" s="188">
        <f>[2]CZ_decarbplus_opex!BG91</f>
        <v>1.173641E-3</v>
      </c>
      <c r="CE91" s="188">
        <f>[2]CZ_decarbplus_opex!BH91</f>
        <v>9.5211899999999997E-4</v>
      </c>
      <c r="CF91" s="188">
        <f>[2]CZ_decarbplus_opex!BI91</f>
        <v>1.044737E-3</v>
      </c>
      <c r="CG91" s="188">
        <f>[2]CZ_decarbplus_opex!BJ91</f>
        <v>8.92E-5</v>
      </c>
    </row>
    <row r="92" spans="1:85" x14ac:dyDescent="0.25">
      <c r="A92" s="5" t="s">
        <v>203</v>
      </c>
      <c r="B92" s="2" t="s">
        <v>202</v>
      </c>
      <c r="C92" s="1" t="s">
        <v>329</v>
      </c>
      <c r="D92" s="187">
        <f>[2]CZ_decarbplus_opex!B92</f>
        <v>1.741701E-3</v>
      </c>
      <c r="E92" s="187">
        <f>[2]CZ_decarbplus_opex!C92</f>
        <v>7.5720500000000005E-4</v>
      </c>
      <c r="F92" s="187">
        <f>[2]CZ_decarbplus_opex!D92</f>
        <v>1.0221760000000001E-3</v>
      </c>
      <c r="G92" s="187">
        <f>[2]CZ_decarbplus_opex!E92</f>
        <v>2.1970299999999999E-4</v>
      </c>
      <c r="H92" s="187">
        <f>[2]CZ_decarbplus_opex!F92</f>
        <v>3.3743500000000002E-4</v>
      </c>
      <c r="I92" s="187">
        <f>[2]CZ_decarbplus_opex!G92</f>
        <v>8.3733799999999997E-4</v>
      </c>
      <c r="J92" s="187">
        <f>[2]CZ_decarbplus_opex!H92</f>
        <v>2.5698880000000002E-3</v>
      </c>
      <c r="K92" s="187">
        <f>[2]CZ_decarbplus_opex!I92</f>
        <v>7.2321600000000005E-4</v>
      </c>
      <c r="L92" s="187">
        <f>[2]CZ_decarbplus_opex!J92</f>
        <v>9.64502E-4</v>
      </c>
      <c r="M92" s="187">
        <f>[2]CZ_decarbplus_opex!K92</f>
        <v>2.657581E-3</v>
      </c>
      <c r="N92" s="187">
        <f>[2]CZ_decarbplus_opex!L92</f>
        <v>2.268132E-3</v>
      </c>
      <c r="O92" s="187">
        <f>[2]CZ_decarbplus_opex!M92</f>
        <v>1.9993250000000001E-3</v>
      </c>
      <c r="P92" s="187">
        <f>[2]CZ_decarbplus_opex!N92</f>
        <v>4.8612179999999996E-3</v>
      </c>
      <c r="Q92" s="187">
        <f>[2]CZ_decarbplus_opex!O92</f>
        <v>2.8642350000000001E-3</v>
      </c>
      <c r="R92" s="187">
        <f>[2]CZ_decarbplus_opex!P92</f>
        <v>3.596892E-3</v>
      </c>
      <c r="S92" s="187">
        <f>[2]CZ_decarbplus_opex!Q92</f>
        <v>1.6764080000000001E-3</v>
      </c>
      <c r="T92" s="187">
        <f>[2]CZ_decarbplus_opex!R92</f>
        <v>2.4970679999999999E-3</v>
      </c>
      <c r="U92" s="187">
        <f>[2]CZ_decarbplus_opex!S92</f>
        <v>1.610785E-3</v>
      </c>
      <c r="V92" s="187">
        <f>[2]CZ_decarbplus_opex!T92</f>
        <v>1.938756E-3</v>
      </c>
      <c r="W92" s="187">
        <f>[2]CZ_decarbplus_opex!U92</f>
        <v>1.213593E-3</v>
      </c>
      <c r="X92" s="187">
        <f>[2]CZ_decarbplus_opex!V92</f>
        <v>6.0171300000000003E-4</v>
      </c>
      <c r="Y92" s="187">
        <f>[2]CZ_decarbplus_opex!W92</f>
        <v>2.1032189999999999E-3</v>
      </c>
      <c r="Z92" s="187">
        <f>[2]CZ_decarbplus_opex!X92</f>
        <v>5.2078080000000004E-3</v>
      </c>
      <c r="AA92" s="187">
        <f>[2]CZ_decarbplus_opex!Y92</f>
        <v>8.781222E-3</v>
      </c>
      <c r="AB92" s="188">
        <f>[3]CZ_decarb_opex!B92</f>
        <v>2.1764730515531901E-3</v>
      </c>
      <c r="AC92" s="188">
        <f>[3]CZ_decarb_opex!C92</f>
        <v>2.8485414516050602E-3</v>
      </c>
      <c r="AD92" s="188">
        <f>[3]CZ_decarb_opex!D92</f>
        <v>1.2137852969441099E-3</v>
      </c>
      <c r="AE92" s="188">
        <f>[2]CZ_decarbplus_opex!Z92</f>
        <v>9.8069600000000009E-4</v>
      </c>
      <c r="AF92" s="188">
        <f>[2]CZ_decarbplus_opex!AA92</f>
        <v>3.6959670000000001E-3</v>
      </c>
      <c r="AG92" s="188">
        <f>[2]CZ_decarbplus_opex!AB92</f>
        <v>2.3542285E-2</v>
      </c>
      <c r="AH92" s="188">
        <f>[2]CZ_decarbplus_opex!AC92</f>
        <v>1.1673964E-2</v>
      </c>
      <c r="AI92" s="188">
        <f>[2]CZ_decarbplus_opex!AD92</f>
        <v>1.4452326999999999E-2</v>
      </c>
      <c r="AJ92" s="188">
        <f>[2]CZ_decarbplus_opex!AE92</f>
        <v>5.203867E-3</v>
      </c>
      <c r="AK92" s="188">
        <f>[2]CZ_decarbplus_opex!AF92</f>
        <v>9.5487120000000009E-3</v>
      </c>
      <c r="AL92" s="188">
        <f>[3]CZ_decarb_opex!E92</f>
        <v>1.4551002917508601E-2</v>
      </c>
      <c r="AM92" s="188">
        <f>[3]CZ_decarb_opex!F92</f>
        <v>1.35512083126471E-2</v>
      </c>
      <c r="AN92" s="188">
        <f>[2]CZ_decarbplus_opex!AG92</f>
        <v>1.1282766E-2</v>
      </c>
      <c r="AO92" s="188">
        <f>[3]CZ_decarb_opex!G92</f>
        <v>2.89704417220501E-2</v>
      </c>
      <c r="AP92" s="188">
        <f>[3]CZ_decarb_opex!H92</f>
        <v>3.2922441731574E-2</v>
      </c>
      <c r="AQ92" s="188">
        <f>[2]CZ_decarbplus_opex!AH92</f>
        <v>5.5802243000000001E-2</v>
      </c>
      <c r="AR92" s="188">
        <f>[2]CZ_decarbplus_opex!AI92</f>
        <v>0</v>
      </c>
      <c r="AS92" s="188">
        <f>[2]CZ_decarbplus_opex!AJ92</f>
        <v>3.6774895000000002E-2</v>
      </c>
      <c r="AT92" s="188">
        <f>[2]CZ_decarbplus_opex!AK92</f>
        <v>3.4043014000000003E-2</v>
      </c>
      <c r="AU92" s="188">
        <f>[2]CZ_decarbplus_opex!AL92</f>
        <v>9.0162850000000006E-3</v>
      </c>
      <c r="AV92" s="188">
        <f>[2]CZ_decarbplus_opex!AM92</f>
        <v>6.6224450000000002E-3</v>
      </c>
      <c r="AW92" s="188">
        <f>[2]CZ_decarbplus_opex!AN92</f>
        <v>1.9614573999999999E-2</v>
      </c>
      <c r="AX92" s="188">
        <f>[2]CZ_decarbplus_opex!AO92</f>
        <v>0</v>
      </c>
      <c r="AY92" s="188">
        <f>[2]CZ_decarbplus_opex!AP92</f>
        <v>3.3842417E-2</v>
      </c>
      <c r="AZ92" s="188">
        <f>[2]CZ_decarbplus_opex!AQ92</f>
        <v>0</v>
      </c>
      <c r="BA92" s="188">
        <f>[2]CZ_decarbplus_opex!AR92</f>
        <v>1.3206450999999999E-2</v>
      </c>
      <c r="BB92" s="188">
        <f>[2]CZ_decarbplus_opex!AS92</f>
        <v>1.5937873000000002E-2</v>
      </c>
      <c r="BC92" s="188">
        <f>[2]CZ_decarbplus_opex!AT92</f>
        <v>2.1572692000000001E-2</v>
      </c>
      <c r="BD92" s="188">
        <f>[2]CZ_decarbplus_opex!AU92</f>
        <v>1.7117316E-2</v>
      </c>
      <c r="BE92" s="188">
        <f>[2]CZ_decarbplus_opex!AV92</f>
        <v>0.110583705</v>
      </c>
      <c r="BF92" s="188">
        <f>[2]CZ_decarbplus_opex!AW92</f>
        <v>1.2100609E-2</v>
      </c>
      <c r="BG92" s="188">
        <f>[2]CZ_decarbplus_opex!AX92</f>
        <v>1.5891821E-2</v>
      </c>
      <c r="BH92" s="188">
        <f>[3]CZ_decarb_opex!I92</f>
        <v>0.31634159702885301</v>
      </c>
      <c r="BI92" s="188">
        <f>[2]CZ_decarbplus_opex!AY92</f>
        <v>3.9095446999999998E-2</v>
      </c>
      <c r="BJ92" s="188">
        <f>[2]CZ_decarbplus_opex!AZ92</f>
        <v>5.4868243999999997E-2</v>
      </c>
      <c r="BK92" s="188">
        <f>[2]CZ_decarbplus_opex!BA92</f>
        <v>1.4120834000000001E-2</v>
      </c>
      <c r="BL92" s="188">
        <f>[2]CZ_decarbplus_opex!BB92</f>
        <v>0</v>
      </c>
      <c r="BM92" s="188">
        <f>[3]CZ_decarb_opex!J92</f>
        <v>4.5359919658695498E-3</v>
      </c>
      <c r="BN92" s="188">
        <f>[3]CZ_decarb_opex!K92</f>
        <v>9.3690310085893496E-3</v>
      </c>
      <c r="BO92" s="188">
        <f>[3]CZ_decarb_opex!L92</f>
        <v>2.3091575718866201E-3</v>
      </c>
      <c r="BP92" s="188">
        <f>[3]CZ_decarb_opex!M92</f>
        <v>1.6592660594785E-3</v>
      </c>
      <c r="BQ92" s="188">
        <f>[3]CZ_decarb_opex!N92</f>
        <v>1.73303965885086E-3</v>
      </c>
      <c r="BR92" s="188">
        <f>[3]CZ_decarb_opex!O92</f>
        <v>4.63890111589212E-4</v>
      </c>
      <c r="BS92" s="188">
        <f>[3]CZ_decarb_opex!P92</f>
        <v>6.8581466798074402E-3</v>
      </c>
      <c r="BT92" s="188">
        <f>[3]CZ_decarb_opex!Q92</f>
        <v>3.6680353116297598E-4</v>
      </c>
      <c r="BU92" s="188">
        <f>[3]CZ_decarb_opex!R92</f>
        <v>1.29605818453029E-3</v>
      </c>
      <c r="BV92" s="188">
        <f>[3]CZ_decarb_opex!S92</f>
        <v>1.2960581845303E-3</v>
      </c>
      <c r="BW92" s="188">
        <f>[3]CZ_decarb_opex!T92</f>
        <v>9.7613359583853597E-4</v>
      </c>
      <c r="BX92" s="188">
        <f>[3]CZ_decarb_opex!U92</f>
        <v>1.1080326310732399E-5</v>
      </c>
      <c r="BY92" s="188">
        <f>[3]CZ_decarb_opex!V92</f>
        <v>1.52996485826194E-4</v>
      </c>
      <c r="BZ92" s="188">
        <f>[2]CZ_decarbplus_opex!BC92</f>
        <v>4.0420789999999996E-3</v>
      </c>
      <c r="CA92" s="188">
        <f>[2]CZ_decarbplus_opex!BD92</f>
        <v>2.3697919999999999E-3</v>
      </c>
      <c r="CB92" s="188">
        <f>[2]CZ_decarbplus_opex!BE92</f>
        <v>2.8175349999999999E-3</v>
      </c>
      <c r="CC92" s="188">
        <f>[2]CZ_decarbplus_opex!BF92</f>
        <v>1.1205099999999999E-3</v>
      </c>
      <c r="CD92" s="188">
        <f>[2]CZ_decarbplus_opex!BG92</f>
        <v>1.3110711000000001E-2</v>
      </c>
      <c r="CE92" s="188">
        <f>[2]CZ_decarbplus_opex!BH92</f>
        <v>5.6012800000000001E-3</v>
      </c>
      <c r="CF92" s="188">
        <f>[2]CZ_decarbplus_opex!BI92</f>
        <v>7.8769110000000003E-3</v>
      </c>
      <c r="CG92" s="188">
        <f>[2]CZ_decarbplus_opex!BJ92</f>
        <v>1.0112809999999999E-3</v>
      </c>
    </row>
    <row r="93" spans="1:85" x14ac:dyDescent="0.25">
      <c r="A93" s="5" t="s">
        <v>205</v>
      </c>
      <c r="B93" s="2" t="s">
        <v>204</v>
      </c>
      <c r="C93" s="1" t="s">
        <v>329</v>
      </c>
      <c r="D93" s="187">
        <f>[2]CZ_decarbplus_opex!B93</f>
        <v>4.99E-5</v>
      </c>
      <c r="E93" s="187">
        <f>[2]CZ_decarbplus_opex!C93</f>
        <v>3.0599999999999998E-5</v>
      </c>
      <c r="F93" s="187">
        <f>[2]CZ_decarbplus_opex!D93</f>
        <v>3.3399999999999999E-5</v>
      </c>
      <c r="G93" s="187">
        <f>[2]CZ_decarbplus_opex!E93</f>
        <v>3.1200000000000002E-6</v>
      </c>
      <c r="H93" s="187">
        <f>[2]CZ_decarbplus_opex!F93</f>
        <v>7.9300000000000003E-6</v>
      </c>
      <c r="I93" s="187">
        <f>[2]CZ_decarbplus_opex!G93</f>
        <v>6.3200000000000005E-5</v>
      </c>
      <c r="J93" s="187">
        <f>[2]CZ_decarbplus_opex!H93</f>
        <v>4.9400000000000001E-5</v>
      </c>
      <c r="K93" s="187">
        <f>[2]CZ_decarbplus_opex!I93</f>
        <v>9.2599999999999994E-6</v>
      </c>
      <c r="L93" s="187">
        <f>[2]CZ_decarbplus_opex!J93</f>
        <v>6.7600000000000003E-5</v>
      </c>
      <c r="M93" s="187">
        <f>[2]CZ_decarbplus_opex!K93</f>
        <v>2.1018E-4</v>
      </c>
      <c r="N93" s="187">
        <f>[2]CZ_decarbplus_opex!L93</f>
        <v>1.2524500000000001E-4</v>
      </c>
      <c r="O93" s="187">
        <f>[2]CZ_decarbplus_opex!M93</f>
        <v>1.21684E-4</v>
      </c>
      <c r="P93" s="187">
        <f>[2]CZ_decarbplus_opex!N93</f>
        <v>2.40714E-4</v>
      </c>
      <c r="Q93" s="187">
        <f>[2]CZ_decarbplus_opex!O93</f>
        <v>1.8363200000000001E-4</v>
      </c>
      <c r="R93" s="187">
        <f>[2]CZ_decarbplus_opex!P93</f>
        <v>2.0789100000000001E-4</v>
      </c>
      <c r="S93" s="187">
        <f>[2]CZ_decarbplus_opex!Q93</f>
        <v>2.0619599999999999E-4</v>
      </c>
      <c r="T93" s="187">
        <f>[2]CZ_decarbplus_opex!R93</f>
        <v>1.8983100000000001E-4</v>
      </c>
      <c r="U93" s="187">
        <f>[2]CZ_decarbplus_opex!S93</f>
        <v>3.20384E-4</v>
      </c>
      <c r="V93" s="187">
        <f>[2]CZ_decarbplus_opex!T93</f>
        <v>3.7481800000000002E-4</v>
      </c>
      <c r="W93" s="187">
        <f>[2]CZ_decarbplus_opex!U93</f>
        <v>2.8939100000000001E-4</v>
      </c>
      <c r="X93" s="187">
        <f>[2]CZ_decarbplus_opex!V93</f>
        <v>9.2600000000000001E-5</v>
      </c>
      <c r="Y93" s="187">
        <f>[2]CZ_decarbplus_opex!W93</f>
        <v>1.8894699999999999E-4</v>
      </c>
      <c r="Z93" s="187">
        <f>[2]CZ_decarbplus_opex!X93</f>
        <v>1.135643E-3</v>
      </c>
      <c r="AA93" s="187">
        <f>[2]CZ_decarbplus_opex!Y93</f>
        <v>5.2434599999999997E-4</v>
      </c>
      <c r="AB93" s="188">
        <f>[3]CZ_decarb_opex!B93</f>
        <v>2.7002094192828799E-5</v>
      </c>
      <c r="AC93" s="188">
        <f>[3]CZ_decarb_opex!C93</f>
        <v>7.3438046268200206E-5</v>
      </c>
      <c r="AD93" s="188">
        <f>[3]CZ_decarb_opex!D93</f>
        <v>4.9975098923418402E-5</v>
      </c>
      <c r="AE93" s="188">
        <f>[2]CZ_decarbplus_opex!Z93</f>
        <v>4.88E-5</v>
      </c>
      <c r="AF93" s="188">
        <f>[2]CZ_decarbplus_opex!AA93</f>
        <v>4.2540999999999998E-4</v>
      </c>
      <c r="AG93" s="188">
        <f>[2]CZ_decarbplus_opex!AB93</f>
        <v>4.3155999999999999E-4</v>
      </c>
      <c r="AH93" s="188">
        <f>[2]CZ_decarbplus_opex!AC93</f>
        <v>3.8915599999999999E-4</v>
      </c>
      <c r="AI93" s="188">
        <f>[2]CZ_decarbplus_opex!AD93</f>
        <v>6.6952600000000004E-4</v>
      </c>
      <c r="AJ93" s="188">
        <f>[2]CZ_decarbplus_opex!AE93</f>
        <v>4.1888800000000002E-4</v>
      </c>
      <c r="AK93" s="188">
        <f>[2]CZ_decarbplus_opex!AF93</f>
        <v>3.4016199999999997E-4</v>
      </c>
      <c r="AL93" s="188">
        <f>[3]CZ_decarb_opex!E93</f>
        <v>3.9013580316701201E-4</v>
      </c>
      <c r="AM93" s="188">
        <f>[3]CZ_decarb_opex!F93</f>
        <v>3.5011238520042697E-4</v>
      </c>
      <c r="AN93" s="188">
        <f>[2]CZ_decarbplus_opex!AG93</f>
        <v>5.7171399999999997E-4</v>
      </c>
      <c r="AO93" s="188">
        <f>[3]CZ_decarb_opex!G93</f>
        <v>7.29802075624112E-4</v>
      </c>
      <c r="AP93" s="188">
        <f>[3]CZ_decarb_opex!H93</f>
        <v>8.4341223701442196E-4</v>
      </c>
      <c r="AQ93" s="188">
        <f>[2]CZ_decarbplus_opex!AH93</f>
        <v>1.0430350000000001E-3</v>
      </c>
      <c r="AR93" s="188">
        <f>[2]CZ_decarbplus_opex!AI93</f>
        <v>0</v>
      </c>
      <c r="AS93" s="188">
        <f>[2]CZ_decarbplus_opex!AJ93</f>
        <v>8.6028999999999999E-4</v>
      </c>
      <c r="AT93" s="188">
        <f>[2]CZ_decarbplus_opex!AK93</f>
        <v>8.7996600000000004E-4</v>
      </c>
      <c r="AU93" s="188">
        <f>[2]CZ_decarbplus_opex!AL93</f>
        <v>1.283E-4</v>
      </c>
      <c r="AV93" s="188">
        <f>[2]CZ_decarbplus_opex!AM93</f>
        <v>9.5000000000000005E-5</v>
      </c>
      <c r="AW93" s="188">
        <f>[2]CZ_decarbplus_opex!AN93</f>
        <v>6.2026699999999998E-4</v>
      </c>
      <c r="AX93" s="188">
        <f>[2]CZ_decarbplus_opex!AO93</f>
        <v>0</v>
      </c>
      <c r="AY93" s="188">
        <f>[2]CZ_decarbplus_opex!AP93</f>
        <v>5.1228500000000002E-4</v>
      </c>
      <c r="AZ93" s="188">
        <f>[2]CZ_decarbplus_opex!AQ93</f>
        <v>0</v>
      </c>
      <c r="BA93" s="188">
        <f>[2]CZ_decarbplus_opex!AR93</f>
        <v>1.28987E-3</v>
      </c>
      <c r="BB93" s="188">
        <f>[2]CZ_decarbplus_opex!AS93</f>
        <v>2.0588030000000001E-3</v>
      </c>
      <c r="BC93" s="188">
        <f>[2]CZ_decarbplus_opex!AT93</f>
        <v>1.345096E-2</v>
      </c>
      <c r="BD93" s="188">
        <f>[2]CZ_decarbplus_opex!AU93</f>
        <v>3.5273750000000001E-3</v>
      </c>
      <c r="BE93" s="188">
        <f>[2]CZ_decarbplus_opex!AV93</f>
        <v>4.9312799999999997E-3</v>
      </c>
      <c r="BF93" s="188">
        <f>[2]CZ_decarbplus_opex!AW93</f>
        <v>3.1614239999999999E-3</v>
      </c>
      <c r="BG93" s="188">
        <f>[2]CZ_decarbplus_opex!AX93</f>
        <v>1.3746089999999999E-3</v>
      </c>
      <c r="BH93" s="188">
        <f>[3]CZ_decarb_opex!I93</f>
        <v>1.37392451559817E-3</v>
      </c>
      <c r="BI93" s="188">
        <f>[2]CZ_decarbplus_opex!AY93</f>
        <v>4.2098351999999999E-2</v>
      </c>
      <c r="BJ93" s="188">
        <f>[2]CZ_decarbplus_opex!AZ93</f>
        <v>2.2842690999999998E-2</v>
      </c>
      <c r="BK93" s="188">
        <f>[2]CZ_decarbplus_opex!BA93</f>
        <v>3.4603800000000001E-4</v>
      </c>
      <c r="BL93" s="188">
        <f>[2]CZ_decarbplus_opex!BB93</f>
        <v>0</v>
      </c>
      <c r="BM93" s="188">
        <f>[3]CZ_decarb_opex!J93</f>
        <v>4.58947194473336E-4</v>
      </c>
      <c r="BN93" s="188">
        <f>[3]CZ_decarb_opex!K93</f>
        <v>8.8599733737021696E-4</v>
      </c>
      <c r="BO93" s="188">
        <f>[3]CZ_decarb_opex!L93</f>
        <v>2.4537747498524403E-4</v>
      </c>
      <c r="BP93" s="188">
        <f>[3]CZ_decarb_opex!M93</f>
        <v>1.3022073236869901E-4</v>
      </c>
      <c r="BQ93" s="188">
        <f>[3]CZ_decarb_opex!N93</f>
        <v>1.06849828260614E-4</v>
      </c>
      <c r="BR93" s="188">
        <f>[3]CZ_decarb_opex!O93</f>
        <v>7.5817431794916496E-5</v>
      </c>
      <c r="BS93" s="188">
        <f>[3]CZ_decarb_opex!P93</f>
        <v>4.8941347213886995E-4</v>
      </c>
      <c r="BT93" s="188">
        <f>[3]CZ_decarb_opex!Q93</f>
        <v>9.1640739648459596E-5</v>
      </c>
      <c r="BU93" s="188">
        <f>[3]CZ_decarb_opex!R93</f>
        <v>1.24132558900916E-4</v>
      </c>
      <c r="BV93" s="188">
        <f>[3]CZ_decarb_opex!S93</f>
        <v>1.24132558900916E-4</v>
      </c>
      <c r="BW93" s="188">
        <f>[3]CZ_decarb_opex!T93</f>
        <v>2.1887386302202401E-4</v>
      </c>
      <c r="BX93" s="188">
        <f>[3]CZ_decarb_opex!U93</f>
        <v>4.4364884252703903E-6</v>
      </c>
      <c r="BY93" s="188">
        <f>[3]CZ_decarb_opex!V93</f>
        <v>2.0596282527033301E-6</v>
      </c>
      <c r="BZ93" s="188">
        <f>[2]CZ_decarbplus_opex!BC93</f>
        <v>3.5381799999999999E-4</v>
      </c>
      <c r="CA93" s="188">
        <f>[2]CZ_decarbplus_opex!BD93</f>
        <v>2.3420200000000001E-4</v>
      </c>
      <c r="CB93" s="188">
        <f>[2]CZ_decarbplus_opex!BE93</f>
        <v>2.7224299999999998E-4</v>
      </c>
      <c r="CC93" s="188">
        <f>[2]CZ_decarbplus_opex!BF93</f>
        <v>1.7132200000000001E-4</v>
      </c>
      <c r="CD93" s="188">
        <f>[2]CZ_decarbplus_opex!BG93</f>
        <v>1.1574440000000001E-3</v>
      </c>
      <c r="CE93" s="188">
        <f>[2]CZ_decarbplus_opex!BH93</f>
        <v>3.9942100000000001E-4</v>
      </c>
      <c r="CF93" s="188">
        <f>[2]CZ_decarbplus_opex!BI93</f>
        <v>3.6661499999999999E-4</v>
      </c>
      <c r="CG93" s="188">
        <f>[2]CZ_decarbplus_opex!BJ93</f>
        <v>1.98E-5</v>
      </c>
    </row>
    <row r="94" spans="1:85" x14ac:dyDescent="0.25">
      <c r="A94" s="5" t="s">
        <v>207</v>
      </c>
      <c r="B94" s="2" t="s">
        <v>206</v>
      </c>
      <c r="C94" s="1" t="s">
        <v>329</v>
      </c>
      <c r="D94" s="187">
        <f>[2]CZ_decarbplus_opex!B94</f>
        <v>4.95923E-4</v>
      </c>
      <c r="E94" s="187">
        <f>[2]CZ_decarbplus_opex!C94</f>
        <v>7.9889499999999999E-4</v>
      </c>
      <c r="F94" s="187">
        <f>[2]CZ_decarbplus_opex!D94</f>
        <v>6.19029E-4</v>
      </c>
      <c r="G94" s="187">
        <f>[2]CZ_decarbplus_opex!E94</f>
        <v>3.6600000000000002E-5</v>
      </c>
      <c r="H94" s="187">
        <f>[2]CZ_decarbplus_opex!F94</f>
        <v>9.5199999999999997E-5</v>
      </c>
      <c r="I94" s="187">
        <f>[2]CZ_decarbplus_opex!G94</f>
        <v>1.6236449999999999E-3</v>
      </c>
      <c r="J94" s="187">
        <f>[2]CZ_decarbplus_opex!H94</f>
        <v>1.8011200000000001E-4</v>
      </c>
      <c r="K94" s="187">
        <f>[2]CZ_decarbplus_opex!I94</f>
        <v>1.03229E-4</v>
      </c>
      <c r="L94" s="187">
        <f>[2]CZ_decarbplus_opex!J94</f>
        <v>3.1980699999999999E-3</v>
      </c>
      <c r="M94" s="187">
        <f>[2]CZ_decarbplus_opex!K94</f>
        <v>1.0735144E-2</v>
      </c>
      <c r="N94" s="187">
        <f>[2]CZ_decarbplus_opex!L94</f>
        <v>4.3213440000000004E-3</v>
      </c>
      <c r="O94" s="187">
        <f>[2]CZ_decarbplus_opex!M94</f>
        <v>1.4912899999999999E-4</v>
      </c>
      <c r="P94" s="187">
        <f>[2]CZ_decarbplus_opex!N94</f>
        <v>5.083522E-3</v>
      </c>
      <c r="Q94" s="187">
        <f>[2]CZ_decarbplus_opex!O94</f>
        <v>2.4399123000000002E-2</v>
      </c>
      <c r="R94" s="187">
        <f>[2]CZ_decarbplus_opex!P94</f>
        <v>9.6237189999999993E-3</v>
      </c>
      <c r="S94" s="187">
        <f>[2]CZ_decarbplus_opex!Q94</f>
        <v>6.1297959999999999E-3</v>
      </c>
      <c r="T94" s="187">
        <f>[2]CZ_decarbplus_opex!R94</f>
        <v>5.779668E-3</v>
      </c>
      <c r="U94" s="187">
        <f>[2]CZ_decarbplus_opex!S94</f>
        <v>7.5377899999999999E-3</v>
      </c>
      <c r="V94" s="187">
        <f>[2]CZ_decarbplus_opex!T94</f>
        <v>7.3897060000000002E-3</v>
      </c>
      <c r="W94" s="187">
        <f>[2]CZ_decarbplus_opex!U94</f>
        <v>1.1480185E-2</v>
      </c>
      <c r="X94" s="187">
        <f>[2]CZ_decarbplus_opex!V94</f>
        <v>4.3962599999999998E-4</v>
      </c>
      <c r="Y94" s="187">
        <f>[2]CZ_decarbplus_opex!W94</f>
        <v>9.0199999999999997E-5</v>
      </c>
      <c r="Z94" s="187">
        <f>[2]CZ_decarbplus_opex!X94</f>
        <v>2.98559E-4</v>
      </c>
      <c r="AA94" s="187">
        <f>[2]CZ_decarbplus_opex!Y94</f>
        <v>5.2665199999999996E-4</v>
      </c>
      <c r="AB94" s="188">
        <f>[3]CZ_decarb_opex!B94</f>
        <v>1.23264937575068E-4</v>
      </c>
      <c r="AC94" s="188">
        <f>[3]CZ_decarb_opex!C94</f>
        <v>5.8664611997044603E-4</v>
      </c>
      <c r="AD94" s="188">
        <f>[3]CZ_decarb_opex!D94</f>
        <v>4.2323247920165102E-4</v>
      </c>
      <c r="AE94" s="188">
        <f>[2]CZ_decarbplus_opex!Z94</f>
        <v>3.5366299999999999E-4</v>
      </c>
      <c r="AF94" s="188">
        <f>[2]CZ_decarbplus_opex!AA94</f>
        <v>4.8116369999999997E-3</v>
      </c>
      <c r="AG94" s="188">
        <f>[2]CZ_decarbplus_opex!AB94</f>
        <v>5.1385700000000003E-3</v>
      </c>
      <c r="AH94" s="188">
        <f>[2]CZ_decarbplus_opex!AC94</f>
        <v>9.0603199999999997E-4</v>
      </c>
      <c r="AI94" s="188">
        <f>[2]CZ_decarbplus_opex!AD94</f>
        <v>1.4065200000000001E-3</v>
      </c>
      <c r="AJ94" s="188">
        <f>[2]CZ_decarbplus_opex!AE94</f>
        <v>1.0631729999999999E-3</v>
      </c>
      <c r="AK94" s="188">
        <f>[2]CZ_decarbplus_opex!AF94</f>
        <v>6.0861900000000002E-4</v>
      </c>
      <c r="AL94" s="188">
        <f>[3]CZ_decarb_opex!E94</f>
        <v>6.6370374998748604E-4</v>
      </c>
      <c r="AM94" s="188">
        <f>[3]CZ_decarb_opex!F94</f>
        <v>5.7061805323427002E-4</v>
      </c>
      <c r="AN94" s="188">
        <f>[2]CZ_decarbplus_opex!AG94</f>
        <v>2.5844330000000001E-3</v>
      </c>
      <c r="AO94" s="188">
        <f>[3]CZ_decarb_opex!G94</f>
        <v>3.11043436662274E-3</v>
      </c>
      <c r="AP94" s="188">
        <f>[3]CZ_decarb_opex!H94</f>
        <v>3.3856155683121502E-3</v>
      </c>
      <c r="AQ94" s="188">
        <f>[2]CZ_decarbplus_opex!AH94</f>
        <v>3.7252980000000002E-3</v>
      </c>
      <c r="AR94" s="188">
        <f>[2]CZ_decarbplus_opex!AI94</f>
        <v>0</v>
      </c>
      <c r="AS94" s="188">
        <f>[2]CZ_decarbplus_opex!AJ94</f>
        <v>2.2423510000000001E-3</v>
      </c>
      <c r="AT94" s="188">
        <f>[2]CZ_decarbplus_opex!AK94</f>
        <v>2.2694820000000002E-3</v>
      </c>
      <c r="AU94" s="188">
        <f>[2]CZ_decarbplus_opex!AL94</f>
        <v>2.6129300000000001E-4</v>
      </c>
      <c r="AV94" s="188">
        <f>[2]CZ_decarbplus_opex!AM94</f>
        <v>1.9319500000000001E-4</v>
      </c>
      <c r="AW94" s="188">
        <f>[2]CZ_decarbplus_opex!AN94</f>
        <v>1.7338239999999999E-3</v>
      </c>
      <c r="AX94" s="188">
        <f>[2]CZ_decarbplus_opex!AO94</f>
        <v>0</v>
      </c>
      <c r="AY94" s="188">
        <f>[2]CZ_decarbplus_opex!AP94</f>
        <v>1.5048069999999999E-3</v>
      </c>
      <c r="AZ94" s="188">
        <f>[2]CZ_decarbplus_opex!AQ94</f>
        <v>0</v>
      </c>
      <c r="BA94" s="188">
        <f>[2]CZ_decarbplus_opex!AR94</f>
        <v>6.5629310000000001E-3</v>
      </c>
      <c r="BB94" s="188">
        <f>[2]CZ_decarbplus_opex!AS94</f>
        <v>3.3829369999999999E-3</v>
      </c>
      <c r="BC94" s="188">
        <f>[2]CZ_decarbplus_opex!AT94</f>
        <v>2.0164879999999999E-3</v>
      </c>
      <c r="BD94" s="188">
        <f>[2]CZ_decarbplus_opex!AU94</f>
        <v>7.3815899999999995E-4</v>
      </c>
      <c r="BE94" s="188">
        <f>[2]CZ_decarbplus_opex!AV94</f>
        <v>2.4918760000000001E-3</v>
      </c>
      <c r="BF94" s="188">
        <f>[2]CZ_decarbplus_opex!AW94</f>
        <v>1.0071399999999999E-3</v>
      </c>
      <c r="BG94" s="188">
        <f>[2]CZ_decarbplus_opex!AX94</f>
        <v>1.8146359999999999E-3</v>
      </c>
      <c r="BH94" s="188">
        <f>[3]CZ_decarb_opex!I94</f>
        <v>1.27436700766495E-3</v>
      </c>
      <c r="BI94" s="188">
        <f>[2]CZ_decarbplus_opex!AY94</f>
        <v>1.6188960000000001E-3</v>
      </c>
      <c r="BJ94" s="188">
        <f>[2]CZ_decarbplus_opex!AZ94</f>
        <v>7.3146218999999998E-2</v>
      </c>
      <c r="BK94" s="188">
        <f>[2]CZ_decarbplus_opex!BA94</f>
        <v>1.133399E-3</v>
      </c>
      <c r="BL94" s="188">
        <f>[2]CZ_decarbplus_opex!BB94</f>
        <v>0</v>
      </c>
      <c r="BM94" s="188">
        <f>[3]CZ_decarb_opex!J94</f>
        <v>3.3714839416411899E-4</v>
      </c>
      <c r="BN94" s="188">
        <f>[3]CZ_decarb_opex!K94</f>
        <v>4.48386335750305E-4</v>
      </c>
      <c r="BO94" s="188">
        <f>[3]CZ_decarb_opex!L94</f>
        <v>1.5707957642028801E-4</v>
      </c>
      <c r="BP94" s="188">
        <f>[3]CZ_decarb_opex!M94</f>
        <v>1.10597392919944E-4</v>
      </c>
      <c r="BQ94" s="188">
        <f>[3]CZ_decarb_opex!N94</f>
        <v>8.8305544445632203E-5</v>
      </c>
      <c r="BR94" s="188">
        <f>[3]CZ_decarb_opex!O94</f>
        <v>6.4641441257008397E-5</v>
      </c>
      <c r="BS94" s="188">
        <f>[3]CZ_decarb_opex!P94</f>
        <v>3.2435886235003899E-4</v>
      </c>
      <c r="BT94" s="188">
        <f>[3]CZ_decarb_opex!Q94</f>
        <v>2.2979877715031301E-4</v>
      </c>
      <c r="BU94" s="188">
        <f>[3]CZ_decarb_opex!R94</f>
        <v>8.2335771885369305E-5</v>
      </c>
      <c r="BV94" s="188">
        <f>[3]CZ_decarb_opex!S94</f>
        <v>8.2335771885369604E-5</v>
      </c>
      <c r="BW94" s="188">
        <f>[3]CZ_decarb_opex!T94</f>
        <v>7.7590769598448797E-4</v>
      </c>
      <c r="BX94" s="188">
        <f>[3]CZ_decarb_opex!U94</f>
        <v>4.5693350800034599E-6</v>
      </c>
      <c r="BY94" s="188">
        <f>[3]CZ_decarb_opex!V94</f>
        <v>9.8986665829497905E-5</v>
      </c>
      <c r="BZ94" s="188">
        <f>[2]CZ_decarbplus_opex!BC94</f>
        <v>2.3206600000000001E-4</v>
      </c>
      <c r="CA94" s="188">
        <f>[2]CZ_decarbplus_opex!BD94</f>
        <v>1.8802900000000001E-4</v>
      </c>
      <c r="CB94" s="188">
        <f>[2]CZ_decarbplus_opex!BE94</f>
        <v>1.8552799999999999E-4</v>
      </c>
      <c r="CC94" s="188">
        <f>[2]CZ_decarbplus_opex!BF94</f>
        <v>7.4599999999999997E-5</v>
      </c>
      <c r="CD94" s="188">
        <f>[2]CZ_decarbplus_opex!BG94</f>
        <v>5.4856999999999996E-4</v>
      </c>
      <c r="CE94" s="188">
        <f>[2]CZ_decarbplus_opex!BH94</f>
        <v>4.60526E-4</v>
      </c>
      <c r="CF94" s="188">
        <f>[2]CZ_decarbplus_opex!BI94</f>
        <v>7.8408899999999997E-4</v>
      </c>
      <c r="CG94" s="188">
        <f>[2]CZ_decarbplus_opex!BJ94</f>
        <v>1.00047E-4</v>
      </c>
    </row>
    <row r="95" spans="1:85" x14ac:dyDescent="0.25">
      <c r="A95" s="6" t="s">
        <v>209</v>
      </c>
      <c r="B95" s="2" t="s">
        <v>208</v>
      </c>
      <c r="C95" s="1" t="s">
        <v>330</v>
      </c>
      <c r="D95" s="187">
        <f>[2]CZ_decarbplus_opex!B95</f>
        <v>5.7599999999999997E-5</v>
      </c>
      <c r="E95" s="187">
        <f>[2]CZ_decarbplus_opex!C95</f>
        <v>5.5399999999999998E-5</v>
      </c>
      <c r="F95" s="187">
        <f>[2]CZ_decarbplus_opex!D95</f>
        <v>7.2999999999999999E-5</v>
      </c>
      <c r="G95" s="187">
        <f>[2]CZ_decarbplus_opex!E95</f>
        <v>2.72E-5</v>
      </c>
      <c r="H95" s="187">
        <f>[2]CZ_decarbplus_opex!F95</f>
        <v>2.0400000000000001E-5</v>
      </c>
      <c r="I95" s="187">
        <f>[2]CZ_decarbplus_opex!G95</f>
        <v>7.0300000000000001E-5</v>
      </c>
      <c r="J95" s="187">
        <f>[2]CZ_decarbplus_opex!H95</f>
        <v>2.4562500000000002E-4</v>
      </c>
      <c r="K95" s="187">
        <f>[2]CZ_decarbplus_opex!I95</f>
        <v>4.49E-5</v>
      </c>
      <c r="L95" s="187">
        <f>[2]CZ_decarbplus_opex!J95</f>
        <v>1.72072E-4</v>
      </c>
      <c r="M95" s="187">
        <f>[2]CZ_decarbplus_opex!K95</f>
        <v>2.1534700000000001E-4</v>
      </c>
      <c r="N95" s="187">
        <f>[2]CZ_decarbplus_opex!L95</f>
        <v>2.5254999999999999E-4</v>
      </c>
      <c r="O95" s="187">
        <f>[2]CZ_decarbplus_opex!M95</f>
        <v>1.16005E-4</v>
      </c>
      <c r="P95" s="187">
        <f>[2]CZ_decarbplus_opex!N95</f>
        <v>1.18867E-4</v>
      </c>
      <c r="Q95" s="187">
        <f>[2]CZ_decarbplus_opex!O95</f>
        <v>1.07963E-4</v>
      </c>
      <c r="R95" s="187">
        <f>[2]CZ_decarbplus_opex!P95</f>
        <v>1.2162700000000001E-4</v>
      </c>
      <c r="S95" s="187">
        <f>[2]CZ_decarbplus_opex!Q95</f>
        <v>4.6E-5</v>
      </c>
      <c r="T95" s="187">
        <f>[2]CZ_decarbplus_opex!R95</f>
        <v>9.0799999999999998E-5</v>
      </c>
      <c r="U95" s="187">
        <f>[2]CZ_decarbplus_opex!S95</f>
        <v>7.1299999999999998E-5</v>
      </c>
      <c r="V95" s="187">
        <f>[2]CZ_decarbplus_opex!T95</f>
        <v>8.9300000000000002E-5</v>
      </c>
      <c r="W95" s="187">
        <f>[2]CZ_decarbplus_opex!U95</f>
        <v>4.4400000000000002E-5</v>
      </c>
      <c r="X95" s="187">
        <f>[2]CZ_decarbplus_opex!V95</f>
        <v>5.3600000000000002E-5</v>
      </c>
      <c r="Y95" s="187">
        <f>[2]CZ_decarbplus_opex!W95</f>
        <v>6.1199999999999997E-5</v>
      </c>
      <c r="Z95" s="187">
        <f>[2]CZ_decarbplus_opex!X95</f>
        <v>7.7600000000000002E-5</v>
      </c>
      <c r="AA95" s="187">
        <f>[2]CZ_decarbplus_opex!Y95</f>
        <v>1.4605099999999999E-4</v>
      </c>
      <c r="AB95" s="188">
        <f>[3]CZ_decarb_opex!B95</f>
        <v>1.2976488083071499E-4</v>
      </c>
      <c r="AC95" s="188">
        <f>[3]CZ_decarb_opex!C95</f>
        <v>3.6315192537078302E-4</v>
      </c>
      <c r="AD95" s="188">
        <f>[3]CZ_decarb_opex!D95</f>
        <v>1.12732231398091E-4</v>
      </c>
      <c r="AE95" s="188">
        <f>[2]CZ_decarbplus_opex!Z95</f>
        <v>8.1600000000000005E-5</v>
      </c>
      <c r="AF95" s="188">
        <f>[2]CZ_decarbplus_opex!AA95</f>
        <v>4.5013200000000001E-4</v>
      </c>
      <c r="AG95" s="188">
        <f>[2]CZ_decarbplus_opex!AB95</f>
        <v>1.91812E-4</v>
      </c>
      <c r="AH95" s="188">
        <f>[2]CZ_decarbplus_opex!AC95</f>
        <v>9.6500000000000001E-5</v>
      </c>
      <c r="AI95" s="188">
        <f>[2]CZ_decarbplus_opex!AD95</f>
        <v>1.4170400000000001E-4</v>
      </c>
      <c r="AJ95" s="188">
        <f>[2]CZ_decarbplus_opex!AE95</f>
        <v>7.2299999999999996E-5</v>
      </c>
      <c r="AK95" s="188">
        <f>[2]CZ_decarbplus_opex!AF95</f>
        <v>1.42607E-4</v>
      </c>
      <c r="AL95" s="188">
        <f>[3]CZ_decarb_opex!E95</f>
        <v>9.2644119956756404E-5</v>
      </c>
      <c r="AM95" s="188">
        <f>[3]CZ_decarb_opex!F95</f>
        <v>1.05646760220718E-4</v>
      </c>
      <c r="AN95" s="188">
        <f>[2]CZ_decarbplus_opex!AG95</f>
        <v>1.10845E-4</v>
      </c>
      <c r="AO95" s="188">
        <f>[3]CZ_decarb_opex!G95</f>
        <v>0.12297476016742501</v>
      </c>
      <c r="AP95" s="188">
        <f>[3]CZ_decarb_opex!H95</f>
        <v>0.136364807713034</v>
      </c>
      <c r="AQ95" s="188">
        <f>[2]CZ_decarbplus_opex!AH95</f>
        <v>0.12237052900000001</v>
      </c>
      <c r="AR95" s="188">
        <f>[2]CZ_decarbplus_opex!AI95</f>
        <v>0</v>
      </c>
      <c r="AS95" s="188">
        <f>[2]CZ_decarbplus_opex!AJ95</f>
        <v>0.11727006700000001</v>
      </c>
      <c r="AT95" s="188">
        <f>[2]CZ_decarbplus_opex!AK95</f>
        <v>0.14173768</v>
      </c>
      <c r="AU95" s="188">
        <f>[2]CZ_decarbplus_opex!AL95</f>
        <v>3.8638969999999998E-3</v>
      </c>
      <c r="AV95" s="188">
        <f>[2]CZ_decarbplus_opex!AM95</f>
        <v>6.2118500000000001E-4</v>
      </c>
      <c r="AW95" s="188">
        <f>[2]CZ_decarbplus_opex!AN95</f>
        <v>9.8234679000000005E-2</v>
      </c>
      <c r="AX95" s="188">
        <f>[2]CZ_decarbplus_opex!AO95</f>
        <v>0</v>
      </c>
      <c r="AY95" s="188">
        <f>[2]CZ_decarbplus_opex!AP95</f>
        <v>0.106040537</v>
      </c>
      <c r="AZ95" s="188">
        <f>[2]CZ_decarbplus_opex!AQ95</f>
        <v>0</v>
      </c>
      <c r="BA95" s="188">
        <f>[2]CZ_decarbplus_opex!AR95</f>
        <v>5.1296332E-2</v>
      </c>
      <c r="BB95" s="188">
        <f>[2]CZ_decarbplus_opex!AS95</f>
        <v>2.5658400000000002E-4</v>
      </c>
      <c r="BC95" s="188">
        <f>[2]CZ_decarbplus_opex!AT95</f>
        <v>5.74539E-4</v>
      </c>
      <c r="BD95" s="188">
        <f>[2]CZ_decarbplus_opex!AU95</f>
        <v>4.57E-5</v>
      </c>
      <c r="BE95" s="188">
        <f>[2]CZ_decarbplus_opex!AV95</f>
        <v>3.5849599999999998E-4</v>
      </c>
      <c r="BF95" s="188">
        <f>[2]CZ_decarbplus_opex!AW95</f>
        <v>1.4747600000000001E-4</v>
      </c>
      <c r="BG95" s="188">
        <f>[2]CZ_decarbplus_opex!AX95</f>
        <v>1.80082E-4</v>
      </c>
      <c r="BH95" s="188">
        <f>[3]CZ_decarb_opex!I95</f>
        <v>1.58470330732762E-4</v>
      </c>
      <c r="BI95" s="188">
        <f>[2]CZ_decarbplus_opex!AY95</f>
        <v>2.7923100000000001E-4</v>
      </c>
      <c r="BJ95" s="188">
        <f>[2]CZ_decarbplus_opex!AZ95</f>
        <v>2.1723900000000001E-4</v>
      </c>
      <c r="BK95" s="188">
        <f>[2]CZ_decarbplus_opex!BA95</f>
        <v>0.24740000000000001</v>
      </c>
      <c r="BL95" s="188">
        <f>[2]CZ_decarbplus_opex!BB95</f>
        <v>0</v>
      </c>
      <c r="BM95" s="188">
        <f>[3]CZ_decarb_opex!J95</f>
        <v>3.2527713362672402E-5</v>
      </c>
      <c r="BN95" s="188">
        <f>[3]CZ_decarb_opex!K95</f>
        <v>1.1960310775241401E-4</v>
      </c>
      <c r="BO95" s="188">
        <f>[3]CZ_decarb_opex!L95</f>
        <v>1.6657657361941699E-5</v>
      </c>
      <c r="BP95" s="188">
        <f>[3]CZ_decarb_opex!M95</f>
        <v>7.6344187058682603E-5</v>
      </c>
      <c r="BQ95" s="188">
        <f>[3]CZ_decarb_opex!N95</f>
        <v>5.0120977387598997E-5</v>
      </c>
      <c r="BR95" s="188">
        <f>[3]CZ_decarb_opex!O95</f>
        <v>1.40430433945579E-4</v>
      </c>
      <c r="BS95" s="188">
        <f>[3]CZ_decarb_opex!P95</f>
        <v>1.65614104721719E-4</v>
      </c>
      <c r="BT95" s="188">
        <f>[3]CZ_decarb_opex!Q95</f>
        <v>1.9447323019069899E-4</v>
      </c>
      <c r="BU95" s="188">
        <f>[3]CZ_decarb_opex!R95</f>
        <v>1.7321434691212701E-5</v>
      </c>
      <c r="BV95" s="188">
        <f>[3]CZ_decarb_opex!S95</f>
        <v>1.7321434691212701E-5</v>
      </c>
      <c r="BW95" s="188">
        <f>[3]CZ_decarb_opex!T95</f>
        <v>2.8398620266961299E-5</v>
      </c>
      <c r="BX95" s="188">
        <f>[3]CZ_decarb_opex!U95</f>
        <v>4.5170987136897202E-7</v>
      </c>
      <c r="BY95" s="188">
        <f>[3]CZ_decarb_opex!V95</f>
        <v>2.5835854846045901E-6</v>
      </c>
      <c r="BZ95" s="188">
        <f>[2]CZ_decarbplus_opex!BC95</f>
        <v>5.9799999999999997E-5</v>
      </c>
      <c r="CA95" s="188">
        <f>[2]CZ_decarbplus_opex!BD95</f>
        <v>4.6E-5</v>
      </c>
      <c r="CB95" s="188">
        <f>[2]CZ_decarbplus_opex!BE95</f>
        <v>3.6399999999999997E-5</v>
      </c>
      <c r="CC95" s="188">
        <f>[2]CZ_decarbplus_opex!BF95</f>
        <v>1.111E-4</v>
      </c>
      <c r="CD95" s="188">
        <f>[2]CZ_decarbplus_opex!BG95</f>
        <v>5.8999999999999998E-5</v>
      </c>
      <c r="CE95" s="188">
        <f>[2]CZ_decarbplus_opex!BH95</f>
        <v>9.7999999999999997E-5</v>
      </c>
      <c r="CF95" s="188">
        <f>[2]CZ_decarbplus_opex!BI95</f>
        <v>4.2299999999999998E-5</v>
      </c>
      <c r="CG95" s="188">
        <f>[2]CZ_decarbplus_opex!BJ95</f>
        <v>3.8300000000000003E-5</v>
      </c>
    </row>
    <row r="96" spans="1:85" x14ac:dyDescent="0.25">
      <c r="A96" s="6" t="s">
        <v>211</v>
      </c>
      <c r="B96" s="2" t="s">
        <v>210</v>
      </c>
      <c r="C96" s="1" t="s">
        <v>330</v>
      </c>
      <c r="D96" s="187">
        <f>[2]CZ_decarbplus_opex!B96</f>
        <v>4.21E-5</v>
      </c>
      <c r="E96" s="187">
        <f>[2]CZ_decarbplus_opex!C96</f>
        <v>1.47E-5</v>
      </c>
      <c r="F96" s="187">
        <f>[2]CZ_decarbplus_opex!D96</f>
        <v>2.2200000000000001E-5</v>
      </c>
      <c r="G96" s="187">
        <f>[2]CZ_decarbplus_opex!E96</f>
        <v>1.9899999999999999E-5</v>
      </c>
      <c r="H96" s="187">
        <f>[2]CZ_decarbplus_opex!F96</f>
        <v>3.3399999999999999E-5</v>
      </c>
      <c r="I96" s="187">
        <f>[2]CZ_decarbplus_opex!G96</f>
        <v>2.3499999999999999E-5</v>
      </c>
      <c r="J96" s="187">
        <f>[2]CZ_decarbplus_opex!H96</f>
        <v>7.6299999999999998E-5</v>
      </c>
      <c r="K96" s="187">
        <f>[2]CZ_decarbplus_opex!I96</f>
        <v>3.3000000000000003E-5</v>
      </c>
      <c r="L96" s="187">
        <f>[2]CZ_decarbplus_opex!J96</f>
        <v>3.4100000000000002E-5</v>
      </c>
      <c r="M96" s="187">
        <f>[2]CZ_decarbplus_opex!K96</f>
        <v>4.4400000000000002E-5</v>
      </c>
      <c r="N96" s="187">
        <f>[2]CZ_decarbplus_opex!L96</f>
        <v>1.28577E-4</v>
      </c>
      <c r="O96" s="187">
        <f>[2]CZ_decarbplus_opex!M96</f>
        <v>4.88E-5</v>
      </c>
      <c r="P96" s="187">
        <f>[2]CZ_decarbplus_opex!N96</f>
        <v>1.9005899999999999E-4</v>
      </c>
      <c r="Q96" s="187">
        <f>[2]CZ_decarbplus_opex!O96</f>
        <v>9.3499999999999996E-5</v>
      </c>
      <c r="R96" s="187">
        <f>[2]CZ_decarbplus_opex!P96</f>
        <v>7.7000000000000001E-5</v>
      </c>
      <c r="S96" s="187">
        <f>[2]CZ_decarbplus_opex!Q96</f>
        <v>1.48942E-4</v>
      </c>
      <c r="T96" s="187">
        <f>[2]CZ_decarbplus_opex!R96</f>
        <v>1.62631E-4</v>
      </c>
      <c r="U96" s="187">
        <f>[2]CZ_decarbplus_opex!S96</f>
        <v>8.0599999999999994E-5</v>
      </c>
      <c r="V96" s="187">
        <f>[2]CZ_decarbplus_opex!T96</f>
        <v>4.4100000000000001E-5</v>
      </c>
      <c r="W96" s="187">
        <f>[2]CZ_decarbplus_opex!U96</f>
        <v>1.03158E-4</v>
      </c>
      <c r="X96" s="187">
        <f>[2]CZ_decarbplus_opex!V96</f>
        <v>2.87E-5</v>
      </c>
      <c r="Y96" s="187">
        <f>[2]CZ_decarbplus_opex!W96</f>
        <v>2.9E-5</v>
      </c>
      <c r="Z96" s="187">
        <f>[2]CZ_decarbplus_opex!X96</f>
        <v>9.8599999999999998E-5</v>
      </c>
      <c r="AA96" s="187">
        <f>[2]CZ_decarbplus_opex!Y96</f>
        <v>1.2539300000000001E-4</v>
      </c>
      <c r="AB96" s="188">
        <f>[3]CZ_decarb_opex!B96</f>
        <v>1.0765062339575799E-3</v>
      </c>
      <c r="AC96" s="188">
        <f>[3]CZ_decarb_opex!C96</f>
        <v>4.94856892725176E-5</v>
      </c>
      <c r="AD96" s="188">
        <f>[3]CZ_decarb_opex!D96</f>
        <v>1.12809939112791E-5</v>
      </c>
      <c r="AE96" s="188">
        <f>[2]CZ_decarbplus_opex!Z96</f>
        <v>1.5800000000000001E-5</v>
      </c>
      <c r="AF96" s="188">
        <f>[2]CZ_decarbplus_opex!AA96</f>
        <v>9.6100000000000005E-5</v>
      </c>
      <c r="AG96" s="188">
        <f>[2]CZ_decarbplus_opex!AB96</f>
        <v>8.5905300000000003E-4</v>
      </c>
      <c r="AH96" s="188">
        <f>[2]CZ_decarbplus_opex!AC96</f>
        <v>6.0099999999999997E-5</v>
      </c>
      <c r="AI96" s="188">
        <f>[2]CZ_decarbplus_opex!AD96</f>
        <v>5.8E-5</v>
      </c>
      <c r="AJ96" s="188">
        <f>[2]CZ_decarbplus_opex!AE96</f>
        <v>7.1299999999999998E-5</v>
      </c>
      <c r="AK96" s="188">
        <f>[2]CZ_decarbplus_opex!AF96</f>
        <v>9.4599999999999996E-5</v>
      </c>
      <c r="AL96" s="188">
        <f>[3]CZ_decarb_opex!E96</f>
        <v>6.2103714690626001E-5</v>
      </c>
      <c r="AM96" s="188">
        <f>[3]CZ_decarb_opex!F96</f>
        <v>5.20202641766741E-5</v>
      </c>
      <c r="AN96" s="188">
        <f>[2]CZ_decarbplus_opex!AG96</f>
        <v>8.8599999999999999E-5</v>
      </c>
      <c r="AO96" s="188">
        <f>[3]CZ_decarb_opex!G96</f>
        <v>6.7495591055406203E-4</v>
      </c>
      <c r="AP96" s="188">
        <f>[3]CZ_decarb_opex!H96</f>
        <v>7.6090137713652895E-4</v>
      </c>
      <c r="AQ96" s="188">
        <f>[2]CZ_decarbplus_opex!AH96</f>
        <v>2.232992E-3</v>
      </c>
      <c r="AR96" s="188">
        <f>[2]CZ_decarbplus_opex!AI96</f>
        <v>0</v>
      </c>
      <c r="AS96" s="188">
        <f>[2]CZ_decarbplus_opex!AJ96</f>
        <v>4.5549000000000002E-4</v>
      </c>
      <c r="AT96" s="188">
        <f>[2]CZ_decarbplus_opex!AK96</f>
        <v>4.6203200000000002E-4</v>
      </c>
      <c r="AU96" s="188">
        <f>[2]CZ_decarbplus_opex!AL96</f>
        <v>4.2567700000000001E-4</v>
      </c>
      <c r="AV96" s="188">
        <f>[2]CZ_decarbplus_opex!AM96</f>
        <v>4.3495200000000001E-4</v>
      </c>
      <c r="AW96" s="188">
        <f>[2]CZ_decarbplus_opex!AN96</f>
        <v>7.4190250000000001E-3</v>
      </c>
      <c r="AX96" s="188">
        <f>[2]CZ_decarbplus_opex!AO96</f>
        <v>0</v>
      </c>
      <c r="AY96" s="188">
        <f>[2]CZ_decarbplus_opex!AP96</f>
        <v>5.1216E-4</v>
      </c>
      <c r="AZ96" s="188">
        <f>[2]CZ_decarbplus_opex!AQ96</f>
        <v>0</v>
      </c>
      <c r="BA96" s="188">
        <f>[2]CZ_decarbplus_opex!AR96</f>
        <v>1.0888829999999999E-3</v>
      </c>
      <c r="BB96" s="188">
        <f>[2]CZ_decarbplus_opex!AS96</f>
        <v>7.6319799999999998E-4</v>
      </c>
      <c r="BC96" s="188">
        <f>[2]CZ_decarbplus_opex!AT96</f>
        <v>5.7866999999999999E-4</v>
      </c>
      <c r="BD96" s="188">
        <f>[2]CZ_decarbplus_opex!AU96</f>
        <v>3.4400000000000003E-5</v>
      </c>
      <c r="BE96" s="188">
        <f>[2]CZ_decarbplus_opex!AV96</f>
        <v>4.6558100000000001E-4</v>
      </c>
      <c r="BF96" s="188">
        <f>[2]CZ_decarbplus_opex!AW96</f>
        <v>2.0400000000000001E-5</v>
      </c>
      <c r="BG96" s="188">
        <f>[2]CZ_decarbplus_opex!AX96</f>
        <v>2.6883199999999999E-4</v>
      </c>
      <c r="BH96" s="188">
        <f>[3]CZ_decarb_opex!I96</f>
        <v>1.12892214175054E-4</v>
      </c>
      <c r="BI96" s="188">
        <f>[2]CZ_decarbplus_opex!AY96</f>
        <v>2.0505799999999999E-4</v>
      </c>
      <c r="BJ96" s="188">
        <f>[2]CZ_decarbplus_opex!AZ96</f>
        <v>2.7518200000000001E-4</v>
      </c>
      <c r="BK96" s="188">
        <f>[2]CZ_decarbplus_opex!BA96</f>
        <v>1.1263180000000001E-3</v>
      </c>
      <c r="BL96" s="188">
        <f>[2]CZ_decarbplus_opex!BB96</f>
        <v>0</v>
      </c>
      <c r="BM96" s="188">
        <f>[3]CZ_decarb_opex!J96</f>
        <v>1.58975362030599E-5</v>
      </c>
      <c r="BN96" s="188">
        <f>[3]CZ_decarb_opex!K96</f>
        <v>1.2355511858528801E-4</v>
      </c>
      <c r="BO96" s="188">
        <f>[3]CZ_decarb_opex!L96</f>
        <v>5.3944695680493603E-6</v>
      </c>
      <c r="BP96" s="188">
        <f>[3]CZ_decarb_opex!M96</f>
        <v>1.03434838803883E-5</v>
      </c>
      <c r="BQ96" s="188">
        <f>[3]CZ_decarb_opex!N96</f>
        <v>9.6352110114722606E-6</v>
      </c>
      <c r="BR96" s="188">
        <f>[3]CZ_decarb_opex!O96</f>
        <v>6.21818087418901E-4</v>
      </c>
      <c r="BS96" s="188">
        <f>[3]CZ_decarb_opex!P96</f>
        <v>2.8572184755178799E-4</v>
      </c>
      <c r="BT96" s="188">
        <f>[3]CZ_decarb_opex!Q96</f>
        <v>1.6571756397194999E-3</v>
      </c>
      <c r="BU96" s="188">
        <f>[3]CZ_decarb_opex!R96</f>
        <v>5.31056529141152E-6</v>
      </c>
      <c r="BV96" s="188">
        <f>[3]CZ_decarb_opex!S96</f>
        <v>5.3105652914115301E-6</v>
      </c>
      <c r="BW96" s="188">
        <f>[3]CZ_decarb_opex!T96</f>
        <v>8.6382214202418298E-4</v>
      </c>
      <c r="BX96" s="188">
        <f>[3]CZ_decarb_opex!U96</f>
        <v>1.9538283965824601E-5</v>
      </c>
      <c r="BY96" s="188">
        <f>[3]CZ_decarb_opex!V96</f>
        <v>1.5246008765371601E-4</v>
      </c>
      <c r="BZ96" s="188">
        <f>[2]CZ_decarbplus_opex!BC96</f>
        <v>1.19E-5</v>
      </c>
      <c r="CA96" s="188">
        <f>[2]CZ_decarbplus_opex!BD96</f>
        <v>8.8999999999999995E-6</v>
      </c>
      <c r="CB96" s="188">
        <f>[2]CZ_decarbplus_opex!BE96</f>
        <v>9.7999999999999993E-6</v>
      </c>
      <c r="CC96" s="188">
        <f>[2]CZ_decarbplus_opex!BF96</f>
        <v>1.1399999999999999E-5</v>
      </c>
      <c r="CD96" s="188">
        <f>[2]CZ_decarbplus_opex!BG96</f>
        <v>2.3600000000000001E-5</v>
      </c>
      <c r="CE96" s="188">
        <f>[2]CZ_decarbplus_opex!BH96</f>
        <v>1.2099999999999999E-5</v>
      </c>
      <c r="CF96" s="188">
        <f>[2]CZ_decarbplus_opex!BI96</f>
        <v>4.8099999999999997E-5</v>
      </c>
      <c r="CG96" s="188">
        <f>[2]CZ_decarbplus_opex!BJ96</f>
        <v>6.4799999999999998E-6</v>
      </c>
    </row>
    <row r="97" spans="1:85" x14ac:dyDescent="0.25">
      <c r="A97" s="5" t="s">
        <v>2</v>
      </c>
      <c r="B97" s="2" t="s">
        <v>3</v>
      </c>
      <c r="C97" s="1" t="s">
        <v>330</v>
      </c>
      <c r="D97" s="187">
        <f>[2]CZ_decarbplus_opex!B97</f>
        <v>9.9430400000000011E-4</v>
      </c>
      <c r="E97" s="187">
        <f>[2]CZ_decarbplus_opex!C97</f>
        <v>1.697648E-3</v>
      </c>
      <c r="F97" s="187">
        <f>[2]CZ_decarbplus_opex!D97</f>
        <v>9.9679499999999997E-4</v>
      </c>
      <c r="G97" s="187">
        <f>[2]CZ_decarbplus_opex!E97</f>
        <v>1.17791E-4</v>
      </c>
      <c r="H97" s="187">
        <f>[2]CZ_decarbplus_opex!F97</f>
        <v>2.9655099999999999E-4</v>
      </c>
      <c r="I97" s="187">
        <f>[2]CZ_decarbplus_opex!G97</f>
        <v>5.3586049999999998E-3</v>
      </c>
      <c r="J97" s="187">
        <f>[2]CZ_decarbplus_opex!H97</f>
        <v>2.1951368999999998E-2</v>
      </c>
      <c r="K97" s="187">
        <f>[2]CZ_decarbplus_opex!I97</f>
        <v>3.80594E-4</v>
      </c>
      <c r="L97" s="187">
        <f>[2]CZ_decarbplus_opex!J97</f>
        <v>2.0490220000000002E-3</v>
      </c>
      <c r="M97" s="187">
        <f>[2]CZ_decarbplus_opex!K97</f>
        <v>7.3513340000000002E-3</v>
      </c>
      <c r="N97" s="187">
        <f>[2]CZ_decarbplus_opex!L97</f>
        <v>3.116808E-3</v>
      </c>
      <c r="O97" s="187">
        <f>[2]CZ_decarbplus_opex!M97</f>
        <v>2.0783759999999998E-3</v>
      </c>
      <c r="P97" s="187">
        <f>[2]CZ_decarbplus_opex!N97</f>
        <v>1.6125877E-2</v>
      </c>
      <c r="Q97" s="187">
        <f>[2]CZ_decarbplus_opex!O97</f>
        <v>1.6864697000000001E-2</v>
      </c>
      <c r="R97" s="187">
        <f>[2]CZ_decarbplus_opex!P97</f>
        <v>7.2617299999999999E-4</v>
      </c>
      <c r="S97" s="187">
        <f>[2]CZ_decarbplus_opex!Q97</f>
        <v>7.9774549999999996E-3</v>
      </c>
      <c r="T97" s="187">
        <f>[2]CZ_decarbplus_opex!R97</f>
        <v>8.1236309999999992E-3</v>
      </c>
      <c r="U97" s="187">
        <f>[2]CZ_decarbplus_opex!S97</f>
        <v>2.7546643999999999E-2</v>
      </c>
      <c r="V97" s="187">
        <f>[2]CZ_decarbplus_opex!T97</f>
        <v>1.3299770000000001E-2</v>
      </c>
      <c r="W97" s="187">
        <f>[2]CZ_decarbplus_opex!U97</f>
        <v>6.4762099999999996E-3</v>
      </c>
      <c r="X97" s="187">
        <f>[2]CZ_decarbplus_opex!V97</f>
        <v>3.917785E-3</v>
      </c>
      <c r="Y97" s="187">
        <f>[2]CZ_decarbplus_opex!W97</f>
        <v>1.6750148999999999E-2</v>
      </c>
      <c r="Z97" s="187">
        <f>[2]CZ_decarbplus_opex!X97</f>
        <v>3.6012158000000002E-2</v>
      </c>
      <c r="AA97" s="187">
        <f>[2]CZ_decarbplus_opex!Y97</f>
        <v>3.5943500000000002E-4</v>
      </c>
      <c r="AB97" s="188">
        <f>[3]CZ_decarb_opex!B97</f>
        <v>2.4474877346843799E-4</v>
      </c>
      <c r="AC97" s="188">
        <f>[3]CZ_decarb_opex!C97</f>
        <v>2.5889863919273102E-3</v>
      </c>
      <c r="AD97" s="188">
        <f>[3]CZ_decarb_opex!D97</f>
        <v>4.5176509017278103E-3</v>
      </c>
      <c r="AE97" s="188">
        <f>[2]CZ_decarbplus_opex!Z97</f>
        <v>4.5805129999999996E-3</v>
      </c>
      <c r="AF97" s="188">
        <f>[2]CZ_decarbplus_opex!AA97</f>
        <v>1.5491984E-2</v>
      </c>
      <c r="AG97" s="188">
        <f>[2]CZ_decarbplus_opex!AB97</f>
        <v>4.0929260000000002E-3</v>
      </c>
      <c r="AH97" s="188">
        <f>[2]CZ_decarbplus_opex!AC97</f>
        <v>2.6119060000000002E-3</v>
      </c>
      <c r="AI97" s="188">
        <f>[2]CZ_decarbplus_opex!AD97</f>
        <v>6.793688E-3</v>
      </c>
      <c r="AJ97" s="188">
        <f>[2]CZ_decarbplus_opex!AE97</f>
        <v>2.1401620000000001E-3</v>
      </c>
      <c r="AK97" s="188">
        <f>[2]CZ_decarbplus_opex!AF97</f>
        <v>3.3156510000000002E-3</v>
      </c>
      <c r="AL97" s="188">
        <f>[3]CZ_decarb_opex!E97</f>
        <v>8.51974436228768E-3</v>
      </c>
      <c r="AM97" s="188">
        <f>[3]CZ_decarb_opex!F97</f>
        <v>3.7324439747756901E-3</v>
      </c>
      <c r="AN97" s="188">
        <f>[2]CZ_decarbplus_opex!AG97</f>
        <v>1.2414853999999999E-2</v>
      </c>
      <c r="AO97" s="188">
        <f>[3]CZ_decarb_opex!G97</f>
        <v>2.61380390360051E-3</v>
      </c>
      <c r="AP97" s="188">
        <f>[3]CZ_decarb_opex!H97</f>
        <v>1.11759578541454E-2</v>
      </c>
      <c r="AQ97" s="188">
        <f>[2]CZ_decarbplus_opex!AH97</f>
        <v>1.507043E-3</v>
      </c>
      <c r="AR97" s="188">
        <f>[2]CZ_decarbplus_opex!AI97</f>
        <v>0</v>
      </c>
      <c r="AS97" s="188">
        <f>[2]CZ_decarbplus_opex!AJ97</f>
        <v>9.3702620000000007E-3</v>
      </c>
      <c r="AT97" s="188">
        <f>[2]CZ_decarbplus_opex!AK97</f>
        <v>7.6860100000000005E-4</v>
      </c>
      <c r="AU97" s="188">
        <f>[2]CZ_decarbplus_opex!AL97</f>
        <v>2.6032600000000001E-4</v>
      </c>
      <c r="AV97" s="188">
        <f>[2]CZ_decarbplus_opex!AM97</f>
        <v>1.4449299999999999E-4</v>
      </c>
      <c r="AW97" s="188">
        <f>[2]CZ_decarbplus_opex!AN97</f>
        <v>1.312798E-3</v>
      </c>
      <c r="AX97" s="188">
        <f>[2]CZ_decarbplus_opex!AO97</f>
        <v>0</v>
      </c>
      <c r="AY97" s="188">
        <f>[2]CZ_decarbplus_opex!AP97</f>
        <v>2.589329E-3</v>
      </c>
      <c r="AZ97" s="188">
        <f>[2]CZ_decarbplus_opex!AQ97</f>
        <v>0</v>
      </c>
      <c r="BA97" s="188">
        <f>[2]CZ_decarbplus_opex!AR97</f>
        <v>8.14348E-4</v>
      </c>
      <c r="BB97" s="188">
        <f>[2]CZ_decarbplus_opex!AS97</f>
        <v>4.9775569999999996E-3</v>
      </c>
      <c r="BC97" s="188">
        <f>[2]CZ_decarbplus_opex!AT97</f>
        <v>8.6544859999999994E-3</v>
      </c>
      <c r="BD97" s="188">
        <f>[2]CZ_decarbplus_opex!AU97</f>
        <v>3.3020100000000002E-4</v>
      </c>
      <c r="BE97" s="188">
        <f>[2]CZ_decarbplus_opex!AV97</f>
        <v>5.0410489999999997E-3</v>
      </c>
      <c r="BF97" s="188">
        <f>[2]CZ_decarbplus_opex!AW97</f>
        <v>1.251327E-3</v>
      </c>
      <c r="BG97" s="188">
        <f>[2]CZ_decarbplus_opex!AX97</f>
        <v>1.2624358E-2</v>
      </c>
      <c r="BH97" s="188">
        <f>[3]CZ_decarb_opex!I97</f>
        <v>1.6045727041877E-3</v>
      </c>
      <c r="BI97" s="188">
        <f>[2]CZ_decarbplus_opex!AY97</f>
        <v>3.055557E-3</v>
      </c>
      <c r="BJ97" s="188">
        <f>[2]CZ_decarbplus_opex!AZ97</f>
        <v>6.1397159999999999E-3</v>
      </c>
      <c r="BK97" s="188">
        <f>[2]CZ_decarbplus_opex!BA97</f>
        <v>1.787961E-3</v>
      </c>
      <c r="BL97" s="188">
        <f>[2]CZ_decarbplus_opex!BB97</f>
        <v>0</v>
      </c>
      <c r="BM97" s="188">
        <f>[3]CZ_decarb_opex!J97</f>
        <v>1.8991982309404101E-4</v>
      </c>
      <c r="BN97" s="188">
        <f>[3]CZ_decarb_opex!K97</f>
        <v>2.7073148132958802E-4</v>
      </c>
      <c r="BO97" s="188">
        <f>[3]CZ_decarb_opex!L97</f>
        <v>6.4513514082323298E-5</v>
      </c>
      <c r="BP97" s="188">
        <f>[3]CZ_decarb_opex!M97</f>
        <v>1.1142013391870899E-4</v>
      </c>
      <c r="BQ97" s="188">
        <f>[3]CZ_decarb_opex!N97</f>
        <v>1.3144560234639799E-4</v>
      </c>
      <c r="BR97" s="188">
        <f>[3]CZ_decarb_opex!O97</f>
        <v>2.16865250690182E-4</v>
      </c>
      <c r="BS97" s="188">
        <f>[3]CZ_decarb_opex!P97</f>
        <v>2.7800594975965201E-4</v>
      </c>
      <c r="BT97" s="188">
        <f>[3]CZ_decarb_opex!Q97</f>
        <v>1.33986353189564E-5</v>
      </c>
      <c r="BU97" s="188">
        <f>[3]CZ_decarb_opex!R97</f>
        <v>1.09293291087792E-4</v>
      </c>
      <c r="BV97" s="188">
        <f>[3]CZ_decarb_opex!S97</f>
        <v>1.09293291087792E-4</v>
      </c>
      <c r="BW97" s="188">
        <f>[3]CZ_decarb_opex!T97</f>
        <v>2.9421101607451899E-5</v>
      </c>
      <c r="BX97" s="188">
        <f>[3]CZ_decarb_opex!U97</f>
        <v>4.9118954075536801E-7</v>
      </c>
      <c r="BY97" s="188">
        <f>[3]CZ_decarb_opex!V97</f>
        <v>8.7838194362857807E-6</v>
      </c>
      <c r="BZ97" s="188">
        <f>[2]CZ_decarbplus_opex!BC97</f>
        <v>1.6810499999999999E-4</v>
      </c>
      <c r="CA97" s="188">
        <f>[2]CZ_decarbplus_opex!BD97</f>
        <v>3.7049047000000002E-2</v>
      </c>
      <c r="CB97" s="188">
        <f>[2]CZ_decarbplus_opex!BE97</f>
        <v>2.9574082000000002E-2</v>
      </c>
      <c r="CC97" s="188">
        <f>[2]CZ_decarbplus_opex!BF97</f>
        <v>0.238724349</v>
      </c>
      <c r="CD97" s="188">
        <f>[2]CZ_decarbplus_opex!BG97</f>
        <v>8.0696870000000007E-3</v>
      </c>
      <c r="CE97" s="188">
        <f>[2]CZ_decarbplus_opex!BH97</f>
        <v>3.2371140000000001E-3</v>
      </c>
      <c r="CF97" s="188">
        <f>[2]CZ_decarbplus_opex!BI97</f>
        <v>1.3114159999999999E-3</v>
      </c>
      <c r="CG97" s="188">
        <f>[2]CZ_decarbplus_opex!BJ97</f>
        <v>3.8721680000000001E-3</v>
      </c>
    </row>
    <row r="98" spans="1:85" x14ac:dyDescent="0.25">
      <c r="A98" s="5" t="s">
        <v>4</v>
      </c>
      <c r="B98" s="2" t="s">
        <v>5</v>
      </c>
      <c r="C98" s="1" t="s">
        <v>330</v>
      </c>
      <c r="D98" s="187">
        <f>[2]CZ_decarbplus_opex!B98</f>
        <v>4.8099999999999997E-5</v>
      </c>
      <c r="E98" s="187">
        <f>[2]CZ_decarbplus_opex!C98</f>
        <v>3.0800000000000003E-5</v>
      </c>
      <c r="F98" s="187">
        <f>[2]CZ_decarbplus_opex!D98</f>
        <v>3.6100000000000003E-5</v>
      </c>
      <c r="G98" s="187">
        <f>[2]CZ_decarbplus_opex!E98</f>
        <v>1.13E-6</v>
      </c>
      <c r="H98" s="187">
        <f>[2]CZ_decarbplus_opex!F98</f>
        <v>6.5200000000000003E-6</v>
      </c>
      <c r="I98" s="187">
        <f>[2]CZ_decarbplus_opex!G98</f>
        <v>6.5099999999999997E-5</v>
      </c>
      <c r="J98" s="187">
        <f>[2]CZ_decarbplus_opex!H98</f>
        <v>2.2781599999999999E-4</v>
      </c>
      <c r="K98" s="187">
        <f>[2]CZ_decarbplus_opex!I98</f>
        <v>4.5199999999999999E-6</v>
      </c>
      <c r="L98" s="187">
        <f>[2]CZ_decarbplus_opex!J98</f>
        <v>4.1499999999999999E-5</v>
      </c>
      <c r="M98" s="187">
        <f>[2]CZ_decarbplus_opex!K98</f>
        <v>1.53213E-4</v>
      </c>
      <c r="N98" s="187">
        <f>[2]CZ_decarbplus_opex!L98</f>
        <v>9.2499999999999999E-5</v>
      </c>
      <c r="O98" s="187">
        <f>[2]CZ_decarbplus_opex!M98</f>
        <v>8.1699999999999994E-5</v>
      </c>
      <c r="P98" s="187">
        <f>[2]CZ_decarbplus_opex!N98</f>
        <v>2.12065E-4</v>
      </c>
      <c r="Q98" s="187">
        <f>[2]CZ_decarbplus_opex!O98</f>
        <v>3.75072E-4</v>
      </c>
      <c r="R98" s="187">
        <f>[2]CZ_decarbplus_opex!P98</f>
        <v>2.34E-5</v>
      </c>
      <c r="S98" s="187">
        <f>[2]CZ_decarbplus_opex!Q98</f>
        <v>9.2800000000000006E-5</v>
      </c>
      <c r="T98" s="187">
        <f>[2]CZ_decarbplus_opex!R98</f>
        <v>9.1600000000000004E-5</v>
      </c>
      <c r="U98" s="187">
        <f>[2]CZ_decarbplus_opex!S98</f>
        <v>1.0644E-4</v>
      </c>
      <c r="V98" s="187">
        <f>[2]CZ_decarbplus_opex!T98</f>
        <v>3.8099999999999998E-5</v>
      </c>
      <c r="W98" s="187">
        <f>[2]CZ_decarbplus_opex!U98</f>
        <v>8.8900000000000006E-5</v>
      </c>
      <c r="X98" s="187">
        <f>[2]CZ_decarbplus_opex!V98</f>
        <v>3.6399999999999997E-5</v>
      </c>
      <c r="Y98" s="187">
        <f>[2]CZ_decarbplus_opex!W98</f>
        <v>1.204501E-3</v>
      </c>
      <c r="Z98" s="187">
        <f>[2]CZ_decarbplus_opex!X98</f>
        <v>2.7642370000000001E-3</v>
      </c>
      <c r="AA98" s="187">
        <f>[2]CZ_decarbplus_opex!Y98</f>
        <v>1.56E-5</v>
      </c>
      <c r="AB98" s="188">
        <f>[3]CZ_decarb_opex!B98</f>
        <v>2.2462004639810701E-5</v>
      </c>
      <c r="AC98" s="188">
        <f>[3]CZ_decarb_opex!C98</f>
        <v>8.1662075691264595E-5</v>
      </c>
      <c r="AD98" s="188">
        <f>[3]CZ_decarb_opex!D98</f>
        <v>7.0137183206178306E-5</v>
      </c>
      <c r="AE98" s="188">
        <f>[2]CZ_decarbplus_opex!Z98</f>
        <v>3.3399999999999999E-5</v>
      </c>
      <c r="AF98" s="188">
        <f>[2]CZ_decarbplus_opex!AA98</f>
        <v>4.1412799999999999E-4</v>
      </c>
      <c r="AG98" s="188">
        <f>[2]CZ_decarbplus_opex!AB98</f>
        <v>6.3499999999999999E-5</v>
      </c>
      <c r="AH98" s="188">
        <f>[2]CZ_decarbplus_opex!AC98</f>
        <v>3.15E-5</v>
      </c>
      <c r="AI98" s="188">
        <f>[2]CZ_decarbplus_opex!AD98</f>
        <v>4.8199999999999999E-5</v>
      </c>
      <c r="AJ98" s="188">
        <f>[2]CZ_decarbplus_opex!AE98</f>
        <v>1.1600000000000001E-5</v>
      </c>
      <c r="AK98" s="188">
        <f>[2]CZ_decarbplus_opex!AF98</f>
        <v>2.5700000000000001E-5</v>
      </c>
      <c r="AL98" s="188">
        <f>[3]CZ_decarb_opex!E98</f>
        <v>5.0144068549209901E-5</v>
      </c>
      <c r="AM98" s="188">
        <f>[3]CZ_decarb_opex!F98</f>
        <v>2.37528491962638E-5</v>
      </c>
      <c r="AN98" s="188">
        <f>[2]CZ_decarbplus_opex!AG98</f>
        <v>1.39787E-4</v>
      </c>
      <c r="AO98" s="188">
        <f>[3]CZ_decarb_opex!G98</f>
        <v>4.9562343982420399E-5</v>
      </c>
      <c r="AP98" s="188">
        <f>[3]CZ_decarb_opex!H98</f>
        <v>1.80554883626878E-4</v>
      </c>
      <c r="AQ98" s="188">
        <f>[2]CZ_decarbplus_opex!AH98</f>
        <v>3.1699999999999998E-5</v>
      </c>
      <c r="AR98" s="188">
        <f>[2]CZ_decarbplus_opex!AI98</f>
        <v>0</v>
      </c>
      <c r="AS98" s="188">
        <f>[2]CZ_decarbplus_opex!AJ98</f>
        <v>1.22328E-4</v>
      </c>
      <c r="AT98" s="188">
        <f>[2]CZ_decarbplus_opex!AK98</f>
        <v>1.7200000000000001E-5</v>
      </c>
      <c r="AU98" s="188">
        <f>[2]CZ_decarbplus_opex!AL98</f>
        <v>4.7700000000000001E-6</v>
      </c>
      <c r="AV98" s="188">
        <f>[2]CZ_decarbplus_opex!AM98</f>
        <v>2.96E-6</v>
      </c>
      <c r="AW98" s="188">
        <f>[2]CZ_decarbplus_opex!AN98</f>
        <v>4.1900000000000002E-5</v>
      </c>
      <c r="AX98" s="188">
        <f>[2]CZ_decarbplus_opex!AO98</f>
        <v>0</v>
      </c>
      <c r="AY98" s="188">
        <f>[2]CZ_decarbplus_opex!AP98</f>
        <v>5.2899999999999998E-5</v>
      </c>
      <c r="AZ98" s="188">
        <f>[2]CZ_decarbplus_opex!AQ98</f>
        <v>0</v>
      </c>
      <c r="BA98" s="188">
        <f>[2]CZ_decarbplus_opex!AR98</f>
        <v>1.9300000000000002E-5</v>
      </c>
      <c r="BB98" s="188">
        <f>[2]CZ_decarbplus_opex!AS98</f>
        <v>7.7100000000000004E-5</v>
      </c>
      <c r="BC98" s="188">
        <f>[2]CZ_decarbplus_opex!AT98</f>
        <v>1.7424000000000001E-4</v>
      </c>
      <c r="BD98" s="188">
        <f>[2]CZ_decarbplus_opex!AU98</f>
        <v>7.7399999999999998E-5</v>
      </c>
      <c r="BE98" s="188">
        <f>[2]CZ_decarbplus_opex!AV98</f>
        <v>1.3097599999999999E-4</v>
      </c>
      <c r="BF98" s="188">
        <f>[2]CZ_decarbplus_opex!AW98</f>
        <v>3.4499999999999998E-5</v>
      </c>
      <c r="BG98" s="188">
        <f>[2]CZ_decarbplus_opex!AX98</f>
        <v>1.7616999999999999E-4</v>
      </c>
      <c r="BH98" s="188">
        <f>[3]CZ_decarb_opex!I98</f>
        <v>5.1804932393656702E-5</v>
      </c>
      <c r="BI98" s="188">
        <f>[2]CZ_decarbplus_opex!AY98</f>
        <v>7.2799999999999994E-5</v>
      </c>
      <c r="BJ98" s="188">
        <f>[2]CZ_decarbplus_opex!AZ98</f>
        <v>8.4099999999999998E-5</v>
      </c>
      <c r="BK98" s="188">
        <f>[2]CZ_decarbplus_opex!BA98</f>
        <v>2.5299999999999998E-5</v>
      </c>
      <c r="BL98" s="188">
        <f>[2]CZ_decarbplus_opex!BB98</f>
        <v>0</v>
      </c>
      <c r="BM98" s="188">
        <f>[3]CZ_decarb_opex!J98</f>
        <v>2.3579645993773599E-5</v>
      </c>
      <c r="BN98" s="188">
        <f>[3]CZ_decarb_opex!K98</f>
        <v>6.05139389176341E-5</v>
      </c>
      <c r="BO98" s="188">
        <f>[3]CZ_decarb_opex!L98</f>
        <v>9.2080171365813103E-6</v>
      </c>
      <c r="BP98" s="188">
        <f>[3]CZ_decarb_opex!M98</f>
        <v>1.9212620331360002E-5</v>
      </c>
      <c r="BQ98" s="188">
        <f>[3]CZ_decarb_opex!N98</f>
        <v>1.3964880589648299E-5</v>
      </c>
      <c r="BR98" s="188">
        <f>[3]CZ_decarb_opex!O98</f>
        <v>1.13947611275732E-4</v>
      </c>
      <c r="BS98" s="188">
        <f>[3]CZ_decarb_opex!P98</f>
        <v>2.97040786233609E-5</v>
      </c>
      <c r="BT98" s="188">
        <f>[3]CZ_decarb_opex!Q98</f>
        <v>4.0520545377474001E-5</v>
      </c>
      <c r="BU98" s="188">
        <f>[3]CZ_decarb_opex!R98</f>
        <v>9.8995838179648392E-6</v>
      </c>
      <c r="BV98" s="188">
        <f>[3]CZ_decarb_opex!S98</f>
        <v>9.8995838179648596E-6</v>
      </c>
      <c r="BW98" s="188">
        <f>[3]CZ_decarb_opex!T98</f>
        <v>8.5998822282437506E-5</v>
      </c>
      <c r="BX98" s="188">
        <f>[3]CZ_decarb_opex!U98</f>
        <v>1.2577426912922799E-6</v>
      </c>
      <c r="BY98" s="188">
        <f>[3]CZ_decarb_opex!V98</f>
        <v>2.9430564572967001E-5</v>
      </c>
      <c r="BZ98" s="188">
        <f>[2]CZ_decarbplus_opex!BC98</f>
        <v>2.6299999999999999E-5</v>
      </c>
      <c r="CA98" s="188">
        <f>[2]CZ_decarbplus_opex!BD98</f>
        <v>5.0142999999999997E-4</v>
      </c>
      <c r="CB98" s="188">
        <f>[2]CZ_decarbplus_opex!BE98</f>
        <v>1.4883100000000001E-4</v>
      </c>
      <c r="CC98" s="188">
        <f>[2]CZ_decarbplus_opex!BF98</f>
        <v>2.0473834E-2</v>
      </c>
      <c r="CD98" s="188">
        <f>[2]CZ_decarbplus_opex!BG98</f>
        <v>1.2354449999999999E-3</v>
      </c>
      <c r="CE98" s="188">
        <f>[2]CZ_decarbplus_opex!BH98</f>
        <v>4.99E-5</v>
      </c>
      <c r="CF98" s="188">
        <f>[2]CZ_decarbplus_opex!BI98</f>
        <v>5.5899999999999997E-5</v>
      </c>
      <c r="CG98" s="188">
        <f>[2]CZ_decarbplus_opex!BJ98</f>
        <v>8.8300000000000005E-5</v>
      </c>
    </row>
    <row r="99" spans="1:85" x14ac:dyDescent="0.25">
      <c r="A99" s="5" t="s">
        <v>6</v>
      </c>
      <c r="B99" s="2" t="s">
        <v>7</v>
      </c>
      <c r="C99" s="1" t="s">
        <v>330</v>
      </c>
      <c r="D99" s="187">
        <f>[2]CZ_decarbplus_opex!B99</f>
        <v>7.2493500000000001E-4</v>
      </c>
      <c r="E99" s="187">
        <f>[2]CZ_decarbplus_opex!C99</f>
        <v>1.2331530000000001E-3</v>
      </c>
      <c r="F99" s="187">
        <f>[2]CZ_decarbplus_opex!D99</f>
        <v>6.17087E-4</v>
      </c>
      <c r="G99" s="187">
        <f>[2]CZ_decarbplus_opex!E99</f>
        <v>1.00021E-4</v>
      </c>
      <c r="H99" s="187">
        <f>[2]CZ_decarbplus_opex!F99</f>
        <v>2.1207100000000001E-4</v>
      </c>
      <c r="I99" s="187">
        <f>[2]CZ_decarbplus_opex!G99</f>
        <v>3.9983010000000001E-3</v>
      </c>
      <c r="J99" s="187">
        <f>[2]CZ_decarbplus_opex!H99</f>
        <v>1.6506237999999999E-2</v>
      </c>
      <c r="K99" s="187">
        <f>[2]CZ_decarbplus_opex!I99</f>
        <v>3.1130699999999998E-4</v>
      </c>
      <c r="L99" s="187">
        <f>[2]CZ_decarbplus_opex!J99</f>
        <v>1.4629700000000001E-3</v>
      </c>
      <c r="M99" s="187">
        <f>[2]CZ_decarbplus_opex!K99</f>
        <v>5.1071179999999999E-3</v>
      </c>
      <c r="N99" s="187">
        <f>[2]CZ_decarbplus_opex!L99</f>
        <v>2.0849330000000002E-3</v>
      </c>
      <c r="O99" s="187">
        <f>[2]CZ_decarbplus_opex!M99</f>
        <v>1.2842960000000001E-3</v>
      </c>
      <c r="P99" s="187">
        <f>[2]CZ_decarbplus_opex!N99</f>
        <v>1.1523181E-2</v>
      </c>
      <c r="Q99" s="187">
        <f>[2]CZ_decarbplus_opex!O99</f>
        <v>1.0838975000000001E-2</v>
      </c>
      <c r="R99" s="187">
        <f>[2]CZ_decarbplus_opex!P99</f>
        <v>5.0633500000000001E-4</v>
      </c>
      <c r="S99" s="187">
        <f>[2]CZ_decarbplus_opex!Q99</f>
        <v>5.8293470000000003E-3</v>
      </c>
      <c r="T99" s="187">
        <f>[2]CZ_decarbplus_opex!R99</f>
        <v>5.9762060000000004E-3</v>
      </c>
      <c r="U99" s="187">
        <f>[2]CZ_decarbplus_opex!S99</f>
        <v>2.1646003E-2</v>
      </c>
      <c r="V99" s="187">
        <f>[2]CZ_decarbplus_opex!T99</f>
        <v>1.0784795999999999E-2</v>
      </c>
      <c r="W99" s="187">
        <f>[2]CZ_decarbplus_opex!U99</f>
        <v>4.6246949999999998E-3</v>
      </c>
      <c r="X99" s="187">
        <f>[2]CZ_decarbplus_opex!V99</f>
        <v>2.9604309999999999E-3</v>
      </c>
      <c r="Y99" s="187">
        <f>[2]CZ_decarbplus_opex!W99</f>
        <v>7.1044300000000001E-3</v>
      </c>
      <c r="Z99" s="187">
        <f>[2]CZ_decarbplus_opex!X99</f>
        <v>1.4454524999999999E-2</v>
      </c>
      <c r="AA99" s="187">
        <f>[2]CZ_decarbplus_opex!Y99</f>
        <v>3.2325000000000002E-4</v>
      </c>
      <c r="AB99" s="188">
        <f>[3]CZ_decarb_opex!B99</f>
        <v>2.9041342622646802E-4</v>
      </c>
      <c r="AC99" s="188">
        <f>[3]CZ_decarb_opex!C99</f>
        <v>1.8950531346734001E-3</v>
      </c>
      <c r="AD99" s="188">
        <f>[3]CZ_decarb_opex!D99</f>
        <v>3.3409401562030502E-3</v>
      </c>
      <c r="AE99" s="188">
        <f>[2]CZ_decarbplus_opex!Z99</f>
        <v>3.6213999999999999E-3</v>
      </c>
      <c r="AF99" s="188">
        <f>[2]CZ_decarbplus_opex!AA99</f>
        <v>1.0070653000000001E-2</v>
      </c>
      <c r="AG99" s="188">
        <f>[2]CZ_decarbplus_opex!AB99</f>
        <v>2.91647E-3</v>
      </c>
      <c r="AH99" s="188">
        <f>[2]CZ_decarbplus_opex!AC99</f>
        <v>2.0390690000000001E-3</v>
      </c>
      <c r="AI99" s="188">
        <f>[2]CZ_decarbplus_opex!AD99</f>
        <v>5.2215760000000003E-3</v>
      </c>
      <c r="AJ99" s="188">
        <f>[2]CZ_decarbplus_opex!AE99</f>
        <v>2.10034E-3</v>
      </c>
      <c r="AK99" s="188">
        <f>[2]CZ_decarbplus_opex!AF99</f>
        <v>2.5886189999999999E-3</v>
      </c>
      <c r="AL99" s="188">
        <f>[3]CZ_decarb_opex!E99</f>
        <v>6.5666744549239204E-3</v>
      </c>
      <c r="AM99" s="188">
        <f>[3]CZ_decarb_opex!F99</f>
        <v>2.9144996357411898E-3</v>
      </c>
      <c r="AN99" s="188">
        <f>[2]CZ_decarbplus_opex!AG99</f>
        <v>9.0411150000000006E-3</v>
      </c>
      <c r="AO99" s="188">
        <f>[3]CZ_decarb_opex!G99</f>
        <v>1.77290468245335E-3</v>
      </c>
      <c r="AP99" s="188">
        <f>[3]CZ_decarb_opex!H99</f>
        <v>7.6997117953459598E-3</v>
      </c>
      <c r="AQ99" s="188">
        <f>[2]CZ_decarbplus_opex!AH99</f>
        <v>1.030621E-3</v>
      </c>
      <c r="AR99" s="188">
        <f>[2]CZ_decarbplus_opex!AI99</f>
        <v>0</v>
      </c>
      <c r="AS99" s="188">
        <f>[2]CZ_decarbplus_opex!AJ99</f>
        <v>6.6655100000000004E-3</v>
      </c>
      <c r="AT99" s="188">
        <f>[2]CZ_decarbplus_opex!AK99</f>
        <v>5.4628200000000004E-4</v>
      </c>
      <c r="AU99" s="188">
        <f>[2]CZ_decarbplus_opex!AL99</f>
        <v>2.67893E-4</v>
      </c>
      <c r="AV99" s="188">
        <f>[2]CZ_decarbplus_opex!AM99</f>
        <v>1.6584799999999999E-4</v>
      </c>
      <c r="AW99" s="188">
        <f>[2]CZ_decarbplus_opex!AN99</f>
        <v>9.1505199999999997E-4</v>
      </c>
      <c r="AX99" s="188">
        <f>[2]CZ_decarbplus_opex!AO99</f>
        <v>0</v>
      </c>
      <c r="AY99" s="188">
        <f>[2]CZ_decarbplus_opex!AP99</f>
        <v>1.7937809999999999E-3</v>
      </c>
      <c r="AZ99" s="188">
        <f>[2]CZ_decarbplus_opex!AQ99</f>
        <v>0</v>
      </c>
      <c r="BA99" s="188">
        <f>[2]CZ_decarbplus_opex!AR99</f>
        <v>5.7350399999999996E-4</v>
      </c>
      <c r="BB99" s="188">
        <f>[2]CZ_decarbplus_opex!AS99</f>
        <v>3.5535749999999998E-3</v>
      </c>
      <c r="BC99" s="188">
        <f>[2]CZ_decarbplus_opex!AT99</f>
        <v>6.0788209999999999E-3</v>
      </c>
      <c r="BD99" s="188">
        <f>[2]CZ_decarbplus_opex!AU99</f>
        <v>2.1502399999999999E-4</v>
      </c>
      <c r="BE99" s="188">
        <f>[2]CZ_decarbplus_opex!AV99</f>
        <v>3.6137650000000001E-3</v>
      </c>
      <c r="BF99" s="188">
        <f>[2]CZ_decarbplus_opex!AW99</f>
        <v>8.7796700000000001E-4</v>
      </c>
      <c r="BG99" s="188">
        <f>[2]CZ_decarbplus_opex!AX99</f>
        <v>8.8443949999999997E-3</v>
      </c>
      <c r="BH99" s="188">
        <f>[3]CZ_decarb_opex!I99</f>
        <v>1.1561089349864601E-3</v>
      </c>
      <c r="BI99" s="188">
        <f>[2]CZ_decarbplus_opex!AY99</f>
        <v>2.091472E-3</v>
      </c>
      <c r="BJ99" s="188">
        <f>[2]CZ_decarbplus_opex!AZ99</f>
        <v>4.3644820000000003E-3</v>
      </c>
      <c r="BK99" s="188">
        <f>[2]CZ_decarbplus_opex!BA99</f>
        <v>1.266774E-3</v>
      </c>
      <c r="BL99" s="188">
        <f>[2]CZ_decarbplus_opex!BB99</f>
        <v>0</v>
      </c>
      <c r="BM99" s="188">
        <f>[3]CZ_decarb_opex!J99</f>
        <v>1.8746122812531799E-4</v>
      </c>
      <c r="BN99" s="188">
        <f>[3]CZ_decarb_opex!K99</f>
        <v>2.5056600662024198E-4</v>
      </c>
      <c r="BO99" s="188">
        <f>[3]CZ_decarb_opex!L99</f>
        <v>6.2092507854592298E-5</v>
      </c>
      <c r="BP99" s="188">
        <f>[3]CZ_decarb_opex!M99</f>
        <v>1.15353801384932E-4</v>
      </c>
      <c r="BQ99" s="188">
        <f>[3]CZ_decarb_opex!N99</f>
        <v>1.29981245048177E-4</v>
      </c>
      <c r="BR99" s="188">
        <f>[3]CZ_decarb_opex!O99</f>
        <v>1.0165320550290701E-4</v>
      </c>
      <c r="BS99" s="188">
        <f>[3]CZ_decarb_opex!P99</f>
        <v>2.69205840586952E-4</v>
      </c>
      <c r="BT99" s="188">
        <f>[3]CZ_decarb_opex!Q99</f>
        <v>3.9264082380793804E-6</v>
      </c>
      <c r="BU99" s="188">
        <f>[3]CZ_decarb_opex!R99</f>
        <v>1.08138825132048E-4</v>
      </c>
      <c r="BV99" s="188">
        <f>[3]CZ_decarb_opex!S99</f>
        <v>1.08138825132048E-4</v>
      </c>
      <c r="BW99" s="188">
        <f>[3]CZ_decarb_opex!T99</f>
        <v>3.5987338402436403E-5</v>
      </c>
      <c r="BX99" s="188">
        <f>[3]CZ_decarb_opex!U99</f>
        <v>6.9119741922349399E-7</v>
      </c>
      <c r="BY99" s="188">
        <f>[3]CZ_decarb_opex!V99</f>
        <v>7.5109562984773999E-6</v>
      </c>
      <c r="BZ99" s="188">
        <f>[2]CZ_decarbplus_opex!BC99</f>
        <v>1.6269099999999999E-4</v>
      </c>
      <c r="CA99" s="188">
        <f>[2]CZ_decarbplus_opex!BD99</f>
        <v>2.6629666E-2</v>
      </c>
      <c r="CB99" s="188">
        <f>[2]CZ_decarbplus_opex!BE99</f>
        <v>2.3018197000000001E-2</v>
      </c>
      <c r="CC99" s="188">
        <f>[2]CZ_decarbplus_opex!BF99</f>
        <v>8.5357296999999999E-2</v>
      </c>
      <c r="CD99" s="188">
        <f>[2]CZ_decarbplus_opex!BG99</f>
        <v>6.3294399999999998E-4</v>
      </c>
      <c r="CE99" s="188">
        <f>[2]CZ_decarbplus_opex!BH99</f>
        <v>2.3737570000000002E-3</v>
      </c>
      <c r="CF99" s="188">
        <f>[2]CZ_decarbplus_opex!BI99</f>
        <v>8.8236100000000002E-4</v>
      </c>
      <c r="CG99" s="188">
        <f>[2]CZ_decarbplus_opex!BJ99</f>
        <v>2.6269420000000002E-3</v>
      </c>
    </row>
    <row r="100" spans="1:85" x14ac:dyDescent="0.25">
      <c r="A100" s="5" t="s">
        <v>8</v>
      </c>
      <c r="B100" s="2" t="s">
        <v>9</v>
      </c>
      <c r="C100" s="1" t="s">
        <v>330</v>
      </c>
      <c r="D100" s="187">
        <f>[2]CZ_decarbplus_opex!B100</f>
        <v>4.8199999999999999E-5</v>
      </c>
      <c r="E100" s="187">
        <f>[2]CZ_decarbplus_opex!C100</f>
        <v>7.7700000000000005E-5</v>
      </c>
      <c r="F100" s="187">
        <f>[2]CZ_decarbplus_opex!D100</f>
        <v>4.2200000000000003E-5</v>
      </c>
      <c r="G100" s="187">
        <f>[2]CZ_decarbplus_opex!E100</f>
        <v>6.1800000000000001E-6</v>
      </c>
      <c r="H100" s="187">
        <f>[2]CZ_decarbplus_opex!F100</f>
        <v>1.3499999999999999E-5</v>
      </c>
      <c r="I100" s="187">
        <f>[2]CZ_decarbplus_opex!G100</f>
        <v>2.4537799999999998E-4</v>
      </c>
      <c r="J100" s="187">
        <f>[2]CZ_decarbplus_opex!H100</f>
        <v>1.002743E-3</v>
      </c>
      <c r="K100" s="187">
        <f>[2]CZ_decarbplus_opex!I100</f>
        <v>1.9400000000000001E-5</v>
      </c>
      <c r="L100" s="187">
        <f>[2]CZ_decarbplus_opex!J100</f>
        <v>9.5299999999999999E-5</v>
      </c>
      <c r="M100" s="187">
        <f>[2]CZ_decarbplus_opex!K100</f>
        <v>3.24154E-4</v>
      </c>
      <c r="N100" s="187">
        <f>[2]CZ_decarbplus_opex!L100</f>
        <v>1.4013200000000001E-4</v>
      </c>
      <c r="O100" s="187">
        <f>[2]CZ_decarbplus_opex!M100</f>
        <v>8.5000000000000006E-5</v>
      </c>
      <c r="P100" s="187">
        <f>[2]CZ_decarbplus_opex!N100</f>
        <v>7.2398099999999995E-4</v>
      </c>
      <c r="Q100" s="187">
        <f>[2]CZ_decarbplus_opex!O100</f>
        <v>7.1124100000000004E-4</v>
      </c>
      <c r="R100" s="187">
        <f>[2]CZ_decarbplus_opex!P100</f>
        <v>3.5899999999999998E-5</v>
      </c>
      <c r="S100" s="187">
        <f>[2]CZ_decarbplus_opex!Q100</f>
        <v>3.65683E-4</v>
      </c>
      <c r="T100" s="187">
        <f>[2]CZ_decarbplus_opex!R100</f>
        <v>3.7456300000000001E-4</v>
      </c>
      <c r="U100" s="187">
        <f>[2]CZ_decarbplus_opex!S100</f>
        <v>1.3076839999999999E-3</v>
      </c>
      <c r="V100" s="187">
        <f>[2]CZ_decarbplus_opex!T100</f>
        <v>6.4959000000000002E-4</v>
      </c>
      <c r="W100" s="187">
        <f>[2]CZ_decarbplus_opex!U100</f>
        <v>2.9200999999999999E-4</v>
      </c>
      <c r="X100" s="187">
        <f>[2]CZ_decarbplus_opex!V100</f>
        <v>1.8412999999999999E-4</v>
      </c>
      <c r="Y100" s="187">
        <f>[2]CZ_decarbplus_opex!W100</f>
        <v>4.5204099999999998E-4</v>
      </c>
      <c r="Z100" s="187">
        <f>[2]CZ_decarbplus_opex!X100</f>
        <v>9.2654E-4</v>
      </c>
      <c r="AA100" s="187">
        <f>[2]CZ_decarbplus_opex!Y100</f>
        <v>2.4000000000000001E-5</v>
      </c>
      <c r="AB100" s="188">
        <f>[3]CZ_decarb_opex!B100</f>
        <v>2.0023637119714199E-5</v>
      </c>
      <c r="AC100" s="188">
        <f>[3]CZ_decarb_opex!C100</f>
        <v>1.3524637682202099E-4</v>
      </c>
      <c r="AD100" s="188">
        <f>[3]CZ_decarb_opex!D100</f>
        <v>2.12120146280756E-4</v>
      </c>
      <c r="AE100" s="188">
        <f>[2]CZ_decarbplus_opex!Z100</f>
        <v>2.2357E-4</v>
      </c>
      <c r="AF100" s="188">
        <f>[2]CZ_decarbplus_opex!AA100</f>
        <v>6.5277499999999997E-4</v>
      </c>
      <c r="AG100" s="188">
        <f>[2]CZ_decarbplus_opex!AB100</f>
        <v>1.88223E-4</v>
      </c>
      <c r="AH100" s="188">
        <f>[2]CZ_decarbplus_opex!AC100</f>
        <v>1.29682E-4</v>
      </c>
      <c r="AI100" s="188">
        <f>[2]CZ_decarbplus_opex!AD100</f>
        <v>3.20515E-4</v>
      </c>
      <c r="AJ100" s="188">
        <f>[2]CZ_decarbplus_opex!AE100</f>
        <v>1.17834E-4</v>
      </c>
      <c r="AK100" s="188">
        <f>[2]CZ_decarbplus_opex!AF100</f>
        <v>1.6039599999999999E-4</v>
      </c>
      <c r="AL100" s="188">
        <f>[3]CZ_decarb_opex!E100</f>
        <v>4.0098674309218797E-4</v>
      </c>
      <c r="AM100" s="188">
        <f>[3]CZ_decarb_opex!F100</f>
        <v>1.7875135940595299E-4</v>
      </c>
      <c r="AN100" s="188">
        <f>[2]CZ_decarbplus_opex!AG100</f>
        <v>5.6571900000000001E-4</v>
      </c>
      <c r="AO100" s="188">
        <f>[3]CZ_decarb_opex!G100</f>
        <v>1.14901289678793E-4</v>
      </c>
      <c r="AP100" s="188">
        <f>[3]CZ_decarb_opex!H100</f>
        <v>4.9161600000427095E-4</v>
      </c>
      <c r="AQ100" s="188">
        <f>[2]CZ_decarbplus_opex!AH100</f>
        <v>7.0199999999999999E-5</v>
      </c>
      <c r="AR100" s="188">
        <f>[2]CZ_decarbplus_opex!AI100</f>
        <v>0</v>
      </c>
      <c r="AS100" s="188">
        <f>[2]CZ_decarbplus_opex!AJ100</f>
        <v>4.2334600000000001E-4</v>
      </c>
      <c r="AT100" s="188">
        <f>[2]CZ_decarbplus_opex!AK100</f>
        <v>3.7799999999999997E-5</v>
      </c>
      <c r="AU100" s="188">
        <f>[2]CZ_decarbplus_opex!AL100</f>
        <v>1.6799999999999998E-5</v>
      </c>
      <c r="AV100" s="188">
        <f>[2]CZ_decarbplus_opex!AM100</f>
        <v>1.0000000000000001E-5</v>
      </c>
      <c r="AW100" s="188">
        <f>[2]CZ_decarbplus_opex!AN100</f>
        <v>6.3499999999999999E-5</v>
      </c>
      <c r="AX100" s="188">
        <f>[2]CZ_decarbplus_opex!AO100</f>
        <v>0</v>
      </c>
      <c r="AY100" s="188">
        <f>[2]CZ_decarbplus_opex!AP100</f>
        <v>1.21752E-4</v>
      </c>
      <c r="AZ100" s="188">
        <f>[2]CZ_decarbplus_opex!AQ100</f>
        <v>0</v>
      </c>
      <c r="BA100" s="188">
        <f>[2]CZ_decarbplus_opex!AR100</f>
        <v>3.8699999999999999E-5</v>
      </c>
      <c r="BB100" s="188">
        <f>[2]CZ_decarbplus_opex!AS100</f>
        <v>2.2399799999999999E-4</v>
      </c>
      <c r="BC100" s="188">
        <f>[2]CZ_decarbplus_opex!AT100</f>
        <v>3.95003E-4</v>
      </c>
      <c r="BD100" s="188">
        <f>[2]CZ_decarbplus_opex!AU100</f>
        <v>3.1399999999999998E-5</v>
      </c>
      <c r="BE100" s="188">
        <f>[2]CZ_decarbplus_opex!AV100</f>
        <v>2.41778E-4</v>
      </c>
      <c r="BF100" s="188">
        <f>[2]CZ_decarbplus_opex!AW100</f>
        <v>6.05E-5</v>
      </c>
      <c r="BG100" s="188">
        <f>[2]CZ_decarbplus_opex!AX100</f>
        <v>5.7001199999999995E-4</v>
      </c>
      <c r="BH100" s="188">
        <f>[3]CZ_decarb_opex!I100</f>
        <v>8.0033938129402298E-5</v>
      </c>
      <c r="BI100" s="188">
        <f>[2]CZ_decarbplus_opex!AY100</f>
        <v>1.38035E-4</v>
      </c>
      <c r="BJ100" s="188">
        <f>[2]CZ_decarbplus_opex!AZ100</f>
        <v>2.8047499999999997E-4</v>
      </c>
      <c r="BK100" s="188">
        <f>[2]CZ_decarbplus_opex!BA100</f>
        <v>8.3599999999999999E-5</v>
      </c>
      <c r="BL100" s="188">
        <f>[2]CZ_decarbplus_opex!BB100</f>
        <v>0</v>
      </c>
      <c r="BM100" s="188">
        <f>[3]CZ_decarb_opex!J100</f>
        <v>1.6033133331581301E-5</v>
      </c>
      <c r="BN100" s="188">
        <f>[3]CZ_decarb_opex!K100</f>
        <v>3.0847902754961799E-5</v>
      </c>
      <c r="BO100" s="188">
        <f>[3]CZ_decarb_opex!L100</f>
        <v>5.8578971003157802E-6</v>
      </c>
      <c r="BP100" s="188">
        <f>[3]CZ_decarb_opex!M100</f>
        <v>1.3349235421173399E-5</v>
      </c>
      <c r="BQ100" s="188">
        <f>[3]CZ_decarb_opex!N100</f>
        <v>1.07625233550481E-5</v>
      </c>
      <c r="BR100" s="188">
        <f>[3]CZ_decarb_opex!O100</f>
        <v>1.6363267123522601E-5</v>
      </c>
      <c r="BS100" s="188">
        <f>[3]CZ_decarb_opex!P100</f>
        <v>2.4355034982207401E-5</v>
      </c>
      <c r="BT100" s="188">
        <f>[3]CZ_decarb_opex!Q100</f>
        <v>2.4009505349464399E-5</v>
      </c>
      <c r="BU100" s="188">
        <f>[3]CZ_decarb_opex!R100</f>
        <v>8.7588035791569004E-6</v>
      </c>
      <c r="BV100" s="188">
        <f>[3]CZ_decarb_opex!S100</f>
        <v>8.7588035791569004E-6</v>
      </c>
      <c r="BW100" s="188">
        <f>[3]CZ_decarb_opex!T100</f>
        <v>1.5349405288377001E-5</v>
      </c>
      <c r="BX100" s="188">
        <f>[3]CZ_decarb_opex!U100</f>
        <v>2.2912547658778201E-7</v>
      </c>
      <c r="BY100" s="188">
        <f>[3]CZ_decarb_opex!V100</f>
        <v>2.7661046274818299E-5</v>
      </c>
      <c r="BZ100" s="188">
        <f>[2]CZ_decarbplus_opex!BC100</f>
        <v>1.6900000000000001E-5</v>
      </c>
      <c r="CA100" s="188">
        <f>[2]CZ_decarbplus_opex!BD100</f>
        <v>1.6458320000000001E-3</v>
      </c>
      <c r="CB100" s="188">
        <f>[2]CZ_decarbplus_opex!BE100</f>
        <v>1.385746E-3</v>
      </c>
      <c r="CC100" s="188">
        <f>[2]CZ_decarbplus_opex!BF100</f>
        <v>5.4077989999999996E-3</v>
      </c>
      <c r="CD100" s="188">
        <f>[2]CZ_decarbplus_opex!BG100</f>
        <v>4.7599999999999998E-5</v>
      </c>
      <c r="CE100" s="188">
        <f>[2]CZ_decarbplus_opex!BH100</f>
        <v>1.4878800000000001E-4</v>
      </c>
      <c r="CF100" s="188">
        <f>[2]CZ_decarbplus_opex!BI100</f>
        <v>6.3E-5</v>
      </c>
      <c r="CG100" s="188">
        <f>[2]CZ_decarbplus_opex!BJ100</f>
        <v>1.6973100000000001E-4</v>
      </c>
    </row>
    <row r="101" spans="1:85" x14ac:dyDescent="0.25">
      <c r="A101" s="1" t="s">
        <v>342</v>
      </c>
      <c r="B101" s="2" t="s">
        <v>336</v>
      </c>
      <c r="C101" s="1" t="s">
        <v>330</v>
      </c>
      <c r="D101" s="187">
        <f>[2]CZ_decarbplus_opex!B101</f>
        <v>1.1E-5</v>
      </c>
      <c r="E101" s="187">
        <f>[2]CZ_decarbplus_opex!C101</f>
        <v>1.49E-5</v>
      </c>
      <c r="F101" s="187">
        <f>[2]CZ_decarbplus_opex!D101</f>
        <v>8.5599999999999994E-6</v>
      </c>
      <c r="G101" s="187">
        <f>[2]CZ_decarbplus_opex!E101</f>
        <v>5.9599999999999999E-7</v>
      </c>
      <c r="H101" s="187">
        <f>[2]CZ_decarbplus_opex!F101</f>
        <v>2.4600000000000002E-6</v>
      </c>
      <c r="I101" s="187">
        <f>[2]CZ_decarbplus_opex!G101</f>
        <v>4.5200000000000001E-5</v>
      </c>
      <c r="J101" s="187">
        <f>[2]CZ_decarbplus_opex!H101</f>
        <v>1.8327400000000001E-4</v>
      </c>
      <c r="K101" s="187">
        <f>[2]CZ_decarbplus_opex!I101</f>
        <v>1.9599999999999999E-6</v>
      </c>
      <c r="L101" s="187">
        <f>[2]CZ_decarbplus_opex!J101</f>
        <v>1.77E-5</v>
      </c>
      <c r="M101" s="187">
        <f>[2]CZ_decarbplus_opex!K101</f>
        <v>6.2299999999999996E-5</v>
      </c>
      <c r="N101" s="187">
        <f>[2]CZ_decarbplus_opex!L101</f>
        <v>2.8900000000000001E-5</v>
      </c>
      <c r="O101" s="187">
        <f>[2]CZ_decarbplus_opex!M101</f>
        <v>1.8300000000000001E-5</v>
      </c>
      <c r="P101" s="187">
        <f>[2]CZ_decarbplus_opex!N101</f>
        <v>1.4081200000000001E-4</v>
      </c>
      <c r="Q101" s="187">
        <f>[2]CZ_decarbplus_opex!O101</f>
        <v>1.4733500000000001E-4</v>
      </c>
      <c r="R101" s="187">
        <f>[2]CZ_decarbplus_opex!P101</f>
        <v>8.3000000000000002E-6</v>
      </c>
      <c r="S101" s="187">
        <f>[2]CZ_decarbplus_opex!Q101</f>
        <v>7.0099999999999996E-5</v>
      </c>
      <c r="T101" s="187">
        <f>[2]CZ_decarbplus_opex!R101</f>
        <v>7.2299999999999996E-5</v>
      </c>
      <c r="U101" s="187">
        <f>[2]CZ_decarbplus_opex!S101</f>
        <v>2.3645E-4</v>
      </c>
      <c r="V101" s="187">
        <f>[2]CZ_decarbplus_opex!T101</f>
        <v>1.17173E-4</v>
      </c>
      <c r="W101" s="187">
        <f>[2]CZ_decarbplus_opex!U101</f>
        <v>5.7099999999999999E-5</v>
      </c>
      <c r="X101" s="187">
        <f>[2]CZ_decarbplus_opex!V101</f>
        <v>3.43E-5</v>
      </c>
      <c r="Y101" s="187">
        <f>[2]CZ_decarbplus_opex!W101</f>
        <v>9.1500000000000001E-5</v>
      </c>
      <c r="Z101" s="187">
        <f>[2]CZ_decarbplus_opex!X101</f>
        <v>1.9926300000000001E-4</v>
      </c>
      <c r="AA101" s="187">
        <f>[2]CZ_decarbplus_opex!Y101</f>
        <v>7.4499999999999998E-6</v>
      </c>
      <c r="AB101" s="188">
        <f>[3]CZ_decarb_opex!B101</f>
        <v>1.37298155196492E-5</v>
      </c>
      <c r="AC101" s="188">
        <f>[3]CZ_decarb_opex!C101</f>
        <v>2.9736475108600101E-5</v>
      </c>
      <c r="AD101" s="188">
        <f>[3]CZ_decarb_opex!D101</f>
        <v>4.0171547932160302E-5</v>
      </c>
      <c r="AE101" s="188">
        <f>[2]CZ_decarbplus_opex!Z101</f>
        <v>4.0200000000000001E-5</v>
      </c>
      <c r="AF101" s="188">
        <f>[2]CZ_decarbplus_opex!AA101</f>
        <v>1.3089899999999999E-4</v>
      </c>
      <c r="AG101" s="188">
        <f>[2]CZ_decarbplus_opex!AB101</f>
        <v>3.8399999999999998E-5</v>
      </c>
      <c r="AH101" s="188">
        <f>[2]CZ_decarbplus_opex!AC101</f>
        <v>2.8E-5</v>
      </c>
      <c r="AI101" s="188">
        <f>[2]CZ_decarbplus_opex!AD101</f>
        <v>6.1299999999999999E-5</v>
      </c>
      <c r="AJ101" s="188">
        <f>[2]CZ_decarbplus_opex!AE101</f>
        <v>1.9199999999999999E-5</v>
      </c>
      <c r="AK101" s="188">
        <f>[2]CZ_decarbplus_opex!AF101</f>
        <v>3.15E-5</v>
      </c>
      <c r="AL101" s="188">
        <f>[3]CZ_decarb_opex!E101</f>
        <v>7.4378301385586503E-5</v>
      </c>
      <c r="AM101" s="188">
        <f>[3]CZ_decarb_opex!F101</f>
        <v>3.4168970306975598E-5</v>
      </c>
      <c r="AN101" s="188">
        <f>[2]CZ_decarbplus_opex!AG101</f>
        <v>1.0964E-4</v>
      </c>
      <c r="AO101" s="188">
        <f>[3]CZ_decarb_opex!G101</f>
        <v>2.3859152415101702E-5</v>
      </c>
      <c r="AP101" s="188">
        <f>[3]CZ_decarb_opex!H101</f>
        <v>9.7940968819567703E-5</v>
      </c>
      <c r="AQ101" s="188">
        <f>[2]CZ_decarbplus_opex!AH101</f>
        <v>1.43E-5</v>
      </c>
      <c r="AR101" s="188">
        <f>[2]CZ_decarbplus_opex!AI101</f>
        <v>0</v>
      </c>
      <c r="AS101" s="188">
        <f>[2]CZ_decarbplus_opex!AJ101</f>
        <v>8.2799999999999993E-5</v>
      </c>
      <c r="AT101" s="188">
        <f>[2]CZ_decarbplus_opex!AK101</f>
        <v>7.7400000000000004E-6</v>
      </c>
      <c r="AU101" s="188">
        <f>[2]CZ_decarbplus_opex!AL101</f>
        <v>3.2799999999999999E-6</v>
      </c>
      <c r="AV101" s="188">
        <f>[2]CZ_decarbplus_opex!AM101</f>
        <v>2.1799999999999999E-6</v>
      </c>
      <c r="AW101" s="188">
        <f>[2]CZ_decarbplus_opex!AN101</f>
        <v>1.22E-5</v>
      </c>
      <c r="AX101" s="188">
        <f>[2]CZ_decarbplus_opex!AO101</f>
        <v>0</v>
      </c>
      <c r="AY101" s="188">
        <f>[2]CZ_decarbplus_opex!AP101</f>
        <v>3.0000000000000001E-5</v>
      </c>
      <c r="AZ101" s="188">
        <f>[2]CZ_decarbplus_opex!AQ101</f>
        <v>0</v>
      </c>
      <c r="BA101" s="188">
        <f>[2]CZ_decarbplus_opex!AR101</f>
        <v>8.7700000000000007E-6</v>
      </c>
      <c r="BB101" s="188">
        <f>[2]CZ_decarbplus_opex!AS101</f>
        <v>4.6100000000000002E-5</v>
      </c>
      <c r="BC101" s="188">
        <f>[2]CZ_decarbplus_opex!AT101</f>
        <v>8.7800000000000006E-5</v>
      </c>
      <c r="BD101" s="188">
        <f>[2]CZ_decarbplus_opex!AU101</f>
        <v>2.1100000000000001E-5</v>
      </c>
      <c r="BE101" s="188">
        <f>[2]CZ_decarbplus_opex!AV101</f>
        <v>6.3800000000000006E-5</v>
      </c>
      <c r="BF101" s="188">
        <f>[2]CZ_decarbplus_opex!AW101</f>
        <v>1.5099999999999999E-5</v>
      </c>
      <c r="BG101" s="188">
        <f>[2]CZ_decarbplus_opex!AX101</f>
        <v>1.14746E-4</v>
      </c>
      <c r="BH101" s="188">
        <f>[3]CZ_decarb_opex!I101</f>
        <v>2.21581955974504E-5</v>
      </c>
      <c r="BI101" s="188">
        <f>[2]CZ_decarbplus_opex!AY101</f>
        <v>3.1300000000000002E-5</v>
      </c>
      <c r="BJ101" s="188">
        <f>[2]CZ_decarbplus_opex!AZ101</f>
        <v>5.5399999999999998E-5</v>
      </c>
      <c r="BK101" s="188">
        <f>[2]CZ_decarbplus_opex!BA101</f>
        <v>1.6200000000000001E-5</v>
      </c>
      <c r="BL101" s="188">
        <f>[2]CZ_decarbplus_opex!BB101</f>
        <v>0</v>
      </c>
      <c r="BM101" s="188">
        <f>[3]CZ_decarb_opex!J101</f>
        <v>7.8445408799459797E-6</v>
      </c>
      <c r="BN101" s="188">
        <f>[3]CZ_decarb_opex!K101</f>
        <v>1.9045928145342499E-5</v>
      </c>
      <c r="BO101" s="188">
        <f>[3]CZ_decarb_opex!L101</f>
        <v>2.89913625340271E-6</v>
      </c>
      <c r="BP101" s="188">
        <f>[3]CZ_decarb_opex!M101</f>
        <v>5.0857510227404399E-6</v>
      </c>
      <c r="BQ101" s="188">
        <f>[3]CZ_decarb_opex!N101</f>
        <v>4.9125021418168396E-6</v>
      </c>
      <c r="BR101" s="188">
        <f>[3]CZ_decarb_opex!O101</f>
        <v>3.9616562900569101E-5</v>
      </c>
      <c r="BS101" s="188">
        <f>[3]CZ_decarb_opex!P101</f>
        <v>1.28844128304467E-5</v>
      </c>
      <c r="BT101" s="188">
        <f>[3]CZ_decarb_opex!Q101</f>
        <v>5.3451246604056898E-6</v>
      </c>
      <c r="BU101" s="188">
        <f>[3]CZ_decarb_opex!R101</f>
        <v>3.0581003649247699E-6</v>
      </c>
      <c r="BV101" s="188">
        <f>[3]CZ_decarb_opex!S101</f>
        <v>3.05810036492478E-6</v>
      </c>
      <c r="BW101" s="188">
        <f>[3]CZ_decarb_opex!T101</f>
        <v>2.2265101869356799E-5</v>
      </c>
      <c r="BX101" s="188">
        <f>[3]CZ_decarb_opex!U101</f>
        <v>5.9707827764642605E-7</v>
      </c>
      <c r="BY101" s="188">
        <f>[3]CZ_decarb_opex!V101</f>
        <v>2.03537873231578E-5</v>
      </c>
      <c r="BZ101" s="188">
        <f>[2]CZ_decarbplus_opex!BC101</f>
        <v>8.1100000000000003E-6</v>
      </c>
      <c r="CA101" s="188">
        <f>[2]CZ_decarbplus_opex!BD101</f>
        <v>3.1093499999999998E-4</v>
      </c>
      <c r="CB101" s="188">
        <f>[2]CZ_decarbplus_opex!BE101</f>
        <v>2.49948E-4</v>
      </c>
      <c r="CC101" s="188">
        <f>[2]CZ_decarbplus_opex!BF101</f>
        <v>1.097546E-3</v>
      </c>
      <c r="CD101" s="188">
        <f>[2]CZ_decarbplus_opex!BG101</f>
        <v>2.4899999999999999E-5</v>
      </c>
      <c r="CE101" s="188">
        <f>[2]CZ_decarbplus_opex!BH101</f>
        <v>2.9200000000000002E-5</v>
      </c>
      <c r="CF101" s="188">
        <f>[2]CZ_decarbplus_opex!BI101</f>
        <v>1.52E-5</v>
      </c>
      <c r="CG101" s="188">
        <f>[2]CZ_decarbplus_opex!BJ101</f>
        <v>3.3500000000000001E-5</v>
      </c>
    </row>
    <row r="102" spans="1:85" x14ac:dyDescent="0.25">
      <c r="A102" s="1" t="s">
        <v>343</v>
      </c>
      <c r="B102" s="2" t="s">
        <v>337</v>
      </c>
      <c r="C102" s="1" t="s">
        <v>330</v>
      </c>
      <c r="D102" s="187">
        <f>[2]CZ_decarbplus_opex!B102</f>
        <v>1.8699999999999999E-7</v>
      </c>
      <c r="E102" s="187">
        <f>[2]CZ_decarbplus_opex!C102</f>
        <v>3.9500000000000003E-8</v>
      </c>
      <c r="F102" s="187">
        <f>[2]CZ_decarbplus_opex!D102</f>
        <v>2.1299999999999999E-8</v>
      </c>
      <c r="G102" s="187">
        <f>[2]CZ_decarbplus_opex!E102</f>
        <v>4.9200000000000004E-9</v>
      </c>
      <c r="H102" s="187">
        <f>[2]CZ_decarbplus_opex!F102</f>
        <v>7.5200000000000005E-9</v>
      </c>
      <c r="I102" s="187">
        <f>[2]CZ_decarbplus_opex!G102</f>
        <v>5.4100000000000001E-8</v>
      </c>
      <c r="J102" s="187">
        <f>[2]CZ_decarbplus_opex!H102</f>
        <v>1.3E-7</v>
      </c>
      <c r="K102" s="187">
        <f>[2]CZ_decarbplus_opex!I102</f>
        <v>1.52E-8</v>
      </c>
      <c r="L102" s="187">
        <f>[2]CZ_decarbplus_opex!J102</f>
        <v>3.5299999999999998E-8</v>
      </c>
      <c r="M102" s="187">
        <f>[2]CZ_decarbplus_opex!K102</f>
        <v>8.9599999999999995E-8</v>
      </c>
      <c r="N102" s="187">
        <f>[2]CZ_decarbplus_opex!L102</f>
        <v>1.09E-7</v>
      </c>
      <c r="O102" s="187">
        <f>[2]CZ_decarbplus_opex!M102</f>
        <v>9.1300000000000004E-8</v>
      </c>
      <c r="P102" s="187">
        <f>[2]CZ_decarbplus_opex!N102</f>
        <v>8.1899999999999999E-8</v>
      </c>
      <c r="Q102" s="187">
        <f>[2]CZ_decarbplus_opex!O102</f>
        <v>1.11E-8</v>
      </c>
      <c r="R102" s="187">
        <f>[2]CZ_decarbplus_opex!P102</f>
        <v>4.8200000000000001E-8</v>
      </c>
      <c r="S102" s="187">
        <f>[2]CZ_decarbplus_opex!Q102</f>
        <v>4.7899999999999999E-8</v>
      </c>
      <c r="T102" s="187">
        <f>[2]CZ_decarbplus_opex!R102</f>
        <v>5.8799999999999997E-8</v>
      </c>
      <c r="U102" s="187">
        <f>[2]CZ_decarbplus_opex!S102</f>
        <v>1.6E-7</v>
      </c>
      <c r="V102" s="187">
        <f>[2]CZ_decarbplus_opex!T102</f>
        <v>2.3999999999999998E-7</v>
      </c>
      <c r="W102" s="187">
        <f>[2]CZ_decarbplus_opex!U102</f>
        <v>4.8E-8</v>
      </c>
      <c r="X102" s="187">
        <f>[2]CZ_decarbplus_opex!V102</f>
        <v>4.1899999999999998E-8</v>
      </c>
      <c r="Y102" s="187">
        <f>[2]CZ_decarbplus_opex!W102</f>
        <v>2.14E-8</v>
      </c>
      <c r="Z102" s="187">
        <f>[2]CZ_decarbplus_opex!X102</f>
        <v>1.08E-7</v>
      </c>
      <c r="AA102" s="187">
        <f>[2]CZ_decarbplus_opex!Y102</f>
        <v>1.14E-7</v>
      </c>
      <c r="AB102" s="188">
        <f>[3]CZ_decarb_opex!B102</f>
        <v>5.3072151691515202E-8</v>
      </c>
      <c r="AC102" s="188">
        <f>[3]CZ_decarb_opex!C102</f>
        <v>2.9506289366623298E-7</v>
      </c>
      <c r="AD102" s="188">
        <f>[3]CZ_decarb_opex!D102</f>
        <v>9.4850640097901204E-8</v>
      </c>
      <c r="AE102" s="188">
        <f>[2]CZ_decarbplus_opex!Z102</f>
        <v>7.4299999999999997E-8</v>
      </c>
      <c r="AF102" s="188">
        <f>[2]CZ_decarbplus_opex!AA102</f>
        <v>1.36E-7</v>
      </c>
      <c r="AG102" s="188">
        <f>[2]CZ_decarbplus_opex!AB102</f>
        <v>7.4999999999999997E-8</v>
      </c>
      <c r="AH102" s="188">
        <f>[2]CZ_decarbplus_opex!AC102</f>
        <v>5.9499999999999997E-8</v>
      </c>
      <c r="AI102" s="188">
        <f>[2]CZ_decarbplus_opex!AD102</f>
        <v>1.1999999999999999E-7</v>
      </c>
      <c r="AJ102" s="188">
        <f>[2]CZ_decarbplus_opex!AE102</f>
        <v>6.4599999999999996E-8</v>
      </c>
      <c r="AK102" s="188">
        <f>[2]CZ_decarbplus_opex!AF102</f>
        <v>8.4299999999999994E-8</v>
      </c>
      <c r="AL102" s="188">
        <f>[3]CZ_decarb_opex!E102</f>
        <v>6.4999995235635296E-8</v>
      </c>
      <c r="AM102" s="188">
        <f>[3]CZ_decarb_opex!F102</f>
        <v>7.4591819959577701E-8</v>
      </c>
      <c r="AN102" s="188">
        <f>[2]CZ_decarbplus_opex!AG102</f>
        <v>8.3000000000000002E-8</v>
      </c>
      <c r="AO102" s="188">
        <f>[3]CZ_decarb_opex!G102</f>
        <v>2.20018358998826E-8</v>
      </c>
      <c r="AP102" s="188">
        <f>[3]CZ_decarb_opex!H102</f>
        <v>3.53731854988277E-8</v>
      </c>
      <c r="AQ102" s="188">
        <f>[2]CZ_decarbplus_opex!AH102</f>
        <v>3.8199999999999998E-8</v>
      </c>
      <c r="AR102" s="188">
        <f>[2]CZ_decarbplus_opex!AI102</f>
        <v>0</v>
      </c>
      <c r="AS102" s="188">
        <f>[2]CZ_decarbplus_opex!AJ102</f>
        <v>3.5000000000000002E-8</v>
      </c>
      <c r="AT102" s="188">
        <f>[2]CZ_decarbplus_opex!AK102</f>
        <v>2.8200000000000001E-8</v>
      </c>
      <c r="AU102" s="188">
        <f>[2]CZ_decarbplus_opex!AL102</f>
        <v>3.6400000000000002E-8</v>
      </c>
      <c r="AV102" s="188">
        <f>[2]CZ_decarbplus_opex!AM102</f>
        <v>2.6700000000000001E-8</v>
      </c>
      <c r="AW102" s="188">
        <f>[2]CZ_decarbplus_opex!AN102</f>
        <v>2.7599999999999999E-8</v>
      </c>
      <c r="AX102" s="188">
        <f>[2]CZ_decarbplus_opex!AO102</f>
        <v>0</v>
      </c>
      <c r="AY102" s="188">
        <f>[2]CZ_decarbplus_opex!AP102</f>
        <v>2.7199999999999999E-8</v>
      </c>
      <c r="AZ102" s="188">
        <f>[2]CZ_decarbplus_opex!AQ102</f>
        <v>0</v>
      </c>
      <c r="BA102" s="188">
        <f>[2]CZ_decarbplus_opex!AR102</f>
        <v>3.3699999999999997E-8</v>
      </c>
      <c r="BB102" s="188">
        <f>[2]CZ_decarbplus_opex!AS102</f>
        <v>1.04E-7</v>
      </c>
      <c r="BC102" s="188">
        <f>[2]CZ_decarbplus_opex!AT102</f>
        <v>4.2100000000000002E-7</v>
      </c>
      <c r="BD102" s="188">
        <f>[2]CZ_decarbplus_opex!AU102</f>
        <v>6.2799999999999996E-7</v>
      </c>
      <c r="BE102" s="188">
        <f>[2]CZ_decarbplus_opex!AV102</f>
        <v>6.3300000000000002E-7</v>
      </c>
      <c r="BF102" s="188">
        <f>[2]CZ_decarbplus_opex!AW102</f>
        <v>1.74E-7</v>
      </c>
      <c r="BG102" s="188">
        <f>[2]CZ_decarbplus_opex!AX102</f>
        <v>9.8500000000000002E-8</v>
      </c>
      <c r="BH102" s="188">
        <f>[3]CZ_decarb_opex!I102</f>
        <v>2.6004803163151601E-7</v>
      </c>
      <c r="BI102" s="188">
        <f>[2]CZ_decarbplus_opex!AY102</f>
        <v>1.8699999999999999E-7</v>
      </c>
      <c r="BJ102" s="188">
        <f>[2]CZ_decarbplus_opex!AZ102</f>
        <v>5.32E-8</v>
      </c>
      <c r="BK102" s="188">
        <f>[2]CZ_decarbplus_opex!BA102</f>
        <v>1.7199999999999999E-8</v>
      </c>
      <c r="BL102" s="188">
        <f>[2]CZ_decarbplus_opex!BB102</f>
        <v>0</v>
      </c>
      <c r="BM102" s="188">
        <f>[3]CZ_decarb_opex!J102</f>
        <v>1.9500961058771599E-7</v>
      </c>
      <c r="BN102" s="188">
        <f>[3]CZ_decarb_opex!K102</f>
        <v>4.9060162978389902E-7</v>
      </c>
      <c r="BO102" s="188">
        <f>[3]CZ_decarb_opex!L102</f>
        <v>8.3638148968482297E-8</v>
      </c>
      <c r="BP102" s="188">
        <f>[3]CZ_decarb_opex!M102</f>
        <v>1.43311945526179E-7</v>
      </c>
      <c r="BQ102" s="188">
        <f>[3]CZ_decarb_opex!N102</f>
        <v>1.71994460392354E-7</v>
      </c>
      <c r="BR102" s="188">
        <f>[3]CZ_decarb_opex!O102</f>
        <v>4.4375563891499602E-6</v>
      </c>
      <c r="BS102" s="188">
        <f>[3]CZ_decarb_opex!P102</f>
        <v>2.3008161225727099E-7</v>
      </c>
      <c r="BT102" s="188">
        <f>[3]CZ_decarb_opex!Q102</f>
        <v>1.1970313167089199E-7</v>
      </c>
      <c r="BU102" s="188">
        <f>[3]CZ_decarb_opex!R102</f>
        <v>8.4683923467902103E-8</v>
      </c>
      <c r="BV102" s="188">
        <f>[3]CZ_decarb_opex!S102</f>
        <v>8.4683923467902196E-8</v>
      </c>
      <c r="BW102" s="188">
        <f>[3]CZ_decarb_opex!T102</f>
        <v>8.6848090917193805E-8</v>
      </c>
      <c r="BX102" s="188">
        <f>[3]CZ_decarb_opex!U102</f>
        <v>1.9042928898912899E-8</v>
      </c>
      <c r="BY102" s="188">
        <f>[3]CZ_decarb_opex!V102</f>
        <v>9.5429961220499305E-9</v>
      </c>
      <c r="BZ102" s="188">
        <f>[2]CZ_decarbplus_opex!BC102</f>
        <v>2.1400000000000001E-7</v>
      </c>
      <c r="CA102" s="188">
        <f>[2]CZ_decarbplus_opex!BD102</f>
        <v>1.12E-7</v>
      </c>
      <c r="CB102" s="188">
        <f>[2]CZ_decarbplus_opex!BE102</f>
        <v>1.24E-7</v>
      </c>
      <c r="CC102" s="188">
        <f>[2]CZ_decarbplus_opex!BF102</f>
        <v>7.1900000000000002E-8</v>
      </c>
      <c r="CD102" s="188">
        <f>[2]CZ_decarbplus_opex!BG102</f>
        <v>5.3200000000000005E-7</v>
      </c>
      <c r="CE102" s="188">
        <f>[2]CZ_decarbplus_opex!BH102</f>
        <v>1.0700000000000001E-7</v>
      </c>
      <c r="CF102" s="188">
        <f>[2]CZ_decarbplus_opex!BI102</f>
        <v>1.9999999999999999E-7</v>
      </c>
      <c r="CG102" s="188">
        <f>[2]CZ_decarbplus_opex!BJ102</f>
        <v>6.9100000000000003E-8</v>
      </c>
    </row>
    <row r="103" spans="1:85" x14ac:dyDescent="0.25">
      <c r="A103" s="1" t="s">
        <v>10</v>
      </c>
      <c r="B103" s="2" t="s">
        <v>11</v>
      </c>
      <c r="C103" s="1" t="s">
        <v>330</v>
      </c>
      <c r="D103" s="187">
        <f>[2]CZ_decarbplus_opex!B103</f>
        <v>5.3399999999999997E-6</v>
      </c>
      <c r="E103" s="187">
        <f>[2]CZ_decarbplus_opex!C103</f>
        <v>4.1300000000000003E-6</v>
      </c>
      <c r="F103" s="187">
        <f>[2]CZ_decarbplus_opex!D103</f>
        <v>3.6799999999999999E-6</v>
      </c>
      <c r="G103" s="187">
        <f>[2]CZ_decarbplus_opex!E103</f>
        <v>2.1E-7</v>
      </c>
      <c r="H103" s="187">
        <f>[2]CZ_decarbplus_opex!F103</f>
        <v>5.4600000000000005E-7</v>
      </c>
      <c r="I103" s="187">
        <f>[2]CZ_decarbplus_opex!G103</f>
        <v>5.5799999999999999E-6</v>
      </c>
      <c r="J103" s="187">
        <f>[2]CZ_decarbplus_opex!H103</f>
        <v>1.9000000000000001E-5</v>
      </c>
      <c r="K103" s="187">
        <f>[2]CZ_decarbplus_opex!I103</f>
        <v>6.7599999999999997E-7</v>
      </c>
      <c r="L103" s="187">
        <f>[2]CZ_decarbplus_opex!J103</f>
        <v>4.07E-6</v>
      </c>
      <c r="M103" s="187">
        <f>[2]CZ_decarbplus_opex!K103</f>
        <v>1.3499999999999999E-5</v>
      </c>
      <c r="N103" s="187">
        <f>[2]CZ_decarbplus_opex!L103</f>
        <v>1.56E-5</v>
      </c>
      <c r="O103" s="187">
        <f>[2]CZ_decarbplus_opex!M103</f>
        <v>8.9400000000000008E-6</v>
      </c>
      <c r="P103" s="187">
        <f>[2]CZ_decarbplus_opex!N103</f>
        <v>1.8099999999999999E-5</v>
      </c>
      <c r="Q103" s="187">
        <f>[2]CZ_decarbplus_opex!O103</f>
        <v>3.01E-5</v>
      </c>
      <c r="R103" s="187">
        <f>[2]CZ_decarbplus_opex!P103</f>
        <v>3.3100000000000001E-6</v>
      </c>
      <c r="S103" s="187">
        <f>[2]CZ_decarbplus_opex!Q103</f>
        <v>8.3999999999999992E-6</v>
      </c>
      <c r="T103" s="187">
        <f>[2]CZ_decarbplus_opex!R103</f>
        <v>7.9200000000000004E-6</v>
      </c>
      <c r="U103" s="187">
        <f>[2]CZ_decarbplus_opex!S103</f>
        <v>9.4199999999999996E-6</v>
      </c>
      <c r="V103" s="187">
        <f>[2]CZ_decarbplus_opex!T103</f>
        <v>9.7699999999999996E-6</v>
      </c>
      <c r="W103" s="187">
        <f>[2]CZ_decarbplus_opex!U103</f>
        <v>8.0900000000000005E-6</v>
      </c>
      <c r="X103" s="187">
        <f>[2]CZ_decarbplus_opex!V103</f>
        <v>3.3900000000000002E-6</v>
      </c>
      <c r="Y103" s="187">
        <f>[2]CZ_decarbplus_opex!W103</f>
        <v>9.5400000000000001E-5</v>
      </c>
      <c r="Z103" s="187">
        <f>[2]CZ_decarbplus_opex!X103</f>
        <v>2.2221599999999999E-4</v>
      </c>
      <c r="AA103" s="187">
        <f>[2]CZ_decarbplus_opex!Y103</f>
        <v>2.8499999999999998E-6</v>
      </c>
      <c r="AB103" s="188">
        <f>[3]CZ_decarb_opex!B103</f>
        <v>1.0694007351382899E-5</v>
      </c>
      <c r="AC103" s="188">
        <f>[3]CZ_decarb_opex!C103</f>
        <v>3.98844551923785E-5</v>
      </c>
      <c r="AD103" s="188">
        <f>[3]CZ_decarb_opex!D103</f>
        <v>1.5827195035048702E-5</v>
      </c>
      <c r="AE103" s="188">
        <f>[2]CZ_decarbplus_opex!Z103</f>
        <v>1.08E-5</v>
      </c>
      <c r="AF103" s="188">
        <f>[2]CZ_decarbplus_opex!AA103</f>
        <v>4.8900000000000003E-5</v>
      </c>
      <c r="AG103" s="188">
        <f>[2]CZ_decarbplus_opex!AB103</f>
        <v>9.4900000000000006E-6</v>
      </c>
      <c r="AH103" s="188">
        <f>[2]CZ_decarbplus_opex!AC103</f>
        <v>1.03E-5</v>
      </c>
      <c r="AI103" s="188">
        <f>[2]CZ_decarbplus_opex!AD103</f>
        <v>5.0300000000000001E-6</v>
      </c>
      <c r="AJ103" s="188">
        <f>[2]CZ_decarbplus_opex!AE103</f>
        <v>3.2799999999999999E-6</v>
      </c>
      <c r="AK103" s="188">
        <f>[2]CZ_decarbplus_opex!AF103</f>
        <v>4.16E-6</v>
      </c>
      <c r="AL103" s="188">
        <f>[3]CZ_decarb_opex!E103</f>
        <v>5.18878179465611E-6</v>
      </c>
      <c r="AM103" s="188">
        <f>[3]CZ_decarb_opex!F103</f>
        <v>3.26341870373815E-6</v>
      </c>
      <c r="AN103" s="188">
        <f>[2]CZ_decarbplus_opex!AG103</f>
        <v>1.27E-5</v>
      </c>
      <c r="AO103" s="188">
        <f>[3]CZ_decarb_opex!G103</f>
        <v>4.8587582379900104E-6</v>
      </c>
      <c r="AP103" s="188">
        <f>[3]CZ_decarb_opex!H103</f>
        <v>1.6287050169252899E-5</v>
      </c>
      <c r="AQ103" s="188">
        <f>[2]CZ_decarbplus_opex!AH103</f>
        <v>5.4099999999999999E-6</v>
      </c>
      <c r="AR103" s="188">
        <f>[2]CZ_decarbplus_opex!AI103</f>
        <v>0</v>
      </c>
      <c r="AS103" s="188">
        <f>[2]CZ_decarbplus_opex!AJ103</f>
        <v>1.2500000000000001E-5</v>
      </c>
      <c r="AT103" s="188">
        <f>[2]CZ_decarbplus_opex!AK103</f>
        <v>3.4199999999999999E-6</v>
      </c>
      <c r="AU103" s="188">
        <f>[2]CZ_decarbplus_opex!AL103</f>
        <v>3.19E-6</v>
      </c>
      <c r="AV103" s="188">
        <f>[2]CZ_decarbplus_opex!AM103</f>
        <v>9.6099999999999999E-7</v>
      </c>
      <c r="AW103" s="188">
        <f>[2]CZ_decarbplus_opex!AN103</f>
        <v>4.2899999999999996E-6</v>
      </c>
      <c r="AX103" s="188">
        <f>[2]CZ_decarbplus_opex!AO103</f>
        <v>0</v>
      </c>
      <c r="AY103" s="188">
        <f>[2]CZ_decarbplus_opex!AP103</f>
        <v>5.4500000000000003E-6</v>
      </c>
      <c r="AZ103" s="188">
        <f>[2]CZ_decarbplus_opex!AQ103</f>
        <v>0</v>
      </c>
      <c r="BA103" s="188">
        <f>[2]CZ_decarbplus_opex!AR103</f>
        <v>2.5299999999999999E-6</v>
      </c>
      <c r="BB103" s="188">
        <f>[2]CZ_decarbplus_opex!AS103</f>
        <v>7.34E-6</v>
      </c>
      <c r="BC103" s="188">
        <f>[2]CZ_decarbplus_opex!AT103</f>
        <v>1.9000000000000001E-5</v>
      </c>
      <c r="BD103" s="188">
        <f>[2]CZ_decarbplus_opex!AU103</f>
        <v>1.6099999999999998E-5</v>
      </c>
      <c r="BE103" s="188">
        <f>[2]CZ_decarbplus_opex!AV103</f>
        <v>1.7900000000000001E-5</v>
      </c>
      <c r="BF103" s="188">
        <f>[2]CZ_decarbplus_opex!AW103</f>
        <v>3.9199999999999997E-6</v>
      </c>
      <c r="BG103" s="188">
        <f>[2]CZ_decarbplus_opex!AX103</f>
        <v>1.6200000000000001E-5</v>
      </c>
      <c r="BH103" s="188">
        <f>[3]CZ_decarb_opex!I103</f>
        <v>7.5750670053210299E-6</v>
      </c>
      <c r="BI103" s="188">
        <f>[2]CZ_decarbplus_opex!AY103</f>
        <v>8.8200000000000003E-6</v>
      </c>
      <c r="BJ103" s="188">
        <f>[2]CZ_decarbplus_opex!AZ103</f>
        <v>8.6000000000000007E-6</v>
      </c>
      <c r="BK103" s="188">
        <f>[2]CZ_decarbplus_opex!BA103</f>
        <v>2.88E-6</v>
      </c>
      <c r="BL103" s="188">
        <f>[2]CZ_decarbplus_opex!BB103</f>
        <v>0</v>
      </c>
      <c r="BM103" s="188">
        <f>[3]CZ_decarb_opex!J103</f>
        <v>4.2554420751478397E-6</v>
      </c>
      <c r="BN103" s="188">
        <f>[3]CZ_decarb_opex!K103</f>
        <v>2.1260893491208402E-5</v>
      </c>
      <c r="BO103" s="188">
        <f>[3]CZ_decarb_opex!L103</f>
        <v>2.1426557612251E-6</v>
      </c>
      <c r="BP103" s="188">
        <f>[3]CZ_decarb_opex!M103</f>
        <v>1.24192989379644E-5</v>
      </c>
      <c r="BQ103" s="188">
        <f>[3]CZ_decarb_opex!N103</f>
        <v>3.8929024247553602E-6</v>
      </c>
      <c r="BR103" s="188">
        <f>[3]CZ_decarb_opex!O103</f>
        <v>9.1225953534647798E-6</v>
      </c>
      <c r="BS103" s="188">
        <f>[3]CZ_decarb_opex!P103</f>
        <v>7.4545739663570798E-6</v>
      </c>
      <c r="BT103" s="188">
        <f>[3]CZ_decarb_opex!Q103</f>
        <v>6.5837920458583699E-6</v>
      </c>
      <c r="BU103" s="188">
        <f>[3]CZ_decarb_opex!R103</f>
        <v>1.5339128785290201E-6</v>
      </c>
      <c r="BV103" s="188">
        <f>[3]CZ_decarb_opex!S103</f>
        <v>1.5339128785290301E-6</v>
      </c>
      <c r="BW103" s="188">
        <f>[3]CZ_decarb_opex!T103</f>
        <v>2.43857467993004E-5</v>
      </c>
      <c r="BX103" s="188">
        <f>[3]CZ_decarb_opex!U103</f>
        <v>2.82229570066155E-7</v>
      </c>
      <c r="BY103" s="188">
        <f>[3]CZ_decarb_opex!V103</f>
        <v>1.2671156162909099E-5</v>
      </c>
      <c r="BZ103" s="188">
        <f>[2]CZ_decarbplus_opex!BC103</f>
        <v>9.38E-6</v>
      </c>
      <c r="CA103" s="188">
        <f>[2]CZ_decarbplus_opex!BD103</f>
        <v>3.9199999999999997E-5</v>
      </c>
      <c r="CB103" s="188">
        <f>[2]CZ_decarbplus_opex!BE103</f>
        <v>1.0200000000000001E-5</v>
      </c>
      <c r="CC103" s="188">
        <f>[2]CZ_decarbplus_opex!BF103</f>
        <v>1.617795E-3</v>
      </c>
      <c r="CD103" s="188">
        <f>[2]CZ_decarbplus_opex!BG103</f>
        <v>1.0681800000000001E-4</v>
      </c>
      <c r="CE103" s="188">
        <f>[2]CZ_decarbplus_opex!BH103</f>
        <v>5.9800000000000003E-6</v>
      </c>
      <c r="CF103" s="188">
        <f>[2]CZ_decarbplus_opex!BI103</f>
        <v>6.5100000000000004E-6</v>
      </c>
      <c r="CG103" s="188">
        <f>[2]CZ_decarbplus_opex!BJ103</f>
        <v>1.2300000000000001E-5</v>
      </c>
    </row>
    <row r="104" spans="1:85" x14ac:dyDescent="0.25">
      <c r="A104" s="1" t="s">
        <v>12</v>
      </c>
      <c r="B104" s="2" t="s">
        <v>13</v>
      </c>
      <c r="C104" s="1" t="s">
        <v>330</v>
      </c>
      <c r="D104" s="187">
        <f>[2]CZ_decarbplus_opex!B104</f>
        <v>1.3159200000000001E-4</v>
      </c>
      <c r="E104" s="187">
        <f>[2]CZ_decarbplus_opex!C104</f>
        <v>2.0636999999999999E-4</v>
      </c>
      <c r="F104" s="187">
        <f>[2]CZ_decarbplus_opex!D104</f>
        <v>1.08961E-4</v>
      </c>
      <c r="G104" s="187">
        <f>[2]CZ_decarbplus_opex!E104</f>
        <v>1.77E-5</v>
      </c>
      <c r="H104" s="187">
        <f>[2]CZ_decarbplus_opex!F104</f>
        <v>3.7100000000000001E-5</v>
      </c>
      <c r="I104" s="187">
        <f>[2]CZ_decarbplus_opex!G104</f>
        <v>6.5478900000000002E-4</v>
      </c>
      <c r="J104" s="187">
        <f>[2]CZ_decarbplus_opex!H104</f>
        <v>2.67446E-3</v>
      </c>
      <c r="K104" s="187">
        <f>[2]CZ_decarbplus_opex!I104</f>
        <v>5.4799999999999997E-5</v>
      </c>
      <c r="L104" s="187">
        <f>[2]CZ_decarbplus_opex!J104</f>
        <v>2.4587799999999999E-4</v>
      </c>
      <c r="M104" s="187">
        <f>[2]CZ_decarbplus_opex!K104</f>
        <v>8.5206500000000005E-4</v>
      </c>
      <c r="N104" s="187">
        <f>[2]CZ_decarbplus_opex!L104</f>
        <v>3.61131E-4</v>
      </c>
      <c r="O104" s="187">
        <f>[2]CZ_decarbplus_opex!M104</f>
        <v>2.2488599999999999E-4</v>
      </c>
      <c r="P104" s="187">
        <f>[2]CZ_decarbplus_opex!N104</f>
        <v>1.6166500000000001E-3</v>
      </c>
      <c r="Q104" s="187">
        <f>[2]CZ_decarbplus_opex!O104</f>
        <v>1.3506530000000001E-3</v>
      </c>
      <c r="R104" s="187">
        <f>[2]CZ_decarbplus_opex!P104</f>
        <v>7.75E-5</v>
      </c>
      <c r="S104" s="187">
        <f>[2]CZ_decarbplus_opex!Q104</f>
        <v>8.3496000000000004E-4</v>
      </c>
      <c r="T104" s="187">
        <f>[2]CZ_decarbplus_opex!R104</f>
        <v>8.65221E-4</v>
      </c>
      <c r="U104" s="187">
        <f>[2]CZ_decarbplus_opex!S104</f>
        <v>3.3113589999999998E-3</v>
      </c>
      <c r="V104" s="187">
        <f>[2]CZ_decarbplus_opex!T104</f>
        <v>1.71003E-3</v>
      </c>
      <c r="W104" s="187">
        <f>[2]CZ_decarbplus_opex!U104</f>
        <v>6.4930399999999996E-4</v>
      </c>
      <c r="X104" s="187">
        <f>[2]CZ_decarbplus_opex!V104</f>
        <v>4.4107599999999999E-4</v>
      </c>
      <c r="Y104" s="187">
        <f>[2]CZ_decarbplus_opex!W104</f>
        <v>2.5293149999999999E-3</v>
      </c>
      <c r="Z104" s="187">
        <f>[2]CZ_decarbplus_opex!X104</f>
        <v>5.5662970000000004E-3</v>
      </c>
      <c r="AA104" s="187">
        <f>[2]CZ_decarbplus_opex!Y104</f>
        <v>7.8399999999999995E-5</v>
      </c>
      <c r="AB104" s="188">
        <f>[3]CZ_decarb_opex!B104</f>
        <v>6.1171648027476502E-5</v>
      </c>
      <c r="AC104" s="188">
        <f>[3]CZ_decarb_opex!C104</f>
        <v>3.1907494513485002E-4</v>
      </c>
      <c r="AD104" s="188">
        <f>[3]CZ_decarb_opex!D104</f>
        <v>5.3236548635258595E-4</v>
      </c>
      <c r="AE104" s="188">
        <f>[2]CZ_decarbplus_opex!Z104</f>
        <v>5.7953499999999995E-4</v>
      </c>
      <c r="AF104" s="188">
        <f>[2]CZ_decarbplus_opex!AA104</f>
        <v>1.5575599999999999E-3</v>
      </c>
      <c r="AG104" s="188">
        <f>[2]CZ_decarbplus_opex!AB104</f>
        <v>3.7638100000000001E-4</v>
      </c>
      <c r="AH104" s="188">
        <f>[2]CZ_decarbplus_opex!AC104</f>
        <v>3.10107E-4</v>
      </c>
      <c r="AI104" s="188">
        <f>[2]CZ_decarbplus_opex!AD104</f>
        <v>7.7879399999999997E-4</v>
      </c>
      <c r="AJ104" s="188">
        <f>[2]CZ_decarbplus_opex!AE104</f>
        <v>4.0116499999999999E-4</v>
      </c>
      <c r="AK104" s="188">
        <f>[2]CZ_decarbplus_opex!AF104</f>
        <v>3.9632900000000001E-4</v>
      </c>
      <c r="AL104" s="188">
        <f>[3]CZ_decarb_opex!E104</f>
        <v>9.789230328172431E-4</v>
      </c>
      <c r="AM104" s="188">
        <f>[3]CZ_decarb_opex!F104</f>
        <v>4.4417351056326801E-4</v>
      </c>
      <c r="AN104" s="188">
        <f>[2]CZ_decarbplus_opex!AG104</f>
        <v>1.26775E-3</v>
      </c>
      <c r="AO104" s="188">
        <f>[3]CZ_decarb_opex!G104</f>
        <v>2.42048182205621E-4</v>
      </c>
      <c r="AP104" s="188">
        <f>[3]CZ_decarb_opex!H104</f>
        <v>1.0409959591858101E-3</v>
      </c>
      <c r="AQ104" s="188">
        <f>[2]CZ_decarbplus_opex!AH104</f>
        <v>1.4248200000000001E-4</v>
      </c>
      <c r="AR104" s="188">
        <f>[2]CZ_decarbplus_opex!AI104</f>
        <v>0</v>
      </c>
      <c r="AS104" s="188">
        <f>[2]CZ_decarbplus_opex!AJ104</f>
        <v>8.9841499999999996E-4</v>
      </c>
      <c r="AT104" s="188">
        <f>[2]CZ_decarbplus_opex!AK104</f>
        <v>8.4699999999999999E-5</v>
      </c>
      <c r="AU104" s="188">
        <f>[2]CZ_decarbplus_opex!AL104</f>
        <v>5.5300000000000002E-5</v>
      </c>
      <c r="AV104" s="188">
        <f>[2]CZ_decarbplus_opex!AM104</f>
        <v>3.7799999999999997E-5</v>
      </c>
      <c r="AW104" s="188">
        <f>[2]CZ_decarbplus_opex!AN104</f>
        <v>1.2945799999999999E-4</v>
      </c>
      <c r="AX104" s="188">
        <f>[2]CZ_decarbplus_opex!AO104</f>
        <v>0</v>
      </c>
      <c r="AY104" s="188">
        <f>[2]CZ_decarbplus_opex!AP104</f>
        <v>2.4476599999999999E-4</v>
      </c>
      <c r="AZ104" s="188">
        <f>[2]CZ_decarbplus_opex!AQ104</f>
        <v>0</v>
      </c>
      <c r="BA104" s="188">
        <f>[2]CZ_decarbplus_opex!AR104</f>
        <v>8.6199999999999995E-5</v>
      </c>
      <c r="BB104" s="188">
        <f>[2]CZ_decarbplus_opex!AS104</f>
        <v>5.1333599999999998E-4</v>
      </c>
      <c r="BC104" s="188">
        <f>[2]CZ_decarbplus_opex!AT104</f>
        <v>8.7532099999999998E-4</v>
      </c>
      <c r="BD104" s="188">
        <f>[2]CZ_decarbplus_opex!AU104</f>
        <v>4.4400000000000002E-5</v>
      </c>
      <c r="BE104" s="188">
        <f>[2]CZ_decarbplus_opex!AV104</f>
        <v>5.3711600000000003E-4</v>
      </c>
      <c r="BF104" s="188">
        <f>[2]CZ_decarbplus_opex!AW104</f>
        <v>1.2824099999999999E-4</v>
      </c>
      <c r="BG104" s="188">
        <f>[2]CZ_decarbplus_opex!AX104</f>
        <v>1.103487E-3</v>
      </c>
      <c r="BH104" s="188">
        <f>[3]CZ_decarb_opex!I104</f>
        <v>1.7796016698912599E-4</v>
      </c>
      <c r="BI104" s="188">
        <f>[2]CZ_decarbplus_opex!AY104</f>
        <v>3.00439E-4</v>
      </c>
      <c r="BJ104" s="188">
        <f>[2]CZ_decarbplus_opex!AZ104</f>
        <v>5.6052000000000001E-4</v>
      </c>
      <c r="BK104" s="188">
        <f>[2]CZ_decarbplus_opex!BA104</f>
        <v>1.8005199999999999E-4</v>
      </c>
      <c r="BL104" s="188">
        <f>[2]CZ_decarbplus_opex!BB104</f>
        <v>0</v>
      </c>
      <c r="BM104" s="188">
        <f>[3]CZ_decarb_opex!J104</f>
        <v>4.9219570414099599E-5</v>
      </c>
      <c r="BN104" s="188">
        <f>[3]CZ_decarb_opex!K104</f>
        <v>6.8056238741679706E-5</v>
      </c>
      <c r="BO104" s="188">
        <f>[3]CZ_decarb_opex!L104</f>
        <v>1.6237821031665601E-5</v>
      </c>
      <c r="BP104" s="188">
        <f>[3]CZ_decarb_opex!M104</f>
        <v>2.9707768620171099E-5</v>
      </c>
      <c r="BQ104" s="188">
        <f>[3]CZ_decarb_opex!N104</f>
        <v>3.31850212466671E-5</v>
      </c>
      <c r="BR104" s="188">
        <f>[3]CZ_decarb_opex!O104</f>
        <v>3.1847587090800998E-5</v>
      </c>
      <c r="BS104" s="188">
        <f>[3]CZ_decarb_opex!P104</f>
        <v>7.2020617487036497E-5</v>
      </c>
      <c r="BT104" s="188">
        <f>[3]CZ_decarb_opex!Q104</f>
        <v>7.6389029008288393E-6</v>
      </c>
      <c r="BU104" s="188">
        <f>[3]CZ_decarb_opex!R104</f>
        <v>2.76980504104791E-5</v>
      </c>
      <c r="BV104" s="188">
        <f>[3]CZ_decarb_opex!S104</f>
        <v>2.7698050410479202E-5</v>
      </c>
      <c r="BW104" s="188">
        <f>[3]CZ_decarb_opex!T104</f>
        <v>7.5338154761772099E-6</v>
      </c>
      <c r="BX104" s="188">
        <f>[3]CZ_decarb_opex!U104</f>
        <v>5.22621742982634E-7</v>
      </c>
      <c r="BY104" s="188">
        <f>[3]CZ_decarb_opex!V104</f>
        <v>6.8488631211214596E-6</v>
      </c>
      <c r="BZ104" s="188">
        <f>[2]CZ_decarbplus_opex!BC104</f>
        <v>4.2400000000000001E-5</v>
      </c>
      <c r="CA104" s="188">
        <f>[2]CZ_decarbplus_opex!BD104</f>
        <v>4.0750309999999998E-3</v>
      </c>
      <c r="CB104" s="188">
        <f>[2]CZ_decarbplus_opex!BE104</f>
        <v>3.6016149999999999E-3</v>
      </c>
      <c r="CC104" s="188">
        <f>[2]CZ_decarbplus_opex!BF104</f>
        <v>3.9535528E-2</v>
      </c>
      <c r="CD104" s="188">
        <f>[2]CZ_decarbplus_opex!BG104</f>
        <v>1.9673669999999998E-3</v>
      </c>
      <c r="CE104" s="188">
        <f>[2]CZ_decarbplus_opex!BH104</f>
        <v>3.7659999999999999E-4</v>
      </c>
      <c r="CF104" s="188">
        <f>[2]CZ_decarbplus_opex!BI104</f>
        <v>1.54535E-4</v>
      </c>
      <c r="CG104" s="188">
        <f>[2]CZ_decarbplus_opex!BJ104</f>
        <v>4.1899800000000002E-4</v>
      </c>
    </row>
    <row r="105" spans="1:85" x14ac:dyDescent="0.25">
      <c r="A105" s="1" t="s">
        <v>340</v>
      </c>
      <c r="B105" s="2" t="s">
        <v>338</v>
      </c>
      <c r="C105" s="1" t="s">
        <v>330</v>
      </c>
      <c r="D105" s="187">
        <f>[2]CZ_decarbplus_opex!B105</f>
        <v>2.87E-5</v>
      </c>
      <c r="E105" s="187">
        <f>[2]CZ_decarbplus_opex!C105</f>
        <v>4.6499999999999999E-5</v>
      </c>
      <c r="F105" s="187">
        <f>[2]CZ_decarbplus_opex!D105</f>
        <v>2.8600000000000001E-5</v>
      </c>
      <c r="G105" s="187">
        <f>[2]CZ_decarbplus_opex!E105</f>
        <v>3.3000000000000002E-6</v>
      </c>
      <c r="H105" s="187">
        <f>[2]CZ_decarbplus_opex!F105</f>
        <v>8.4600000000000003E-6</v>
      </c>
      <c r="I105" s="187">
        <f>[2]CZ_decarbplus_opex!G105</f>
        <v>1.4426599999999999E-4</v>
      </c>
      <c r="J105" s="187">
        <f>[2]CZ_decarbplus_opex!H105</f>
        <v>5.8767100000000001E-4</v>
      </c>
      <c r="K105" s="187">
        <f>[2]CZ_decarbplus_opex!I105</f>
        <v>1.08E-5</v>
      </c>
      <c r="L105" s="187">
        <f>[2]CZ_decarbplus_opex!J105</f>
        <v>5.5999999999999999E-5</v>
      </c>
      <c r="M105" s="187">
        <f>[2]CZ_decarbplus_opex!K105</f>
        <v>2.01213E-4</v>
      </c>
      <c r="N105" s="187">
        <f>[2]CZ_decarbplus_opex!L105</f>
        <v>8.81E-5</v>
      </c>
      <c r="O105" s="187">
        <f>[2]CZ_decarbplus_opex!M105</f>
        <v>5.91E-5</v>
      </c>
      <c r="P105" s="187">
        <f>[2]CZ_decarbplus_opex!N105</f>
        <v>4.7193199999999999E-4</v>
      </c>
      <c r="Q105" s="187">
        <f>[2]CZ_decarbplus_opex!O105</f>
        <v>5.2879000000000001E-4</v>
      </c>
      <c r="R105" s="187">
        <f>[2]CZ_decarbplus_opex!P105</f>
        <v>2.37E-5</v>
      </c>
      <c r="S105" s="187">
        <f>[2]CZ_decarbplus_opex!Q105</f>
        <v>2.3050699999999999E-4</v>
      </c>
      <c r="T105" s="187">
        <f>[2]CZ_decarbplus_opex!R105</f>
        <v>2.3484800000000001E-4</v>
      </c>
      <c r="U105" s="187">
        <f>[2]CZ_decarbplus_opex!S105</f>
        <v>7.5236200000000002E-4</v>
      </c>
      <c r="V105" s="187">
        <f>[2]CZ_decarbplus_opex!T105</f>
        <v>3.58205E-4</v>
      </c>
      <c r="W105" s="187">
        <f>[2]CZ_decarbplus_opex!U105</f>
        <v>1.9051100000000001E-4</v>
      </c>
      <c r="X105" s="187">
        <f>[2]CZ_decarbplus_opex!V105</f>
        <v>1.1086699999999999E-4</v>
      </c>
      <c r="Y105" s="187">
        <f>[2]CZ_decarbplus_opex!W105</f>
        <v>3.2062399999999998E-4</v>
      </c>
      <c r="Z105" s="187">
        <f>[2]CZ_decarbplus_opex!X105</f>
        <v>6.5712599999999996E-4</v>
      </c>
      <c r="AA105" s="187">
        <f>[2]CZ_decarbplus_opex!Y105</f>
        <v>1.26E-5</v>
      </c>
      <c r="AB105" s="188">
        <f>[3]CZ_decarb_opex!B105</f>
        <v>9.8509742840008501E-6</v>
      </c>
      <c r="AC105" s="188">
        <f>[3]CZ_decarb_opex!C105</f>
        <v>7.8473144864104794E-5</v>
      </c>
      <c r="AD105" s="188">
        <f>[3]CZ_decarb_opex!D105</f>
        <v>1.2474597341853799E-4</v>
      </c>
      <c r="AE105" s="188">
        <f>[2]CZ_decarbplus_opex!Z105</f>
        <v>1.2244099999999999E-4</v>
      </c>
      <c r="AF105" s="188">
        <f>[2]CZ_decarbplus_opex!AA105</f>
        <v>4.4308200000000002E-4</v>
      </c>
      <c r="AG105" s="188">
        <f>[2]CZ_decarbplus_opex!AB105</f>
        <v>1.2504500000000001E-4</v>
      </c>
      <c r="AH105" s="188">
        <f>[2]CZ_decarbplus_opex!AC105</f>
        <v>7.1799999999999997E-5</v>
      </c>
      <c r="AI105" s="188">
        <f>[2]CZ_decarbplus_opex!AD105</f>
        <v>1.8995000000000001E-4</v>
      </c>
      <c r="AJ105" s="188">
        <f>[2]CZ_decarbplus_opex!AE105</f>
        <v>4.2899999999999999E-5</v>
      </c>
      <c r="AK105" s="188">
        <f>[2]CZ_decarbplus_opex!AF105</f>
        <v>9.2499999999999999E-5</v>
      </c>
      <c r="AL105" s="188">
        <f>[3]CZ_decarb_opex!E105</f>
        <v>2.36765489565554E-4</v>
      </c>
      <c r="AM105" s="188">
        <f>[3]CZ_decarb_opex!F105</f>
        <v>1.0360380788966E-4</v>
      </c>
      <c r="AN105" s="188">
        <f>[2]CZ_decarbplus_opex!AG105</f>
        <v>3.6151899999999998E-4</v>
      </c>
      <c r="AO105" s="188">
        <f>[3]CZ_decarb_opex!G105</f>
        <v>7.4704670047328204E-5</v>
      </c>
      <c r="AP105" s="188">
        <f>[3]CZ_decarb_opex!H105</f>
        <v>3.3074452182893499E-4</v>
      </c>
      <c r="AQ105" s="188">
        <f>[2]CZ_decarbplus_opex!AH105</f>
        <v>4.1399999999999997E-5</v>
      </c>
      <c r="AR105" s="188">
        <f>[2]CZ_decarbplus_opex!AI105</f>
        <v>0</v>
      </c>
      <c r="AS105" s="188">
        <f>[2]CZ_decarbplus_opex!AJ105</f>
        <v>2.75543E-4</v>
      </c>
      <c r="AT105" s="188">
        <f>[2]CZ_decarbplus_opex!AK105</f>
        <v>1.73E-5</v>
      </c>
      <c r="AU105" s="188">
        <f>[2]CZ_decarbplus_opex!AL105</f>
        <v>5.66E-6</v>
      </c>
      <c r="AV105" s="188">
        <f>[2]CZ_decarbplus_opex!AM105</f>
        <v>3.1599999999999998E-6</v>
      </c>
      <c r="AW105" s="188">
        <f>[2]CZ_decarbplus_opex!AN105</f>
        <v>3.57E-5</v>
      </c>
      <c r="AX105" s="188">
        <f>[2]CZ_decarbplus_opex!AO105</f>
        <v>0</v>
      </c>
      <c r="AY105" s="188">
        <f>[2]CZ_decarbplus_opex!AP105</f>
        <v>7.8399999999999995E-5</v>
      </c>
      <c r="AZ105" s="188">
        <f>[2]CZ_decarbplus_opex!AQ105</f>
        <v>0</v>
      </c>
      <c r="BA105" s="188">
        <f>[2]CZ_decarbplus_opex!AR105</f>
        <v>2.1299999999999999E-5</v>
      </c>
      <c r="BB105" s="188">
        <f>[2]CZ_decarbplus_opex!AS105</f>
        <v>1.4376699999999999E-4</v>
      </c>
      <c r="BC105" s="188">
        <f>[2]CZ_decarbplus_opex!AT105</f>
        <v>2.5259000000000002E-4</v>
      </c>
      <c r="BD105" s="188">
        <f>[2]CZ_decarbplus_opex!AU105</f>
        <v>9.6500000000000008E-6</v>
      </c>
      <c r="BE105" s="188">
        <f>[2]CZ_decarbplus_opex!AV105</f>
        <v>1.4544100000000001E-4</v>
      </c>
      <c r="BF105" s="188">
        <f>[2]CZ_decarbplus_opex!AW105</f>
        <v>3.8099999999999998E-5</v>
      </c>
      <c r="BG105" s="188">
        <f>[2]CZ_decarbplus_opex!AX105</f>
        <v>3.9050100000000002E-4</v>
      </c>
      <c r="BH105" s="188">
        <f>[3]CZ_decarb_opex!I105</f>
        <v>4.6156623488737801E-5</v>
      </c>
      <c r="BI105" s="188">
        <f>[2]CZ_decarbplus_opex!AY105</f>
        <v>8.9800000000000001E-5</v>
      </c>
      <c r="BJ105" s="188">
        <f>[2]CZ_decarbplus_opex!AZ105</f>
        <v>1.87011E-4</v>
      </c>
      <c r="BK105" s="188">
        <f>[2]CZ_decarbplus_opex!BA105</f>
        <v>4.5000000000000003E-5</v>
      </c>
      <c r="BL105" s="188">
        <f>[2]CZ_decarbplus_opex!BB105</f>
        <v>0</v>
      </c>
      <c r="BM105" s="188">
        <f>[3]CZ_decarb_opex!J105</f>
        <v>7.3175954428389101E-6</v>
      </c>
      <c r="BN105" s="188">
        <f>[3]CZ_decarb_opex!K105</f>
        <v>1.0969799370608301E-5</v>
      </c>
      <c r="BO105" s="188">
        <f>[3]CZ_decarb_opex!L105</f>
        <v>2.5020293226442801E-6</v>
      </c>
      <c r="BP105" s="188">
        <f>[3]CZ_decarb_opex!M105</f>
        <v>5.1153043173806399E-6</v>
      </c>
      <c r="BQ105" s="188">
        <f>[3]CZ_decarb_opex!N105</f>
        <v>6.2866686897159602E-6</v>
      </c>
      <c r="BR105" s="188">
        <f>[3]CZ_decarb_opex!O105</f>
        <v>4.9676368070355897E-6</v>
      </c>
      <c r="BS105" s="188">
        <f>[3]CZ_decarb_opex!P105</f>
        <v>1.1196199732864201E-5</v>
      </c>
      <c r="BT105" s="188">
        <f>[3]CZ_decarb_opex!Q105</f>
        <v>4.3521133923624599E-7</v>
      </c>
      <c r="BU105" s="188">
        <f>[3]CZ_decarb_opex!R105</f>
        <v>4.1843232825974304E-6</v>
      </c>
      <c r="BV105" s="188">
        <f>[3]CZ_decarb_opex!S105</f>
        <v>4.1843232825974397E-6</v>
      </c>
      <c r="BW105" s="188">
        <f>[3]CZ_decarb_opex!T105</f>
        <v>1.57625790016914E-6</v>
      </c>
      <c r="BX105" s="188">
        <f>[3]CZ_decarb_opex!U105</f>
        <v>1.63786029178587E-7</v>
      </c>
      <c r="BY105" s="188">
        <f>[3]CZ_decarb_opex!V105</f>
        <v>1.60688724913883E-6</v>
      </c>
      <c r="BZ105" s="188">
        <f>[2]CZ_decarbplus_opex!BC105</f>
        <v>6.7499999999999997E-6</v>
      </c>
      <c r="CA105" s="188">
        <f>[2]CZ_decarbplus_opex!BD105</f>
        <v>1.033391E-3</v>
      </c>
      <c r="CB105" s="188">
        <f>[2]CZ_decarbplus_opex!BE105</f>
        <v>7.9407000000000002E-4</v>
      </c>
      <c r="CC105" s="188">
        <f>[2]CZ_decarbplus_opex!BF105</f>
        <v>3.887691E-3</v>
      </c>
      <c r="CD105" s="188">
        <f>[2]CZ_decarbplus_opex!BG105</f>
        <v>8.8400000000000001E-6</v>
      </c>
      <c r="CE105" s="188">
        <f>[2]CZ_decarbplus_opex!BH105</f>
        <v>8.9400000000000005E-5</v>
      </c>
      <c r="CF105" s="188">
        <f>[2]CZ_decarbplus_opex!BI105</f>
        <v>3.6900000000000002E-5</v>
      </c>
      <c r="CG105" s="188">
        <f>[2]CZ_decarbplus_opex!BJ105</f>
        <v>1.08449E-4</v>
      </c>
    </row>
    <row r="106" spans="1:85" x14ac:dyDescent="0.25">
      <c r="A106" s="1" t="s">
        <v>341</v>
      </c>
      <c r="B106" s="2" t="s">
        <v>339</v>
      </c>
      <c r="C106" s="1" t="s">
        <v>330</v>
      </c>
      <c r="D106" s="187">
        <f>[2]CZ_decarbplus_opex!B106</f>
        <v>1.5E-5</v>
      </c>
      <c r="E106" s="187">
        <f>[2]CZ_decarbplus_opex!C106</f>
        <v>2.4499999999999999E-5</v>
      </c>
      <c r="F106" s="187">
        <f>[2]CZ_decarbplus_opex!D106</f>
        <v>1.5099999999999999E-5</v>
      </c>
      <c r="G106" s="187">
        <f>[2]CZ_decarbplus_opex!E106</f>
        <v>1.72E-6</v>
      </c>
      <c r="H106" s="187">
        <f>[2]CZ_decarbplus_opex!F106</f>
        <v>4.4499999999999997E-6</v>
      </c>
      <c r="I106" s="187">
        <f>[2]CZ_decarbplus_opex!G106</f>
        <v>7.6299999999999998E-5</v>
      </c>
      <c r="J106" s="187">
        <f>[2]CZ_decarbplus_opex!H106</f>
        <v>3.1063800000000002E-4</v>
      </c>
      <c r="K106" s="187">
        <f>[2]CZ_decarbplus_opex!I106</f>
        <v>5.6500000000000001E-6</v>
      </c>
      <c r="L106" s="187">
        <f>[2]CZ_decarbplus_opex!J106</f>
        <v>2.9600000000000001E-5</v>
      </c>
      <c r="M106" s="187">
        <f>[2]CZ_decarbplus_opex!K106</f>
        <v>1.06483E-4</v>
      </c>
      <c r="N106" s="187">
        <f>[2]CZ_decarbplus_opex!L106</f>
        <v>4.6100000000000002E-5</v>
      </c>
      <c r="O106" s="187">
        <f>[2]CZ_decarbplus_opex!M106</f>
        <v>3.1099999999999997E-5</v>
      </c>
      <c r="P106" s="187">
        <f>[2]CZ_decarbplus_opex!N106</f>
        <v>2.4963600000000002E-4</v>
      </c>
      <c r="Q106" s="187">
        <f>[2]CZ_decarbplus_opex!O106</f>
        <v>2.79609E-4</v>
      </c>
      <c r="R106" s="187">
        <f>[2]CZ_decarbplus_opex!P106</f>
        <v>1.26E-5</v>
      </c>
      <c r="S106" s="187">
        <f>[2]CZ_decarbplus_opex!Q106</f>
        <v>1.21922E-4</v>
      </c>
      <c r="T106" s="187">
        <f>[2]CZ_decarbplus_opex!R106</f>
        <v>1.24194E-4</v>
      </c>
      <c r="U106" s="187">
        <f>[2]CZ_decarbplus_opex!S106</f>
        <v>3.9785200000000003E-4</v>
      </c>
      <c r="V106" s="187">
        <f>[2]CZ_decarbplus_opex!T106</f>
        <v>1.8934299999999999E-4</v>
      </c>
      <c r="W106" s="187">
        <f>[2]CZ_decarbplus_opex!U106</f>
        <v>1.0076100000000001E-4</v>
      </c>
      <c r="X106" s="187">
        <f>[2]CZ_decarbplus_opex!V106</f>
        <v>5.8600000000000001E-5</v>
      </c>
      <c r="Y106" s="187">
        <f>[2]CZ_decarbplus_opex!W106</f>
        <v>1.69536E-4</v>
      </c>
      <c r="Z106" s="187">
        <f>[2]CZ_decarbplus_opex!X106</f>
        <v>3.4743099999999999E-4</v>
      </c>
      <c r="AA106" s="187">
        <f>[2]CZ_decarbplus_opex!Y106</f>
        <v>6.55E-6</v>
      </c>
      <c r="AB106" s="188">
        <f>[3]CZ_decarb_opex!B106</f>
        <v>3.2366965306455799E-6</v>
      </c>
      <c r="AC106" s="188">
        <f>[3]CZ_decarb_opex!C106</f>
        <v>3.9625853836620697E-5</v>
      </c>
      <c r="AD106" s="188">
        <f>[3]CZ_decarb_opex!D106</f>
        <v>6.5658863174722495E-5</v>
      </c>
      <c r="AE106" s="188">
        <f>[2]CZ_decarbplus_opex!Z106</f>
        <v>6.4599999999999998E-5</v>
      </c>
      <c r="AF106" s="188">
        <f>[2]CZ_decarbplus_opex!AA106</f>
        <v>2.34436E-4</v>
      </c>
      <c r="AG106" s="188">
        <f>[2]CZ_decarbplus_opex!AB106</f>
        <v>6.6199999999999996E-5</v>
      </c>
      <c r="AH106" s="188">
        <f>[2]CZ_decarbplus_opex!AC106</f>
        <v>3.8000000000000002E-5</v>
      </c>
      <c r="AI106" s="188">
        <f>[2]CZ_decarbplus_opex!AD106</f>
        <v>1.00413E-4</v>
      </c>
      <c r="AJ106" s="188">
        <f>[2]CZ_decarbplus_opex!AE106</f>
        <v>2.27E-5</v>
      </c>
      <c r="AK106" s="188">
        <f>[2]CZ_decarbplus_opex!AF106</f>
        <v>4.8699999999999998E-5</v>
      </c>
      <c r="AL106" s="188">
        <f>[3]CZ_decarb_opex!E106</f>
        <v>1.2517820002296901E-4</v>
      </c>
      <c r="AM106" s="188">
        <f>[3]CZ_decarb_opex!F106</f>
        <v>5.4638240587505797E-5</v>
      </c>
      <c r="AN106" s="188">
        <f>[2]CZ_decarbplus_opex!AG106</f>
        <v>1.9116599999999999E-4</v>
      </c>
      <c r="AO106" s="188">
        <f>[3]CZ_decarb_opex!G106</f>
        <v>3.9476265143633502E-5</v>
      </c>
      <c r="AP106" s="188">
        <f>[3]CZ_decarb_opex!H106</f>
        <v>1.7480100000861001E-4</v>
      </c>
      <c r="AQ106" s="188">
        <f>[2]CZ_decarbplus_opex!AH106</f>
        <v>2.1800000000000001E-5</v>
      </c>
      <c r="AR106" s="188">
        <f>[2]CZ_decarbplus_opex!AI106</f>
        <v>0</v>
      </c>
      <c r="AS106" s="188">
        <f>[2]CZ_decarbplus_opex!AJ106</f>
        <v>1.45618E-4</v>
      </c>
      <c r="AT106" s="188">
        <f>[2]CZ_decarbplus_opex!AK106</f>
        <v>9.1200000000000008E-6</v>
      </c>
      <c r="AU106" s="188">
        <f>[2]CZ_decarbplus_opex!AL106</f>
        <v>2.8700000000000001E-6</v>
      </c>
      <c r="AV106" s="188">
        <f>[2]CZ_decarbplus_opex!AM106</f>
        <v>1.5200000000000001E-6</v>
      </c>
      <c r="AW106" s="188">
        <f>[2]CZ_decarbplus_opex!AN106</f>
        <v>1.88E-5</v>
      </c>
      <c r="AX106" s="188">
        <f>[2]CZ_decarbplus_opex!AO106</f>
        <v>0</v>
      </c>
      <c r="AY106" s="188">
        <f>[2]CZ_decarbplus_opex!AP106</f>
        <v>4.1300000000000001E-5</v>
      </c>
      <c r="AZ106" s="188">
        <f>[2]CZ_decarbplus_opex!AQ106</f>
        <v>0</v>
      </c>
      <c r="BA106" s="188">
        <f>[2]CZ_decarbplus_opex!AR106</f>
        <v>1.1199999999999999E-5</v>
      </c>
      <c r="BB106" s="188">
        <f>[2]CZ_decarbplus_opex!AS106</f>
        <v>7.6100000000000007E-5</v>
      </c>
      <c r="BC106" s="188">
        <f>[2]CZ_decarbplus_opex!AT106</f>
        <v>1.34358E-4</v>
      </c>
      <c r="BD106" s="188">
        <f>[2]CZ_decarbplus_opex!AU106</f>
        <v>6.1999999999999999E-6</v>
      </c>
      <c r="BE106" s="188">
        <f>[2]CZ_decarbplus_opex!AV106</f>
        <v>7.8200000000000003E-5</v>
      </c>
      <c r="BF106" s="188">
        <f>[2]CZ_decarbplus_opex!AW106</f>
        <v>2.0400000000000001E-5</v>
      </c>
      <c r="BG106" s="188">
        <f>[2]CZ_decarbplus_opex!AX106</f>
        <v>2.0661200000000001E-4</v>
      </c>
      <c r="BH106" s="188">
        <f>[3]CZ_decarb_opex!I106</f>
        <v>2.4905623271607702E-5</v>
      </c>
      <c r="BI106" s="188">
        <f>[2]CZ_decarbplus_opex!AY106</f>
        <v>4.7800000000000003E-5</v>
      </c>
      <c r="BJ106" s="188">
        <f>[2]CZ_decarbplus_opex!AZ106</f>
        <v>9.8900000000000005E-5</v>
      </c>
      <c r="BK106" s="188">
        <f>[2]CZ_decarbplus_opex!BA106</f>
        <v>2.3799999999999999E-5</v>
      </c>
      <c r="BL106" s="188">
        <f>[2]CZ_decarbplus_opex!BB106</f>
        <v>0</v>
      </c>
      <c r="BM106" s="188">
        <f>[3]CZ_decarb_opex!J106</f>
        <v>4.0866358473783604E-6</v>
      </c>
      <c r="BN106" s="188">
        <f>[3]CZ_decarb_opex!K106</f>
        <v>6.0304705138217297E-6</v>
      </c>
      <c r="BO106" s="188">
        <f>[3]CZ_decarb_opex!L106</f>
        <v>1.3680766769776799E-6</v>
      </c>
      <c r="BP106" s="188">
        <f>[3]CZ_decarb_opex!M106</f>
        <v>2.2999022576593502E-6</v>
      </c>
      <c r="BQ106" s="188">
        <f>[3]CZ_decarb_opex!N106</f>
        <v>2.7916364135244501E-6</v>
      </c>
      <c r="BR106" s="188">
        <f>[3]CZ_decarb_opex!O106</f>
        <v>1.2677775618125299E-5</v>
      </c>
      <c r="BS106" s="188">
        <f>[3]CZ_decarb_opex!P106</f>
        <v>5.7370339799257003E-6</v>
      </c>
      <c r="BT106" s="188">
        <f>[3]CZ_decarb_opex!Q106</f>
        <v>5.5174522588964505E-7</v>
      </c>
      <c r="BU106" s="188">
        <f>[3]CZ_decarb_opex!R106</f>
        <v>2.30784782207681E-6</v>
      </c>
      <c r="BV106" s="188">
        <f>[3]CZ_decarb_opex!S106</f>
        <v>2.3078478220768202E-6</v>
      </c>
      <c r="BW106" s="188">
        <f>[3]CZ_decarb_opex!T106</f>
        <v>2.4899076663526301E-6</v>
      </c>
      <c r="BX106" s="188">
        <f>[3]CZ_decarb_opex!U106</f>
        <v>6.84749441285248E-8</v>
      </c>
      <c r="BY106" s="188">
        <f>[3]CZ_decarb_opex!V106</f>
        <v>8.0589234711712495E-8</v>
      </c>
      <c r="BZ106" s="188">
        <f>[2]CZ_decarbplus_opex!BC106</f>
        <v>3.5700000000000001E-6</v>
      </c>
      <c r="CA106" s="188">
        <f>[2]CZ_decarbplus_opex!BD106</f>
        <v>5.4651299999999999E-4</v>
      </c>
      <c r="CB106" s="188">
        <f>[2]CZ_decarbplus_opex!BE106</f>
        <v>4.2002199999999998E-4</v>
      </c>
      <c r="CC106" s="188">
        <f>[2]CZ_decarbplus_opex!BF106</f>
        <v>2.0558180000000001E-3</v>
      </c>
      <c r="CD106" s="188">
        <f>[2]CZ_decarbplus_opex!BG106</f>
        <v>5.5799999999999999E-6</v>
      </c>
      <c r="CE106" s="188">
        <f>[2]CZ_decarbplus_opex!BH106</f>
        <v>4.7200000000000002E-5</v>
      </c>
      <c r="CF106" s="188">
        <f>[2]CZ_decarbplus_opex!BI106</f>
        <v>1.9599999999999999E-5</v>
      </c>
      <c r="CG106" s="188">
        <f>[2]CZ_decarbplus_opex!BJ106</f>
        <v>5.7099999999999999E-5</v>
      </c>
    </row>
    <row r="107" spans="1:85" x14ac:dyDescent="0.25">
      <c r="A107" s="5" t="s">
        <v>14</v>
      </c>
      <c r="B107" s="2" t="s">
        <v>15</v>
      </c>
      <c r="C107" s="1" t="s">
        <v>330</v>
      </c>
      <c r="D107" s="187">
        <f>[2]CZ_decarbplus_opex!B107</f>
        <v>7.8199999999999999E-9</v>
      </c>
      <c r="E107" s="187">
        <f>[2]CZ_decarbplus_opex!C107</f>
        <v>1.0999999999999999E-9</v>
      </c>
      <c r="F107" s="187">
        <f>[2]CZ_decarbplus_opex!D107</f>
        <v>5.9000000000000003E-10</v>
      </c>
      <c r="G107" s="187">
        <f>[2]CZ_decarbplus_opex!E107</f>
        <v>1.5E-10</v>
      </c>
      <c r="H107" s="187">
        <f>[2]CZ_decarbplus_opex!F107</f>
        <v>2.4599999999999998E-10</v>
      </c>
      <c r="I107" s="187">
        <f>[2]CZ_decarbplus_opex!G107</f>
        <v>1.62E-9</v>
      </c>
      <c r="J107" s="187">
        <f>[2]CZ_decarbplus_opex!H107</f>
        <v>4.9E-9</v>
      </c>
      <c r="K107" s="187">
        <f>[2]CZ_decarbplus_opex!I107</f>
        <v>4.6900000000000003E-10</v>
      </c>
      <c r="L107" s="187">
        <f>[2]CZ_decarbplus_opex!J107</f>
        <v>1.08E-9</v>
      </c>
      <c r="M107" s="187">
        <f>[2]CZ_decarbplus_opex!K107</f>
        <v>2.6299999999999998E-9</v>
      </c>
      <c r="N107" s="187">
        <f>[2]CZ_decarbplus_opex!L107</f>
        <v>1.5300000000000001E-9</v>
      </c>
      <c r="O107" s="187">
        <f>[2]CZ_decarbplus_opex!M107</f>
        <v>2.9499999999999999E-9</v>
      </c>
      <c r="P107" s="187">
        <f>[2]CZ_decarbplus_opex!N107</f>
        <v>2.4699999999999999E-9</v>
      </c>
      <c r="Q107" s="187">
        <f>[2]CZ_decarbplus_opex!O107</f>
        <v>2.3600000000000001E-10</v>
      </c>
      <c r="R107" s="187">
        <f>[2]CZ_decarbplus_opex!P107</f>
        <v>1.37E-9</v>
      </c>
      <c r="S107" s="187">
        <f>[2]CZ_decarbplus_opex!Q107</f>
        <v>1.15E-9</v>
      </c>
      <c r="T107" s="187">
        <f>[2]CZ_decarbplus_opex!R107</f>
        <v>1.4800000000000001E-9</v>
      </c>
      <c r="U107" s="187">
        <f>[2]CZ_decarbplus_opex!S107</f>
        <v>4.0899999999999997E-9</v>
      </c>
      <c r="V107" s="187">
        <f>[2]CZ_decarbplus_opex!T107</f>
        <v>5.8699999999999998E-9</v>
      </c>
      <c r="W107" s="187">
        <f>[2]CZ_decarbplus_opex!U107</f>
        <v>1.1599999999999999E-9</v>
      </c>
      <c r="X107" s="187">
        <f>[2]CZ_decarbplus_opex!V107</f>
        <v>8.7399999999999998E-10</v>
      </c>
      <c r="Y107" s="187">
        <f>[2]CZ_decarbplus_opex!W107</f>
        <v>4.9600000000000004E-10</v>
      </c>
      <c r="Z107" s="187">
        <f>[2]CZ_decarbplus_opex!X107</f>
        <v>2.8699999999999998E-9</v>
      </c>
      <c r="AA107" s="187">
        <f>[2]CZ_decarbplus_opex!Y107</f>
        <v>2.9600000000000001E-9</v>
      </c>
      <c r="AB107" s="188">
        <f>[3]CZ_decarb_opex!B107</f>
        <v>1.51912372898467E-9</v>
      </c>
      <c r="AC107" s="188">
        <f>[3]CZ_decarb_opex!C107</f>
        <v>2.1970401333417899E-9</v>
      </c>
      <c r="AD107" s="188">
        <f>[3]CZ_decarb_opex!D107</f>
        <v>1.9287146365628901E-9</v>
      </c>
      <c r="AE107" s="188">
        <f>[2]CZ_decarbplus_opex!Z107</f>
        <v>1.8199999999999999E-9</v>
      </c>
      <c r="AF107" s="188">
        <f>[2]CZ_decarbplus_opex!AA107</f>
        <v>4.0300000000000004E-9</v>
      </c>
      <c r="AG107" s="188">
        <f>[2]CZ_decarbplus_opex!AB107</f>
        <v>2.0099999999999999E-9</v>
      </c>
      <c r="AH107" s="188">
        <f>[2]CZ_decarbplus_opex!AC107</f>
        <v>8.67E-10</v>
      </c>
      <c r="AI107" s="188">
        <f>[2]CZ_decarbplus_opex!AD107</f>
        <v>1.79E-9</v>
      </c>
      <c r="AJ107" s="188">
        <f>[2]CZ_decarbplus_opex!AE107</f>
        <v>4.7400000000000002E-10</v>
      </c>
      <c r="AK107" s="188">
        <f>[2]CZ_decarbplus_opex!AF107</f>
        <v>1.0399999999999999E-9</v>
      </c>
      <c r="AL107" s="188">
        <f>[3]CZ_decarb_opex!E107</f>
        <v>8.8864751107379097E-10</v>
      </c>
      <c r="AM107" s="188">
        <f>[3]CZ_decarb_opex!F107</f>
        <v>9.6369735256330706E-10</v>
      </c>
      <c r="AN107" s="188">
        <f>[2]CZ_decarbplus_opex!AG107</f>
        <v>9.8100000000000002E-10</v>
      </c>
      <c r="AO107" s="188">
        <f>[3]CZ_decarb_opex!G107</f>
        <v>1.91337258228685E-10</v>
      </c>
      <c r="AP107" s="188">
        <f>[3]CZ_decarb_opex!H107</f>
        <v>2.7597077293991601E-10</v>
      </c>
      <c r="AQ107" s="188">
        <f>[2]CZ_decarbplus_opex!AH107</f>
        <v>3.1100000000000001E-10</v>
      </c>
      <c r="AR107" s="188">
        <f>[2]CZ_decarbplus_opex!AI107</f>
        <v>0</v>
      </c>
      <c r="AS107" s="188">
        <f>[2]CZ_decarbplus_opex!AJ107</f>
        <v>3.5700000000000001E-10</v>
      </c>
      <c r="AT107" s="188">
        <f>[2]CZ_decarbplus_opex!AK107</f>
        <v>3.4799999999999999E-10</v>
      </c>
      <c r="AU107" s="188">
        <f>[2]CZ_decarbplus_opex!AL107</f>
        <v>2.6800000000000001E-10</v>
      </c>
      <c r="AV107" s="188">
        <f>[2]CZ_decarbplus_opex!AM107</f>
        <v>2.7099999999999999E-10</v>
      </c>
      <c r="AW107" s="188">
        <f>[2]CZ_decarbplus_opex!AN107</f>
        <v>2.32E-10</v>
      </c>
      <c r="AX107" s="188">
        <f>[2]CZ_decarbplus_opex!AO107</f>
        <v>0</v>
      </c>
      <c r="AY107" s="188">
        <f>[2]CZ_decarbplus_opex!AP107</f>
        <v>4.8999999999999996E-10</v>
      </c>
      <c r="AZ107" s="188">
        <f>[2]CZ_decarbplus_opex!AQ107</f>
        <v>0</v>
      </c>
      <c r="BA107" s="188">
        <f>[2]CZ_decarbplus_opex!AR107</f>
        <v>2.18E-10</v>
      </c>
      <c r="BB107" s="188">
        <f>[2]CZ_decarbplus_opex!AS107</f>
        <v>1.87E-9</v>
      </c>
      <c r="BC107" s="188">
        <f>[2]CZ_decarbplus_opex!AT107</f>
        <v>1.2100000000000001E-8</v>
      </c>
      <c r="BD107" s="188">
        <f>[2]CZ_decarbplus_opex!AU107</f>
        <v>1.51E-8</v>
      </c>
      <c r="BE107" s="188">
        <f>[2]CZ_decarbplus_opex!AV107</f>
        <v>1.8299999999999998E-8</v>
      </c>
      <c r="BF107" s="188">
        <f>[2]CZ_decarbplus_opex!AW107</f>
        <v>2.2699999999999998E-9</v>
      </c>
      <c r="BG107" s="188">
        <f>[2]CZ_decarbplus_opex!AX107</f>
        <v>1.9599999999999998E-9</v>
      </c>
      <c r="BH107" s="188">
        <f>[3]CZ_decarb_opex!I107</f>
        <v>7.5692860948222299E-9</v>
      </c>
      <c r="BI107" s="188">
        <f>[2]CZ_decarbplus_opex!AY107</f>
        <v>3.84E-9</v>
      </c>
      <c r="BJ107" s="188">
        <f>[2]CZ_decarbplus_opex!AZ107</f>
        <v>1.2E-9</v>
      </c>
      <c r="BK107" s="188">
        <f>[2]CZ_decarbplus_opex!BA107</f>
        <v>2.3400000000000002E-10</v>
      </c>
      <c r="BL107" s="188">
        <f>[2]CZ_decarbplus_opex!BB107</f>
        <v>0</v>
      </c>
      <c r="BM107" s="188">
        <f>[3]CZ_decarb_opex!J107</f>
        <v>4.8692393645159699E-9</v>
      </c>
      <c r="BN107" s="188">
        <f>[3]CZ_decarb_opex!K107</f>
        <v>1.22609455796522E-8</v>
      </c>
      <c r="BO107" s="188">
        <f>[3]CZ_decarb_opex!L107</f>
        <v>1.82969134166997E-9</v>
      </c>
      <c r="BP107" s="188">
        <f>[3]CZ_decarb_opex!M107</f>
        <v>2.27318835464568E-9</v>
      </c>
      <c r="BQ107" s="188">
        <f>[3]CZ_decarb_opex!N107</f>
        <v>2.2417184298853799E-9</v>
      </c>
      <c r="BR107" s="188">
        <f>[3]CZ_decarb_opex!O107</f>
        <v>2.39072984269333E-9</v>
      </c>
      <c r="BS107" s="188">
        <f>[3]CZ_decarb_opex!P107</f>
        <v>6.5884949058357697E-9</v>
      </c>
      <c r="BT107" s="188">
        <f>[3]CZ_decarb_opex!Q107</f>
        <v>2.0923102705572401E-9</v>
      </c>
      <c r="BU107" s="188">
        <f>[3]CZ_decarb_opex!R107</f>
        <v>2.4067358790456902E-9</v>
      </c>
      <c r="BV107" s="188">
        <f>[3]CZ_decarb_opex!S107</f>
        <v>2.4067358790457001E-9</v>
      </c>
      <c r="BW107" s="188">
        <f>[3]CZ_decarb_opex!T107</f>
        <v>5.7112957158898599E-7</v>
      </c>
      <c r="BX107" s="188">
        <f>[3]CZ_decarb_opex!U107</f>
        <v>7.0842074222433996E-10</v>
      </c>
      <c r="BY107" s="188">
        <f>[3]CZ_decarb_opex!V107</f>
        <v>2.3971334822999999E-10</v>
      </c>
      <c r="BZ107" s="188">
        <f>[2]CZ_decarbplus_opex!BC107</f>
        <v>5.0700000000000001E-9</v>
      </c>
      <c r="CA107" s="188">
        <f>[2]CZ_decarbplus_opex!BD107</f>
        <v>2.8299999999999999E-9</v>
      </c>
      <c r="CB107" s="188">
        <f>[2]CZ_decarbplus_opex!BE107</f>
        <v>3.2700000000000001E-9</v>
      </c>
      <c r="CC107" s="188">
        <f>[2]CZ_decarbplus_opex!BF107</f>
        <v>1.99E-9</v>
      </c>
      <c r="CD107" s="188">
        <f>[2]CZ_decarbplus_opex!BG107</f>
        <v>1.5300000000000001E-8</v>
      </c>
      <c r="CE107" s="188">
        <f>[2]CZ_decarbplus_opex!BH107</f>
        <v>2.6200000000000001E-9</v>
      </c>
      <c r="CF107" s="188">
        <f>[2]CZ_decarbplus_opex!BI107</f>
        <v>8.1699999999999997E-9</v>
      </c>
      <c r="CG107" s="188">
        <f>[2]CZ_decarbplus_opex!BJ107</f>
        <v>8.1299999999999998E-10</v>
      </c>
    </row>
    <row r="108" spans="1:85" x14ac:dyDescent="0.25">
      <c r="A108" s="5" t="s">
        <v>16</v>
      </c>
      <c r="B108" s="2" t="s">
        <v>17</v>
      </c>
      <c r="C108" s="1" t="s">
        <v>330</v>
      </c>
      <c r="D108" s="187">
        <f>[2]CZ_decarbplus_opex!B108</f>
        <v>5.17E-11</v>
      </c>
      <c r="E108" s="187">
        <f>[2]CZ_decarbplus_opex!C108</f>
        <v>6.4199999999999995E-11</v>
      </c>
      <c r="F108" s="187">
        <f>[2]CZ_decarbplus_opex!D108</f>
        <v>1.7199999999999999E-11</v>
      </c>
      <c r="G108" s="187">
        <f>[2]CZ_decarbplus_opex!E108</f>
        <v>9.6199999999999998E-12</v>
      </c>
      <c r="H108" s="187">
        <f>[2]CZ_decarbplus_opex!F108</f>
        <v>1.1300000000000001E-11</v>
      </c>
      <c r="I108" s="187">
        <f>[2]CZ_decarbplus_opex!G108</f>
        <v>1.5100000000000001E-11</v>
      </c>
      <c r="J108" s="187">
        <f>[2]CZ_decarbplus_opex!H108</f>
        <v>6.6099999999999997E-11</v>
      </c>
      <c r="K108" s="187">
        <f>[2]CZ_decarbplus_opex!I108</f>
        <v>2.92E-11</v>
      </c>
      <c r="L108" s="187">
        <f>[2]CZ_decarbplus_opex!J108</f>
        <v>1.1100000000000001E-11</v>
      </c>
      <c r="M108" s="187">
        <f>[2]CZ_decarbplus_opex!K108</f>
        <v>3.0499999999999998E-11</v>
      </c>
      <c r="N108" s="187">
        <f>[2]CZ_decarbplus_opex!L108</f>
        <v>3.6399999999999998E-10</v>
      </c>
      <c r="O108" s="187">
        <f>[2]CZ_decarbplus_opex!M108</f>
        <v>8.3999999999999994E-11</v>
      </c>
      <c r="P108" s="187">
        <f>[2]CZ_decarbplus_opex!N108</f>
        <v>1.8900000000000001E-11</v>
      </c>
      <c r="Q108" s="187">
        <f>[2]CZ_decarbplus_opex!O108</f>
        <v>7.2299999999999997E-12</v>
      </c>
      <c r="R108" s="187">
        <f>[2]CZ_decarbplus_opex!P108</f>
        <v>1.1200000000000001E-11</v>
      </c>
      <c r="S108" s="187">
        <f>[2]CZ_decarbplus_opex!Q108</f>
        <v>1.7300000000000001E-11</v>
      </c>
      <c r="T108" s="187">
        <f>[2]CZ_decarbplus_opex!R108</f>
        <v>5.21E-11</v>
      </c>
      <c r="U108" s="187">
        <f>[2]CZ_decarbplus_opex!S108</f>
        <v>9.3199999999999999E-11</v>
      </c>
      <c r="V108" s="187">
        <f>[2]CZ_decarbplus_opex!T108</f>
        <v>2.17E-10</v>
      </c>
      <c r="W108" s="187">
        <f>[2]CZ_decarbplus_opex!U108</f>
        <v>2.4200000000000001E-11</v>
      </c>
      <c r="X108" s="187">
        <f>[2]CZ_decarbplus_opex!V108</f>
        <v>1.7500000000000001E-11</v>
      </c>
      <c r="Y108" s="187">
        <f>[2]CZ_decarbplus_opex!W108</f>
        <v>2.17E-11</v>
      </c>
      <c r="Z108" s="187">
        <f>[2]CZ_decarbplus_opex!X108</f>
        <v>2.3000000000000001E-11</v>
      </c>
      <c r="AA108" s="187">
        <f>[2]CZ_decarbplus_opex!Y108</f>
        <v>9.0999999999999996E-11</v>
      </c>
      <c r="AB108" s="188">
        <f>[3]CZ_decarb_opex!B108</f>
        <v>9.9952413843299992E-10</v>
      </c>
      <c r="AC108" s="188">
        <f>[3]CZ_decarb_opex!C108</f>
        <v>1.19199716888E-9</v>
      </c>
      <c r="AD108" s="188">
        <f>[3]CZ_decarb_opex!D108</f>
        <v>3.1313078810900002E-10</v>
      </c>
      <c r="AE108" s="188">
        <f>[2]CZ_decarbplus_opex!Z108</f>
        <v>1.88E-10</v>
      </c>
      <c r="AF108" s="188">
        <f>[2]CZ_decarbplus_opex!AA108</f>
        <v>1.37E-11</v>
      </c>
      <c r="AG108" s="188">
        <f>[2]CZ_decarbplus_opex!AB108</f>
        <v>5.88E-12</v>
      </c>
      <c r="AH108" s="188">
        <f>[2]CZ_decarbplus_opex!AC108</f>
        <v>2.1399999999999998E-11</v>
      </c>
      <c r="AI108" s="188">
        <f>[2]CZ_decarbplus_opex!AD108</f>
        <v>5.1500000000000003E-11</v>
      </c>
      <c r="AJ108" s="188">
        <f>[2]CZ_decarbplus_opex!AE108</f>
        <v>5.2400000000000001E-11</v>
      </c>
      <c r="AK108" s="188">
        <f>[2]CZ_decarbplus_opex!AF108</f>
        <v>8.8200000000000003E-11</v>
      </c>
      <c r="AL108" s="188">
        <f>[3]CZ_decarb_opex!E108</f>
        <v>5.5549515684599997E-11</v>
      </c>
      <c r="AM108" s="188">
        <f>[3]CZ_decarb_opex!F108</f>
        <v>7.9924600161099899E-11</v>
      </c>
      <c r="AN108" s="188">
        <f>[2]CZ_decarbplus_opex!AG108</f>
        <v>5.1600000000000001E-11</v>
      </c>
      <c r="AO108" s="188">
        <f>[3]CZ_decarb_opex!G108</f>
        <v>2.1652850795599999E-11</v>
      </c>
      <c r="AP108" s="188">
        <f>[3]CZ_decarb_opex!H108</f>
        <v>8.1055261112500105E-11</v>
      </c>
      <c r="AQ108" s="188">
        <f>[2]CZ_decarbplus_opex!AH108</f>
        <v>1.06E-10</v>
      </c>
      <c r="AR108" s="188">
        <f>[2]CZ_decarbplus_opex!AI108</f>
        <v>0</v>
      </c>
      <c r="AS108" s="188">
        <f>[2]CZ_decarbplus_opex!AJ108</f>
        <v>7.8000000000000002E-11</v>
      </c>
      <c r="AT108" s="188">
        <f>[2]CZ_decarbplus_opex!AK108</f>
        <v>3.5199999999999999E-11</v>
      </c>
      <c r="AU108" s="188">
        <f>[2]CZ_decarbplus_opex!AL108</f>
        <v>1.34E-10</v>
      </c>
      <c r="AV108" s="188">
        <f>[2]CZ_decarbplus_opex!AM108</f>
        <v>6.6300000000000006E-11</v>
      </c>
      <c r="AW108" s="188">
        <f>[2]CZ_decarbplus_opex!AN108</f>
        <v>8.9399999999999996E-11</v>
      </c>
      <c r="AX108" s="188">
        <f>[2]CZ_decarbplus_opex!AO108</f>
        <v>0</v>
      </c>
      <c r="AY108" s="188">
        <f>[2]CZ_decarbplus_opex!AP108</f>
        <v>5.5200000000000001E-11</v>
      </c>
      <c r="AZ108" s="188">
        <f>[2]CZ_decarbplus_opex!AQ108</f>
        <v>0</v>
      </c>
      <c r="BA108" s="188">
        <f>[2]CZ_decarbplus_opex!AR108</f>
        <v>1.7700000000000001E-11</v>
      </c>
      <c r="BB108" s="188">
        <f>[2]CZ_decarbplus_opex!AS108</f>
        <v>4.9400000000000004E-12</v>
      </c>
      <c r="BC108" s="188">
        <f>[2]CZ_decarbplus_opex!AT108</f>
        <v>6.03E-12</v>
      </c>
      <c r="BD108" s="188">
        <f>[2]CZ_decarbplus_opex!AU108</f>
        <v>2.9500000000000002E-11</v>
      </c>
      <c r="BE108" s="188">
        <f>[2]CZ_decarbplus_opex!AV108</f>
        <v>6.2699999999999997E-12</v>
      </c>
      <c r="BF108" s="188">
        <f>[2]CZ_decarbplus_opex!AW108</f>
        <v>5.6400000000000002E-12</v>
      </c>
      <c r="BG108" s="188">
        <f>[2]CZ_decarbplus_opex!AX108</f>
        <v>2.1399999999999998E-11</v>
      </c>
      <c r="BH108" s="188">
        <f>[3]CZ_decarb_opex!I108</f>
        <v>4.16621556622001E-12</v>
      </c>
      <c r="BI108" s="188">
        <f>[2]CZ_decarbplus_opex!AY108</f>
        <v>1.8399999999999999E-11</v>
      </c>
      <c r="BJ108" s="188">
        <f>[2]CZ_decarbplus_opex!AZ108</f>
        <v>1.2100000000000001E-11</v>
      </c>
      <c r="BK108" s="188">
        <f>[2]CZ_decarbplus_opex!BA108</f>
        <v>3.83E-11</v>
      </c>
      <c r="BL108" s="188">
        <f>[2]CZ_decarbplus_opex!BB108</f>
        <v>0</v>
      </c>
      <c r="BM108" s="188">
        <f>[3]CZ_decarb_opex!J108</f>
        <v>1.9716718901899999E-11</v>
      </c>
      <c r="BN108" s="188">
        <f>[3]CZ_decarb_opex!K108</f>
        <v>4.1727841845300002E-10</v>
      </c>
      <c r="BO108" s="188">
        <f>[3]CZ_decarb_opex!L108</f>
        <v>3.0198870579599998E-11</v>
      </c>
      <c r="BP108" s="188">
        <f>[3]CZ_decarb_opex!M108</f>
        <v>3.9571996026199998E-10</v>
      </c>
      <c r="BQ108" s="188">
        <f>[3]CZ_decarb_opex!N108</f>
        <v>1.4036476238700001E-10</v>
      </c>
      <c r="BR108" s="188">
        <f>[3]CZ_decarb_opex!O108</f>
        <v>7.8746353926700099E-12</v>
      </c>
      <c r="BS108" s="188">
        <f>[3]CZ_decarb_opex!P108</f>
        <v>2.8371055136199999E-10</v>
      </c>
      <c r="BT108" s="188">
        <f>[3]CZ_decarb_opex!Q108</f>
        <v>1.1285629620000001E-11</v>
      </c>
      <c r="BU108" s="188">
        <f>[3]CZ_decarb_opex!R108</f>
        <v>3.7688175598400003E-12</v>
      </c>
      <c r="BV108" s="188">
        <f>[3]CZ_decarb_opex!S108</f>
        <v>3.76881755984001E-12</v>
      </c>
      <c r="BW108" s="188">
        <f>[3]CZ_decarb_opex!T108</f>
        <v>1.4882192841399999E-11</v>
      </c>
      <c r="BX108" s="188">
        <f>[3]CZ_decarb_opex!U108</f>
        <v>4.9783048631700004E-13</v>
      </c>
      <c r="BY108" s="188">
        <f>[3]CZ_decarb_opex!V108</f>
        <v>2.33142580246E-9</v>
      </c>
      <c r="BZ108" s="188">
        <f>[2]CZ_decarbplus_opex!BC108</f>
        <v>2.1400000000000001E-10</v>
      </c>
      <c r="CA108" s="188">
        <f>[2]CZ_decarbplus_opex!BD108</f>
        <v>5.25E-11</v>
      </c>
      <c r="CB108" s="188">
        <f>[2]CZ_decarbplus_opex!BE108</f>
        <v>1.97E-11</v>
      </c>
      <c r="CC108" s="188">
        <f>[2]CZ_decarbplus_opex!BF108</f>
        <v>2.9100000000000002E-11</v>
      </c>
      <c r="CD108" s="188">
        <f>[2]CZ_decarbplus_opex!BG108</f>
        <v>8.2999999999999998E-11</v>
      </c>
      <c r="CE108" s="188">
        <f>[2]CZ_decarbplus_opex!BH108</f>
        <v>6.8199999999999995E-11</v>
      </c>
      <c r="CF108" s="188">
        <f>[2]CZ_decarbplus_opex!BI108</f>
        <v>9.5099999999999997E-12</v>
      </c>
      <c r="CG108" s="188">
        <f>[2]CZ_decarbplus_opex!BJ108</f>
        <v>2.2799999999999999E-10</v>
      </c>
    </row>
    <row r="109" spans="1:85" x14ac:dyDescent="0.25">
      <c r="A109" s="5" t="s">
        <v>18</v>
      </c>
      <c r="B109" s="2" t="s">
        <v>19</v>
      </c>
      <c r="C109" s="1" t="s">
        <v>330</v>
      </c>
      <c r="D109" s="187">
        <f>[2]CZ_decarbplus_opex!B109</f>
        <v>8.0099999999999996E-8</v>
      </c>
      <c r="E109" s="187">
        <f>[2]CZ_decarbplus_opex!C109</f>
        <v>2.3499999999999999E-8</v>
      </c>
      <c r="F109" s="187">
        <f>[2]CZ_decarbplus_opex!D109</f>
        <v>1.9000000000000001E-8</v>
      </c>
      <c r="G109" s="187">
        <f>[2]CZ_decarbplus_opex!E109</f>
        <v>2.76E-9</v>
      </c>
      <c r="H109" s="187">
        <f>[2]CZ_decarbplus_opex!F109</f>
        <v>5.1799999999999999E-9</v>
      </c>
      <c r="I109" s="187">
        <f>[2]CZ_decarbplus_opex!G109</f>
        <v>3.2700000000000002E-8</v>
      </c>
      <c r="J109" s="187">
        <f>[2]CZ_decarbplus_opex!H109</f>
        <v>3.8500000000000001E-8</v>
      </c>
      <c r="K109" s="187">
        <f>[2]CZ_decarbplus_opex!I109</f>
        <v>6.82E-9</v>
      </c>
      <c r="L109" s="187">
        <f>[2]CZ_decarbplus_opex!J109</f>
        <v>5.32E-8</v>
      </c>
      <c r="M109" s="187">
        <f>[2]CZ_decarbplus_opex!K109</f>
        <v>1.8300000000000001E-7</v>
      </c>
      <c r="N109" s="187">
        <f>[2]CZ_decarbplus_opex!L109</f>
        <v>1.1300000000000001E-7</v>
      </c>
      <c r="O109" s="187">
        <f>[2]CZ_decarbplus_opex!M109</f>
        <v>5.4599999999999999E-8</v>
      </c>
      <c r="P109" s="187">
        <f>[2]CZ_decarbplus_opex!N109</f>
        <v>1.8E-7</v>
      </c>
      <c r="Q109" s="187">
        <f>[2]CZ_decarbplus_opex!O109</f>
        <v>1.1300000000000001E-7</v>
      </c>
      <c r="R109" s="187">
        <f>[2]CZ_decarbplus_opex!P109</f>
        <v>1.4000000000000001E-7</v>
      </c>
      <c r="S109" s="187">
        <f>[2]CZ_decarbplus_opex!Q109</f>
        <v>8.5300000000000003E-8</v>
      </c>
      <c r="T109" s="187">
        <f>[2]CZ_decarbplus_opex!R109</f>
        <v>9.0800000000000006E-8</v>
      </c>
      <c r="U109" s="187">
        <f>[2]CZ_decarbplus_opex!S109</f>
        <v>1.2200000000000001E-7</v>
      </c>
      <c r="V109" s="187">
        <f>[2]CZ_decarbplus_opex!T109</f>
        <v>1.54E-7</v>
      </c>
      <c r="W109" s="187">
        <f>[2]CZ_decarbplus_opex!U109</f>
        <v>1.11E-7</v>
      </c>
      <c r="X109" s="187">
        <f>[2]CZ_decarbplus_opex!V109</f>
        <v>2.6300000000000001E-8</v>
      </c>
      <c r="Y109" s="187">
        <f>[2]CZ_decarbplus_opex!W109</f>
        <v>1.59E-8</v>
      </c>
      <c r="Z109" s="187">
        <f>[2]CZ_decarbplus_opex!X109</f>
        <v>6.9899999999999997E-8</v>
      </c>
      <c r="AA109" s="187">
        <f>[2]CZ_decarbplus_opex!Y109</f>
        <v>8.0200000000000003E-8</v>
      </c>
      <c r="AB109" s="188">
        <f>[3]CZ_decarb_opex!B109</f>
        <v>1.11890862601421E-7</v>
      </c>
      <c r="AC109" s="188">
        <f>[3]CZ_decarb_opex!C109</f>
        <v>1.55986072982575E-7</v>
      </c>
      <c r="AD109" s="188">
        <f>[3]CZ_decarb_opex!D109</f>
        <v>5.5313346936039598E-8</v>
      </c>
      <c r="AE109" s="188">
        <f>[2]CZ_decarbplus_opex!Z109</f>
        <v>4.3900000000000003E-8</v>
      </c>
      <c r="AF109" s="188">
        <f>[2]CZ_decarbplus_opex!AA109</f>
        <v>3.9200000000000002E-7</v>
      </c>
      <c r="AG109" s="188">
        <f>[2]CZ_decarbplus_opex!AB109</f>
        <v>2.4900000000000002E-7</v>
      </c>
      <c r="AH109" s="188">
        <f>[2]CZ_decarbplus_opex!AC109</f>
        <v>1.29E-7</v>
      </c>
      <c r="AI109" s="188">
        <f>[2]CZ_decarbplus_opex!AD109</f>
        <v>2.1E-7</v>
      </c>
      <c r="AJ109" s="188">
        <f>[2]CZ_decarbplus_opex!AE109</f>
        <v>1.2800000000000001E-7</v>
      </c>
      <c r="AK109" s="188">
        <f>[2]CZ_decarbplus_opex!AF109</f>
        <v>1.48E-7</v>
      </c>
      <c r="AL109" s="188">
        <f>[3]CZ_decarb_opex!E109</f>
        <v>1.01749429181875E-7</v>
      </c>
      <c r="AM109" s="188">
        <f>[3]CZ_decarb_opex!F109</f>
        <v>1.08724494505503E-7</v>
      </c>
      <c r="AN109" s="188">
        <f>[2]CZ_decarbplus_opex!AG109</f>
        <v>1.5099999999999999E-7</v>
      </c>
      <c r="AO109" s="188">
        <f>[3]CZ_decarb_opex!G109</f>
        <v>6.7931192020269998E-8</v>
      </c>
      <c r="AP109" s="188">
        <f>[3]CZ_decarb_opex!H109</f>
        <v>8.1165344025774196E-8</v>
      </c>
      <c r="AQ109" s="188">
        <f>[2]CZ_decarbplus_opex!AH109</f>
        <v>8.8300000000000003E-8</v>
      </c>
      <c r="AR109" s="188">
        <f>[2]CZ_decarbplus_opex!AI109</f>
        <v>0</v>
      </c>
      <c r="AS109" s="188">
        <f>[2]CZ_decarbplus_opex!AJ109</f>
        <v>8.5899999999999995E-8</v>
      </c>
      <c r="AT109" s="188">
        <f>[2]CZ_decarbplus_opex!AK109</f>
        <v>8.0299999999999998E-8</v>
      </c>
      <c r="AU109" s="188">
        <f>[2]CZ_decarbplus_opex!AL109</f>
        <v>2.96E-8</v>
      </c>
      <c r="AV109" s="188">
        <f>[2]CZ_decarbplus_opex!AM109</f>
        <v>2.77E-8</v>
      </c>
      <c r="AW109" s="188">
        <f>[2]CZ_decarbplus_opex!AN109</f>
        <v>4.1099999999999997E-8</v>
      </c>
      <c r="AX109" s="188">
        <f>[2]CZ_decarbplus_opex!AO109</f>
        <v>0</v>
      </c>
      <c r="AY109" s="188">
        <f>[2]CZ_decarbplus_opex!AP109</f>
        <v>5.5000000000000003E-8</v>
      </c>
      <c r="AZ109" s="188">
        <f>[2]CZ_decarbplus_opex!AQ109</f>
        <v>0</v>
      </c>
      <c r="BA109" s="188">
        <f>[2]CZ_decarbplus_opex!AR109</f>
        <v>1.05E-7</v>
      </c>
      <c r="BB109" s="188">
        <f>[2]CZ_decarbplus_opex!AS109</f>
        <v>2.84E-7</v>
      </c>
      <c r="BC109" s="188">
        <f>[2]CZ_decarbplus_opex!AT109</f>
        <v>1.22E-6</v>
      </c>
      <c r="BD109" s="188">
        <f>[2]CZ_decarbplus_opex!AU109</f>
        <v>1.66E-6</v>
      </c>
      <c r="BE109" s="188">
        <f>[2]CZ_decarbplus_opex!AV109</f>
        <v>1.9E-6</v>
      </c>
      <c r="BF109" s="188">
        <f>[2]CZ_decarbplus_opex!AW109</f>
        <v>3.3700000000000001E-7</v>
      </c>
      <c r="BG109" s="188">
        <f>[2]CZ_decarbplus_opex!AX109</f>
        <v>2.41E-7</v>
      </c>
      <c r="BH109" s="188">
        <f>[3]CZ_decarb_opex!I109</f>
        <v>9.1657257804976497E-7</v>
      </c>
      <c r="BI109" s="188">
        <f>[2]CZ_decarbplus_opex!AY109</f>
        <v>4.7999999999999996E-7</v>
      </c>
      <c r="BJ109" s="188">
        <f>[2]CZ_decarbplus_opex!AZ109</f>
        <v>4.3300000000000003E-7</v>
      </c>
      <c r="BK109" s="188">
        <f>[2]CZ_decarbplus_opex!BA109</f>
        <v>2.3800000000000001E-8</v>
      </c>
      <c r="BL109" s="188">
        <f>[2]CZ_decarbplus_opex!BB109</f>
        <v>0</v>
      </c>
      <c r="BM109" s="188">
        <f>[3]CZ_decarb_opex!J109</f>
        <v>3.1697177889978902E-7</v>
      </c>
      <c r="BN109" s="188">
        <f>[3]CZ_decarb_opex!K109</f>
        <v>1.12652743857778E-6</v>
      </c>
      <c r="BO109" s="188">
        <f>[3]CZ_decarb_opex!L109</f>
        <v>1.2218494877673401E-7</v>
      </c>
      <c r="BP109" s="188">
        <f>[3]CZ_decarb_opex!M109</f>
        <v>1.2746094004728601E-7</v>
      </c>
      <c r="BQ109" s="188">
        <f>[3]CZ_decarb_opex!N109</f>
        <v>1.8885193587374199E-7</v>
      </c>
      <c r="BR109" s="188">
        <f>[3]CZ_decarb_opex!O109</f>
        <v>2.6386051629361E-7</v>
      </c>
      <c r="BS109" s="188">
        <f>[3]CZ_decarb_opex!P109</f>
        <v>5.4827016606244495E-7</v>
      </c>
      <c r="BT109" s="188">
        <f>[3]CZ_decarb_opex!Q109</f>
        <v>2.6735876804137799E-7</v>
      </c>
      <c r="BU109" s="188">
        <f>[3]CZ_decarb_opex!R109</f>
        <v>1.07342421215263E-7</v>
      </c>
      <c r="BV109" s="188">
        <f>[3]CZ_decarb_opex!S109</f>
        <v>1.07342421215264E-7</v>
      </c>
      <c r="BW109" s="188">
        <f>[3]CZ_decarb_opex!T109</f>
        <v>2.94031428437894E-7</v>
      </c>
      <c r="BX109" s="188">
        <f>[3]CZ_decarb_opex!U109</f>
        <v>2.3577408212464302E-9</v>
      </c>
      <c r="BY109" s="188">
        <f>[3]CZ_decarb_opex!V109</f>
        <v>1.5989544305676501E-7</v>
      </c>
      <c r="BZ109" s="188">
        <f>[2]CZ_decarbplus_opex!BC109</f>
        <v>3.65E-7</v>
      </c>
      <c r="CA109" s="188">
        <f>[2]CZ_decarbplus_opex!BD109</f>
        <v>1.55E-7</v>
      </c>
      <c r="CB109" s="188">
        <f>[2]CZ_decarbplus_opex!BE109</f>
        <v>1.9299999999999999E-7</v>
      </c>
      <c r="CC109" s="188">
        <f>[2]CZ_decarbplus_opex!BF109</f>
        <v>1.12E-7</v>
      </c>
      <c r="CD109" s="188">
        <f>[2]CZ_decarbplus_opex!BG109</f>
        <v>1.44E-6</v>
      </c>
      <c r="CE109" s="188">
        <f>[2]CZ_decarbplus_opex!BH109</f>
        <v>9.2999999999999999E-8</v>
      </c>
      <c r="CF109" s="188">
        <f>[2]CZ_decarbplus_opex!BI109</f>
        <v>2.96E-7</v>
      </c>
      <c r="CG109" s="188">
        <f>[2]CZ_decarbplus_opex!BJ109</f>
        <v>3.8000000000000003E-8</v>
      </c>
    </row>
    <row r="110" spans="1:85" x14ac:dyDescent="0.25">
      <c r="A110" s="5" t="s">
        <v>20</v>
      </c>
      <c r="B110" s="2" t="s">
        <v>21</v>
      </c>
      <c r="C110" s="1" t="s">
        <v>330</v>
      </c>
      <c r="D110" s="187">
        <f>[2]CZ_decarbplus_opex!B110</f>
        <v>7.47E-5</v>
      </c>
      <c r="E110" s="187">
        <f>[2]CZ_decarbplus_opex!C110</f>
        <v>1.237E-4</v>
      </c>
      <c r="F110" s="187">
        <f>[2]CZ_decarbplus_opex!D110</f>
        <v>6.9900000000000005E-5</v>
      </c>
      <c r="G110" s="187">
        <f>[2]CZ_decarbplus_opex!E110</f>
        <v>9.2499999999999995E-6</v>
      </c>
      <c r="H110" s="187">
        <f>[2]CZ_decarbplus_opex!F110</f>
        <v>2.1699999999999999E-5</v>
      </c>
      <c r="I110" s="187">
        <f>[2]CZ_decarbplus_opex!G110</f>
        <v>3.92459E-4</v>
      </c>
      <c r="J110" s="187">
        <f>[2]CZ_decarbplus_opex!H110</f>
        <v>1.6085940000000001E-3</v>
      </c>
      <c r="K110" s="187">
        <f>[2]CZ_decarbplus_opex!I110</f>
        <v>2.94E-5</v>
      </c>
      <c r="L110" s="187">
        <f>[2]CZ_decarbplus_opex!J110</f>
        <v>1.48665E-4</v>
      </c>
      <c r="M110" s="187">
        <f>[2]CZ_decarbplus_opex!K110</f>
        <v>5.2787999999999999E-4</v>
      </c>
      <c r="N110" s="187">
        <f>[2]CZ_decarbplus_opex!L110</f>
        <v>2.2237599999999999E-4</v>
      </c>
      <c r="O110" s="187">
        <f>[2]CZ_decarbplus_opex!M110</f>
        <v>1.45823E-4</v>
      </c>
      <c r="P110" s="187">
        <f>[2]CZ_decarbplus_opex!N110</f>
        <v>1.127372E-3</v>
      </c>
      <c r="Q110" s="187">
        <f>[2]CZ_decarbplus_opex!O110</f>
        <v>1.11958E-3</v>
      </c>
      <c r="R110" s="187">
        <f>[2]CZ_decarbplus_opex!P110</f>
        <v>5.1400000000000003E-5</v>
      </c>
      <c r="S110" s="187">
        <f>[2]CZ_decarbplus_opex!Q110</f>
        <v>5.6357300000000005E-4</v>
      </c>
      <c r="T110" s="187">
        <f>[2]CZ_decarbplus_opex!R110</f>
        <v>5.7643199999999999E-4</v>
      </c>
      <c r="U110" s="187">
        <f>[2]CZ_decarbplus_opex!S110</f>
        <v>2.0223179999999999E-3</v>
      </c>
      <c r="V110" s="187">
        <f>[2]CZ_decarbplus_opex!T110</f>
        <v>9.9512699999999995E-4</v>
      </c>
      <c r="W110" s="187">
        <f>[2]CZ_decarbplus_opex!U110</f>
        <v>4.5275900000000001E-4</v>
      </c>
      <c r="X110" s="187">
        <f>[2]CZ_decarbplus_opex!V110</f>
        <v>2.8200499999999999E-4</v>
      </c>
      <c r="Y110" s="187">
        <f>[2]CZ_decarbplus_opex!W110</f>
        <v>1.231745E-3</v>
      </c>
      <c r="Z110" s="187">
        <f>[2]CZ_decarbplus_opex!X110</f>
        <v>2.6578890000000001E-3</v>
      </c>
      <c r="AA110" s="187">
        <f>[2]CZ_decarbplus_opex!Y110</f>
        <v>3.2299999999999999E-5</v>
      </c>
      <c r="AB110" s="188">
        <f>[3]CZ_decarb_opex!B110</f>
        <v>1.52739607723571E-5</v>
      </c>
      <c r="AC110" s="188">
        <f>[3]CZ_decarb_opex!C110</f>
        <v>1.88059673135003E-4</v>
      </c>
      <c r="AD110" s="188">
        <f>[3]CZ_decarb_opex!D110</f>
        <v>3.2757700900063201E-4</v>
      </c>
      <c r="AE110" s="188">
        <f>[2]CZ_decarbplus_opex!Z110</f>
        <v>3.4021300000000002E-4</v>
      </c>
      <c r="AF110" s="188">
        <f>[2]CZ_decarbplus_opex!AA110</f>
        <v>1.072036E-3</v>
      </c>
      <c r="AG110" s="188">
        <f>[2]CZ_decarbplus_opex!AB110</f>
        <v>2.8143899999999997E-4</v>
      </c>
      <c r="AH110" s="188">
        <f>[2]CZ_decarbplus_opex!AC110</f>
        <v>1.9071E-4</v>
      </c>
      <c r="AI110" s="188">
        <f>[2]CZ_decarbplus_opex!AD110</f>
        <v>4.9223099999999998E-4</v>
      </c>
      <c r="AJ110" s="188">
        <f>[2]CZ_decarbplus_opex!AE110</f>
        <v>1.8111900000000001E-4</v>
      </c>
      <c r="AK110" s="188">
        <f>[2]CZ_decarbplus_opex!AF110</f>
        <v>2.4269E-4</v>
      </c>
      <c r="AL110" s="188">
        <f>[3]CZ_decarb_opex!E110</f>
        <v>6.1772925140870898E-4</v>
      </c>
      <c r="AM110" s="188">
        <f>[3]CZ_decarb_opex!F110</f>
        <v>2.7308135456141403E-4</v>
      </c>
      <c r="AN110" s="188">
        <f>[2]CZ_decarbplus_opex!AG110</f>
        <v>8.72747E-4</v>
      </c>
      <c r="AO110" s="188">
        <f>[3]CZ_decarb_opex!G110</f>
        <v>1.79797761095058E-4</v>
      </c>
      <c r="AP110" s="188">
        <f>[3]CZ_decarb_opex!H110</f>
        <v>7.6828287713527296E-4</v>
      </c>
      <c r="AQ110" s="188">
        <f>[2]CZ_decarbplus_opex!AH110</f>
        <v>1.0458699999999999E-4</v>
      </c>
      <c r="AR110" s="188">
        <f>[2]CZ_decarbplus_opex!AI110</f>
        <v>0</v>
      </c>
      <c r="AS110" s="188">
        <f>[2]CZ_decarbplus_opex!AJ110</f>
        <v>6.4999000000000003E-4</v>
      </c>
      <c r="AT110" s="188">
        <f>[2]CZ_decarbplus_opex!AK110</f>
        <v>5.5800000000000001E-5</v>
      </c>
      <c r="AU110" s="188">
        <f>[2]CZ_decarbplus_opex!AL110</f>
        <v>2.3E-5</v>
      </c>
      <c r="AV110" s="188">
        <f>[2]CZ_decarbplus_opex!AM110</f>
        <v>1.3900000000000001E-5</v>
      </c>
      <c r="AW110" s="188">
        <f>[2]CZ_decarbplus_opex!AN110</f>
        <v>9.1199999999999994E-5</v>
      </c>
      <c r="AX110" s="188">
        <f>[2]CZ_decarbplus_opex!AO110</f>
        <v>0</v>
      </c>
      <c r="AY110" s="188">
        <f>[2]CZ_decarbplus_opex!AP110</f>
        <v>1.7880899999999999E-4</v>
      </c>
      <c r="AZ110" s="188">
        <f>[2]CZ_decarbplus_opex!AQ110</f>
        <v>0</v>
      </c>
      <c r="BA110" s="188">
        <f>[2]CZ_decarbplus_opex!AR110</f>
        <v>5.77E-5</v>
      </c>
      <c r="BB110" s="188">
        <f>[2]CZ_decarbplus_opex!AS110</f>
        <v>3.4972399999999999E-4</v>
      </c>
      <c r="BC110" s="188">
        <f>[2]CZ_decarbplus_opex!AT110</f>
        <v>6.0391799999999995E-4</v>
      </c>
      <c r="BD110" s="188">
        <f>[2]CZ_decarbplus_opex!AU110</f>
        <v>2.5899999999999999E-5</v>
      </c>
      <c r="BE110" s="188">
        <f>[2]CZ_decarbplus_opex!AV110</f>
        <v>3.5506200000000001E-4</v>
      </c>
      <c r="BF110" s="188">
        <f>[2]CZ_decarbplus_opex!AW110</f>
        <v>8.8399999999999994E-5</v>
      </c>
      <c r="BG110" s="188">
        <f>[2]CZ_decarbplus_opex!AX110</f>
        <v>8.5749700000000003E-4</v>
      </c>
      <c r="BH110" s="188">
        <f>[3]CZ_decarb_opex!I110</f>
        <v>1.1411645579594199E-4</v>
      </c>
      <c r="BI110" s="188">
        <f>[2]CZ_decarbplus_opex!AY110</f>
        <v>2.1191299999999999E-4</v>
      </c>
      <c r="BJ110" s="188">
        <f>[2]CZ_decarbplus_opex!AZ110</f>
        <v>4.2154099999999999E-4</v>
      </c>
      <c r="BK110" s="188">
        <f>[2]CZ_decarbplus_opex!BA110</f>
        <v>1.2663600000000001E-4</v>
      </c>
      <c r="BL110" s="188">
        <f>[2]CZ_decarbplus_opex!BB110</f>
        <v>0</v>
      </c>
      <c r="BM110" s="188">
        <f>[3]CZ_decarb_opex!J110</f>
        <v>1.7832889504628599E-5</v>
      </c>
      <c r="BN110" s="188">
        <f>[3]CZ_decarb_opex!K110</f>
        <v>2.3895597228507999E-5</v>
      </c>
      <c r="BO110" s="188">
        <f>[3]CZ_decarb_opex!L110</f>
        <v>5.9452985368122303E-6</v>
      </c>
      <c r="BP110" s="188">
        <f>[3]CZ_decarb_opex!M110</f>
        <v>1.0161124076629399E-5</v>
      </c>
      <c r="BQ110" s="188">
        <f>[3]CZ_decarb_opex!N110</f>
        <v>1.18767474417279E-5</v>
      </c>
      <c r="BR110" s="188">
        <f>[3]CZ_decarb_opex!O110</f>
        <v>1.24404410962687E-5</v>
      </c>
      <c r="BS110" s="188">
        <f>[3]CZ_decarb_opex!P110</f>
        <v>2.5880689739453401E-5</v>
      </c>
      <c r="BT110" s="188">
        <f>[3]CZ_decarb_opex!Q110</f>
        <v>1.6625500076322201E-6</v>
      </c>
      <c r="BU110" s="188">
        <f>[3]CZ_decarb_opex!R110</f>
        <v>1.02961418905236E-5</v>
      </c>
      <c r="BV110" s="188">
        <f>[3]CZ_decarb_opex!S110</f>
        <v>1.02961418905236E-5</v>
      </c>
      <c r="BW110" s="188">
        <f>[3]CZ_decarb_opex!T110</f>
        <v>1.08196469162221E-6</v>
      </c>
      <c r="BX110" s="188">
        <f>[3]CZ_decarb_opex!U110</f>
        <v>6.72108376096842E-8</v>
      </c>
      <c r="BY110" s="188">
        <f>[3]CZ_decarb_opex!V110</f>
        <v>2.0632615417752799E-7</v>
      </c>
      <c r="BZ110" s="188">
        <f>[2]CZ_decarbplus_opex!BC110</f>
        <v>1.5299999999999999E-5</v>
      </c>
      <c r="CA110" s="188">
        <f>[2]CZ_decarbplus_opex!BD110</f>
        <v>2.6407330000000001E-3</v>
      </c>
      <c r="CB110" s="188">
        <f>[2]CZ_decarbplus_opex!BE110</f>
        <v>2.1748840000000002E-3</v>
      </c>
      <c r="CC110" s="188">
        <f>[2]CZ_decarbplus_opex!BF110</f>
        <v>1.7846226E-2</v>
      </c>
      <c r="CD110" s="188">
        <f>[2]CZ_decarbplus_opex!BG110</f>
        <v>6.6622100000000004E-4</v>
      </c>
      <c r="CE110" s="188">
        <f>[2]CZ_decarbplus_opex!BH110</f>
        <v>2.3498099999999999E-4</v>
      </c>
      <c r="CF110" s="188">
        <f>[2]CZ_decarbplus_opex!BI110</f>
        <v>9.5000000000000005E-5</v>
      </c>
      <c r="CG110" s="188">
        <f>[2]CZ_decarbplus_opex!BJ110</f>
        <v>2.7290700000000002E-4</v>
      </c>
    </row>
    <row r="111" spans="1:85" x14ac:dyDescent="0.25">
      <c r="A111" s="5" t="s">
        <v>213</v>
      </c>
      <c r="B111" s="2" t="s">
        <v>212</v>
      </c>
      <c r="C111" s="1" t="s">
        <v>330</v>
      </c>
      <c r="D111" s="187">
        <f>[2]CZ_decarbplus_opex!B111</f>
        <v>4.03683E-4</v>
      </c>
      <c r="E111" s="187">
        <f>[2]CZ_decarbplus_opex!C111</f>
        <v>6.6686899999999995E-4</v>
      </c>
      <c r="F111" s="187">
        <f>[2]CZ_decarbplus_opex!D111</f>
        <v>3.6106099999999998E-4</v>
      </c>
      <c r="G111" s="187">
        <f>[2]CZ_decarbplus_opex!E111</f>
        <v>5.0500000000000001E-5</v>
      </c>
      <c r="H111" s="187">
        <f>[2]CZ_decarbplus_opex!F111</f>
        <v>1.1563199999999999E-4</v>
      </c>
      <c r="I111" s="187">
        <f>[2]CZ_decarbplus_opex!G111</f>
        <v>2.1295490000000001E-3</v>
      </c>
      <c r="J111" s="187">
        <f>[2]CZ_decarbplus_opex!H111</f>
        <v>8.7544360000000009E-3</v>
      </c>
      <c r="K111" s="187">
        <f>[2]CZ_decarbplus_opex!I111</f>
        <v>1.5998799999999999E-4</v>
      </c>
      <c r="L111" s="187">
        <f>[2]CZ_decarbplus_opex!J111</f>
        <v>7.9732000000000002E-4</v>
      </c>
      <c r="M111" s="187">
        <f>[2]CZ_decarbplus_opex!K111</f>
        <v>2.8158720000000001E-3</v>
      </c>
      <c r="N111" s="187">
        <f>[2]CZ_decarbplus_opex!L111</f>
        <v>1.176702E-3</v>
      </c>
      <c r="O111" s="187">
        <f>[2]CZ_decarbplus_opex!M111</f>
        <v>7.5578400000000001E-4</v>
      </c>
      <c r="P111" s="187">
        <f>[2]CZ_decarbplus_opex!N111</f>
        <v>6.4618840000000002E-3</v>
      </c>
      <c r="Q111" s="187">
        <f>[2]CZ_decarbplus_opex!O111</f>
        <v>6.5449059999999996E-3</v>
      </c>
      <c r="R111" s="187">
        <f>[2]CZ_decarbplus_opex!P111</f>
        <v>2.9455300000000002E-4</v>
      </c>
      <c r="S111" s="187">
        <f>[2]CZ_decarbplus_opex!Q111</f>
        <v>3.2246660000000002E-3</v>
      </c>
      <c r="T111" s="187">
        <f>[2]CZ_decarbplus_opex!R111</f>
        <v>3.2922099999999998E-3</v>
      </c>
      <c r="U111" s="187">
        <f>[2]CZ_decarbplus_opex!S111</f>
        <v>1.1383087E-2</v>
      </c>
      <c r="V111" s="187">
        <f>[2]CZ_decarbplus_opex!T111</f>
        <v>5.5667659999999999E-3</v>
      </c>
      <c r="W111" s="187">
        <f>[2]CZ_decarbplus_opex!U111</f>
        <v>2.5983450000000002E-3</v>
      </c>
      <c r="X111" s="187">
        <f>[2]CZ_decarbplus_opex!V111</f>
        <v>1.606421E-3</v>
      </c>
      <c r="Y111" s="187">
        <f>[2]CZ_decarbplus_opex!W111</f>
        <v>4.111824E-3</v>
      </c>
      <c r="Z111" s="187">
        <f>[2]CZ_decarbplus_opex!X111</f>
        <v>8.4395419999999995E-3</v>
      </c>
      <c r="AA111" s="187">
        <f>[2]CZ_decarbplus_opex!Y111</f>
        <v>1.6672E-4</v>
      </c>
      <c r="AB111" s="188">
        <f>[3]CZ_decarb_opex!B111</f>
        <v>1.0946893180591399E-4</v>
      </c>
      <c r="AC111" s="188">
        <f>[3]CZ_decarb_opex!C111</f>
        <v>1.04911341824612E-3</v>
      </c>
      <c r="AD111" s="188">
        <f>[3]CZ_decarb_opex!D111</f>
        <v>1.8073528375023801E-3</v>
      </c>
      <c r="AE111" s="188">
        <f>[2]CZ_decarbplus_opex!Z111</f>
        <v>1.8901790000000001E-3</v>
      </c>
      <c r="AF111" s="188">
        <f>[2]CZ_decarbplus_opex!AA111</f>
        <v>5.8343450000000003E-3</v>
      </c>
      <c r="AG111" s="188">
        <f>[2]CZ_decarbplus_opex!AB111</f>
        <v>1.6726709999999999E-3</v>
      </c>
      <c r="AH111" s="188">
        <f>[2]CZ_decarbplus_opex!AC111</f>
        <v>1.086942E-3</v>
      </c>
      <c r="AI111" s="188">
        <f>[2]CZ_decarbplus_opex!AD111</f>
        <v>2.7953850000000001E-3</v>
      </c>
      <c r="AJ111" s="188">
        <f>[2]CZ_decarbplus_opex!AE111</f>
        <v>9.4043499999999999E-4</v>
      </c>
      <c r="AK111" s="188">
        <f>[2]CZ_decarbplus_opex!AF111</f>
        <v>1.3741090000000001E-3</v>
      </c>
      <c r="AL111" s="188">
        <f>[3]CZ_decarb_opex!E111</f>
        <v>3.5050658144862002E-3</v>
      </c>
      <c r="AM111" s="188">
        <f>[3]CZ_decarb_opex!F111</f>
        <v>1.5447831808711101E-3</v>
      </c>
      <c r="AN111" s="188">
        <f>[2]CZ_decarbplus_opex!AG111</f>
        <v>5.0235260000000004E-3</v>
      </c>
      <c r="AO111" s="188">
        <f>[3]CZ_decarb_opex!G111</f>
        <v>1.03280880735687E-3</v>
      </c>
      <c r="AP111" s="188">
        <f>[3]CZ_decarb_opex!H111</f>
        <v>4.4313708601779597E-3</v>
      </c>
      <c r="AQ111" s="188">
        <f>[2]CZ_decarbplus_opex!AH111</f>
        <v>6.0459100000000003E-4</v>
      </c>
      <c r="AR111" s="188">
        <f>[2]CZ_decarbplus_opex!AI111</f>
        <v>0</v>
      </c>
      <c r="AS111" s="188">
        <f>[2]CZ_decarbplus_opex!AJ111</f>
        <v>3.7804729999999999E-3</v>
      </c>
      <c r="AT111" s="188">
        <f>[2]CZ_decarbplus_opex!AK111</f>
        <v>3.1194399999999998E-4</v>
      </c>
      <c r="AU111" s="188">
        <f>[2]CZ_decarbplus_opex!AL111</f>
        <v>1.2003899999999999E-4</v>
      </c>
      <c r="AV111" s="188">
        <f>[2]CZ_decarbplus_opex!AM111</f>
        <v>6.9599999999999998E-5</v>
      </c>
      <c r="AW111" s="188">
        <f>[2]CZ_decarbplus_opex!AN111</f>
        <v>5.3455600000000005E-4</v>
      </c>
      <c r="AX111" s="188">
        <f>[2]CZ_decarbplus_opex!AO111</f>
        <v>0</v>
      </c>
      <c r="AY111" s="188">
        <f>[2]CZ_decarbplus_opex!AP111</f>
        <v>1.040036E-3</v>
      </c>
      <c r="AZ111" s="188">
        <f>[2]CZ_decarbplus_opex!AQ111</f>
        <v>0</v>
      </c>
      <c r="BA111" s="188">
        <f>[2]CZ_decarbplus_opex!AR111</f>
        <v>3.2786799999999999E-4</v>
      </c>
      <c r="BB111" s="188">
        <f>[2]CZ_decarbplus_opex!AS111</f>
        <v>1.987216E-3</v>
      </c>
      <c r="BC111" s="188">
        <f>[2]CZ_decarbplus_opex!AT111</f>
        <v>3.4500529999999998E-3</v>
      </c>
      <c r="BD111" s="188">
        <f>[2]CZ_decarbplus_opex!AU111</f>
        <v>1.59968E-4</v>
      </c>
      <c r="BE111" s="188">
        <f>[2]CZ_decarbplus_opex!AV111</f>
        <v>2.0435150000000001E-3</v>
      </c>
      <c r="BF111" s="188">
        <f>[2]CZ_decarbplus_opex!AW111</f>
        <v>5.01941E-4</v>
      </c>
      <c r="BG111" s="188">
        <f>[2]CZ_decarbplus_opex!AX111</f>
        <v>5.1288260000000004E-3</v>
      </c>
      <c r="BH111" s="188">
        <f>[3]CZ_decarb_opex!I111</f>
        <v>6.5341410040488E-4</v>
      </c>
      <c r="BI111" s="188">
        <f>[2]CZ_decarbplus_opex!AY111</f>
        <v>1.20488E-3</v>
      </c>
      <c r="BJ111" s="188">
        <f>[2]CZ_decarbplus_opex!AZ111</f>
        <v>2.4994100000000001E-3</v>
      </c>
      <c r="BK111" s="188">
        <f>[2]CZ_decarbplus_opex!BA111</f>
        <v>7.2471099999999995E-4</v>
      </c>
      <c r="BL111" s="188">
        <f>[2]CZ_decarbplus_opex!BB111</f>
        <v>0</v>
      </c>
      <c r="BM111" s="188">
        <f>[3]CZ_decarb_opex!J111</f>
        <v>9.9039112263292099E-5</v>
      </c>
      <c r="BN111" s="188">
        <f>[3]CZ_decarb_opex!K111</f>
        <v>1.5132922127386901E-4</v>
      </c>
      <c r="BO111" s="188">
        <f>[3]CZ_decarb_opex!L111</f>
        <v>3.37800687937365E-5</v>
      </c>
      <c r="BP111" s="188">
        <f>[3]CZ_decarb_opex!M111</f>
        <v>6.2947833430436405E-5</v>
      </c>
      <c r="BQ111" s="188">
        <f>[3]CZ_decarb_opex!N111</f>
        <v>6.7878900421027604E-5</v>
      </c>
      <c r="BR111" s="188">
        <f>[3]CZ_decarb_opex!O111</f>
        <v>1.75221660393749E-4</v>
      </c>
      <c r="BS111" s="188">
        <f>[3]CZ_decarb_opex!P111</f>
        <v>1.4298951793509601E-4</v>
      </c>
      <c r="BT111" s="188">
        <f>[3]CZ_decarb_opex!Q111</f>
        <v>1.16678896134579E-4</v>
      </c>
      <c r="BU111" s="188">
        <f>[3]CZ_decarb_opex!R111</f>
        <v>5.5396441434879999E-5</v>
      </c>
      <c r="BV111" s="188">
        <f>[3]CZ_decarb_opex!S111</f>
        <v>5.5396441434879999E-5</v>
      </c>
      <c r="BW111" s="188">
        <f>[3]CZ_decarb_opex!T111</f>
        <v>1.7751860952279799E-5</v>
      </c>
      <c r="BX111" s="188">
        <f>[3]CZ_decarb_opex!U111</f>
        <v>7.1795866497410698E-7</v>
      </c>
      <c r="BY111" s="188">
        <f>[3]CZ_decarb_opex!V111</f>
        <v>1.20946094627398E-5</v>
      </c>
      <c r="BZ111" s="188">
        <f>[2]CZ_decarbplus_opex!BC111</f>
        <v>9.0000000000000006E-5</v>
      </c>
      <c r="CA111" s="188">
        <f>[2]CZ_decarbplus_opex!BD111</f>
        <v>1.5427699E-2</v>
      </c>
      <c r="CB111" s="188">
        <f>[2]CZ_decarbplus_opex!BE111</f>
        <v>1.2758451000000001E-2</v>
      </c>
      <c r="CC111" s="188">
        <f>[2]CZ_decarbplus_opex!BF111</f>
        <v>4.945078E-2</v>
      </c>
      <c r="CD111" s="188">
        <f>[2]CZ_decarbplus_opex!BG111</f>
        <v>3.3675900000000001E-4</v>
      </c>
      <c r="CE111" s="188">
        <f>[2]CZ_decarbplus_opex!BH111</f>
        <v>1.362631E-3</v>
      </c>
      <c r="CF111" s="188">
        <f>[2]CZ_decarbplus_opex!BI111</f>
        <v>5.12559E-4</v>
      </c>
      <c r="CG111" s="188">
        <f>[2]CZ_decarbplus_opex!BJ111</f>
        <v>1.478037E-3</v>
      </c>
    </row>
    <row r="112" spans="1:85" x14ac:dyDescent="0.25">
      <c r="A112" s="5" t="s">
        <v>215</v>
      </c>
      <c r="B112" s="2" t="s">
        <v>214</v>
      </c>
      <c r="C112" s="1" t="s">
        <v>330</v>
      </c>
      <c r="D112" s="187">
        <f>[2]CZ_decarbplus_opex!B112</f>
        <v>1.251629E-3</v>
      </c>
      <c r="E112" s="187">
        <f>[2]CZ_decarbplus_opex!C112</f>
        <v>1.1095289999999999E-3</v>
      </c>
      <c r="F112" s="187">
        <f>[2]CZ_decarbplus_opex!D112</f>
        <v>6.1430800000000004E-4</v>
      </c>
      <c r="G112" s="187">
        <f>[2]CZ_decarbplus_opex!E112</f>
        <v>1.26329E-4</v>
      </c>
      <c r="H112" s="187">
        <f>[2]CZ_decarbplus_opex!F112</f>
        <v>2.2720300000000001E-4</v>
      </c>
      <c r="I112" s="187">
        <f>[2]CZ_decarbplus_opex!G112</f>
        <v>3.2797270000000001E-3</v>
      </c>
      <c r="J112" s="187">
        <f>[2]CZ_decarbplus_opex!H112</f>
        <v>1.2896919999999999E-2</v>
      </c>
      <c r="K112" s="187">
        <f>[2]CZ_decarbplus_opex!I112</f>
        <v>3.9357299999999998E-4</v>
      </c>
      <c r="L112" s="187">
        <f>[2]CZ_decarbplus_opex!J112</f>
        <v>1.324422E-3</v>
      </c>
      <c r="M112" s="187">
        <f>[2]CZ_decarbplus_opex!K112</f>
        <v>4.2543060000000002E-3</v>
      </c>
      <c r="N112" s="187">
        <f>[2]CZ_decarbplus_opex!L112</f>
        <v>1.9904240000000002E-3</v>
      </c>
      <c r="O112" s="187">
        <f>[2]CZ_decarbplus_opex!M112</f>
        <v>1.348421E-3</v>
      </c>
      <c r="P112" s="187">
        <f>[2]CZ_decarbplus_opex!N112</f>
        <v>8.2302920000000002E-3</v>
      </c>
      <c r="Q112" s="187">
        <f>[2]CZ_decarbplus_opex!O112</f>
        <v>7.0780909999999999E-3</v>
      </c>
      <c r="R112" s="187">
        <f>[2]CZ_decarbplus_opex!P112</f>
        <v>6.8190899999999997E-4</v>
      </c>
      <c r="S112" s="187">
        <f>[2]CZ_decarbplus_opex!Q112</f>
        <v>4.3381310000000003E-3</v>
      </c>
      <c r="T112" s="187">
        <f>[2]CZ_decarbplus_opex!R112</f>
        <v>4.5970539999999997E-3</v>
      </c>
      <c r="U112" s="187">
        <f>[2]CZ_decarbplus_opex!S112</f>
        <v>1.6765799000000001E-2</v>
      </c>
      <c r="V112" s="187">
        <f>[2]CZ_decarbplus_opex!T112</f>
        <v>9.2168879999999995E-3</v>
      </c>
      <c r="W112" s="187">
        <f>[2]CZ_decarbplus_opex!U112</f>
        <v>3.421468E-3</v>
      </c>
      <c r="X112" s="187">
        <f>[2]CZ_decarbplus_opex!V112</f>
        <v>2.3611439999999999E-3</v>
      </c>
      <c r="Y112" s="187">
        <f>[2]CZ_decarbplus_opex!W112</f>
        <v>4.8482849999999999E-3</v>
      </c>
      <c r="Z112" s="187">
        <f>[2]CZ_decarbplus_opex!X112</f>
        <v>1.0916303E-2</v>
      </c>
      <c r="AA112" s="187">
        <f>[2]CZ_decarbplus_opex!Y112</f>
        <v>1.263068E-3</v>
      </c>
      <c r="AB112" s="188">
        <f>[3]CZ_decarb_opex!B112</f>
        <v>6.4922659236433795E-4</v>
      </c>
      <c r="AC112" s="188">
        <f>[3]CZ_decarb_opex!C112</f>
        <v>2.0785644425696101E-3</v>
      </c>
      <c r="AD112" s="188">
        <f>[3]CZ_decarb_opex!D112</f>
        <v>2.7859504172782199E-3</v>
      </c>
      <c r="AE112" s="188">
        <f>[2]CZ_decarbplus_opex!Z112</f>
        <v>3.0284140000000001E-3</v>
      </c>
      <c r="AF112" s="188">
        <f>[2]CZ_decarbplus_opex!AA112</f>
        <v>7.2417330000000002E-3</v>
      </c>
      <c r="AG112" s="188">
        <f>[2]CZ_decarbplus_opex!AB112</f>
        <v>2.140159E-3</v>
      </c>
      <c r="AH112" s="188">
        <f>[2]CZ_decarbplus_opex!AC112</f>
        <v>1.6077859999999999E-3</v>
      </c>
      <c r="AI112" s="188">
        <f>[2]CZ_decarbplus_opex!AD112</f>
        <v>4.0072609999999998E-3</v>
      </c>
      <c r="AJ112" s="188">
        <f>[2]CZ_decarbplus_opex!AE112</f>
        <v>1.883909E-3</v>
      </c>
      <c r="AK112" s="188">
        <f>[2]CZ_decarbplus_opex!AF112</f>
        <v>2.140791E-3</v>
      </c>
      <c r="AL112" s="188">
        <f>[3]CZ_decarb_opex!E112</f>
        <v>4.9252142432523998E-3</v>
      </c>
      <c r="AM112" s="188">
        <f>[3]CZ_decarb_opex!F112</f>
        <v>2.3577699462270598E-3</v>
      </c>
      <c r="AN112" s="188">
        <f>[2]CZ_decarbplus_opex!AG112</f>
        <v>6.4613559999999997E-3</v>
      </c>
      <c r="AO112" s="188">
        <f>[3]CZ_decarb_opex!G112</f>
        <v>1.6066188344992999E-3</v>
      </c>
      <c r="AP112" s="188">
        <f>[3]CZ_decarb_opex!H112</f>
        <v>5.6783107544196897E-3</v>
      </c>
      <c r="AQ112" s="188">
        <f>[2]CZ_decarbplus_opex!AH112</f>
        <v>1.245199E-3</v>
      </c>
      <c r="AR112" s="188">
        <f>[2]CZ_decarbplus_opex!AI112</f>
        <v>0</v>
      </c>
      <c r="AS112" s="188">
        <f>[2]CZ_decarbplus_opex!AJ112</f>
        <v>5.046376E-3</v>
      </c>
      <c r="AT112" s="188">
        <f>[2]CZ_decarbplus_opex!AK112</f>
        <v>9.2462100000000004E-4</v>
      </c>
      <c r="AU112" s="188">
        <f>[2]CZ_decarbplus_opex!AL112</f>
        <v>3.7537200000000001E-4</v>
      </c>
      <c r="AV112" s="188">
        <f>[2]CZ_decarbplus_opex!AM112</f>
        <v>2.8352500000000002E-4</v>
      </c>
      <c r="AW112" s="188">
        <f>[2]CZ_decarbplus_opex!AN112</f>
        <v>1.039299E-3</v>
      </c>
      <c r="AX112" s="188">
        <f>[2]CZ_decarbplus_opex!AO112</f>
        <v>0</v>
      </c>
      <c r="AY112" s="188">
        <f>[2]CZ_decarbplus_opex!AP112</f>
        <v>1.862612E-3</v>
      </c>
      <c r="AZ112" s="188">
        <f>[2]CZ_decarbplus_opex!AQ112</f>
        <v>0</v>
      </c>
      <c r="BA112" s="188">
        <f>[2]CZ_decarbplus_opex!AR112</f>
        <v>7.02128E-4</v>
      </c>
      <c r="BB112" s="188">
        <f>[2]CZ_decarbplus_opex!AS112</f>
        <v>2.6002360000000001E-3</v>
      </c>
      <c r="BC112" s="188">
        <f>[2]CZ_decarbplus_opex!AT112</f>
        <v>4.6053839999999997E-3</v>
      </c>
      <c r="BD112" s="188">
        <f>[2]CZ_decarbplus_opex!AU112</f>
        <v>4.72662E-4</v>
      </c>
      <c r="BE112" s="188">
        <f>[2]CZ_decarbplus_opex!AV112</f>
        <v>2.967033E-3</v>
      </c>
      <c r="BF112" s="188">
        <f>[2]CZ_decarbplus_opex!AW112</f>
        <v>7.2067699999999997E-4</v>
      </c>
      <c r="BG112" s="188">
        <f>[2]CZ_decarbplus_opex!AX112</f>
        <v>6.1857459999999998E-3</v>
      </c>
      <c r="BH112" s="188">
        <f>[3]CZ_decarb_opex!I112</f>
        <v>1.0670970389916701E-3</v>
      </c>
      <c r="BI112" s="188">
        <f>[2]CZ_decarbplus_opex!AY112</f>
        <v>1.5637890000000001E-3</v>
      </c>
      <c r="BJ112" s="188">
        <f>[2]CZ_decarbplus_opex!AZ112</f>
        <v>3.1288359999999999E-3</v>
      </c>
      <c r="BK112" s="188">
        <f>[2]CZ_decarbplus_opex!BA112</f>
        <v>1.6712140000000001E-3</v>
      </c>
      <c r="BL112" s="188">
        <f>[2]CZ_decarbplus_opex!BB112</f>
        <v>0</v>
      </c>
      <c r="BM112" s="188">
        <f>[3]CZ_decarb_opex!J112</f>
        <v>7.5171489717313505E-4</v>
      </c>
      <c r="BN112" s="188">
        <f>[3]CZ_decarb_opex!K112</f>
        <v>1.0211896024248199E-3</v>
      </c>
      <c r="BO112" s="188">
        <f>[3]CZ_decarb_opex!L112</f>
        <v>2.5008401482366901E-4</v>
      </c>
      <c r="BP112" s="188">
        <f>[3]CZ_decarb_opex!M112</f>
        <v>4.3793325184165999E-4</v>
      </c>
      <c r="BQ112" s="188">
        <f>[3]CZ_decarb_opex!N112</f>
        <v>5.1409632399214997E-4</v>
      </c>
      <c r="BR112" s="188">
        <f>[3]CZ_decarb_opex!O112</f>
        <v>5.8291047446742299E-4</v>
      </c>
      <c r="BS112" s="188">
        <f>[3]CZ_decarb_opex!P112</f>
        <v>1.0730161344223201E-3</v>
      </c>
      <c r="BT112" s="188">
        <f>[3]CZ_decarb_opex!Q112</f>
        <v>2.5372005800634498E-4</v>
      </c>
      <c r="BU112" s="188">
        <f>[3]CZ_decarb_opex!R112</f>
        <v>4.3098925709542601E-4</v>
      </c>
      <c r="BV112" s="188">
        <f>[3]CZ_decarb_opex!S112</f>
        <v>4.3098925709542801E-4</v>
      </c>
      <c r="BW112" s="188">
        <f>[3]CZ_decarb_opex!T112</f>
        <v>3.2389763264302701E-4</v>
      </c>
      <c r="BX112" s="188">
        <f>[3]CZ_decarb_opex!U112</f>
        <v>4.2915553951296899E-6</v>
      </c>
      <c r="BY112" s="188">
        <f>[3]CZ_decarb_opex!V112</f>
        <v>4.0735217937139901E-5</v>
      </c>
      <c r="BZ112" s="188">
        <f>[2]CZ_decarbplus_opex!BC112</f>
        <v>6.4765199999999997E-4</v>
      </c>
      <c r="CA112" s="188">
        <f>[2]CZ_decarbplus_opex!BD112</f>
        <v>7.5159397000000003E-2</v>
      </c>
      <c r="CB112" s="188">
        <f>[2]CZ_decarbplus_opex!BE112</f>
        <v>6.8040154000000005E-2</v>
      </c>
      <c r="CC112" s="188">
        <f>[2]CZ_decarbplus_opex!BF112</f>
        <v>5.4405723000000003E-2</v>
      </c>
      <c r="CD112" s="188">
        <f>[2]CZ_decarbplus_opex!BG112</f>
        <v>2.133846E-3</v>
      </c>
      <c r="CE112" s="188">
        <f>[2]CZ_decarbplus_opex!BH112</f>
        <v>7.0233819999999999E-3</v>
      </c>
      <c r="CF112" s="188">
        <f>[2]CZ_decarbplus_opex!BI112</f>
        <v>1.4443559999999999E-3</v>
      </c>
      <c r="CG112" s="188">
        <f>[2]CZ_decarbplus_opex!BJ112</f>
        <v>1.959915E-3</v>
      </c>
    </row>
    <row r="113" spans="1:85" x14ac:dyDescent="0.25">
      <c r="A113" s="5" t="s">
        <v>217</v>
      </c>
      <c r="B113" s="2" t="s">
        <v>216</v>
      </c>
      <c r="C113" s="1" t="s">
        <v>330</v>
      </c>
      <c r="D113" s="187">
        <f>[2]CZ_decarbplus_opex!B113</f>
        <v>2.6100000000000001E-5</v>
      </c>
      <c r="E113" s="187">
        <f>[2]CZ_decarbplus_opex!C113</f>
        <v>9.0799999999999995E-6</v>
      </c>
      <c r="F113" s="187">
        <f>[2]CZ_decarbplus_opex!D113</f>
        <v>3.0960100000000001E-4</v>
      </c>
      <c r="G113" s="187">
        <f>[2]CZ_decarbplus_opex!E113</f>
        <v>7.4499999999999996E-7</v>
      </c>
      <c r="H113" s="187">
        <f>[2]CZ_decarbplus_opex!F113</f>
        <v>1.4500000000000001E-6</v>
      </c>
      <c r="I113" s="187">
        <f>[2]CZ_decarbplus_opex!G113</f>
        <v>1.9899999999999999E-5</v>
      </c>
      <c r="J113" s="187">
        <f>[2]CZ_decarbplus_opex!H113</f>
        <v>6.4399999999999993E-5</v>
      </c>
      <c r="K113" s="187">
        <f>[2]CZ_decarbplus_opex!I113</f>
        <v>2.26E-6</v>
      </c>
      <c r="L113" s="187">
        <f>[2]CZ_decarbplus_opex!J113</f>
        <v>1.3499999999999999E-5</v>
      </c>
      <c r="M113" s="187">
        <f>[2]CZ_decarbplus_opex!K113</f>
        <v>3.5299999999999997E-5</v>
      </c>
      <c r="N113" s="187">
        <f>[2]CZ_decarbplus_opex!L113</f>
        <v>2.1299999999999999E-5</v>
      </c>
      <c r="O113" s="187">
        <f>[2]CZ_decarbplus_opex!M113</f>
        <v>5.2764299999999995E-4</v>
      </c>
      <c r="P113" s="187">
        <f>[2]CZ_decarbplus_opex!N113</f>
        <v>3.1000000000000001E-5</v>
      </c>
      <c r="Q113" s="187">
        <f>[2]CZ_decarbplus_opex!O113</f>
        <v>4.2967359999999998E-3</v>
      </c>
      <c r="R113" s="187">
        <f>[2]CZ_decarbplus_opex!P113</f>
        <v>1.5660500000000001E-4</v>
      </c>
      <c r="S113" s="187">
        <f>[2]CZ_decarbplus_opex!Q113</f>
        <v>1.0200000000000001E-5</v>
      </c>
      <c r="T113" s="187">
        <f>[2]CZ_decarbplus_opex!R113</f>
        <v>9.9199999999999999E-6</v>
      </c>
      <c r="U113" s="187">
        <f>[2]CZ_decarbplus_opex!S113</f>
        <v>2.2099999999999998E-5</v>
      </c>
      <c r="V113" s="187">
        <f>[2]CZ_decarbplus_opex!T113</f>
        <v>2.97E-5</v>
      </c>
      <c r="W113" s="187">
        <f>[2]CZ_decarbplus_opex!U113</f>
        <v>9.2199999999999998E-6</v>
      </c>
      <c r="X113" s="187">
        <f>[2]CZ_decarbplus_opex!V113</f>
        <v>6.7599999999999997E-6</v>
      </c>
      <c r="Y113" s="187">
        <f>[2]CZ_decarbplus_opex!W113</f>
        <v>1.1711744E-2</v>
      </c>
      <c r="Z113" s="187">
        <f>[2]CZ_decarbplus_opex!X113</f>
        <v>1.0705177999999999E-2</v>
      </c>
      <c r="AA113" s="187">
        <f>[2]CZ_decarbplus_opex!Y113</f>
        <v>4.9299999999999999E-5</v>
      </c>
      <c r="AB113" s="188">
        <f>[3]CZ_decarb_opex!B113</f>
        <v>1.8846425861964202E-5</v>
      </c>
      <c r="AC113" s="188">
        <f>[3]CZ_decarb_opex!C113</f>
        <v>2.56900711080358E-5</v>
      </c>
      <c r="AD113" s="188">
        <f>[3]CZ_decarb_opex!D113</f>
        <v>1.7221821664401401E-5</v>
      </c>
      <c r="AE113" s="188">
        <f>[2]CZ_decarbplus_opex!Z113</f>
        <v>1.6099999999999998E-5</v>
      </c>
      <c r="AF113" s="188">
        <f>[2]CZ_decarbplus_opex!AA113</f>
        <v>4.7899999999999999E-5</v>
      </c>
      <c r="AG113" s="188">
        <f>[2]CZ_decarbplus_opex!AB113</f>
        <v>1.27E-5</v>
      </c>
      <c r="AH113" s="188">
        <f>[2]CZ_decarbplus_opex!AC113</f>
        <v>1.0200000000000001E-5</v>
      </c>
      <c r="AI113" s="188">
        <f>[2]CZ_decarbplus_opex!AD113</f>
        <v>1.31E-5</v>
      </c>
      <c r="AJ113" s="188">
        <f>[2]CZ_decarbplus_opex!AE113</f>
        <v>6.5200000000000003E-6</v>
      </c>
      <c r="AK113" s="188">
        <f>[2]CZ_decarbplus_opex!AF113</f>
        <v>9.2299999999999997E-6</v>
      </c>
      <c r="AL113" s="188">
        <f>[3]CZ_decarb_opex!E113</f>
        <v>1.13696909621767E-5</v>
      </c>
      <c r="AM113" s="188">
        <f>[3]CZ_decarb_opex!F113</f>
        <v>6.9689989554070301E-6</v>
      </c>
      <c r="AN113" s="188">
        <f>[2]CZ_decarbplus_opex!AG113</f>
        <v>1.88E-5</v>
      </c>
      <c r="AO113" s="188">
        <f>[3]CZ_decarb_opex!G113</f>
        <v>1.6646719731240801E-4</v>
      </c>
      <c r="AP113" s="188">
        <f>[3]CZ_decarb_opex!H113</f>
        <v>4.6802133798897101E-4</v>
      </c>
      <c r="AQ113" s="188">
        <f>[2]CZ_decarbplus_opex!AH113</f>
        <v>7.2000000000000002E-5</v>
      </c>
      <c r="AR113" s="188">
        <f>[2]CZ_decarbplus_opex!AI113</f>
        <v>0</v>
      </c>
      <c r="AS113" s="188">
        <f>[2]CZ_decarbplus_opex!AJ113</f>
        <v>5.5699999999999999E-5</v>
      </c>
      <c r="AT113" s="188">
        <f>[2]CZ_decarbplus_opex!AK113</f>
        <v>6.5099999999999997E-5</v>
      </c>
      <c r="AU113" s="188">
        <f>[2]CZ_decarbplus_opex!AL113</f>
        <v>3.54E-6</v>
      </c>
      <c r="AV113" s="188">
        <f>[2]CZ_decarbplus_opex!AM113</f>
        <v>1.7600000000000001E-6</v>
      </c>
      <c r="AW113" s="188">
        <f>[2]CZ_decarbplus_opex!AN113</f>
        <v>6.3899999999999995E-5</v>
      </c>
      <c r="AX113" s="188">
        <f>[2]CZ_decarbplus_opex!AO113</f>
        <v>0</v>
      </c>
      <c r="AY113" s="188">
        <f>[2]CZ_decarbplus_opex!AP113</f>
        <v>9.1700000000000006E-5</v>
      </c>
      <c r="AZ113" s="188">
        <f>[2]CZ_decarbplus_opex!AQ113</f>
        <v>0</v>
      </c>
      <c r="BA113" s="188">
        <f>[2]CZ_decarbplus_opex!AR113</f>
        <v>5.49E-5</v>
      </c>
      <c r="BB113" s="188">
        <f>[2]CZ_decarbplus_opex!AS113</f>
        <v>1.15E-5</v>
      </c>
      <c r="BC113" s="188">
        <f>[2]CZ_decarbplus_opex!AT113</f>
        <v>4.4799999999999998E-5</v>
      </c>
      <c r="BD113" s="188">
        <f>[2]CZ_decarbplus_opex!AU113</f>
        <v>5.0300000000000003E-5</v>
      </c>
      <c r="BE113" s="188">
        <f>[2]CZ_decarbplus_opex!AV113</f>
        <v>6.19E-5</v>
      </c>
      <c r="BF113" s="188">
        <f>[2]CZ_decarbplus_opex!AW113</f>
        <v>1.0699999999999999E-5</v>
      </c>
      <c r="BG113" s="188">
        <f>[2]CZ_decarbplus_opex!AX113</f>
        <v>2.4700000000000001E-5</v>
      </c>
      <c r="BH113" s="188">
        <f>[3]CZ_decarb_opex!I113</f>
        <v>2.3872299092623499E-5</v>
      </c>
      <c r="BI113" s="188">
        <f>[2]CZ_decarbplus_opex!AY113</f>
        <v>1.5699999999999999E-5</v>
      </c>
      <c r="BJ113" s="188">
        <f>[2]CZ_decarbplus_opex!AZ113</f>
        <v>1.3900000000000001E-5</v>
      </c>
      <c r="BK113" s="188">
        <f>[2]CZ_decarbplus_opex!BA113</f>
        <v>1.0293699999999999E-4</v>
      </c>
      <c r="BL113" s="188">
        <f>[2]CZ_decarbplus_opex!BB113</f>
        <v>0</v>
      </c>
      <c r="BM113" s="188">
        <f>[3]CZ_decarb_opex!J113</f>
        <v>3.15989525652443E-3</v>
      </c>
      <c r="BN113" s="188">
        <f>[3]CZ_decarb_opex!K113</f>
        <v>2.6822856029032002E-2</v>
      </c>
      <c r="BO113" s="188">
        <f>[3]CZ_decarb_opex!L113</f>
        <v>2.8777829354581502E-4</v>
      </c>
      <c r="BP113" s="188">
        <f>[3]CZ_decarb_opex!M113</f>
        <v>2.6440655436770302E-4</v>
      </c>
      <c r="BQ113" s="188">
        <f>[3]CZ_decarb_opex!N113</f>
        <v>3.1661788754176301E-4</v>
      </c>
      <c r="BR113" s="188">
        <f>[3]CZ_decarb_opex!O113</f>
        <v>8.9515164827490695E-3</v>
      </c>
      <c r="BS113" s="188">
        <f>[3]CZ_decarb_opex!P113</f>
        <v>1.5705286465449601E-2</v>
      </c>
      <c r="BT113" s="188">
        <f>[3]CZ_decarb_opex!Q113</f>
        <v>0.71169451156609698</v>
      </c>
      <c r="BU113" s="188">
        <f>[3]CZ_decarb_opex!R113</f>
        <v>4.1175951021386501E-4</v>
      </c>
      <c r="BV113" s="188">
        <f>[3]CZ_decarb_opex!S113</f>
        <v>4.1175951021386501E-4</v>
      </c>
      <c r="BW113" s="188">
        <f>[3]CZ_decarb_opex!T113</f>
        <v>7.3412308534686693E-2</v>
      </c>
      <c r="BX113" s="188">
        <f>[3]CZ_decarb_opex!U113</f>
        <v>7.5822326762960102E-4</v>
      </c>
      <c r="BY113" s="188">
        <f>[3]CZ_decarb_opex!V113</f>
        <v>9.0513793312426207E-6</v>
      </c>
      <c r="BZ113" s="188">
        <f>[2]CZ_decarbplus_opex!BC113</f>
        <v>3.5152540000000002E-3</v>
      </c>
      <c r="CA113" s="188">
        <f>[2]CZ_decarbplus_opex!BD113</f>
        <v>2.7398899999999998E-4</v>
      </c>
      <c r="CB113" s="188">
        <f>[2]CZ_decarbplus_opex!BE113</f>
        <v>1.96959E-4</v>
      </c>
      <c r="CC113" s="188">
        <f>[2]CZ_decarbplus_opex!BF113</f>
        <v>1.7772788000000001E-2</v>
      </c>
      <c r="CD113" s="188">
        <f>[2]CZ_decarbplus_opex!BG113</f>
        <v>3.3893841000000001E-2</v>
      </c>
      <c r="CE113" s="188">
        <f>[2]CZ_decarbplus_opex!BH113</f>
        <v>8.0799999999999999E-5</v>
      </c>
      <c r="CF113" s="188">
        <f>[2]CZ_decarbplus_opex!BI113</f>
        <v>8.25E-5</v>
      </c>
      <c r="CG113" s="188">
        <f>[2]CZ_decarbplus_opex!BJ113</f>
        <v>9.5300000000000002E-6</v>
      </c>
    </row>
    <row r="114" spans="1:85" x14ac:dyDescent="0.25">
      <c r="A114" s="5" t="s">
        <v>219</v>
      </c>
      <c r="B114" s="2" t="s">
        <v>218</v>
      </c>
      <c r="C114" s="1" t="s">
        <v>330</v>
      </c>
      <c r="D114" s="187">
        <f>[2]CZ_decarbplus_opex!B114</f>
        <v>2.1848899999999999E-4</v>
      </c>
      <c r="E114" s="187">
        <f>[2]CZ_decarbplus_opex!C114</f>
        <v>1.5162199999999999E-4</v>
      </c>
      <c r="F114" s="187">
        <f>[2]CZ_decarbplus_opex!D114</f>
        <v>1.5533699999999999E-4</v>
      </c>
      <c r="G114" s="187">
        <f>[2]CZ_decarbplus_opex!E114</f>
        <v>2.02E-5</v>
      </c>
      <c r="H114" s="187">
        <f>[2]CZ_decarbplus_opex!F114</f>
        <v>5.6700000000000003E-5</v>
      </c>
      <c r="I114" s="187">
        <f>[2]CZ_decarbplus_opex!G114</f>
        <v>3.02618E-4</v>
      </c>
      <c r="J114" s="187">
        <f>[2]CZ_decarbplus_opex!H114</f>
        <v>1.1298040000000001E-3</v>
      </c>
      <c r="K114" s="187">
        <f>[2]CZ_decarbplus_opex!I114</f>
        <v>4.3699999999999998E-5</v>
      </c>
      <c r="L114" s="187">
        <f>[2]CZ_decarbplus_opex!J114</f>
        <v>1.80106E-4</v>
      </c>
      <c r="M114" s="187">
        <f>[2]CZ_decarbplus_opex!K114</f>
        <v>6.7089600000000004E-4</v>
      </c>
      <c r="N114" s="187">
        <f>[2]CZ_decarbplus_opex!L114</f>
        <v>5.4719399999999998E-4</v>
      </c>
      <c r="O114" s="187">
        <f>[2]CZ_decarbplus_opex!M114</f>
        <v>3.8222100000000003E-4</v>
      </c>
      <c r="P114" s="187">
        <f>[2]CZ_decarbplus_opex!N114</f>
        <v>4.2431899999999999E-4</v>
      </c>
      <c r="Q114" s="187">
        <f>[2]CZ_decarbplus_opex!O114</f>
        <v>6.9351299999999999E-4</v>
      </c>
      <c r="R114" s="187">
        <f>[2]CZ_decarbplus_opex!P114</f>
        <v>5.3300000000000001E-5</v>
      </c>
      <c r="S114" s="187">
        <f>[2]CZ_decarbplus_opex!Q114</f>
        <v>1.8740299999999999E-4</v>
      </c>
      <c r="T114" s="187">
        <f>[2]CZ_decarbplus_opex!R114</f>
        <v>1.80519E-4</v>
      </c>
      <c r="U114" s="187">
        <f>[2]CZ_decarbplus_opex!S114</f>
        <v>3.1333899999999999E-4</v>
      </c>
      <c r="V114" s="187">
        <f>[2]CZ_decarbplus_opex!T114</f>
        <v>1.87856E-4</v>
      </c>
      <c r="W114" s="187">
        <f>[2]CZ_decarbplus_opex!U114</f>
        <v>1.9148400000000001E-4</v>
      </c>
      <c r="X114" s="187">
        <f>[2]CZ_decarbplus_opex!V114</f>
        <v>9.3700000000000001E-5</v>
      </c>
      <c r="Y114" s="187">
        <f>[2]CZ_decarbplus_opex!W114</f>
        <v>7.4971780000000002E-3</v>
      </c>
      <c r="Z114" s="187">
        <f>[2]CZ_decarbplus_opex!X114</f>
        <v>1.8039617000000001E-2</v>
      </c>
      <c r="AA114" s="187">
        <f>[2]CZ_decarbplus_opex!Y114</f>
        <v>2.1017900000000001E-4</v>
      </c>
      <c r="AB114" s="188">
        <f>[3]CZ_decarb_opex!B114</f>
        <v>1.0904684827404501E-3</v>
      </c>
      <c r="AC114" s="188">
        <f>[3]CZ_decarb_opex!C114</f>
        <v>6.0285697224132502E-4</v>
      </c>
      <c r="AD114" s="188">
        <f>[3]CZ_decarb_opex!D114</f>
        <v>3.2520877792445397E-4</v>
      </c>
      <c r="AE114" s="188">
        <f>[2]CZ_decarbplus_opex!Z114</f>
        <v>1.7122099999999999E-4</v>
      </c>
      <c r="AF114" s="188">
        <f>[2]CZ_decarbplus_opex!AA114</f>
        <v>1.442416E-3</v>
      </c>
      <c r="AG114" s="188">
        <f>[2]CZ_decarbplus_opex!AB114</f>
        <v>3.5500000000000002E-5</v>
      </c>
      <c r="AH114" s="188">
        <f>[2]CZ_decarbplus_opex!AC114</f>
        <v>4.1900000000000002E-5</v>
      </c>
      <c r="AI114" s="188">
        <f>[2]CZ_decarbplus_opex!AD114</f>
        <v>9.5799999999999998E-5</v>
      </c>
      <c r="AJ114" s="188">
        <f>[2]CZ_decarbplus_opex!AE114</f>
        <v>3.01E-5</v>
      </c>
      <c r="AK114" s="188">
        <f>[2]CZ_decarbplus_opex!AF114</f>
        <v>6.2000000000000003E-5</v>
      </c>
      <c r="AL114" s="188">
        <f>[3]CZ_decarb_opex!E114</f>
        <v>1.17608084528371E-4</v>
      </c>
      <c r="AM114" s="188">
        <f>[3]CZ_decarb_opex!F114</f>
        <v>5.7025977729590599E-5</v>
      </c>
      <c r="AN114" s="188">
        <f>[2]CZ_decarbplus_opex!AG114</f>
        <v>2.36085E-4</v>
      </c>
      <c r="AO114" s="188">
        <f>[3]CZ_decarb_opex!G114</f>
        <v>3.1863774514212799E-4</v>
      </c>
      <c r="AP114" s="188">
        <f>[3]CZ_decarb_opex!H114</f>
        <v>5.8474256436928098E-4</v>
      </c>
      <c r="AQ114" s="188">
        <f>[2]CZ_decarbplus_opex!AH114</f>
        <v>3.5357800000000001E-4</v>
      </c>
      <c r="AR114" s="188">
        <f>[2]CZ_decarbplus_opex!AI114</f>
        <v>0</v>
      </c>
      <c r="AS114" s="188">
        <f>[2]CZ_decarbplus_opex!AJ114</f>
        <v>3.7606100000000002E-4</v>
      </c>
      <c r="AT114" s="188">
        <f>[2]CZ_decarbplus_opex!AK114</f>
        <v>2.9237300000000001E-4</v>
      </c>
      <c r="AU114" s="188">
        <f>[2]CZ_decarbplus_opex!AL114</f>
        <v>4.2599999999999999E-5</v>
      </c>
      <c r="AV114" s="188">
        <f>[2]CZ_decarbplus_opex!AM114</f>
        <v>1.08E-5</v>
      </c>
      <c r="AW114" s="188">
        <f>[2]CZ_decarbplus_opex!AN114</f>
        <v>2.76307E-4</v>
      </c>
      <c r="AX114" s="188">
        <f>[2]CZ_decarbplus_opex!AO114</f>
        <v>0</v>
      </c>
      <c r="AY114" s="188">
        <f>[2]CZ_decarbplus_opex!AP114</f>
        <v>3.45259E-4</v>
      </c>
      <c r="AZ114" s="188">
        <f>[2]CZ_decarbplus_opex!AQ114</f>
        <v>0</v>
      </c>
      <c r="BA114" s="188">
        <f>[2]CZ_decarbplus_opex!AR114</f>
        <v>1.6679999999999999E-4</v>
      </c>
      <c r="BB114" s="188">
        <f>[2]CZ_decarbplus_opex!AS114</f>
        <v>1.8548100000000001E-4</v>
      </c>
      <c r="BC114" s="188">
        <f>[2]CZ_decarbplus_opex!AT114</f>
        <v>3.84516E-4</v>
      </c>
      <c r="BD114" s="188">
        <f>[2]CZ_decarbplus_opex!AU114</f>
        <v>1.3260999999999999E-4</v>
      </c>
      <c r="BE114" s="188">
        <f>[2]CZ_decarbplus_opex!AV114</f>
        <v>2.7313100000000002E-4</v>
      </c>
      <c r="BF114" s="188">
        <f>[2]CZ_decarbplus_opex!AW114</f>
        <v>8.1000000000000004E-5</v>
      </c>
      <c r="BG114" s="188">
        <f>[2]CZ_decarbplus_opex!AX114</f>
        <v>1.08631E-4</v>
      </c>
      <c r="BH114" s="188">
        <f>[3]CZ_decarb_opex!I114</f>
        <v>1.01497536847174E-4</v>
      </c>
      <c r="BI114" s="188">
        <f>[2]CZ_decarbplus_opex!AY114</f>
        <v>1.7796700000000001E-4</v>
      </c>
      <c r="BJ114" s="188">
        <f>[2]CZ_decarbplus_opex!AZ114</f>
        <v>6.6799999999999997E-5</v>
      </c>
      <c r="BK114" s="188">
        <f>[2]CZ_decarbplus_opex!BA114</f>
        <v>4.5287300000000001E-4</v>
      </c>
      <c r="BL114" s="188">
        <f>[2]CZ_decarbplus_opex!BB114</f>
        <v>0</v>
      </c>
      <c r="BM114" s="188">
        <f>[3]CZ_decarb_opex!J114</f>
        <v>5.6010257896148699E-5</v>
      </c>
      <c r="BN114" s="188">
        <f>[3]CZ_decarb_opex!K114</f>
        <v>3.2580703061185301E-4</v>
      </c>
      <c r="BO114" s="188">
        <f>[3]CZ_decarb_opex!L114</f>
        <v>3.04609981249283E-5</v>
      </c>
      <c r="BP114" s="188">
        <f>[3]CZ_decarb_opex!M114</f>
        <v>1.7072108634105299E-4</v>
      </c>
      <c r="BQ114" s="188">
        <f>[3]CZ_decarb_opex!N114</f>
        <v>5.8351677511747901E-5</v>
      </c>
      <c r="BR114" s="188">
        <f>[3]CZ_decarb_opex!O114</f>
        <v>4.9605798173275097E-5</v>
      </c>
      <c r="BS114" s="188">
        <f>[3]CZ_decarb_opex!P114</f>
        <v>3.2459631548366E-4</v>
      </c>
      <c r="BT114" s="188">
        <f>[3]CZ_decarb_opex!Q114</f>
        <v>8.5957439749670506E-5</v>
      </c>
      <c r="BU114" s="188">
        <f>[3]CZ_decarb_opex!R114</f>
        <v>3.1163714778236402E-5</v>
      </c>
      <c r="BV114" s="188">
        <f>[3]CZ_decarb_opex!S114</f>
        <v>3.1163714778236497E-5</v>
      </c>
      <c r="BW114" s="188">
        <f>[3]CZ_decarb_opex!T114</f>
        <v>9.1820158470360598E-6</v>
      </c>
      <c r="BX114" s="188">
        <f>[3]CZ_decarb_opex!U114</f>
        <v>1.55806937452359E-5</v>
      </c>
      <c r="BY114" s="188">
        <f>[3]CZ_decarb_opex!V114</f>
        <v>9.8494867558395995E-5</v>
      </c>
      <c r="BZ114" s="188">
        <f>[2]CZ_decarbplus_opex!BC114</f>
        <v>1.2595600000000001E-4</v>
      </c>
      <c r="CA114" s="188">
        <f>[2]CZ_decarbplus_opex!BD114</f>
        <v>1.773604E-3</v>
      </c>
      <c r="CB114" s="188">
        <f>[2]CZ_decarbplus_opex!BE114</f>
        <v>6.5289199999999997E-4</v>
      </c>
      <c r="CC114" s="188">
        <f>[2]CZ_decarbplus_opex!BF114</f>
        <v>0.13155651500000001</v>
      </c>
      <c r="CD114" s="188">
        <f>[2]CZ_decarbplus_opex!BG114</f>
        <v>9.6018609999999997E-3</v>
      </c>
      <c r="CE114" s="188">
        <f>[2]CZ_decarbplus_opex!BH114</f>
        <v>4.1428899999999998E-4</v>
      </c>
      <c r="CF114" s="188">
        <f>[2]CZ_decarbplus_opex!BI114</f>
        <v>4.5068199999999999E-4</v>
      </c>
      <c r="CG114" s="188">
        <f>[2]CZ_decarbplus_opex!BJ114</f>
        <v>4.0163299999999998E-4</v>
      </c>
    </row>
    <row r="115" spans="1:85" x14ac:dyDescent="0.25">
      <c r="A115" s="5" t="s">
        <v>221</v>
      </c>
      <c r="B115" s="2" t="s">
        <v>220</v>
      </c>
      <c r="C115" s="1" t="s">
        <v>330</v>
      </c>
      <c r="D115" s="187">
        <f>[2]CZ_decarbplus_opex!B115</f>
        <v>2.02062E-4</v>
      </c>
      <c r="E115" s="187">
        <f>[2]CZ_decarbplus_opex!C115</f>
        <v>2.3005399999999999E-4</v>
      </c>
      <c r="F115" s="187">
        <f>[2]CZ_decarbplus_opex!D115</f>
        <v>1.1582399999999999E-4</v>
      </c>
      <c r="G115" s="187">
        <f>[2]CZ_decarbplus_opex!E115</f>
        <v>1.7E-5</v>
      </c>
      <c r="H115" s="187">
        <f>[2]CZ_decarbplus_opex!F115</f>
        <v>3.7400000000000001E-5</v>
      </c>
      <c r="I115" s="187">
        <f>[2]CZ_decarbplus_opex!G115</f>
        <v>4.3637800000000002E-4</v>
      </c>
      <c r="J115" s="187">
        <f>[2]CZ_decarbplus_opex!H115</f>
        <v>3.65817E-4</v>
      </c>
      <c r="K115" s="187">
        <f>[2]CZ_decarbplus_opex!I115</f>
        <v>4.7599999999999998E-5</v>
      </c>
      <c r="L115" s="187">
        <f>[2]CZ_decarbplus_opex!J115</f>
        <v>5.9913999999999996E-4</v>
      </c>
      <c r="M115" s="187">
        <f>[2]CZ_decarbplus_opex!K115</f>
        <v>1.8053559999999999E-3</v>
      </c>
      <c r="N115" s="187">
        <f>[2]CZ_decarbplus_opex!L115</f>
        <v>1.2448820000000001E-3</v>
      </c>
      <c r="O115" s="187">
        <f>[2]CZ_decarbplus_opex!M115</f>
        <v>2.3968200000000001E-4</v>
      </c>
      <c r="P115" s="187">
        <f>[2]CZ_decarbplus_opex!N115</f>
        <v>3.0907500000000002E-4</v>
      </c>
      <c r="Q115" s="187">
        <f>[2]CZ_decarbplus_opex!O115</f>
        <v>1.1862300000000001E-4</v>
      </c>
      <c r="R115" s="187">
        <f>[2]CZ_decarbplus_opex!P115</f>
        <v>5.0300000000000003E-5</v>
      </c>
      <c r="S115" s="187">
        <f>[2]CZ_decarbplus_opex!Q115</f>
        <v>1.0346800000000001E-4</v>
      </c>
      <c r="T115" s="187">
        <f>[2]CZ_decarbplus_opex!R115</f>
        <v>9.3800000000000003E-5</v>
      </c>
      <c r="U115" s="187">
        <f>[2]CZ_decarbplus_opex!S115</f>
        <v>1.170529E-3</v>
      </c>
      <c r="V115" s="187">
        <f>[2]CZ_decarbplus_opex!T115</f>
        <v>1.48112E-3</v>
      </c>
      <c r="W115" s="187">
        <f>[2]CZ_decarbplus_opex!U115</f>
        <v>5.7408999999999997E-4</v>
      </c>
      <c r="X115" s="187">
        <f>[2]CZ_decarbplus_opex!V115</f>
        <v>6.0699999999999998E-5</v>
      </c>
      <c r="Y115" s="187">
        <f>[2]CZ_decarbplus_opex!W115</f>
        <v>7.5934500000000003E-4</v>
      </c>
      <c r="Z115" s="187">
        <f>[2]CZ_decarbplus_opex!X115</f>
        <v>4.2594679999999998E-3</v>
      </c>
      <c r="AA115" s="187">
        <f>[2]CZ_decarbplus_opex!Y115</f>
        <v>6.5106779999999998E-3</v>
      </c>
      <c r="AB115" s="188">
        <f>[3]CZ_decarb_opex!B115</f>
        <v>1.3220498934009799E-4</v>
      </c>
      <c r="AC115" s="188">
        <f>[3]CZ_decarb_opex!C115</f>
        <v>2.3888610735493202E-3</v>
      </c>
      <c r="AD115" s="188">
        <f>[3]CZ_decarb_opex!D115</f>
        <v>1.6975919049231E-3</v>
      </c>
      <c r="AE115" s="188">
        <f>[2]CZ_decarbplus_opex!Z115</f>
        <v>1.5141320000000001E-3</v>
      </c>
      <c r="AF115" s="188">
        <f>[2]CZ_decarbplus_opex!AA115</f>
        <v>1.0731339999999999E-3</v>
      </c>
      <c r="AG115" s="188">
        <f>[2]CZ_decarbplus_opex!AB115</f>
        <v>1.2855000000000001E-4</v>
      </c>
      <c r="AH115" s="188">
        <f>[2]CZ_decarbplus_opex!AC115</f>
        <v>7.1500000000000003E-5</v>
      </c>
      <c r="AI115" s="188">
        <f>[2]CZ_decarbplus_opex!AD115</f>
        <v>1.2849700000000001E-4</v>
      </c>
      <c r="AJ115" s="188">
        <f>[2]CZ_decarbplus_opex!AE115</f>
        <v>8.1699999999999994E-5</v>
      </c>
      <c r="AK115" s="188">
        <f>[2]CZ_decarbplus_opex!AF115</f>
        <v>1.39025E-4</v>
      </c>
      <c r="AL115" s="188">
        <f>[3]CZ_decarb_opex!E115</f>
        <v>1.7378815917905299E-4</v>
      </c>
      <c r="AM115" s="188">
        <f>[3]CZ_decarb_opex!F115</f>
        <v>1.30747460515533E-4</v>
      </c>
      <c r="AN115" s="188">
        <f>[2]CZ_decarbplus_opex!AG115</f>
        <v>2.4184799999999999E-4</v>
      </c>
      <c r="AO115" s="188">
        <f>[3]CZ_decarb_opex!G115</f>
        <v>3.3838702307089702E-4</v>
      </c>
      <c r="AP115" s="188">
        <f>[3]CZ_decarb_opex!H115</f>
        <v>4.8247187049231701E-4</v>
      </c>
      <c r="AQ115" s="188">
        <f>[2]CZ_decarbplus_opex!AH115</f>
        <v>5.8319000000000003E-4</v>
      </c>
      <c r="AR115" s="188">
        <f>[2]CZ_decarbplus_opex!AI115</f>
        <v>0</v>
      </c>
      <c r="AS115" s="188">
        <f>[2]CZ_decarbplus_opex!AJ115</f>
        <v>2.6133500000000002E-4</v>
      </c>
      <c r="AT115" s="188">
        <f>[2]CZ_decarbplus_opex!AK115</f>
        <v>1.8762100000000001E-4</v>
      </c>
      <c r="AU115" s="188">
        <f>[2]CZ_decarbplus_opex!AL115</f>
        <v>1.46491E-4</v>
      </c>
      <c r="AV115" s="188">
        <f>[2]CZ_decarbplus_opex!AM115</f>
        <v>5.8300000000000001E-5</v>
      </c>
      <c r="AW115" s="188">
        <f>[2]CZ_decarbplus_opex!AN115</f>
        <v>2.85059E-4</v>
      </c>
      <c r="AX115" s="188">
        <f>[2]CZ_decarbplus_opex!AO115</f>
        <v>0</v>
      </c>
      <c r="AY115" s="188">
        <f>[2]CZ_decarbplus_opex!AP115</f>
        <v>3.2691000000000003E-4</v>
      </c>
      <c r="AZ115" s="188">
        <f>[2]CZ_decarbplus_opex!AQ115</f>
        <v>0</v>
      </c>
      <c r="BA115" s="188">
        <f>[2]CZ_decarbplus_opex!AR115</f>
        <v>4.8453100000000001E-4</v>
      </c>
      <c r="BB115" s="188">
        <f>[2]CZ_decarbplus_opex!AS115</f>
        <v>5.5027400000000001E-4</v>
      </c>
      <c r="BC115" s="188">
        <f>[2]CZ_decarbplus_opex!AT115</f>
        <v>9.0365900000000002E-4</v>
      </c>
      <c r="BD115" s="188">
        <f>[2]CZ_decarbplus_opex!AU115</f>
        <v>1.04806E-4</v>
      </c>
      <c r="BE115" s="188">
        <f>[2]CZ_decarbplus_opex!AV115</f>
        <v>2.4626900000000002E-4</v>
      </c>
      <c r="BF115" s="188">
        <f>[2]CZ_decarbplus_opex!AW115</f>
        <v>7.2200000000000007E-5</v>
      </c>
      <c r="BG115" s="188">
        <f>[2]CZ_decarbplus_opex!AX115</f>
        <v>2.1379299999999999E-4</v>
      </c>
      <c r="BH115" s="188">
        <f>[3]CZ_decarb_opex!I115</f>
        <v>5.2888875406946999E-4</v>
      </c>
      <c r="BI115" s="188">
        <f>[2]CZ_decarbplus_opex!AY115</f>
        <v>4.0178399999999997E-4</v>
      </c>
      <c r="BJ115" s="188">
        <f>[2]CZ_decarbplus_opex!AZ115</f>
        <v>1.8045600000000001E-4</v>
      </c>
      <c r="BK115" s="188">
        <f>[2]CZ_decarbplus_opex!BA115</f>
        <v>3.6441799999999998E-4</v>
      </c>
      <c r="BL115" s="188">
        <f>[2]CZ_decarbplus_opex!BB115</f>
        <v>0</v>
      </c>
      <c r="BM115" s="188">
        <f>[3]CZ_decarb_opex!J115</f>
        <v>6.8661508659314803E-4</v>
      </c>
      <c r="BN115" s="188">
        <f>[3]CZ_decarb_opex!K115</f>
        <v>1.2148241093597901E-3</v>
      </c>
      <c r="BO115" s="188">
        <f>[3]CZ_decarb_opex!L115</f>
        <v>4.7435586280217197E-4</v>
      </c>
      <c r="BP115" s="188">
        <f>[3]CZ_decarb_opex!M115</f>
        <v>7.3455384727238603E-4</v>
      </c>
      <c r="BQ115" s="188">
        <f>[3]CZ_decarb_opex!N115</f>
        <v>5.1782695927648798E-4</v>
      </c>
      <c r="BR115" s="188">
        <f>[3]CZ_decarb_opex!O115</f>
        <v>2.13441745430597E-4</v>
      </c>
      <c r="BS115" s="188">
        <f>[3]CZ_decarb_opex!P115</f>
        <v>6.30941336281931E-4</v>
      </c>
      <c r="BT115" s="188">
        <f>[3]CZ_decarb_opex!Q115</f>
        <v>6.1466949114440898E-4</v>
      </c>
      <c r="BU115" s="188">
        <f>[3]CZ_decarb_opex!R115</f>
        <v>4.0780985947006199E-4</v>
      </c>
      <c r="BV115" s="188">
        <f>[3]CZ_decarb_opex!S115</f>
        <v>4.0780985947006302E-4</v>
      </c>
      <c r="BW115" s="188">
        <f>[3]CZ_decarb_opex!T115</f>
        <v>2.5127218565855801E-3</v>
      </c>
      <c r="BX115" s="188">
        <f>[3]CZ_decarb_opex!U115</f>
        <v>2.86292475873035E-5</v>
      </c>
      <c r="BY115" s="188">
        <f>[3]CZ_decarb_opex!V115</f>
        <v>5.2957210579137796E-6</v>
      </c>
      <c r="BZ115" s="188">
        <f>[2]CZ_decarbplus_opex!BC115</f>
        <v>9.2323100000000005E-4</v>
      </c>
      <c r="CA115" s="188">
        <f>[2]CZ_decarbplus_opex!BD115</f>
        <v>9.5323800000000002E-4</v>
      </c>
      <c r="CB115" s="188">
        <f>[2]CZ_decarbplus_opex!BE115</f>
        <v>7.7178399999999997E-4</v>
      </c>
      <c r="CC115" s="188">
        <f>[2]CZ_decarbplus_opex!BF115</f>
        <v>1.2035640000000001E-3</v>
      </c>
      <c r="CD115" s="188">
        <f>[2]CZ_decarbplus_opex!BG115</f>
        <v>1.188564E-3</v>
      </c>
      <c r="CE115" s="188">
        <f>[2]CZ_decarbplus_opex!BH115</f>
        <v>1.6348971E-2</v>
      </c>
      <c r="CF115" s="188">
        <f>[2]CZ_decarbplus_opex!BI115</f>
        <v>7.5414099999999995E-4</v>
      </c>
      <c r="CG115" s="188">
        <f>[2]CZ_decarbplus_opex!BJ115</f>
        <v>1.0226E-3</v>
      </c>
    </row>
    <row r="116" spans="1:85" s="8" customFormat="1" x14ac:dyDescent="0.25">
      <c r="A116" s="7" t="s">
        <v>223</v>
      </c>
      <c r="B116" s="2" t="s">
        <v>222</v>
      </c>
      <c r="C116" s="1" t="s">
        <v>331</v>
      </c>
      <c r="D116" s="187">
        <f>[2]CZ_decarbplus_opex!B116</f>
        <v>3.1338149999999999E-3</v>
      </c>
      <c r="E116" s="187">
        <f>[2]CZ_decarbplus_opex!C116</f>
        <v>7.2314600000000003E-4</v>
      </c>
      <c r="F116" s="187">
        <f>[2]CZ_decarbplus_opex!D116</f>
        <v>5.0439500000000004E-4</v>
      </c>
      <c r="G116" s="187">
        <f>[2]CZ_decarbplus_opex!E116</f>
        <v>1.00917E-4</v>
      </c>
      <c r="H116" s="187">
        <f>[2]CZ_decarbplus_opex!F116</f>
        <v>1.8015500000000001E-4</v>
      </c>
      <c r="I116" s="187">
        <f>[2]CZ_decarbplus_opex!G116</f>
        <v>1.107972E-3</v>
      </c>
      <c r="J116" s="187">
        <f>[2]CZ_decarbplus_opex!H116</f>
        <v>3.1787149999999999E-3</v>
      </c>
      <c r="K116" s="187">
        <f>[2]CZ_decarbplus_opex!I116</f>
        <v>3.0298499999999997E-4</v>
      </c>
      <c r="L116" s="187">
        <f>[2]CZ_decarbplus_opex!J116</f>
        <v>1.342431E-3</v>
      </c>
      <c r="M116" s="187">
        <f>[2]CZ_decarbplus_opex!K116</f>
        <v>7.0982830000000004E-3</v>
      </c>
      <c r="N116" s="187">
        <f>[2]CZ_decarbplus_opex!L116</f>
        <v>2.2503480000000001E-3</v>
      </c>
      <c r="O116" s="187">
        <f>[2]CZ_decarbplus_opex!M116</f>
        <v>1.928744E-3</v>
      </c>
      <c r="P116" s="187">
        <f>[2]CZ_decarbplus_opex!N116</f>
        <v>2.7838369999999999E-3</v>
      </c>
      <c r="Q116" s="187">
        <f>[2]CZ_decarbplus_opex!O116</f>
        <v>7.5237299999999997E-4</v>
      </c>
      <c r="R116" s="187">
        <f>[2]CZ_decarbplus_opex!P116</f>
        <v>6.2637999999999995E-4</v>
      </c>
      <c r="S116" s="187">
        <f>[2]CZ_decarbplus_opex!Q116</f>
        <v>5.8455879999999997E-3</v>
      </c>
      <c r="T116" s="187">
        <f>[2]CZ_decarbplus_opex!R116</f>
        <v>5.0653390000000003E-3</v>
      </c>
      <c r="U116" s="187">
        <f>[2]CZ_decarbplus_opex!S116</f>
        <v>7.9952860000000008E-3</v>
      </c>
      <c r="V116" s="187">
        <f>[2]CZ_decarbplus_opex!T116</f>
        <v>8.2884689999999997E-3</v>
      </c>
      <c r="W116" s="187">
        <f>[2]CZ_decarbplus_opex!U116</f>
        <v>6.2757259999999997E-3</v>
      </c>
      <c r="X116" s="187">
        <f>[2]CZ_decarbplus_opex!V116</f>
        <v>6.9343400000000004E-4</v>
      </c>
      <c r="Y116" s="187">
        <f>[2]CZ_decarbplus_opex!W116</f>
        <v>4.6793629999999998E-3</v>
      </c>
      <c r="Z116" s="187">
        <f>[2]CZ_decarbplus_opex!X116</f>
        <v>1.1933747E-2</v>
      </c>
      <c r="AA116" s="187">
        <f>[2]CZ_decarbplus_opex!Y116</f>
        <v>6.4723421000000003E-2</v>
      </c>
      <c r="AB116" s="188">
        <f>[3]CZ_decarb_opex!B116</f>
        <v>1.88465808675112E-3</v>
      </c>
      <c r="AC116" s="188">
        <f>[3]CZ_decarb_opex!C116</f>
        <v>3.8614117390545601E-3</v>
      </c>
      <c r="AD116" s="188">
        <f>[3]CZ_decarb_opex!D116</f>
        <v>9.3494861544835706E-3</v>
      </c>
      <c r="AE116" s="188">
        <f>[2]CZ_decarbplus_opex!Z116</f>
        <v>7.7562680000000002E-3</v>
      </c>
      <c r="AF116" s="188">
        <f>[2]CZ_decarbplus_opex!AA116</f>
        <v>2.2719982999999999E-2</v>
      </c>
      <c r="AG116" s="188">
        <f>[2]CZ_decarbplus_opex!AB116</f>
        <v>2.7830379999999998E-3</v>
      </c>
      <c r="AH116" s="188">
        <f>[2]CZ_decarbplus_opex!AC116</f>
        <v>7.8066239999999999E-3</v>
      </c>
      <c r="AI116" s="188">
        <f>[2]CZ_decarbplus_opex!AD116</f>
        <v>3.0571869999999998E-3</v>
      </c>
      <c r="AJ116" s="188">
        <f>[2]CZ_decarbplus_opex!AE116</f>
        <v>3.232361E-3</v>
      </c>
      <c r="AK116" s="188">
        <f>[2]CZ_decarbplus_opex!AF116</f>
        <v>7.2555680000000004E-3</v>
      </c>
      <c r="AL116" s="188">
        <f>[3]CZ_decarb_opex!E116</f>
        <v>6.2928505605343004E-3</v>
      </c>
      <c r="AM116" s="188">
        <f>[3]CZ_decarb_opex!F116</f>
        <v>5.8458010913237197E-3</v>
      </c>
      <c r="AN116" s="188">
        <f>[2]CZ_decarbplus_opex!AG116</f>
        <v>6.85588E-3</v>
      </c>
      <c r="AO116" s="188">
        <f>[3]CZ_decarb_opex!G116</f>
        <v>3.6743748816919098E-3</v>
      </c>
      <c r="AP116" s="188">
        <f>[3]CZ_decarb_opex!H116</f>
        <v>3.5222725677823202E-3</v>
      </c>
      <c r="AQ116" s="188">
        <f>[2]CZ_decarbplus_opex!AH116</f>
        <v>3.4989320000000002E-3</v>
      </c>
      <c r="AR116" s="188">
        <f>[2]CZ_decarbplus_opex!AI116</f>
        <v>0</v>
      </c>
      <c r="AS116" s="188">
        <f>[2]CZ_decarbplus_opex!AJ116</f>
        <v>3.319766E-3</v>
      </c>
      <c r="AT116" s="188">
        <f>[2]CZ_decarbplus_opex!AK116</f>
        <v>3.6239240000000002E-3</v>
      </c>
      <c r="AU116" s="188">
        <f>[2]CZ_decarbplus_opex!AL116</f>
        <v>3.9227100000000003E-4</v>
      </c>
      <c r="AV116" s="188">
        <f>[2]CZ_decarbplus_opex!AM116</f>
        <v>2.7088600000000002E-4</v>
      </c>
      <c r="AW116" s="188">
        <f>[2]CZ_decarbplus_opex!AN116</f>
        <v>2.3073709999999999E-3</v>
      </c>
      <c r="AX116" s="188">
        <f>[2]CZ_decarbplus_opex!AO116</f>
        <v>0</v>
      </c>
      <c r="AY116" s="188">
        <f>[2]CZ_decarbplus_opex!AP116</f>
        <v>3.0581380000000002E-3</v>
      </c>
      <c r="AZ116" s="188">
        <f>[2]CZ_decarbplus_opex!AQ116</f>
        <v>0</v>
      </c>
      <c r="BA116" s="188">
        <f>[2]CZ_decarbplus_opex!AR116</f>
        <v>3.04725E-3</v>
      </c>
      <c r="BB116" s="188">
        <f>[2]CZ_decarbplus_opex!AS116</f>
        <v>3.0326540000000001E-3</v>
      </c>
      <c r="BC116" s="188">
        <f>[2]CZ_decarbplus_opex!AT116</f>
        <v>6.596111E-3</v>
      </c>
      <c r="BD116" s="188">
        <f>[2]CZ_decarbplus_opex!AU116</f>
        <v>1.5355760000000001E-3</v>
      </c>
      <c r="BE116" s="188">
        <f>[2]CZ_decarbplus_opex!AV116</f>
        <v>3.1564010000000003E-2</v>
      </c>
      <c r="BF116" s="188">
        <f>[2]CZ_decarbplus_opex!AW116</f>
        <v>5.1427579999999999E-3</v>
      </c>
      <c r="BG116" s="188">
        <f>[2]CZ_decarbplus_opex!AX116</f>
        <v>3.9761309999999999E-3</v>
      </c>
      <c r="BH116" s="188">
        <f>[3]CZ_decarb_opex!I116</f>
        <v>3.4494809387046301E-3</v>
      </c>
      <c r="BI116" s="188">
        <f>[2]CZ_decarbplus_opex!AY116</f>
        <v>2.4077539999999998E-3</v>
      </c>
      <c r="BJ116" s="188">
        <f>[2]CZ_decarbplus_opex!AZ116</f>
        <v>7.9364559999999997E-3</v>
      </c>
      <c r="BK116" s="188">
        <f>[2]CZ_decarbplus_opex!BA116</f>
        <v>1.5142462000000001E-2</v>
      </c>
      <c r="BL116" s="188">
        <f>[2]CZ_decarbplus_opex!BB116</f>
        <v>0</v>
      </c>
      <c r="BM116" s="188">
        <f>[3]CZ_decarb_opex!J116</f>
        <v>7.2359561828253703E-3</v>
      </c>
      <c r="BN116" s="188">
        <f>[3]CZ_decarb_opex!K116</f>
        <v>8.4904844071271302E-3</v>
      </c>
      <c r="BO116" s="188">
        <f>[3]CZ_decarb_opex!L116</f>
        <v>4.1783345150354003E-3</v>
      </c>
      <c r="BP116" s="188">
        <f>[3]CZ_decarb_opex!M116</f>
        <v>7.00929536695783E-3</v>
      </c>
      <c r="BQ116" s="188">
        <f>[3]CZ_decarb_opex!N116</f>
        <v>7.6910829748098502E-3</v>
      </c>
      <c r="BR116" s="188">
        <f>[3]CZ_decarb_opex!O116</f>
        <v>2.9804848118935599E-2</v>
      </c>
      <c r="BS116" s="188">
        <f>[3]CZ_decarb_opex!P116</f>
        <v>5.7598205705822799E-3</v>
      </c>
      <c r="BT116" s="188">
        <f>[3]CZ_decarb_opex!Q116</f>
        <v>4.2467168198911899E-3</v>
      </c>
      <c r="BU116" s="188">
        <f>[3]CZ_decarb_opex!R116</f>
        <v>9.1497606308390805E-3</v>
      </c>
      <c r="BV116" s="188">
        <f>[3]CZ_decarb_opex!S116</f>
        <v>9.1497606308390805E-3</v>
      </c>
      <c r="BW116" s="188">
        <f>[3]CZ_decarb_opex!T116</f>
        <v>2.3158337335053699E-3</v>
      </c>
      <c r="BX116" s="188">
        <f>[3]CZ_decarb_opex!U116</f>
        <v>1.6581518145475699E-5</v>
      </c>
      <c r="BY116" s="188">
        <f>[3]CZ_decarb_opex!V116</f>
        <v>9.3171355641026997E-5</v>
      </c>
      <c r="BZ116" s="188">
        <f>[2]CZ_decarbplus_opex!BC116</f>
        <v>1.1226269000000001E-2</v>
      </c>
      <c r="CA116" s="188">
        <f>[2]CZ_decarbplus_opex!BD116</f>
        <v>1.0602598E-2</v>
      </c>
      <c r="CB116" s="188">
        <f>[2]CZ_decarbplus_opex!BE116</f>
        <v>7.8449680000000008E-3</v>
      </c>
      <c r="CC116" s="188">
        <f>[2]CZ_decarbplus_opex!BF116</f>
        <v>6.9121700000000005E-4</v>
      </c>
      <c r="CD116" s="188">
        <f>[2]CZ_decarbplus_opex!BG116</f>
        <v>7.2177559999999997E-3</v>
      </c>
      <c r="CE116" s="188">
        <f>[2]CZ_decarbplus_opex!BH116</f>
        <v>3.4834575999999999E-2</v>
      </c>
      <c r="CF116" s="188">
        <f>[2]CZ_decarbplus_opex!BI116</f>
        <v>0.27312404600000001</v>
      </c>
      <c r="CG116" s="188">
        <f>[2]CZ_decarbplus_opex!BJ116</f>
        <v>4.3841740000000002E-3</v>
      </c>
    </row>
    <row r="117" spans="1:85" x14ac:dyDescent="0.25">
      <c r="A117" s="5" t="s">
        <v>225</v>
      </c>
      <c r="B117" s="2" t="s">
        <v>224</v>
      </c>
      <c r="C117" s="1" t="s">
        <v>331</v>
      </c>
      <c r="D117" s="187">
        <f>[2]CZ_decarbplus_opex!B117</f>
        <v>1.2799999999999999E-5</v>
      </c>
      <c r="E117" s="187">
        <f>[2]CZ_decarbplus_opex!C117</f>
        <v>3.01E-6</v>
      </c>
      <c r="F117" s="187">
        <f>[2]CZ_decarbplus_opex!D117</f>
        <v>2.0600000000000002E-6</v>
      </c>
      <c r="G117" s="187">
        <f>[2]CZ_decarbplus_opex!E117</f>
        <v>3.8099999999999998E-7</v>
      </c>
      <c r="H117" s="187">
        <f>[2]CZ_decarbplus_opex!F117</f>
        <v>7.0699999999999996E-7</v>
      </c>
      <c r="I117" s="187">
        <f>[2]CZ_decarbplus_opex!G117</f>
        <v>4.5399999999999997E-6</v>
      </c>
      <c r="J117" s="187">
        <f>[2]CZ_decarbplus_opex!H117</f>
        <v>1.27E-5</v>
      </c>
      <c r="K117" s="187">
        <f>[2]CZ_decarbplus_opex!I117</f>
        <v>1.1799999999999999E-6</v>
      </c>
      <c r="L117" s="187">
        <f>[2]CZ_decarbplus_opex!J117</f>
        <v>5.2800000000000003E-6</v>
      </c>
      <c r="M117" s="187">
        <f>[2]CZ_decarbplus_opex!K117</f>
        <v>2.7399999999999999E-5</v>
      </c>
      <c r="N117" s="187">
        <f>[2]CZ_decarbplus_opex!L117</f>
        <v>9.5200000000000003E-6</v>
      </c>
      <c r="O117" s="187">
        <f>[2]CZ_decarbplus_opex!M117</f>
        <v>7.9300000000000003E-6</v>
      </c>
      <c r="P117" s="187">
        <f>[2]CZ_decarbplus_opex!N117</f>
        <v>1.1399999999999999E-5</v>
      </c>
      <c r="Q117" s="187">
        <f>[2]CZ_decarbplus_opex!O117</f>
        <v>1.7999999999999999E-6</v>
      </c>
      <c r="R117" s="187">
        <f>[2]CZ_decarbplus_opex!P117</f>
        <v>2.0899999999999999E-6</v>
      </c>
      <c r="S117" s="187">
        <f>[2]CZ_decarbplus_opex!Q117</f>
        <v>2.27E-5</v>
      </c>
      <c r="T117" s="187">
        <f>[2]CZ_decarbplus_opex!R117</f>
        <v>1.95E-5</v>
      </c>
      <c r="U117" s="187">
        <f>[2]CZ_decarbplus_opex!S117</f>
        <v>3.1000000000000001E-5</v>
      </c>
      <c r="V117" s="187">
        <f>[2]CZ_decarbplus_opex!T117</f>
        <v>3.2400000000000001E-5</v>
      </c>
      <c r="W117" s="187">
        <f>[2]CZ_decarbplus_opex!U117</f>
        <v>2.4000000000000001E-5</v>
      </c>
      <c r="X117" s="187">
        <f>[2]CZ_decarbplus_opex!V117</f>
        <v>2.8100000000000002E-6</v>
      </c>
      <c r="Y117" s="187">
        <f>[2]CZ_decarbplus_opex!W117</f>
        <v>1.7600000000000001E-5</v>
      </c>
      <c r="Z117" s="187">
        <f>[2]CZ_decarbplus_opex!X117</f>
        <v>4.6600000000000001E-5</v>
      </c>
      <c r="AA117" s="187">
        <f>[2]CZ_decarbplus_opex!Y117</f>
        <v>2.4898200000000002E-4</v>
      </c>
      <c r="AB117" s="188">
        <f>[3]CZ_decarb_opex!B117</f>
        <v>5.6084333865515804E-6</v>
      </c>
      <c r="AC117" s="188">
        <f>[3]CZ_decarb_opex!C117</f>
        <v>1.8063171686576498E-5</v>
      </c>
      <c r="AD117" s="188">
        <f>[3]CZ_decarb_opex!D117</f>
        <v>3.6586364932319903E-5</v>
      </c>
      <c r="AE117" s="188">
        <f>[2]CZ_decarbplus_opex!Z117</f>
        <v>3.0000000000000001E-5</v>
      </c>
      <c r="AF117" s="188">
        <f>[2]CZ_decarbplus_opex!AA117</f>
        <v>8.8499999999999996E-5</v>
      </c>
      <c r="AG117" s="188">
        <f>[2]CZ_decarbplus_opex!AB117</f>
        <v>1.06E-5</v>
      </c>
      <c r="AH117" s="188">
        <f>[2]CZ_decarbplus_opex!AC117</f>
        <v>3.7200000000000003E-5</v>
      </c>
      <c r="AI117" s="188">
        <f>[2]CZ_decarbplus_opex!AD117</f>
        <v>1.26E-5</v>
      </c>
      <c r="AJ117" s="188">
        <f>[2]CZ_decarbplus_opex!AE117</f>
        <v>1.5500000000000001E-5</v>
      </c>
      <c r="AK117" s="188">
        <f>[2]CZ_decarbplus_opex!AF117</f>
        <v>2.9799999999999999E-5</v>
      </c>
      <c r="AL117" s="188">
        <f>[3]CZ_decarb_opex!E117</f>
        <v>2.5894474739554E-5</v>
      </c>
      <c r="AM117" s="188">
        <f>[3]CZ_decarb_opex!F117</f>
        <v>2.4121786479497401E-5</v>
      </c>
      <c r="AN117" s="188">
        <f>[2]CZ_decarbplus_opex!AG117</f>
        <v>2.7800000000000001E-5</v>
      </c>
      <c r="AO117" s="188">
        <f>[3]CZ_decarb_opex!G117</f>
        <v>1.19309592254275E-5</v>
      </c>
      <c r="AP117" s="188">
        <f>[3]CZ_decarb_opex!H117</f>
        <v>1.3541682457562601E-5</v>
      </c>
      <c r="AQ117" s="188">
        <f>[2]CZ_decarbplus_opex!AH117</f>
        <v>1.3499999999999999E-5</v>
      </c>
      <c r="AR117" s="188">
        <f>[2]CZ_decarbplus_opex!AI117</f>
        <v>0</v>
      </c>
      <c r="AS117" s="188">
        <f>[2]CZ_decarbplus_opex!AJ117</f>
        <v>1.2799999999999999E-5</v>
      </c>
      <c r="AT117" s="188">
        <f>[2]CZ_decarbplus_opex!AK117</f>
        <v>1.4E-5</v>
      </c>
      <c r="AU117" s="188">
        <f>[2]CZ_decarbplus_opex!AL117</f>
        <v>1.7600000000000001E-6</v>
      </c>
      <c r="AV117" s="188">
        <f>[2]CZ_decarbplus_opex!AM117</f>
        <v>1.08E-6</v>
      </c>
      <c r="AW117" s="188">
        <f>[2]CZ_decarbplus_opex!AN117</f>
        <v>8.5699999999999993E-6</v>
      </c>
      <c r="AX117" s="188">
        <f>[2]CZ_decarbplus_opex!AO117</f>
        <v>0</v>
      </c>
      <c r="AY117" s="188">
        <f>[2]CZ_decarbplus_opex!AP117</f>
        <v>1.1199999999999999E-5</v>
      </c>
      <c r="AZ117" s="188">
        <f>[2]CZ_decarbplus_opex!AQ117</f>
        <v>0</v>
      </c>
      <c r="BA117" s="188">
        <f>[2]CZ_decarbplus_opex!AR117</f>
        <v>1.1199999999999999E-5</v>
      </c>
      <c r="BB117" s="188">
        <f>[2]CZ_decarbplus_opex!AS117</f>
        <v>1.11E-5</v>
      </c>
      <c r="BC117" s="188">
        <f>[2]CZ_decarbplus_opex!AT117</f>
        <v>2.48E-5</v>
      </c>
      <c r="BD117" s="188">
        <f>[2]CZ_decarbplus_opex!AU117</f>
        <v>5.4399999999999996E-6</v>
      </c>
      <c r="BE117" s="188">
        <f>[2]CZ_decarbplus_opex!AV117</f>
        <v>1.21718E-4</v>
      </c>
      <c r="BF117" s="188">
        <f>[2]CZ_decarbplus_opex!AW117</f>
        <v>1.88E-5</v>
      </c>
      <c r="BG117" s="188">
        <f>[2]CZ_decarbplus_opex!AX117</f>
        <v>1.5800000000000001E-5</v>
      </c>
      <c r="BH117" s="188">
        <f>[3]CZ_decarb_opex!I117</f>
        <v>1.31488596527563E-5</v>
      </c>
      <c r="BI117" s="188">
        <f>[2]CZ_decarbplus_opex!AY117</f>
        <v>9.73E-6</v>
      </c>
      <c r="BJ117" s="188">
        <f>[2]CZ_decarbplus_opex!AZ117</f>
        <v>2.7100000000000001E-5</v>
      </c>
      <c r="BK117" s="188">
        <f>[2]CZ_decarbplus_opex!BA117</f>
        <v>5.8699999999999997E-5</v>
      </c>
      <c r="BL117" s="188">
        <f>[2]CZ_decarbplus_opex!BB117</f>
        <v>0</v>
      </c>
      <c r="BM117" s="188">
        <f>[3]CZ_decarb_opex!J117</f>
        <v>2.74745557241701E-5</v>
      </c>
      <c r="BN117" s="188">
        <f>[3]CZ_decarb_opex!K117</f>
        <v>3.3593733734968998E-5</v>
      </c>
      <c r="BO117" s="188">
        <f>[3]CZ_decarb_opex!L117</f>
        <v>1.6234424122470299E-5</v>
      </c>
      <c r="BP117" s="188">
        <f>[3]CZ_decarb_opex!M117</f>
        <v>2.7718450157704001E-5</v>
      </c>
      <c r="BQ117" s="188">
        <f>[3]CZ_decarb_opex!N117</f>
        <v>3.0193646286308799E-5</v>
      </c>
      <c r="BR117" s="188">
        <f>[3]CZ_decarb_opex!O117</f>
        <v>2.23114748335165E-4</v>
      </c>
      <c r="BS117" s="188">
        <f>[3]CZ_decarb_opex!P117</f>
        <v>2.17486232235888E-5</v>
      </c>
      <c r="BT117" s="188">
        <f>[3]CZ_decarb_opex!Q117</f>
        <v>1.3050326829500401E-5</v>
      </c>
      <c r="BU117" s="188">
        <f>[3]CZ_decarb_opex!R117</f>
        <v>3.5437060354442702E-5</v>
      </c>
      <c r="BV117" s="188">
        <f>[3]CZ_decarb_opex!S117</f>
        <v>3.5437060354442601E-5</v>
      </c>
      <c r="BW117" s="188">
        <f>[3]CZ_decarb_opex!T117</f>
        <v>5.0249283497734302E-6</v>
      </c>
      <c r="BX117" s="188">
        <f>[3]CZ_decarb_opex!U117</f>
        <v>3.4650778491314201E-8</v>
      </c>
      <c r="BY117" s="188">
        <f>[3]CZ_decarb_opex!V117</f>
        <v>3.1897515368980098E-8</v>
      </c>
      <c r="BZ117" s="188">
        <f>[2]CZ_decarbplus_opex!BC117</f>
        <v>4.3900000000000003E-5</v>
      </c>
      <c r="CA117" s="188">
        <f>[2]CZ_decarbplus_opex!BD117</f>
        <v>4.1199999999999999E-5</v>
      </c>
      <c r="CB117" s="188">
        <f>[2]CZ_decarbplus_opex!BE117</f>
        <v>3.0199999999999999E-5</v>
      </c>
      <c r="CC117" s="188">
        <f>[2]CZ_decarbplus_opex!BF117</f>
        <v>2.7999999999999999E-6</v>
      </c>
      <c r="CD117" s="188">
        <f>[2]CZ_decarbplus_opex!BG117</f>
        <v>2.7800000000000001E-5</v>
      </c>
      <c r="CE117" s="188">
        <f>[2]CZ_decarbplus_opex!BH117</f>
        <v>1.35623E-4</v>
      </c>
      <c r="CF117" s="188">
        <f>[2]CZ_decarbplus_opex!BI117</f>
        <v>1.0604779999999999E-3</v>
      </c>
      <c r="CG117" s="188">
        <f>[2]CZ_decarbplus_opex!BJ117</f>
        <v>1.77E-5</v>
      </c>
    </row>
    <row r="118" spans="1:85" x14ac:dyDescent="0.25">
      <c r="A118" s="5" t="s">
        <v>227</v>
      </c>
      <c r="B118" s="2" t="s">
        <v>226</v>
      </c>
      <c r="C118" s="1" t="s">
        <v>332</v>
      </c>
      <c r="D118" s="187">
        <f>[2]CZ_decarbplus_opex!B118</f>
        <v>6.3400799999999997E-3</v>
      </c>
      <c r="E118" s="187">
        <f>[2]CZ_decarbplus_opex!C118</f>
        <v>5.6428069999999997E-3</v>
      </c>
      <c r="F118" s="187">
        <f>[2]CZ_decarbplus_opex!D118</f>
        <v>1.0900749E-2</v>
      </c>
      <c r="G118" s="187">
        <f>[2]CZ_decarbplus_opex!E118</f>
        <v>4.4137760000000003E-3</v>
      </c>
      <c r="H118" s="187">
        <f>[2]CZ_decarbplus_opex!F118</f>
        <v>5.8615719999999998E-3</v>
      </c>
      <c r="I118" s="187">
        <f>[2]CZ_decarbplus_opex!G118</f>
        <v>3.554237E-3</v>
      </c>
      <c r="J118" s="187">
        <f>[2]CZ_decarbplus_opex!H118</f>
        <v>4.1518175999999997E-2</v>
      </c>
      <c r="K118" s="187">
        <f>[2]CZ_decarbplus_opex!I118</f>
        <v>1.4167216E-2</v>
      </c>
      <c r="L118" s="187">
        <f>[2]CZ_decarbplus_opex!J118</f>
        <v>3.376324E-3</v>
      </c>
      <c r="M118" s="187">
        <f>[2]CZ_decarbplus_opex!K118</f>
        <v>4.3705380000000002E-3</v>
      </c>
      <c r="N118" s="187">
        <f>[2]CZ_decarbplus_opex!L118</f>
        <v>2.0340494000000001E-2</v>
      </c>
      <c r="O118" s="187">
        <f>[2]CZ_decarbplus_opex!M118</f>
        <v>6.1438700000000001E-3</v>
      </c>
      <c r="P118" s="187">
        <f>[2]CZ_decarbplus_opex!N118</f>
        <v>4.9782180000000004E-3</v>
      </c>
      <c r="Q118" s="187">
        <f>[2]CZ_decarbplus_opex!O118</f>
        <v>1.6421649999999999E-2</v>
      </c>
      <c r="R118" s="187">
        <f>[2]CZ_decarbplus_opex!P118</f>
        <v>2.2644093000000001E-2</v>
      </c>
      <c r="S118" s="187">
        <f>[2]CZ_decarbplus_opex!Q118</f>
        <v>5.0963969999999999E-3</v>
      </c>
      <c r="T118" s="187">
        <f>[2]CZ_decarbplus_opex!R118</f>
        <v>1.6933027999999999E-2</v>
      </c>
      <c r="U118" s="187">
        <f>[2]CZ_decarbplus_opex!S118</f>
        <v>7.0270469999999998E-3</v>
      </c>
      <c r="V118" s="187">
        <f>[2]CZ_decarbplus_opex!T118</f>
        <v>9.7906980000000005E-3</v>
      </c>
      <c r="W118" s="187">
        <f>[2]CZ_decarbplus_opex!U118</f>
        <v>3.870657E-3</v>
      </c>
      <c r="X118" s="187">
        <f>[2]CZ_decarbplus_opex!V118</f>
        <v>2.5731909999999998E-3</v>
      </c>
      <c r="Y118" s="187">
        <f>[2]CZ_decarbplus_opex!W118</f>
        <v>1.0231779E-2</v>
      </c>
      <c r="Z118" s="187">
        <f>[2]CZ_decarbplus_opex!X118</f>
        <v>1.0472739E-2</v>
      </c>
      <c r="AA118" s="187">
        <f>[2]CZ_decarbplus_opex!Y118</f>
        <v>4.6224438E-2</v>
      </c>
      <c r="AB118" s="188">
        <f>[3]CZ_decarb_opex!B118</f>
        <v>0.240626506061244</v>
      </c>
      <c r="AC118" s="188">
        <f>[3]CZ_decarb_opex!C118</f>
        <v>4.6401681099970803E-2</v>
      </c>
      <c r="AD118" s="188">
        <f>[3]CZ_decarb_opex!D118</f>
        <v>1.0960305363634499E-2</v>
      </c>
      <c r="AE118" s="188">
        <f>[2]CZ_decarbplus_opex!Z118</f>
        <v>7.1311439999999999E-3</v>
      </c>
      <c r="AF118" s="188">
        <f>[2]CZ_decarbplus_opex!AA118</f>
        <v>3.1047010000000001E-3</v>
      </c>
      <c r="AG118" s="188">
        <f>[2]CZ_decarbplus_opex!AB118</f>
        <v>4.5085330000000003E-3</v>
      </c>
      <c r="AH118" s="188">
        <f>[2]CZ_decarbplus_opex!AC118</f>
        <v>5.4401789999999998E-3</v>
      </c>
      <c r="AI118" s="188">
        <f>[2]CZ_decarbplus_opex!AD118</f>
        <v>1.3632224E-2</v>
      </c>
      <c r="AJ118" s="188">
        <f>[2]CZ_decarbplus_opex!AE118</f>
        <v>6.8156670000000001E-3</v>
      </c>
      <c r="AK118" s="188">
        <f>[2]CZ_decarbplus_opex!AF118</f>
        <v>2.1156702999999999E-2</v>
      </c>
      <c r="AL118" s="188">
        <f>[3]CZ_decarb_opex!E118</f>
        <v>8.7274057296664997E-3</v>
      </c>
      <c r="AM118" s="188">
        <f>[3]CZ_decarb_opex!F118</f>
        <v>1.53067325731444E-2</v>
      </c>
      <c r="AN118" s="188">
        <f>[2]CZ_decarbplus_opex!AG118</f>
        <v>9.5218149999999994E-3</v>
      </c>
      <c r="AO118" s="188">
        <f>[3]CZ_decarb_opex!G118</f>
        <v>6.0069637361832703E-3</v>
      </c>
      <c r="AP118" s="188">
        <f>[3]CZ_decarb_opex!H118</f>
        <v>9.2892937849749398E-3</v>
      </c>
      <c r="AQ118" s="188">
        <f>[2]CZ_decarbplus_opex!AH118</f>
        <v>1.5829472000000001E-2</v>
      </c>
      <c r="AR118" s="188">
        <f>[2]CZ_decarbplus_opex!AI118</f>
        <v>0</v>
      </c>
      <c r="AS118" s="188">
        <f>[2]CZ_decarbplus_opex!AJ118</f>
        <v>1.3096956999999999E-2</v>
      </c>
      <c r="AT118" s="188">
        <f>[2]CZ_decarbplus_opex!AK118</f>
        <v>9.3400559999999994E-3</v>
      </c>
      <c r="AU118" s="188">
        <f>[2]CZ_decarbplus_opex!AL118</f>
        <v>8.5057829999999994E-3</v>
      </c>
      <c r="AV118" s="188">
        <f>[2]CZ_decarbplus_opex!AM118</f>
        <v>7.9143159999999994E-3</v>
      </c>
      <c r="AW118" s="188">
        <f>[2]CZ_decarbplus_opex!AN118</f>
        <v>9.5380870000000006E-3</v>
      </c>
      <c r="AX118" s="188">
        <f>[2]CZ_decarbplus_opex!AO118</f>
        <v>0</v>
      </c>
      <c r="AY118" s="188">
        <f>[2]CZ_decarbplus_opex!AP118</f>
        <v>3.9557759999999997E-2</v>
      </c>
      <c r="AZ118" s="188">
        <f>[2]CZ_decarbplus_opex!AQ118</f>
        <v>0</v>
      </c>
      <c r="BA118" s="188">
        <f>[2]CZ_decarbplus_opex!AR118</f>
        <v>5.1682159999999998E-3</v>
      </c>
      <c r="BB118" s="188">
        <f>[2]CZ_decarbplus_opex!AS118</f>
        <v>8.0799930000000006E-3</v>
      </c>
      <c r="BC118" s="188">
        <f>[2]CZ_decarbplus_opex!AT118</f>
        <v>1.820201E-3</v>
      </c>
      <c r="BD118" s="188">
        <f>[2]CZ_decarbplus_opex!AU118</f>
        <v>2.8007240000000001E-3</v>
      </c>
      <c r="BE118" s="188">
        <f>[2]CZ_decarbplus_opex!AV118</f>
        <v>1.725288E-3</v>
      </c>
      <c r="BF118" s="188">
        <f>[2]CZ_decarbplus_opex!AW118</f>
        <v>1.807003E-3</v>
      </c>
      <c r="BG118" s="188">
        <f>[2]CZ_decarbplus_opex!AX118</f>
        <v>3.607393E-3</v>
      </c>
      <c r="BH118" s="188">
        <f>[3]CZ_decarb_opex!I118</f>
        <v>1.7256748018028501E-2</v>
      </c>
      <c r="BI118" s="188">
        <f>[2]CZ_decarbplus_opex!AY118</f>
        <v>4.8198299999999998E-3</v>
      </c>
      <c r="BJ118" s="188">
        <f>[2]CZ_decarbplus_opex!AZ118</f>
        <v>3.6306870000000001E-3</v>
      </c>
      <c r="BK118" s="188">
        <f>[2]CZ_decarbplus_opex!BA118</f>
        <v>2.4241413999999999E-2</v>
      </c>
      <c r="BL118" s="188">
        <f>[2]CZ_decarbplus_opex!BB118</f>
        <v>0</v>
      </c>
      <c r="BM118" s="188">
        <f>[3]CZ_decarb_opex!J118</f>
        <v>5.6007320938512798E-3</v>
      </c>
      <c r="BN118" s="188">
        <f>[3]CZ_decarb_opex!K118</f>
        <v>1.60737486685603E-2</v>
      </c>
      <c r="BO118" s="188">
        <f>[3]CZ_decarb_opex!L118</f>
        <v>3.51313178275885E-3</v>
      </c>
      <c r="BP118" s="188">
        <f>[3]CZ_decarb_opex!M118</f>
        <v>1.07860983141567E-2</v>
      </c>
      <c r="BQ118" s="188">
        <f>[3]CZ_decarb_opex!N118</f>
        <v>3.2894485936884599E-2</v>
      </c>
      <c r="BR118" s="188">
        <f>[3]CZ_decarb_opex!O118</f>
        <v>8.6312403709191306E-3</v>
      </c>
      <c r="BS118" s="188">
        <f>[3]CZ_decarb_opex!P118</f>
        <v>9.3652897424366499E-2</v>
      </c>
      <c r="BT118" s="188">
        <f>[3]CZ_decarb_opex!Q118</f>
        <v>4.4330213693547001E-3</v>
      </c>
      <c r="BU118" s="188">
        <f>[3]CZ_decarb_opex!R118</f>
        <v>2.8249797531524098E-3</v>
      </c>
      <c r="BV118" s="188">
        <f>[3]CZ_decarb_opex!S118</f>
        <v>2.8249797531524198E-3</v>
      </c>
      <c r="BW118" s="188">
        <f>[3]CZ_decarb_opex!T118</f>
        <v>1.73836651831532E-2</v>
      </c>
      <c r="BX118" s="188">
        <f>[3]CZ_decarb_opex!U118</f>
        <v>2.50150258372995E-2</v>
      </c>
      <c r="BY118" s="188">
        <f>[3]CZ_decarb_opex!V118</f>
        <v>5.1819394862894297E-3</v>
      </c>
      <c r="BZ118" s="188">
        <f>[2]CZ_decarbplus_opex!BC118</f>
        <v>9.9211309999999997E-3</v>
      </c>
      <c r="CA118" s="188">
        <f>[2]CZ_decarbplus_opex!BD118</f>
        <v>5.3185860000000001E-3</v>
      </c>
      <c r="CB118" s="188">
        <f>[2]CZ_decarbplus_opex!BE118</f>
        <v>5.2870110000000003E-3</v>
      </c>
      <c r="CC118" s="188">
        <f>[2]CZ_decarbplus_opex!BF118</f>
        <v>2.0970870000000001E-3</v>
      </c>
      <c r="CD118" s="188">
        <f>[2]CZ_decarbplus_opex!BG118</f>
        <v>1.7808022999999999E-2</v>
      </c>
      <c r="CE118" s="188">
        <f>[2]CZ_decarbplus_opex!BH118</f>
        <v>8.8325829999999998E-3</v>
      </c>
      <c r="CF118" s="188">
        <f>[2]CZ_decarbplus_opex!BI118</f>
        <v>4.9817120000000001E-3</v>
      </c>
      <c r="CG118" s="188">
        <f>[2]CZ_decarbplus_opex!BJ118</f>
        <v>9.5472939999999996E-3</v>
      </c>
    </row>
    <row r="119" spans="1:85" x14ac:dyDescent="0.25">
      <c r="A119" s="5" t="s">
        <v>229</v>
      </c>
      <c r="B119" s="2" t="s">
        <v>228</v>
      </c>
      <c r="C119" s="1" t="s">
        <v>332</v>
      </c>
      <c r="D119" s="187">
        <f>[2]CZ_decarbplus_opex!B119</f>
        <v>1.0825850000000001E-3</v>
      </c>
      <c r="E119" s="187">
        <f>[2]CZ_decarbplus_opex!C119</f>
        <v>9.59303E-4</v>
      </c>
      <c r="F119" s="187">
        <f>[2]CZ_decarbplus_opex!D119</f>
        <v>1.9393069999999999E-3</v>
      </c>
      <c r="G119" s="187">
        <f>[2]CZ_decarbplus_opex!E119</f>
        <v>7.4770200000000005E-4</v>
      </c>
      <c r="H119" s="187">
        <f>[2]CZ_decarbplus_opex!F119</f>
        <v>1.0164289999999999E-3</v>
      </c>
      <c r="I119" s="187">
        <f>[2]CZ_decarbplus_opex!G119</f>
        <v>5.9778399999999997E-4</v>
      </c>
      <c r="J119" s="187">
        <f>[2]CZ_decarbplus_opex!H119</f>
        <v>6.2125289999999996E-3</v>
      </c>
      <c r="K119" s="187">
        <f>[2]CZ_decarbplus_opex!I119</f>
        <v>2.3934709999999999E-3</v>
      </c>
      <c r="L119" s="187">
        <f>[2]CZ_decarbplus_opex!J119</f>
        <v>5.7797700000000003E-4</v>
      </c>
      <c r="M119" s="187">
        <f>[2]CZ_decarbplus_opex!K119</f>
        <v>7.5378800000000003E-4</v>
      </c>
      <c r="N119" s="187">
        <f>[2]CZ_decarbplus_opex!L119</f>
        <v>3.5894529999999998E-3</v>
      </c>
      <c r="O119" s="187">
        <f>[2]CZ_decarbplus_opex!M119</f>
        <v>1.5035129999999999E-3</v>
      </c>
      <c r="P119" s="187">
        <f>[2]CZ_decarbplus_opex!N119</f>
        <v>9.5973300000000005E-4</v>
      </c>
      <c r="Q119" s="187">
        <f>[2]CZ_decarbplus_opex!O119</f>
        <v>3.1038160000000001E-3</v>
      </c>
      <c r="R119" s="187">
        <f>[2]CZ_decarbplus_opex!P119</f>
        <v>4.0824399999999997E-3</v>
      </c>
      <c r="S119" s="187">
        <f>[2]CZ_decarbplus_opex!Q119</f>
        <v>1.4378380000000001E-3</v>
      </c>
      <c r="T119" s="187">
        <f>[2]CZ_decarbplus_opex!R119</f>
        <v>3.5712109999999999E-3</v>
      </c>
      <c r="U119" s="187">
        <f>[2]CZ_decarbplus_opex!S119</f>
        <v>1.134255E-3</v>
      </c>
      <c r="V119" s="187">
        <f>[2]CZ_decarbplus_opex!T119</f>
        <v>1.6084230000000001E-3</v>
      </c>
      <c r="W119" s="187">
        <f>[2]CZ_decarbplus_opex!U119</f>
        <v>6.6303399999999995E-4</v>
      </c>
      <c r="X119" s="187">
        <f>[2]CZ_decarbplus_opex!V119</f>
        <v>4.5750899999999999E-4</v>
      </c>
      <c r="Y119" s="187">
        <f>[2]CZ_decarbplus_opex!W119</f>
        <v>1.772715E-3</v>
      </c>
      <c r="Z119" s="187">
        <f>[2]CZ_decarbplus_opex!X119</f>
        <v>3.4129849999999999E-3</v>
      </c>
      <c r="AA119" s="187">
        <f>[2]CZ_decarbplus_opex!Y119</f>
        <v>7.771165E-3</v>
      </c>
      <c r="AB119" s="188">
        <f>[3]CZ_decarb_opex!B119</f>
        <v>4.1115712416530302E-2</v>
      </c>
      <c r="AC119" s="188">
        <f>[3]CZ_decarb_opex!C119</f>
        <v>7.9536751311474908E-3</v>
      </c>
      <c r="AD119" s="188">
        <f>[3]CZ_decarb_opex!D119</f>
        <v>1.8983040392490001E-3</v>
      </c>
      <c r="AE119" s="188">
        <f>[2]CZ_decarbplus_opex!Z119</f>
        <v>1.2270180000000001E-3</v>
      </c>
      <c r="AF119" s="188">
        <f>[2]CZ_decarbplus_opex!AA119</f>
        <v>5.6115400000000001E-4</v>
      </c>
      <c r="AG119" s="188">
        <f>[2]CZ_decarbplus_opex!AB119</f>
        <v>5.3992899999999997E-4</v>
      </c>
      <c r="AH119" s="188">
        <f>[2]CZ_decarbplus_opex!AC119</f>
        <v>6.30666E-4</v>
      </c>
      <c r="AI119" s="188">
        <f>[2]CZ_decarbplus_opex!AD119</f>
        <v>1.8154250000000001E-3</v>
      </c>
      <c r="AJ119" s="188">
        <f>[2]CZ_decarbplus_opex!AE119</f>
        <v>9.778670000000001E-4</v>
      </c>
      <c r="AK119" s="188">
        <f>[2]CZ_decarbplus_opex!AF119</f>
        <v>2.8009129999999999E-3</v>
      </c>
      <c r="AL119" s="188">
        <f>[3]CZ_decarb_opex!E119</f>
        <v>1.08380136630958E-3</v>
      </c>
      <c r="AM119" s="188">
        <f>[3]CZ_decarb_opex!F119</f>
        <v>2.2250270587862902E-3</v>
      </c>
      <c r="AN119" s="188">
        <f>[2]CZ_decarbplus_opex!AG119</f>
        <v>1.175358E-3</v>
      </c>
      <c r="AO119" s="188">
        <f>[3]CZ_decarb_opex!G119</f>
        <v>9.4937693008211401E-4</v>
      </c>
      <c r="AP119" s="188">
        <f>[3]CZ_decarb_opex!H119</f>
        <v>1.5382397665302499E-3</v>
      </c>
      <c r="AQ119" s="188">
        <f>[2]CZ_decarbplus_opex!AH119</f>
        <v>2.4490409999999999E-3</v>
      </c>
      <c r="AR119" s="188">
        <f>[2]CZ_decarbplus_opex!AI119</f>
        <v>0</v>
      </c>
      <c r="AS119" s="188">
        <f>[2]CZ_decarbplus_opex!AJ119</f>
        <v>2.2939530000000001E-3</v>
      </c>
      <c r="AT119" s="188">
        <f>[2]CZ_decarbplus_opex!AK119</f>
        <v>1.832293E-3</v>
      </c>
      <c r="AU119" s="188">
        <f>[2]CZ_decarbplus_opex!AL119</f>
        <v>1.3149909999999999E-3</v>
      </c>
      <c r="AV119" s="188">
        <f>[2]CZ_decarbplus_opex!AM119</f>
        <v>1.250794E-3</v>
      </c>
      <c r="AW119" s="188">
        <f>[2]CZ_decarbplus_opex!AN119</f>
        <v>1.755085E-3</v>
      </c>
      <c r="AX119" s="188">
        <f>[2]CZ_decarbplus_opex!AO119</f>
        <v>0</v>
      </c>
      <c r="AY119" s="188">
        <f>[2]CZ_decarbplus_opex!AP119</f>
        <v>7.4764890000000002E-3</v>
      </c>
      <c r="AZ119" s="188">
        <f>[2]CZ_decarbplus_opex!AQ119</f>
        <v>0</v>
      </c>
      <c r="BA119" s="188">
        <f>[2]CZ_decarbplus_opex!AR119</f>
        <v>9.2348099999999998E-4</v>
      </c>
      <c r="BB119" s="188">
        <f>[2]CZ_decarbplus_opex!AS119</f>
        <v>7.8964499999999995E-4</v>
      </c>
      <c r="BC119" s="188">
        <f>[2]CZ_decarbplus_opex!AT119</f>
        <v>3.3084599999999998E-4</v>
      </c>
      <c r="BD119" s="188">
        <f>[2]CZ_decarbplus_opex!AU119</f>
        <v>5.1916600000000005E-4</v>
      </c>
      <c r="BE119" s="188">
        <f>[2]CZ_decarbplus_opex!AV119</f>
        <v>3.4774699999999998E-4</v>
      </c>
      <c r="BF119" s="188">
        <f>[2]CZ_decarbplus_opex!AW119</f>
        <v>3.6966599999999999E-4</v>
      </c>
      <c r="BG119" s="188">
        <f>[2]CZ_decarbplus_opex!AX119</f>
        <v>6.7194100000000001E-4</v>
      </c>
      <c r="BH119" s="188">
        <f>[3]CZ_decarb_opex!I119</f>
        <v>2.1795551431961599E-3</v>
      </c>
      <c r="BI119" s="188">
        <f>[2]CZ_decarbplus_opex!AY119</f>
        <v>1.171783E-3</v>
      </c>
      <c r="BJ119" s="188">
        <f>[2]CZ_decarbplus_opex!AZ119</f>
        <v>8.5212799999999996E-4</v>
      </c>
      <c r="BK119" s="188">
        <f>[2]CZ_decarbplus_opex!BA119</f>
        <v>1.0152072999999999E-2</v>
      </c>
      <c r="BL119" s="188">
        <f>[2]CZ_decarbplus_opex!BB119</f>
        <v>0</v>
      </c>
      <c r="BM119" s="188">
        <f>[3]CZ_decarb_opex!J119</f>
        <v>6.9891710473587402E-4</v>
      </c>
      <c r="BN119" s="188">
        <f>[3]CZ_decarb_opex!K119</f>
        <v>2.7599531680010301E-3</v>
      </c>
      <c r="BO119" s="188">
        <f>[3]CZ_decarb_opex!L119</f>
        <v>3.2728100450470202E-4</v>
      </c>
      <c r="BP119" s="188">
        <f>[3]CZ_decarb_opex!M119</f>
        <v>1.58671887809436E-3</v>
      </c>
      <c r="BQ119" s="188">
        <f>[3]CZ_decarb_opex!N119</f>
        <v>5.3322783199215096E-3</v>
      </c>
      <c r="BR119" s="188">
        <f>[3]CZ_decarb_opex!O119</f>
        <v>2.7293928207193703E-4</v>
      </c>
      <c r="BS119" s="188">
        <f>[3]CZ_decarb_opex!P119</f>
        <v>1.6313251670235999E-2</v>
      </c>
      <c r="BT119" s="188">
        <f>[3]CZ_decarb_opex!Q119</f>
        <v>5.2051993722639696E-4</v>
      </c>
      <c r="BU119" s="188">
        <f>[3]CZ_decarb_opex!R119</f>
        <v>4.9088240193533896E-4</v>
      </c>
      <c r="BV119" s="188">
        <f>[3]CZ_decarb_opex!S119</f>
        <v>4.9088240193533896E-4</v>
      </c>
      <c r="BW119" s="188">
        <f>[3]CZ_decarb_opex!T119</f>
        <v>1.4379490678363301E-3</v>
      </c>
      <c r="BX119" s="188">
        <f>[3]CZ_decarb_opex!U119</f>
        <v>1.4802481556884699E-3</v>
      </c>
      <c r="BY119" s="188">
        <f>[3]CZ_decarb_opex!V119</f>
        <v>3.7790012060312499E-3</v>
      </c>
      <c r="BZ119" s="188">
        <f>[2]CZ_decarbplus_opex!BC119</f>
        <v>1.3541810000000001E-3</v>
      </c>
      <c r="CA119" s="188">
        <f>[2]CZ_decarbplus_opex!BD119</f>
        <v>5.8480000000000001E-4</v>
      </c>
      <c r="CB119" s="188">
        <f>[2]CZ_decarbplus_opex!BE119</f>
        <v>4.2081099999999999E-4</v>
      </c>
      <c r="CC119" s="188">
        <f>[2]CZ_decarbplus_opex!BF119</f>
        <v>3.4181800000000003E-4</v>
      </c>
      <c r="CD119" s="188">
        <f>[2]CZ_decarbplus_opex!BG119</f>
        <v>1.3695510000000001E-3</v>
      </c>
      <c r="CE119" s="188">
        <f>[2]CZ_decarbplus_opex!BH119</f>
        <v>2.2522750000000002E-3</v>
      </c>
      <c r="CF119" s="188">
        <f>[2]CZ_decarbplus_opex!BI119</f>
        <v>1.7079440000000001E-3</v>
      </c>
      <c r="CG119" s="188">
        <f>[2]CZ_decarbplus_opex!BJ119</f>
        <v>1.3338670000000001E-3</v>
      </c>
    </row>
    <row r="120" spans="1:85" x14ac:dyDescent="0.25">
      <c r="A120" s="5" t="s">
        <v>231</v>
      </c>
      <c r="B120" s="2" t="s">
        <v>230</v>
      </c>
      <c r="C120" s="1" t="s">
        <v>332</v>
      </c>
      <c r="D120" s="187">
        <f>[2]CZ_decarbplus_opex!B120</f>
        <v>5.2897758000000003E-2</v>
      </c>
      <c r="E120" s="187">
        <f>[2]CZ_decarbplus_opex!C120</f>
        <v>4.6278545999999997E-2</v>
      </c>
      <c r="F120" s="187">
        <f>[2]CZ_decarbplus_opex!D120</f>
        <v>6.3282281999999995E-2</v>
      </c>
      <c r="G120" s="187">
        <f>[2]CZ_decarbplus_opex!E120</f>
        <v>1.8859728999999999E-2</v>
      </c>
      <c r="H120" s="187">
        <f>[2]CZ_decarbplus_opex!F120</f>
        <v>2.8394804999999999E-2</v>
      </c>
      <c r="I120" s="187">
        <f>[2]CZ_decarbplus_opex!G120</f>
        <v>6.1372449000000003E-2</v>
      </c>
      <c r="J120" s="187">
        <f>[2]CZ_decarbplus_opex!H120</f>
        <v>0.15818348600000001</v>
      </c>
      <c r="K120" s="187">
        <f>[2]CZ_decarbplus_opex!I120</f>
        <v>5.4125582999999998E-2</v>
      </c>
      <c r="L120" s="187">
        <f>[2]CZ_decarbplus_opex!J120</f>
        <v>8.3851055999999993E-2</v>
      </c>
      <c r="M120" s="187">
        <f>[2]CZ_decarbplus_opex!K120</f>
        <v>0.19932937100000001</v>
      </c>
      <c r="N120" s="187">
        <f>[2]CZ_decarbplus_opex!L120</f>
        <v>0.19275814099999999</v>
      </c>
      <c r="O120" s="187">
        <f>[2]CZ_decarbplus_opex!M120</f>
        <v>0.11826442099999999</v>
      </c>
      <c r="P120" s="187">
        <f>[2]CZ_decarbplus_opex!N120</f>
        <v>5.6693235000000002E-2</v>
      </c>
      <c r="Q120" s="187">
        <f>[2]CZ_decarbplus_opex!O120</f>
        <v>9.8802100000000004E-2</v>
      </c>
      <c r="R120" s="187">
        <f>[2]CZ_decarbplus_opex!P120</f>
        <v>0.12718723700000001</v>
      </c>
      <c r="S120" s="187">
        <f>[2]CZ_decarbplus_opex!Q120</f>
        <v>3.6350274000000002E-2</v>
      </c>
      <c r="T120" s="187">
        <f>[2]CZ_decarbplus_opex!R120</f>
        <v>8.8520909999999994E-2</v>
      </c>
      <c r="U120" s="187">
        <f>[2]CZ_decarbplus_opex!S120</f>
        <v>4.4718923000000001E-2</v>
      </c>
      <c r="V120" s="187">
        <f>[2]CZ_decarbplus_opex!T120</f>
        <v>5.4536973000000002E-2</v>
      </c>
      <c r="W120" s="187">
        <f>[2]CZ_decarbplus_opex!U120</f>
        <v>4.4759300000000002E-2</v>
      </c>
      <c r="X120" s="187">
        <f>[2]CZ_decarbplus_opex!V120</f>
        <v>5.5580422999999997E-2</v>
      </c>
      <c r="Y120" s="187">
        <f>[2]CZ_decarbplus_opex!W120</f>
        <v>4.8460617999999997E-2</v>
      </c>
      <c r="Z120" s="187">
        <f>[2]CZ_decarbplus_opex!X120</f>
        <v>3.7175910999999999E-2</v>
      </c>
      <c r="AA120" s="187">
        <f>[2]CZ_decarbplus_opex!Y120</f>
        <v>0.14436406399999999</v>
      </c>
      <c r="AB120" s="188">
        <f>[3]CZ_decarb_opex!B120</f>
        <v>0.357646054898278</v>
      </c>
      <c r="AC120" s="188">
        <f>[3]CZ_decarb_opex!C120</f>
        <v>0.169727892590811</v>
      </c>
      <c r="AD120" s="188">
        <f>[3]CZ_decarb_opex!D120</f>
        <v>5.2021404617691697E-2</v>
      </c>
      <c r="AE120" s="188">
        <f>[2]CZ_decarbplus_opex!Z120</f>
        <v>3.9522473000000002E-2</v>
      </c>
      <c r="AF120" s="188">
        <f>[2]CZ_decarbplus_opex!AA120</f>
        <v>7.5482272000000003E-2</v>
      </c>
      <c r="AG120" s="188">
        <f>[2]CZ_decarbplus_opex!AB120</f>
        <v>5.5607954000000001E-2</v>
      </c>
      <c r="AH120" s="188">
        <f>[2]CZ_decarbplus_opex!AC120</f>
        <v>2.940361E-2</v>
      </c>
      <c r="AI120" s="188">
        <f>[2]CZ_decarbplus_opex!AD120</f>
        <v>5.9315211E-2</v>
      </c>
      <c r="AJ120" s="188">
        <f>[2]CZ_decarbplus_opex!AE120</f>
        <v>3.3940799000000001E-2</v>
      </c>
      <c r="AK120" s="188">
        <f>[2]CZ_decarbplus_opex!AF120</f>
        <v>7.7683123000000007E-2</v>
      </c>
      <c r="AL120" s="188">
        <f>[3]CZ_decarb_opex!E120</f>
        <v>3.8934471268083401E-2</v>
      </c>
      <c r="AM120" s="188">
        <f>[3]CZ_decarb_opex!F120</f>
        <v>6.21944831505633E-2</v>
      </c>
      <c r="AN120" s="188">
        <f>[2]CZ_decarbplus_opex!AG120</f>
        <v>4.3413438999999998E-2</v>
      </c>
      <c r="AO120" s="188">
        <f>[3]CZ_decarb_opex!G120</f>
        <v>3.5708672953641503E-2</v>
      </c>
      <c r="AP120" s="188">
        <f>[3]CZ_decarb_opex!H120</f>
        <v>5.0841793572019699E-2</v>
      </c>
      <c r="AQ120" s="188">
        <f>[2]CZ_decarbplus_opex!AH120</f>
        <v>6.2399393999999997E-2</v>
      </c>
      <c r="AR120" s="188">
        <f>[2]CZ_decarbplus_opex!AI120</f>
        <v>0</v>
      </c>
      <c r="AS120" s="188">
        <f>[2]CZ_decarbplus_opex!AJ120</f>
        <v>4.8955772000000002E-2</v>
      </c>
      <c r="AT120" s="188">
        <f>[2]CZ_decarbplus_opex!AK120</f>
        <v>3.6499759E-2</v>
      </c>
      <c r="AU120" s="188">
        <f>[2]CZ_decarbplus_opex!AL120</f>
        <v>3.6206851999999998E-2</v>
      </c>
      <c r="AV120" s="188">
        <f>[2]CZ_decarbplus_opex!AM120</f>
        <v>3.6250612000000002E-2</v>
      </c>
      <c r="AW120" s="188">
        <f>[2]CZ_decarbplus_opex!AN120</f>
        <v>4.7021668000000003E-2</v>
      </c>
      <c r="AX120" s="188">
        <f>[2]CZ_decarbplus_opex!AO120</f>
        <v>0</v>
      </c>
      <c r="AY120" s="188">
        <f>[2]CZ_decarbplus_opex!AP120</f>
        <v>0.173477718</v>
      </c>
      <c r="AZ120" s="188">
        <f>[2]CZ_decarbplus_opex!AQ120</f>
        <v>0</v>
      </c>
      <c r="BA120" s="188">
        <f>[2]CZ_decarbplus_opex!AR120</f>
        <v>3.3094944000000001E-2</v>
      </c>
      <c r="BB120" s="188">
        <f>[2]CZ_decarbplus_opex!AS120</f>
        <v>2.3265233999999999E-2</v>
      </c>
      <c r="BC120" s="188">
        <f>[2]CZ_decarbplus_opex!AT120</f>
        <v>3.2609791999999999E-2</v>
      </c>
      <c r="BD120" s="188">
        <f>[2]CZ_decarbplus_opex!AU120</f>
        <v>3.1222646E-2</v>
      </c>
      <c r="BE120" s="188">
        <f>[2]CZ_decarbplus_opex!AV120</f>
        <v>1.6184898999999999E-2</v>
      </c>
      <c r="BF120" s="188">
        <f>[2]CZ_decarbplus_opex!AW120</f>
        <v>3.8281326999999997E-2</v>
      </c>
      <c r="BG120" s="188">
        <f>[2]CZ_decarbplus_opex!AX120</f>
        <v>6.0106680000000003E-2</v>
      </c>
      <c r="BH120" s="188">
        <f>[3]CZ_decarb_opex!I120</f>
        <v>3.7184161981443697E-2</v>
      </c>
      <c r="BI120" s="188">
        <f>[2]CZ_decarbplus_opex!AY120</f>
        <v>2.2503537000000001E-2</v>
      </c>
      <c r="BJ120" s="188">
        <f>[2]CZ_decarbplus_opex!AZ120</f>
        <v>2.6395842999999999E-2</v>
      </c>
      <c r="BK120" s="188">
        <f>[2]CZ_decarbplus_opex!BA120</f>
        <v>5.8830331E-2</v>
      </c>
      <c r="BL120" s="188">
        <f>[2]CZ_decarbplus_opex!BB120</f>
        <v>0</v>
      </c>
      <c r="BM120" s="188">
        <f>[3]CZ_decarb_opex!J120</f>
        <v>2.3965573699748301E-2</v>
      </c>
      <c r="BN120" s="188">
        <f>[3]CZ_decarb_opex!K120</f>
        <v>8.1483341738130904E-2</v>
      </c>
      <c r="BO120" s="188">
        <f>[3]CZ_decarb_opex!L120</f>
        <v>7.4399545275371801E-3</v>
      </c>
      <c r="BP120" s="188">
        <f>[3]CZ_decarb_opex!M120</f>
        <v>2.6161791863222698E-2</v>
      </c>
      <c r="BQ120" s="188">
        <f>[3]CZ_decarb_opex!N120</f>
        <v>4.3736272762718298E-2</v>
      </c>
      <c r="BR120" s="188">
        <f>[3]CZ_decarb_opex!O120</f>
        <v>1.9635223058099002E-2</v>
      </c>
      <c r="BS120" s="188">
        <f>[3]CZ_decarb_opex!P120</f>
        <v>0.225370319324109</v>
      </c>
      <c r="BT120" s="188">
        <f>[3]CZ_decarb_opex!Q120</f>
        <v>2.16536653370639E-2</v>
      </c>
      <c r="BU120" s="188">
        <f>[3]CZ_decarb_opex!R120</f>
        <v>1.7168994231766301E-2</v>
      </c>
      <c r="BV120" s="188">
        <f>[3]CZ_decarb_opex!S120</f>
        <v>1.7168994231766401E-2</v>
      </c>
      <c r="BW120" s="188">
        <f>[3]CZ_decarb_opex!T120</f>
        <v>4.5566789678724101E-2</v>
      </c>
      <c r="BX120" s="188">
        <f>[3]CZ_decarb_opex!U120</f>
        <v>0.12161765813971399</v>
      </c>
      <c r="BY120" s="188">
        <f>[3]CZ_decarb_opex!V120</f>
        <v>3.8426005168540701E-2</v>
      </c>
      <c r="BZ120" s="188">
        <f>[2]CZ_decarbplus_opex!BC120</f>
        <v>2.9709770999999999E-2</v>
      </c>
      <c r="CA120" s="188">
        <f>[2]CZ_decarbplus_opex!BD120</f>
        <v>1.6082332000000001E-2</v>
      </c>
      <c r="CB120" s="188">
        <f>[2]CZ_decarbplus_opex!BE120</f>
        <v>1.2380079E-2</v>
      </c>
      <c r="CC120" s="188">
        <f>[2]CZ_decarbplus_opex!BF120</f>
        <v>1.4443538000000001E-2</v>
      </c>
      <c r="CD120" s="188">
        <f>[2]CZ_decarbplus_opex!BG120</f>
        <v>3.3173631000000002E-2</v>
      </c>
      <c r="CE120" s="188">
        <f>[2]CZ_decarbplus_opex!BH120</f>
        <v>3.4865536000000003E-2</v>
      </c>
      <c r="CF120" s="188">
        <f>[2]CZ_decarbplus_opex!BI120</f>
        <v>1.7027521E-2</v>
      </c>
      <c r="CG120" s="188">
        <f>[2]CZ_decarbplus_opex!BJ120</f>
        <v>1.6444690000000001E-2</v>
      </c>
    </row>
    <row r="121" spans="1:85" x14ac:dyDescent="0.25">
      <c r="A121" s="5" t="s">
        <v>233</v>
      </c>
      <c r="B121" s="2" t="s">
        <v>232</v>
      </c>
      <c r="C121" s="1" t="s">
        <v>332</v>
      </c>
      <c r="D121" s="187">
        <f>[2]CZ_decarbplus_opex!B121</f>
        <v>2.7047005999999998E-2</v>
      </c>
      <c r="E121" s="187">
        <f>[2]CZ_decarbplus_opex!C121</f>
        <v>1.3680804E-2</v>
      </c>
      <c r="F121" s="187">
        <f>[2]CZ_decarbplus_opex!D121</f>
        <v>1.8247267000000001E-2</v>
      </c>
      <c r="G121" s="187">
        <f>[2]CZ_decarbplus_opex!E121</f>
        <v>5.3808329999999998E-3</v>
      </c>
      <c r="H121" s="187">
        <f>[2]CZ_decarbplus_opex!F121</f>
        <v>5.6697509999999998E-3</v>
      </c>
      <c r="I121" s="187">
        <f>[2]CZ_decarbplus_opex!G121</f>
        <v>1.4300277E-2</v>
      </c>
      <c r="J121" s="187">
        <f>[2]CZ_decarbplus_opex!H121</f>
        <v>4.8329324E-2</v>
      </c>
      <c r="K121" s="187">
        <f>[2]CZ_decarbplus_opex!I121</f>
        <v>1.2623667E-2</v>
      </c>
      <c r="L121" s="187">
        <f>[2]CZ_decarbplus_opex!J121</f>
        <v>2.1350544999999999E-2</v>
      </c>
      <c r="M121" s="187">
        <f>[2]CZ_decarbplus_opex!K121</f>
        <v>4.3004753E-2</v>
      </c>
      <c r="N121" s="187">
        <f>[2]CZ_decarbplus_opex!L121</f>
        <v>6.1013228000000003E-2</v>
      </c>
      <c r="O121" s="187">
        <f>[2]CZ_decarbplus_opex!M121</f>
        <v>2.9716441E-2</v>
      </c>
      <c r="P121" s="187">
        <f>[2]CZ_decarbplus_opex!N121</f>
        <v>1.4192654000000001E-2</v>
      </c>
      <c r="Q121" s="187">
        <f>[2]CZ_decarbplus_opex!O121</f>
        <v>2.5603428000000001E-2</v>
      </c>
      <c r="R121" s="187">
        <f>[2]CZ_decarbplus_opex!P121</f>
        <v>3.2690811E-2</v>
      </c>
      <c r="S121" s="187">
        <f>[2]CZ_decarbplus_opex!Q121</f>
        <v>7.5607069999999998E-3</v>
      </c>
      <c r="T121" s="187">
        <f>[2]CZ_decarbplus_opex!R121</f>
        <v>3.0930454E-2</v>
      </c>
      <c r="U121" s="187">
        <f>[2]CZ_decarbplus_opex!S121</f>
        <v>1.4920900000000001E-2</v>
      </c>
      <c r="V121" s="187">
        <f>[2]CZ_decarbplus_opex!T121</f>
        <v>2.3022616999999999E-2</v>
      </c>
      <c r="W121" s="187">
        <f>[2]CZ_decarbplus_opex!U121</f>
        <v>9.2359550000000006E-3</v>
      </c>
      <c r="X121" s="187">
        <f>[2]CZ_decarbplus_opex!V121</f>
        <v>2.2061883000000001E-2</v>
      </c>
      <c r="Y121" s="187">
        <f>[2]CZ_decarbplus_opex!W121</f>
        <v>1.6837237000000001E-2</v>
      </c>
      <c r="Z121" s="187">
        <f>[2]CZ_decarbplus_opex!X121</f>
        <v>9.4606180000000005E-3</v>
      </c>
      <c r="AA121" s="187">
        <f>[2]CZ_decarbplus_opex!Y121</f>
        <v>3.7355025E-2</v>
      </c>
      <c r="AB121" s="188">
        <f>[3]CZ_decarb_opex!B121</f>
        <v>5.3624669526973701E-2</v>
      </c>
      <c r="AC121" s="188">
        <f>[3]CZ_decarb_opex!C121</f>
        <v>4.1410988565069799E-2</v>
      </c>
      <c r="AD121" s="188">
        <f>[3]CZ_decarb_opex!D121</f>
        <v>2.7457674285480502E-2</v>
      </c>
      <c r="AE121" s="188">
        <f>[2]CZ_decarbplus_opex!Z121</f>
        <v>1.8418985999999998E-2</v>
      </c>
      <c r="AF121" s="188">
        <f>[2]CZ_decarbplus_opex!AA121</f>
        <v>2.4101309000000001E-2</v>
      </c>
      <c r="AG121" s="188">
        <f>[2]CZ_decarbplus_opex!AB121</f>
        <v>1.1468366000000001E-2</v>
      </c>
      <c r="AH121" s="188">
        <f>[2]CZ_decarbplus_opex!AC121</f>
        <v>7.4705350000000004E-3</v>
      </c>
      <c r="AI121" s="188">
        <f>[2]CZ_decarbplus_opex!AD121</f>
        <v>2.4030131999999999E-2</v>
      </c>
      <c r="AJ121" s="188">
        <f>[2]CZ_decarbplus_opex!AE121</f>
        <v>1.0192769000000001E-2</v>
      </c>
      <c r="AK121" s="188">
        <f>[2]CZ_decarbplus_opex!AF121</f>
        <v>3.5758106999999997E-2</v>
      </c>
      <c r="AL121" s="188">
        <f>[3]CZ_decarb_opex!E121</f>
        <v>1.16259332753585E-2</v>
      </c>
      <c r="AM121" s="188">
        <f>[3]CZ_decarb_opex!F121</f>
        <v>2.6735464761741701E-2</v>
      </c>
      <c r="AN121" s="188">
        <f>[2]CZ_decarbplus_opex!AG121</f>
        <v>1.2361874E-2</v>
      </c>
      <c r="AO121" s="188">
        <f>[3]CZ_decarb_opex!G121</f>
        <v>7.8379204446527798E-3</v>
      </c>
      <c r="AP121" s="188">
        <f>[3]CZ_decarb_opex!H121</f>
        <v>1.34679420555038E-2</v>
      </c>
      <c r="AQ121" s="188">
        <f>[2]CZ_decarbplus_opex!AH121</f>
        <v>1.6855917000000002E-2</v>
      </c>
      <c r="AR121" s="188">
        <f>[2]CZ_decarbplus_opex!AI121</f>
        <v>0</v>
      </c>
      <c r="AS121" s="188">
        <f>[2]CZ_decarbplus_opex!AJ121</f>
        <v>1.3217791E-2</v>
      </c>
      <c r="AT121" s="188">
        <f>[2]CZ_decarbplus_opex!AK121</f>
        <v>8.7980990000000002E-3</v>
      </c>
      <c r="AU121" s="188">
        <f>[2]CZ_decarbplus_opex!AL121</f>
        <v>1.5454346000000001E-2</v>
      </c>
      <c r="AV121" s="188">
        <f>[2]CZ_decarbplus_opex!AM121</f>
        <v>1.6485316E-2</v>
      </c>
      <c r="AW121" s="188">
        <f>[2]CZ_decarbplus_opex!AN121</f>
        <v>1.3031205000000001E-2</v>
      </c>
      <c r="AX121" s="188">
        <f>[2]CZ_decarbplus_opex!AO121</f>
        <v>0</v>
      </c>
      <c r="AY121" s="188">
        <f>[2]CZ_decarbplus_opex!AP121</f>
        <v>3.5406733000000003E-2</v>
      </c>
      <c r="AZ121" s="188">
        <f>[2]CZ_decarbplus_opex!AQ121</f>
        <v>0</v>
      </c>
      <c r="BA121" s="188">
        <f>[2]CZ_decarbplus_opex!AR121</f>
        <v>6.8954999999999997E-3</v>
      </c>
      <c r="BB121" s="188">
        <f>[2]CZ_decarbplus_opex!AS121</f>
        <v>5.0690370000000002E-3</v>
      </c>
      <c r="BC121" s="188">
        <f>[2]CZ_decarbplus_opex!AT121</f>
        <v>7.3100459999999997E-3</v>
      </c>
      <c r="BD121" s="188">
        <f>[2]CZ_decarbplus_opex!AU121</f>
        <v>8.9717000000000009E-3</v>
      </c>
      <c r="BE121" s="188">
        <f>[2]CZ_decarbplus_opex!AV121</f>
        <v>4.0568649999999998E-3</v>
      </c>
      <c r="BF121" s="188">
        <f>[2]CZ_decarbplus_opex!AW121</f>
        <v>9.2111180000000008E-3</v>
      </c>
      <c r="BG121" s="188">
        <f>[2]CZ_decarbplus_opex!AX121</f>
        <v>1.3582240000000001E-2</v>
      </c>
      <c r="BH121" s="188">
        <f>[3]CZ_decarb_opex!I121</f>
        <v>7.3893807528986801E-3</v>
      </c>
      <c r="BI121" s="188">
        <f>[2]CZ_decarbplus_opex!AY121</f>
        <v>7.5583179999999996E-3</v>
      </c>
      <c r="BJ121" s="188">
        <f>[2]CZ_decarbplus_opex!AZ121</f>
        <v>1.0024137000000001E-2</v>
      </c>
      <c r="BK121" s="188">
        <f>[2]CZ_decarbplus_opex!BA121</f>
        <v>1.3196041E-2</v>
      </c>
      <c r="BL121" s="188">
        <f>[2]CZ_decarbplus_opex!BB121</f>
        <v>0</v>
      </c>
      <c r="BM121" s="188">
        <f>[3]CZ_decarb_opex!J121</f>
        <v>7.3206236622921804E-3</v>
      </c>
      <c r="BN121" s="188">
        <f>[3]CZ_decarb_opex!K121</f>
        <v>1.5881573944063299E-2</v>
      </c>
      <c r="BO121" s="188">
        <f>[3]CZ_decarb_opex!L121</f>
        <v>3.4981227957675801E-3</v>
      </c>
      <c r="BP121" s="188">
        <f>[3]CZ_decarb_opex!M121</f>
        <v>6.8176716485519404E-3</v>
      </c>
      <c r="BQ121" s="188">
        <f>[3]CZ_decarb_opex!N121</f>
        <v>1.17878746149614E-2</v>
      </c>
      <c r="BR121" s="188">
        <f>[3]CZ_decarb_opex!O121</f>
        <v>1.36597751768648E-2</v>
      </c>
      <c r="BS121" s="188">
        <f>[3]CZ_decarb_opex!P121</f>
        <v>4.4527794788358402E-2</v>
      </c>
      <c r="BT121" s="188">
        <f>[3]CZ_decarb_opex!Q121</f>
        <v>1.01487524800248E-2</v>
      </c>
      <c r="BU121" s="188">
        <f>[3]CZ_decarb_opex!R121</f>
        <v>4.7867435537118997E-3</v>
      </c>
      <c r="BV121" s="188">
        <f>[3]CZ_decarb_opex!S121</f>
        <v>4.7867435537119196E-3</v>
      </c>
      <c r="BW121" s="188">
        <f>[3]CZ_decarb_opex!T121</f>
        <v>9.5861292219202292E-3</v>
      </c>
      <c r="BX121" s="188">
        <f>[3]CZ_decarb_opex!U121</f>
        <v>4.9828546844768201E-2</v>
      </c>
      <c r="BY121" s="188">
        <f>[3]CZ_decarb_opex!V121</f>
        <v>0.67565041258360403</v>
      </c>
      <c r="BZ121" s="188">
        <f>[2]CZ_decarbplus_opex!BC121</f>
        <v>8.0456929999999996E-3</v>
      </c>
      <c r="CA121" s="188">
        <f>[2]CZ_decarbplus_opex!BD121</f>
        <v>6.1848479999999997E-3</v>
      </c>
      <c r="CB121" s="188">
        <f>[2]CZ_decarbplus_opex!BE121</f>
        <v>3.9624559999999996E-3</v>
      </c>
      <c r="CC121" s="188">
        <f>[2]CZ_decarbplus_opex!BF121</f>
        <v>2.359168E-3</v>
      </c>
      <c r="CD121" s="188">
        <f>[2]CZ_decarbplus_opex!BG121</f>
        <v>1.1872858999999999E-2</v>
      </c>
      <c r="CE121" s="188">
        <f>[2]CZ_decarbplus_opex!BH121</f>
        <v>1.3750396999999999E-2</v>
      </c>
      <c r="CF121" s="188">
        <f>[2]CZ_decarbplus_opex!BI121</f>
        <v>1.0891738E-2</v>
      </c>
      <c r="CG121" s="188">
        <f>[2]CZ_decarbplus_opex!BJ121</f>
        <v>5.0661400000000002E-3</v>
      </c>
    </row>
    <row r="122" spans="1:85" x14ac:dyDescent="0.25">
      <c r="A122" s="6" t="s">
        <v>235</v>
      </c>
      <c r="B122" s="2" t="s">
        <v>234</v>
      </c>
      <c r="C122" s="1" t="s">
        <v>332</v>
      </c>
      <c r="D122" s="187">
        <f>[2]CZ_decarbplus_opex!B122</f>
        <v>6.3601800000000002E-4</v>
      </c>
      <c r="E122" s="187">
        <f>[2]CZ_decarbplus_opex!C122</f>
        <v>6.3840399999999997E-4</v>
      </c>
      <c r="F122" s="187">
        <f>[2]CZ_decarbplus_opex!D122</f>
        <v>4.1790399999999998E-4</v>
      </c>
      <c r="G122" s="187">
        <f>[2]CZ_decarbplus_opex!E122</f>
        <v>6.1699999999999995E-5</v>
      </c>
      <c r="H122" s="187">
        <f>[2]CZ_decarbplus_opex!F122</f>
        <v>1.1585400000000001E-4</v>
      </c>
      <c r="I122" s="187">
        <f>[2]CZ_decarbplus_opex!G122</f>
        <v>1.270817E-3</v>
      </c>
      <c r="J122" s="187">
        <f>[2]CZ_decarbplus_opex!H122</f>
        <v>1.540977E-3</v>
      </c>
      <c r="K122" s="187">
        <f>[2]CZ_decarbplus_opex!I122</f>
        <v>1.53659E-4</v>
      </c>
      <c r="L122" s="187">
        <f>[2]CZ_decarbplus_opex!J122</f>
        <v>2.7754939999999999E-3</v>
      </c>
      <c r="M122" s="187">
        <f>[2]CZ_decarbplus_opex!K122</f>
        <v>8.4789940000000001E-3</v>
      </c>
      <c r="N122" s="187">
        <f>[2]CZ_decarbplus_opex!L122</f>
        <v>3.6861860000000001E-3</v>
      </c>
      <c r="O122" s="187">
        <f>[2]CZ_decarbplus_opex!M122</f>
        <v>5.0403700000000004E-4</v>
      </c>
      <c r="P122" s="187">
        <f>[2]CZ_decarbplus_opex!N122</f>
        <v>1.405377E-3</v>
      </c>
      <c r="Q122" s="187">
        <f>[2]CZ_decarbplus_opex!O122</f>
        <v>3.3681999999999999E-4</v>
      </c>
      <c r="R122" s="187">
        <f>[2]CZ_decarbplus_opex!P122</f>
        <v>1.67713E-4</v>
      </c>
      <c r="S122" s="187">
        <f>[2]CZ_decarbplus_opex!Q122</f>
        <v>3.040896E-3</v>
      </c>
      <c r="T122" s="187">
        <f>[2]CZ_decarbplus_opex!R122</f>
        <v>3.4201000000000001E-3</v>
      </c>
      <c r="U122" s="187">
        <f>[2]CZ_decarbplus_opex!S122</f>
        <v>1.0460929999999999E-3</v>
      </c>
      <c r="V122" s="187">
        <f>[2]CZ_decarbplus_opex!T122</f>
        <v>1.2675500000000001E-3</v>
      </c>
      <c r="W122" s="187">
        <f>[2]CZ_decarbplus_opex!U122</f>
        <v>6.65268E-4</v>
      </c>
      <c r="X122" s="187">
        <f>[2]CZ_decarbplus_opex!V122</f>
        <v>1.1286650000000001E-3</v>
      </c>
      <c r="Y122" s="187">
        <f>[2]CZ_decarbplus_opex!W122</f>
        <v>2.2492899999999999E-4</v>
      </c>
      <c r="Z122" s="187">
        <f>[2]CZ_decarbplus_opex!X122</f>
        <v>9.5444400000000004E-4</v>
      </c>
      <c r="AA122" s="187">
        <f>[2]CZ_decarbplus_opex!Y122</f>
        <v>2.0024079999999998E-3</v>
      </c>
      <c r="AB122" s="188">
        <f>[3]CZ_decarb_opex!B122</f>
        <v>8.7640671672479002E-4</v>
      </c>
      <c r="AC122" s="188">
        <f>[3]CZ_decarb_opex!C122</f>
        <v>1.2806693118066299E-3</v>
      </c>
      <c r="AD122" s="188">
        <f>[3]CZ_decarb_opex!D122</f>
        <v>1.0303402224011099E-3</v>
      </c>
      <c r="AE122" s="188">
        <f>[2]CZ_decarbplus_opex!Z122</f>
        <v>9.8945499999999998E-4</v>
      </c>
      <c r="AF122" s="188">
        <f>[2]CZ_decarbplus_opex!AA122</f>
        <v>7.5197959999999996E-3</v>
      </c>
      <c r="AG122" s="188">
        <f>[2]CZ_decarbplus_opex!AB122</f>
        <v>1.1124590000000001E-3</v>
      </c>
      <c r="AH122" s="188">
        <f>[2]CZ_decarbplus_opex!AC122</f>
        <v>1.23485E-4</v>
      </c>
      <c r="AI122" s="188">
        <f>[2]CZ_decarbplus_opex!AD122</f>
        <v>2.0772400000000001E-4</v>
      </c>
      <c r="AJ122" s="188">
        <f>[2]CZ_decarbplus_opex!AE122</f>
        <v>1.5065799999999999E-4</v>
      </c>
      <c r="AK122" s="188">
        <f>[2]CZ_decarbplus_opex!AF122</f>
        <v>1.66253E-4</v>
      </c>
      <c r="AL122" s="188">
        <f>[3]CZ_decarb_opex!E122</f>
        <v>1.9468287615884901E-4</v>
      </c>
      <c r="AM122" s="188">
        <f>[3]CZ_decarb_opex!F122</f>
        <v>1.7532261087102201E-4</v>
      </c>
      <c r="AN122" s="188">
        <f>[2]CZ_decarbplus_opex!AG122</f>
        <v>2.69349E-4</v>
      </c>
      <c r="AO122" s="188">
        <f>[3]CZ_decarb_opex!G122</f>
        <v>1.0666872770045399E-3</v>
      </c>
      <c r="AP122" s="188">
        <f>[3]CZ_decarb_opex!H122</f>
        <v>1.32780377541732E-3</v>
      </c>
      <c r="AQ122" s="188">
        <f>[2]CZ_decarbplus_opex!AH122</f>
        <v>4.8336070000000002E-3</v>
      </c>
      <c r="AR122" s="188">
        <f>[2]CZ_decarbplus_opex!AI122</f>
        <v>0</v>
      </c>
      <c r="AS122" s="188">
        <f>[2]CZ_decarbplus_opex!AJ122</f>
        <v>2.3437559999999998E-3</v>
      </c>
      <c r="AT122" s="188">
        <f>[2]CZ_decarbplus_opex!AK122</f>
        <v>2.497151E-3</v>
      </c>
      <c r="AU122" s="188">
        <f>[2]CZ_decarbplus_opex!AL122</f>
        <v>6.7650499999999999E-4</v>
      </c>
      <c r="AV122" s="188">
        <f>[2]CZ_decarbplus_opex!AM122</f>
        <v>5.9042600000000002E-4</v>
      </c>
      <c r="AW122" s="188">
        <f>[2]CZ_decarbplus_opex!AN122</f>
        <v>1.7573389999999999E-3</v>
      </c>
      <c r="AX122" s="188">
        <f>[2]CZ_decarbplus_opex!AO122</f>
        <v>0</v>
      </c>
      <c r="AY122" s="188">
        <f>[2]CZ_decarbplus_opex!AP122</f>
        <v>5.1771170000000002E-3</v>
      </c>
      <c r="AZ122" s="188">
        <f>[2]CZ_decarbplus_opex!AQ122</f>
        <v>0</v>
      </c>
      <c r="BA122" s="188">
        <f>[2]CZ_decarbplus_opex!AR122</f>
        <v>2.401748E-3</v>
      </c>
      <c r="BB122" s="188">
        <f>[2]CZ_decarbplus_opex!AS122</f>
        <v>8.9070600000000001E-4</v>
      </c>
      <c r="BC122" s="188">
        <f>[2]CZ_decarbplus_opex!AT122</f>
        <v>8.2441100000000005E-4</v>
      </c>
      <c r="BD122" s="188">
        <f>[2]CZ_decarbplus_opex!AU122</f>
        <v>1.0273299999999999E-4</v>
      </c>
      <c r="BE122" s="188">
        <f>[2]CZ_decarbplus_opex!AV122</f>
        <v>1.456316E-3</v>
      </c>
      <c r="BF122" s="188">
        <f>[2]CZ_decarbplus_opex!AW122</f>
        <v>1.6199000000000001E-4</v>
      </c>
      <c r="BG122" s="188">
        <f>[2]CZ_decarbplus_opex!AX122</f>
        <v>4.6446370000000001E-3</v>
      </c>
      <c r="BH122" s="188">
        <f>[3]CZ_decarb_opex!I122</f>
        <v>1.66048719596853E-3</v>
      </c>
      <c r="BI122" s="188">
        <f>[2]CZ_decarbplus_opex!AY122</f>
        <v>1.0168589999999999E-3</v>
      </c>
      <c r="BJ122" s="188">
        <f>[2]CZ_decarbplus_opex!AZ122</f>
        <v>9.99923E-4</v>
      </c>
      <c r="BK122" s="188">
        <f>[2]CZ_decarbplus_opex!BA122</f>
        <v>1.9419540000000001E-3</v>
      </c>
      <c r="BL122" s="188">
        <f>[2]CZ_decarbplus_opex!BB122</f>
        <v>0</v>
      </c>
      <c r="BM122" s="188">
        <f>[3]CZ_decarb_opex!J122</f>
        <v>2.9297467684564998E-3</v>
      </c>
      <c r="BN122" s="188">
        <f>[3]CZ_decarb_opex!K122</f>
        <v>1.7342055752926401E-3</v>
      </c>
      <c r="BO122" s="188">
        <f>[3]CZ_decarb_opex!L122</f>
        <v>1.3519142268663901E-3</v>
      </c>
      <c r="BP122" s="188">
        <f>[3]CZ_decarb_opex!M122</f>
        <v>1.3086217574843099E-3</v>
      </c>
      <c r="BQ122" s="188">
        <f>[3]CZ_decarb_opex!N122</f>
        <v>1.07527844912141E-3</v>
      </c>
      <c r="BR122" s="188">
        <f>[3]CZ_decarb_opex!O122</f>
        <v>6.4091055778930602E-4</v>
      </c>
      <c r="BS122" s="188">
        <f>[3]CZ_decarb_opex!P122</f>
        <v>1.9013122446813399E-3</v>
      </c>
      <c r="BT122" s="188">
        <f>[3]CZ_decarb_opex!Q122</f>
        <v>3.2315041847901598E-3</v>
      </c>
      <c r="BU122" s="188">
        <f>[3]CZ_decarb_opex!R122</f>
        <v>5.4876639564093097E-3</v>
      </c>
      <c r="BV122" s="188">
        <f>[3]CZ_decarb_opex!S122</f>
        <v>5.4876639564093296E-3</v>
      </c>
      <c r="BW122" s="188">
        <f>[3]CZ_decarb_opex!T122</f>
        <v>1.74792733450863E-3</v>
      </c>
      <c r="BX122" s="188">
        <f>[3]CZ_decarb_opex!U122</f>
        <v>3.1675541870723001E-6</v>
      </c>
      <c r="BY122" s="188">
        <f>[3]CZ_decarb_opex!V122</f>
        <v>2.1065767314186299E-3</v>
      </c>
      <c r="BZ122" s="188">
        <f>[2]CZ_decarbplus_opex!BC122</f>
        <v>6.0727669999999997E-3</v>
      </c>
      <c r="CA122" s="188">
        <f>[2]CZ_decarbplus_opex!BD122</f>
        <v>5.0058500000000001E-3</v>
      </c>
      <c r="CB122" s="188">
        <f>[2]CZ_decarbplus_opex!BE122</f>
        <v>4.4552120000000001E-3</v>
      </c>
      <c r="CC122" s="188">
        <f>[2]CZ_decarbplus_opex!BF122</f>
        <v>2.5179299999999998E-3</v>
      </c>
      <c r="CD122" s="188">
        <f>[2]CZ_decarbplus_opex!BG122</f>
        <v>3.7765899999999998E-3</v>
      </c>
      <c r="CE122" s="188">
        <f>[2]CZ_decarbplus_opex!BH122</f>
        <v>5.0999289999999996E-3</v>
      </c>
      <c r="CF122" s="188">
        <f>[2]CZ_decarbplus_opex!BI122</f>
        <v>1.2984240000000001E-3</v>
      </c>
      <c r="CG122" s="188">
        <f>[2]CZ_decarbplus_opex!BJ122</f>
        <v>4.6678739999999998E-3</v>
      </c>
    </row>
    <row r="123" spans="1:85" x14ac:dyDescent="0.25">
      <c r="A123" s="5" t="s">
        <v>237</v>
      </c>
      <c r="B123" s="2" t="s">
        <v>236</v>
      </c>
      <c r="C123" s="1" t="s">
        <v>333</v>
      </c>
      <c r="D123" s="187">
        <f>[2]CZ_decarbplus_opex!B123</f>
        <v>3.448193E-3</v>
      </c>
      <c r="E123" s="187">
        <f>[2]CZ_decarbplus_opex!C123</f>
        <v>2.3110040000000002E-3</v>
      </c>
      <c r="F123" s="187">
        <f>[2]CZ_decarbplus_opex!D123</f>
        <v>3.766742E-3</v>
      </c>
      <c r="G123" s="187">
        <f>[2]CZ_decarbplus_opex!E123</f>
        <v>1.0225290000000001E-3</v>
      </c>
      <c r="H123" s="187">
        <f>[2]CZ_decarbplus_opex!F123</f>
        <v>1.393149E-3</v>
      </c>
      <c r="I123" s="187">
        <f>[2]CZ_decarbplus_opex!G123</f>
        <v>2.3489359999999998E-3</v>
      </c>
      <c r="J123" s="187">
        <f>[2]CZ_decarbplus_opex!H123</f>
        <v>9.2288309999999998E-3</v>
      </c>
      <c r="K123" s="187">
        <f>[2]CZ_decarbplus_opex!I123</f>
        <v>3.2219990000000001E-3</v>
      </c>
      <c r="L123" s="187">
        <f>[2]CZ_decarbplus_opex!J123</f>
        <v>1.7149540000000001E-3</v>
      </c>
      <c r="M123" s="187">
        <f>[2]CZ_decarbplus_opex!K123</f>
        <v>2.4381559999999999E-3</v>
      </c>
      <c r="N123" s="187">
        <f>[2]CZ_decarbplus_opex!L123</f>
        <v>6.3753129999999996E-3</v>
      </c>
      <c r="O123" s="187">
        <f>[2]CZ_decarbplus_opex!M123</f>
        <v>2.906301E-3</v>
      </c>
      <c r="P123" s="187">
        <f>[2]CZ_decarbplus_opex!N123</f>
        <v>2.3134140000000002E-3</v>
      </c>
      <c r="Q123" s="187">
        <f>[2]CZ_decarbplus_opex!O123</f>
        <v>5.2272519999999999E-3</v>
      </c>
      <c r="R123" s="187">
        <f>[2]CZ_decarbplus_opex!P123</f>
        <v>7.74693E-3</v>
      </c>
      <c r="S123" s="187">
        <f>[2]CZ_decarbplus_opex!Q123</f>
        <v>1.665202E-3</v>
      </c>
      <c r="T123" s="187">
        <f>[2]CZ_decarbplus_opex!R123</f>
        <v>5.1308609999999996E-3</v>
      </c>
      <c r="U123" s="187">
        <f>[2]CZ_decarbplus_opex!S123</f>
        <v>4.4612469999999998E-3</v>
      </c>
      <c r="V123" s="187">
        <f>[2]CZ_decarbplus_opex!T123</f>
        <v>5.6526129999999999E-3</v>
      </c>
      <c r="W123" s="187">
        <f>[2]CZ_decarbplus_opex!U123</f>
        <v>2.8104110000000001E-3</v>
      </c>
      <c r="X123" s="187">
        <f>[2]CZ_decarbplus_opex!V123</f>
        <v>1.7811260000000001E-3</v>
      </c>
      <c r="Y123" s="187">
        <f>[2]CZ_decarbplus_opex!W123</f>
        <v>1.5367845E-2</v>
      </c>
      <c r="Z123" s="187">
        <f>[2]CZ_decarbplus_opex!X123</f>
        <v>1.5436791E-2</v>
      </c>
      <c r="AA123" s="187">
        <f>[2]CZ_decarbplus_opex!Y123</f>
        <v>4.1934870999999999E-2</v>
      </c>
      <c r="AB123" s="188">
        <f>[3]CZ_decarb_opex!B123</f>
        <v>1.4535611744200601E-2</v>
      </c>
      <c r="AC123" s="188">
        <f>[3]CZ_decarb_opex!C123</f>
        <v>1.9229450169041401E-2</v>
      </c>
      <c r="AD123" s="188">
        <f>[3]CZ_decarb_opex!D123</f>
        <v>4.3368112600819103E-3</v>
      </c>
      <c r="AE123" s="188">
        <f>[2]CZ_decarbplus_opex!Z123</f>
        <v>3.3597689999999999E-3</v>
      </c>
      <c r="AF123" s="188">
        <f>[2]CZ_decarbplus_opex!AA123</f>
        <v>2.0337596999999999E-2</v>
      </c>
      <c r="AG123" s="188">
        <f>[2]CZ_decarbplus_opex!AB123</f>
        <v>8.99499E-4</v>
      </c>
      <c r="AH123" s="188">
        <f>[2]CZ_decarbplus_opex!AC123</f>
        <v>1.6684429999999999E-3</v>
      </c>
      <c r="AI123" s="188">
        <f>[2]CZ_decarbplus_opex!AD123</f>
        <v>3.7368240000000001E-3</v>
      </c>
      <c r="AJ123" s="188">
        <f>[2]CZ_decarbplus_opex!AE123</f>
        <v>2.464211E-3</v>
      </c>
      <c r="AK123" s="188">
        <f>[2]CZ_decarbplus_opex!AF123</f>
        <v>5.5260400000000003E-3</v>
      </c>
      <c r="AL123" s="188">
        <f>[3]CZ_decarb_opex!E123</f>
        <v>2.84086392656226E-3</v>
      </c>
      <c r="AM123" s="188">
        <f>[3]CZ_decarb_opex!F123</f>
        <v>4.6158598009367197E-3</v>
      </c>
      <c r="AN123" s="188">
        <f>[2]CZ_decarbplus_opex!AG123</f>
        <v>3.2285399999999998E-3</v>
      </c>
      <c r="AO123" s="188">
        <f>[3]CZ_decarb_opex!G123</f>
        <v>4.52605322254028E-3</v>
      </c>
      <c r="AP123" s="188">
        <f>[3]CZ_decarb_opex!H123</f>
        <v>5.7844543444071196E-3</v>
      </c>
      <c r="AQ123" s="188">
        <f>[2]CZ_decarbplus_opex!AH123</f>
        <v>3.9981349999999999E-3</v>
      </c>
      <c r="AR123" s="188">
        <f>[2]CZ_decarbplus_opex!AI123</f>
        <v>0</v>
      </c>
      <c r="AS123" s="188">
        <f>[2]CZ_decarbplus_opex!AJ123</f>
        <v>3.2267720000000001E-3</v>
      </c>
      <c r="AT123" s="188">
        <f>[2]CZ_decarbplus_opex!AK123</f>
        <v>2.4369439999999999E-3</v>
      </c>
      <c r="AU123" s="188">
        <f>[2]CZ_decarbplus_opex!AL123</f>
        <v>1.987698E-3</v>
      </c>
      <c r="AV123" s="188">
        <f>[2]CZ_decarbplus_opex!AM123</f>
        <v>1.8890479999999999E-3</v>
      </c>
      <c r="AW123" s="188">
        <f>[2]CZ_decarbplus_opex!AN123</f>
        <v>2.9090050000000001E-3</v>
      </c>
      <c r="AX123" s="188">
        <f>[2]CZ_decarbplus_opex!AO123</f>
        <v>0</v>
      </c>
      <c r="AY123" s="188">
        <f>[2]CZ_decarbplus_opex!AP123</f>
        <v>1.0537479000000001E-2</v>
      </c>
      <c r="AZ123" s="188">
        <f>[2]CZ_decarbplus_opex!AQ123</f>
        <v>0</v>
      </c>
      <c r="BA123" s="188">
        <f>[2]CZ_decarbplus_opex!AR123</f>
        <v>1.745576E-3</v>
      </c>
      <c r="BB123" s="188">
        <f>[2]CZ_decarbplus_opex!AS123</f>
        <v>9.8828999999999996E-4</v>
      </c>
      <c r="BC123" s="188">
        <f>[2]CZ_decarbplus_opex!AT123</f>
        <v>2.044761E-3</v>
      </c>
      <c r="BD123" s="188">
        <f>[2]CZ_decarbplus_opex!AU123</f>
        <v>1.5036889999999999E-3</v>
      </c>
      <c r="BE123" s="188">
        <f>[2]CZ_decarbplus_opex!AV123</f>
        <v>1.4659639999999999E-3</v>
      </c>
      <c r="BF123" s="188">
        <f>[2]CZ_decarbplus_opex!AW123</f>
        <v>8.9982899999999999E-4</v>
      </c>
      <c r="BG123" s="188">
        <f>[2]CZ_decarbplus_opex!AX123</f>
        <v>1.5195740000000001E-3</v>
      </c>
      <c r="BH123" s="188">
        <f>[3]CZ_decarb_opex!I123</f>
        <v>3.4514886087290502E-3</v>
      </c>
      <c r="BI123" s="188">
        <f>[2]CZ_decarbplus_opex!AY123</f>
        <v>1.388495E-3</v>
      </c>
      <c r="BJ123" s="188">
        <f>[2]CZ_decarbplus_opex!AZ123</f>
        <v>1.5173070000000001E-3</v>
      </c>
      <c r="BK123" s="188">
        <f>[2]CZ_decarbplus_opex!BA123</f>
        <v>2.9180790000000001E-3</v>
      </c>
      <c r="BL123" s="188">
        <f>[2]CZ_decarbplus_opex!BB123</f>
        <v>0</v>
      </c>
      <c r="BM123" s="188">
        <f>[3]CZ_decarb_opex!J123</f>
        <v>1.5873600319641998E-2</v>
      </c>
      <c r="BN123" s="188">
        <f>[3]CZ_decarb_opex!K123</f>
        <v>5.2947482641924497E-2</v>
      </c>
      <c r="BO123" s="188">
        <f>[3]CZ_decarb_opex!L123</f>
        <v>3.0334280676113001E-3</v>
      </c>
      <c r="BP123" s="188">
        <f>[3]CZ_decarb_opex!M123</f>
        <v>4.0771797757612601E-3</v>
      </c>
      <c r="BQ123" s="188">
        <f>[3]CZ_decarb_opex!N123</f>
        <v>5.7667470529491997E-3</v>
      </c>
      <c r="BR123" s="188">
        <f>[3]CZ_decarb_opex!O123</f>
        <v>1.4332833667677501E-3</v>
      </c>
      <c r="BS123" s="188">
        <f>[3]CZ_decarb_opex!P123</f>
        <v>4.0962333344819503E-2</v>
      </c>
      <c r="BT123" s="188">
        <f>[3]CZ_decarb_opex!Q123</f>
        <v>2.0846614070915898E-3</v>
      </c>
      <c r="BU123" s="188">
        <f>[3]CZ_decarb_opex!R123</f>
        <v>3.7079157077593802E-3</v>
      </c>
      <c r="BV123" s="188">
        <f>[3]CZ_decarb_opex!S123</f>
        <v>3.7079157077593802E-3</v>
      </c>
      <c r="BW123" s="188">
        <f>[3]CZ_decarb_opex!T123</f>
        <v>1.3368263496317001E-3</v>
      </c>
      <c r="BX123" s="188">
        <f>[3]CZ_decarb_opex!U123</f>
        <v>1.2146404041005501E-2</v>
      </c>
      <c r="BY123" s="188">
        <f>[3]CZ_decarb_opex!V123</f>
        <v>1.54477973395384E-3</v>
      </c>
      <c r="BZ123" s="188">
        <f>[2]CZ_decarbplus_opex!BC123</f>
        <v>1.6322291999999999E-2</v>
      </c>
      <c r="CA123" s="188">
        <f>[2]CZ_decarbplus_opex!BD123</f>
        <v>3.8191810000000001E-3</v>
      </c>
      <c r="CB123" s="188">
        <f>[2]CZ_decarbplus_opex!BE123</f>
        <v>4.9276959999999996E-3</v>
      </c>
      <c r="CC123" s="188">
        <f>[2]CZ_decarbplus_opex!BF123</f>
        <v>1.1907720000000001E-3</v>
      </c>
      <c r="CD123" s="188">
        <f>[2]CZ_decarbplus_opex!BG123</f>
        <v>4.5291307000000003E-2</v>
      </c>
      <c r="CE123" s="188">
        <f>[2]CZ_decarbplus_opex!BH123</f>
        <v>2.0217809999999998E-3</v>
      </c>
      <c r="CF123" s="188">
        <f>[2]CZ_decarbplus_opex!BI123</f>
        <v>1.948375E-3</v>
      </c>
      <c r="CG123" s="188">
        <f>[2]CZ_decarbplus_opex!BJ123</f>
        <v>1.438445E-3</v>
      </c>
    </row>
    <row r="124" spans="1:85" x14ac:dyDescent="0.25">
      <c r="A124" s="5" t="s">
        <v>239</v>
      </c>
      <c r="B124" s="2" t="s">
        <v>238</v>
      </c>
      <c r="C124" s="1" t="s">
        <v>333</v>
      </c>
      <c r="D124" s="187">
        <f>[2]CZ_decarbplus_opex!B124</f>
        <v>1.7270707E-2</v>
      </c>
      <c r="E124" s="187">
        <f>[2]CZ_decarbplus_opex!C124</f>
        <v>2.2416934999999999E-2</v>
      </c>
      <c r="F124" s="187">
        <f>[2]CZ_decarbplus_opex!D124</f>
        <v>1.7898491999999998E-2</v>
      </c>
      <c r="G124" s="187">
        <f>[2]CZ_decarbplus_opex!E124</f>
        <v>5.365201E-3</v>
      </c>
      <c r="H124" s="187">
        <f>[2]CZ_decarbplus_opex!F124</f>
        <v>7.5185429999999999E-3</v>
      </c>
      <c r="I124" s="187">
        <f>[2]CZ_decarbplus_opex!G124</f>
        <v>5.8809425999999998E-2</v>
      </c>
      <c r="J124" s="187">
        <f>[2]CZ_decarbplus_opex!H124</f>
        <v>8.2560713999999993E-2</v>
      </c>
      <c r="K124" s="187">
        <f>[2]CZ_decarbplus_opex!I124</f>
        <v>1.6656901000000002E-2</v>
      </c>
      <c r="L124" s="187">
        <f>[2]CZ_decarbplus_opex!J124</f>
        <v>2.2148866E-2</v>
      </c>
      <c r="M124" s="187">
        <f>[2]CZ_decarbplus_opex!K124</f>
        <v>4.2818881000000003E-2</v>
      </c>
      <c r="N124" s="187">
        <f>[2]CZ_decarbplus_opex!L124</f>
        <v>4.3011425999999998E-2</v>
      </c>
      <c r="O124" s="187">
        <f>[2]CZ_decarbplus_opex!M124</f>
        <v>1.523249E-2</v>
      </c>
      <c r="P124" s="187">
        <f>[2]CZ_decarbplus_opex!N124</f>
        <v>2.9560468999999999E-2</v>
      </c>
      <c r="Q124" s="187">
        <f>[2]CZ_decarbplus_opex!O124</f>
        <v>1.8033820999999998E-2</v>
      </c>
      <c r="R124" s="187">
        <f>[2]CZ_decarbplus_opex!P124</f>
        <v>2.8983867999999999E-2</v>
      </c>
      <c r="S124" s="187">
        <f>[2]CZ_decarbplus_opex!Q124</f>
        <v>4.2644287000000003E-2</v>
      </c>
      <c r="T124" s="187">
        <f>[2]CZ_decarbplus_opex!R124</f>
        <v>6.1622964000000002E-2</v>
      </c>
      <c r="U124" s="187">
        <f>[2]CZ_decarbplus_opex!S124</f>
        <v>0.20064143300000001</v>
      </c>
      <c r="V124" s="187">
        <f>[2]CZ_decarbplus_opex!T124</f>
        <v>0.28683148000000003</v>
      </c>
      <c r="W124" s="187">
        <f>[2]CZ_decarbplus_opex!U124</f>
        <v>3.8606641999999997E-2</v>
      </c>
      <c r="X124" s="187">
        <f>[2]CZ_decarbplus_opex!V124</f>
        <v>2.0610397999999999E-2</v>
      </c>
      <c r="Y124" s="187">
        <f>[2]CZ_decarbplus_opex!W124</f>
        <v>4.0072492000000001E-2</v>
      </c>
      <c r="Z124" s="187">
        <f>[2]CZ_decarbplus_opex!X124</f>
        <v>0.22639365</v>
      </c>
      <c r="AA124" s="187">
        <f>[2]CZ_decarbplus_opex!Y124</f>
        <v>0.12693434000000001</v>
      </c>
      <c r="AB124" s="188">
        <f>[3]CZ_decarb_opex!B124</f>
        <v>5.6700519893351398E-2</v>
      </c>
      <c r="AC124" s="188">
        <f>[3]CZ_decarb_opex!C124</f>
        <v>7.5949282296661202E-2</v>
      </c>
      <c r="AD124" s="188">
        <f>[3]CZ_decarb_opex!D124</f>
        <v>4.4291695162636098E-2</v>
      </c>
      <c r="AE124" s="188">
        <f>[2]CZ_decarbplus_opex!Z124</f>
        <v>4.1029897000000003E-2</v>
      </c>
      <c r="AF124" s="188">
        <f>[2]CZ_decarbplus_opex!AA124</f>
        <v>2.2112364999999998E-2</v>
      </c>
      <c r="AG124" s="188">
        <f>[2]CZ_decarbplus_opex!AB124</f>
        <v>3.3451370000000002E-3</v>
      </c>
      <c r="AH124" s="188">
        <f>[2]CZ_decarbplus_opex!AC124</f>
        <v>5.991405E-3</v>
      </c>
      <c r="AI124" s="188">
        <f>[2]CZ_decarbplus_opex!AD124</f>
        <v>1.3793730000000001E-2</v>
      </c>
      <c r="AJ124" s="188">
        <f>[2]CZ_decarbplus_opex!AE124</f>
        <v>8.7423589999999999E-3</v>
      </c>
      <c r="AK124" s="188">
        <f>[2]CZ_decarbplus_opex!AF124</f>
        <v>2.0739205E-2</v>
      </c>
      <c r="AL124" s="188">
        <f>[3]CZ_decarb_opex!E124</f>
        <v>1.06413366651971E-2</v>
      </c>
      <c r="AM124" s="188">
        <f>[3]CZ_decarb_opex!F124</f>
        <v>1.7976153505367898E-2</v>
      </c>
      <c r="AN124" s="188">
        <f>[2]CZ_decarbplus_opex!AG124</f>
        <v>1.0670377E-2</v>
      </c>
      <c r="AO124" s="188">
        <f>[3]CZ_decarb_opex!G124</f>
        <v>1.08120372992614E-2</v>
      </c>
      <c r="AP124" s="188">
        <f>[3]CZ_decarb_opex!H124</f>
        <v>1.47048362740355E-2</v>
      </c>
      <c r="AQ124" s="188">
        <f>[2]CZ_decarbplus_opex!AH124</f>
        <v>1.5146366E-2</v>
      </c>
      <c r="AR124" s="188">
        <f>[2]CZ_decarbplus_opex!AI124</f>
        <v>0</v>
      </c>
      <c r="AS124" s="188">
        <f>[2]CZ_decarbplus_opex!AJ124</f>
        <v>1.5389915000000001E-2</v>
      </c>
      <c r="AT124" s="188">
        <f>[2]CZ_decarbplus_opex!AK124</f>
        <v>1.3049721E-2</v>
      </c>
      <c r="AU124" s="188">
        <f>[2]CZ_decarbplus_opex!AL124</f>
        <v>1.3352179E-2</v>
      </c>
      <c r="AV124" s="188">
        <f>[2]CZ_decarbplus_opex!AM124</f>
        <v>1.3191230999999999E-2</v>
      </c>
      <c r="AW124" s="188">
        <f>[2]CZ_decarbplus_opex!AN124</f>
        <v>1.4406624E-2</v>
      </c>
      <c r="AX124" s="188">
        <f>[2]CZ_decarbplus_opex!AO124</f>
        <v>0</v>
      </c>
      <c r="AY124" s="188">
        <f>[2]CZ_decarbplus_opex!AP124</f>
        <v>3.7070625000000003E-2</v>
      </c>
      <c r="AZ124" s="188">
        <f>[2]CZ_decarbplus_opex!AQ124</f>
        <v>0</v>
      </c>
      <c r="BA124" s="188">
        <f>[2]CZ_decarbplus_opex!AR124</f>
        <v>8.9064869999999994E-3</v>
      </c>
      <c r="BB124" s="188">
        <f>[2]CZ_decarbplus_opex!AS124</f>
        <v>3.037578E-3</v>
      </c>
      <c r="BC124" s="188">
        <f>[2]CZ_decarbplus_opex!AT124</f>
        <v>2.7740322000000001E-2</v>
      </c>
      <c r="BD124" s="188">
        <f>[2]CZ_decarbplus_opex!AU124</f>
        <v>4.9751550000000002E-3</v>
      </c>
      <c r="BE124" s="188">
        <f>[2]CZ_decarbplus_opex!AV124</f>
        <v>2.1812964000000001E-2</v>
      </c>
      <c r="BF124" s="188">
        <f>[2]CZ_decarbplus_opex!AW124</f>
        <v>6.1841170000000003E-3</v>
      </c>
      <c r="BG124" s="188">
        <f>[2]CZ_decarbplus_opex!AX124</f>
        <v>1.3693965000000001E-2</v>
      </c>
      <c r="BH124" s="188">
        <f>[3]CZ_decarb_opex!I124</f>
        <v>1.19151453333908E-2</v>
      </c>
      <c r="BI124" s="188">
        <f>[2]CZ_decarbplus_opex!AY124</f>
        <v>6.913705E-3</v>
      </c>
      <c r="BJ124" s="188">
        <f>[2]CZ_decarbplus_opex!AZ124</f>
        <v>6.9737169999999999E-3</v>
      </c>
      <c r="BK124" s="188">
        <f>[2]CZ_decarbplus_opex!BA124</f>
        <v>1.1536670000000001E-2</v>
      </c>
      <c r="BL124" s="188">
        <f>[2]CZ_decarbplus_opex!BB124</f>
        <v>0</v>
      </c>
      <c r="BM124" s="188">
        <f>[3]CZ_decarb_opex!J124</f>
        <v>0.12875309609659699</v>
      </c>
      <c r="BN124" s="188">
        <f>[3]CZ_decarb_opex!K124</f>
        <v>0.104911299632202</v>
      </c>
      <c r="BO124" s="188">
        <f>[3]CZ_decarb_opex!L124</f>
        <v>4.1794605091217199E-2</v>
      </c>
      <c r="BP124" s="188">
        <f>[3]CZ_decarb_opex!M124</f>
        <v>7.24151515758472E-2</v>
      </c>
      <c r="BQ124" s="188">
        <f>[3]CZ_decarb_opex!N124</f>
        <v>7.9171232948198403E-2</v>
      </c>
      <c r="BR124" s="188">
        <f>[3]CZ_decarb_opex!O124</f>
        <v>2.1947916366098399E-2</v>
      </c>
      <c r="BS124" s="188">
        <f>[3]CZ_decarb_opex!P124</f>
        <v>9.9322587884996802E-2</v>
      </c>
      <c r="BT124" s="188">
        <f>[3]CZ_decarb_opex!Q124</f>
        <v>6.5428152753507799E-3</v>
      </c>
      <c r="BU124" s="188">
        <f>[3]CZ_decarb_opex!R124</f>
        <v>7.5745891607497298E-2</v>
      </c>
      <c r="BV124" s="188">
        <f>[3]CZ_decarb_opex!S124</f>
        <v>7.5745891607497395E-2</v>
      </c>
      <c r="BW124" s="188">
        <f>[3]CZ_decarb_opex!T124</f>
        <v>2.0189265978785498E-2</v>
      </c>
      <c r="BX124" s="188">
        <f>[3]CZ_decarb_opex!U124</f>
        <v>2.9441747226081401E-2</v>
      </c>
      <c r="BY124" s="188">
        <f>[3]CZ_decarb_opex!V124</f>
        <v>5.05699974144754E-3</v>
      </c>
      <c r="BZ124" s="188">
        <f>[2]CZ_decarbplus_opex!BC124</f>
        <v>9.5033562000000002E-2</v>
      </c>
      <c r="CA124" s="188">
        <f>[2]CZ_decarbplus_opex!BD124</f>
        <v>8.0855248000000005E-2</v>
      </c>
      <c r="CB124" s="188">
        <f>[2]CZ_decarbplus_opex!BE124</f>
        <v>8.0497314E-2</v>
      </c>
      <c r="CC124" s="188">
        <f>[2]CZ_decarbplus_opex!BF124</f>
        <v>7.2393417000000002E-2</v>
      </c>
      <c r="CD124" s="188">
        <f>[2]CZ_decarbplus_opex!BG124</f>
        <v>8.4211753E-2</v>
      </c>
      <c r="CE124" s="188">
        <f>[2]CZ_decarbplus_opex!BH124</f>
        <v>6.6502139999999998E-3</v>
      </c>
      <c r="CF124" s="188">
        <f>[2]CZ_decarbplus_opex!BI124</f>
        <v>5.8633950000000004E-3</v>
      </c>
      <c r="CG124" s="188">
        <f>[2]CZ_decarbplus_opex!BJ124</f>
        <v>5.5843009999999998E-3</v>
      </c>
    </row>
    <row r="125" spans="1:85" x14ac:dyDescent="0.25">
      <c r="A125" s="5" t="s">
        <v>241</v>
      </c>
      <c r="B125" s="2" t="s">
        <v>240</v>
      </c>
      <c r="C125" s="1" t="s">
        <v>333</v>
      </c>
      <c r="D125" s="187">
        <f>[2]CZ_decarbplus_opex!B125</f>
        <v>9.3365500000000003E-4</v>
      </c>
      <c r="E125" s="187">
        <f>[2]CZ_decarbplus_opex!C125</f>
        <v>6.9481600000000001E-4</v>
      </c>
      <c r="F125" s="187">
        <f>[2]CZ_decarbplus_opex!D125</f>
        <v>8.6928099999999996E-4</v>
      </c>
      <c r="G125" s="187">
        <f>[2]CZ_decarbplus_opex!E125</f>
        <v>4.0564799999999999E-4</v>
      </c>
      <c r="H125" s="187">
        <f>[2]CZ_decarbplus_opex!F125</f>
        <v>4.5867199999999998E-4</v>
      </c>
      <c r="I125" s="187">
        <f>[2]CZ_decarbplus_opex!G125</f>
        <v>4.50748E-4</v>
      </c>
      <c r="J125" s="187">
        <f>[2]CZ_decarbplus_opex!H125</f>
        <v>2.8936830000000002E-3</v>
      </c>
      <c r="K125" s="187">
        <f>[2]CZ_decarbplus_opex!I125</f>
        <v>1.2430150000000001E-3</v>
      </c>
      <c r="L125" s="187">
        <f>[2]CZ_decarbplus_opex!J125</f>
        <v>4.34793E-4</v>
      </c>
      <c r="M125" s="187">
        <f>[2]CZ_decarbplus_opex!K125</f>
        <v>4.9619599999999996E-4</v>
      </c>
      <c r="N125" s="187">
        <f>[2]CZ_decarbplus_opex!L125</f>
        <v>1.789821E-3</v>
      </c>
      <c r="O125" s="187">
        <f>[2]CZ_decarbplus_opex!M125</f>
        <v>6.35858E-4</v>
      </c>
      <c r="P125" s="187">
        <f>[2]CZ_decarbplus_opex!N125</f>
        <v>4.86176E-4</v>
      </c>
      <c r="Q125" s="187">
        <f>[2]CZ_decarbplus_opex!O125</f>
        <v>7.8445200000000004E-4</v>
      </c>
      <c r="R125" s="187">
        <f>[2]CZ_decarbplus_opex!P125</f>
        <v>1.658893E-3</v>
      </c>
      <c r="S125" s="187">
        <f>[2]CZ_decarbplus_opex!Q125</f>
        <v>3.7809600000000002E-4</v>
      </c>
      <c r="T125" s="187">
        <f>[2]CZ_decarbplus_opex!R125</f>
        <v>1.543989E-3</v>
      </c>
      <c r="U125" s="187">
        <f>[2]CZ_decarbplus_opex!S125</f>
        <v>7.29961E-4</v>
      </c>
      <c r="V125" s="187">
        <f>[2]CZ_decarbplus_opex!T125</f>
        <v>8.8647900000000002E-4</v>
      </c>
      <c r="W125" s="187">
        <f>[2]CZ_decarbplus_opex!U125</f>
        <v>4.2826300000000002E-4</v>
      </c>
      <c r="X125" s="187">
        <f>[2]CZ_decarbplus_opex!V125</f>
        <v>4.0865399999999999E-4</v>
      </c>
      <c r="Y125" s="187">
        <f>[2]CZ_decarbplus_opex!W125</f>
        <v>1.2735120000000001E-3</v>
      </c>
      <c r="Z125" s="187">
        <f>[2]CZ_decarbplus_opex!X125</f>
        <v>5.9049325E-2</v>
      </c>
      <c r="AA125" s="187">
        <f>[2]CZ_decarbplus_opex!Y125</f>
        <v>4.3606189999999996E-3</v>
      </c>
      <c r="AB125" s="188">
        <f>[3]CZ_decarb_opex!B125</f>
        <v>1.48073809005072E-2</v>
      </c>
      <c r="AC125" s="188">
        <f>[3]CZ_decarb_opex!C125</f>
        <v>3.7684563367535902E-3</v>
      </c>
      <c r="AD125" s="188">
        <f>[3]CZ_decarb_opex!D125</f>
        <v>1.30885671614047E-3</v>
      </c>
      <c r="AE125" s="188">
        <f>[2]CZ_decarbplus_opex!Z125</f>
        <v>1.0365089999999999E-3</v>
      </c>
      <c r="AF125" s="188">
        <f>[2]CZ_decarbplus_opex!AA125</f>
        <v>4.8954800000000002E-4</v>
      </c>
      <c r="AG125" s="188">
        <f>[2]CZ_decarbplus_opex!AB125</f>
        <v>2.3696000000000001E-4</v>
      </c>
      <c r="AH125" s="188">
        <f>[2]CZ_decarbplus_opex!AC125</f>
        <v>5.3655300000000005E-4</v>
      </c>
      <c r="AI125" s="188">
        <f>[2]CZ_decarbplus_opex!AD125</f>
        <v>1.2066659999999999E-3</v>
      </c>
      <c r="AJ125" s="188">
        <f>[2]CZ_decarbplus_opex!AE125</f>
        <v>8.4165800000000001E-4</v>
      </c>
      <c r="AK125" s="188">
        <f>[2]CZ_decarbplus_opex!AF125</f>
        <v>1.8623870000000001E-3</v>
      </c>
      <c r="AL125" s="188">
        <f>[3]CZ_decarb_opex!E125</f>
        <v>8.49969672861967E-4</v>
      </c>
      <c r="AM125" s="188">
        <f>[3]CZ_decarb_opex!F125</f>
        <v>1.5372697127169399E-3</v>
      </c>
      <c r="AN125" s="188">
        <f>[2]CZ_decarbplus_opex!AG125</f>
        <v>8.6436599999999998E-4</v>
      </c>
      <c r="AO125" s="188">
        <f>[3]CZ_decarb_opex!G125</f>
        <v>5.7857580334563698E-4</v>
      </c>
      <c r="AP125" s="188">
        <f>[3]CZ_decarb_opex!H125</f>
        <v>8.2868777730947703E-4</v>
      </c>
      <c r="AQ125" s="188">
        <f>[2]CZ_decarbplus_opex!AH125</f>
        <v>9.5926599999999996E-4</v>
      </c>
      <c r="AR125" s="188">
        <f>[2]CZ_decarbplus_opex!AI125</f>
        <v>0</v>
      </c>
      <c r="AS125" s="188">
        <f>[2]CZ_decarbplus_opex!AJ125</f>
        <v>8.8075700000000002E-4</v>
      </c>
      <c r="AT125" s="188">
        <f>[2]CZ_decarbplus_opex!AK125</f>
        <v>6.3765600000000001E-4</v>
      </c>
      <c r="AU125" s="188">
        <f>[2]CZ_decarbplus_opex!AL125</f>
        <v>8.8524700000000003E-4</v>
      </c>
      <c r="AV125" s="188">
        <f>[2]CZ_decarbplus_opex!AM125</f>
        <v>8.94858E-4</v>
      </c>
      <c r="AW125" s="188">
        <f>[2]CZ_decarbplus_opex!AN125</f>
        <v>7.8425200000000004E-4</v>
      </c>
      <c r="AX125" s="188">
        <f>[2]CZ_decarbplus_opex!AO125</f>
        <v>0</v>
      </c>
      <c r="AY125" s="188">
        <f>[2]CZ_decarbplus_opex!AP125</f>
        <v>2.9226149999999999E-3</v>
      </c>
      <c r="AZ125" s="188">
        <f>[2]CZ_decarbplus_opex!AQ125</f>
        <v>0</v>
      </c>
      <c r="BA125" s="188">
        <f>[2]CZ_decarbplus_opex!AR125</f>
        <v>4.6856699999999997E-4</v>
      </c>
      <c r="BB125" s="188">
        <f>[2]CZ_decarbplus_opex!AS125</f>
        <v>2.5419100000000002E-4</v>
      </c>
      <c r="BC125" s="188">
        <f>[2]CZ_decarbplus_opex!AT125</f>
        <v>2.25157E-4</v>
      </c>
      <c r="BD125" s="188">
        <f>[2]CZ_decarbplus_opex!AU125</f>
        <v>3.60026E-4</v>
      </c>
      <c r="BE125" s="188">
        <f>[2]CZ_decarbplus_opex!AV125</f>
        <v>2.1306799999999999E-4</v>
      </c>
      <c r="BF125" s="188">
        <f>[2]CZ_decarbplus_opex!AW125</f>
        <v>2.2238600000000001E-4</v>
      </c>
      <c r="BG125" s="188">
        <f>[2]CZ_decarbplus_opex!AX125</f>
        <v>3.3962499999999997E-4</v>
      </c>
      <c r="BH125" s="188">
        <f>[3]CZ_decarb_opex!I125</f>
        <v>2.9058190007262802E-4</v>
      </c>
      <c r="BI125" s="188">
        <f>[2]CZ_decarbplus_opex!AY125</f>
        <v>3.6383500000000002E-4</v>
      </c>
      <c r="BJ125" s="188">
        <f>[2]CZ_decarbplus_opex!AZ125</f>
        <v>4.1944900000000002E-4</v>
      </c>
      <c r="BK125" s="188">
        <f>[2]CZ_decarbplus_opex!BA125</f>
        <v>7.7690799999999998E-4</v>
      </c>
      <c r="BL125" s="188">
        <f>[2]CZ_decarbplus_opex!BB125</f>
        <v>0</v>
      </c>
      <c r="BM125" s="188">
        <f>[3]CZ_decarb_opex!J125</f>
        <v>1.0930863295916999E-3</v>
      </c>
      <c r="BN125" s="188">
        <f>[3]CZ_decarb_opex!K125</f>
        <v>1.31531528272625E-3</v>
      </c>
      <c r="BO125" s="188">
        <f>[3]CZ_decarb_opex!L125</f>
        <v>9.7582138433409198E-4</v>
      </c>
      <c r="BP125" s="188">
        <f>[3]CZ_decarb_opex!M125</f>
        <v>1.57584573059786E-3</v>
      </c>
      <c r="BQ125" s="188">
        <f>[3]CZ_decarb_opex!N125</f>
        <v>2.0642955772295301E-3</v>
      </c>
      <c r="BR125" s="188">
        <f>[3]CZ_decarb_opex!O125</f>
        <v>1.7718604561677801E-4</v>
      </c>
      <c r="BS125" s="188">
        <f>[3]CZ_decarb_opex!P125</f>
        <v>5.15194087609746E-3</v>
      </c>
      <c r="BT125" s="188">
        <f>[3]CZ_decarb_opex!Q125</f>
        <v>6.0737785386151403E-4</v>
      </c>
      <c r="BU125" s="188">
        <f>[3]CZ_decarb_opex!R125</f>
        <v>1.2842948344536799E-4</v>
      </c>
      <c r="BV125" s="188">
        <f>[3]CZ_decarb_opex!S125</f>
        <v>1.28429483445369E-4</v>
      </c>
      <c r="BW125" s="188">
        <f>[3]CZ_decarb_opex!T125</f>
        <v>7.0185341422322495E-4</v>
      </c>
      <c r="BX125" s="188">
        <f>[3]CZ_decarb_opex!U125</f>
        <v>1.7268269304223499E-3</v>
      </c>
      <c r="BY125" s="188">
        <f>[3]CZ_decarb_opex!V125</f>
        <v>8.2592417337134003E-2</v>
      </c>
      <c r="BZ125" s="188">
        <f>[2]CZ_decarbplus_opex!BC125</f>
        <v>1.50877E-3</v>
      </c>
      <c r="CA125" s="188">
        <f>[2]CZ_decarbplus_opex!BD125</f>
        <v>1.1536859999999999E-3</v>
      </c>
      <c r="CB125" s="188">
        <f>[2]CZ_decarbplus_opex!BE125</f>
        <v>1.6421980000000001E-3</v>
      </c>
      <c r="CC125" s="188">
        <f>[2]CZ_decarbplus_opex!BF125</f>
        <v>1.3399429999999999E-3</v>
      </c>
      <c r="CD125" s="188">
        <f>[2]CZ_decarbplus_opex!BG125</f>
        <v>3.4338440000000001E-3</v>
      </c>
      <c r="CE125" s="188">
        <f>[2]CZ_decarbplus_opex!BH125</f>
        <v>5.1986000000000003E-4</v>
      </c>
      <c r="CF125" s="188">
        <f>[2]CZ_decarbplus_opex!BI125</f>
        <v>4.0168099999999998E-4</v>
      </c>
      <c r="CG125" s="188">
        <f>[2]CZ_decarbplus_opex!BJ125</f>
        <v>4.5297499999999999E-4</v>
      </c>
    </row>
    <row r="126" spans="1:85" x14ac:dyDescent="0.25">
      <c r="A126" s="5" t="s">
        <v>243</v>
      </c>
      <c r="B126" s="2" t="s">
        <v>242</v>
      </c>
      <c r="C126" s="1" t="s">
        <v>333</v>
      </c>
      <c r="D126" s="187">
        <f>[2]CZ_decarbplus_opex!B126</f>
        <v>1.85162E-4</v>
      </c>
      <c r="E126" s="187">
        <f>[2]CZ_decarbplus_opex!C126</f>
        <v>8.4499999999999994E-5</v>
      </c>
      <c r="F126" s="187">
        <f>[2]CZ_decarbplus_opex!D126</f>
        <v>2.2302300000000001E-4</v>
      </c>
      <c r="G126" s="187">
        <f>[2]CZ_decarbplus_opex!E126</f>
        <v>1.28291E-4</v>
      </c>
      <c r="H126" s="187">
        <f>[2]CZ_decarbplus_opex!F126</f>
        <v>1.3699999999999999E-5</v>
      </c>
      <c r="I126" s="187">
        <f>[2]CZ_decarbplus_opex!G126</f>
        <v>9.3999999999999994E-5</v>
      </c>
      <c r="J126" s="187">
        <f>[2]CZ_decarbplus_opex!H126</f>
        <v>5.363339E-3</v>
      </c>
      <c r="K126" s="187">
        <f>[2]CZ_decarbplus_opex!I126</f>
        <v>6.1099999999999994E-5</v>
      </c>
      <c r="L126" s="187">
        <f>[2]CZ_decarbplus_opex!J126</f>
        <v>2.1951100000000001E-4</v>
      </c>
      <c r="M126" s="187">
        <f>[2]CZ_decarbplus_opex!K126</f>
        <v>3.0090100000000001E-4</v>
      </c>
      <c r="N126" s="187">
        <f>[2]CZ_decarbplus_opex!L126</f>
        <v>7.9800000000000002E-5</v>
      </c>
      <c r="O126" s="187">
        <f>[2]CZ_decarbplus_opex!M126</f>
        <v>4.3600000000000003E-5</v>
      </c>
      <c r="P126" s="187">
        <f>[2]CZ_decarbplus_opex!N126</f>
        <v>1.05604E-4</v>
      </c>
      <c r="Q126" s="187">
        <f>[2]CZ_decarbplus_opex!O126</f>
        <v>1.15065E-4</v>
      </c>
      <c r="R126" s="187">
        <f>[2]CZ_decarbplus_opex!P126</f>
        <v>1.33499E-4</v>
      </c>
      <c r="S126" s="187">
        <f>[2]CZ_decarbplus_opex!Q126</f>
        <v>1.8188500000000001E-4</v>
      </c>
      <c r="T126" s="187">
        <f>[2]CZ_decarbplus_opex!R126</f>
        <v>5.1844700000000001E-4</v>
      </c>
      <c r="U126" s="187">
        <f>[2]CZ_decarbplus_opex!S126</f>
        <v>7.8235999999999996E-4</v>
      </c>
      <c r="V126" s="187">
        <f>[2]CZ_decarbplus_opex!T126</f>
        <v>8.4310799999999997E-4</v>
      </c>
      <c r="W126" s="187">
        <f>[2]CZ_decarbplus_opex!U126</f>
        <v>1.83893E-4</v>
      </c>
      <c r="X126" s="187">
        <f>[2]CZ_decarbplus_opex!V126</f>
        <v>4.7299999999999998E-5</v>
      </c>
      <c r="Y126" s="187">
        <f>[2]CZ_decarbplus_opex!W126</f>
        <v>3.2299999999999999E-5</v>
      </c>
      <c r="Z126" s="187">
        <f>[2]CZ_decarbplus_opex!X126</f>
        <v>2.05899E-4</v>
      </c>
      <c r="AA126" s="187">
        <f>[2]CZ_decarbplus_opex!Y126</f>
        <v>1.9924799999999999E-4</v>
      </c>
      <c r="AB126" s="188">
        <f>[3]CZ_decarb_opex!B126</f>
        <v>4.3640384546201401E-4</v>
      </c>
      <c r="AC126" s="188">
        <f>[3]CZ_decarb_opex!C126</f>
        <v>1.6182903425994201E-3</v>
      </c>
      <c r="AD126" s="188">
        <f>[3]CZ_decarb_opex!D126</f>
        <v>1.55772246939226E-3</v>
      </c>
      <c r="AE126" s="188">
        <f>[2]CZ_decarbplus_opex!Z126</f>
        <v>1.2215889999999999E-3</v>
      </c>
      <c r="AF126" s="188">
        <f>[2]CZ_decarbplus_opex!AA126</f>
        <v>1.361929E-3</v>
      </c>
      <c r="AG126" s="188">
        <f>[2]CZ_decarbplus_opex!AB126</f>
        <v>5.1900000000000001E-5</v>
      </c>
      <c r="AH126" s="188">
        <f>[2]CZ_decarbplus_opex!AC126</f>
        <v>4.5500000000000001E-5</v>
      </c>
      <c r="AI126" s="188">
        <f>[2]CZ_decarbplus_opex!AD126</f>
        <v>6.7000000000000002E-5</v>
      </c>
      <c r="AJ126" s="188">
        <f>[2]CZ_decarbplus_opex!AE126</f>
        <v>1.03677E-4</v>
      </c>
      <c r="AK126" s="188">
        <f>[2]CZ_decarbplus_opex!AF126</f>
        <v>9.2399999999999996E-5</v>
      </c>
      <c r="AL126" s="188">
        <f>[3]CZ_decarb_opex!E126</f>
        <v>6.8685984965705904E-5</v>
      </c>
      <c r="AM126" s="188">
        <f>[3]CZ_decarb_opex!F126</f>
        <v>7.7715175616453505E-5</v>
      </c>
      <c r="AN126" s="188">
        <f>[2]CZ_decarbplus_opex!AG126</f>
        <v>8.7100000000000003E-5</v>
      </c>
      <c r="AO126" s="188">
        <f>[3]CZ_decarb_opex!G126</f>
        <v>5.9564886090533502E-5</v>
      </c>
      <c r="AP126" s="188">
        <f>[3]CZ_decarb_opex!H126</f>
        <v>4.9619154386365698E-5</v>
      </c>
      <c r="AQ126" s="188">
        <f>[2]CZ_decarbplus_opex!AH126</f>
        <v>8.7299999999999994E-5</v>
      </c>
      <c r="AR126" s="188">
        <f>[2]CZ_decarbplus_opex!AI126</f>
        <v>0</v>
      </c>
      <c r="AS126" s="188">
        <f>[2]CZ_decarbplus_opex!AJ126</f>
        <v>1.02154E-4</v>
      </c>
      <c r="AT126" s="188">
        <f>[2]CZ_decarbplus_opex!AK126</f>
        <v>6.9999999999999994E-5</v>
      </c>
      <c r="AU126" s="188">
        <f>[2]CZ_decarbplus_opex!AL126</f>
        <v>5.3399999999999997E-5</v>
      </c>
      <c r="AV126" s="188">
        <f>[2]CZ_decarbplus_opex!AM126</f>
        <v>3.9499999999999998E-5</v>
      </c>
      <c r="AW126" s="188">
        <f>[2]CZ_decarbplus_opex!AN126</f>
        <v>6.0999999999999999E-5</v>
      </c>
      <c r="AX126" s="188">
        <f>[2]CZ_decarbplus_opex!AO126</f>
        <v>0</v>
      </c>
      <c r="AY126" s="188">
        <f>[2]CZ_decarbplus_opex!AP126</f>
        <v>1.10027E-4</v>
      </c>
      <c r="AZ126" s="188">
        <f>[2]CZ_decarbplus_opex!AQ126</f>
        <v>0</v>
      </c>
      <c r="BA126" s="188">
        <f>[2]CZ_decarbplus_opex!AR126</f>
        <v>8.9400000000000005E-5</v>
      </c>
      <c r="BB126" s="188">
        <f>[2]CZ_decarbplus_opex!AS126</f>
        <v>4.9700000000000002E-5</v>
      </c>
      <c r="BC126" s="188">
        <f>[2]CZ_decarbplus_opex!AT126</f>
        <v>1.91361E-4</v>
      </c>
      <c r="BD126" s="188">
        <f>[2]CZ_decarbplus_opex!AU126</f>
        <v>1.4810999999999999E-4</v>
      </c>
      <c r="BE126" s="188">
        <f>[2]CZ_decarbplus_opex!AV126</f>
        <v>5.4400000000000001E-5</v>
      </c>
      <c r="BF126" s="188">
        <f>[2]CZ_decarbplus_opex!AW126</f>
        <v>1.3555899999999999E-4</v>
      </c>
      <c r="BG126" s="188">
        <f>[2]CZ_decarbplus_opex!AX126</f>
        <v>3.4600000000000001E-5</v>
      </c>
      <c r="BH126" s="188">
        <f>[3]CZ_decarb_opex!I126</f>
        <v>7.6597037632502297E-5</v>
      </c>
      <c r="BI126" s="188">
        <f>[2]CZ_decarbplus_opex!AY126</f>
        <v>1.11266E-4</v>
      </c>
      <c r="BJ126" s="188">
        <f>[2]CZ_decarbplus_opex!AZ126</f>
        <v>4.1100000000000003E-5</v>
      </c>
      <c r="BK126" s="188">
        <f>[2]CZ_decarbplus_opex!BA126</f>
        <v>4.7599999999999998E-5</v>
      </c>
      <c r="BL126" s="188">
        <f>[2]CZ_decarbplus_opex!BB126</f>
        <v>0</v>
      </c>
      <c r="BM126" s="188">
        <f>[3]CZ_decarb_opex!J126</f>
        <v>2.13628311488247E-4</v>
      </c>
      <c r="BN126" s="188">
        <f>[3]CZ_decarb_opex!K126</f>
        <v>2.6997342164931698E-4</v>
      </c>
      <c r="BO126" s="188">
        <f>[3]CZ_decarb_opex!L126</f>
        <v>3.6888396858349998E-5</v>
      </c>
      <c r="BP126" s="188">
        <f>[3]CZ_decarb_opex!M126</f>
        <v>5.57424322215016E-5</v>
      </c>
      <c r="BQ126" s="188">
        <f>[3]CZ_decarb_opex!N126</f>
        <v>9.4177155224901295E-5</v>
      </c>
      <c r="BR126" s="188">
        <f>[3]CZ_decarb_opex!O126</f>
        <v>5.63814784493878E-4</v>
      </c>
      <c r="BS126" s="188">
        <f>[3]CZ_decarb_opex!P126</f>
        <v>4.6736659071911299E-4</v>
      </c>
      <c r="BT126" s="188">
        <f>[3]CZ_decarb_opex!Q126</f>
        <v>2.0001004104855101E-4</v>
      </c>
      <c r="BU126" s="188">
        <f>[3]CZ_decarb_opex!R126</f>
        <v>3.3593493266794803E-5</v>
      </c>
      <c r="BV126" s="188">
        <f>[3]CZ_decarb_opex!S126</f>
        <v>3.3593493266794897E-5</v>
      </c>
      <c r="BW126" s="188">
        <f>[3]CZ_decarb_opex!T126</f>
        <v>8.5199592517718695E-4</v>
      </c>
      <c r="BX126" s="188">
        <f>[3]CZ_decarb_opex!U126</f>
        <v>4.5503871456084701E-3</v>
      </c>
      <c r="BY126" s="188">
        <f>[3]CZ_decarb_opex!V126</f>
        <v>1.59233986582802E-4</v>
      </c>
      <c r="BZ126" s="188">
        <f>[2]CZ_decarbplus_opex!BC126</f>
        <v>1.17095E-4</v>
      </c>
      <c r="CA126" s="188">
        <f>[2]CZ_decarbplus_opex!BD126</f>
        <v>4.57E-5</v>
      </c>
      <c r="CB126" s="188">
        <f>[2]CZ_decarbplus_opex!BE126</f>
        <v>5.6499999999999998E-5</v>
      </c>
      <c r="CC126" s="188">
        <f>[2]CZ_decarbplus_opex!BF126</f>
        <v>2.3600000000000001E-5</v>
      </c>
      <c r="CD126" s="188">
        <f>[2]CZ_decarbplus_opex!BG126</f>
        <v>3.1973899999999998E-4</v>
      </c>
      <c r="CE126" s="188">
        <f>[2]CZ_decarbplus_opex!BH126</f>
        <v>5.6700000000000003E-5</v>
      </c>
      <c r="CF126" s="188">
        <f>[2]CZ_decarbplus_opex!BI126</f>
        <v>7.5500000000000006E-5</v>
      </c>
      <c r="CG126" s="188">
        <f>[2]CZ_decarbplus_opex!BJ126</f>
        <v>3.2100000000000001E-5</v>
      </c>
    </row>
    <row r="127" spans="1:85" x14ac:dyDescent="0.25">
      <c r="A127" s="5" t="s">
        <v>245</v>
      </c>
      <c r="B127" s="2" t="s">
        <v>244</v>
      </c>
      <c r="C127" s="1" t="s">
        <v>333</v>
      </c>
      <c r="D127" s="187">
        <f>[2]CZ_decarbplus_opex!B127</f>
        <v>3.0199999999999999E-5</v>
      </c>
      <c r="E127" s="187">
        <f>[2]CZ_decarbplus_opex!C127</f>
        <v>1.1800000000000001E-5</v>
      </c>
      <c r="F127" s="187">
        <f>[2]CZ_decarbplus_opex!D127</f>
        <v>2.4499999999999999E-5</v>
      </c>
      <c r="G127" s="187">
        <f>[2]CZ_decarbplus_opex!E127</f>
        <v>1.5400000000000002E-5</v>
      </c>
      <c r="H127" s="187">
        <f>[2]CZ_decarbplus_opex!F127</f>
        <v>1.6700000000000001E-6</v>
      </c>
      <c r="I127" s="187">
        <f>[2]CZ_decarbplus_opex!G127</f>
        <v>1.9899999999999999E-5</v>
      </c>
      <c r="J127" s="187">
        <f>[2]CZ_decarbplus_opex!H127</f>
        <v>1.353976E-3</v>
      </c>
      <c r="K127" s="187">
        <f>[2]CZ_decarbplus_opex!I127</f>
        <v>1.1600000000000001E-5</v>
      </c>
      <c r="L127" s="187">
        <f>[2]CZ_decarbplus_opex!J127</f>
        <v>3.3500000000000001E-5</v>
      </c>
      <c r="M127" s="187">
        <f>[2]CZ_decarbplus_opex!K127</f>
        <v>4.2299999999999998E-5</v>
      </c>
      <c r="N127" s="187">
        <f>[2]CZ_decarbplus_opex!L127</f>
        <v>1.4100000000000001E-5</v>
      </c>
      <c r="O127" s="187">
        <f>[2]CZ_decarbplus_opex!M127</f>
        <v>5.1499999999999998E-6</v>
      </c>
      <c r="P127" s="187">
        <f>[2]CZ_decarbplus_opex!N127</f>
        <v>2.1500000000000001E-5</v>
      </c>
      <c r="Q127" s="187">
        <f>[2]CZ_decarbplus_opex!O127</f>
        <v>2.9899999999999998E-5</v>
      </c>
      <c r="R127" s="187">
        <f>[2]CZ_decarbplus_opex!P127</f>
        <v>2.51E-5</v>
      </c>
      <c r="S127" s="187">
        <f>[2]CZ_decarbplus_opex!Q127</f>
        <v>1.7600000000000001E-5</v>
      </c>
      <c r="T127" s="187">
        <f>[2]CZ_decarbplus_opex!R127</f>
        <v>4.5200000000000001E-5</v>
      </c>
      <c r="U127" s="187">
        <f>[2]CZ_decarbplus_opex!S127</f>
        <v>8.25E-5</v>
      </c>
      <c r="V127" s="187">
        <f>[2]CZ_decarbplus_opex!T127</f>
        <v>9.4400000000000004E-5</v>
      </c>
      <c r="W127" s="187">
        <f>[2]CZ_decarbplus_opex!U127</f>
        <v>2.1299999999999999E-5</v>
      </c>
      <c r="X127" s="187">
        <f>[2]CZ_decarbplus_opex!V127</f>
        <v>6.1099999999999999E-6</v>
      </c>
      <c r="Y127" s="187">
        <f>[2]CZ_decarbplus_opex!W127</f>
        <v>6.9399999999999996E-6</v>
      </c>
      <c r="Z127" s="187">
        <f>[2]CZ_decarbplus_opex!X127</f>
        <v>4.1499999999999999E-5</v>
      </c>
      <c r="AA127" s="187">
        <f>[2]CZ_decarbplus_opex!Y127</f>
        <v>2.6299999999999999E-5</v>
      </c>
      <c r="AB127" s="188">
        <f>[3]CZ_decarb_opex!B127</f>
        <v>2.56598517958552E-5</v>
      </c>
      <c r="AC127" s="188">
        <f>[3]CZ_decarb_opex!C127</f>
        <v>7.0278906283682699E-4</v>
      </c>
      <c r="AD127" s="188">
        <f>[3]CZ_decarb_opex!D127</f>
        <v>4.4305920752965399E-4</v>
      </c>
      <c r="AE127" s="188">
        <f>[2]CZ_decarbplus_opex!Z127</f>
        <v>3.2393100000000001E-4</v>
      </c>
      <c r="AF127" s="188">
        <f>[2]CZ_decarbplus_opex!AA127</f>
        <v>4.1809099999999999E-4</v>
      </c>
      <c r="AG127" s="188">
        <f>[2]CZ_decarbplus_opex!AB127</f>
        <v>4.3200000000000001E-6</v>
      </c>
      <c r="AH127" s="188">
        <f>[2]CZ_decarbplus_opex!AC127</f>
        <v>5.8000000000000004E-6</v>
      </c>
      <c r="AI127" s="188">
        <f>[2]CZ_decarbplus_opex!AD127</f>
        <v>7.5800000000000003E-6</v>
      </c>
      <c r="AJ127" s="188">
        <f>[2]CZ_decarbplus_opex!AE127</f>
        <v>1.11E-5</v>
      </c>
      <c r="AK127" s="188">
        <f>[2]CZ_decarbplus_opex!AF127</f>
        <v>1.17E-5</v>
      </c>
      <c r="AL127" s="188">
        <f>[3]CZ_decarb_opex!E127</f>
        <v>8.1025116081592503E-6</v>
      </c>
      <c r="AM127" s="188">
        <f>[3]CZ_decarb_opex!F127</f>
        <v>9.4930508661316502E-6</v>
      </c>
      <c r="AN127" s="188">
        <f>[2]CZ_decarbplus_opex!AG127</f>
        <v>1.0900000000000001E-5</v>
      </c>
      <c r="AO127" s="188">
        <f>[3]CZ_decarb_opex!G127</f>
        <v>7.9637374823292501E-6</v>
      </c>
      <c r="AP127" s="188">
        <f>[3]CZ_decarb_opex!H127</f>
        <v>7.7318416276896201E-6</v>
      </c>
      <c r="AQ127" s="188">
        <f>[2]CZ_decarbplus_opex!AH127</f>
        <v>1.0900000000000001E-5</v>
      </c>
      <c r="AR127" s="188">
        <f>[2]CZ_decarbplus_opex!AI127</f>
        <v>0</v>
      </c>
      <c r="AS127" s="188">
        <f>[2]CZ_decarbplus_opex!AJ127</f>
        <v>1.04E-5</v>
      </c>
      <c r="AT127" s="188">
        <f>[2]CZ_decarbplus_opex!AK127</f>
        <v>7.2099999999999996E-6</v>
      </c>
      <c r="AU127" s="188">
        <f>[2]CZ_decarbplus_opex!AL127</f>
        <v>6.0599999999999996E-6</v>
      </c>
      <c r="AV127" s="188">
        <f>[2]CZ_decarbplus_opex!AM127</f>
        <v>4.5199999999999999E-6</v>
      </c>
      <c r="AW127" s="188">
        <f>[2]CZ_decarbplus_opex!AN127</f>
        <v>7.6299999999999998E-6</v>
      </c>
      <c r="AX127" s="188">
        <f>[2]CZ_decarbplus_opex!AO127</f>
        <v>0</v>
      </c>
      <c r="AY127" s="188">
        <f>[2]CZ_decarbplus_opex!AP127</f>
        <v>3.57E-5</v>
      </c>
      <c r="AZ127" s="188">
        <f>[2]CZ_decarbplus_opex!AQ127</f>
        <v>0</v>
      </c>
      <c r="BA127" s="188">
        <f>[2]CZ_decarbplus_opex!AR127</f>
        <v>9.9599999999999995E-6</v>
      </c>
      <c r="BB127" s="188">
        <f>[2]CZ_decarbplus_opex!AS127</f>
        <v>4.6399999999999996E-6</v>
      </c>
      <c r="BC127" s="188">
        <f>[2]CZ_decarbplus_opex!AT127</f>
        <v>2.4199999999999999E-5</v>
      </c>
      <c r="BD127" s="188">
        <f>[2]CZ_decarbplus_opex!AU127</f>
        <v>3.0800000000000003E-5</v>
      </c>
      <c r="BE127" s="188">
        <f>[2]CZ_decarbplus_opex!AV127</f>
        <v>4.8999999999999997E-6</v>
      </c>
      <c r="BF127" s="188">
        <f>[2]CZ_decarbplus_opex!AW127</f>
        <v>2.16E-5</v>
      </c>
      <c r="BG127" s="188">
        <f>[2]CZ_decarbplus_opex!AX127</f>
        <v>4.95E-6</v>
      </c>
      <c r="BH127" s="188">
        <f>[3]CZ_decarb_opex!I127</f>
        <v>7.1706078664653302E-6</v>
      </c>
      <c r="BI127" s="188">
        <f>[2]CZ_decarbplus_opex!AY127</f>
        <v>9.91E-6</v>
      </c>
      <c r="BJ127" s="188">
        <f>[2]CZ_decarbplus_opex!AZ127</f>
        <v>4.8899999999999998E-6</v>
      </c>
      <c r="BK127" s="188">
        <f>[2]CZ_decarbplus_opex!BA127</f>
        <v>6.02E-6</v>
      </c>
      <c r="BL127" s="188">
        <f>[2]CZ_decarbplus_opex!BB127</f>
        <v>0</v>
      </c>
      <c r="BM127" s="188">
        <f>[3]CZ_decarb_opex!J127</f>
        <v>2.8537688557155799E-5</v>
      </c>
      <c r="BN127" s="188">
        <f>[3]CZ_decarb_opex!K127</f>
        <v>3.9272731158092397E-5</v>
      </c>
      <c r="BO127" s="188">
        <f>[3]CZ_decarb_opex!L127</f>
        <v>6.8724759913631701E-6</v>
      </c>
      <c r="BP127" s="188">
        <f>[3]CZ_decarb_opex!M127</f>
        <v>1.22567828829872E-5</v>
      </c>
      <c r="BQ127" s="188">
        <f>[3]CZ_decarb_opex!N127</f>
        <v>1.2602076932610301E-5</v>
      </c>
      <c r="BR127" s="188">
        <f>[3]CZ_decarb_opex!O127</f>
        <v>9.8652487574231494E-5</v>
      </c>
      <c r="BS127" s="188">
        <f>[3]CZ_decarb_opex!P127</f>
        <v>6.6579454711897395E-5</v>
      </c>
      <c r="BT127" s="188">
        <f>[3]CZ_decarb_opex!Q127</f>
        <v>9.1268529087479904E-5</v>
      </c>
      <c r="BU127" s="188">
        <f>[3]CZ_decarb_opex!R127</f>
        <v>9.6938426385921507E-6</v>
      </c>
      <c r="BV127" s="188">
        <f>[3]CZ_decarb_opex!S127</f>
        <v>9.6938426385921693E-6</v>
      </c>
      <c r="BW127" s="188">
        <f>[3]CZ_decarb_opex!T127</f>
        <v>9.3271420923262701E-6</v>
      </c>
      <c r="BX127" s="188">
        <f>[3]CZ_decarb_opex!U127</f>
        <v>5.0710939687464603E-3</v>
      </c>
      <c r="BY127" s="188">
        <f>[3]CZ_decarb_opex!V127</f>
        <v>2.8457455962281798E-4</v>
      </c>
      <c r="BZ127" s="188">
        <f>[2]CZ_decarbplus_opex!BC127</f>
        <v>1.8300000000000001E-5</v>
      </c>
      <c r="CA127" s="188">
        <f>[2]CZ_decarbplus_opex!BD127</f>
        <v>9.9699999999999994E-6</v>
      </c>
      <c r="CB127" s="188">
        <f>[2]CZ_decarbplus_opex!BE127</f>
        <v>1.1199999999999999E-5</v>
      </c>
      <c r="CC127" s="188">
        <f>[2]CZ_decarbplus_opex!BF127</f>
        <v>7.0899999999999999E-6</v>
      </c>
      <c r="CD127" s="188">
        <f>[2]CZ_decarbplus_opex!BG127</f>
        <v>3.2499999999999997E-5</v>
      </c>
      <c r="CE127" s="188">
        <f>[2]CZ_decarbplus_opex!BH127</f>
        <v>5.0799999999999996E-6</v>
      </c>
      <c r="CF127" s="188">
        <f>[2]CZ_decarbplus_opex!BI127</f>
        <v>6.7399999999999998E-6</v>
      </c>
      <c r="CG127" s="188">
        <f>[2]CZ_decarbplus_opex!BJ127</f>
        <v>4.69E-6</v>
      </c>
    </row>
    <row r="128" spans="1:85" x14ac:dyDescent="0.25">
      <c r="A128" s="5" t="s">
        <v>247</v>
      </c>
      <c r="B128" s="2" t="s">
        <v>246</v>
      </c>
      <c r="C128" s="1" t="s">
        <v>333</v>
      </c>
      <c r="D128" s="187">
        <f>[2]CZ_decarbplus_opex!B128</f>
        <v>7.6484899999999995E-4</v>
      </c>
      <c r="E128" s="187">
        <f>[2]CZ_decarbplus_opex!C128</f>
        <v>8.3257299999999997E-4</v>
      </c>
      <c r="F128" s="187">
        <f>[2]CZ_decarbplus_opex!D128</f>
        <v>1.2935259999999999E-3</v>
      </c>
      <c r="G128" s="187">
        <f>[2]CZ_decarbplus_opex!E128</f>
        <v>3.4633800000000002E-4</v>
      </c>
      <c r="H128" s="187">
        <f>[2]CZ_decarbplus_opex!F128</f>
        <v>4.94277E-4</v>
      </c>
      <c r="I128" s="187">
        <f>[2]CZ_decarbplus_opex!G128</f>
        <v>7.6541800000000002E-4</v>
      </c>
      <c r="J128" s="187">
        <f>[2]CZ_decarbplus_opex!H128</f>
        <v>2.9148120000000001E-3</v>
      </c>
      <c r="K128" s="187">
        <f>[2]CZ_decarbplus_opex!I128</f>
        <v>1.0940909999999999E-3</v>
      </c>
      <c r="L128" s="187">
        <f>[2]CZ_decarbplus_opex!J128</f>
        <v>9.9410600000000003E-4</v>
      </c>
      <c r="M128" s="187">
        <f>[2]CZ_decarbplus_opex!K128</f>
        <v>2.7481789999999999E-3</v>
      </c>
      <c r="N128" s="187">
        <f>[2]CZ_decarbplus_opex!L128</f>
        <v>3.012505E-3</v>
      </c>
      <c r="O128" s="187">
        <f>[2]CZ_decarbplus_opex!M128</f>
        <v>7.5805299999999996E-4</v>
      </c>
      <c r="P128" s="187">
        <f>[2]CZ_decarbplus_opex!N128</f>
        <v>9.8597799999999998E-4</v>
      </c>
      <c r="Q128" s="187">
        <f>[2]CZ_decarbplus_opex!O128</f>
        <v>1.7963479999999999E-3</v>
      </c>
      <c r="R128" s="187">
        <f>[2]CZ_decarbplus_opex!P128</f>
        <v>2.622096E-3</v>
      </c>
      <c r="S128" s="187">
        <f>[2]CZ_decarbplus_opex!Q128</f>
        <v>4.3032200000000002E-4</v>
      </c>
      <c r="T128" s="187">
        <f>[2]CZ_decarbplus_opex!R128</f>
        <v>1.8150449999999999E-3</v>
      </c>
      <c r="U128" s="187">
        <f>[2]CZ_decarbplus_opex!S128</f>
        <v>8.0444999999999996E-4</v>
      </c>
      <c r="V128" s="187">
        <f>[2]CZ_decarbplus_opex!T128</f>
        <v>1.0751350000000001E-3</v>
      </c>
      <c r="W128" s="187">
        <f>[2]CZ_decarbplus_opex!U128</f>
        <v>5.0953000000000001E-4</v>
      </c>
      <c r="X128" s="187">
        <f>[2]CZ_decarbplus_opex!V128</f>
        <v>1.1640279999999999E-3</v>
      </c>
      <c r="Y128" s="187">
        <f>[2]CZ_decarbplus_opex!W128</f>
        <v>1.206904E-3</v>
      </c>
      <c r="Z128" s="187">
        <f>[2]CZ_decarbplus_opex!X128</f>
        <v>1.0191410000000001E-3</v>
      </c>
      <c r="AA128" s="187">
        <f>[2]CZ_decarbplus_opex!Y128</f>
        <v>4.5103749999999996E-3</v>
      </c>
      <c r="AB128" s="188">
        <f>[3]CZ_decarb_opex!B128</f>
        <v>4.6961865990394099E-3</v>
      </c>
      <c r="AC128" s="188">
        <f>[3]CZ_decarb_opex!C128</f>
        <v>3.9510069457153098E-3</v>
      </c>
      <c r="AD128" s="188">
        <f>[3]CZ_decarb_opex!D128</f>
        <v>1.2890116050297E-3</v>
      </c>
      <c r="AE128" s="188">
        <f>[2]CZ_decarbplus_opex!Z128</f>
        <v>9.1388799999999996E-4</v>
      </c>
      <c r="AF128" s="188">
        <f>[2]CZ_decarbplus_opex!AA128</f>
        <v>1.0803480000000001E-3</v>
      </c>
      <c r="AG128" s="188">
        <f>[2]CZ_decarbplus_opex!AB128</f>
        <v>3.0626900000000002E-4</v>
      </c>
      <c r="AH128" s="188">
        <f>[2]CZ_decarbplus_opex!AC128</f>
        <v>6.4069500000000004E-4</v>
      </c>
      <c r="AI128" s="188">
        <f>[2]CZ_decarbplus_opex!AD128</f>
        <v>1.5412920000000001E-3</v>
      </c>
      <c r="AJ128" s="188">
        <f>[2]CZ_decarbplus_opex!AE128</f>
        <v>1.1224060000000001E-3</v>
      </c>
      <c r="AK128" s="188">
        <f>[2]CZ_decarbplus_opex!AF128</f>
        <v>2.268197E-3</v>
      </c>
      <c r="AL128" s="188">
        <f>[3]CZ_decarb_opex!E128</f>
        <v>1.19816973926377E-3</v>
      </c>
      <c r="AM128" s="188">
        <f>[3]CZ_decarb_opex!F128</f>
        <v>1.90964238504414E-3</v>
      </c>
      <c r="AN128" s="188">
        <f>[2]CZ_decarbplus_opex!AG128</f>
        <v>1.3865730000000001E-3</v>
      </c>
      <c r="AO128" s="188">
        <f>[3]CZ_decarb_opex!G128</f>
        <v>6.8154970479117002E-4</v>
      </c>
      <c r="AP128" s="188">
        <f>[3]CZ_decarb_opex!H128</f>
        <v>1.1102282720144899E-3</v>
      </c>
      <c r="AQ128" s="188">
        <f>[2]CZ_decarbplus_opex!AH128</f>
        <v>1.3232129999999999E-3</v>
      </c>
      <c r="AR128" s="188">
        <f>[2]CZ_decarbplus_opex!AI128</f>
        <v>0</v>
      </c>
      <c r="AS128" s="188">
        <f>[2]CZ_decarbplus_opex!AJ128</f>
        <v>1.018054E-3</v>
      </c>
      <c r="AT128" s="188">
        <f>[2]CZ_decarbplus_opex!AK128</f>
        <v>7.5449499999999999E-4</v>
      </c>
      <c r="AU128" s="188">
        <f>[2]CZ_decarbplus_opex!AL128</f>
        <v>8.1497099999999995E-4</v>
      </c>
      <c r="AV128" s="188">
        <f>[2]CZ_decarbplus_opex!AM128</f>
        <v>8.7048900000000001E-4</v>
      </c>
      <c r="AW128" s="188">
        <f>[2]CZ_decarbplus_opex!AN128</f>
        <v>1.063533E-3</v>
      </c>
      <c r="AX128" s="188">
        <f>[2]CZ_decarbplus_opex!AO128</f>
        <v>0</v>
      </c>
      <c r="AY128" s="188">
        <f>[2]CZ_decarbplus_opex!AP128</f>
        <v>3.3580630000000001E-3</v>
      </c>
      <c r="AZ128" s="188">
        <f>[2]CZ_decarbplus_opex!AQ128</f>
        <v>0</v>
      </c>
      <c r="BA128" s="188">
        <f>[2]CZ_decarbplus_opex!AR128</f>
        <v>6.8038899999999999E-4</v>
      </c>
      <c r="BB128" s="188">
        <f>[2]CZ_decarbplus_opex!AS128</f>
        <v>3.7747699999999998E-4</v>
      </c>
      <c r="BC128" s="188">
        <f>[2]CZ_decarbplus_opex!AT128</f>
        <v>9.3853700000000003E-4</v>
      </c>
      <c r="BD128" s="188">
        <f>[2]CZ_decarbplus_opex!AU128</f>
        <v>2.5647280000000001E-3</v>
      </c>
      <c r="BE128" s="188">
        <f>[2]CZ_decarbplus_opex!AV128</f>
        <v>5.9221399999999998E-4</v>
      </c>
      <c r="BF128" s="188">
        <f>[2]CZ_decarbplus_opex!AW128</f>
        <v>2.606241E-3</v>
      </c>
      <c r="BG128" s="188">
        <f>[2]CZ_decarbplus_opex!AX128</f>
        <v>6.3056799999999997E-4</v>
      </c>
      <c r="BH128" s="188">
        <f>[3]CZ_decarb_opex!I128</f>
        <v>3.9709589293945798E-4</v>
      </c>
      <c r="BI128" s="188">
        <f>[2]CZ_decarbplus_opex!AY128</f>
        <v>6.8915100000000004E-4</v>
      </c>
      <c r="BJ128" s="188">
        <f>[2]CZ_decarbplus_opex!AZ128</f>
        <v>1.585089E-3</v>
      </c>
      <c r="BK128" s="188">
        <f>[2]CZ_decarbplus_opex!BA128</f>
        <v>8.9284900000000003E-4</v>
      </c>
      <c r="BL128" s="188">
        <f>[2]CZ_decarbplus_opex!BB128</f>
        <v>0</v>
      </c>
      <c r="BM128" s="188">
        <f>[3]CZ_decarb_opex!J128</f>
        <v>4.3651645219977298E-4</v>
      </c>
      <c r="BN128" s="188">
        <f>[3]CZ_decarb_opex!K128</f>
        <v>1.3788962523253801E-3</v>
      </c>
      <c r="BO128" s="188">
        <f>[3]CZ_decarb_opex!L128</f>
        <v>1.8158500379523E-4</v>
      </c>
      <c r="BP128" s="188">
        <f>[3]CZ_decarb_opex!M128</f>
        <v>6.2184905299859504E-4</v>
      </c>
      <c r="BQ128" s="188">
        <f>[3]CZ_decarb_opex!N128</f>
        <v>1.04233991725125E-3</v>
      </c>
      <c r="BR128" s="188">
        <f>[3]CZ_decarb_opex!O128</f>
        <v>1.20514395761784E-4</v>
      </c>
      <c r="BS128" s="188">
        <f>[3]CZ_decarb_opex!P128</f>
        <v>4.3027948339879399E-3</v>
      </c>
      <c r="BT128" s="188">
        <f>[3]CZ_decarb_opex!Q128</f>
        <v>4.0941938068393701E-4</v>
      </c>
      <c r="BU128" s="188">
        <f>[3]CZ_decarb_opex!R128</f>
        <v>3.9790982590792598E-4</v>
      </c>
      <c r="BV128" s="188">
        <f>[3]CZ_decarb_opex!S128</f>
        <v>3.9790982590792598E-4</v>
      </c>
      <c r="BW128" s="188">
        <f>[3]CZ_decarb_opex!T128</f>
        <v>1.4950258522201501E-4</v>
      </c>
      <c r="BX128" s="188">
        <f>[3]CZ_decarb_opex!U128</f>
        <v>6.2792805393488296E-4</v>
      </c>
      <c r="BY128" s="188">
        <f>[3]CZ_decarb_opex!V128</f>
        <v>1.0061063617771201E-2</v>
      </c>
      <c r="BZ128" s="188">
        <f>[2]CZ_decarbplus_opex!BC128</f>
        <v>6.8538300000000002E-4</v>
      </c>
      <c r="CA128" s="188">
        <f>[2]CZ_decarbplus_opex!BD128</f>
        <v>2.8825999999999998E-4</v>
      </c>
      <c r="CB128" s="188">
        <f>[2]CZ_decarbplus_opex!BE128</f>
        <v>2.0668300000000001E-4</v>
      </c>
      <c r="CC128" s="188">
        <f>[2]CZ_decarbplus_opex!BF128</f>
        <v>1.4624700000000001E-4</v>
      </c>
      <c r="CD128" s="188">
        <f>[2]CZ_decarbplus_opex!BG128</f>
        <v>8.9305500000000002E-4</v>
      </c>
      <c r="CE128" s="188">
        <f>[2]CZ_decarbplus_opex!BH128</f>
        <v>5.7797600000000001E-4</v>
      </c>
      <c r="CF128" s="188">
        <f>[2]CZ_decarbplus_opex!BI128</f>
        <v>3.38831E-4</v>
      </c>
      <c r="CG128" s="188">
        <f>[2]CZ_decarbplus_opex!BJ128</f>
        <v>5.4049700000000003E-4</v>
      </c>
    </row>
    <row r="129" spans="1:85" x14ac:dyDescent="0.25">
      <c r="A129" s="5" t="s">
        <v>249</v>
      </c>
      <c r="B129" s="2" t="s">
        <v>248</v>
      </c>
      <c r="C129" s="1" t="s">
        <v>333</v>
      </c>
      <c r="D129" s="187">
        <f>[2]CZ_decarbplus_opex!B129</f>
        <v>2.854859E-3</v>
      </c>
      <c r="E129" s="187">
        <f>[2]CZ_decarbplus_opex!C129</f>
        <v>2.8185939999999998E-3</v>
      </c>
      <c r="F129" s="187">
        <f>[2]CZ_decarbplus_opex!D129</f>
        <v>2.2087399999999998E-3</v>
      </c>
      <c r="G129" s="187">
        <f>[2]CZ_decarbplus_opex!E129</f>
        <v>5.95018E-4</v>
      </c>
      <c r="H129" s="187">
        <f>[2]CZ_decarbplus_opex!F129</f>
        <v>8.7890799999999997E-4</v>
      </c>
      <c r="I129" s="187">
        <f>[2]CZ_decarbplus_opex!G129</f>
        <v>7.5376660000000002E-3</v>
      </c>
      <c r="J129" s="187">
        <f>[2]CZ_decarbplus_opex!H129</f>
        <v>1.0400997E-2</v>
      </c>
      <c r="K129" s="187">
        <f>[2]CZ_decarbplus_opex!I129</f>
        <v>1.745704E-3</v>
      </c>
      <c r="L129" s="187">
        <f>[2]CZ_decarbplus_opex!J129</f>
        <v>3.8818699999999999E-3</v>
      </c>
      <c r="M129" s="187">
        <f>[2]CZ_decarbplus_opex!K129</f>
        <v>8.7406040000000008E-3</v>
      </c>
      <c r="N129" s="187">
        <f>[2]CZ_decarbplus_opex!L129</f>
        <v>6.7026860000000002E-3</v>
      </c>
      <c r="O129" s="187">
        <f>[2]CZ_decarbplus_opex!M129</f>
        <v>3.7908460000000001E-3</v>
      </c>
      <c r="P129" s="187">
        <f>[2]CZ_decarbplus_opex!N129</f>
        <v>2.5712510000000001E-3</v>
      </c>
      <c r="Q129" s="187">
        <f>[2]CZ_decarbplus_opex!O129</f>
        <v>2.2137070000000001E-3</v>
      </c>
      <c r="R129" s="187">
        <f>[2]CZ_decarbplus_opex!P129</f>
        <v>3.2166809999999999E-3</v>
      </c>
      <c r="S129" s="187">
        <f>[2]CZ_decarbplus_opex!Q129</f>
        <v>3.802873E-3</v>
      </c>
      <c r="T129" s="187">
        <f>[2]CZ_decarbplus_opex!R129</f>
        <v>6.5518399999999997E-3</v>
      </c>
      <c r="U129" s="187">
        <f>[2]CZ_decarbplus_opex!S129</f>
        <v>1.2220593E-2</v>
      </c>
      <c r="V129" s="187">
        <f>[2]CZ_decarbplus_opex!T129</f>
        <v>1.6969841999999999E-2</v>
      </c>
      <c r="W129" s="187">
        <f>[2]CZ_decarbplus_opex!U129</f>
        <v>3.206141E-3</v>
      </c>
      <c r="X129" s="187">
        <f>[2]CZ_decarbplus_opex!V129</f>
        <v>1.9574950000000001E-3</v>
      </c>
      <c r="Y129" s="187">
        <f>[2]CZ_decarbplus_opex!W129</f>
        <v>7.8107250000000001E-3</v>
      </c>
      <c r="Z129" s="187">
        <f>[2]CZ_decarbplus_opex!X129</f>
        <v>4.7694319999999998E-2</v>
      </c>
      <c r="AA129" s="187">
        <f>[2]CZ_decarbplus_opex!Y129</f>
        <v>8.1183078000000006E-2</v>
      </c>
      <c r="AB129" s="188">
        <f>[3]CZ_decarb_opex!B129</f>
        <v>8.6195502111505104E-3</v>
      </c>
      <c r="AC129" s="188">
        <f>[3]CZ_decarb_opex!C129</f>
        <v>7.8861902575557905E-3</v>
      </c>
      <c r="AD129" s="188">
        <f>[3]CZ_decarb_opex!D129</f>
        <v>5.5702518711760098E-3</v>
      </c>
      <c r="AE129" s="188">
        <f>[2]CZ_decarbplus_opex!Z129</f>
        <v>4.8860470000000001E-3</v>
      </c>
      <c r="AF129" s="188">
        <f>[2]CZ_decarbplus_opex!AA129</f>
        <v>1.0977143E-2</v>
      </c>
      <c r="AG129" s="188">
        <f>[2]CZ_decarbplus_opex!AB129</f>
        <v>7.0704139999999997E-3</v>
      </c>
      <c r="AH129" s="188">
        <f>[2]CZ_decarbplus_opex!AC129</f>
        <v>2.0845799000000002E-2</v>
      </c>
      <c r="AI129" s="188">
        <f>[2]CZ_decarbplus_opex!AD129</f>
        <v>4.0658342E-2</v>
      </c>
      <c r="AJ129" s="188">
        <f>[2]CZ_decarbplus_opex!AE129</f>
        <v>5.2466252999999997E-2</v>
      </c>
      <c r="AK129" s="188">
        <f>[2]CZ_decarbplus_opex!AF129</f>
        <v>4.8092540000000003E-2</v>
      </c>
      <c r="AL129" s="188">
        <f>[3]CZ_decarb_opex!E129</f>
        <v>4.8979815221200297E-2</v>
      </c>
      <c r="AM129" s="188">
        <f>[3]CZ_decarb_opex!F129</f>
        <v>4.8415993644779998E-2</v>
      </c>
      <c r="AN129" s="188">
        <f>[2]CZ_decarbplus_opex!AG129</f>
        <v>6.1433205999999997E-2</v>
      </c>
      <c r="AO129" s="188">
        <f>[3]CZ_decarb_opex!G129</f>
        <v>1.8017444205891301E-2</v>
      </c>
      <c r="AP129" s="188">
        <f>[3]CZ_decarb_opex!H129</f>
        <v>1.9683711835593899E-2</v>
      </c>
      <c r="AQ129" s="188">
        <f>[2]CZ_decarbplus_opex!AH129</f>
        <v>1.7804176000000001E-2</v>
      </c>
      <c r="AR129" s="188">
        <f>[2]CZ_decarbplus_opex!AI129</f>
        <v>0</v>
      </c>
      <c r="AS129" s="188">
        <f>[2]CZ_decarbplus_opex!AJ129</f>
        <v>1.0593816000000001E-2</v>
      </c>
      <c r="AT129" s="188">
        <f>[2]CZ_decarbplus_opex!AK129</f>
        <v>1.0310395999999999E-2</v>
      </c>
      <c r="AU129" s="188">
        <f>[2]CZ_decarbplus_opex!AL129</f>
        <v>3.9662609999999996E-3</v>
      </c>
      <c r="AV129" s="188">
        <f>[2]CZ_decarbplus_opex!AM129</f>
        <v>3.5165420000000001E-3</v>
      </c>
      <c r="AW129" s="188">
        <f>[2]CZ_decarbplus_opex!AN129</f>
        <v>7.3690170000000003E-3</v>
      </c>
      <c r="AX129" s="188">
        <f>[2]CZ_decarbplus_opex!AO129</f>
        <v>0</v>
      </c>
      <c r="AY129" s="188">
        <f>[2]CZ_decarbplus_opex!AP129</f>
        <v>1.9210640000000001E-2</v>
      </c>
      <c r="AZ129" s="188">
        <f>[2]CZ_decarbplus_opex!AQ129</f>
        <v>0</v>
      </c>
      <c r="BA129" s="188">
        <f>[2]CZ_decarbplus_opex!AR129</f>
        <v>2.1830626999999998E-2</v>
      </c>
      <c r="BB129" s="188">
        <f>[2]CZ_decarbplus_opex!AS129</f>
        <v>1.0247832E-2</v>
      </c>
      <c r="BC129" s="188">
        <f>[2]CZ_decarbplus_opex!AT129</f>
        <v>4.9927579999999999E-3</v>
      </c>
      <c r="BD129" s="188">
        <f>[2]CZ_decarbplus_opex!AU129</f>
        <v>2.0797950000000002E-3</v>
      </c>
      <c r="BE129" s="188">
        <f>[2]CZ_decarbplus_opex!AV129</f>
        <v>1.9607270000000002E-3</v>
      </c>
      <c r="BF129" s="188">
        <f>[2]CZ_decarbplus_opex!AW129</f>
        <v>6.6239080000000004E-3</v>
      </c>
      <c r="BG129" s="188">
        <f>[2]CZ_decarbplus_opex!AX129</f>
        <v>4.0945189999999996E-3</v>
      </c>
      <c r="BH129" s="188">
        <f>[3]CZ_decarb_opex!I129</f>
        <v>3.0630563033745301E-3</v>
      </c>
      <c r="BI129" s="188">
        <f>[2]CZ_decarbplus_opex!AY129</f>
        <v>1.8553420000000001E-3</v>
      </c>
      <c r="BJ129" s="188">
        <f>[2]CZ_decarbplus_opex!AZ129</f>
        <v>3.8129129999999998E-3</v>
      </c>
      <c r="BK129" s="188">
        <f>[2]CZ_decarbplus_opex!BA129</f>
        <v>1.4652884999999999E-2</v>
      </c>
      <c r="BL129" s="188">
        <f>[2]CZ_decarbplus_opex!BB129</f>
        <v>0</v>
      </c>
      <c r="BM129" s="188">
        <f>[3]CZ_decarb_opex!J129</f>
        <v>1.24887011462232E-2</v>
      </c>
      <c r="BN129" s="188">
        <f>[3]CZ_decarb_opex!K129</f>
        <v>1.11684149702888E-2</v>
      </c>
      <c r="BO129" s="188">
        <f>[3]CZ_decarb_opex!L129</f>
        <v>3.8837158532219499E-3</v>
      </c>
      <c r="BP129" s="188">
        <f>[3]CZ_decarb_opex!M129</f>
        <v>6.5277647407708597E-3</v>
      </c>
      <c r="BQ129" s="188">
        <f>[3]CZ_decarb_opex!N129</f>
        <v>7.1654778110933296E-3</v>
      </c>
      <c r="BR129" s="188">
        <f>[3]CZ_decarb_opex!O129</f>
        <v>5.62290737218951E-3</v>
      </c>
      <c r="BS129" s="188">
        <f>[3]CZ_decarb_opex!P129</f>
        <v>1.1643511537964699E-2</v>
      </c>
      <c r="BT129" s="188">
        <f>[3]CZ_decarb_opex!Q129</f>
        <v>1.6858343766597901E-2</v>
      </c>
      <c r="BU129" s="188">
        <f>[3]CZ_decarb_opex!R129</f>
        <v>6.9076222185073697E-3</v>
      </c>
      <c r="BV129" s="188">
        <f>[3]CZ_decarb_opex!S129</f>
        <v>6.9076222185073697E-3</v>
      </c>
      <c r="BW129" s="188">
        <f>[3]CZ_decarb_opex!T129</f>
        <v>5.7522940539109604E-4</v>
      </c>
      <c r="BX129" s="188">
        <f>[3]CZ_decarb_opex!U129</f>
        <v>4.99276597520989E-3</v>
      </c>
      <c r="BY129" s="188">
        <f>[3]CZ_decarb_opex!V129</f>
        <v>2.6019611283292399E-3</v>
      </c>
      <c r="BZ129" s="188">
        <f>[2]CZ_decarbplus_opex!BC129</f>
        <v>9.1564209999999997E-3</v>
      </c>
      <c r="CA129" s="188">
        <f>[2]CZ_decarbplus_opex!BD129</f>
        <v>7.564543E-3</v>
      </c>
      <c r="CB129" s="188">
        <f>[2]CZ_decarbplus_opex!BE129</f>
        <v>8.1018300000000008E-3</v>
      </c>
      <c r="CC129" s="188">
        <f>[2]CZ_decarbplus_opex!BF129</f>
        <v>5.3133549999999996E-3</v>
      </c>
      <c r="CD129" s="188">
        <f>[2]CZ_decarbplus_opex!BG129</f>
        <v>1.6146087999999999E-2</v>
      </c>
      <c r="CE129" s="188">
        <f>[2]CZ_decarbplus_opex!BH129</f>
        <v>1.0641667E-2</v>
      </c>
      <c r="CF129" s="188">
        <f>[2]CZ_decarbplus_opex!BI129</f>
        <v>2.5879829999999999E-3</v>
      </c>
      <c r="CG129" s="188">
        <f>[2]CZ_decarbplus_opex!BJ129</f>
        <v>1.129225E-3</v>
      </c>
    </row>
    <row r="130" spans="1:85" x14ac:dyDescent="0.25">
      <c r="A130" s="9" t="s">
        <v>251</v>
      </c>
      <c r="B130" s="2" t="s">
        <v>250</v>
      </c>
      <c r="C130" s="1" t="s">
        <v>333</v>
      </c>
      <c r="D130" s="187">
        <f>[2]CZ_decarbplus_opex!B130</f>
        <v>5.2077899999999997E-4</v>
      </c>
      <c r="E130" s="187">
        <f>[2]CZ_decarbplus_opex!C130</f>
        <v>4.6802999999999998E-4</v>
      </c>
      <c r="F130" s="187">
        <f>[2]CZ_decarbplus_opex!D130</f>
        <v>2.0494400000000001E-4</v>
      </c>
      <c r="G130" s="187">
        <f>[2]CZ_decarbplus_opex!E130</f>
        <v>4.7299999999999998E-5</v>
      </c>
      <c r="H130" s="187">
        <f>[2]CZ_decarbplus_opex!F130</f>
        <v>8.42E-5</v>
      </c>
      <c r="I130" s="187">
        <f>[2]CZ_decarbplus_opex!G130</f>
        <v>1.365836E-3</v>
      </c>
      <c r="J130" s="187">
        <f>[2]CZ_decarbplus_opex!H130</f>
        <v>1.723535E-3</v>
      </c>
      <c r="K130" s="187">
        <f>[2]CZ_decarbplus_opex!I130</f>
        <v>1.2924400000000001E-4</v>
      </c>
      <c r="L130" s="187">
        <f>[2]CZ_decarbplus_opex!J130</f>
        <v>1.0939929999999999E-3</v>
      </c>
      <c r="M130" s="187">
        <f>[2]CZ_decarbplus_opex!K130</f>
        <v>2.868743E-3</v>
      </c>
      <c r="N130" s="187">
        <f>[2]CZ_decarbplus_opex!L130</f>
        <v>1.5763280000000001E-3</v>
      </c>
      <c r="O130" s="187">
        <f>[2]CZ_decarbplus_opex!M130</f>
        <v>1.5258769999999999E-3</v>
      </c>
      <c r="P130" s="187">
        <f>[2]CZ_decarbplus_opex!N130</f>
        <v>1.775006E-3</v>
      </c>
      <c r="Q130" s="187">
        <f>[2]CZ_decarbplus_opex!O130</f>
        <v>5.13248E-4</v>
      </c>
      <c r="R130" s="187">
        <f>[2]CZ_decarbplus_opex!P130</f>
        <v>4.3209800000000001E-4</v>
      </c>
      <c r="S130" s="187">
        <f>[2]CZ_decarbplus_opex!Q130</f>
        <v>1.3058119999999999E-3</v>
      </c>
      <c r="T130" s="187">
        <f>[2]CZ_decarbplus_opex!R130</f>
        <v>1.481509E-3</v>
      </c>
      <c r="U130" s="187">
        <f>[2]CZ_decarbplus_opex!S130</f>
        <v>1.2509699999999999E-3</v>
      </c>
      <c r="V130" s="187">
        <f>[2]CZ_decarbplus_opex!T130</f>
        <v>1.692296E-3</v>
      </c>
      <c r="W130" s="187">
        <f>[2]CZ_decarbplus_opex!U130</f>
        <v>1.22072E-3</v>
      </c>
      <c r="X130" s="187">
        <f>[2]CZ_decarbplus_opex!V130</f>
        <v>2.0230754E-2</v>
      </c>
      <c r="Y130" s="187">
        <f>[2]CZ_decarbplus_opex!W130</f>
        <v>7.3999999999999996E-5</v>
      </c>
      <c r="Z130" s="187">
        <f>[2]CZ_decarbplus_opex!X130</f>
        <v>3.7654399999999998E-4</v>
      </c>
      <c r="AA130" s="187">
        <f>[2]CZ_decarbplus_opex!Y130</f>
        <v>8.8513700000000003E-4</v>
      </c>
      <c r="AB130" s="188">
        <f>[3]CZ_decarb_opex!B130</f>
        <v>3.36609779159709E-4</v>
      </c>
      <c r="AC130" s="188">
        <f>[3]CZ_decarb_opex!C130</f>
        <v>3.5107474686844501E-4</v>
      </c>
      <c r="AD130" s="188">
        <f>[3]CZ_decarb_opex!D130</f>
        <v>4.79708025818266E-4</v>
      </c>
      <c r="AE130" s="188">
        <f>[2]CZ_decarbplus_opex!Z130</f>
        <v>5.2962300000000001E-4</v>
      </c>
      <c r="AF130" s="188">
        <f>[2]CZ_decarbplus_opex!AA130</f>
        <v>7.5091700000000003E-4</v>
      </c>
      <c r="AG130" s="188">
        <f>[2]CZ_decarbplus_opex!AB130</f>
        <v>6.4364269999999998E-3</v>
      </c>
      <c r="AH130" s="188">
        <f>[2]CZ_decarbplus_opex!AC130</f>
        <v>1.6000000000000001E-3</v>
      </c>
      <c r="AI130" s="188">
        <f>[2]CZ_decarbplus_opex!AD130</f>
        <v>3.2685430000000001E-3</v>
      </c>
      <c r="AJ130" s="188">
        <f>[2]CZ_decarbplus_opex!AE130</f>
        <v>1.143313E-3</v>
      </c>
      <c r="AK130" s="188">
        <f>[2]CZ_decarbplus_opex!AF130</f>
        <v>1.3452970000000001E-3</v>
      </c>
      <c r="AL130" s="188">
        <f>[3]CZ_decarb_opex!E130</f>
        <v>1.1189684497528E-3</v>
      </c>
      <c r="AM130" s="188">
        <f>[3]CZ_decarb_opex!F130</f>
        <v>1.0918042999814299E-3</v>
      </c>
      <c r="AN130" s="188">
        <f>[2]CZ_decarbplus_opex!AG130</f>
        <v>1.4952539999999999E-3</v>
      </c>
      <c r="AO130" s="188">
        <f>[3]CZ_decarb_opex!G130</f>
        <v>6.1144602789129602E-5</v>
      </c>
      <c r="AP130" s="188">
        <f>[3]CZ_decarb_opex!H130</f>
        <v>7.6589913860256804E-5</v>
      </c>
      <c r="AQ130" s="188">
        <f>[2]CZ_decarbplus_opex!AH130</f>
        <v>1.62258E-4</v>
      </c>
      <c r="AR130" s="188">
        <f>[2]CZ_decarbplus_opex!AI130</f>
        <v>0</v>
      </c>
      <c r="AS130" s="188">
        <f>[2]CZ_decarbplus_opex!AJ130</f>
        <v>9.4300000000000002E-5</v>
      </c>
      <c r="AT130" s="188">
        <f>[2]CZ_decarbplus_opex!AK130</f>
        <v>9.7100000000000002E-5</v>
      </c>
      <c r="AU130" s="188">
        <f>[2]CZ_decarbplus_opex!AL130</f>
        <v>3.8399999999999998E-5</v>
      </c>
      <c r="AV130" s="188">
        <f>[2]CZ_decarbplus_opex!AM130</f>
        <v>3.5500000000000002E-5</v>
      </c>
      <c r="AW130" s="188">
        <f>[2]CZ_decarbplus_opex!AN130</f>
        <v>6.4999999999999994E-5</v>
      </c>
      <c r="AX130" s="188">
        <f>[2]CZ_decarbplus_opex!AO130</f>
        <v>0</v>
      </c>
      <c r="AY130" s="188">
        <f>[2]CZ_decarbplus_opex!AP130</f>
        <v>2.0941300000000001E-4</v>
      </c>
      <c r="AZ130" s="188">
        <f>[2]CZ_decarbplus_opex!AQ130</f>
        <v>0</v>
      </c>
      <c r="BA130" s="188">
        <f>[2]CZ_decarbplus_opex!AR130</f>
        <v>1.6789999999999999E-4</v>
      </c>
      <c r="BB130" s="188">
        <f>[2]CZ_decarbplus_opex!AS130</f>
        <v>2.8974399999999998E-3</v>
      </c>
      <c r="BC130" s="188">
        <f>[2]CZ_decarbplus_opex!AT130</f>
        <v>1.3896340000000001E-3</v>
      </c>
      <c r="BD130" s="188">
        <f>[2]CZ_decarbplus_opex!AU130</f>
        <v>5.1371189999999999E-3</v>
      </c>
      <c r="BE130" s="188">
        <f>[2]CZ_decarbplus_opex!AV130</f>
        <v>3.1334819999999999E-3</v>
      </c>
      <c r="BF130" s="188">
        <f>[2]CZ_decarbplus_opex!AW130</f>
        <v>7.6569949999999998E-3</v>
      </c>
      <c r="BG130" s="188">
        <f>[2]CZ_decarbplus_opex!AX130</f>
        <v>4.405389E-3</v>
      </c>
      <c r="BH130" s="188">
        <f>[3]CZ_decarb_opex!I130</f>
        <v>1.7708151828157799E-3</v>
      </c>
      <c r="BI130" s="188">
        <f>[2]CZ_decarbplus_opex!AY130</f>
        <v>1.8473129999999999E-3</v>
      </c>
      <c r="BJ130" s="188">
        <f>[2]CZ_decarbplus_opex!AZ130</f>
        <v>4.4074989999999996E-3</v>
      </c>
      <c r="BK130" s="188">
        <f>[2]CZ_decarbplus_opex!BA130</f>
        <v>1.4651930000000001E-3</v>
      </c>
      <c r="BL130" s="188">
        <f>[2]CZ_decarbplus_opex!BB130</f>
        <v>0</v>
      </c>
      <c r="BM130" s="188">
        <f>[3]CZ_decarb_opex!J130</f>
        <v>8.2380234674688697E-3</v>
      </c>
      <c r="BN130" s="188">
        <f>[3]CZ_decarb_opex!K130</f>
        <v>7.5069060538666002E-3</v>
      </c>
      <c r="BO130" s="188">
        <f>[3]CZ_decarb_opex!L130</f>
        <v>5.03024065880215E-3</v>
      </c>
      <c r="BP130" s="188">
        <f>[3]CZ_decarb_opex!M130</f>
        <v>4.3390724122297298E-3</v>
      </c>
      <c r="BQ130" s="188">
        <f>[3]CZ_decarb_opex!N130</f>
        <v>4.4065699529427802E-3</v>
      </c>
      <c r="BR130" s="188">
        <f>[3]CZ_decarb_opex!O130</f>
        <v>1.32387960396945E-3</v>
      </c>
      <c r="BS130" s="188">
        <f>[3]CZ_decarb_opex!P130</f>
        <v>4.3681031455330499E-3</v>
      </c>
      <c r="BT130" s="188">
        <f>[3]CZ_decarb_opex!Q130</f>
        <v>2.4860660506927199E-3</v>
      </c>
      <c r="BU130" s="188">
        <f>[3]CZ_decarb_opex!R130</f>
        <v>4.8858656175671498E-3</v>
      </c>
      <c r="BV130" s="188">
        <f>[3]CZ_decarb_opex!S130</f>
        <v>4.8858656175671498E-3</v>
      </c>
      <c r="BW130" s="188">
        <f>[3]CZ_decarb_opex!T130</f>
        <v>3.6593601572017402E-2</v>
      </c>
      <c r="BX130" s="188">
        <f>[3]CZ_decarb_opex!U130</f>
        <v>4.4863204701593398E-5</v>
      </c>
      <c r="BY130" s="188">
        <f>[3]CZ_decarb_opex!V130</f>
        <v>1.83564597554879E-4</v>
      </c>
      <c r="BZ130" s="188">
        <f>[2]CZ_decarbplus_opex!BC130</f>
        <v>6.396929E-3</v>
      </c>
      <c r="CA130" s="188">
        <f>[2]CZ_decarbplus_opex!BD130</f>
        <v>5.4375769999999999E-3</v>
      </c>
      <c r="CB130" s="188">
        <f>[2]CZ_decarbplus_opex!BE130</f>
        <v>5.9823999999999997E-3</v>
      </c>
      <c r="CC130" s="188">
        <f>[2]CZ_decarbplus_opex!BF130</f>
        <v>1.0479176999999999E-2</v>
      </c>
      <c r="CD130" s="188">
        <f>[2]CZ_decarbplus_opex!BG130</f>
        <v>1.273551E-2</v>
      </c>
      <c r="CE130" s="188">
        <f>[2]CZ_decarbplus_opex!BH130</f>
        <v>6.3975990000000003E-3</v>
      </c>
      <c r="CF130" s="188">
        <f>[2]CZ_decarbplus_opex!BI130</f>
        <v>2.4970169999999998E-3</v>
      </c>
      <c r="CG130" s="188">
        <f>[2]CZ_decarbplus_opex!BJ130</f>
        <v>3.9652300000000003E-4</v>
      </c>
    </row>
    <row r="131" spans="1:85" x14ac:dyDescent="0.25">
      <c r="A131" s="5" t="s">
        <v>253</v>
      </c>
      <c r="B131" s="2" t="s">
        <v>252</v>
      </c>
      <c r="C131" s="1" t="s">
        <v>334</v>
      </c>
      <c r="D131" s="187">
        <f>[2]CZ_decarbplus_opex!B131</f>
        <v>6.7638699999999997E-4</v>
      </c>
      <c r="E131" s="187">
        <f>[2]CZ_decarbplus_opex!C131</f>
        <v>1.095581E-3</v>
      </c>
      <c r="F131" s="187">
        <f>[2]CZ_decarbplus_opex!D131</f>
        <v>5.3172699999999996E-4</v>
      </c>
      <c r="G131" s="187">
        <f>[2]CZ_decarbplus_opex!E131</f>
        <v>8.4900000000000004E-5</v>
      </c>
      <c r="H131" s="187">
        <f>[2]CZ_decarbplus_opex!F131</f>
        <v>1.80094E-4</v>
      </c>
      <c r="I131" s="187">
        <f>[2]CZ_decarbplus_opex!G131</f>
        <v>3.851925E-3</v>
      </c>
      <c r="J131" s="187">
        <f>[2]CZ_decarbplus_opex!H131</f>
        <v>1.4797E-3</v>
      </c>
      <c r="K131" s="187">
        <f>[2]CZ_decarbplus_opex!I131</f>
        <v>2.52778E-4</v>
      </c>
      <c r="L131" s="187">
        <f>[2]CZ_decarbplus_opex!J131</f>
        <v>1.443417E-3</v>
      </c>
      <c r="M131" s="187">
        <f>[2]CZ_decarbplus_opex!K131</f>
        <v>3.3130709999999999E-3</v>
      </c>
      <c r="N131" s="187">
        <f>[2]CZ_decarbplus_opex!L131</f>
        <v>2.0456070000000001E-3</v>
      </c>
      <c r="O131" s="187">
        <f>[2]CZ_decarbplus_opex!M131</f>
        <v>8.8266500000000003E-4</v>
      </c>
      <c r="P131" s="187">
        <f>[2]CZ_decarbplus_opex!N131</f>
        <v>5.7998829999999996E-3</v>
      </c>
      <c r="Q131" s="187">
        <f>[2]CZ_decarbplus_opex!O131</f>
        <v>1.075117E-3</v>
      </c>
      <c r="R131" s="187">
        <f>[2]CZ_decarbplus_opex!P131</f>
        <v>8.0072400000000005E-4</v>
      </c>
      <c r="S131" s="187">
        <f>[2]CZ_decarbplus_opex!Q131</f>
        <v>1.437846E-3</v>
      </c>
      <c r="T131" s="187">
        <f>[2]CZ_decarbplus_opex!R131</f>
        <v>1.6211750000000001E-3</v>
      </c>
      <c r="U131" s="187">
        <f>[2]CZ_decarbplus_opex!S131</f>
        <v>2.1629962999999999E-2</v>
      </c>
      <c r="V131" s="187">
        <f>[2]CZ_decarbplus_opex!T131</f>
        <v>2.9647026E-2</v>
      </c>
      <c r="W131" s="187">
        <f>[2]CZ_decarbplus_opex!U131</f>
        <v>5.3182070000000001E-3</v>
      </c>
      <c r="X131" s="187">
        <f>[2]CZ_decarbplus_opex!V131</f>
        <v>1.6774680000000001E-3</v>
      </c>
      <c r="Y131" s="187">
        <f>[2]CZ_decarbplus_opex!W131</f>
        <v>7.7100000000000004E-5</v>
      </c>
      <c r="Z131" s="187">
        <f>[2]CZ_decarbplus_opex!X131</f>
        <v>4.6593699999999998E-4</v>
      </c>
      <c r="AA131" s="187">
        <f>[2]CZ_decarbplus_opex!Y131</f>
        <v>2.6088000000000001E-4</v>
      </c>
      <c r="AB131" s="188">
        <f>[3]CZ_decarb_opex!B131</f>
        <v>4.8432597859398598E-5</v>
      </c>
      <c r="AC131" s="188">
        <f>[3]CZ_decarb_opex!C131</f>
        <v>2.3215590762168501E-3</v>
      </c>
      <c r="AD131" s="188">
        <f>[3]CZ_decarb_opex!D131</f>
        <v>4.5585224191631501E-3</v>
      </c>
      <c r="AE131" s="188">
        <f>[2]CZ_decarbplus_opex!Z131</f>
        <v>5.3442020000000002E-3</v>
      </c>
      <c r="AF131" s="188">
        <f>[2]CZ_decarbplus_opex!AA131</f>
        <v>5.1714000000000003E-4</v>
      </c>
      <c r="AG131" s="188">
        <f>[2]CZ_decarbplus_opex!AB131</f>
        <v>8.4139699999999998E-3</v>
      </c>
      <c r="AH131" s="188">
        <f>[2]CZ_decarbplus_opex!AC131</f>
        <v>2.550213E-3</v>
      </c>
      <c r="AI131" s="188">
        <f>[2]CZ_decarbplus_opex!AD131</f>
        <v>5.3405600000000003E-3</v>
      </c>
      <c r="AJ131" s="188">
        <f>[2]CZ_decarbplus_opex!AE131</f>
        <v>4.0849930000000003E-3</v>
      </c>
      <c r="AK131" s="188">
        <f>[2]CZ_decarbplus_opex!AF131</f>
        <v>3.3617310000000002E-3</v>
      </c>
      <c r="AL131" s="188">
        <f>[3]CZ_decarb_opex!E131</f>
        <v>5.3180374349479304E-3</v>
      </c>
      <c r="AM131" s="188">
        <f>[3]CZ_decarb_opex!F131</f>
        <v>5.1959187684598599E-3</v>
      </c>
      <c r="AN131" s="188">
        <f>[2]CZ_decarbplus_opex!AG131</f>
        <v>4.2258479999999999E-3</v>
      </c>
      <c r="AO131" s="188">
        <f>[3]CZ_decarb_opex!G131</f>
        <v>8.7225225424363494E-5</v>
      </c>
      <c r="AP131" s="188">
        <f>[3]CZ_decarb_opex!H131</f>
        <v>1.0457168004955801E-4</v>
      </c>
      <c r="AQ131" s="188">
        <f>[2]CZ_decarbplus_opex!AH131</f>
        <v>1.7123799999999999E-4</v>
      </c>
      <c r="AR131" s="188">
        <f>[2]CZ_decarbplus_opex!AI131</f>
        <v>0</v>
      </c>
      <c r="AS131" s="188">
        <f>[2]CZ_decarbplus_opex!AJ131</f>
        <v>3.4164999999999998E-4</v>
      </c>
      <c r="AT131" s="188">
        <f>[2]CZ_decarbplus_opex!AK131</f>
        <v>3.9607999999999999E-4</v>
      </c>
      <c r="AU131" s="188">
        <f>[2]CZ_decarbplus_opex!AL131</f>
        <v>3.4199999999999998E-5</v>
      </c>
      <c r="AV131" s="188">
        <f>[2]CZ_decarbplus_opex!AM131</f>
        <v>3.01E-5</v>
      </c>
      <c r="AW131" s="188">
        <f>[2]CZ_decarbplus_opex!AN131</f>
        <v>2.2566400000000001E-4</v>
      </c>
      <c r="AX131" s="188">
        <f>[2]CZ_decarbplus_opex!AO131</f>
        <v>0</v>
      </c>
      <c r="AY131" s="188">
        <f>[2]CZ_decarbplus_opex!AP131</f>
        <v>5.8600000000000001E-5</v>
      </c>
      <c r="AZ131" s="188">
        <f>[2]CZ_decarbplus_opex!AQ131</f>
        <v>0</v>
      </c>
      <c r="BA131" s="188">
        <f>[2]CZ_decarbplus_opex!AR131</f>
        <v>5.66E-5</v>
      </c>
      <c r="BB131" s="188">
        <f>[2]CZ_decarbplus_opex!AS131</f>
        <v>1.0041069999999999E-2</v>
      </c>
      <c r="BC131" s="188">
        <f>[2]CZ_decarbplus_opex!AT131</f>
        <v>5.9674230000000003E-3</v>
      </c>
      <c r="BD131" s="188">
        <f>[2]CZ_decarbplus_opex!AU131</f>
        <v>1.588786E-3</v>
      </c>
      <c r="BE131" s="188">
        <f>[2]CZ_decarbplus_opex!AV131</f>
        <v>2.5104979999999999E-3</v>
      </c>
      <c r="BF131" s="188">
        <f>[2]CZ_decarbplus_opex!AW131</f>
        <v>1.7092159999999999E-3</v>
      </c>
      <c r="BG131" s="188">
        <f>[2]CZ_decarbplus_opex!AX131</f>
        <v>8.3102569999999997E-3</v>
      </c>
      <c r="BH131" s="188">
        <f>[3]CZ_decarb_opex!I131</f>
        <v>1.9136604500758899E-3</v>
      </c>
      <c r="BI131" s="188">
        <f>[2]CZ_decarbplus_opex!AY131</f>
        <v>8.3457779999999999E-3</v>
      </c>
      <c r="BJ131" s="188">
        <f>[2]CZ_decarbplus_opex!AZ131</f>
        <v>4.5251579999999996E-3</v>
      </c>
      <c r="BK131" s="188">
        <f>[2]CZ_decarbplus_opex!BA131</f>
        <v>9.0236329999999997E-3</v>
      </c>
      <c r="BL131" s="188">
        <f>[2]CZ_decarbplus_opex!BB131</f>
        <v>0</v>
      </c>
      <c r="BM131" s="188">
        <f>[3]CZ_decarb_opex!J131</f>
        <v>1.88587397642383E-2</v>
      </c>
      <c r="BN131" s="188">
        <f>[3]CZ_decarb_opex!K131</f>
        <v>2.11576640719272E-2</v>
      </c>
      <c r="BO131" s="188">
        <f>[3]CZ_decarb_opex!L131</f>
        <v>8.9971428734370792E-3</v>
      </c>
      <c r="BP131" s="188">
        <f>[3]CZ_decarb_opex!M131</f>
        <v>1.3993753621588801E-2</v>
      </c>
      <c r="BQ131" s="188">
        <f>[3]CZ_decarb_opex!N131</f>
        <v>1.4582814217131999E-2</v>
      </c>
      <c r="BR131" s="188">
        <f>[3]CZ_decarb_opex!O131</f>
        <v>5.0519003609725702E-3</v>
      </c>
      <c r="BS131" s="188">
        <f>[3]CZ_decarb_opex!P131</f>
        <v>1.2420415256605999E-2</v>
      </c>
      <c r="BT131" s="188">
        <f>[3]CZ_decarb_opex!Q131</f>
        <v>7.6817228091249704E-3</v>
      </c>
      <c r="BU131" s="188">
        <f>[3]CZ_decarb_opex!R131</f>
        <v>1.66234787904035E-2</v>
      </c>
      <c r="BV131" s="188">
        <f>[3]CZ_decarb_opex!S131</f>
        <v>1.66234787904035E-2</v>
      </c>
      <c r="BW131" s="188">
        <f>[3]CZ_decarb_opex!T131</f>
        <v>2.4361261309939802E-2</v>
      </c>
      <c r="BX131" s="188">
        <f>[3]CZ_decarb_opex!U131</f>
        <v>8.2665801994508803E-5</v>
      </c>
      <c r="BY131" s="188">
        <f>[3]CZ_decarb_opex!V131</f>
        <v>6.0716512214742298E-6</v>
      </c>
      <c r="BZ131" s="188">
        <f>[2]CZ_decarbplus_opex!BC131</f>
        <v>2.0704138E-2</v>
      </c>
      <c r="CA131" s="188">
        <f>[2]CZ_decarbplus_opex!BD131</f>
        <v>1.8492914999999999E-2</v>
      </c>
      <c r="CB131" s="188">
        <f>[2]CZ_decarbplus_opex!BE131</f>
        <v>1.6036104999999998E-2</v>
      </c>
      <c r="CC131" s="188">
        <f>[2]CZ_decarbplus_opex!BF131</f>
        <v>2.2619630000000001E-3</v>
      </c>
      <c r="CD131" s="188">
        <f>[2]CZ_decarbplus_opex!BG131</f>
        <v>1.6773869E-2</v>
      </c>
      <c r="CE131" s="188">
        <f>[2]CZ_decarbplus_opex!BH131</f>
        <v>5.5130810000000004E-3</v>
      </c>
      <c r="CF131" s="188">
        <f>[2]CZ_decarbplus_opex!BI131</f>
        <v>8.8162780000000003E-3</v>
      </c>
      <c r="CG131" s="188">
        <f>[2]CZ_decarbplus_opex!BJ131</f>
        <v>3.8313879999999998E-3</v>
      </c>
    </row>
    <row r="132" spans="1:85" x14ac:dyDescent="0.25">
      <c r="A132" s="5" t="s">
        <v>255</v>
      </c>
      <c r="B132" s="2" t="s">
        <v>254</v>
      </c>
      <c r="C132" s="1" t="s">
        <v>334</v>
      </c>
      <c r="D132" s="187">
        <f>[2]CZ_decarbplus_opex!B132</f>
        <v>1.7841800000000001E-4</v>
      </c>
      <c r="E132" s="187">
        <f>[2]CZ_decarbplus_opex!C132</f>
        <v>1.7676200000000001E-4</v>
      </c>
      <c r="F132" s="187">
        <f>[2]CZ_decarbplus_opex!D132</f>
        <v>9.2899999999999995E-5</v>
      </c>
      <c r="G132" s="187">
        <f>[2]CZ_decarbplus_opex!E132</f>
        <v>1.84E-5</v>
      </c>
      <c r="H132" s="187">
        <f>[2]CZ_decarbplus_opex!F132</f>
        <v>3.6000000000000001E-5</v>
      </c>
      <c r="I132" s="187">
        <f>[2]CZ_decarbplus_opex!G132</f>
        <v>3.15168E-4</v>
      </c>
      <c r="J132" s="187">
        <f>[2]CZ_decarbplus_opex!H132</f>
        <v>2.0568499999999999E-4</v>
      </c>
      <c r="K132" s="187">
        <f>[2]CZ_decarbplus_opex!I132</f>
        <v>4.8000000000000001E-5</v>
      </c>
      <c r="L132" s="187">
        <f>[2]CZ_decarbplus_opex!J132</f>
        <v>6.4778299999999997E-4</v>
      </c>
      <c r="M132" s="187">
        <f>[2]CZ_decarbplus_opex!K132</f>
        <v>2.6616510000000001E-3</v>
      </c>
      <c r="N132" s="187">
        <f>[2]CZ_decarbplus_opex!L132</f>
        <v>1.033869E-3</v>
      </c>
      <c r="O132" s="187">
        <f>[2]CZ_decarbplus_opex!M132</f>
        <v>8.7420800000000002E-4</v>
      </c>
      <c r="P132" s="187">
        <f>[2]CZ_decarbplus_opex!N132</f>
        <v>2.4501319999999998E-3</v>
      </c>
      <c r="Q132" s="187">
        <f>[2]CZ_decarbplus_opex!O132</f>
        <v>1.12309E-4</v>
      </c>
      <c r="R132" s="187">
        <f>[2]CZ_decarbplus_opex!P132</f>
        <v>2.7919000000000002E-4</v>
      </c>
      <c r="S132" s="187">
        <f>[2]CZ_decarbplus_opex!Q132</f>
        <v>4.8465879999999998E-3</v>
      </c>
      <c r="T132" s="187">
        <f>[2]CZ_decarbplus_opex!R132</f>
        <v>5.4768660000000004E-3</v>
      </c>
      <c r="U132" s="187">
        <f>[2]CZ_decarbplus_opex!S132</f>
        <v>4.3831850000000004E-3</v>
      </c>
      <c r="V132" s="187">
        <f>[2]CZ_decarbplus_opex!T132</f>
        <v>6.0095050000000001E-3</v>
      </c>
      <c r="W132" s="187">
        <f>[2]CZ_decarbplus_opex!U132</f>
        <v>9.2227300000000004E-4</v>
      </c>
      <c r="X132" s="187">
        <f>[2]CZ_decarbplus_opex!V132</f>
        <v>1.943637E-3</v>
      </c>
      <c r="Y132" s="187">
        <f>[2]CZ_decarbplus_opex!W132</f>
        <v>1.91E-5</v>
      </c>
      <c r="Z132" s="187">
        <f>[2]CZ_decarbplus_opex!X132</f>
        <v>5.0886599999999996E-4</v>
      </c>
      <c r="AA132" s="187">
        <f>[2]CZ_decarbplus_opex!Y132</f>
        <v>7.2899999999999997E-5</v>
      </c>
      <c r="AB132" s="188">
        <f>[3]CZ_decarb_opex!B132</f>
        <v>4.2525934886827399E-4</v>
      </c>
      <c r="AC132" s="188">
        <f>[3]CZ_decarb_opex!C132</f>
        <v>4.4177013981379198E-3</v>
      </c>
      <c r="AD132" s="188">
        <f>[3]CZ_decarb_opex!D132</f>
        <v>8.0393532307613397E-3</v>
      </c>
      <c r="AE132" s="188">
        <f>[2]CZ_decarbplus_opex!Z132</f>
        <v>7.4497599999999997E-3</v>
      </c>
      <c r="AF132" s="188">
        <f>[2]CZ_decarbplus_opex!AA132</f>
        <v>1.579312E-3</v>
      </c>
      <c r="AG132" s="188">
        <f>[2]CZ_decarbplus_opex!AB132</f>
        <v>8.5071099999999998E-4</v>
      </c>
      <c r="AH132" s="188">
        <f>[2]CZ_decarbplus_opex!AC132</f>
        <v>6.7220699999999997E-4</v>
      </c>
      <c r="AI132" s="188">
        <f>[2]CZ_decarbplus_opex!AD132</f>
        <v>1.3598569999999999E-3</v>
      </c>
      <c r="AJ132" s="188">
        <f>[2]CZ_decarbplus_opex!AE132</f>
        <v>1.5437669999999999E-3</v>
      </c>
      <c r="AK132" s="188">
        <f>[2]CZ_decarbplus_opex!AF132</f>
        <v>8.1395899999999995E-4</v>
      </c>
      <c r="AL132" s="188">
        <f>[3]CZ_decarb_opex!E132</f>
        <v>8.4095280130187897E-4</v>
      </c>
      <c r="AM132" s="188">
        <f>[3]CZ_decarb_opex!F132</f>
        <v>8.0681992461796202E-4</v>
      </c>
      <c r="AN132" s="188">
        <f>[2]CZ_decarbplus_opex!AG132</f>
        <v>2.4974490000000001E-3</v>
      </c>
      <c r="AO132" s="188">
        <f>[3]CZ_decarb_opex!G132</f>
        <v>4.09430318212092E-4</v>
      </c>
      <c r="AP132" s="188">
        <f>[3]CZ_decarb_opex!H132</f>
        <v>4.9408685995334803E-4</v>
      </c>
      <c r="AQ132" s="188">
        <f>[2]CZ_decarbplus_opex!AH132</f>
        <v>2.48774E-4</v>
      </c>
      <c r="AR132" s="188">
        <f>[2]CZ_decarbplus_opex!AI132</f>
        <v>0</v>
      </c>
      <c r="AS132" s="188">
        <f>[2]CZ_decarbplus_opex!AJ132</f>
        <v>1.100625E-3</v>
      </c>
      <c r="AT132" s="188">
        <f>[2]CZ_decarbplus_opex!AK132</f>
        <v>1.2614480000000001E-3</v>
      </c>
      <c r="AU132" s="188">
        <f>[2]CZ_decarbplus_opex!AL132</f>
        <v>3.58921E-4</v>
      </c>
      <c r="AV132" s="188">
        <f>[2]CZ_decarbplus_opex!AM132</f>
        <v>3.2182599999999999E-4</v>
      </c>
      <c r="AW132" s="188">
        <f>[2]CZ_decarbplus_opex!AN132</f>
        <v>1.1047990000000001E-3</v>
      </c>
      <c r="AX132" s="188">
        <f>[2]CZ_decarbplus_opex!AO132</f>
        <v>0</v>
      </c>
      <c r="AY132" s="188">
        <f>[2]CZ_decarbplus_opex!AP132</f>
        <v>1.27708E-4</v>
      </c>
      <c r="AZ132" s="188">
        <f>[2]CZ_decarbplus_opex!AQ132</f>
        <v>0</v>
      </c>
      <c r="BA132" s="188">
        <f>[2]CZ_decarbplus_opex!AR132</f>
        <v>4.39899E-4</v>
      </c>
      <c r="BB132" s="188">
        <f>[2]CZ_decarbplus_opex!AS132</f>
        <v>2.8030279999999999E-3</v>
      </c>
      <c r="BC132" s="188">
        <f>[2]CZ_decarbplus_opex!AT132</f>
        <v>2.554705E-3</v>
      </c>
      <c r="BD132" s="188">
        <f>[2]CZ_decarbplus_opex!AU132</f>
        <v>1.357437E-3</v>
      </c>
      <c r="BE132" s="188">
        <f>[2]CZ_decarbplus_opex!AV132</f>
        <v>1.0656579999999999E-3</v>
      </c>
      <c r="BF132" s="188">
        <f>[2]CZ_decarbplus_opex!AW132</f>
        <v>4.5911200000000002E-4</v>
      </c>
      <c r="BG132" s="188">
        <f>[2]CZ_decarbplus_opex!AX132</f>
        <v>1.12017E-3</v>
      </c>
      <c r="BH132" s="188">
        <f>[3]CZ_decarb_opex!I132</f>
        <v>8.6111300589345905E-4</v>
      </c>
      <c r="BI132" s="188">
        <f>[2]CZ_decarbplus_opex!AY132</f>
        <v>1.9921600000000002E-3</v>
      </c>
      <c r="BJ132" s="188">
        <f>[2]CZ_decarbplus_opex!AZ132</f>
        <v>1.1804890000000001E-3</v>
      </c>
      <c r="BK132" s="188">
        <f>[2]CZ_decarbplus_opex!BA132</f>
        <v>9.5116019999999992E-3</v>
      </c>
      <c r="BL132" s="188">
        <f>[2]CZ_decarbplus_opex!BB132</f>
        <v>0</v>
      </c>
      <c r="BM132" s="188">
        <f>[3]CZ_decarb_opex!J132</f>
        <v>1.6162176008146E-3</v>
      </c>
      <c r="BN132" s="188">
        <f>[3]CZ_decarb_opex!K132</f>
        <v>1.4492948841073701E-3</v>
      </c>
      <c r="BO132" s="188">
        <f>[3]CZ_decarb_opex!L132</f>
        <v>2.20696878734007E-3</v>
      </c>
      <c r="BP132" s="188">
        <f>[3]CZ_decarb_opex!M132</f>
        <v>1.99290753563391E-3</v>
      </c>
      <c r="BQ132" s="188">
        <f>[3]CZ_decarb_opex!N132</f>
        <v>2.0839771822968901E-3</v>
      </c>
      <c r="BR132" s="188">
        <f>[3]CZ_decarb_opex!O132</f>
        <v>4.54425780569099E-3</v>
      </c>
      <c r="BS132" s="188">
        <f>[3]CZ_decarb_opex!P132</f>
        <v>9.5834311901994002E-4</v>
      </c>
      <c r="BT132" s="188">
        <f>[3]CZ_decarb_opex!Q132</f>
        <v>4.5418507877782201E-4</v>
      </c>
      <c r="BU132" s="188">
        <f>[3]CZ_decarb_opex!R132</f>
        <v>2.3894908081873302E-3</v>
      </c>
      <c r="BV132" s="188">
        <f>[3]CZ_decarb_opex!S132</f>
        <v>2.3894908081873302E-3</v>
      </c>
      <c r="BW132" s="188">
        <f>[3]CZ_decarb_opex!T132</f>
        <v>1.90171263018208E-3</v>
      </c>
      <c r="BX132" s="188">
        <f>[3]CZ_decarb_opex!U132</f>
        <v>1.30839294627246E-5</v>
      </c>
      <c r="BY132" s="188">
        <f>[3]CZ_decarb_opex!V132</f>
        <v>6.9056727201352E-6</v>
      </c>
      <c r="BZ132" s="188">
        <f>[2]CZ_decarbplus_opex!BC132</f>
        <v>2.8042190000000002E-3</v>
      </c>
      <c r="CA132" s="188">
        <f>[2]CZ_decarbplus_opex!BD132</f>
        <v>2.6766239999999998E-3</v>
      </c>
      <c r="CB132" s="188">
        <f>[2]CZ_decarbplus_opex!BE132</f>
        <v>2.8900269999999999E-3</v>
      </c>
      <c r="CC132" s="188">
        <f>[2]CZ_decarbplus_opex!BF132</f>
        <v>5.6165800000000004E-4</v>
      </c>
      <c r="CD132" s="188">
        <f>[2]CZ_decarbplus_opex!BG132</f>
        <v>7.5105689999999999E-3</v>
      </c>
      <c r="CE132" s="188">
        <f>[2]CZ_decarbplus_opex!BH132</f>
        <v>2.4754339999999999E-3</v>
      </c>
      <c r="CF132" s="188">
        <f>[2]CZ_decarbplus_opex!BI132</f>
        <v>1.5554189999999999E-3</v>
      </c>
      <c r="CG132" s="188">
        <f>[2]CZ_decarbplus_opex!BJ132</f>
        <v>1.856148E-3</v>
      </c>
    </row>
    <row r="133" spans="1:85" x14ac:dyDescent="0.25">
      <c r="A133" s="5" t="s">
        <v>257</v>
      </c>
      <c r="B133" s="2" t="s">
        <v>256</v>
      </c>
      <c r="C133" s="1" t="s">
        <v>334</v>
      </c>
      <c r="D133" s="187">
        <f>[2]CZ_decarbplus_opex!B133</f>
        <v>3.3699999999999999E-5</v>
      </c>
      <c r="E133" s="187">
        <f>[2]CZ_decarbplus_opex!C133</f>
        <v>4.0199999999999996E-6</v>
      </c>
      <c r="F133" s="187">
        <f>[2]CZ_decarbplus_opex!D133</f>
        <v>2.5000000000000002E-6</v>
      </c>
      <c r="G133" s="187">
        <f>[2]CZ_decarbplus_opex!E133</f>
        <v>4.6499999999999999E-7</v>
      </c>
      <c r="H133" s="187">
        <f>[2]CZ_decarbplus_opex!F133</f>
        <v>8.7300000000000005E-7</v>
      </c>
      <c r="I133" s="187">
        <f>[2]CZ_decarbplus_opex!G133</f>
        <v>5.0900000000000004E-6</v>
      </c>
      <c r="J133" s="187">
        <f>[2]CZ_decarbplus_opex!H133</f>
        <v>1.8899999999999999E-5</v>
      </c>
      <c r="K133" s="187">
        <f>[2]CZ_decarbplus_opex!I133</f>
        <v>1.48E-6</v>
      </c>
      <c r="L133" s="187">
        <f>[2]CZ_decarbplus_opex!J133</f>
        <v>4.78E-6</v>
      </c>
      <c r="M133" s="187">
        <f>[2]CZ_decarbplus_opex!K133</f>
        <v>1.11E-5</v>
      </c>
      <c r="N133" s="187">
        <f>[2]CZ_decarbplus_opex!L133</f>
        <v>6.5899999999999996E-6</v>
      </c>
      <c r="O133" s="187">
        <f>[2]CZ_decarbplus_opex!M133</f>
        <v>2.23E-5</v>
      </c>
      <c r="P133" s="187">
        <f>[2]CZ_decarbplus_opex!N133</f>
        <v>5.6200000000000004E-6</v>
      </c>
      <c r="Q133" s="187">
        <f>[2]CZ_decarbplus_opex!O133</f>
        <v>2.96E-6</v>
      </c>
      <c r="R133" s="187">
        <f>[2]CZ_decarbplus_opex!P133</f>
        <v>1.0899999999999999E-6</v>
      </c>
      <c r="S133" s="187">
        <f>[2]CZ_decarbplus_opex!Q133</f>
        <v>3.63E-6</v>
      </c>
      <c r="T133" s="187">
        <f>[2]CZ_decarbplus_opex!R133</f>
        <v>4.3599999999999998E-6</v>
      </c>
      <c r="U133" s="187">
        <f>[2]CZ_decarbplus_opex!S133</f>
        <v>5.6899999999999997E-6</v>
      </c>
      <c r="V133" s="187">
        <f>[2]CZ_decarbplus_opex!T133</f>
        <v>7.6199999999999999E-6</v>
      </c>
      <c r="W133" s="187">
        <f>[2]CZ_decarbplus_opex!U133</f>
        <v>5.2800000000000003E-6</v>
      </c>
      <c r="X133" s="187">
        <f>[2]CZ_decarbplus_opex!V133</f>
        <v>1.6178000000000001E-4</v>
      </c>
      <c r="Y133" s="187">
        <f>[2]CZ_decarbplus_opex!W133</f>
        <v>6.5099999999999999E-7</v>
      </c>
      <c r="Z133" s="187">
        <f>[2]CZ_decarbplus_opex!X133</f>
        <v>3.05E-6</v>
      </c>
      <c r="AA133" s="187">
        <f>[2]CZ_decarbplus_opex!Y133</f>
        <v>3.6200000000000001E-6</v>
      </c>
      <c r="AB133" s="188">
        <f>[3]CZ_decarb_opex!B133</f>
        <v>4.4194144857413097E-5</v>
      </c>
      <c r="AC133" s="188">
        <f>[3]CZ_decarb_opex!C133</f>
        <v>4.0454753274555798E-2</v>
      </c>
      <c r="AD133" s="188">
        <f>[3]CZ_decarb_opex!D133</f>
        <v>8.8305151998102405E-2</v>
      </c>
      <c r="AE133" s="188">
        <f>[2]CZ_decarbplus_opex!Z133</f>
        <v>0.106262758</v>
      </c>
      <c r="AF133" s="188">
        <f>[2]CZ_decarbplus_opex!AA133</f>
        <v>4.5189599999999998E-3</v>
      </c>
      <c r="AG133" s="188">
        <f>[2]CZ_decarbplus_opex!AB133</f>
        <v>5.0210599999999999E-4</v>
      </c>
      <c r="AH133" s="188">
        <f>[2]CZ_decarbplus_opex!AC133</f>
        <v>1.13472E-4</v>
      </c>
      <c r="AI133" s="188">
        <f>[2]CZ_decarbplus_opex!AD133</f>
        <v>2.3728099999999999E-4</v>
      </c>
      <c r="AJ133" s="188">
        <f>[2]CZ_decarbplus_opex!AE133</f>
        <v>1.50314E-4</v>
      </c>
      <c r="AK133" s="188">
        <f>[2]CZ_decarbplus_opex!AF133</f>
        <v>1.9608399999999999E-4</v>
      </c>
      <c r="AL133" s="188">
        <f>[3]CZ_decarb_opex!E133</f>
        <v>2.1050262636114001E-4</v>
      </c>
      <c r="AM133" s="188">
        <f>[3]CZ_decarb_opex!F133</f>
        <v>2.04862703590957E-4</v>
      </c>
      <c r="AN133" s="188">
        <f>[2]CZ_decarbplus_opex!AG133</f>
        <v>2.0859000000000001E-4</v>
      </c>
      <c r="AO133" s="188">
        <f>[3]CZ_decarb_opex!G133</f>
        <v>7.2929009368409505E-4</v>
      </c>
      <c r="AP133" s="188">
        <f>[3]CZ_decarb_opex!H133</f>
        <v>8.7652854039615296E-4</v>
      </c>
      <c r="AQ133" s="188">
        <f>[2]CZ_decarbplus_opex!AH133</f>
        <v>1.647449E-3</v>
      </c>
      <c r="AR133" s="188">
        <f>[2]CZ_decarbplus_opex!AI133</f>
        <v>0</v>
      </c>
      <c r="AS133" s="188">
        <f>[2]CZ_decarbplus_opex!AJ133</f>
        <v>9.4530600000000003E-4</v>
      </c>
      <c r="AT133" s="188">
        <f>[2]CZ_decarbplus_opex!AK133</f>
        <v>1.029505E-3</v>
      </c>
      <c r="AU133" s="188">
        <f>[2]CZ_decarbplus_opex!AL133</f>
        <v>3.9402399999999998E-4</v>
      </c>
      <c r="AV133" s="188">
        <f>[2]CZ_decarbplus_opex!AM133</f>
        <v>3.4205900000000003E-4</v>
      </c>
      <c r="AW133" s="188">
        <f>[2]CZ_decarbplus_opex!AN133</f>
        <v>1.072136E-3</v>
      </c>
      <c r="AX133" s="188">
        <f>[2]CZ_decarbplus_opex!AO133</f>
        <v>0</v>
      </c>
      <c r="AY133" s="188">
        <f>[2]CZ_decarbplus_opex!AP133</f>
        <v>1.1145199999999999E-3</v>
      </c>
      <c r="AZ133" s="188">
        <f>[2]CZ_decarbplus_opex!AQ133</f>
        <v>0</v>
      </c>
      <c r="BA133" s="188">
        <f>[2]CZ_decarbplus_opex!AR133</f>
        <v>1.314731E-3</v>
      </c>
      <c r="BB133" s="188">
        <f>[2]CZ_decarbplus_opex!AS133</f>
        <v>4.3281299999999999E-4</v>
      </c>
      <c r="BC133" s="188">
        <f>[2]CZ_decarbplus_opex!AT133</f>
        <v>8.3799999999999994E-6</v>
      </c>
      <c r="BD133" s="188">
        <f>[2]CZ_decarbplus_opex!AU133</f>
        <v>2.9799999999999999E-5</v>
      </c>
      <c r="BE133" s="188">
        <f>[2]CZ_decarbplus_opex!AV133</f>
        <v>4.2500000000000003E-5</v>
      </c>
      <c r="BF133" s="188">
        <f>[2]CZ_decarbplus_opex!AW133</f>
        <v>1.39E-6</v>
      </c>
      <c r="BG133" s="188">
        <f>[2]CZ_decarbplus_opex!AX133</f>
        <v>6.5400000000000001E-6</v>
      </c>
      <c r="BH133" s="188">
        <f>[3]CZ_decarb_opex!I133</f>
        <v>2.1716551421394E-4</v>
      </c>
      <c r="BI133" s="188">
        <f>[2]CZ_decarbplus_opex!AY133</f>
        <v>3.45E-6</v>
      </c>
      <c r="BJ133" s="188">
        <f>[2]CZ_decarbplus_opex!AZ133</f>
        <v>1.2999999999999999E-5</v>
      </c>
      <c r="BK133" s="188">
        <f>[2]CZ_decarbplus_opex!BA133</f>
        <v>3.1399999999999998E-5</v>
      </c>
      <c r="BL133" s="188">
        <f>[2]CZ_decarbplus_opex!BB133</f>
        <v>0</v>
      </c>
      <c r="BM133" s="188">
        <f>[3]CZ_decarb_opex!J133</f>
        <v>2.9864269213563998E-4</v>
      </c>
      <c r="BN133" s="188">
        <f>[3]CZ_decarb_opex!K133</f>
        <v>2.4798571052720401E-4</v>
      </c>
      <c r="BO133" s="188">
        <f>[3]CZ_decarb_opex!L133</f>
        <v>2.2525702307959501E-4</v>
      </c>
      <c r="BP133" s="188">
        <f>[3]CZ_decarb_opex!M133</f>
        <v>2.3665334549423901E-4</v>
      </c>
      <c r="BQ133" s="188">
        <f>[3]CZ_decarb_opex!N133</f>
        <v>2.49531031947237E-4</v>
      </c>
      <c r="BR133" s="188">
        <f>[3]CZ_decarb_opex!O133</f>
        <v>7.3704203853832997E-6</v>
      </c>
      <c r="BS133" s="188">
        <f>[3]CZ_decarb_opex!P133</f>
        <v>1.71178947030437E-4</v>
      </c>
      <c r="BT133" s="188">
        <f>[3]CZ_decarb_opex!Q133</f>
        <v>1.3328004323353199E-4</v>
      </c>
      <c r="BU133" s="188">
        <f>[3]CZ_decarb_opex!R133</f>
        <v>2.6124797463882299E-6</v>
      </c>
      <c r="BV133" s="188">
        <f>[3]CZ_decarb_opex!S133</f>
        <v>2.6124797463882401E-6</v>
      </c>
      <c r="BW133" s="188">
        <f>[3]CZ_decarb_opex!T133</f>
        <v>2.3589609221748701E-3</v>
      </c>
      <c r="BX133" s="188">
        <f>[3]CZ_decarb_opex!U133</f>
        <v>1.2366803417393599E-5</v>
      </c>
      <c r="BY133" s="188">
        <f>[3]CZ_decarb_opex!V133</f>
        <v>9.9205915198633699E-7</v>
      </c>
      <c r="BZ133" s="188">
        <f>[2]CZ_decarbplus_opex!BC133</f>
        <v>3.34982E-4</v>
      </c>
      <c r="CA133" s="188">
        <f>[2]CZ_decarbplus_opex!BD133</f>
        <v>3.1973400000000001E-4</v>
      </c>
      <c r="CB133" s="188">
        <f>[2]CZ_decarbplus_opex!BE133</f>
        <v>2.90117E-4</v>
      </c>
      <c r="CC133" s="188">
        <f>[2]CZ_decarbplus_opex!BF133</f>
        <v>1.1275E-4</v>
      </c>
      <c r="CD133" s="188">
        <f>[2]CZ_decarbplus_opex!BG133</f>
        <v>3.9334199999999998E-4</v>
      </c>
      <c r="CE133" s="188">
        <f>[2]CZ_decarbplus_opex!BH133</f>
        <v>1.45E-5</v>
      </c>
      <c r="CF133" s="188">
        <f>[2]CZ_decarbplus_opex!BI133</f>
        <v>6.1299999999999999E-5</v>
      </c>
      <c r="CG133" s="188">
        <f>[2]CZ_decarbplus_opex!BJ133</f>
        <v>3.2799999999999998E-5</v>
      </c>
    </row>
    <row r="134" spans="1:85" x14ac:dyDescent="0.25">
      <c r="A134" s="5" t="s">
        <v>259</v>
      </c>
      <c r="B134" s="2" t="s">
        <v>258</v>
      </c>
      <c r="C134" s="1" t="s">
        <v>334</v>
      </c>
      <c r="D134" s="187">
        <f>[2]CZ_decarbplus_opex!B134</f>
        <v>2.6966080000000001E-3</v>
      </c>
      <c r="E134" s="187">
        <f>[2]CZ_decarbplus_opex!C134</f>
        <v>1.7397420000000001E-3</v>
      </c>
      <c r="F134" s="187">
        <f>[2]CZ_decarbplus_opex!D134</f>
        <v>9.9671000000000004E-4</v>
      </c>
      <c r="G134" s="187">
        <f>[2]CZ_decarbplus_opex!E134</f>
        <v>2.0263599999999999E-4</v>
      </c>
      <c r="H134" s="187">
        <f>[2]CZ_decarbplus_opex!F134</f>
        <v>3.8819199999999999E-4</v>
      </c>
      <c r="I134" s="187">
        <f>[2]CZ_decarbplus_opex!G134</f>
        <v>5.350128E-3</v>
      </c>
      <c r="J134" s="187">
        <f>[2]CZ_decarbplus_opex!H134</f>
        <v>7.1146810000000003E-3</v>
      </c>
      <c r="K134" s="187">
        <f>[2]CZ_decarbplus_opex!I134</f>
        <v>6.0796400000000001E-4</v>
      </c>
      <c r="L134" s="187">
        <f>[2]CZ_decarbplus_opex!J134</f>
        <v>3.1180050000000001E-3</v>
      </c>
      <c r="M134" s="187">
        <f>[2]CZ_decarbplus_opex!K134</f>
        <v>8.3374380000000008E-3</v>
      </c>
      <c r="N134" s="187">
        <f>[2]CZ_decarbplus_opex!L134</f>
        <v>4.7497679999999997E-3</v>
      </c>
      <c r="O134" s="187">
        <f>[2]CZ_decarbplus_opex!M134</f>
        <v>2.6029966000000002E-2</v>
      </c>
      <c r="P134" s="187">
        <f>[2]CZ_decarbplus_opex!N134</f>
        <v>9.0954940000000008E-3</v>
      </c>
      <c r="Q134" s="187">
        <f>[2]CZ_decarbplus_opex!O134</f>
        <v>1.3352710000000001E-3</v>
      </c>
      <c r="R134" s="187">
        <f>[2]CZ_decarbplus_opex!P134</f>
        <v>4.1377949999999997E-3</v>
      </c>
      <c r="S134" s="187">
        <f>[2]CZ_decarbplus_opex!Q134</f>
        <v>2.2127779999999999E-3</v>
      </c>
      <c r="T134" s="187">
        <f>[2]CZ_decarbplus_opex!R134</f>
        <v>2.3964609999999999E-3</v>
      </c>
      <c r="U134" s="187">
        <f>[2]CZ_decarbplus_opex!S134</f>
        <v>5.8910669999999998E-3</v>
      </c>
      <c r="V134" s="187">
        <f>[2]CZ_decarbplus_opex!T134</f>
        <v>5.9671059999999998E-3</v>
      </c>
      <c r="W134" s="187">
        <f>[2]CZ_decarbplus_opex!U134</f>
        <v>4.9672980000000002E-3</v>
      </c>
      <c r="X134" s="187">
        <f>[2]CZ_decarbplus_opex!V134</f>
        <v>4.7671470000000002E-3</v>
      </c>
      <c r="Y134" s="187">
        <f>[2]CZ_decarbplus_opex!W134</f>
        <v>4.7509240000000001E-3</v>
      </c>
      <c r="Z134" s="187">
        <f>[2]CZ_decarbplus_opex!X134</f>
        <v>6.4368799999999999E-3</v>
      </c>
      <c r="AA134" s="187">
        <f>[2]CZ_decarbplus_opex!Y134</f>
        <v>1.4869189999999999E-2</v>
      </c>
      <c r="AB134" s="188">
        <f>[3]CZ_decarb_opex!B134</f>
        <v>8.53981541354361E-3</v>
      </c>
      <c r="AC134" s="188">
        <f>[3]CZ_decarb_opex!C134</f>
        <v>2.3865367896454201E-3</v>
      </c>
      <c r="AD134" s="188">
        <f>[3]CZ_decarb_opex!D134</f>
        <v>2.8258122565272899E-3</v>
      </c>
      <c r="AE134" s="188">
        <f>[2]CZ_decarbplus_opex!Z134</f>
        <v>2.540507E-3</v>
      </c>
      <c r="AF134" s="188">
        <f>[2]CZ_decarbplus_opex!AA134</f>
        <v>8.7599410000000003E-3</v>
      </c>
      <c r="AG134" s="188">
        <f>[2]CZ_decarbplus_opex!AB134</f>
        <v>1.874791E-3</v>
      </c>
      <c r="AH134" s="188">
        <f>[2]CZ_decarbplus_opex!AC134</f>
        <v>7.0690599999999998E-4</v>
      </c>
      <c r="AI134" s="188">
        <f>[2]CZ_decarbplus_opex!AD134</f>
        <v>1.598246E-3</v>
      </c>
      <c r="AJ134" s="188">
        <f>[2]CZ_decarbplus_opex!AE134</f>
        <v>6.1035099999999997E-4</v>
      </c>
      <c r="AK134" s="188">
        <f>[2]CZ_decarbplus_opex!AF134</f>
        <v>1.315121E-3</v>
      </c>
      <c r="AL134" s="188">
        <f>[3]CZ_decarb_opex!E134</f>
        <v>1.54476722476357E-3</v>
      </c>
      <c r="AM134" s="188">
        <f>[3]CZ_decarb_opex!F134</f>
        <v>1.2845531852082601E-3</v>
      </c>
      <c r="AN134" s="188">
        <f>[2]CZ_decarbplus_opex!AG134</f>
        <v>2.0298650000000001E-3</v>
      </c>
      <c r="AO134" s="188">
        <f>[3]CZ_decarb_opex!G134</f>
        <v>9.2803477064927399E-4</v>
      </c>
      <c r="AP134" s="188">
        <f>[3]CZ_decarb_opex!H134</f>
        <v>1.1241400962766399E-3</v>
      </c>
      <c r="AQ134" s="188">
        <f>[2]CZ_decarbplus_opex!AH134</f>
        <v>1.1843540000000001E-3</v>
      </c>
      <c r="AR134" s="188">
        <f>[2]CZ_decarbplus_opex!AI134</f>
        <v>0</v>
      </c>
      <c r="AS134" s="188">
        <f>[2]CZ_decarbplus_opex!AJ134</f>
        <v>1.2126839999999999E-3</v>
      </c>
      <c r="AT134" s="188">
        <f>[2]CZ_decarbplus_opex!AK134</f>
        <v>6.3656699999999999E-4</v>
      </c>
      <c r="AU134" s="188">
        <f>[2]CZ_decarbplus_opex!AL134</f>
        <v>1.72325E-4</v>
      </c>
      <c r="AV134" s="188">
        <f>[2]CZ_decarbplus_opex!AM134</f>
        <v>1.52814E-4</v>
      </c>
      <c r="AW134" s="188">
        <f>[2]CZ_decarbplus_opex!AN134</f>
        <v>5.4564100000000003E-4</v>
      </c>
      <c r="AX134" s="188">
        <f>[2]CZ_decarbplus_opex!AO134</f>
        <v>0</v>
      </c>
      <c r="AY134" s="188">
        <f>[2]CZ_decarbplus_opex!AP134</f>
        <v>1.500288E-3</v>
      </c>
      <c r="AZ134" s="188">
        <f>[2]CZ_decarbplus_opex!AQ134</f>
        <v>0</v>
      </c>
      <c r="BA134" s="188">
        <f>[2]CZ_decarbplus_opex!AR134</f>
        <v>5.8759700000000003E-4</v>
      </c>
      <c r="BB134" s="188">
        <f>[2]CZ_decarbplus_opex!AS134</f>
        <v>6.8815599999999999E-4</v>
      </c>
      <c r="BC134" s="188">
        <f>[2]CZ_decarbplus_opex!AT134</f>
        <v>5.4593230000000003E-3</v>
      </c>
      <c r="BD134" s="188">
        <f>[2]CZ_decarbplus_opex!AU134</f>
        <v>2.3061520000000001E-3</v>
      </c>
      <c r="BE134" s="188">
        <f>[2]CZ_decarbplus_opex!AV134</f>
        <v>8.9437200000000005E-3</v>
      </c>
      <c r="BF134" s="188">
        <f>[2]CZ_decarbplus_opex!AW134</f>
        <v>2.5619050000000002E-3</v>
      </c>
      <c r="BG134" s="188">
        <f>[2]CZ_decarbplus_opex!AX134</f>
        <v>1.0800702000000001E-2</v>
      </c>
      <c r="BH134" s="188">
        <f>[3]CZ_decarb_opex!I134</f>
        <v>2.3763527019328799E-3</v>
      </c>
      <c r="BI134" s="188">
        <f>[2]CZ_decarbplus_opex!AY134</f>
        <v>6.7659700000000003E-4</v>
      </c>
      <c r="BJ134" s="188">
        <f>[2]CZ_decarbplus_opex!AZ134</f>
        <v>8.7464859999999995E-3</v>
      </c>
      <c r="BK134" s="188">
        <f>[2]CZ_decarbplus_opex!BA134</f>
        <v>2.6530680000000002E-3</v>
      </c>
      <c r="BL134" s="188">
        <f>[2]CZ_decarbplus_opex!BB134</f>
        <v>0</v>
      </c>
      <c r="BM134" s="188">
        <f>[3]CZ_decarb_opex!J134</f>
        <v>3.4716403063582701E-3</v>
      </c>
      <c r="BN134" s="188">
        <f>[3]CZ_decarb_opex!K134</f>
        <v>2.8530030498825098E-3</v>
      </c>
      <c r="BO134" s="188">
        <f>[3]CZ_decarb_opex!L134</f>
        <v>1.38485804657518E-3</v>
      </c>
      <c r="BP134" s="188">
        <f>[3]CZ_decarb_opex!M134</f>
        <v>2.22855820501433E-3</v>
      </c>
      <c r="BQ134" s="188">
        <f>[3]CZ_decarb_opex!N134</f>
        <v>3.14312872147303E-3</v>
      </c>
      <c r="BR134" s="188">
        <f>[3]CZ_decarb_opex!O134</f>
        <v>7.6756323689436898E-3</v>
      </c>
      <c r="BS134" s="188">
        <f>[3]CZ_decarb_opex!P134</f>
        <v>4.0958797802387696E-3</v>
      </c>
      <c r="BT134" s="188">
        <f>[3]CZ_decarb_opex!Q134</f>
        <v>1.1409057935692899E-3</v>
      </c>
      <c r="BU134" s="188">
        <f>[3]CZ_decarb_opex!R134</f>
        <v>2.8599243964498098E-3</v>
      </c>
      <c r="BV134" s="188">
        <f>[3]CZ_decarb_opex!S134</f>
        <v>2.8599243964498198E-3</v>
      </c>
      <c r="BW134" s="188">
        <f>[3]CZ_decarb_opex!T134</f>
        <v>1.1030836524414099E-2</v>
      </c>
      <c r="BX134" s="188">
        <f>[3]CZ_decarb_opex!U134</f>
        <v>2.0768312043669998E-5</v>
      </c>
      <c r="BY134" s="188">
        <f>[3]CZ_decarb_opex!V134</f>
        <v>7.2704342588888699E-6</v>
      </c>
      <c r="BZ134" s="188">
        <f>[2]CZ_decarbplus_opex!BC134</f>
        <v>3.3629240000000002E-3</v>
      </c>
      <c r="CA134" s="188">
        <f>[2]CZ_decarbplus_opex!BD134</f>
        <v>6.471933E-3</v>
      </c>
      <c r="CB134" s="188">
        <f>[2]CZ_decarbplus_opex!BE134</f>
        <v>5.2988039999999998E-3</v>
      </c>
      <c r="CC134" s="188">
        <f>[2]CZ_decarbplus_opex!BF134</f>
        <v>1.4838268E-2</v>
      </c>
      <c r="CD134" s="188">
        <f>[2]CZ_decarbplus_opex!BG134</f>
        <v>3.9705410000000002E-3</v>
      </c>
      <c r="CE134" s="188">
        <f>[2]CZ_decarbplus_opex!BH134</f>
        <v>3.6377354000000001E-2</v>
      </c>
      <c r="CF134" s="188">
        <f>[2]CZ_decarbplus_opex!BI134</f>
        <v>5.0934684000000001E-2</v>
      </c>
      <c r="CG134" s="188">
        <f>[2]CZ_decarbplus_opex!BJ134</f>
        <v>1.6204450000000001E-3</v>
      </c>
    </row>
    <row r="135" spans="1:85" x14ac:dyDescent="0.25">
      <c r="A135" s="5" t="s">
        <v>261</v>
      </c>
      <c r="B135" s="2" t="s">
        <v>260</v>
      </c>
      <c r="C135" s="1" t="s">
        <v>335</v>
      </c>
      <c r="D135" s="187">
        <f>[2]CZ_decarbplus_opex!B135</f>
        <v>8.4713200000000001E-4</v>
      </c>
      <c r="E135" s="187">
        <f>[2]CZ_decarbplus_opex!C135</f>
        <v>1.3093530000000001E-3</v>
      </c>
      <c r="F135" s="187">
        <f>[2]CZ_decarbplus_opex!D135</f>
        <v>7.0543699999999995E-4</v>
      </c>
      <c r="G135" s="187">
        <f>[2]CZ_decarbplus_opex!E135</f>
        <v>1.1302E-4</v>
      </c>
      <c r="H135" s="187">
        <f>[2]CZ_decarbplus_opex!F135</f>
        <v>2.3818999999999999E-4</v>
      </c>
      <c r="I135" s="187">
        <f>[2]CZ_decarbplus_opex!G135</f>
        <v>3.4887939999999999E-3</v>
      </c>
      <c r="J135" s="187">
        <f>[2]CZ_decarbplus_opex!H135</f>
        <v>4.8531210000000002E-3</v>
      </c>
      <c r="K135" s="187">
        <f>[2]CZ_decarbplus_opex!I135</f>
        <v>3.0251699999999998E-4</v>
      </c>
      <c r="L135" s="187">
        <f>[2]CZ_decarbplus_opex!J135</f>
        <v>3.7073280000000002E-3</v>
      </c>
      <c r="M135" s="187">
        <f>[2]CZ_decarbplus_opex!K135</f>
        <v>1.0200806999999999E-2</v>
      </c>
      <c r="N135" s="187">
        <f>[2]CZ_decarbplus_opex!L135</f>
        <v>5.988869E-3</v>
      </c>
      <c r="O135" s="187">
        <f>[2]CZ_decarbplus_opex!M135</f>
        <v>8.0723700000000004E-4</v>
      </c>
      <c r="P135" s="187">
        <f>[2]CZ_decarbplus_opex!N135</f>
        <v>1.522125E-3</v>
      </c>
      <c r="Q135" s="187">
        <f>[2]CZ_decarbplus_opex!O135</f>
        <v>2.8190700000000002E-4</v>
      </c>
      <c r="R135" s="187">
        <f>[2]CZ_decarbplus_opex!P135</f>
        <v>3.83693E-4</v>
      </c>
      <c r="S135" s="187">
        <f>[2]CZ_decarbplus_opex!Q135</f>
        <v>2.5653080000000001E-3</v>
      </c>
      <c r="T135" s="187">
        <f>[2]CZ_decarbplus_opex!R135</f>
        <v>2.9087800000000001E-3</v>
      </c>
      <c r="U135" s="187">
        <f>[2]CZ_decarbplus_opex!S135</f>
        <v>1.3232560000000001E-3</v>
      </c>
      <c r="V135" s="187">
        <f>[2]CZ_decarbplus_opex!T135</f>
        <v>1.745288E-3</v>
      </c>
      <c r="W135" s="187">
        <f>[2]CZ_decarbplus_opex!U135</f>
        <v>1.6872079999999999E-3</v>
      </c>
      <c r="X135" s="187">
        <f>[2]CZ_decarbplus_opex!V135</f>
        <v>3.1763859999999998E-3</v>
      </c>
      <c r="Y135" s="187">
        <f>[2]CZ_decarbplus_opex!W135</f>
        <v>2.4446E-4</v>
      </c>
      <c r="Z135" s="187">
        <f>[2]CZ_decarbplus_opex!X135</f>
        <v>1.834926E-3</v>
      </c>
      <c r="AA135" s="187">
        <f>[2]CZ_decarbplus_opex!Y135</f>
        <v>2.372093E-3</v>
      </c>
      <c r="AB135" s="188">
        <f>[3]CZ_decarb_opex!B135</f>
        <v>2.6358258976167699E-4</v>
      </c>
      <c r="AC135" s="188">
        <f>[3]CZ_decarb_opex!C135</f>
        <v>1.06082841810517E-3</v>
      </c>
      <c r="AD135" s="188">
        <f>[3]CZ_decarb_opex!D135</f>
        <v>1.0910998237931E-3</v>
      </c>
      <c r="AE135" s="188">
        <f>[2]CZ_decarbplus_opex!Z135</f>
        <v>1.1022880000000001E-3</v>
      </c>
      <c r="AF135" s="188">
        <f>[2]CZ_decarbplus_opex!AA135</f>
        <v>6.3848029999999997E-3</v>
      </c>
      <c r="AG135" s="188">
        <f>[2]CZ_decarbplus_opex!AB135</f>
        <v>1.57155E-4</v>
      </c>
      <c r="AH135" s="188">
        <f>[2]CZ_decarbplus_opex!AC135</f>
        <v>1.5108499999999999E-4</v>
      </c>
      <c r="AI135" s="188">
        <f>[2]CZ_decarbplus_opex!AD135</f>
        <v>3.2147300000000002E-4</v>
      </c>
      <c r="AJ135" s="188">
        <f>[2]CZ_decarbplus_opex!AE135</f>
        <v>3.6480200000000001E-4</v>
      </c>
      <c r="AK135" s="188">
        <f>[2]CZ_decarbplus_opex!AF135</f>
        <v>3.7278300000000001E-4</v>
      </c>
      <c r="AL135" s="188">
        <f>[3]CZ_decarb_opex!E135</f>
        <v>6.86149754086509E-4</v>
      </c>
      <c r="AM135" s="188">
        <f>[3]CZ_decarb_opex!F135</f>
        <v>6.8649699430410702E-4</v>
      </c>
      <c r="AN135" s="188">
        <f>[2]CZ_decarbplus_opex!AG135</f>
        <v>1.023801E-3</v>
      </c>
      <c r="AO135" s="188">
        <f>[3]CZ_decarb_opex!G135</f>
        <v>7.1951009809092701E-4</v>
      </c>
      <c r="AP135" s="188">
        <f>[3]CZ_decarb_opex!H135</f>
        <v>8.3310532107905701E-4</v>
      </c>
      <c r="AQ135" s="188">
        <f>[2]CZ_decarbplus_opex!AH135</f>
        <v>2.0959400000000001E-3</v>
      </c>
      <c r="AR135" s="188">
        <f>[2]CZ_decarbplus_opex!AI135</f>
        <v>0</v>
      </c>
      <c r="AS135" s="188">
        <f>[2]CZ_decarbplus_opex!AJ135</f>
        <v>1.063088E-3</v>
      </c>
      <c r="AT135" s="188">
        <f>[2]CZ_decarbplus_opex!AK135</f>
        <v>1.1782629999999999E-3</v>
      </c>
      <c r="AU135" s="188">
        <f>[2]CZ_decarbplus_opex!AL135</f>
        <v>1.9360199999999999E-4</v>
      </c>
      <c r="AV135" s="188">
        <f>[2]CZ_decarbplus_opex!AM135</f>
        <v>1.5788600000000001E-4</v>
      </c>
      <c r="AW135" s="188">
        <f>[2]CZ_decarbplus_opex!AN135</f>
        <v>8.50065E-4</v>
      </c>
      <c r="AX135" s="188">
        <f>[2]CZ_decarbplus_opex!AO135</f>
        <v>0</v>
      </c>
      <c r="AY135" s="188">
        <f>[2]CZ_decarbplus_opex!AP135</f>
        <v>2.3504929999999999E-3</v>
      </c>
      <c r="AZ135" s="188">
        <f>[2]CZ_decarbplus_opex!AQ135</f>
        <v>0</v>
      </c>
      <c r="BA135" s="188">
        <f>[2]CZ_decarbplus_opex!AR135</f>
        <v>1.276513E-3</v>
      </c>
      <c r="BB135" s="188">
        <f>[2]CZ_decarbplus_opex!AS135</f>
        <v>6.6615900000000004E-4</v>
      </c>
      <c r="BC135" s="188">
        <f>[2]CZ_decarbplus_opex!AT135</f>
        <v>5.6823639999999996E-3</v>
      </c>
      <c r="BD135" s="188">
        <f>[2]CZ_decarbplus_opex!AU135</f>
        <v>3.31002E-4</v>
      </c>
      <c r="BE135" s="188">
        <f>[2]CZ_decarbplus_opex!AV135</f>
        <v>1.427864E-3</v>
      </c>
      <c r="BF135" s="188">
        <f>[2]CZ_decarbplus_opex!AW135</f>
        <v>8.6047399999999996E-4</v>
      </c>
      <c r="BG135" s="188">
        <f>[2]CZ_decarbplus_opex!AX135</f>
        <v>3.4901839999999999E-3</v>
      </c>
      <c r="BH135" s="188">
        <f>[3]CZ_decarb_opex!I135</f>
        <v>1.4468681419810101E-3</v>
      </c>
      <c r="BI135" s="188">
        <f>[2]CZ_decarbplus_opex!AY135</f>
        <v>1.5566399999999999E-4</v>
      </c>
      <c r="BJ135" s="188">
        <f>[2]CZ_decarbplus_opex!AZ135</f>
        <v>2.9120639999999998E-3</v>
      </c>
      <c r="BK135" s="188">
        <f>[2]CZ_decarbplus_opex!BA135</f>
        <v>4.0177579999999997E-3</v>
      </c>
      <c r="BL135" s="188">
        <f>[2]CZ_decarbplus_opex!BB135</f>
        <v>0</v>
      </c>
      <c r="BM135" s="188">
        <f>[3]CZ_decarb_opex!J135</f>
        <v>1.8486940662318699E-4</v>
      </c>
      <c r="BN135" s="188">
        <f>[3]CZ_decarb_opex!K135</f>
        <v>1.7576815144218201E-4</v>
      </c>
      <c r="BO135" s="188">
        <f>[3]CZ_decarb_opex!L135</f>
        <v>1.1275241202503E-4</v>
      </c>
      <c r="BP135" s="188">
        <f>[3]CZ_decarb_opex!M135</f>
        <v>1.2788401710895901E-4</v>
      </c>
      <c r="BQ135" s="188">
        <f>[3]CZ_decarb_opex!N135</f>
        <v>1.4491103099860801E-4</v>
      </c>
      <c r="BR135" s="188">
        <f>[3]CZ_decarb_opex!O135</f>
        <v>1.03410332204303E-2</v>
      </c>
      <c r="BS135" s="188">
        <f>[3]CZ_decarb_opex!P135</f>
        <v>2.3070253281087401E-4</v>
      </c>
      <c r="BT135" s="188">
        <f>[3]CZ_decarb_opex!Q135</f>
        <v>2.1183193403486901E-4</v>
      </c>
      <c r="BU135" s="188">
        <f>[3]CZ_decarb_opex!R135</f>
        <v>1.4341962122937899E-4</v>
      </c>
      <c r="BV135" s="188">
        <f>[3]CZ_decarb_opex!S135</f>
        <v>1.4341962122937899E-4</v>
      </c>
      <c r="BW135" s="188">
        <f>[3]CZ_decarb_opex!T135</f>
        <v>2.4942438737497702E-3</v>
      </c>
      <c r="BX135" s="188">
        <f>[3]CZ_decarb_opex!U135</f>
        <v>5.3202803169035101E-5</v>
      </c>
      <c r="BY135" s="188">
        <f>[3]CZ_decarb_opex!V135</f>
        <v>1.30266321691755E-3</v>
      </c>
      <c r="BZ135" s="188">
        <f>[2]CZ_decarbplus_opex!BC135</f>
        <v>1.8321200000000001E-4</v>
      </c>
      <c r="CA135" s="188">
        <f>[2]CZ_decarbplus_opex!BD135</f>
        <v>1.6575100000000001E-4</v>
      </c>
      <c r="CB135" s="188">
        <f>[2]CZ_decarbplus_opex!BE135</f>
        <v>1.5120500000000001E-4</v>
      </c>
      <c r="CC135" s="188">
        <f>[2]CZ_decarbplus_opex!BF135</f>
        <v>5.91E-5</v>
      </c>
      <c r="CD135" s="188">
        <f>[2]CZ_decarbplus_opex!BG135</f>
        <v>2.1604999999999999E-4</v>
      </c>
      <c r="CE135" s="188">
        <f>[2]CZ_decarbplus_opex!BH135</f>
        <v>4.0563799999999999E-4</v>
      </c>
      <c r="CF135" s="188">
        <f>[2]CZ_decarbplus_opex!BI135</f>
        <v>7.547654E-3</v>
      </c>
      <c r="CG135" s="188">
        <f>[2]CZ_decarbplus_opex!BJ135</f>
        <v>5.1461900000000001E-3</v>
      </c>
    </row>
    <row r="136" spans="1:85" x14ac:dyDescent="0.25">
      <c r="A136" s="5" t="s">
        <v>263</v>
      </c>
      <c r="B136" s="2" t="s">
        <v>262</v>
      </c>
      <c r="C136" s="1" t="s">
        <v>335</v>
      </c>
      <c r="D136" s="187">
        <f>[2]CZ_decarbplus_opex!B136</f>
        <v>1.797344E-3</v>
      </c>
      <c r="E136" s="187">
        <f>[2]CZ_decarbplus_opex!C136</f>
        <v>7.2147900000000002E-4</v>
      </c>
      <c r="F136" s="187">
        <f>[2]CZ_decarbplus_opex!D136</f>
        <v>4.9409699999999998E-4</v>
      </c>
      <c r="G136" s="187">
        <f>[2]CZ_decarbplus_opex!E136</f>
        <v>5.9200000000000002E-5</v>
      </c>
      <c r="H136" s="187">
        <f>[2]CZ_decarbplus_opex!F136</f>
        <v>1.2736E-4</v>
      </c>
      <c r="I136" s="187">
        <f>[2]CZ_decarbplus_opex!G136</f>
        <v>1.251051E-3</v>
      </c>
      <c r="J136" s="187">
        <f>[2]CZ_decarbplus_opex!H136</f>
        <v>1.2461709999999999E-3</v>
      </c>
      <c r="K136" s="187">
        <f>[2]CZ_decarbplus_opex!I136</f>
        <v>1.72363E-4</v>
      </c>
      <c r="L136" s="187">
        <f>[2]CZ_decarbplus_opex!J136</f>
        <v>2.1878209999999999E-3</v>
      </c>
      <c r="M136" s="187">
        <f>[2]CZ_decarbplus_opex!K136</f>
        <v>7.1871239999999996E-3</v>
      </c>
      <c r="N136" s="187">
        <f>[2]CZ_decarbplus_opex!L136</f>
        <v>3.3407749999999998E-3</v>
      </c>
      <c r="O136" s="187">
        <f>[2]CZ_decarbplus_opex!M136</f>
        <v>2.8850437E-2</v>
      </c>
      <c r="P136" s="187">
        <f>[2]CZ_decarbplus_opex!N136</f>
        <v>1.9561719999999999E-3</v>
      </c>
      <c r="Q136" s="187">
        <f>[2]CZ_decarbplus_opex!O136</f>
        <v>1.7622199999999999E-4</v>
      </c>
      <c r="R136" s="187">
        <f>[2]CZ_decarbplus_opex!P136</f>
        <v>6.5625199999999996E-4</v>
      </c>
      <c r="S136" s="187">
        <f>[2]CZ_decarbplus_opex!Q136</f>
        <v>1.9115650000000001E-3</v>
      </c>
      <c r="T136" s="187">
        <f>[2]CZ_decarbplus_opex!R136</f>
        <v>2.048036E-3</v>
      </c>
      <c r="U136" s="187">
        <f>[2]CZ_decarbplus_opex!S136</f>
        <v>3.1777799999999998E-3</v>
      </c>
      <c r="V136" s="187">
        <f>[2]CZ_decarbplus_opex!T136</f>
        <v>3.7474449999999999E-3</v>
      </c>
      <c r="W136" s="187">
        <f>[2]CZ_decarbplus_opex!U136</f>
        <v>4.9167239999999999E-3</v>
      </c>
      <c r="X136" s="187">
        <f>[2]CZ_decarbplus_opex!V136</f>
        <v>2.8857206E-2</v>
      </c>
      <c r="Y136" s="187">
        <f>[2]CZ_decarbplus_opex!W136</f>
        <v>1.9809999999999999E-4</v>
      </c>
      <c r="Z136" s="187">
        <f>[2]CZ_decarbplus_opex!X136</f>
        <v>9.6736900000000004E-4</v>
      </c>
      <c r="AA136" s="187">
        <f>[2]CZ_decarbplus_opex!Y136</f>
        <v>1.1357159999999999E-3</v>
      </c>
      <c r="AB136" s="188">
        <f>[3]CZ_decarb_opex!B136</f>
        <v>1.4960155830675499E-4</v>
      </c>
      <c r="AC136" s="188">
        <f>[3]CZ_decarb_opex!C136</f>
        <v>6.6282191227511999E-4</v>
      </c>
      <c r="AD136" s="188">
        <f>[3]CZ_decarb_opex!D136</f>
        <v>1.1938653550007199E-3</v>
      </c>
      <c r="AE136" s="188">
        <f>[2]CZ_decarbplus_opex!Z136</f>
        <v>1.090852E-3</v>
      </c>
      <c r="AF136" s="188">
        <f>[2]CZ_decarbplus_opex!AA136</f>
        <v>4.0592170000000004E-3</v>
      </c>
      <c r="AG136" s="188">
        <f>[2]CZ_decarbplus_opex!AB136</f>
        <v>4.2586499999999999E-4</v>
      </c>
      <c r="AH136" s="188">
        <f>[2]CZ_decarbplus_opex!AC136</f>
        <v>8.4359099999999998E-4</v>
      </c>
      <c r="AI136" s="188">
        <f>[2]CZ_decarbplus_opex!AD136</f>
        <v>1.66092E-3</v>
      </c>
      <c r="AJ136" s="188">
        <f>[2]CZ_decarbplus_opex!AE136</f>
        <v>1.091358E-3</v>
      </c>
      <c r="AK136" s="188">
        <f>[2]CZ_decarbplus_opex!AF136</f>
        <v>1.198632E-3</v>
      </c>
      <c r="AL136" s="188">
        <f>[3]CZ_decarb_opex!E136</f>
        <v>1.0408441900777699E-3</v>
      </c>
      <c r="AM136" s="188">
        <f>[3]CZ_decarb_opex!F136</f>
        <v>9.7633186542052895E-4</v>
      </c>
      <c r="AN136" s="188">
        <f>[2]CZ_decarbplus_opex!AG136</f>
        <v>2.3786800000000002E-3</v>
      </c>
      <c r="AO136" s="188">
        <f>[3]CZ_decarb_opex!G136</f>
        <v>2.5564109694789999E-4</v>
      </c>
      <c r="AP136" s="188">
        <f>[3]CZ_decarb_opex!H136</f>
        <v>3.0576479487317301E-4</v>
      </c>
      <c r="AQ136" s="188">
        <f>[2]CZ_decarbplus_opex!AH136</f>
        <v>5.38643E-4</v>
      </c>
      <c r="AR136" s="188">
        <f>[2]CZ_decarbplus_opex!AI136</f>
        <v>0</v>
      </c>
      <c r="AS136" s="188">
        <f>[2]CZ_decarbplus_opex!AJ136</f>
        <v>3.1528699999999998E-4</v>
      </c>
      <c r="AT136" s="188">
        <f>[2]CZ_decarbplus_opex!AK136</f>
        <v>3.22329E-4</v>
      </c>
      <c r="AU136" s="188">
        <f>[2]CZ_decarbplus_opex!AL136</f>
        <v>6.9800000000000003E-5</v>
      </c>
      <c r="AV136" s="188">
        <f>[2]CZ_decarbplus_opex!AM136</f>
        <v>5.8199999999999998E-5</v>
      </c>
      <c r="AW136" s="188">
        <f>[2]CZ_decarbplus_opex!AN136</f>
        <v>2.2099199999999999E-4</v>
      </c>
      <c r="AX136" s="188">
        <f>[2]CZ_decarbplus_opex!AO136</f>
        <v>0</v>
      </c>
      <c r="AY136" s="188">
        <f>[2]CZ_decarbplus_opex!AP136</f>
        <v>5.2748300000000003E-4</v>
      </c>
      <c r="AZ136" s="188">
        <f>[2]CZ_decarbplus_opex!AQ136</f>
        <v>0</v>
      </c>
      <c r="BA136" s="188">
        <f>[2]CZ_decarbplus_opex!AR136</f>
        <v>5.1469299999999999E-4</v>
      </c>
      <c r="BB136" s="188">
        <f>[2]CZ_decarbplus_opex!AS136</f>
        <v>5.2769299999999998E-4</v>
      </c>
      <c r="BC136" s="188">
        <f>[2]CZ_decarbplus_opex!AT136</f>
        <v>3.919329E-3</v>
      </c>
      <c r="BD136" s="188">
        <f>[2]CZ_decarbplus_opex!AU136</f>
        <v>0.100960508</v>
      </c>
      <c r="BE136" s="188">
        <f>[2]CZ_decarbplus_opex!AV136</f>
        <v>4.5373389999999996E-3</v>
      </c>
      <c r="BF136" s="188">
        <f>[2]CZ_decarbplus_opex!AW136</f>
        <v>1.3795859999999999E-3</v>
      </c>
      <c r="BG136" s="188">
        <f>[2]CZ_decarbplus_opex!AX136</f>
        <v>2.506604E-3</v>
      </c>
      <c r="BH136" s="188">
        <f>[3]CZ_decarb_opex!I136</f>
        <v>3.18936928842057E-3</v>
      </c>
      <c r="BI136" s="188">
        <f>[2]CZ_decarbplus_opex!AY136</f>
        <v>3.6133139999999998E-3</v>
      </c>
      <c r="BJ136" s="188">
        <f>[2]CZ_decarbplus_opex!AZ136</f>
        <v>2.533488E-3</v>
      </c>
      <c r="BK136" s="188">
        <f>[2]CZ_decarbplus_opex!BA136</f>
        <v>2.1084799999999998E-3</v>
      </c>
      <c r="BL136" s="188">
        <f>[2]CZ_decarbplus_opex!BB136</f>
        <v>0</v>
      </c>
      <c r="BM136" s="188">
        <f>[3]CZ_decarb_opex!J136</f>
        <v>1.9617939705464799E-3</v>
      </c>
      <c r="BN136" s="188">
        <f>[3]CZ_decarb_opex!K136</f>
        <v>1.1213775237672401E-3</v>
      </c>
      <c r="BO136" s="188">
        <f>[3]CZ_decarb_opex!L136</f>
        <v>9.9799791070215109E-4</v>
      </c>
      <c r="BP136" s="188">
        <f>[3]CZ_decarb_opex!M136</f>
        <v>8.3541995756067897E-4</v>
      </c>
      <c r="BQ136" s="188">
        <f>[3]CZ_decarb_opex!N136</f>
        <v>6.80213761210968E-4</v>
      </c>
      <c r="BR136" s="188">
        <f>[3]CZ_decarb_opex!O136</f>
        <v>1.68380714826097E-3</v>
      </c>
      <c r="BS136" s="188">
        <f>[3]CZ_decarb_opex!P136</f>
        <v>6.2290463151473002E-4</v>
      </c>
      <c r="BT136" s="188">
        <f>[3]CZ_decarb_opex!Q136</f>
        <v>2.5822555188074799E-3</v>
      </c>
      <c r="BU136" s="188">
        <f>[3]CZ_decarb_opex!R136</f>
        <v>9.70932418694744E-5</v>
      </c>
      <c r="BV136" s="188">
        <f>[3]CZ_decarb_opex!S136</f>
        <v>9.7093241869474495E-5</v>
      </c>
      <c r="BW136" s="188">
        <f>[3]CZ_decarb_opex!T136</f>
        <v>4.3338343501535901E-3</v>
      </c>
      <c r="BX136" s="188">
        <f>[3]CZ_decarb_opex!U136</f>
        <v>4.1902666300105103E-5</v>
      </c>
      <c r="BY136" s="188">
        <f>[3]CZ_decarb_opex!V136</f>
        <v>1.0842155558097401E-4</v>
      </c>
      <c r="BZ136" s="188">
        <f>[2]CZ_decarbplus_opex!BC136</f>
        <v>1.4852610000000001E-3</v>
      </c>
      <c r="CA136" s="188">
        <f>[2]CZ_decarbplus_opex!BD136</f>
        <v>1.5767120000000001E-3</v>
      </c>
      <c r="CB136" s="188">
        <f>[2]CZ_decarbplus_opex!BE136</f>
        <v>1.3349600000000001E-3</v>
      </c>
      <c r="CC136" s="188">
        <f>[2]CZ_decarbplus_opex!BF136</f>
        <v>5.11127E-4</v>
      </c>
      <c r="CD136" s="188">
        <f>[2]CZ_decarbplus_opex!BG136</f>
        <v>1.16351E-3</v>
      </c>
      <c r="CE136" s="188">
        <f>[2]CZ_decarbplus_opex!BH136</f>
        <v>1.196679E-3</v>
      </c>
      <c r="CF136" s="188">
        <f>[2]CZ_decarbplus_opex!BI136</f>
        <v>1.9516690000000001E-3</v>
      </c>
      <c r="CG136" s="188">
        <f>[2]CZ_decarbplus_opex!BJ136</f>
        <v>2.39471E-4</v>
      </c>
    </row>
    <row r="137" spans="1:85" x14ac:dyDescent="0.25">
      <c r="A137" s="5" t="s">
        <v>265</v>
      </c>
      <c r="B137" s="2" t="s">
        <v>264</v>
      </c>
      <c r="C137" s="1" t="s">
        <v>335</v>
      </c>
      <c r="D137" s="187">
        <f>[2]CZ_decarbplus_opex!B137</f>
        <v>5.7319300000000005E-4</v>
      </c>
      <c r="E137" s="187">
        <f>[2]CZ_decarbplus_opex!C137</f>
        <v>5.8499999999999999E-5</v>
      </c>
      <c r="F137" s="187">
        <f>[2]CZ_decarbplus_opex!D137</f>
        <v>3.9199999999999997E-5</v>
      </c>
      <c r="G137" s="187">
        <f>[2]CZ_decarbplus_opex!E137</f>
        <v>2.0000000000000002E-5</v>
      </c>
      <c r="H137" s="187">
        <f>[2]CZ_decarbplus_opex!F137</f>
        <v>1.2099999999999999E-5</v>
      </c>
      <c r="I137" s="187">
        <f>[2]CZ_decarbplus_opex!G137</f>
        <v>5.8300000000000001E-5</v>
      </c>
      <c r="J137" s="187">
        <f>[2]CZ_decarbplus_opex!H137</f>
        <v>2.8076000000000002E-4</v>
      </c>
      <c r="K137" s="187">
        <f>[2]CZ_decarbplus_opex!I137</f>
        <v>1.7099999999999999E-5</v>
      </c>
      <c r="L137" s="187">
        <f>[2]CZ_decarbplus_opex!J137</f>
        <v>2.4057899999999999E-4</v>
      </c>
      <c r="M137" s="187">
        <f>[2]CZ_decarbplus_opex!K137</f>
        <v>2.7142900000000001E-4</v>
      </c>
      <c r="N137" s="187">
        <f>[2]CZ_decarbplus_opex!L137</f>
        <v>2.9870999999999999E-4</v>
      </c>
      <c r="O137" s="187">
        <f>[2]CZ_decarbplus_opex!M137</f>
        <v>2.7596600000000002E-3</v>
      </c>
      <c r="P137" s="187">
        <f>[2]CZ_decarbplus_opex!N137</f>
        <v>1.175836E-3</v>
      </c>
      <c r="Q137" s="187">
        <f>[2]CZ_decarbplus_opex!O137</f>
        <v>7.7000000000000001E-5</v>
      </c>
      <c r="R137" s="187">
        <f>[2]CZ_decarbplus_opex!P137</f>
        <v>7.2100000000000004E-5</v>
      </c>
      <c r="S137" s="187">
        <f>[2]CZ_decarbplus_opex!Q137</f>
        <v>5.5600000000000003E-5</v>
      </c>
      <c r="T137" s="187">
        <f>[2]CZ_decarbplus_opex!R137</f>
        <v>6.0999999999999999E-5</v>
      </c>
      <c r="U137" s="187">
        <f>[2]CZ_decarbplus_opex!S137</f>
        <v>5.6799999999999998E-5</v>
      </c>
      <c r="V137" s="187">
        <f>[2]CZ_decarbplus_opex!T137</f>
        <v>6.7299999999999996E-5</v>
      </c>
      <c r="W137" s="187">
        <f>[2]CZ_decarbplus_opex!U137</f>
        <v>4.3900000000000003E-5</v>
      </c>
      <c r="X137" s="187">
        <f>[2]CZ_decarbplus_opex!V137</f>
        <v>1.05241E-4</v>
      </c>
      <c r="Y137" s="187">
        <f>[2]CZ_decarbplus_opex!W137</f>
        <v>6.9900000000000005E-5</v>
      </c>
      <c r="Z137" s="187">
        <f>[2]CZ_decarbplus_opex!X137</f>
        <v>4.56732E-4</v>
      </c>
      <c r="AA137" s="187">
        <f>[2]CZ_decarbplus_opex!Y137</f>
        <v>1.38341E-4</v>
      </c>
      <c r="AB137" s="188">
        <f>[3]CZ_decarb_opex!B137</f>
        <v>3.0303699308794999E-5</v>
      </c>
      <c r="AC137" s="188">
        <f>[3]CZ_decarb_opex!C137</f>
        <v>4.3149265432748798E-4</v>
      </c>
      <c r="AD137" s="188">
        <f>[3]CZ_decarb_opex!D137</f>
        <v>1.6469590935389801E-3</v>
      </c>
      <c r="AE137" s="188">
        <f>[2]CZ_decarbplus_opex!Z137</f>
        <v>1.480299E-3</v>
      </c>
      <c r="AF137" s="188">
        <f>[2]CZ_decarbplus_opex!AA137</f>
        <v>2.7584340000000001E-3</v>
      </c>
      <c r="AG137" s="188">
        <f>[2]CZ_decarbplus_opex!AB137</f>
        <v>3.2134600000000002E-4</v>
      </c>
      <c r="AH137" s="188">
        <f>[2]CZ_decarbplus_opex!AC137</f>
        <v>2.05606E-4</v>
      </c>
      <c r="AI137" s="188">
        <f>[2]CZ_decarbplus_opex!AD137</f>
        <v>2.1553499999999999E-4</v>
      </c>
      <c r="AJ137" s="188">
        <f>[2]CZ_decarbplus_opex!AE137</f>
        <v>8.9245500000000001E-4</v>
      </c>
      <c r="AK137" s="188">
        <f>[2]CZ_decarbplus_opex!AF137</f>
        <v>8.5972100000000003E-4</v>
      </c>
      <c r="AL137" s="188">
        <f>[3]CZ_decarb_opex!E137</f>
        <v>8.8470407843702298E-4</v>
      </c>
      <c r="AM137" s="188">
        <f>[3]CZ_decarb_opex!F137</f>
        <v>8.4283152749599604E-4</v>
      </c>
      <c r="AN137" s="188">
        <f>[2]CZ_decarbplus_opex!AG137</f>
        <v>1.5827300000000001E-3</v>
      </c>
      <c r="AO137" s="188">
        <f>[3]CZ_decarb_opex!G137</f>
        <v>2.1720555973695499E-4</v>
      </c>
      <c r="AP137" s="188">
        <f>[3]CZ_decarb_opex!H137</f>
        <v>2.5843160810165599E-4</v>
      </c>
      <c r="AQ137" s="188">
        <f>[2]CZ_decarbplus_opex!AH137</f>
        <v>1.82616E-4</v>
      </c>
      <c r="AR137" s="188">
        <f>[2]CZ_decarbplus_opex!AI137</f>
        <v>0</v>
      </c>
      <c r="AS137" s="188">
        <f>[2]CZ_decarbplus_opex!AJ137</f>
        <v>1.8246000000000001E-4</v>
      </c>
      <c r="AT137" s="188">
        <f>[2]CZ_decarbplus_opex!AK137</f>
        <v>1.8984399999999999E-4</v>
      </c>
      <c r="AU137" s="188">
        <f>[2]CZ_decarbplus_opex!AL137</f>
        <v>2.9300000000000001E-5</v>
      </c>
      <c r="AV137" s="188">
        <f>[2]CZ_decarbplus_opex!AM137</f>
        <v>2.2799999999999999E-5</v>
      </c>
      <c r="AW137" s="188">
        <f>[2]CZ_decarbplus_opex!AN137</f>
        <v>7.8100000000000001E-5</v>
      </c>
      <c r="AX137" s="188">
        <f>[2]CZ_decarbplus_opex!AO137</f>
        <v>0</v>
      </c>
      <c r="AY137" s="188">
        <f>[2]CZ_decarbplus_opex!AP137</f>
        <v>8.3499999999999997E-5</v>
      </c>
      <c r="AZ137" s="188">
        <f>[2]CZ_decarbplus_opex!AQ137</f>
        <v>0</v>
      </c>
      <c r="BA137" s="188">
        <f>[2]CZ_decarbplus_opex!AR137</f>
        <v>1.08007E-4</v>
      </c>
      <c r="BB137" s="188">
        <f>[2]CZ_decarbplus_opex!AS137</f>
        <v>1.29276E-4</v>
      </c>
      <c r="BC137" s="188">
        <f>[2]CZ_decarbplus_opex!AT137</f>
        <v>2.1430920000000001E-3</v>
      </c>
      <c r="BD137" s="188">
        <f>[2]CZ_decarbplus_opex!AU137</f>
        <v>1.17102E-4</v>
      </c>
      <c r="BE137" s="188">
        <f>[2]CZ_decarbplus_opex!AV137</f>
        <v>9.1799999999999995E-5</v>
      </c>
      <c r="BF137" s="188">
        <f>[2]CZ_decarbplus_opex!AW137</f>
        <v>1.3837019999999999E-3</v>
      </c>
      <c r="BG137" s="188">
        <f>[2]CZ_decarbplus_opex!AX137</f>
        <v>9.3917600000000001E-4</v>
      </c>
      <c r="BH137" s="188">
        <f>[3]CZ_decarb_opex!I137</f>
        <v>5.1935958327963896E-3</v>
      </c>
      <c r="BI137" s="188">
        <f>[2]CZ_decarbplus_opex!AY137</f>
        <v>2.7759099999999999E-4</v>
      </c>
      <c r="BJ137" s="188">
        <f>[2]CZ_decarbplus_opex!AZ137</f>
        <v>1.4007000000000001E-4</v>
      </c>
      <c r="BK137" s="188">
        <f>[2]CZ_decarbplus_opex!BA137</f>
        <v>3.6300000000000001E-5</v>
      </c>
      <c r="BL137" s="188">
        <f>[2]CZ_decarbplus_opex!BB137</f>
        <v>0</v>
      </c>
      <c r="BM137" s="188">
        <f>[3]CZ_decarb_opex!J137</f>
        <v>4.6305943475033903E-5</v>
      </c>
      <c r="BN137" s="188">
        <f>[3]CZ_decarb_opex!K137</f>
        <v>7.0516115204946305E-5</v>
      </c>
      <c r="BO137" s="188">
        <f>[3]CZ_decarb_opex!L137</f>
        <v>2.2491688371882301E-5</v>
      </c>
      <c r="BP137" s="188">
        <f>[3]CZ_decarb_opex!M137</f>
        <v>2.4489170962318699E-5</v>
      </c>
      <c r="BQ137" s="188">
        <f>[3]CZ_decarb_opex!N137</f>
        <v>2.1492293904240999E-5</v>
      </c>
      <c r="BR137" s="188">
        <f>[3]CZ_decarb_opex!O137</f>
        <v>2.07165589363515E-5</v>
      </c>
      <c r="BS137" s="188">
        <f>[3]CZ_decarb_opex!P137</f>
        <v>3.7762293671244497E-5</v>
      </c>
      <c r="BT137" s="188">
        <f>[3]CZ_decarb_opex!Q137</f>
        <v>3.0985933257110298E-4</v>
      </c>
      <c r="BU137" s="188">
        <f>[3]CZ_decarb_opex!R137</f>
        <v>1.9464092928666602E-5</v>
      </c>
      <c r="BV137" s="188">
        <f>[3]CZ_decarb_opex!S137</f>
        <v>1.94640929286667E-5</v>
      </c>
      <c r="BW137" s="188">
        <f>[3]CZ_decarb_opex!T137</f>
        <v>2.4100716838055202E-3</v>
      </c>
      <c r="BX137" s="188">
        <f>[3]CZ_decarb_opex!U137</f>
        <v>8.8019947467268398E-6</v>
      </c>
      <c r="BY137" s="188">
        <f>[3]CZ_decarb_opex!V137</f>
        <v>2.4266902608108699E-5</v>
      </c>
      <c r="BZ137" s="188">
        <f>[2]CZ_decarbplus_opex!BC137</f>
        <v>4.0899999999999998E-5</v>
      </c>
      <c r="CA137" s="188">
        <f>[2]CZ_decarbplus_opex!BD137</f>
        <v>3.2700000000000002E-5</v>
      </c>
      <c r="CB137" s="188">
        <f>[2]CZ_decarbplus_opex!BE137</f>
        <v>2.8200000000000001E-5</v>
      </c>
      <c r="CC137" s="188">
        <f>[2]CZ_decarbplus_opex!BF137</f>
        <v>1.5299999999999999E-5</v>
      </c>
      <c r="CD137" s="188">
        <f>[2]CZ_decarbplus_opex!BG137</f>
        <v>8.6899999999999998E-5</v>
      </c>
      <c r="CE137" s="188">
        <f>[2]CZ_decarbplus_opex!BH137</f>
        <v>1.9934600000000001E-4</v>
      </c>
      <c r="CF137" s="188">
        <f>[2]CZ_decarbplus_opex!BI137</f>
        <v>3.8005299999999999E-4</v>
      </c>
      <c r="CG137" s="188">
        <f>[2]CZ_decarbplus_opex!BJ137</f>
        <v>1.83129E-4</v>
      </c>
    </row>
    <row r="138" spans="1:85" x14ac:dyDescent="0.25">
      <c r="A138" s="5" t="s">
        <v>267</v>
      </c>
      <c r="B138" s="2" t="s">
        <v>266</v>
      </c>
      <c r="C138" s="1" t="s">
        <v>335</v>
      </c>
      <c r="D138" s="187">
        <f>[2]CZ_decarbplus_opex!B138</f>
        <v>0.28456901299999998</v>
      </c>
      <c r="E138" s="187">
        <f>[2]CZ_decarbplus_opex!C138</f>
        <v>2.6622863E-2</v>
      </c>
      <c r="F138" s="187">
        <f>[2]CZ_decarbplus_opex!D138</f>
        <v>1.3583289E-2</v>
      </c>
      <c r="G138" s="187">
        <f>[2]CZ_decarbplus_opex!E138</f>
        <v>2.139784E-3</v>
      </c>
      <c r="H138" s="187">
        <f>[2]CZ_decarbplus_opex!F138</f>
        <v>4.6907299999999997E-3</v>
      </c>
      <c r="I138" s="187">
        <f>[2]CZ_decarbplus_opex!G138</f>
        <v>2.3096483000000001E-2</v>
      </c>
      <c r="J138" s="187">
        <f>[2]CZ_decarbplus_opex!H138</f>
        <v>0.139136172</v>
      </c>
      <c r="K138" s="187">
        <f>[2]CZ_decarbplus_opex!I138</f>
        <v>7.0937159999999999E-3</v>
      </c>
      <c r="L138" s="187">
        <f>[2]CZ_decarbplus_opex!J138</f>
        <v>2.0290374999999999E-2</v>
      </c>
      <c r="M138" s="187">
        <f>[2]CZ_decarbplus_opex!K138</f>
        <v>3.6457121000000002E-2</v>
      </c>
      <c r="N138" s="187">
        <f>[2]CZ_decarbplus_opex!L138</f>
        <v>2.2012245999999999E-2</v>
      </c>
      <c r="O138" s="187">
        <f>[2]CZ_decarbplus_opex!M138</f>
        <v>0.107272519</v>
      </c>
      <c r="P138" s="187">
        <f>[2]CZ_decarbplus_opex!N138</f>
        <v>2.6706654999999999E-2</v>
      </c>
      <c r="Q138" s="187">
        <f>[2]CZ_decarbplus_opex!O138</f>
        <v>6.0268250000000004E-3</v>
      </c>
      <c r="R138" s="187">
        <f>[2]CZ_decarbplus_opex!P138</f>
        <v>2.0092460000000001E-3</v>
      </c>
      <c r="S138" s="187">
        <f>[2]CZ_decarbplus_opex!Q138</f>
        <v>9.5769380000000001E-3</v>
      </c>
      <c r="T138" s="187">
        <f>[2]CZ_decarbplus_opex!R138</f>
        <v>7.9459160000000008E-3</v>
      </c>
      <c r="U138" s="187">
        <f>[2]CZ_decarbplus_opex!S138</f>
        <v>1.2439156999999999E-2</v>
      </c>
      <c r="V138" s="187">
        <f>[2]CZ_decarbplus_opex!T138</f>
        <v>1.4279811E-2</v>
      </c>
      <c r="W138" s="187">
        <f>[2]CZ_decarbplus_opex!U138</f>
        <v>9.583421E-3</v>
      </c>
      <c r="X138" s="187">
        <f>[2]CZ_decarbplus_opex!V138</f>
        <v>3.7228004000000002E-2</v>
      </c>
      <c r="Y138" s="187">
        <f>[2]CZ_decarbplus_opex!W138</f>
        <v>1.9970650000000001E-3</v>
      </c>
      <c r="Z138" s="187">
        <f>[2]CZ_decarbplus_opex!X138</f>
        <v>7.1748560000000003E-3</v>
      </c>
      <c r="AA138" s="187">
        <f>[2]CZ_decarbplus_opex!Y138</f>
        <v>2.8680569999999998E-3</v>
      </c>
      <c r="AB138" s="188">
        <f>[3]CZ_decarb_opex!B138</f>
        <v>2.7523979603527099E-3</v>
      </c>
      <c r="AC138" s="188">
        <f>[3]CZ_decarb_opex!C138</f>
        <v>3.2864332707457103E-2</v>
      </c>
      <c r="AD138" s="188">
        <f>[3]CZ_decarb_opex!D138</f>
        <v>4.1270669160376701E-2</v>
      </c>
      <c r="AE138" s="188">
        <f>[2]CZ_decarbplus_opex!Z138</f>
        <v>3.8156677999999999E-2</v>
      </c>
      <c r="AF138" s="188">
        <f>[2]CZ_decarbplus_opex!AA138</f>
        <v>6.7545684999999994E-2</v>
      </c>
      <c r="AG138" s="188">
        <f>[2]CZ_decarbplus_opex!AB138</f>
        <v>1.492541E-2</v>
      </c>
      <c r="AH138" s="188">
        <f>[2]CZ_decarbplus_opex!AC138</f>
        <v>1.1441420000000001E-2</v>
      </c>
      <c r="AI138" s="188">
        <f>[2]CZ_decarbplus_opex!AD138</f>
        <v>2.4164973999999999E-2</v>
      </c>
      <c r="AJ138" s="188">
        <f>[2]CZ_decarbplus_opex!AE138</f>
        <v>6.0963450000000004E-3</v>
      </c>
      <c r="AK138" s="188">
        <f>[2]CZ_decarbplus_opex!AF138</f>
        <v>1.0751223000000001E-2</v>
      </c>
      <c r="AL138" s="188">
        <f>[3]CZ_decarb_opex!E138</f>
        <v>1.7195063170659601E-2</v>
      </c>
      <c r="AM138" s="188">
        <f>[3]CZ_decarb_opex!F138</f>
        <v>1.6633478857704598E-2</v>
      </c>
      <c r="AN138" s="188">
        <f>[2]CZ_decarbplus_opex!AG138</f>
        <v>1.7201658000000002E-2</v>
      </c>
      <c r="AO138" s="188">
        <f>[3]CZ_decarb_opex!G138</f>
        <v>5.7703633663306999E-3</v>
      </c>
      <c r="AP138" s="188">
        <f>[3]CZ_decarb_opex!H138</f>
        <v>6.9467099744618E-3</v>
      </c>
      <c r="AQ138" s="188">
        <f>[2]CZ_decarbplus_opex!AH138</f>
        <v>8.2253420000000001E-3</v>
      </c>
      <c r="AR138" s="188">
        <f>[2]CZ_decarbplus_opex!AI138</f>
        <v>0</v>
      </c>
      <c r="AS138" s="188">
        <f>[2]CZ_decarbplus_opex!AJ138</f>
        <v>9.1798309999999994E-3</v>
      </c>
      <c r="AT138" s="188">
        <f>[2]CZ_decarbplus_opex!AK138</f>
        <v>1.0108331999999999E-2</v>
      </c>
      <c r="AU138" s="188">
        <f>[2]CZ_decarbplus_opex!AL138</f>
        <v>1.2166810000000001E-3</v>
      </c>
      <c r="AV138" s="188">
        <f>[2]CZ_decarbplus_opex!AM138</f>
        <v>9.5820699999999998E-4</v>
      </c>
      <c r="AW138" s="188">
        <f>[2]CZ_decarbplus_opex!AN138</f>
        <v>4.3933779999999999E-3</v>
      </c>
      <c r="AX138" s="188">
        <f>[2]CZ_decarbplus_opex!AO138</f>
        <v>0</v>
      </c>
      <c r="AY138" s="188">
        <f>[2]CZ_decarbplus_opex!AP138</f>
        <v>4.797305E-3</v>
      </c>
      <c r="AZ138" s="188">
        <f>[2]CZ_decarbplus_opex!AQ138</f>
        <v>0</v>
      </c>
      <c r="BA138" s="188">
        <f>[2]CZ_decarbplus_opex!AR138</f>
        <v>5.4301410000000003E-3</v>
      </c>
      <c r="BB138" s="188">
        <f>[2]CZ_decarbplus_opex!AS138</f>
        <v>2.4273009000000002E-2</v>
      </c>
      <c r="BC138" s="188">
        <f>[2]CZ_decarbplus_opex!AT138</f>
        <v>3.1095550999999999E-2</v>
      </c>
      <c r="BD138" s="188">
        <f>[2]CZ_decarbplus_opex!AU138</f>
        <v>7.4830920000000002E-3</v>
      </c>
      <c r="BE138" s="188">
        <f>[2]CZ_decarbplus_opex!AV138</f>
        <v>1.1989088E-2</v>
      </c>
      <c r="BF138" s="188">
        <f>[2]CZ_decarbplus_opex!AW138</f>
        <v>4.2948730000000003E-3</v>
      </c>
      <c r="BG138" s="188">
        <f>[2]CZ_decarbplus_opex!AX138</f>
        <v>1.6605590999999999E-2</v>
      </c>
      <c r="BH138" s="188">
        <f>[3]CZ_decarb_opex!I138</f>
        <v>1.53333405084879E-2</v>
      </c>
      <c r="BI138" s="188">
        <f>[2]CZ_decarbplus_opex!AY138</f>
        <v>7.6245949999999996E-3</v>
      </c>
      <c r="BJ138" s="188">
        <f>[2]CZ_decarbplus_opex!AZ138</f>
        <v>3.6045252999999999E-2</v>
      </c>
      <c r="BK138" s="188">
        <f>[2]CZ_decarbplus_opex!BA138</f>
        <v>6.8829160000000002E-3</v>
      </c>
      <c r="BL138" s="188">
        <f>[2]CZ_decarbplus_opex!BB138</f>
        <v>0</v>
      </c>
      <c r="BM138" s="188">
        <f>[3]CZ_decarb_opex!J138</f>
        <v>1.2614634716876899E-2</v>
      </c>
      <c r="BN138" s="188">
        <f>[3]CZ_decarb_opex!K138</f>
        <v>1.67888310715298E-2</v>
      </c>
      <c r="BO138" s="188">
        <f>[3]CZ_decarb_opex!L138</f>
        <v>7.9455618422627702E-3</v>
      </c>
      <c r="BP138" s="188">
        <f>[3]CZ_decarb_opex!M138</f>
        <v>7.6307150830147797E-3</v>
      </c>
      <c r="BQ138" s="188">
        <f>[3]CZ_decarb_opex!N138</f>
        <v>7.9956982698718808E-3</v>
      </c>
      <c r="BR138" s="188">
        <f>[3]CZ_decarb_opex!O138</f>
        <v>1.1569284697528499E-2</v>
      </c>
      <c r="BS138" s="188">
        <f>[3]CZ_decarb_opex!P138</f>
        <v>1.0080028698602099E-2</v>
      </c>
      <c r="BT138" s="188">
        <f>[3]CZ_decarb_opex!Q138</f>
        <v>1.5281348986481799E-2</v>
      </c>
      <c r="BU138" s="188">
        <f>[3]CZ_decarb_opex!R138</f>
        <v>9.0722446373195601E-3</v>
      </c>
      <c r="BV138" s="188">
        <f>[3]CZ_decarb_opex!S138</f>
        <v>9.0722446373195601E-3</v>
      </c>
      <c r="BW138" s="188">
        <f>[3]CZ_decarb_opex!T138</f>
        <v>6.14616381630207E-2</v>
      </c>
      <c r="BX138" s="188">
        <f>[3]CZ_decarb_opex!U138</f>
        <v>1.2390393633699101E-4</v>
      </c>
      <c r="BY138" s="188">
        <f>[3]CZ_decarb_opex!V138</f>
        <v>1.3907558653986001E-4</v>
      </c>
      <c r="BZ138" s="188">
        <f>[2]CZ_decarbplus_opex!BC138</f>
        <v>1.2469859999999999E-2</v>
      </c>
      <c r="CA138" s="188">
        <f>[2]CZ_decarbplus_opex!BD138</f>
        <v>1.2193269E-2</v>
      </c>
      <c r="CB138" s="188">
        <f>[2]CZ_decarbplus_opex!BE138</f>
        <v>1.0699669E-2</v>
      </c>
      <c r="CC138" s="188">
        <f>[2]CZ_decarbplus_opex!BF138</f>
        <v>1.2303524999999999E-2</v>
      </c>
      <c r="CD138" s="188">
        <f>[2]CZ_decarbplus_opex!BG138</f>
        <v>1.5708082000000002E-2</v>
      </c>
      <c r="CE138" s="188">
        <f>[2]CZ_decarbplus_opex!BH138</f>
        <v>8.7097489E-2</v>
      </c>
      <c r="CF138" s="188">
        <f>[2]CZ_decarbplus_opex!BI138</f>
        <v>0.15068549000000001</v>
      </c>
      <c r="CG138" s="188">
        <f>[2]CZ_decarbplus_opex!BJ138</f>
        <v>2.6571856000000001E-2</v>
      </c>
    </row>
    <row r="139" spans="1:85" x14ac:dyDescent="0.25">
      <c r="A139" s="5" t="s">
        <v>269</v>
      </c>
      <c r="B139" s="2" t="s">
        <v>268</v>
      </c>
      <c r="C139" s="1" t="s">
        <v>335</v>
      </c>
      <c r="D139" s="187">
        <f>[2]CZ_decarbplus_opex!B139</f>
        <v>1.6117400000000001E-4</v>
      </c>
      <c r="E139" s="187">
        <f>[2]CZ_decarbplus_opex!C139</f>
        <v>1.57035E-4</v>
      </c>
      <c r="F139" s="187">
        <f>[2]CZ_decarbplus_opex!D139</f>
        <v>8.7600000000000002E-5</v>
      </c>
      <c r="G139" s="187">
        <f>[2]CZ_decarbplus_opex!E139</f>
        <v>8.5199999999999997E-6</v>
      </c>
      <c r="H139" s="187">
        <f>[2]CZ_decarbplus_opex!F139</f>
        <v>2.2099999999999998E-5</v>
      </c>
      <c r="I139" s="187">
        <f>[2]CZ_decarbplus_opex!G139</f>
        <v>3.2239200000000001E-4</v>
      </c>
      <c r="J139" s="187">
        <f>[2]CZ_decarbplus_opex!H139</f>
        <v>3.39923E-4</v>
      </c>
      <c r="K139" s="187">
        <f>[2]CZ_decarbplus_opex!I139</f>
        <v>2.48E-5</v>
      </c>
      <c r="L139" s="187">
        <f>[2]CZ_decarbplus_opex!J139</f>
        <v>2.7365000000000001E-4</v>
      </c>
      <c r="M139" s="187">
        <f>[2]CZ_decarbplus_opex!K139</f>
        <v>8.7032400000000001E-4</v>
      </c>
      <c r="N139" s="187">
        <f>[2]CZ_decarbplus_opex!L139</f>
        <v>7.9120299999999998E-4</v>
      </c>
      <c r="O139" s="187">
        <f>[2]CZ_decarbplus_opex!M139</f>
        <v>1.667008E-3</v>
      </c>
      <c r="P139" s="187">
        <f>[2]CZ_decarbplus_opex!N139</f>
        <v>8.5979399999999999E-4</v>
      </c>
      <c r="Q139" s="187">
        <f>[2]CZ_decarbplus_opex!O139</f>
        <v>6.3360399999999996E-4</v>
      </c>
      <c r="R139" s="187">
        <f>[2]CZ_decarbplus_opex!P139</f>
        <v>3.1119699999999998E-4</v>
      </c>
      <c r="S139" s="187">
        <f>[2]CZ_decarbplus_opex!Q139</f>
        <v>3.0181869999999999E-3</v>
      </c>
      <c r="T139" s="187">
        <f>[2]CZ_decarbplus_opex!R139</f>
        <v>2.5450199999999998E-4</v>
      </c>
      <c r="U139" s="187">
        <f>[2]CZ_decarbplus_opex!S139</f>
        <v>1.443511E-3</v>
      </c>
      <c r="V139" s="187">
        <f>[2]CZ_decarbplus_opex!T139</f>
        <v>5.9446399999999995E-4</v>
      </c>
      <c r="W139" s="187">
        <f>[2]CZ_decarbplus_opex!U139</f>
        <v>9.4430100000000004E-4</v>
      </c>
      <c r="X139" s="187">
        <f>[2]CZ_decarbplus_opex!V139</f>
        <v>1.229415E-3</v>
      </c>
      <c r="Y139" s="187">
        <f>[2]CZ_decarbplus_opex!W139</f>
        <v>3.0785300000000002E-4</v>
      </c>
      <c r="Z139" s="187">
        <f>[2]CZ_decarbplus_opex!X139</f>
        <v>1.9781759999999999E-3</v>
      </c>
      <c r="AA139" s="187">
        <f>[2]CZ_decarbplus_opex!Y139</f>
        <v>1.8460690000000001E-3</v>
      </c>
      <c r="AB139" s="188">
        <f>[3]CZ_decarb_opex!B139</f>
        <v>5.3292914984749497E-5</v>
      </c>
      <c r="AC139" s="188">
        <f>[3]CZ_decarb_opex!C139</f>
        <v>1.3016700166762899E-3</v>
      </c>
      <c r="AD139" s="188">
        <f>[3]CZ_decarb_opex!D139</f>
        <v>4.4101454799743599E-4</v>
      </c>
      <c r="AE139" s="188">
        <f>[2]CZ_decarbplus_opex!Z139</f>
        <v>3.7402699999999997E-4</v>
      </c>
      <c r="AF139" s="188">
        <f>[2]CZ_decarbplus_opex!AA139</f>
        <v>3.69594E-4</v>
      </c>
      <c r="AG139" s="188">
        <f>[2]CZ_decarbplus_opex!AB139</f>
        <v>3.7610600000000002E-4</v>
      </c>
      <c r="AH139" s="188">
        <f>[2]CZ_decarbplus_opex!AC139</f>
        <v>3.37144E-4</v>
      </c>
      <c r="AI139" s="188">
        <f>[2]CZ_decarbplus_opex!AD139</f>
        <v>8.6352499999999997E-4</v>
      </c>
      <c r="AJ139" s="188">
        <f>[2]CZ_decarbplus_opex!AE139</f>
        <v>8.8200000000000003E-5</v>
      </c>
      <c r="AK139" s="188">
        <f>[2]CZ_decarbplus_opex!AF139</f>
        <v>1.80228E-4</v>
      </c>
      <c r="AL139" s="188">
        <f>[3]CZ_decarb_opex!E139</f>
        <v>1.69805912048654E-4</v>
      </c>
      <c r="AM139" s="188">
        <f>[3]CZ_decarb_opex!F139</f>
        <v>1.54710973948073E-4</v>
      </c>
      <c r="AN139" s="188">
        <f>[2]CZ_decarbplus_opex!AG139</f>
        <v>2.5228400000000003E-4</v>
      </c>
      <c r="AO139" s="188">
        <f>[3]CZ_decarb_opex!G139</f>
        <v>1.4302074110098001E-4</v>
      </c>
      <c r="AP139" s="188">
        <f>[3]CZ_decarb_opex!H139</f>
        <v>1.52776747214973E-4</v>
      </c>
      <c r="AQ139" s="188">
        <f>[2]CZ_decarbplus_opex!AH139</f>
        <v>2.6498899999999998E-4</v>
      </c>
      <c r="AR139" s="188">
        <f>[2]CZ_decarbplus_opex!AI139</f>
        <v>0</v>
      </c>
      <c r="AS139" s="188">
        <f>[2]CZ_decarbplus_opex!AJ139</f>
        <v>1.26E-4</v>
      </c>
      <c r="AT139" s="188">
        <f>[2]CZ_decarbplus_opex!AK139</f>
        <v>9.5099999999999994E-5</v>
      </c>
      <c r="AU139" s="188">
        <f>[2]CZ_decarbplus_opex!AL139</f>
        <v>1.00503E-4</v>
      </c>
      <c r="AV139" s="188">
        <f>[2]CZ_decarbplus_opex!AM139</f>
        <v>3.8600000000000003E-5</v>
      </c>
      <c r="AW139" s="188">
        <f>[2]CZ_decarbplus_opex!AN139</f>
        <v>1.13076E-4</v>
      </c>
      <c r="AX139" s="188">
        <f>[2]CZ_decarbplus_opex!AO139</f>
        <v>0</v>
      </c>
      <c r="AY139" s="188">
        <f>[2]CZ_decarbplus_opex!AP139</f>
        <v>1.7985000000000001E-4</v>
      </c>
      <c r="AZ139" s="188">
        <f>[2]CZ_decarbplus_opex!AQ139</f>
        <v>0</v>
      </c>
      <c r="BA139" s="188">
        <f>[2]CZ_decarbplus_opex!AR139</f>
        <v>1.49753E-4</v>
      </c>
      <c r="BB139" s="188">
        <f>[2]CZ_decarbplus_opex!AS139</f>
        <v>3.53529E-4</v>
      </c>
      <c r="BC139" s="188">
        <f>[2]CZ_decarbplus_opex!AT139</f>
        <v>3.8860499999999998E-4</v>
      </c>
      <c r="BD139" s="188">
        <f>[2]CZ_decarbplus_opex!AU139</f>
        <v>4.6488500000000001E-4</v>
      </c>
      <c r="BE139" s="188">
        <f>[2]CZ_decarbplus_opex!AV139</f>
        <v>3.3768699999999998E-4</v>
      </c>
      <c r="BF139" s="188">
        <f>[2]CZ_decarbplus_opex!AW139</f>
        <v>2.04487E-4</v>
      </c>
      <c r="BG139" s="188">
        <f>[2]CZ_decarbplus_opex!AX139</f>
        <v>6.9983000000000003E-4</v>
      </c>
      <c r="BH139" s="188">
        <f>[3]CZ_decarb_opex!I139</f>
        <v>3.02684636446934E-4</v>
      </c>
      <c r="BI139" s="188">
        <f>[2]CZ_decarbplus_opex!AY139</f>
        <v>1.1142630000000001E-3</v>
      </c>
      <c r="BJ139" s="188">
        <f>[2]CZ_decarbplus_opex!AZ139</f>
        <v>7.1110399999999995E-4</v>
      </c>
      <c r="BK139" s="188">
        <f>[2]CZ_decarbplus_opex!BA139</f>
        <v>1.7485720000000001E-3</v>
      </c>
      <c r="BL139" s="188">
        <f>[2]CZ_decarbplus_opex!BB139</f>
        <v>0</v>
      </c>
      <c r="BM139" s="188">
        <f>[3]CZ_decarb_opex!J139</f>
        <v>4.19567624319692E-4</v>
      </c>
      <c r="BN139" s="188">
        <f>[3]CZ_decarb_opex!K139</f>
        <v>1.82776473926188E-3</v>
      </c>
      <c r="BO139" s="188">
        <f>[3]CZ_decarb_opex!L139</f>
        <v>1.2334401553297099E-4</v>
      </c>
      <c r="BP139" s="188">
        <f>[3]CZ_decarb_opex!M139</f>
        <v>4.3510606340114598E-4</v>
      </c>
      <c r="BQ139" s="188">
        <f>[3]CZ_decarb_opex!N139</f>
        <v>2.0580948192420399E-4</v>
      </c>
      <c r="BR139" s="188">
        <f>[3]CZ_decarb_opex!O139</f>
        <v>1.7042890316509699E-3</v>
      </c>
      <c r="BS139" s="188">
        <f>[3]CZ_decarb_opex!P139</f>
        <v>9.6921718949433599E-4</v>
      </c>
      <c r="BT139" s="188">
        <f>[3]CZ_decarb_opex!Q139</f>
        <v>3.8031371422002499E-4</v>
      </c>
      <c r="BU139" s="188">
        <f>[3]CZ_decarb_opex!R139</f>
        <v>1.5169185065842599E-4</v>
      </c>
      <c r="BV139" s="188">
        <f>[3]CZ_decarb_opex!S139</f>
        <v>1.5169185065842699E-4</v>
      </c>
      <c r="BW139" s="188">
        <f>[3]CZ_decarb_opex!T139</f>
        <v>1.3569121697856799E-3</v>
      </c>
      <c r="BX139" s="188">
        <f>[3]CZ_decarb_opex!U139</f>
        <v>1.6135417053105101E-5</v>
      </c>
      <c r="BY139" s="188">
        <f>[3]CZ_decarb_opex!V139</f>
        <v>7.1914509364717402E-6</v>
      </c>
      <c r="BZ139" s="188">
        <f>[2]CZ_decarbplus_opex!BC139</f>
        <v>5.4010799999999997E-4</v>
      </c>
      <c r="CA139" s="188">
        <f>[2]CZ_decarbplus_opex!BD139</f>
        <v>2.38247E-4</v>
      </c>
      <c r="CB139" s="188">
        <f>[2]CZ_decarbplus_opex!BE139</f>
        <v>1.8304899999999999E-4</v>
      </c>
      <c r="CC139" s="188">
        <f>[2]CZ_decarbplus_opex!BF139</f>
        <v>5.4779799999999995E-4</v>
      </c>
      <c r="CD139" s="188">
        <f>[2]CZ_decarbplus_opex!BG139</f>
        <v>1.4375639999999999E-3</v>
      </c>
      <c r="CE139" s="188">
        <f>[2]CZ_decarbplus_opex!BH139</f>
        <v>3.571046E-3</v>
      </c>
      <c r="CF139" s="188">
        <f>[2]CZ_decarbplus_opex!BI139</f>
        <v>4.9213600000000001E-4</v>
      </c>
      <c r="CG139" s="188">
        <f>[2]CZ_decarbplus_opex!BJ139</f>
        <v>1.7660199999999999E-4</v>
      </c>
    </row>
    <row r="140" spans="1:85" x14ac:dyDescent="0.25">
      <c r="A140" s="5" t="s">
        <v>271</v>
      </c>
      <c r="B140" s="2" t="s">
        <v>270</v>
      </c>
      <c r="C140" s="1" t="s">
        <v>335</v>
      </c>
      <c r="D140" s="187">
        <f>[2]CZ_decarbplus_opex!B140</f>
        <v>1.64289E-4</v>
      </c>
      <c r="E140" s="187">
        <f>[2]CZ_decarbplus_opex!C140</f>
        <v>3.0300000000000001E-5</v>
      </c>
      <c r="F140" s="187">
        <f>[2]CZ_decarbplus_opex!D140</f>
        <v>3.7599999999999999E-5</v>
      </c>
      <c r="G140" s="187">
        <f>[2]CZ_decarbplus_opex!E140</f>
        <v>2.7300000000000001E-6</v>
      </c>
      <c r="H140" s="187">
        <f>[2]CZ_decarbplus_opex!F140</f>
        <v>6.1700000000000002E-6</v>
      </c>
      <c r="I140" s="187">
        <f>[2]CZ_decarbplus_opex!G140</f>
        <v>4.6600000000000001E-5</v>
      </c>
      <c r="J140" s="187">
        <f>[2]CZ_decarbplus_opex!H140</f>
        <v>1.0724E-4</v>
      </c>
      <c r="K140" s="187">
        <f>[2]CZ_decarbplus_opex!I140</f>
        <v>7.0899999999999999E-6</v>
      </c>
      <c r="L140" s="187">
        <f>[2]CZ_decarbplus_opex!J140</f>
        <v>5.77E-5</v>
      </c>
      <c r="M140" s="187">
        <f>[2]CZ_decarbplus_opex!K140</f>
        <v>2.1648500000000001E-4</v>
      </c>
      <c r="N140" s="187">
        <f>[2]CZ_decarbplus_opex!L140</f>
        <v>1.96498E-4</v>
      </c>
      <c r="O140" s="187">
        <f>[2]CZ_decarbplus_opex!M140</f>
        <v>2.24513E-4</v>
      </c>
      <c r="P140" s="187">
        <f>[2]CZ_decarbplus_opex!N140</f>
        <v>7.1500000000000003E-5</v>
      </c>
      <c r="Q140" s="187">
        <f>[2]CZ_decarbplus_opex!O140</f>
        <v>9.7399999999999999E-6</v>
      </c>
      <c r="R140" s="187">
        <f>[2]CZ_decarbplus_opex!P140</f>
        <v>1.8300000000000001E-5</v>
      </c>
      <c r="S140" s="187">
        <f>[2]CZ_decarbplus_opex!Q140</f>
        <v>6.3E-5</v>
      </c>
      <c r="T140" s="187">
        <f>[2]CZ_decarbplus_opex!R140</f>
        <v>6.9099999999999999E-5</v>
      </c>
      <c r="U140" s="187">
        <f>[2]CZ_decarbplus_opex!S140</f>
        <v>4.99E-5</v>
      </c>
      <c r="V140" s="187">
        <f>[2]CZ_decarbplus_opex!T140</f>
        <v>6.4300000000000004E-5</v>
      </c>
      <c r="W140" s="187">
        <f>[2]CZ_decarbplus_opex!U140</f>
        <v>1.5815299999999999E-4</v>
      </c>
      <c r="X140" s="187">
        <f>[2]CZ_decarbplus_opex!V140</f>
        <v>3.4775300000000002E-4</v>
      </c>
      <c r="Y140" s="187">
        <f>[2]CZ_decarbplus_opex!W140</f>
        <v>1.03E-5</v>
      </c>
      <c r="Z140" s="187">
        <f>[2]CZ_decarbplus_opex!X140</f>
        <v>8.4800000000000001E-5</v>
      </c>
      <c r="AA140" s="187">
        <f>[2]CZ_decarbplus_opex!Y140</f>
        <v>3.79E-5</v>
      </c>
      <c r="AB140" s="188">
        <f>[3]CZ_decarb_opex!B140</f>
        <v>7.7391153840255593E-6</v>
      </c>
      <c r="AC140" s="188">
        <f>[3]CZ_decarb_opex!C140</f>
        <v>8.1167824764465197E-5</v>
      </c>
      <c r="AD140" s="188">
        <f>[3]CZ_decarb_opex!D140</f>
        <v>6.0249276851774801E-5</v>
      </c>
      <c r="AE140" s="188">
        <f>[2]CZ_decarbplus_opex!Z140</f>
        <v>5.3499999999999999E-5</v>
      </c>
      <c r="AF140" s="188">
        <f>[2]CZ_decarbplus_opex!AA140</f>
        <v>2.26608E-4</v>
      </c>
      <c r="AG140" s="188">
        <f>[2]CZ_decarbplus_opex!AB140</f>
        <v>4.5200000000000001E-5</v>
      </c>
      <c r="AH140" s="188">
        <f>[2]CZ_decarbplus_opex!AC140</f>
        <v>1.2500000000000001E-5</v>
      </c>
      <c r="AI140" s="188">
        <f>[2]CZ_decarbplus_opex!AD140</f>
        <v>2.5899999999999999E-5</v>
      </c>
      <c r="AJ140" s="188">
        <f>[2]CZ_decarbplus_opex!AE140</f>
        <v>2.2500000000000001E-5</v>
      </c>
      <c r="AK140" s="188">
        <f>[2]CZ_decarbplus_opex!AF140</f>
        <v>2.19E-5</v>
      </c>
      <c r="AL140" s="188">
        <f>[3]CZ_decarb_opex!E140</f>
        <v>2.24671836341656E-5</v>
      </c>
      <c r="AM140" s="188">
        <f>[3]CZ_decarb_opex!F140</f>
        <v>2.2997510643762799E-5</v>
      </c>
      <c r="AN140" s="188">
        <f>[2]CZ_decarbplus_opex!AG140</f>
        <v>3.5299999999999997E-5</v>
      </c>
      <c r="AO140" s="188">
        <f>[3]CZ_decarb_opex!G140</f>
        <v>1.20258121022864E-4</v>
      </c>
      <c r="AP140" s="188">
        <f>[3]CZ_decarb_opex!H140</f>
        <v>1.22085882460346E-4</v>
      </c>
      <c r="AQ140" s="188">
        <f>[2]CZ_decarbplus_opex!AH140</f>
        <v>3.1442599999999997E-4</v>
      </c>
      <c r="AR140" s="188">
        <f>[2]CZ_decarbplus_opex!AI140</f>
        <v>0</v>
      </c>
      <c r="AS140" s="188">
        <f>[2]CZ_decarbplus_opex!AJ140</f>
        <v>8.8999999999999995E-5</v>
      </c>
      <c r="AT140" s="188">
        <f>[2]CZ_decarbplus_opex!AK140</f>
        <v>8.7700000000000004E-5</v>
      </c>
      <c r="AU140" s="188">
        <f>[2]CZ_decarbplus_opex!AL140</f>
        <v>1.0200000000000001E-5</v>
      </c>
      <c r="AV140" s="188">
        <f>[2]CZ_decarbplus_opex!AM140</f>
        <v>7.1999999999999997E-6</v>
      </c>
      <c r="AW140" s="188">
        <f>[2]CZ_decarbplus_opex!AN140</f>
        <v>8.14E-5</v>
      </c>
      <c r="AX140" s="188">
        <f>[2]CZ_decarbplus_opex!AO140</f>
        <v>0</v>
      </c>
      <c r="AY140" s="188">
        <f>[2]CZ_decarbplus_opex!AP140</f>
        <v>3.4490200000000001E-4</v>
      </c>
      <c r="AZ140" s="188">
        <f>[2]CZ_decarbplus_opex!AQ140</f>
        <v>0</v>
      </c>
      <c r="BA140" s="188">
        <f>[2]CZ_decarbplus_opex!AR140</f>
        <v>1.1314100000000001E-4</v>
      </c>
      <c r="BB140" s="188">
        <f>[2]CZ_decarbplus_opex!AS140</f>
        <v>3.7499999999999997E-5</v>
      </c>
      <c r="BC140" s="188">
        <f>[2]CZ_decarbplus_opex!AT140</f>
        <v>1.0773E-4</v>
      </c>
      <c r="BD140" s="188">
        <f>[2]CZ_decarbplus_opex!AU140</f>
        <v>1.7532800000000001E-4</v>
      </c>
      <c r="BE140" s="188">
        <f>[2]CZ_decarbplus_opex!AV140</f>
        <v>1.14967E-4</v>
      </c>
      <c r="BF140" s="188">
        <f>[2]CZ_decarbplus_opex!AW140</f>
        <v>5.5800000000000001E-5</v>
      </c>
      <c r="BG140" s="188">
        <f>[2]CZ_decarbplus_opex!AX140</f>
        <v>1.43425E-4</v>
      </c>
      <c r="BH140" s="188">
        <f>[3]CZ_decarb_opex!I140</f>
        <v>8.7925245681687799E-5</v>
      </c>
      <c r="BI140" s="188">
        <f>[2]CZ_decarbplus_opex!AY140</f>
        <v>9.7100000000000002E-5</v>
      </c>
      <c r="BJ140" s="188">
        <f>[2]CZ_decarbplus_opex!AZ140</f>
        <v>1.3857999999999999E-4</v>
      </c>
      <c r="BK140" s="188">
        <f>[2]CZ_decarbplus_opex!BA140</f>
        <v>1.25535E-4</v>
      </c>
      <c r="BL140" s="188">
        <f>[2]CZ_decarbplus_opex!BB140</f>
        <v>0</v>
      </c>
      <c r="BM140" s="188">
        <f>[3]CZ_decarb_opex!J140</f>
        <v>1.2765948808514399E-4</v>
      </c>
      <c r="BN140" s="188">
        <f>[3]CZ_decarb_opex!K140</f>
        <v>2.7490565031252099E-4</v>
      </c>
      <c r="BO140" s="188">
        <f>[3]CZ_decarb_opex!L140</f>
        <v>2.9668935543952201E-5</v>
      </c>
      <c r="BP140" s="188">
        <f>[3]CZ_decarb_opex!M140</f>
        <v>3.8887045338731097E-5</v>
      </c>
      <c r="BQ140" s="188">
        <f>[3]CZ_decarb_opex!N140</f>
        <v>3.0466651449050099E-5</v>
      </c>
      <c r="BR140" s="188">
        <f>[3]CZ_decarb_opex!O140</f>
        <v>2.3599667497067599E-6</v>
      </c>
      <c r="BS140" s="188">
        <f>[3]CZ_decarb_opex!P140</f>
        <v>1.6896071231978701E-4</v>
      </c>
      <c r="BT140" s="188">
        <f>[3]CZ_decarb_opex!Q140</f>
        <v>1.0964689490564E-5</v>
      </c>
      <c r="BU140" s="188">
        <f>[3]CZ_decarb_opex!R140</f>
        <v>8.2993699253959595E-5</v>
      </c>
      <c r="BV140" s="188">
        <f>[3]CZ_decarb_opex!S140</f>
        <v>8.2993699253959799E-5</v>
      </c>
      <c r="BW140" s="188">
        <f>[3]CZ_decarb_opex!T140</f>
        <v>4.8817150702566503E-3</v>
      </c>
      <c r="BX140" s="188">
        <f>[3]CZ_decarb_opex!U140</f>
        <v>3.2172258733394502E-6</v>
      </c>
      <c r="BY140" s="188">
        <f>[3]CZ_decarb_opex!V140</f>
        <v>2.7845697410377499E-6</v>
      </c>
      <c r="BZ140" s="188">
        <f>[2]CZ_decarbplus_opex!BC140</f>
        <v>1.19033E-4</v>
      </c>
      <c r="CA140" s="188">
        <f>[2]CZ_decarbplus_opex!BD140</f>
        <v>8.8399999999999994E-5</v>
      </c>
      <c r="CB140" s="188">
        <f>[2]CZ_decarbplus_opex!BE140</f>
        <v>6.9099999999999999E-5</v>
      </c>
      <c r="CC140" s="188">
        <f>[2]CZ_decarbplus_opex!BF140</f>
        <v>1.73893E-4</v>
      </c>
      <c r="CD140" s="188">
        <f>[2]CZ_decarbplus_opex!BG140</f>
        <v>4.3497300000000001E-4</v>
      </c>
      <c r="CE140" s="188">
        <f>[2]CZ_decarbplus_opex!BH140</f>
        <v>2.11895E-4</v>
      </c>
      <c r="CF140" s="188">
        <f>[2]CZ_decarbplus_opex!BI140</f>
        <v>1.6209800000000001E-4</v>
      </c>
      <c r="CG140" s="188">
        <f>[2]CZ_decarbplus_opex!BJ140</f>
        <v>9.3200000000000002E-5</v>
      </c>
    </row>
    <row r="141" spans="1:85" x14ac:dyDescent="0.25">
      <c r="A141" s="5" t="s">
        <v>273</v>
      </c>
      <c r="B141" s="2" t="s">
        <v>272</v>
      </c>
      <c r="C141" s="1" t="s">
        <v>335</v>
      </c>
      <c r="D141" s="187">
        <f>[2]CZ_decarbplus_opex!B141</f>
        <v>1.45E-5</v>
      </c>
      <c r="E141" s="187">
        <f>[2]CZ_decarbplus_opex!C141</f>
        <v>5.3700000000000003E-6</v>
      </c>
      <c r="F141" s="187">
        <f>[2]CZ_decarbplus_opex!D141</f>
        <v>1.63E-5</v>
      </c>
      <c r="G141" s="187">
        <f>[2]CZ_decarbplus_opex!E141</f>
        <v>5.5899999999999996E-7</v>
      </c>
      <c r="H141" s="187">
        <f>[2]CZ_decarbplus_opex!F141</f>
        <v>7.8199999999999999E-7</v>
      </c>
      <c r="I141" s="187">
        <f>[2]CZ_decarbplus_opex!G141</f>
        <v>9.4599999999999992E-6</v>
      </c>
      <c r="J141" s="187">
        <f>[2]CZ_decarbplus_opex!H141</f>
        <v>2.69E-5</v>
      </c>
      <c r="K141" s="187">
        <f>[2]CZ_decarbplus_opex!I141</f>
        <v>1.0899999999999999E-6</v>
      </c>
      <c r="L141" s="187">
        <f>[2]CZ_decarbplus_opex!J141</f>
        <v>2.76E-5</v>
      </c>
      <c r="M141" s="187">
        <f>[2]CZ_decarbplus_opex!K141</f>
        <v>3.2400000000000001E-5</v>
      </c>
      <c r="N141" s="187">
        <f>[2]CZ_decarbplus_opex!L141</f>
        <v>1.6900000000000001E-5</v>
      </c>
      <c r="O141" s="187">
        <f>[2]CZ_decarbplus_opex!M141</f>
        <v>3.8999999999999999E-5</v>
      </c>
      <c r="P141" s="187">
        <f>[2]CZ_decarbplus_opex!N141</f>
        <v>2.4300000000000001E-5</v>
      </c>
      <c r="Q141" s="187">
        <f>[2]CZ_decarbplus_opex!O141</f>
        <v>2.4700000000000001E-5</v>
      </c>
      <c r="R141" s="187">
        <f>[2]CZ_decarbplus_opex!P141</f>
        <v>7.1600000000000001E-6</v>
      </c>
      <c r="S141" s="187">
        <f>[2]CZ_decarbplus_opex!Q141</f>
        <v>9.4199999999999996E-6</v>
      </c>
      <c r="T141" s="187">
        <f>[2]CZ_decarbplus_opex!R141</f>
        <v>1.0699999999999999E-5</v>
      </c>
      <c r="U141" s="187">
        <f>[2]CZ_decarbplus_opex!S141</f>
        <v>1.2999999999999999E-5</v>
      </c>
      <c r="V141" s="187">
        <f>[2]CZ_decarbplus_opex!T141</f>
        <v>1.3699999999999999E-5</v>
      </c>
      <c r="W141" s="187">
        <f>[2]CZ_decarbplus_opex!U141</f>
        <v>1.3200000000000001E-5</v>
      </c>
      <c r="X141" s="187">
        <f>[2]CZ_decarbplus_opex!V141</f>
        <v>1.7399999999999999E-5</v>
      </c>
      <c r="Y141" s="187">
        <f>[2]CZ_decarbplus_opex!W141</f>
        <v>1.2999999999999999E-5</v>
      </c>
      <c r="Z141" s="187">
        <f>[2]CZ_decarbplus_opex!X141</f>
        <v>4.2700000000000001E-5</v>
      </c>
      <c r="AA141" s="187">
        <f>[2]CZ_decarbplus_opex!Y141</f>
        <v>5.5000000000000002E-5</v>
      </c>
      <c r="AB141" s="188">
        <f>[3]CZ_decarb_opex!B141</f>
        <v>1.0000365215506399E-5</v>
      </c>
      <c r="AC141" s="188">
        <f>[3]CZ_decarb_opex!C141</f>
        <v>1.0308235224472701E-5</v>
      </c>
      <c r="AD141" s="188">
        <f>[3]CZ_decarb_opex!D141</f>
        <v>1.18728989322633E-5</v>
      </c>
      <c r="AE141" s="188">
        <f>[2]CZ_decarbplus_opex!Z141</f>
        <v>1.0499999999999999E-5</v>
      </c>
      <c r="AF141" s="188">
        <f>[2]CZ_decarbplus_opex!AA141</f>
        <v>3.0836500000000001E-4</v>
      </c>
      <c r="AG141" s="188">
        <f>[2]CZ_decarbplus_opex!AB141</f>
        <v>9.1500000000000005E-6</v>
      </c>
      <c r="AH141" s="188">
        <f>[2]CZ_decarbplus_opex!AC141</f>
        <v>5.6699999999999999E-6</v>
      </c>
      <c r="AI141" s="188">
        <f>[2]CZ_decarbplus_opex!AD141</f>
        <v>6.6599999999999998E-6</v>
      </c>
      <c r="AJ141" s="188">
        <f>[2]CZ_decarbplus_opex!AE141</f>
        <v>5.5799999999999999E-6</v>
      </c>
      <c r="AK141" s="188">
        <f>[2]CZ_decarbplus_opex!AF141</f>
        <v>7.2599999999999999E-6</v>
      </c>
      <c r="AL141" s="188">
        <f>[3]CZ_decarb_opex!E141</f>
        <v>6.1988308567455897E-6</v>
      </c>
      <c r="AM141" s="188">
        <f>[3]CZ_decarb_opex!F141</f>
        <v>5.7574081594838301E-6</v>
      </c>
      <c r="AN141" s="188">
        <f>[2]CZ_decarbplus_opex!AG141</f>
        <v>9.4199999999999996E-6</v>
      </c>
      <c r="AO141" s="188">
        <f>[3]CZ_decarb_opex!G141</f>
        <v>9.1599806739617094E-6</v>
      </c>
      <c r="AP141" s="188">
        <f>[3]CZ_decarb_opex!H141</f>
        <v>7.3244227061987001E-6</v>
      </c>
      <c r="AQ141" s="188">
        <f>[2]CZ_decarbplus_opex!AH141</f>
        <v>5.3100000000000003E-5</v>
      </c>
      <c r="AR141" s="188">
        <f>[2]CZ_decarbplus_opex!AI141</f>
        <v>0</v>
      </c>
      <c r="AS141" s="188">
        <f>[2]CZ_decarbplus_opex!AJ141</f>
        <v>7.5800000000000003E-6</v>
      </c>
      <c r="AT141" s="188">
        <f>[2]CZ_decarbplus_opex!AK141</f>
        <v>6.8199999999999999E-6</v>
      </c>
      <c r="AU141" s="188">
        <f>[2]CZ_decarbplus_opex!AL141</f>
        <v>1.8199999999999999E-6</v>
      </c>
      <c r="AV141" s="188">
        <f>[2]CZ_decarbplus_opex!AM141</f>
        <v>1.5200000000000001E-6</v>
      </c>
      <c r="AW141" s="188">
        <f>[2]CZ_decarbplus_opex!AN141</f>
        <v>4.5000000000000001E-6</v>
      </c>
      <c r="AX141" s="188">
        <f>[2]CZ_decarbplus_opex!AO141</f>
        <v>0</v>
      </c>
      <c r="AY141" s="188">
        <f>[2]CZ_decarbplus_opex!AP141</f>
        <v>1.2999999999999999E-5</v>
      </c>
      <c r="AZ141" s="188">
        <f>[2]CZ_decarbplus_opex!AQ141</f>
        <v>0</v>
      </c>
      <c r="BA141" s="188">
        <f>[2]CZ_decarbplus_opex!AR141</f>
        <v>7.5599999999999996E-6</v>
      </c>
      <c r="BB141" s="188">
        <f>[2]CZ_decarbplus_opex!AS141</f>
        <v>1.03E-5</v>
      </c>
      <c r="BC141" s="188">
        <f>[2]CZ_decarbplus_opex!AT141</f>
        <v>1.5099999999999999E-5</v>
      </c>
      <c r="BD141" s="188">
        <f>[2]CZ_decarbplus_opex!AU141</f>
        <v>2.8E-5</v>
      </c>
      <c r="BE141" s="188">
        <f>[2]CZ_decarbplus_opex!AV141</f>
        <v>3.01E-5</v>
      </c>
      <c r="BF141" s="188">
        <f>[2]CZ_decarbplus_opex!AW141</f>
        <v>9.2799999999999992E-6</v>
      </c>
      <c r="BG141" s="188">
        <f>[2]CZ_decarbplus_opex!AX141</f>
        <v>3.6699999999999998E-5</v>
      </c>
      <c r="BH141" s="188">
        <f>[3]CZ_decarb_opex!I141</f>
        <v>9.9273457764468902E-6</v>
      </c>
      <c r="BI141" s="188">
        <f>[2]CZ_decarbplus_opex!AY141</f>
        <v>7.0899999999999999E-6</v>
      </c>
      <c r="BJ141" s="188">
        <f>[2]CZ_decarbplus_opex!AZ141</f>
        <v>2.1100000000000001E-5</v>
      </c>
      <c r="BK141" s="188">
        <f>[2]CZ_decarbplus_opex!BA141</f>
        <v>1.31E-5</v>
      </c>
      <c r="BL141" s="188">
        <f>[2]CZ_decarbplus_opex!BB141</f>
        <v>0</v>
      </c>
      <c r="BM141" s="188">
        <f>[3]CZ_decarb_opex!J141</f>
        <v>1.16189935261666E-5</v>
      </c>
      <c r="BN141" s="188">
        <f>[3]CZ_decarb_opex!K141</f>
        <v>2.87214870720668E-5</v>
      </c>
      <c r="BO141" s="188">
        <f>[3]CZ_decarb_opex!L141</f>
        <v>6.19314847993937E-6</v>
      </c>
      <c r="BP141" s="188">
        <f>[3]CZ_decarb_opex!M141</f>
        <v>8.7057018189532508E-6</v>
      </c>
      <c r="BQ141" s="188">
        <f>[3]CZ_decarb_opex!N141</f>
        <v>9.2110907310636403E-6</v>
      </c>
      <c r="BR141" s="188">
        <f>[3]CZ_decarb_opex!O141</f>
        <v>7.69798570580495E-7</v>
      </c>
      <c r="BS141" s="188">
        <f>[3]CZ_decarb_opex!P141</f>
        <v>1.1991599944111699E-5</v>
      </c>
      <c r="BT141" s="188">
        <f>[3]CZ_decarb_opex!Q141</f>
        <v>3.5432301612228902E-6</v>
      </c>
      <c r="BU141" s="188">
        <f>[3]CZ_decarb_opex!R141</f>
        <v>1.4372908389005E-5</v>
      </c>
      <c r="BV141" s="188">
        <f>[3]CZ_decarb_opex!S141</f>
        <v>1.4372908389005E-5</v>
      </c>
      <c r="BW141" s="188">
        <f>[3]CZ_decarb_opex!T141</f>
        <v>1.1017644264690499E-5</v>
      </c>
      <c r="BX141" s="188">
        <f>[3]CZ_decarb_opex!U141</f>
        <v>6.8123674395350903E-7</v>
      </c>
      <c r="BY141" s="188">
        <f>[3]CZ_decarb_opex!V141</f>
        <v>1.9845224535434202E-6</v>
      </c>
      <c r="BZ141" s="188">
        <f>[2]CZ_decarbplus_opex!BC141</f>
        <v>1.8E-5</v>
      </c>
      <c r="CA141" s="188">
        <f>[2]CZ_decarbplus_opex!BD141</f>
        <v>1.9599999999999999E-5</v>
      </c>
      <c r="CB141" s="188">
        <f>[2]CZ_decarbplus_opex!BE141</f>
        <v>1.5699999999999999E-5</v>
      </c>
      <c r="CC141" s="188">
        <f>[2]CZ_decarbplus_opex!BF141</f>
        <v>9.6299999999999996E-5</v>
      </c>
      <c r="CD141" s="188">
        <f>[2]CZ_decarbplus_opex!BG141</f>
        <v>6.0900000000000003E-5</v>
      </c>
      <c r="CE141" s="188">
        <f>[2]CZ_decarbplus_opex!BH141</f>
        <v>6.1400000000000002E-5</v>
      </c>
      <c r="CF141" s="188">
        <f>[2]CZ_decarbplus_opex!BI141</f>
        <v>1.9798299999999999E-4</v>
      </c>
      <c r="CG141" s="188">
        <f>[2]CZ_decarbplus_opex!BJ141</f>
        <v>1.13E-5</v>
      </c>
    </row>
    <row r="142" spans="1:85" x14ac:dyDescent="0.25">
      <c r="A142" s="6" t="s">
        <v>275</v>
      </c>
      <c r="B142" s="2" t="s">
        <v>274</v>
      </c>
      <c r="C142" s="1" t="s">
        <v>335</v>
      </c>
      <c r="D142" s="187">
        <f>[2]CZ_decarbplus_opex!B142</f>
        <v>1.3050900000000001E-4</v>
      </c>
      <c r="E142" s="187">
        <f>[2]CZ_decarbplus_opex!C142</f>
        <v>1.1476699999999999E-4</v>
      </c>
      <c r="F142" s="187">
        <f>[2]CZ_decarbplus_opex!D142</f>
        <v>2.41E-5</v>
      </c>
      <c r="G142" s="187">
        <f>[2]CZ_decarbplus_opex!E142</f>
        <v>5.3900000000000001E-6</v>
      </c>
      <c r="H142" s="187">
        <f>[2]CZ_decarbplus_opex!F142</f>
        <v>9.3300000000000005E-6</v>
      </c>
      <c r="I142" s="187">
        <f>[2]CZ_decarbplus_opex!G142</f>
        <v>1.0521100000000001E-4</v>
      </c>
      <c r="J142" s="187">
        <f>[2]CZ_decarbplus_opex!H142</f>
        <v>1.33552E-4</v>
      </c>
      <c r="K142" s="187">
        <f>[2]CZ_decarbplus_opex!I142</f>
        <v>1.49E-5</v>
      </c>
      <c r="L142" s="187">
        <f>[2]CZ_decarbplus_opex!J142</f>
        <v>1.2447200000000001E-4</v>
      </c>
      <c r="M142" s="187">
        <f>[2]CZ_decarbplus_opex!K142</f>
        <v>3.5459899999999998E-4</v>
      </c>
      <c r="N142" s="187">
        <f>[2]CZ_decarbplus_opex!L142</f>
        <v>6.80706E-4</v>
      </c>
      <c r="O142" s="187">
        <f>[2]CZ_decarbplus_opex!M142</f>
        <v>1.9991099999999999E-4</v>
      </c>
      <c r="P142" s="187">
        <f>[2]CZ_decarbplus_opex!N142</f>
        <v>1.35005E-4</v>
      </c>
      <c r="Q142" s="187">
        <f>[2]CZ_decarbplus_opex!O142</f>
        <v>4.5399999999999999E-5</v>
      </c>
      <c r="R142" s="187">
        <f>[2]CZ_decarbplus_opex!P142</f>
        <v>1.42E-5</v>
      </c>
      <c r="S142" s="187">
        <f>[2]CZ_decarbplus_opex!Q142</f>
        <v>4.7200000000000002E-5</v>
      </c>
      <c r="T142" s="187">
        <f>[2]CZ_decarbplus_opex!R142</f>
        <v>3.8000000000000002E-5</v>
      </c>
      <c r="U142" s="187">
        <f>[2]CZ_decarbplus_opex!S142</f>
        <v>3.1648000000000001E-4</v>
      </c>
      <c r="V142" s="187">
        <f>[2]CZ_decarbplus_opex!T142</f>
        <v>4.5941999999999999E-4</v>
      </c>
      <c r="W142" s="187">
        <f>[2]CZ_decarbplus_opex!U142</f>
        <v>9.1899999999999998E-5</v>
      </c>
      <c r="X142" s="187">
        <f>[2]CZ_decarbplus_opex!V142</f>
        <v>4.1900000000000002E-5</v>
      </c>
      <c r="Y142" s="187">
        <f>[2]CZ_decarbplus_opex!W142</f>
        <v>3.79E-5</v>
      </c>
      <c r="Z142" s="187">
        <f>[2]CZ_decarbplus_opex!X142</f>
        <v>1.1189E-4</v>
      </c>
      <c r="AA142" s="187">
        <f>[2]CZ_decarbplus_opex!Y142</f>
        <v>4.35E-5</v>
      </c>
      <c r="AB142" s="188">
        <f>[3]CZ_decarb_opex!B142</f>
        <v>2.75761222642569E-5</v>
      </c>
      <c r="AC142" s="188">
        <f>[3]CZ_decarb_opex!C142</f>
        <v>2.4280199962420398E-3</v>
      </c>
      <c r="AD142" s="188">
        <f>[3]CZ_decarb_opex!D142</f>
        <v>7.6919425609610001E-4</v>
      </c>
      <c r="AE142" s="188">
        <f>[2]CZ_decarbplus_opex!Z142</f>
        <v>6.0639299999999999E-4</v>
      </c>
      <c r="AF142" s="188">
        <f>[2]CZ_decarbplus_opex!AA142</f>
        <v>2.11461E-4</v>
      </c>
      <c r="AG142" s="188">
        <f>[2]CZ_decarbplus_opex!AB142</f>
        <v>3.96E-5</v>
      </c>
      <c r="AH142" s="188">
        <f>[2]CZ_decarbplus_opex!AC142</f>
        <v>4.7500000000000003E-5</v>
      </c>
      <c r="AI142" s="188">
        <f>[2]CZ_decarbplus_opex!AD142</f>
        <v>5.3999999999999998E-5</v>
      </c>
      <c r="AJ142" s="188">
        <f>[2]CZ_decarbplus_opex!AE142</f>
        <v>8.2399999999999997E-5</v>
      </c>
      <c r="AK142" s="188">
        <f>[2]CZ_decarbplus_opex!AF142</f>
        <v>5.0500000000000001E-5</v>
      </c>
      <c r="AL142" s="188">
        <f>[3]CZ_decarb_opex!E142</f>
        <v>1.2337059530660499E-4</v>
      </c>
      <c r="AM142" s="188">
        <f>[3]CZ_decarb_opex!F142</f>
        <v>4.98469287170518E-5</v>
      </c>
      <c r="AN142" s="188">
        <f>[2]CZ_decarbplus_opex!AG142</f>
        <v>1.4221000000000001E-4</v>
      </c>
      <c r="AO142" s="188">
        <f>[3]CZ_decarb_opex!G142</f>
        <v>1.6969731242386801E-4</v>
      </c>
      <c r="AP142" s="188">
        <f>[3]CZ_decarb_opex!H142</f>
        <v>2.8146858651635702E-4</v>
      </c>
      <c r="AQ142" s="188">
        <f>[2]CZ_decarbplus_opex!AH142</f>
        <v>3.0149400000000002E-4</v>
      </c>
      <c r="AR142" s="188">
        <f>[2]CZ_decarbplus_opex!AI142</f>
        <v>0</v>
      </c>
      <c r="AS142" s="188">
        <f>[2]CZ_decarbplus_opex!AJ142</f>
        <v>2.02401E-4</v>
      </c>
      <c r="AT142" s="188">
        <f>[2]CZ_decarbplus_opex!AK142</f>
        <v>1.4061999999999999E-4</v>
      </c>
      <c r="AU142" s="188">
        <f>[2]CZ_decarbplus_opex!AL142</f>
        <v>2.27E-5</v>
      </c>
      <c r="AV142" s="188">
        <f>[2]CZ_decarbplus_opex!AM142</f>
        <v>1.77E-5</v>
      </c>
      <c r="AW142" s="188">
        <f>[2]CZ_decarbplus_opex!AN142</f>
        <v>2.0933200000000001E-4</v>
      </c>
      <c r="AX142" s="188">
        <f>[2]CZ_decarbplus_opex!AO142</f>
        <v>0</v>
      </c>
      <c r="AY142" s="188">
        <f>[2]CZ_decarbplus_opex!AP142</f>
        <v>1.05189E-4</v>
      </c>
      <c r="AZ142" s="188">
        <f>[2]CZ_decarbplus_opex!AQ142</f>
        <v>0</v>
      </c>
      <c r="BA142" s="188">
        <f>[2]CZ_decarbplus_opex!AR142</f>
        <v>1.4192799999999999E-4</v>
      </c>
      <c r="BB142" s="188">
        <f>[2]CZ_decarbplus_opex!AS142</f>
        <v>2.0523300000000001E-4</v>
      </c>
      <c r="BC142" s="188">
        <f>[2]CZ_decarbplus_opex!AT142</f>
        <v>3.3018499999999998E-4</v>
      </c>
      <c r="BD142" s="188">
        <f>[2]CZ_decarbplus_opex!AU142</f>
        <v>2.2500000000000001E-5</v>
      </c>
      <c r="BE142" s="188">
        <f>[2]CZ_decarbplus_opex!AV142</f>
        <v>5.1900000000000001E-5</v>
      </c>
      <c r="BF142" s="188">
        <f>[2]CZ_decarbplus_opex!AW142</f>
        <v>1.84E-5</v>
      </c>
      <c r="BG142" s="188">
        <f>[2]CZ_decarbplus_opex!AX142</f>
        <v>8.9599999999999996E-5</v>
      </c>
      <c r="BH142" s="188">
        <f>[3]CZ_decarb_opex!I142</f>
        <v>1.1153814470769501E-4</v>
      </c>
      <c r="BI142" s="188">
        <f>[2]CZ_decarbplus_opex!AY142</f>
        <v>1.57243E-4</v>
      </c>
      <c r="BJ142" s="188">
        <f>[2]CZ_decarbplus_opex!AZ142</f>
        <v>6.6600000000000006E-5</v>
      </c>
      <c r="BK142" s="188">
        <f>[2]CZ_decarbplus_opex!BA142</f>
        <v>2.7460800000000002E-4</v>
      </c>
      <c r="BL142" s="188">
        <f>[2]CZ_decarbplus_opex!BB142</f>
        <v>0</v>
      </c>
      <c r="BM142" s="188">
        <f>[3]CZ_decarb_opex!J142</f>
        <v>1.3237033072663399E-4</v>
      </c>
      <c r="BN142" s="188">
        <f>[3]CZ_decarb_opex!K142</f>
        <v>6.7235385602436803E-4</v>
      </c>
      <c r="BO142" s="188">
        <f>[3]CZ_decarb_opex!L142</f>
        <v>1.3549451638241E-4</v>
      </c>
      <c r="BP142" s="188">
        <f>[3]CZ_decarb_opex!M142</f>
        <v>5.63499419032785E-4</v>
      </c>
      <c r="BQ142" s="188">
        <f>[3]CZ_decarb_opex!N142</f>
        <v>6.5153000748886905E-5</v>
      </c>
      <c r="BR142" s="188">
        <f>[3]CZ_decarb_opex!O142</f>
        <v>5.8907887144913697E-6</v>
      </c>
      <c r="BS142" s="188">
        <f>[3]CZ_decarb_opex!P142</f>
        <v>1.5945601830570999E-4</v>
      </c>
      <c r="BT142" s="188">
        <f>[3]CZ_decarb_opex!Q142</f>
        <v>7.1595463043936703E-4</v>
      </c>
      <c r="BU142" s="188">
        <f>[3]CZ_decarb_opex!R142</f>
        <v>7.3705015390773E-6</v>
      </c>
      <c r="BV142" s="188">
        <f>[3]CZ_decarb_opex!S142</f>
        <v>7.3705015390773E-6</v>
      </c>
      <c r="BW142" s="188">
        <f>[3]CZ_decarb_opex!T142</f>
        <v>1.47775754032937E-6</v>
      </c>
      <c r="BX142" s="188">
        <f>[3]CZ_decarb_opex!U142</f>
        <v>7.1553735575872901E-6</v>
      </c>
      <c r="BY142" s="188">
        <f>[3]CZ_decarb_opex!V142</f>
        <v>1.7497947856879199E-6</v>
      </c>
      <c r="BZ142" s="188">
        <f>[2]CZ_decarbplus_opex!BC142</f>
        <v>3.6502399999999998E-4</v>
      </c>
      <c r="CA142" s="188">
        <f>[2]CZ_decarbplus_opex!BD142</f>
        <v>2.3028E-4</v>
      </c>
      <c r="CB142" s="188">
        <f>[2]CZ_decarbplus_opex!BE142</f>
        <v>1.7958699999999999E-4</v>
      </c>
      <c r="CC142" s="188">
        <f>[2]CZ_decarbplus_opex!BF142</f>
        <v>3.2032700000000002E-4</v>
      </c>
      <c r="CD142" s="188">
        <f>[2]CZ_decarbplus_opex!BG142</f>
        <v>1.7668800000000001E-4</v>
      </c>
      <c r="CE142" s="188">
        <f>[2]CZ_decarbplus_opex!BH142</f>
        <v>1.5440429999999999E-3</v>
      </c>
      <c r="CF142" s="188">
        <f>[2]CZ_decarbplus_opex!BI142</f>
        <v>1.1720199999999999E-4</v>
      </c>
      <c r="CG142" s="188">
        <f>[2]CZ_decarbplus_opex!BJ142</f>
        <v>4.5899999999999998E-5</v>
      </c>
    </row>
    <row r="143" spans="1:85" x14ac:dyDescent="0.25">
      <c r="A143" s="6" t="s">
        <v>277</v>
      </c>
      <c r="B143" s="2" t="s">
        <v>276</v>
      </c>
      <c r="C143" s="1" t="s">
        <v>335</v>
      </c>
      <c r="D143" s="187">
        <f>[2]CZ_decarbplus_opex!B143</f>
        <v>1.10784E-4</v>
      </c>
      <c r="E143" s="187">
        <f>[2]CZ_decarbplus_opex!C143</f>
        <v>1.19021E-4</v>
      </c>
      <c r="F143" s="187">
        <f>[2]CZ_decarbplus_opex!D143</f>
        <v>2.3200000000000001E-5</v>
      </c>
      <c r="G143" s="187">
        <f>[2]CZ_decarbplus_opex!E143</f>
        <v>5.3199999999999999E-6</v>
      </c>
      <c r="H143" s="187">
        <f>[2]CZ_decarbplus_opex!F143</f>
        <v>9.1300000000000007E-6</v>
      </c>
      <c r="I143" s="187">
        <f>[2]CZ_decarbplus_opex!G143</f>
        <v>1.09349E-4</v>
      </c>
      <c r="J143" s="187">
        <f>[2]CZ_decarbplus_opex!H143</f>
        <v>1.14533E-4</v>
      </c>
      <c r="K143" s="187">
        <f>[2]CZ_decarbplus_opex!I143</f>
        <v>1.4600000000000001E-5</v>
      </c>
      <c r="L143" s="187">
        <f>[2]CZ_decarbplus_opex!J143</f>
        <v>1.3217099999999999E-4</v>
      </c>
      <c r="M143" s="187">
        <f>[2]CZ_decarbplus_opex!K143</f>
        <v>3.8090200000000002E-4</v>
      </c>
      <c r="N143" s="187">
        <f>[2]CZ_decarbplus_opex!L143</f>
        <v>7.2055100000000005E-4</v>
      </c>
      <c r="O143" s="187">
        <f>[2]CZ_decarbplus_opex!M143</f>
        <v>1.9455199999999999E-4</v>
      </c>
      <c r="P143" s="187">
        <f>[2]CZ_decarbplus_opex!N143</f>
        <v>1.3510099999999999E-4</v>
      </c>
      <c r="Q143" s="187">
        <f>[2]CZ_decarbplus_opex!O143</f>
        <v>4.1399999999999997E-5</v>
      </c>
      <c r="R143" s="187">
        <f>[2]CZ_decarbplus_opex!P143</f>
        <v>1.2300000000000001E-5</v>
      </c>
      <c r="S143" s="187">
        <f>[2]CZ_decarbplus_opex!Q143</f>
        <v>4.4700000000000002E-5</v>
      </c>
      <c r="T143" s="187">
        <f>[2]CZ_decarbplus_opex!R143</f>
        <v>3.43E-5</v>
      </c>
      <c r="U143" s="187">
        <f>[2]CZ_decarbplus_opex!S143</f>
        <v>3.2673799999999997E-4</v>
      </c>
      <c r="V143" s="187">
        <f>[2]CZ_decarbplus_opex!T143</f>
        <v>4.8804000000000002E-4</v>
      </c>
      <c r="W143" s="187">
        <f>[2]CZ_decarbplus_opex!U143</f>
        <v>9.5600000000000006E-5</v>
      </c>
      <c r="X143" s="187">
        <f>[2]CZ_decarbplus_opex!V143</f>
        <v>3.9499999999999998E-5</v>
      </c>
      <c r="Y143" s="187">
        <f>[2]CZ_decarbplus_opex!W143</f>
        <v>3.5599999999999998E-5</v>
      </c>
      <c r="Z143" s="187">
        <f>[2]CZ_decarbplus_opex!X143</f>
        <v>1.09067E-4</v>
      </c>
      <c r="AA143" s="187">
        <f>[2]CZ_decarbplus_opex!Y143</f>
        <v>3.9900000000000001E-5</v>
      </c>
      <c r="AB143" s="188">
        <f>[3]CZ_decarb_opex!B143</f>
        <v>3.2498482502795903E-5</v>
      </c>
      <c r="AC143" s="188">
        <f>[3]CZ_decarb_opex!C143</f>
        <v>2.5880470555588102E-3</v>
      </c>
      <c r="AD143" s="188">
        <f>[3]CZ_decarb_opex!D143</f>
        <v>8.3627912108958898E-4</v>
      </c>
      <c r="AE143" s="188">
        <f>[2]CZ_decarbplus_opex!Z143</f>
        <v>6.6561099999999998E-4</v>
      </c>
      <c r="AF143" s="188">
        <f>[2]CZ_decarbplus_opex!AA143</f>
        <v>2.1672799999999999E-4</v>
      </c>
      <c r="AG143" s="188">
        <f>[2]CZ_decarbplus_opex!AB143</f>
        <v>3.8399999999999998E-5</v>
      </c>
      <c r="AH143" s="188">
        <f>[2]CZ_decarbplus_opex!AC143</f>
        <v>4.8000000000000001E-5</v>
      </c>
      <c r="AI143" s="188">
        <f>[2]CZ_decarbplus_opex!AD143</f>
        <v>5.1799999999999999E-5</v>
      </c>
      <c r="AJ143" s="188">
        <f>[2]CZ_decarbplus_opex!AE143</f>
        <v>8.5000000000000006E-5</v>
      </c>
      <c r="AK143" s="188">
        <f>[2]CZ_decarbplus_opex!AF143</f>
        <v>5.13E-5</v>
      </c>
      <c r="AL143" s="188">
        <f>[3]CZ_decarb_opex!E143</f>
        <v>1.2555797471430999E-4</v>
      </c>
      <c r="AM143" s="188">
        <f>[3]CZ_decarb_opex!F143</f>
        <v>4.9649270236720098E-5</v>
      </c>
      <c r="AN143" s="188">
        <f>[2]CZ_decarbplus_opex!AG143</f>
        <v>1.4533800000000001E-4</v>
      </c>
      <c r="AO143" s="188">
        <f>[3]CZ_decarb_opex!G143</f>
        <v>1.67055965540329E-4</v>
      </c>
      <c r="AP143" s="188">
        <f>[3]CZ_decarb_opex!H143</f>
        <v>2.8115435453907002E-4</v>
      </c>
      <c r="AQ143" s="188">
        <f>[2]CZ_decarbplus_opex!AH143</f>
        <v>3.0549499999999997E-4</v>
      </c>
      <c r="AR143" s="188">
        <f>[2]CZ_decarbplus_opex!AI143</f>
        <v>0</v>
      </c>
      <c r="AS143" s="188">
        <f>[2]CZ_decarbplus_opex!AJ143</f>
        <v>1.9642999999999999E-4</v>
      </c>
      <c r="AT143" s="188">
        <f>[2]CZ_decarbplus_opex!AK143</f>
        <v>1.3140999999999999E-4</v>
      </c>
      <c r="AU143" s="188">
        <f>[2]CZ_decarbplus_opex!AL143</f>
        <v>2.44E-5</v>
      </c>
      <c r="AV143" s="188">
        <f>[2]CZ_decarbplus_opex!AM143</f>
        <v>1.9400000000000001E-5</v>
      </c>
      <c r="AW143" s="188">
        <f>[2]CZ_decarbplus_opex!AN143</f>
        <v>2.1126200000000001E-4</v>
      </c>
      <c r="AX143" s="188">
        <f>[2]CZ_decarbplus_opex!AO143</f>
        <v>0</v>
      </c>
      <c r="AY143" s="188">
        <f>[2]CZ_decarbplus_opex!AP143</f>
        <v>9.4699999999999998E-5</v>
      </c>
      <c r="AZ143" s="188">
        <f>[2]CZ_decarbplus_opex!AQ143</f>
        <v>0</v>
      </c>
      <c r="BA143" s="188">
        <f>[2]CZ_decarbplus_opex!AR143</f>
        <v>1.4771900000000001E-4</v>
      </c>
      <c r="BB143" s="188">
        <f>[2]CZ_decarbplus_opex!AS143</f>
        <v>2.2347600000000001E-4</v>
      </c>
      <c r="BC143" s="188">
        <f>[2]CZ_decarbplus_opex!AT143</f>
        <v>3.5912299999999998E-4</v>
      </c>
      <c r="BD143" s="188">
        <f>[2]CZ_decarbplus_opex!AU143</f>
        <v>2.1399999999999998E-5</v>
      </c>
      <c r="BE143" s="188">
        <f>[2]CZ_decarbplus_opex!AV143</f>
        <v>5.1799999999999999E-5</v>
      </c>
      <c r="BF143" s="188">
        <f>[2]CZ_decarbplus_opex!AW143</f>
        <v>1.7799999999999999E-5</v>
      </c>
      <c r="BG143" s="188">
        <f>[2]CZ_decarbplus_opex!AX143</f>
        <v>8.8700000000000001E-5</v>
      </c>
      <c r="BH143" s="188">
        <f>[3]CZ_decarb_opex!I143</f>
        <v>1.20712569995955E-4</v>
      </c>
      <c r="BI143" s="188">
        <f>[2]CZ_decarbplus_opex!AY143</f>
        <v>1.70927E-4</v>
      </c>
      <c r="BJ143" s="188">
        <f>[2]CZ_decarbplus_opex!AZ143</f>
        <v>6.5500000000000006E-5</v>
      </c>
      <c r="BK143" s="188">
        <f>[2]CZ_decarbplus_opex!BA143</f>
        <v>2.6389399999999998E-4</v>
      </c>
      <c r="BL143" s="188">
        <f>[2]CZ_decarbplus_opex!BB143</f>
        <v>0</v>
      </c>
      <c r="BM143" s="188">
        <f>[3]CZ_decarb_opex!J143</f>
        <v>1.4435032833762899E-4</v>
      </c>
      <c r="BN143" s="188">
        <f>[3]CZ_decarb_opex!K143</f>
        <v>7.14343498200954E-4</v>
      </c>
      <c r="BO143" s="188">
        <f>[3]CZ_decarb_opex!L143</f>
        <v>1.49595826427949E-4</v>
      </c>
      <c r="BP143" s="188">
        <f>[3]CZ_decarb_opex!M143</f>
        <v>5.9883256233951598E-4</v>
      </c>
      <c r="BQ143" s="188">
        <f>[3]CZ_decarb_opex!N143</f>
        <v>7.0810344800912995E-5</v>
      </c>
      <c r="BR143" s="188">
        <f>[3]CZ_decarb_opex!O143</f>
        <v>8.1098978132677002E-6</v>
      </c>
      <c r="BS143" s="188">
        <f>[3]CZ_decarb_opex!P143</f>
        <v>1.66361357976287E-4</v>
      </c>
      <c r="BT143" s="188">
        <f>[3]CZ_decarb_opex!Q143</f>
        <v>9.75790149970564E-4</v>
      </c>
      <c r="BU143" s="188">
        <f>[3]CZ_decarb_opex!R143</f>
        <v>6.0979628860651099E-6</v>
      </c>
      <c r="BV143" s="188">
        <f>[3]CZ_decarb_opex!S143</f>
        <v>6.0979628860651302E-6</v>
      </c>
      <c r="BW143" s="188">
        <f>[3]CZ_decarb_opex!T143</f>
        <v>1.1610220052531901E-6</v>
      </c>
      <c r="BX143" s="188">
        <f>[3]CZ_decarb_opex!U143</f>
        <v>7.4594929926488098E-6</v>
      </c>
      <c r="BY143" s="188">
        <f>[3]CZ_decarb_opex!V143</f>
        <v>1.81300662326997E-6</v>
      </c>
      <c r="BZ143" s="188">
        <f>[2]CZ_decarbplus_opex!BC143</f>
        <v>3.8951799999999999E-4</v>
      </c>
      <c r="CA143" s="188">
        <f>[2]CZ_decarbplus_opex!BD143</f>
        <v>2.30437E-4</v>
      </c>
      <c r="CB143" s="188">
        <f>[2]CZ_decarbplus_opex!BE143</f>
        <v>1.77975E-4</v>
      </c>
      <c r="CC143" s="188">
        <f>[2]CZ_decarbplus_opex!BF143</f>
        <v>2.9624499999999999E-4</v>
      </c>
      <c r="CD143" s="188">
        <f>[2]CZ_decarbplus_opex!BG143</f>
        <v>1.87138E-4</v>
      </c>
      <c r="CE143" s="188">
        <f>[2]CZ_decarbplus_opex!BH143</f>
        <v>1.7119780000000001E-3</v>
      </c>
      <c r="CF143" s="188">
        <f>[2]CZ_decarbplus_opex!BI143</f>
        <v>1.0607699999999999E-4</v>
      </c>
      <c r="CG143" s="188">
        <f>[2]CZ_decarbplus_opex!BJ143</f>
        <v>4.4700000000000002E-5</v>
      </c>
    </row>
    <row r="144" spans="1:85" x14ac:dyDescent="0.25">
      <c r="A144" s="6" t="s">
        <v>279</v>
      </c>
      <c r="B144" s="2" t="s">
        <v>278</v>
      </c>
      <c r="C144" s="1" t="s">
        <v>335</v>
      </c>
      <c r="D144" s="187">
        <f>[2]CZ_decarbplus_opex!B144</f>
        <v>2.7100000000000001E-5</v>
      </c>
      <c r="E144" s="187">
        <f>[2]CZ_decarbplus_opex!C144</f>
        <v>4.9499999999999997E-5</v>
      </c>
      <c r="F144" s="187">
        <f>[2]CZ_decarbplus_opex!D144</f>
        <v>8.4400000000000005E-6</v>
      </c>
      <c r="G144" s="187">
        <f>[2]CZ_decarbplus_opex!E144</f>
        <v>2.6000000000000001E-6</v>
      </c>
      <c r="H144" s="187">
        <f>[2]CZ_decarbplus_opex!F144</f>
        <v>4.9899999999999997E-6</v>
      </c>
      <c r="I144" s="187">
        <f>[2]CZ_decarbplus_opex!G144</f>
        <v>4.6600000000000001E-5</v>
      </c>
      <c r="J144" s="187">
        <f>[2]CZ_decarbplus_opex!H144</f>
        <v>2.4899999999999999E-5</v>
      </c>
      <c r="K144" s="187">
        <f>[2]CZ_decarbplus_opex!I144</f>
        <v>7.7300000000000005E-6</v>
      </c>
      <c r="L144" s="187">
        <f>[2]CZ_decarbplus_opex!J144</f>
        <v>5.9899999999999999E-5</v>
      </c>
      <c r="M144" s="187">
        <f>[2]CZ_decarbplus_opex!K144</f>
        <v>1.75732E-4</v>
      </c>
      <c r="N144" s="187">
        <f>[2]CZ_decarbplus_opex!L144</f>
        <v>3.1203600000000002E-4</v>
      </c>
      <c r="O144" s="187">
        <f>[2]CZ_decarbplus_opex!M144</f>
        <v>7.1699999999999995E-5</v>
      </c>
      <c r="P144" s="187">
        <f>[2]CZ_decarbplus_opex!N144</f>
        <v>5.1199999999999998E-5</v>
      </c>
      <c r="Q144" s="187">
        <f>[2]CZ_decarbplus_opex!O144</f>
        <v>1.0900000000000001E-5</v>
      </c>
      <c r="R144" s="187">
        <f>[2]CZ_decarbplus_opex!P144</f>
        <v>4.6299999999999997E-6</v>
      </c>
      <c r="S144" s="187">
        <f>[2]CZ_decarbplus_opex!Q144</f>
        <v>1.4100000000000001E-5</v>
      </c>
      <c r="T144" s="187">
        <f>[2]CZ_decarbplus_opex!R144</f>
        <v>1.1E-5</v>
      </c>
      <c r="U144" s="187">
        <f>[2]CZ_decarbplus_opex!S144</f>
        <v>1.3255600000000001E-4</v>
      </c>
      <c r="V144" s="187">
        <f>[2]CZ_decarbplus_opex!T144</f>
        <v>2.1290999999999999E-4</v>
      </c>
      <c r="W144" s="187">
        <f>[2]CZ_decarbplus_opex!U144</f>
        <v>4.0200000000000001E-5</v>
      </c>
      <c r="X144" s="187">
        <f>[2]CZ_decarbplus_opex!V144</f>
        <v>1.2799999999999999E-5</v>
      </c>
      <c r="Y144" s="187">
        <f>[2]CZ_decarbplus_opex!W144</f>
        <v>1.1E-5</v>
      </c>
      <c r="Z144" s="187">
        <f>[2]CZ_decarbplus_opex!X144</f>
        <v>3.8000000000000002E-5</v>
      </c>
      <c r="AA144" s="187">
        <f>[2]CZ_decarbplus_opex!Y144</f>
        <v>2.2900000000000001E-5</v>
      </c>
      <c r="AB144" s="188">
        <f>[3]CZ_decarb_opex!B144</f>
        <v>2.6276194728761701E-5</v>
      </c>
      <c r="AC144" s="188">
        <f>[3]CZ_decarb_opex!C144</f>
        <v>1.1296942913681101E-3</v>
      </c>
      <c r="AD144" s="188">
        <f>[3]CZ_decarb_opex!D144</f>
        <v>3.88593520839776E-4</v>
      </c>
      <c r="AE144" s="188">
        <f>[2]CZ_decarbplus_opex!Z144</f>
        <v>3.1760000000000002E-4</v>
      </c>
      <c r="AF144" s="188">
        <f>[2]CZ_decarbplus_opex!AA144</f>
        <v>8.9599999999999996E-5</v>
      </c>
      <c r="AG144" s="188">
        <f>[2]CZ_decarbplus_opex!AB144</f>
        <v>1.36E-5</v>
      </c>
      <c r="AH144" s="188">
        <f>[2]CZ_decarbplus_opex!AC144</f>
        <v>1.8700000000000001E-5</v>
      </c>
      <c r="AI144" s="188">
        <f>[2]CZ_decarbplus_opex!AD144</f>
        <v>1.7799999999999999E-5</v>
      </c>
      <c r="AJ144" s="188">
        <f>[2]CZ_decarbplus_opex!AE144</f>
        <v>3.4100000000000002E-5</v>
      </c>
      <c r="AK144" s="188">
        <f>[2]CZ_decarbplus_opex!AF144</f>
        <v>2.09E-5</v>
      </c>
      <c r="AL144" s="188">
        <f>[3]CZ_decarb_opex!E144</f>
        <v>4.9132521427501298E-5</v>
      </c>
      <c r="AM144" s="188">
        <f>[3]CZ_decarb_opex!F144</f>
        <v>1.92403201310627E-5</v>
      </c>
      <c r="AN144" s="188">
        <f>[2]CZ_decarbplus_opex!AG144</f>
        <v>5.77E-5</v>
      </c>
      <c r="AO144" s="188">
        <f>[3]CZ_decarb_opex!G144</f>
        <v>6.42234940550313E-5</v>
      </c>
      <c r="AP144" s="188">
        <f>[3]CZ_decarb_opex!H144</f>
        <v>1.09189318881042E-4</v>
      </c>
      <c r="AQ144" s="188">
        <f>[2]CZ_decarbplus_opex!AH144</f>
        <v>1.2435500000000001E-4</v>
      </c>
      <c r="AR144" s="188">
        <f>[2]CZ_decarbplus_opex!AI144</f>
        <v>0</v>
      </c>
      <c r="AS144" s="188">
        <f>[2]CZ_decarbplus_opex!AJ144</f>
        <v>7.0199999999999999E-5</v>
      </c>
      <c r="AT144" s="188">
        <f>[2]CZ_decarbplus_opex!AK144</f>
        <v>4.3900000000000003E-5</v>
      </c>
      <c r="AU144" s="188">
        <f>[2]CZ_decarbplus_opex!AL144</f>
        <v>1.15E-5</v>
      </c>
      <c r="AV144" s="188">
        <f>[2]CZ_decarbplus_opex!AM144</f>
        <v>9.55E-6</v>
      </c>
      <c r="AW144" s="188">
        <f>[2]CZ_decarbplus_opex!AN144</f>
        <v>8.42E-5</v>
      </c>
      <c r="AX144" s="188">
        <f>[2]CZ_decarbplus_opex!AO144</f>
        <v>0</v>
      </c>
      <c r="AY144" s="188">
        <f>[2]CZ_decarbplus_opex!AP144</f>
        <v>4.5200000000000001E-5</v>
      </c>
      <c r="AZ144" s="188">
        <f>[2]CZ_decarbplus_opex!AQ144</f>
        <v>0</v>
      </c>
      <c r="BA144" s="188">
        <f>[2]CZ_decarbplus_opex!AR144</f>
        <v>6.4399999999999993E-5</v>
      </c>
      <c r="BB144" s="188">
        <f>[2]CZ_decarbplus_opex!AS144</f>
        <v>1.05719E-4</v>
      </c>
      <c r="BC144" s="188">
        <f>[2]CZ_decarbplus_opex!AT144</f>
        <v>1.69452E-4</v>
      </c>
      <c r="BD144" s="188">
        <f>[2]CZ_decarbplus_opex!AU144</f>
        <v>8.9900000000000003E-6</v>
      </c>
      <c r="BE144" s="188">
        <f>[2]CZ_decarbplus_opex!AV144</f>
        <v>2.02E-5</v>
      </c>
      <c r="BF144" s="188">
        <f>[2]CZ_decarbplus_opex!AW144</f>
        <v>6.7000000000000002E-6</v>
      </c>
      <c r="BG144" s="188">
        <f>[2]CZ_decarbplus_opex!AX144</f>
        <v>3.26E-5</v>
      </c>
      <c r="BH144" s="188">
        <f>[3]CZ_decarb_opex!I144</f>
        <v>5.68255332116226E-5</v>
      </c>
      <c r="BI144" s="188">
        <f>[2]CZ_decarbplus_opex!AY144</f>
        <v>8.0500000000000005E-5</v>
      </c>
      <c r="BJ144" s="188">
        <f>[2]CZ_decarbplus_opex!AZ144</f>
        <v>2.41E-5</v>
      </c>
      <c r="BK144" s="188">
        <f>[2]CZ_decarbplus_opex!BA144</f>
        <v>9.59E-5</v>
      </c>
      <c r="BL144" s="188">
        <f>[2]CZ_decarbplus_opex!BB144</f>
        <v>0</v>
      </c>
      <c r="BM144" s="188">
        <f>[3]CZ_decarb_opex!J144</f>
        <v>6.8776520887602494E-5</v>
      </c>
      <c r="BN144" s="188">
        <f>[3]CZ_decarb_opex!K144</f>
        <v>3.1261948121059197E-4</v>
      </c>
      <c r="BO144" s="188">
        <f>[3]CZ_decarb_opex!L144</f>
        <v>7.2517876183122499E-5</v>
      </c>
      <c r="BP144" s="188">
        <f>[3]CZ_decarb_opex!M144</f>
        <v>2.5771341926903899E-4</v>
      </c>
      <c r="BQ144" s="188">
        <f>[3]CZ_decarb_opex!N144</f>
        <v>4.1690910931073E-5</v>
      </c>
      <c r="BR144" s="188">
        <f>[3]CZ_decarb_opex!O144</f>
        <v>7.9375622120396392E-6</v>
      </c>
      <c r="BS144" s="188">
        <f>[3]CZ_decarb_opex!P144</f>
        <v>1.5149455839243801E-4</v>
      </c>
      <c r="BT144" s="188">
        <f>[3]CZ_decarb_opex!Q144</f>
        <v>1.7371977739871901E-3</v>
      </c>
      <c r="BU144" s="188">
        <f>[3]CZ_decarb_opex!R144</f>
        <v>1.36252964352462E-6</v>
      </c>
      <c r="BV144" s="188">
        <f>[3]CZ_decarb_opex!S144</f>
        <v>1.36252964352462E-6</v>
      </c>
      <c r="BW144" s="188">
        <f>[3]CZ_decarb_opex!T144</f>
        <v>2.8233739262875101E-7</v>
      </c>
      <c r="BX144" s="188">
        <f>[3]CZ_decarb_opex!U144</f>
        <v>4.6562959418414199E-6</v>
      </c>
      <c r="BY144" s="188">
        <f>[3]CZ_decarb_opex!V144</f>
        <v>2.0528902133965599E-6</v>
      </c>
      <c r="BZ144" s="188">
        <f>[2]CZ_decarbplus_opex!BC144</f>
        <v>1.7139E-4</v>
      </c>
      <c r="CA144" s="188">
        <f>[2]CZ_decarbplus_opex!BD144</f>
        <v>8.4900000000000004E-5</v>
      </c>
      <c r="CB144" s="188">
        <f>[2]CZ_decarbplus_opex!BE144</f>
        <v>6.3800000000000006E-5</v>
      </c>
      <c r="CC144" s="188">
        <f>[2]CZ_decarbplus_opex!BF144</f>
        <v>7.9300000000000003E-5</v>
      </c>
      <c r="CD144" s="188">
        <f>[2]CZ_decarbplus_opex!BG144</f>
        <v>8.2899999999999996E-5</v>
      </c>
      <c r="CE144" s="188">
        <f>[2]CZ_decarbplus_opex!BH144</f>
        <v>8.4236800000000002E-4</v>
      </c>
      <c r="CF144" s="188">
        <f>[2]CZ_decarbplus_opex!BI144</f>
        <v>3.2799999999999998E-5</v>
      </c>
      <c r="CG144" s="188">
        <f>[2]CZ_decarbplus_opex!BJ144</f>
        <v>1.7E-5</v>
      </c>
    </row>
    <row r="145" spans="1:85" x14ac:dyDescent="0.25">
      <c r="A145" s="6" t="s">
        <v>281</v>
      </c>
      <c r="B145" s="2" t="s">
        <v>280</v>
      </c>
      <c r="C145" s="1" t="s">
        <v>335</v>
      </c>
      <c r="D145" s="187">
        <f>[2]CZ_decarbplus_opex!B145</f>
        <v>1.6720400000000001E-4</v>
      </c>
      <c r="E145" s="187">
        <f>[2]CZ_decarbplus_opex!C145</f>
        <v>1.76157E-4</v>
      </c>
      <c r="F145" s="187">
        <f>[2]CZ_decarbplus_opex!D145</f>
        <v>2.7800000000000001E-5</v>
      </c>
      <c r="G145" s="187">
        <f>[2]CZ_decarbplus_opex!E145</f>
        <v>6.2400000000000004E-6</v>
      </c>
      <c r="H145" s="187">
        <f>[2]CZ_decarbplus_opex!F145</f>
        <v>1.0200000000000001E-5</v>
      </c>
      <c r="I145" s="187">
        <f>[2]CZ_decarbplus_opex!G145</f>
        <v>1.1409900000000001E-4</v>
      </c>
      <c r="J145" s="187">
        <f>[2]CZ_decarbplus_opex!H145</f>
        <v>9.2399999999999996E-5</v>
      </c>
      <c r="K145" s="187">
        <f>[2]CZ_decarbplus_opex!I145</f>
        <v>1.66E-5</v>
      </c>
      <c r="L145" s="187">
        <f>[2]CZ_decarbplus_opex!J145</f>
        <v>1.4626299999999999E-4</v>
      </c>
      <c r="M145" s="187">
        <f>[2]CZ_decarbplus_opex!K145</f>
        <v>3.9986500000000001E-4</v>
      </c>
      <c r="N145" s="187">
        <f>[2]CZ_decarbplus_opex!L145</f>
        <v>1.122191E-3</v>
      </c>
      <c r="O145" s="187">
        <f>[2]CZ_decarbplus_opex!M145</f>
        <v>2.9440500000000002E-4</v>
      </c>
      <c r="P145" s="187">
        <f>[2]CZ_decarbplus_opex!N145</f>
        <v>1.34714E-4</v>
      </c>
      <c r="Q145" s="187">
        <f>[2]CZ_decarbplus_opex!O145</f>
        <v>2.16E-5</v>
      </c>
      <c r="R145" s="187">
        <f>[2]CZ_decarbplus_opex!P145</f>
        <v>1.84E-5</v>
      </c>
      <c r="S145" s="187">
        <f>[2]CZ_decarbplus_opex!Q145</f>
        <v>4.2400000000000001E-5</v>
      </c>
      <c r="T145" s="187">
        <f>[2]CZ_decarbplus_opex!R145</f>
        <v>2.2099999999999998E-5</v>
      </c>
      <c r="U145" s="187">
        <f>[2]CZ_decarbplus_opex!S145</f>
        <v>3.3162000000000003E-4</v>
      </c>
      <c r="V145" s="187">
        <f>[2]CZ_decarbplus_opex!T145</f>
        <v>6.3807299999999996E-4</v>
      </c>
      <c r="W145" s="187">
        <f>[2]CZ_decarbplus_opex!U145</f>
        <v>1.10029E-4</v>
      </c>
      <c r="X145" s="187">
        <f>[2]CZ_decarbplus_opex!V145</f>
        <v>4.85E-5</v>
      </c>
      <c r="Y145" s="187">
        <f>[2]CZ_decarbplus_opex!W145</f>
        <v>2.69E-5</v>
      </c>
      <c r="Z145" s="187">
        <f>[2]CZ_decarbplus_opex!X145</f>
        <v>1.02124E-4</v>
      </c>
      <c r="AA145" s="187">
        <f>[2]CZ_decarbplus_opex!Y145</f>
        <v>5.5099999999999998E-5</v>
      </c>
      <c r="AB145" s="188">
        <f>[3]CZ_decarb_opex!B145</f>
        <v>3.2522581951519903E-5</v>
      </c>
      <c r="AC145" s="188">
        <f>[3]CZ_decarb_opex!C145</f>
        <v>4.1264233017965397E-3</v>
      </c>
      <c r="AD145" s="188">
        <f>[3]CZ_decarb_opex!D145</f>
        <v>1.0647293888047E-3</v>
      </c>
      <c r="AE145" s="188">
        <f>[2]CZ_decarbplus_opex!Z145</f>
        <v>7.75546E-4</v>
      </c>
      <c r="AF145" s="188">
        <f>[2]CZ_decarbplus_opex!AA145</f>
        <v>2.12969E-4</v>
      </c>
      <c r="AG145" s="188">
        <f>[2]CZ_decarbplus_opex!AB145</f>
        <v>4.1399999999999997E-5</v>
      </c>
      <c r="AH145" s="188">
        <f>[2]CZ_decarbplus_opex!AC145</f>
        <v>6.5900000000000003E-5</v>
      </c>
      <c r="AI145" s="188">
        <f>[2]CZ_decarbplus_opex!AD145</f>
        <v>4.2500000000000003E-5</v>
      </c>
      <c r="AJ145" s="188">
        <f>[2]CZ_decarbplus_opex!AE145</f>
        <v>1.26568E-4</v>
      </c>
      <c r="AK145" s="188">
        <f>[2]CZ_decarbplus_opex!AF145</f>
        <v>5.13E-5</v>
      </c>
      <c r="AL145" s="188">
        <f>[3]CZ_decarb_opex!E145</f>
        <v>1.5809233314637101E-4</v>
      </c>
      <c r="AM145" s="188">
        <f>[3]CZ_decarb_opex!F145</f>
        <v>4.8385898280453403E-5</v>
      </c>
      <c r="AN145" s="188">
        <f>[2]CZ_decarbplus_opex!AG145</f>
        <v>1.6749199999999999E-4</v>
      </c>
      <c r="AO145" s="188">
        <f>[3]CZ_decarb_opex!G145</f>
        <v>2.2163692143224899E-4</v>
      </c>
      <c r="AP145" s="188">
        <f>[3]CZ_decarb_opex!H145</f>
        <v>3.6544321876864498E-4</v>
      </c>
      <c r="AQ145" s="188">
        <f>[2]CZ_decarbplus_opex!AH145</f>
        <v>4.2670799999999998E-4</v>
      </c>
      <c r="AR145" s="188">
        <f>[2]CZ_decarbplus_opex!AI145</f>
        <v>0</v>
      </c>
      <c r="AS145" s="188">
        <f>[2]CZ_decarbplus_opex!AJ145</f>
        <v>2.7539900000000001E-4</v>
      </c>
      <c r="AT145" s="188">
        <f>[2]CZ_decarbplus_opex!AK145</f>
        <v>1.9863699999999999E-4</v>
      </c>
      <c r="AU145" s="188">
        <f>[2]CZ_decarbplus_opex!AL145</f>
        <v>2.5000000000000001E-5</v>
      </c>
      <c r="AV145" s="188">
        <f>[2]CZ_decarbplus_opex!AM145</f>
        <v>1.9599999999999999E-5</v>
      </c>
      <c r="AW145" s="188">
        <f>[2]CZ_decarbplus_opex!AN145</f>
        <v>3.1157899999999998E-4</v>
      </c>
      <c r="AX145" s="188">
        <f>[2]CZ_decarbplus_opex!AO145</f>
        <v>0</v>
      </c>
      <c r="AY145" s="188">
        <f>[2]CZ_decarbplus_opex!AP145</f>
        <v>1.2319800000000001E-4</v>
      </c>
      <c r="AZ145" s="188">
        <f>[2]CZ_decarbplus_opex!AQ145</f>
        <v>0</v>
      </c>
      <c r="BA145" s="188">
        <f>[2]CZ_decarbplus_opex!AR145</f>
        <v>1.76133E-4</v>
      </c>
      <c r="BB145" s="188">
        <f>[2]CZ_decarbplus_opex!AS145</f>
        <v>2.1942399999999999E-4</v>
      </c>
      <c r="BC145" s="188">
        <f>[2]CZ_decarbplus_opex!AT145</f>
        <v>3.4939200000000002E-4</v>
      </c>
      <c r="BD145" s="188">
        <f>[2]CZ_decarbplus_opex!AU145</f>
        <v>3.7400000000000001E-5</v>
      </c>
      <c r="BE145" s="188">
        <f>[2]CZ_decarbplus_opex!AV145</f>
        <v>5.0599999999999997E-5</v>
      </c>
      <c r="BF145" s="188">
        <f>[2]CZ_decarbplus_opex!AW145</f>
        <v>2.5599999999999999E-5</v>
      </c>
      <c r="BG145" s="188">
        <f>[2]CZ_decarbplus_opex!AX145</f>
        <v>8.7000000000000001E-5</v>
      </c>
      <c r="BH145" s="188">
        <f>[3]CZ_decarb_opex!I145</f>
        <v>1.2382905040129999E-4</v>
      </c>
      <c r="BI145" s="188">
        <f>[2]CZ_decarbplus_opex!AY145</f>
        <v>1.8370100000000001E-4</v>
      </c>
      <c r="BJ145" s="188">
        <f>[2]CZ_decarbplus_opex!AZ145</f>
        <v>7.1899999999999999E-5</v>
      </c>
      <c r="BK145" s="188">
        <f>[2]CZ_decarbplus_opex!BA145</f>
        <v>3.5830500000000001E-4</v>
      </c>
      <c r="BL145" s="188">
        <f>[2]CZ_decarbplus_opex!BB145</f>
        <v>0</v>
      </c>
      <c r="BM145" s="188">
        <f>[3]CZ_decarb_opex!J145</f>
        <v>1.7480490318179501E-4</v>
      </c>
      <c r="BN145" s="188">
        <f>[3]CZ_decarb_opex!K145</f>
        <v>1.13162057853957E-3</v>
      </c>
      <c r="BO145" s="188">
        <f>[3]CZ_decarb_opex!L145</f>
        <v>1.7459468186405299E-4</v>
      </c>
      <c r="BP145" s="188">
        <f>[3]CZ_decarb_opex!M145</f>
        <v>9.914149881881391E-4</v>
      </c>
      <c r="BQ145" s="188">
        <f>[3]CZ_decarb_opex!N145</f>
        <v>7.4047444777351496E-5</v>
      </c>
      <c r="BR145" s="188">
        <f>[3]CZ_decarb_opex!O145</f>
        <v>1.29041479310644E-5</v>
      </c>
      <c r="BS145" s="188">
        <f>[3]CZ_decarb_opex!P145</f>
        <v>1.7116340292651499E-4</v>
      </c>
      <c r="BT145" s="188">
        <f>[3]CZ_decarb_opex!Q145</f>
        <v>5.1950850008415702E-3</v>
      </c>
      <c r="BU145" s="188">
        <f>[3]CZ_decarb_opex!R145</f>
        <v>1.00130812514957E-5</v>
      </c>
      <c r="BV145" s="188">
        <f>[3]CZ_decarb_opex!S145</f>
        <v>1.00130812514957E-5</v>
      </c>
      <c r="BW145" s="188">
        <f>[3]CZ_decarb_opex!T145</f>
        <v>1.72155306224222E-6</v>
      </c>
      <c r="BX145" s="188">
        <f>[3]CZ_decarb_opex!U145</f>
        <v>8.2575287423926993E-6</v>
      </c>
      <c r="BY145" s="188">
        <f>[3]CZ_decarb_opex!V145</f>
        <v>2.2159292229306598E-6</v>
      </c>
      <c r="BZ145" s="188">
        <f>[2]CZ_decarbplus_opex!BC145</f>
        <v>6.0129200000000002E-4</v>
      </c>
      <c r="CA145" s="188">
        <f>[2]CZ_decarbplus_opex!BD145</f>
        <v>1.8662400000000001E-4</v>
      </c>
      <c r="CB145" s="188">
        <f>[2]CZ_decarbplus_opex!BE145</f>
        <v>1.10776E-4</v>
      </c>
      <c r="CC145" s="188">
        <f>[2]CZ_decarbplus_opex!BF145</f>
        <v>8.7899999999999995E-5</v>
      </c>
      <c r="CD145" s="188">
        <f>[2]CZ_decarbplus_opex!BG145</f>
        <v>2.6445100000000002E-4</v>
      </c>
      <c r="CE145" s="188">
        <f>[2]CZ_decarbplus_opex!BH145</f>
        <v>1.7590990000000001E-3</v>
      </c>
      <c r="CF145" s="188">
        <f>[2]CZ_decarbplus_opex!BI145</f>
        <v>1.4657900000000001E-4</v>
      </c>
      <c r="CG145" s="188">
        <f>[2]CZ_decarbplus_opex!BJ145</f>
        <v>4.3800000000000001E-5</v>
      </c>
    </row>
    <row r="146" spans="1:85" x14ac:dyDescent="0.25">
      <c r="A146" s="6" t="s">
        <v>283</v>
      </c>
      <c r="B146" s="2" t="s">
        <v>282</v>
      </c>
      <c r="C146" s="1" t="s">
        <v>335</v>
      </c>
      <c r="D146" s="187">
        <f>[2]CZ_decarbplus_opex!B146</f>
        <v>2.44E-5</v>
      </c>
      <c r="E146" s="187">
        <f>[2]CZ_decarbplus_opex!C146</f>
        <v>2.9499999999999999E-5</v>
      </c>
      <c r="F146" s="187">
        <f>[2]CZ_decarbplus_opex!D146</f>
        <v>5.9699999999999996E-6</v>
      </c>
      <c r="G146" s="187">
        <f>[2]CZ_decarbplus_opex!E146</f>
        <v>1.81E-6</v>
      </c>
      <c r="H146" s="187">
        <f>[2]CZ_decarbplus_opex!F146</f>
        <v>8.2399999999999997E-7</v>
      </c>
      <c r="I146" s="187">
        <f>[2]CZ_decarbplus_opex!G146</f>
        <v>2.5599999999999999E-5</v>
      </c>
      <c r="J146" s="187">
        <f>[2]CZ_decarbplus_opex!H146</f>
        <v>2.58E-5</v>
      </c>
      <c r="K146" s="187">
        <f>[2]CZ_decarbplus_opex!I146</f>
        <v>5.75E-6</v>
      </c>
      <c r="L146" s="187">
        <f>[2]CZ_decarbplus_opex!J146</f>
        <v>3.0599999999999998E-5</v>
      </c>
      <c r="M146" s="187">
        <f>[2]CZ_decarbplus_opex!K146</f>
        <v>8.8200000000000003E-5</v>
      </c>
      <c r="N146" s="187">
        <f>[2]CZ_decarbplus_opex!L146</f>
        <v>4.1E-5</v>
      </c>
      <c r="O146" s="187">
        <f>[2]CZ_decarbplus_opex!M146</f>
        <v>2.3900000000000002E-5</v>
      </c>
      <c r="P146" s="187">
        <f>[2]CZ_decarbplus_opex!N146</f>
        <v>3.1399999999999998E-5</v>
      </c>
      <c r="Q146" s="187">
        <f>[2]CZ_decarbplus_opex!O146</f>
        <v>1.01E-5</v>
      </c>
      <c r="R146" s="187">
        <f>[2]CZ_decarbplus_opex!P146</f>
        <v>4.5700000000000003E-6</v>
      </c>
      <c r="S146" s="187">
        <f>[2]CZ_decarbplus_opex!Q146</f>
        <v>6.9600000000000003E-6</v>
      </c>
      <c r="T146" s="187">
        <f>[2]CZ_decarbplus_opex!R146</f>
        <v>1.0000000000000001E-5</v>
      </c>
      <c r="U146" s="187">
        <f>[2]CZ_decarbplus_opex!S146</f>
        <v>7.86E-5</v>
      </c>
      <c r="V146" s="187">
        <f>[2]CZ_decarbplus_opex!T146</f>
        <v>1.19879E-4</v>
      </c>
      <c r="W146" s="187">
        <f>[2]CZ_decarbplus_opex!U146</f>
        <v>2.2799999999999999E-5</v>
      </c>
      <c r="X146" s="187">
        <f>[2]CZ_decarbplus_opex!V146</f>
        <v>5.84E-6</v>
      </c>
      <c r="Y146" s="187">
        <f>[2]CZ_decarbplus_opex!W146</f>
        <v>9.6199999999999994E-6</v>
      </c>
      <c r="Z146" s="187">
        <f>[2]CZ_decarbplus_opex!X146</f>
        <v>2.5999999999999998E-5</v>
      </c>
      <c r="AA146" s="187">
        <f>[2]CZ_decarbplus_opex!Y146</f>
        <v>2.09E-5</v>
      </c>
      <c r="AB146" s="188">
        <f>[3]CZ_decarb_opex!B146</f>
        <v>1.5648001352756201E-5</v>
      </c>
      <c r="AC146" s="188">
        <f>[3]CZ_decarb_opex!C146</f>
        <v>1.11934697852692E-4</v>
      </c>
      <c r="AD146" s="188">
        <f>[3]CZ_decarb_opex!D146</f>
        <v>2.0235943989805401E-4</v>
      </c>
      <c r="AE146" s="188">
        <f>[2]CZ_decarbplus_opex!Z146</f>
        <v>1.58956E-4</v>
      </c>
      <c r="AF146" s="188">
        <f>[2]CZ_decarbplus_opex!AA146</f>
        <v>4.9299999999999999E-5</v>
      </c>
      <c r="AG146" s="188">
        <f>[2]CZ_decarbplus_opex!AB146</f>
        <v>8.8899999999999996E-6</v>
      </c>
      <c r="AH146" s="188">
        <f>[2]CZ_decarbplus_opex!AC146</f>
        <v>1.1800000000000001E-5</v>
      </c>
      <c r="AI146" s="188">
        <f>[2]CZ_decarbplus_opex!AD146</f>
        <v>1.2099999999999999E-5</v>
      </c>
      <c r="AJ146" s="188">
        <f>[2]CZ_decarbplus_opex!AE146</f>
        <v>5.6799999999999998E-6</v>
      </c>
      <c r="AK146" s="188">
        <f>[2]CZ_decarbplus_opex!AF146</f>
        <v>1.2500000000000001E-5</v>
      </c>
      <c r="AL146" s="188">
        <f>[3]CZ_decarb_opex!E146</f>
        <v>3.0744996846169401E-5</v>
      </c>
      <c r="AM146" s="188">
        <f>[3]CZ_decarb_opex!F146</f>
        <v>1.1415543674242001E-5</v>
      </c>
      <c r="AN146" s="188">
        <f>[2]CZ_decarbplus_opex!AG146</f>
        <v>3.5299999999999997E-5</v>
      </c>
      <c r="AO146" s="188">
        <f>[3]CZ_decarb_opex!G146</f>
        <v>3.81666819874706E-5</v>
      </c>
      <c r="AP146" s="188">
        <f>[3]CZ_decarb_opex!H146</f>
        <v>6.6782222505662805E-5</v>
      </c>
      <c r="AQ146" s="188">
        <f>[2]CZ_decarbplus_opex!AH146</f>
        <v>7.3499999999999998E-5</v>
      </c>
      <c r="AR146" s="188">
        <f>[2]CZ_decarbplus_opex!AI146</f>
        <v>0</v>
      </c>
      <c r="AS146" s="188">
        <f>[2]CZ_decarbplus_opex!AJ146</f>
        <v>2.3600000000000001E-5</v>
      </c>
      <c r="AT146" s="188">
        <f>[2]CZ_decarbplus_opex!AK146</f>
        <v>3.0499999999999999E-5</v>
      </c>
      <c r="AU146" s="188">
        <f>[2]CZ_decarbplus_opex!AL146</f>
        <v>5.7400000000000001E-6</v>
      </c>
      <c r="AV146" s="188">
        <f>[2]CZ_decarbplus_opex!AM146</f>
        <v>4.6399999999999996E-6</v>
      </c>
      <c r="AW146" s="188">
        <f>[2]CZ_decarbplus_opex!AN146</f>
        <v>5.13E-5</v>
      </c>
      <c r="AX146" s="188">
        <f>[2]CZ_decarbplus_opex!AO146</f>
        <v>0</v>
      </c>
      <c r="AY146" s="188">
        <f>[2]CZ_decarbplus_opex!AP146</f>
        <v>1.27E-5</v>
      </c>
      <c r="AZ146" s="188">
        <f>[2]CZ_decarbplus_opex!AQ146</f>
        <v>0</v>
      </c>
      <c r="BA146" s="188">
        <f>[2]CZ_decarbplus_opex!AR146</f>
        <v>3.4100000000000002E-5</v>
      </c>
      <c r="BB146" s="188">
        <f>[2]CZ_decarbplus_opex!AS146</f>
        <v>5.13E-5</v>
      </c>
      <c r="BC146" s="188">
        <f>[2]CZ_decarbplus_opex!AT146</f>
        <v>8.2200000000000006E-5</v>
      </c>
      <c r="BD146" s="188">
        <f>[2]CZ_decarbplus_opex!AU146</f>
        <v>5.1900000000000003E-6</v>
      </c>
      <c r="BE146" s="188">
        <f>[2]CZ_decarbplus_opex!AV146</f>
        <v>1.2E-5</v>
      </c>
      <c r="BF146" s="188">
        <f>[2]CZ_decarbplus_opex!AW146</f>
        <v>4.7700000000000001E-6</v>
      </c>
      <c r="BG146" s="188">
        <f>[2]CZ_decarbplus_opex!AX146</f>
        <v>2.0999999999999999E-5</v>
      </c>
      <c r="BH146" s="188">
        <f>[3]CZ_decarb_opex!I146</f>
        <v>2.7689956282423299E-5</v>
      </c>
      <c r="BI146" s="188">
        <f>[2]CZ_decarbplus_opex!AY146</f>
        <v>3.96E-5</v>
      </c>
      <c r="BJ146" s="188">
        <f>[2]CZ_decarbplus_opex!AZ146</f>
        <v>1.52E-5</v>
      </c>
      <c r="BK146" s="188">
        <f>[2]CZ_decarbplus_opex!BA146</f>
        <v>6.02E-5</v>
      </c>
      <c r="BL146" s="188">
        <f>[2]CZ_decarbplus_opex!BB146</f>
        <v>0</v>
      </c>
      <c r="BM146" s="188">
        <f>[3]CZ_decarb_opex!J146</f>
        <v>3.3642282720215702E-5</v>
      </c>
      <c r="BN146" s="188">
        <f>[3]CZ_decarb_opex!K146</f>
        <v>1.8476862176250501E-4</v>
      </c>
      <c r="BO146" s="188">
        <f>[3]CZ_decarb_opex!L146</f>
        <v>3.5611587615944599E-5</v>
      </c>
      <c r="BP146" s="188">
        <f>[3]CZ_decarb_opex!M146</f>
        <v>1.57129671573601E-5</v>
      </c>
      <c r="BQ146" s="188">
        <f>[3]CZ_decarb_opex!N146</f>
        <v>2.75368899318521E-5</v>
      </c>
      <c r="BR146" s="188">
        <f>[3]CZ_decarb_opex!O146</f>
        <v>1.53378372566094E-6</v>
      </c>
      <c r="BS146" s="188">
        <f>[3]CZ_decarb_opex!P146</f>
        <v>1.34814709809548E-4</v>
      </c>
      <c r="BT146" s="188">
        <f>[3]CZ_decarb_opex!Q146</f>
        <v>1.7200415046981401E-4</v>
      </c>
      <c r="BU146" s="188">
        <f>[3]CZ_decarb_opex!R146</f>
        <v>1.34590053272834E-6</v>
      </c>
      <c r="BV146" s="188">
        <f>[3]CZ_decarb_opex!S146</f>
        <v>1.34590053272834E-6</v>
      </c>
      <c r="BW146" s="188">
        <f>[3]CZ_decarb_opex!T146</f>
        <v>2.5762957422837099E-7</v>
      </c>
      <c r="BX146" s="188">
        <f>[3]CZ_decarb_opex!U146</f>
        <v>3.2702837357668302E-6</v>
      </c>
      <c r="BY146" s="188">
        <f>[3]CZ_decarb_opex!V146</f>
        <v>5.86207901803422E-8</v>
      </c>
      <c r="BZ146" s="188">
        <f>[2]CZ_decarbplus_opex!BC146</f>
        <v>9.8300000000000004E-5</v>
      </c>
      <c r="CA146" s="188">
        <f>[2]CZ_decarbplus_opex!BD146</f>
        <v>5.4799999999999997E-5</v>
      </c>
      <c r="CB146" s="188">
        <f>[2]CZ_decarbplus_opex!BE146</f>
        <v>4.1699999999999997E-5</v>
      </c>
      <c r="CC146" s="188">
        <f>[2]CZ_decarbplus_opex!BF146</f>
        <v>7.0099999999999996E-5</v>
      </c>
      <c r="CD146" s="188">
        <f>[2]CZ_decarbplus_opex!BG146</f>
        <v>4.6300000000000001E-5</v>
      </c>
      <c r="CE146" s="188">
        <f>[2]CZ_decarbplus_opex!BH146</f>
        <v>3.96349E-4</v>
      </c>
      <c r="CF146" s="188">
        <f>[2]CZ_decarbplus_opex!BI146</f>
        <v>2.3499999999999999E-5</v>
      </c>
      <c r="CG146" s="188">
        <f>[2]CZ_decarbplus_opex!BJ146</f>
        <v>1.31E-5</v>
      </c>
    </row>
    <row r="147" spans="1:85" x14ac:dyDescent="0.25">
      <c r="A147" s="6" t="s">
        <v>285</v>
      </c>
      <c r="B147" s="2" t="s">
        <v>284</v>
      </c>
      <c r="C147" s="1" t="s">
        <v>335</v>
      </c>
      <c r="D147" s="187">
        <f>[2]CZ_decarbplus_opex!B147</f>
        <v>3.1600000000000002E-5</v>
      </c>
      <c r="E147" s="187">
        <f>[2]CZ_decarbplus_opex!C147</f>
        <v>3.7499999999999997E-5</v>
      </c>
      <c r="F147" s="187">
        <f>[2]CZ_decarbplus_opex!D147</f>
        <v>6.9600000000000003E-6</v>
      </c>
      <c r="G147" s="187">
        <f>[2]CZ_decarbplus_opex!E147</f>
        <v>2.04E-6</v>
      </c>
      <c r="H147" s="187">
        <f>[2]CZ_decarbplus_opex!F147</f>
        <v>4.6999999999999999E-6</v>
      </c>
      <c r="I147" s="187">
        <f>[2]CZ_decarbplus_opex!G147</f>
        <v>3.3000000000000003E-5</v>
      </c>
      <c r="J147" s="187">
        <f>[2]CZ_decarbplus_opex!H147</f>
        <v>3.4799999999999999E-5</v>
      </c>
      <c r="K147" s="187">
        <f>[2]CZ_decarbplus_opex!I147</f>
        <v>6.2700000000000001E-6</v>
      </c>
      <c r="L147" s="187">
        <f>[2]CZ_decarbplus_opex!J147</f>
        <v>3.93E-5</v>
      </c>
      <c r="M147" s="187">
        <f>[2]CZ_decarbplus_opex!K147</f>
        <v>1.12781E-4</v>
      </c>
      <c r="N147" s="187">
        <f>[2]CZ_decarbplus_opex!L147</f>
        <v>2.3164E-4</v>
      </c>
      <c r="O147" s="187">
        <f>[2]CZ_decarbplus_opex!M147</f>
        <v>6.02E-5</v>
      </c>
      <c r="P147" s="187">
        <f>[2]CZ_decarbplus_opex!N147</f>
        <v>4.21E-5</v>
      </c>
      <c r="Q147" s="187">
        <f>[2]CZ_decarbplus_opex!O147</f>
        <v>1.3699999999999999E-5</v>
      </c>
      <c r="R147" s="187">
        <f>[2]CZ_decarbplus_opex!P147</f>
        <v>5.4099999999999999E-6</v>
      </c>
      <c r="S147" s="187">
        <f>[2]CZ_decarbplus_opex!Q147</f>
        <v>1.42E-5</v>
      </c>
      <c r="T147" s="187">
        <f>[2]CZ_decarbplus_opex!R147</f>
        <v>1.26E-5</v>
      </c>
      <c r="U147" s="187">
        <f>[2]CZ_decarbplus_opex!S147</f>
        <v>1.01722E-4</v>
      </c>
      <c r="V147" s="187">
        <f>[2]CZ_decarbplus_opex!T147</f>
        <v>1.5290900000000001E-4</v>
      </c>
      <c r="W147" s="187">
        <f>[2]CZ_decarbplus_opex!U147</f>
        <v>2.9600000000000001E-5</v>
      </c>
      <c r="X147" s="187">
        <f>[2]CZ_decarbplus_opex!V147</f>
        <v>1.24E-5</v>
      </c>
      <c r="Y147" s="187">
        <f>[2]CZ_decarbplus_opex!W147</f>
        <v>1.24E-5</v>
      </c>
      <c r="Z147" s="187">
        <f>[2]CZ_decarbplus_opex!X147</f>
        <v>3.4199999999999998E-5</v>
      </c>
      <c r="AA147" s="187">
        <f>[2]CZ_decarbplus_opex!Y147</f>
        <v>2.16E-5</v>
      </c>
      <c r="AB147" s="188">
        <f>[3]CZ_decarb_opex!B147</f>
        <v>1.52458046658861E-5</v>
      </c>
      <c r="AC147" s="188">
        <f>[3]CZ_decarb_opex!C147</f>
        <v>1.4275907378356799E-4</v>
      </c>
      <c r="AD147" s="188">
        <f>[3]CZ_decarb_opex!D147</f>
        <v>2.5685935897586999E-4</v>
      </c>
      <c r="AE147" s="188">
        <f>[2]CZ_decarbplus_opex!Z147</f>
        <v>2.0192300000000001E-4</v>
      </c>
      <c r="AF147" s="188">
        <f>[2]CZ_decarbplus_opex!AA147</f>
        <v>6.4300000000000004E-5</v>
      </c>
      <c r="AG147" s="188">
        <f>[2]CZ_decarbplus_opex!AB147</f>
        <v>1.1800000000000001E-5</v>
      </c>
      <c r="AH147" s="188">
        <f>[2]CZ_decarbplus_opex!AC147</f>
        <v>1.5299999999999999E-5</v>
      </c>
      <c r="AI147" s="188">
        <f>[2]CZ_decarbplus_opex!AD147</f>
        <v>1.5800000000000001E-5</v>
      </c>
      <c r="AJ147" s="188">
        <f>[2]CZ_decarbplus_opex!AE147</f>
        <v>2.73E-5</v>
      </c>
      <c r="AK147" s="188">
        <f>[2]CZ_decarbplus_opex!AF147</f>
        <v>1.5500000000000001E-5</v>
      </c>
      <c r="AL147" s="188">
        <f>[3]CZ_decarb_opex!E147</f>
        <v>3.9829477882566297E-5</v>
      </c>
      <c r="AM147" s="188">
        <f>[3]CZ_decarb_opex!F147</f>
        <v>1.50239592426961E-5</v>
      </c>
      <c r="AN147" s="188">
        <f>[2]CZ_decarbplus_opex!AG147</f>
        <v>4.57E-5</v>
      </c>
      <c r="AO147" s="188">
        <f>[3]CZ_decarb_opex!G147</f>
        <v>4.9611908384660403E-5</v>
      </c>
      <c r="AP147" s="188">
        <f>[3]CZ_decarb_opex!H147</f>
        <v>8.5734260245084098E-5</v>
      </c>
      <c r="AQ147" s="188">
        <f>[2]CZ_decarbplus_opex!AH147</f>
        <v>9.3700000000000001E-5</v>
      </c>
      <c r="AR147" s="188">
        <f>[2]CZ_decarbplus_opex!AI147</f>
        <v>0</v>
      </c>
      <c r="AS147" s="188">
        <f>[2]CZ_decarbplus_opex!AJ147</f>
        <v>6.0800000000000001E-5</v>
      </c>
      <c r="AT147" s="188">
        <f>[2]CZ_decarbplus_opex!AK147</f>
        <v>3.9100000000000002E-5</v>
      </c>
      <c r="AU147" s="188">
        <f>[2]CZ_decarbplus_opex!AL147</f>
        <v>7.2899999999999997E-6</v>
      </c>
      <c r="AV147" s="188">
        <f>[2]CZ_decarbplus_opex!AM147</f>
        <v>5.8699999999999997E-6</v>
      </c>
      <c r="AW147" s="188">
        <f>[2]CZ_decarbplus_opex!AN147</f>
        <v>6.5199999999999999E-5</v>
      </c>
      <c r="AX147" s="188">
        <f>[2]CZ_decarbplus_opex!AO147</f>
        <v>0</v>
      </c>
      <c r="AY147" s="188">
        <f>[2]CZ_decarbplus_opex!AP147</f>
        <v>1.66E-5</v>
      </c>
      <c r="AZ147" s="188">
        <f>[2]CZ_decarbplus_opex!AQ147</f>
        <v>0</v>
      </c>
      <c r="BA147" s="188">
        <f>[2]CZ_decarbplus_opex!AR147</f>
        <v>4.3800000000000001E-5</v>
      </c>
      <c r="BB147" s="188">
        <f>[2]CZ_decarbplus_opex!AS147</f>
        <v>6.58E-5</v>
      </c>
      <c r="BC147" s="188">
        <f>[2]CZ_decarbplus_opex!AT147</f>
        <v>1.0553299999999999E-4</v>
      </c>
      <c r="BD147" s="188">
        <f>[2]CZ_decarbplus_opex!AU147</f>
        <v>6.8600000000000004E-6</v>
      </c>
      <c r="BE147" s="188">
        <f>[2]CZ_decarbplus_opex!AV147</f>
        <v>1.59E-5</v>
      </c>
      <c r="BF147" s="188">
        <f>[2]CZ_decarbplus_opex!AW147</f>
        <v>6.4999999999999996E-6</v>
      </c>
      <c r="BG147" s="188">
        <f>[2]CZ_decarbplus_opex!AX147</f>
        <v>2.7500000000000001E-5</v>
      </c>
      <c r="BH147" s="188">
        <f>[3]CZ_decarb_opex!I147</f>
        <v>3.5562747680392801E-5</v>
      </c>
      <c r="BI147" s="188">
        <f>[2]CZ_decarbplus_opex!AY147</f>
        <v>5.0899999999999997E-5</v>
      </c>
      <c r="BJ147" s="188">
        <f>[2]CZ_decarbplus_opex!AZ147</f>
        <v>2.0000000000000002E-5</v>
      </c>
      <c r="BK147" s="188">
        <f>[2]CZ_decarbplus_opex!BA147</f>
        <v>7.7299999999999995E-5</v>
      </c>
      <c r="BL147" s="188">
        <f>[2]CZ_decarbplus_opex!BB147</f>
        <v>0</v>
      </c>
      <c r="BM147" s="188">
        <f>[3]CZ_decarb_opex!J147</f>
        <v>4.3719683304310201E-5</v>
      </c>
      <c r="BN147" s="188">
        <f>[3]CZ_decarb_opex!K147</f>
        <v>2.3220458368928E-4</v>
      </c>
      <c r="BO147" s="188">
        <f>[3]CZ_decarb_opex!L147</f>
        <v>4.5219309976742701E-5</v>
      </c>
      <c r="BP147" s="188">
        <f>[3]CZ_decarb_opex!M147</f>
        <v>1.9357819924436999E-4</v>
      </c>
      <c r="BQ147" s="188">
        <f>[3]CZ_decarb_opex!N147</f>
        <v>2.9981196607720101E-5</v>
      </c>
      <c r="BR147" s="188">
        <f>[3]CZ_decarb_opex!O147</f>
        <v>5.0164138031321796E-6</v>
      </c>
      <c r="BS147" s="188">
        <f>[3]CZ_decarb_opex!P147</f>
        <v>1.34681836798255E-4</v>
      </c>
      <c r="BT147" s="188">
        <f>[3]CZ_decarb_opex!Q147</f>
        <v>3.3442825720528301E-4</v>
      </c>
      <c r="BU147" s="188">
        <f>[3]CZ_decarb_opex!R147</f>
        <v>1.77282040800598E-6</v>
      </c>
      <c r="BV147" s="188">
        <f>[3]CZ_decarb_opex!S147</f>
        <v>1.77282040800598E-6</v>
      </c>
      <c r="BW147" s="188">
        <f>[3]CZ_decarb_opex!T147</f>
        <v>3.4009303322855798E-7</v>
      </c>
      <c r="BX147" s="188">
        <f>[3]CZ_decarb_opex!U147</f>
        <v>4.0414081473989398E-6</v>
      </c>
      <c r="BY147" s="188">
        <f>[3]CZ_decarb_opex!V147</f>
        <v>1.87612958051114E-6</v>
      </c>
      <c r="BZ147" s="188">
        <f>[2]CZ_decarbplus_opex!BC147</f>
        <v>1.24299E-4</v>
      </c>
      <c r="CA147" s="188">
        <f>[2]CZ_decarbplus_opex!BD147</f>
        <v>7.2000000000000002E-5</v>
      </c>
      <c r="CB147" s="188">
        <f>[2]CZ_decarbplus_opex!BE147</f>
        <v>5.52E-5</v>
      </c>
      <c r="CC147" s="188">
        <f>[2]CZ_decarbplus_opex!BF147</f>
        <v>9.5099999999999994E-5</v>
      </c>
      <c r="CD147" s="188">
        <f>[2]CZ_decarbplus_opex!BG147</f>
        <v>5.8799999999999999E-5</v>
      </c>
      <c r="CE147" s="188">
        <f>[2]CZ_decarbplus_opex!BH147</f>
        <v>5.0437099999999999E-4</v>
      </c>
      <c r="CF147" s="188">
        <f>[2]CZ_decarbplus_opex!BI147</f>
        <v>3.0499999999999999E-5</v>
      </c>
      <c r="CG147" s="188">
        <f>[2]CZ_decarbplus_opex!BJ147</f>
        <v>1.5299999999999999E-5</v>
      </c>
    </row>
    <row r="148" spans="1:85" x14ac:dyDescent="0.25">
      <c r="A148" s="6" t="s">
        <v>287</v>
      </c>
      <c r="B148" s="2" t="s">
        <v>286</v>
      </c>
      <c r="C148" s="1" t="s">
        <v>335</v>
      </c>
      <c r="D148" s="187">
        <f>[2]CZ_decarbplus_opex!B148</f>
        <v>1.5517600000000001E-4</v>
      </c>
      <c r="E148" s="187">
        <f>[2]CZ_decarbplus_opex!C148</f>
        <v>6.3600000000000001E-5</v>
      </c>
      <c r="F148" s="187">
        <f>[2]CZ_decarbplus_opex!D148</f>
        <v>3.2499999999999997E-5</v>
      </c>
      <c r="G148" s="187">
        <f>[2]CZ_decarbplus_opex!E148</f>
        <v>7.2599999999999999E-6</v>
      </c>
      <c r="H148" s="187">
        <f>[2]CZ_decarbplus_opex!F148</f>
        <v>1.24E-5</v>
      </c>
      <c r="I148" s="187">
        <f>[2]CZ_decarbplus_opex!G148</f>
        <v>1.32356E-4</v>
      </c>
      <c r="J148" s="187">
        <f>[2]CZ_decarbplus_opex!H148</f>
        <v>1.7241500000000001E-4</v>
      </c>
      <c r="K148" s="187">
        <f>[2]CZ_decarbplus_opex!I148</f>
        <v>1.9599999999999999E-5</v>
      </c>
      <c r="L148" s="187">
        <f>[2]CZ_decarbplus_opex!J148</f>
        <v>2.1483900000000001E-4</v>
      </c>
      <c r="M148" s="187">
        <f>[2]CZ_decarbplus_opex!K148</f>
        <v>6.1291299999999998E-4</v>
      </c>
      <c r="N148" s="187">
        <f>[2]CZ_decarbplus_opex!L148</f>
        <v>2.4874000000000001E-4</v>
      </c>
      <c r="O148" s="187">
        <f>[2]CZ_decarbplus_opex!M148</f>
        <v>1.5157899999999999E-4</v>
      </c>
      <c r="P148" s="187">
        <f>[2]CZ_decarbplus_opex!N148</f>
        <v>1.6876200000000001E-4</v>
      </c>
      <c r="Q148" s="187">
        <f>[2]CZ_decarbplus_opex!O148</f>
        <v>6.41E-5</v>
      </c>
      <c r="R148" s="187">
        <f>[2]CZ_decarbplus_opex!P148</f>
        <v>1.6799999999999998E-5</v>
      </c>
      <c r="S148" s="187">
        <f>[2]CZ_decarbplus_opex!Q148</f>
        <v>4.6499999999999999E-5</v>
      </c>
      <c r="T148" s="187">
        <f>[2]CZ_decarbplus_opex!R148</f>
        <v>5.1100000000000002E-5</v>
      </c>
      <c r="U148" s="187">
        <f>[2]CZ_decarbplus_opex!S148</f>
        <v>3.2044499999999999E-4</v>
      </c>
      <c r="V148" s="187">
        <f>[2]CZ_decarbplus_opex!T148</f>
        <v>3.3275500000000001E-4</v>
      </c>
      <c r="W148" s="187">
        <f>[2]CZ_decarbplus_opex!U148</f>
        <v>9.8800000000000003E-5</v>
      </c>
      <c r="X148" s="187">
        <f>[2]CZ_decarbplus_opex!V148</f>
        <v>3.7599999999999999E-5</v>
      </c>
      <c r="Y148" s="187">
        <f>[2]CZ_decarbplus_opex!W148</f>
        <v>5.4200000000000003E-5</v>
      </c>
      <c r="Z148" s="187">
        <f>[2]CZ_decarbplus_opex!X148</f>
        <v>1.2278199999999999E-4</v>
      </c>
      <c r="AA148" s="187">
        <f>[2]CZ_decarbplus_opex!Y148</f>
        <v>5.0699999999999999E-5</v>
      </c>
      <c r="AB148" s="188">
        <f>[3]CZ_decarb_opex!B148</f>
        <v>4.6373012035470702E-5</v>
      </c>
      <c r="AC148" s="188">
        <f>[3]CZ_decarb_opex!C148</f>
        <v>6.6843420978802102E-4</v>
      </c>
      <c r="AD148" s="188">
        <f>[3]CZ_decarb_opex!D148</f>
        <v>7.0365034169448998E-4</v>
      </c>
      <c r="AE148" s="188">
        <f>[2]CZ_decarbplus_opex!Z148</f>
        <v>6.8214399999999998E-4</v>
      </c>
      <c r="AF148" s="188">
        <f>[2]CZ_decarbplus_opex!AA148</f>
        <v>3.2903199999999999E-4</v>
      </c>
      <c r="AG148" s="188">
        <f>[2]CZ_decarbplus_opex!AB148</f>
        <v>4.7800000000000003E-5</v>
      </c>
      <c r="AH148" s="188">
        <f>[2]CZ_decarbplus_opex!AC148</f>
        <v>3.4600000000000001E-5</v>
      </c>
      <c r="AI148" s="188">
        <f>[2]CZ_decarbplus_opex!AD148</f>
        <v>7.5699999999999997E-5</v>
      </c>
      <c r="AJ148" s="188">
        <f>[2]CZ_decarbplus_opex!AE148</f>
        <v>3.5899999999999998E-5</v>
      </c>
      <c r="AK148" s="188">
        <f>[2]CZ_decarbplus_opex!AF148</f>
        <v>7.2600000000000003E-5</v>
      </c>
      <c r="AL148" s="188">
        <f>[3]CZ_decarb_opex!E148</f>
        <v>9.0061005930271496E-5</v>
      </c>
      <c r="AM148" s="188">
        <f>[3]CZ_decarb_opex!F148</f>
        <v>7.0761455048700404E-5</v>
      </c>
      <c r="AN148" s="188">
        <f>[2]CZ_decarbplus_opex!AG148</f>
        <v>1.25494E-4</v>
      </c>
      <c r="AO148" s="188">
        <f>[3]CZ_decarb_opex!G148</f>
        <v>1.9888616786550701E-4</v>
      </c>
      <c r="AP148" s="188">
        <f>[3]CZ_decarb_opex!H148</f>
        <v>2.6351484716787699E-4</v>
      </c>
      <c r="AQ148" s="188">
        <f>[2]CZ_decarbplus_opex!AH148</f>
        <v>2.5093099999999997E-4</v>
      </c>
      <c r="AR148" s="188">
        <f>[2]CZ_decarbplus_opex!AI148</f>
        <v>0</v>
      </c>
      <c r="AS148" s="188">
        <f>[2]CZ_decarbplus_opex!AJ148</f>
        <v>1.52979E-4</v>
      </c>
      <c r="AT148" s="188">
        <f>[2]CZ_decarbplus_opex!AK148</f>
        <v>1.2916699999999999E-4</v>
      </c>
      <c r="AU148" s="188">
        <f>[2]CZ_decarbplus_opex!AL148</f>
        <v>3.3500000000000001E-5</v>
      </c>
      <c r="AV148" s="188">
        <f>[2]CZ_decarbplus_opex!AM148</f>
        <v>2.6599999999999999E-5</v>
      </c>
      <c r="AW148" s="188">
        <f>[2]CZ_decarbplus_opex!AN148</f>
        <v>1.4906500000000001E-4</v>
      </c>
      <c r="AX148" s="188">
        <f>[2]CZ_decarbplus_opex!AO148</f>
        <v>0</v>
      </c>
      <c r="AY148" s="188">
        <f>[2]CZ_decarbplus_opex!AP148</f>
        <v>1.24034E-4</v>
      </c>
      <c r="AZ148" s="188">
        <f>[2]CZ_decarbplus_opex!AQ148</f>
        <v>0</v>
      </c>
      <c r="BA148" s="188">
        <f>[2]CZ_decarbplus_opex!AR148</f>
        <v>1.77407E-4</v>
      </c>
      <c r="BB148" s="188">
        <f>[2]CZ_decarbplus_opex!AS148</f>
        <v>3.2159799999999998E-4</v>
      </c>
      <c r="BC148" s="188">
        <f>[2]CZ_decarbplus_opex!AT148</f>
        <v>5.09137E-4</v>
      </c>
      <c r="BD148" s="188">
        <f>[2]CZ_decarbplus_opex!AU148</f>
        <v>2.51E-5</v>
      </c>
      <c r="BE148" s="188">
        <f>[2]CZ_decarbplus_opex!AV148</f>
        <v>6.8300000000000007E-5</v>
      </c>
      <c r="BF148" s="188">
        <f>[2]CZ_decarbplus_opex!AW148</f>
        <v>1.8700000000000001E-5</v>
      </c>
      <c r="BG148" s="188">
        <f>[2]CZ_decarbplus_opex!AX148</f>
        <v>9.8999999999999994E-5</v>
      </c>
      <c r="BH148" s="188">
        <f>[3]CZ_decarb_opex!I148</f>
        <v>1.7183390356607901E-4</v>
      </c>
      <c r="BI148" s="188">
        <f>[2]CZ_decarbplus_opex!AY148</f>
        <v>2.0885500000000001E-4</v>
      </c>
      <c r="BJ148" s="188">
        <f>[2]CZ_decarbplus_opex!AZ148</f>
        <v>7.8300000000000006E-5</v>
      </c>
      <c r="BK148" s="188">
        <f>[2]CZ_decarbplus_opex!BA148</f>
        <v>3.0713799999999999E-4</v>
      </c>
      <c r="BL148" s="188">
        <f>[2]CZ_decarbplus_opex!BB148</f>
        <v>0</v>
      </c>
      <c r="BM148" s="188">
        <f>[3]CZ_decarb_opex!J148</f>
        <v>2.6444455417473102E-4</v>
      </c>
      <c r="BN148" s="188">
        <f>[3]CZ_decarb_opex!K148</f>
        <v>2.07039085442104E-4</v>
      </c>
      <c r="BO148" s="188">
        <f>[3]CZ_decarb_opex!L148</f>
        <v>3.1474432608470101E-4</v>
      </c>
      <c r="BP148" s="188">
        <f>[3]CZ_decarb_opex!M148</f>
        <v>9.26943419708003E-5</v>
      </c>
      <c r="BQ148" s="188">
        <f>[3]CZ_decarb_opex!N148</f>
        <v>9.67416987784615E-5</v>
      </c>
      <c r="BR148" s="188">
        <f>[3]CZ_decarb_opex!O148</f>
        <v>8.8540619175868908E-6</v>
      </c>
      <c r="BS148" s="188">
        <f>[3]CZ_decarb_opex!P148</f>
        <v>1.85606905785175E-4</v>
      </c>
      <c r="BT148" s="188">
        <f>[3]CZ_decarb_opex!Q148</f>
        <v>1.07187893097031E-3</v>
      </c>
      <c r="BU148" s="188">
        <f>[3]CZ_decarb_opex!R148</f>
        <v>8.6169419452209803E-6</v>
      </c>
      <c r="BV148" s="188">
        <f>[3]CZ_decarb_opex!S148</f>
        <v>8.6169419452210007E-6</v>
      </c>
      <c r="BW148" s="188">
        <f>[3]CZ_decarb_opex!T148</f>
        <v>1.8135971708957299E-6</v>
      </c>
      <c r="BX148" s="188">
        <f>[3]CZ_decarb_opex!U148</f>
        <v>8.2200393851630904E-6</v>
      </c>
      <c r="BY148" s="188">
        <f>[3]CZ_decarb_opex!V148</f>
        <v>1.7905612132233999E-6</v>
      </c>
      <c r="BZ148" s="188">
        <f>[2]CZ_decarbplus_opex!BC148</f>
        <v>1.4564800000000001E-4</v>
      </c>
      <c r="CA148" s="188">
        <f>[2]CZ_decarbplus_opex!BD148</f>
        <v>2.5805700000000001E-4</v>
      </c>
      <c r="CB148" s="188">
        <f>[2]CZ_decarbplus_opex!BE148</f>
        <v>3.2563299999999998E-4</v>
      </c>
      <c r="CC148" s="188">
        <f>[2]CZ_decarbplus_opex!BF148</f>
        <v>4.0979800000000001E-4</v>
      </c>
      <c r="CD148" s="188">
        <f>[2]CZ_decarbplus_opex!BG148</f>
        <v>1.2656599999999999E-4</v>
      </c>
      <c r="CE148" s="188">
        <f>[2]CZ_decarbplus_opex!BH148</f>
        <v>2.5689839999999999E-3</v>
      </c>
      <c r="CF148" s="188">
        <f>[2]CZ_decarbplus_opex!BI148</f>
        <v>1.5446899999999999E-4</v>
      </c>
      <c r="CG148" s="188">
        <f>[2]CZ_decarbplus_opex!BJ148</f>
        <v>6.3600000000000001E-5</v>
      </c>
    </row>
    <row r="149" spans="1:85" x14ac:dyDescent="0.25">
      <c r="A149" s="6" t="s">
        <v>289</v>
      </c>
      <c r="B149" s="2" t="s">
        <v>288</v>
      </c>
      <c r="C149" s="1" t="s">
        <v>335</v>
      </c>
      <c r="D149" s="187">
        <f>[2]CZ_decarbplus_opex!B149</f>
        <v>3.89E-7</v>
      </c>
      <c r="E149" s="187">
        <f>[2]CZ_decarbplus_opex!C149</f>
        <v>6.0699999999999994E-8</v>
      </c>
      <c r="F149" s="187">
        <f>[2]CZ_decarbplus_opex!D149</f>
        <v>7.6899999999999994E-8</v>
      </c>
      <c r="G149" s="187">
        <f>[2]CZ_decarbplus_opex!E149</f>
        <v>1.26E-8</v>
      </c>
      <c r="H149" s="187">
        <f>[2]CZ_decarbplus_opex!F149</f>
        <v>1.74E-8</v>
      </c>
      <c r="I149" s="187">
        <f>[2]CZ_decarbplus_opex!G149</f>
        <v>6.6899999999999997E-8</v>
      </c>
      <c r="J149" s="187">
        <f>[2]CZ_decarbplus_opex!H149</f>
        <v>2.5600000000000002E-7</v>
      </c>
      <c r="K149" s="187">
        <f>[2]CZ_decarbplus_opex!I149</f>
        <v>2.81E-8</v>
      </c>
      <c r="L149" s="187">
        <f>[2]CZ_decarbplus_opex!J149</f>
        <v>1.66E-7</v>
      </c>
      <c r="M149" s="187">
        <f>[2]CZ_decarbplus_opex!K149</f>
        <v>1.37E-7</v>
      </c>
      <c r="N149" s="187">
        <f>[2]CZ_decarbplus_opex!L149</f>
        <v>9.9E-8</v>
      </c>
      <c r="O149" s="187">
        <f>[2]CZ_decarbplus_opex!M149</f>
        <v>1.8799999999999999E-7</v>
      </c>
      <c r="P149" s="187">
        <f>[2]CZ_decarbplus_opex!N149</f>
        <v>7.1400000000000004E-8</v>
      </c>
      <c r="Q149" s="187">
        <f>[2]CZ_decarbplus_opex!O149</f>
        <v>6.3500000000000006E-8</v>
      </c>
      <c r="R149" s="187">
        <f>[2]CZ_decarbplus_opex!P149</f>
        <v>2.7500000000000001E-8</v>
      </c>
      <c r="S149" s="187">
        <f>[2]CZ_decarbplus_opex!Q149</f>
        <v>4.0100000000000002E-8</v>
      </c>
      <c r="T149" s="187">
        <f>[2]CZ_decarbplus_opex!R149</f>
        <v>7.7799999999999995E-8</v>
      </c>
      <c r="U149" s="187">
        <f>[2]CZ_decarbplus_opex!S149</f>
        <v>9.0600000000000004E-8</v>
      </c>
      <c r="V149" s="187">
        <f>[2]CZ_decarbplus_opex!T149</f>
        <v>1.14E-7</v>
      </c>
      <c r="W149" s="187">
        <f>[2]CZ_decarbplus_opex!U149</f>
        <v>9.4500000000000006E-8</v>
      </c>
      <c r="X149" s="187">
        <f>[2]CZ_decarbplus_opex!V149</f>
        <v>2.2700000000000001E-7</v>
      </c>
      <c r="Y149" s="187">
        <f>[2]CZ_decarbplus_opex!W149</f>
        <v>1.91E-7</v>
      </c>
      <c r="Z149" s="187">
        <f>[2]CZ_decarbplus_opex!X149</f>
        <v>5.03E-8</v>
      </c>
      <c r="AA149" s="187">
        <f>[2]CZ_decarbplus_opex!Y149</f>
        <v>1.01E-7</v>
      </c>
      <c r="AB149" s="188">
        <f>[3]CZ_decarb_opex!B149</f>
        <v>5.2027513196844296E-7</v>
      </c>
      <c r="AC149" s="188">
        <f>[3]CZ_decarb_opex!C149</f>
        <v>1.11816421429884E-7</v>
      </c>
      <c r="AD149" s="188">
        <f>[3]CZ_decarb_opex!D149</f>
        <v>1.0455204547172699E-7</v>
      </c>
      <c r="AE149" s="188">
        <f>[2]CZ_decarbplus_opex!Z149</f>
        <v>9.53E-8</v>
      </c>
      <c r="AF149" s="188">
        <f>[2]CZ_decarbplus_opex!AA149</f>
        <v>1.8099999999999999E-7</v>
      </c>
      <c r="AG149" s="188">
        <f>[2]CZ_decarbplus_opex!AB149</f>
        <v>5.3500000000000003E-8</v>
      </c>
      <c r="AH149" s="188">
        <f>[2]CZ_decarbplus_opex!AC149</f>
        <v>7.5899999999999998E-8</v>
      </c>
      <c r="AI149" s="188">
        <f>[2]CZ_decarbplus_opex!AD149</f>
        <v>9.9699999999999999E-8</v>
      </c>
      <c r="AJ149" s="188">
        <f>[2]CZ_decarbplus_opex!AE149</f>
        <v>8.7999999999999994E-8</v>
      </c>
      <c r="AK149" s="188">
        <f>[2]CZ_decarbplus_opex!AF149</f>
        <v>7.7700000000000001E-8</v>
      </c>
      <c r="AL149" s="188">
        <f>[3]CZ_decarb_opex!E149</f>
        <v>7.73293616908977E-8</v>
      </c>
      <c r="AM149" s="188">
        <f>[3]CZ_decarb_opex!F149</f>
        <v>7.8322233509304304E-8</v>
      </c>
      <c r="AN149" s="188">
        <f>[2]CZ_decarbplus_opex!AG149</f>
        <v>9.7699999999999995E-8</v>
      </c>
      <c r="AO149" s="188">
        <f>[3]CZ_decarb_opex!G149</f>
        <v>9.2889579621890903E-8</v>
      </c>
      <c r="AP149" s="188">
        <f>[3]CZ_decarb_opex!H149</f>
        <v>3.0014497438820999E-8</v>
      </c>
      <c r="AQ149" s="188">
        <f>[2]CZ_decarbplus_opex!AH149</f>
        <v>7.2200000000000003E-7</v>
      </c>
      <c r="AR149" s="188">
        <f>[2]CZ_decarbplus_opex!AI149</f>
        <v>0</v>
      </c>
      <c r="AS149" s="188">
        <f>[2]CZ_decarbplus_opex!AJ149</f>
        <v>2.5600000000000001E-8</v>
      </c>
      <c r="AT149" s="188">
        <f>[2]CZ_decarbplus_opex!AK149</f>
        <v>2.1200000000000001E-8</v>
      </c>
      <c r="AU149" s="188">
        <f>[2]CZ_decarbplus_opex!AL149</f>
        <v>1.2499999999999999E-8</v>
      </c>
      <c r="AV149" s="188">
        <f>[2]CZ_decarbplus_opex!AM149</f>
        <v>1.2100000000000001E-8</v>
      </c>
      <c r="AW149" s="188">
        <f>[2]CZ_decarbplus_opex!AN149</f>
        <v>1.33E-8</v>
      </c>
      <c r="AX149" s="188">
        <f>[2]CZ_decarbplus_opex!AO149</f>
        <v>0</v>
      </c>
      <c r="AY149" s="188">
        <f>[2]CZ_decarbplus_opex!AP149</f>
        <v>4.2799999999999999E-8</v>
      </c>
      <c r="AZ149" s="188">
        <f>[2]CZ_decarbplus_opex!AQ149</f>
        <v>0</v>
      </c>
      <c r="BA149" s="188">
        <f>[2]CZ_decarbplus_opex!AR149</f>
        <v>1.4600000000000001E-7</v>
      </c>
      <c r="BB149" s="188">
        <f>[2]CZ_decarbplus_opex!AS149</f>
        <v>5.8700000000000003E-8</v>
      </c>
      <c r="BC149" s="188">
        <f>[2]CZ_decarbplus_opex!AT149</f>
        <v>2.1500000000000001E-7</v>
      </c>
      <c r="BD149" s="188">
        <f>[2]CZ_decarbplus_opex!AU149</f>
        <v>2.2700000000000001E-7</v>
      </c>
      <c r="BE149" s="188">
        <f>[2]CZ_decarbplus_opex!AV149</f>
        <v>2.65E-7</v>
      </c>
      <c r="BF149" s="188">
        <f>[2]CZ_decarbplus_opex!AW149</f>
        <v>5.6799999999999999E-8</v>
      </c>
      <c r="BG149" s="188">
        <f>[2]CZ_decarbplus_opex!AX149</f>
        <v>7.8699999999999997E-8</v>
      </c>
      <c r="BH149" s="188">
        <f>[3]CZ_decarb_opex!I149</f>
        <v>1.83307895817942E-7</v>
      </c>
      <c r="BI149" s="188">
        <f>[2]CZ_decarbplus_opex!AY149</f>
        <v>1.02E-7</v>
      </c>
      <c r="BJ149" s="188">
        <f>[2]CZ_decarbplus_opex!AZ149</f>
        <v>8.5300000000000003E-8</v>
      </c>
      <c r="BK149" s="188">
        <f>[2]CZ_decarbplus_opex!BA149</f>
        <v>2.7899999999999998E-8</v>
      </c>
      <c r="BL149" s="188">
        <f>[2]CZ_decarbplus_opex!BB149</f>
        <v>0</v>
      </c>
      <c r="BM149" s="188">
        <f>[3]CZ_decarb_opex!J149</f>
        <v>2.49659085564416E-7</v>
      </c>
      <c r="BN149" s="188">
        <f>[3]CZ_decarb_opex!K149</f>
        <v>2.1145341229193101E-7</v>
      </c>
      <c r="BO149" s="188">
        <f>[3]CZ_decarb_opex!L149</f>
        <v>5.0133990853487902E-8</v>
      </c>
      <c r="BP149" s="188">
        <f>[3]CZ_decarb_opex!M149</f>
        <v>5.4325972365743199E-8</v>
      </c>
      <c r="BQ149" s="188">
        <f>[3]CZ_decarb_opex!N149</f>
        <v>9.3280158062608006E-8</v>
      </c>
      <c r="BR149" s="188">
        <f>[3]CZ_decarb_opex!O149</f>
        <v>5.6205622963838199E-6</v>
      </c>
      <c r="BS149" s="188">
        <f>[3]CZ_decarb_opex!P149</f>
        <v>2.48935373602475E-7</v>
      </c>
      <c r="BT149" s="188">
        <f>[3]CZ_decarb_opex!Q149</f>
        <v>1.50126924453531E-4</v>
      </c>
      <c r="BU149" s="188">
        <f>[3]CZ_decarb_opex!R149</f>
        <v>4.7065474189952198E-8</v>
      </c>
      <c r="BV149" s="188">
        <f>[3]CZ_decarb_opex!S149</f>
        <v>4.7065474189952403E-8</v>
      </c>
      <c r="BW149" s="188">
        <f>[3]CZ_decarb_opex!T149</f>
        <v>1.0486929814294901E-5</v>
      </c>
      <c r="BX149" s="188">
        <f>[3]CZ_decarb_opex!U149</f>
        <v>3.29003758032536E-6</v>
      </c>
      <c r="BY149" s="188">
        <f>[3]CZ_decarb_opex!V149</f>
        <v>1.4028810858436501E-8</v>
      </c>
      <c r="BZ149" s="188">
        <f>[2]CZ_decarbplus_opex!BC149</f>
        <v>9.9099999999999994E-8</v>
      </c>
      <c r="CA149" s="188">
        <f>[2]CZ_decarbplus_opex!BD149</f>
        <v>6.0399999999999998E-8</v>
      </c>
      <c r="CB149" s="188">
        <f>[2]CZ_decarbplus_opex!BE149</f>
        <v>6.5999999999999995E-8</v>
      </c>
      <c r="CC149" s="188">
        <f>[2]CZ_decarbplus_opex!BF149</f>
        <v>3.2399999999999999E-8</v>
      </c>
      <c r="CD149" s="188">
        <f>[2]CZ_decarbplus_opex!BG149</f>
        <v>2.36E-7</v>
      </c>
      <c r="CE149" s="188">
        <f>[2]CZ_decarbplus_opex!BH149</f>
        <v>2.6800000000000001E-5</v>
      </c>
      <c r="CF149" s="188">
        <f>[2]CZ_decarbplus_opex!BI149</f>
        <v>1.02E-6</v>
      </c>
      <c r="CG149" s="188">
        <f>[2]CZ_decarbplus_opex!BJ149</f>
        <v>5.1599999999999999E-8</v>
      </c>
    </row>
    <row r="150" spans="1:85" x14ac:dyDescent="0.25">
      <c r="A150" s="6" t="s">
        <v>291</v>
      </c>
      <c r="B150" s="2" t="s">
        <v>290</v>
      </c>
      <c r="C150" s="1" t="s">
        <v>335</v>
      </c>
      <c r="D150" s="187">
        <f>[2]CZ_decarbplus_opex!B150</f>
        <v>1.4999999999999999E-7</v>
      </c>
      <c r="E150" s="187">
        <f>[2]CZ_decarbplus_opex!C150</f>
        <v>6.36E-8</v>
      </c>
      <c r="F150" s="187">
        <f>[2]CZ_decarbplus_opex!D150</f>
        <v>1.09E-7</v>
      </c>
      <c r="G150" s="187">
        <f>[2]CZ_decarbplus_opex!E150</f>
        <v>1.55E-7</v>
      </c>
      <c r="H150" s="187">
        <f>[2]CZ_decarbplus_opex!F150</f>
        <v>5.7900000000000002E-8</v>
      </c>
      <c r="I150" s="187">
        <f>[2]CZ_decarbplus_opex!G150</f>
        <v>8.42E-8</v>
      </c>
      <c r="J150" s="187">
        <f>[2]CZ_decarbplus_opex!H150</f>
        <v>3.2800000000000003E-7</v>
      </c>
      <c r="K150" s="187">
        <f>[2]CZ_decarbplus_opex!I150</f>
        <v>1.2100000000000001E-7</v>
      </c>
      <c r="L150" s="187">
        <f>[2]CZ_decarbplus_opex!J150</f>
        <v>2.9200000000000002E-7</v>
      </c>
      <c r="M150" s="187">
        <f>[2]CZ_decarbplus_opex!K150</f>
        <v>2.04E-7</v>
      </c>
      <c r="N150" s="187">
        <f>[2]CZ_decarbplus_opex!L150</f>
        <v>2.9299999999999999E-7</v>
      </c>
      <c r="O150" s="187">
        <f>[2]CZ_decarbplus_opex!M150</f>
        <v>1.06E-7</v>
      </c>
      <c r="P150" s="187">
        <f>[2]CZ_decarbplus_opex!N150</f>
        <v>7.4200000000000003E-8</v>
      </c>
      <c r="Q150" s="187">
        <f>[2]CZ_decarbplus_opex!O150</f>
        <v>2.8699999999999999E-8</v>
      </c>
      <c r="R150" s="187">
        <f>[2]CZ_decarbplus_opex!P150</f>
        <v>7.4299999999999997E-8</v>
      </c>
      <c r="S150" s="187">
        <f>[2]CZ_decarbplus_opex!Q150</f>
        <v>4.7099999999999998E-8</v>
      </c>
      <c r="T150" s="187">
        <f>[2]CZ_decarbplus_opex!R150</f>
        <v>1.36E-7</v>
      </c>
      <c r="U150" s="187">
        <f>[2]CZ_decarbplus_opex!S150</f>
        <v>1.7100000000000001E-7</v>
      </c>
      <c r="V150" s="187">
        <f>[2]CZ_decarbplus_opex!T150</f>
        <v>2.48E-7</v>
      </c>
      <c r="W150" s="187">
        <f>[2]CZ_decarbplus_opex!U150</f>
        <v>1.06E-7</v>
      </c>
      <c r="X150" s="187">
        <f>[2]CZ_decarbplus_opex!V150</f>
        <v>4.1199999999999998E-7</v>
      </c>
      <c r="Y150" s="187">
        <f>[2]CZ_decarbplus_opex!W150</f>
        <v>5.7800000000000001E-8</v>
      </c>
      <c r="Z150" s="187">
        <f>[2]CZ_decarbplus_opex!X150</f>
        <v>8.4799999999999997E-7</v>
      </c>
      <c r="AA150" s="187">
        <f>[2]CZ_decarbplus_opex!Y150</f>
        <v>4.6499999999999999E-7</v>
      </c>
      <c r="AB150" s="188">
        <f>[3]CZ_decarb_opex!B150</f>
        <v>3.3681597375321901E-6</v>
      </c>
      <c r="AC150" s="188">
        <f>[3]CZ_decarb_opex!C150</f>
        <v>3.8071453680921601E-7</v>
      </c>
      <c r="AD150" s="188">
        <f>[3]CZ_decarb_opex!D150</f>
        <v>1.16335194035135E-7</v>
      </c>
      <c r="AE150" s="188">
        <f>[2]CZ_decarbplus_opex!Z150</f>
        <v>9.0800000000000006E-8</v>
      </c>
      <c r="AF150" s="188">
        <f>[2]CZ_decarbplus_opex!AA150</f>
        <v>1.4100000000000001E-7</v>
      </c>
      <c r="AG150" s="188">
        <f>[2]CZ_decarbplus_opex!AB150</f>
        <v>5.3300000000000001E-8</v>
      </c>
      <c r="AH150" s="188">
        <f>[2]CZ_decarbplus_opex!AC150</f>
        <v>5.5899999999999998E-8</v>
      </c>
      <c r="AI150" s="188">
        <f>[2]CZ_decarbplus_opex!AD150</f>
        <v>1.05E-7</v>
      </c>
      <c r="AJ150" s="188">
        <f>[2]CZ_decarbplus_opex!AE150</f>
        <v>5.2700000000000002E-8</v>
      </c>
      <c r="AK150" s="188">
        <f>[2]CZ_decarbplus_opex!AF150</f>
        <v>1.2700000000000001E-7</v>
      </c>
      <c r="AL150" s="188">
        <f>[3]CZ_decarb_opex!E150</f>
        <v>5.64176205479691E-8</v>
      </c>
      <c r="AM150" s="188">
        <f>[3]CZ_decarb_opex!F150</f>
        <v>1.0078900358242099E-7</v>
      </c>
      <c r="AN150" s="188">
        <f>[2]CZ_decarbplus_opex!AG150</f>
        <v>6.1500000000000001E-8</v>
      </c>
      <c r="AO150" s="188">
        <f>[3]CZ_decarb_opex!G150</f>
        <v>6.3163477131694794E-8</v>
      </c>
      <c r="AP150" s="188">
        <f>[3]CZ_decarb_opex!H150</f>
        <v>4.6454016169605297E-8</v>
      </c>
      <c r="AQ150" s="188">
        <f>[2]CZ_decarbplus_opex!AH150</f>
        <v>1.55E-7</v>
      </c>
      <c r="AR150" s="188">
        <f>[2]CZ_decarbplus_opex!AI150</f>
        <v>0</v>
      </c>
      <c r="AS150" s="188">
        <f>[2]CZ_decarbplus_opex!AJ150</f>
        <v>3.9300000000000001E-8</v>
      </c>
      <c r="AT150" s="188">
        <f>[2]CZ_decarbplus_opex!AK150</f>
        <v>2.9099999999999999E-8</v>
      </c>
      <c r="AU150" s="188">
        <f>[2]CZ_decarbplus_opex!AL150</f>
        <v>5.4399999999999997E-8</v>
      </c>
      <c r="AV150" s="188">
        <f>[2]CZ_decarbplus_opex!AM150</f>
        <v>5.8199999999999998E-8</v>
      </c>
      <c r="AW150" s="188">
        <f>[2]CZ_decarbplus_opex!AN150</f>
        <v>3.5700000000000002E-8</v>
      </c>
      <c r="AX150" s="188">
        <f>[2]CZ_decarbplus_opex!AO150</f>
        <v>0</v>
      </c>
      <c r="AY150" s="188">
        <f>[2]CZ_decarbplus_opex!AP150</f>
        <v>2.2399999999999999E-7</v>
      </c>
      <c r="AZ150" s="188">
        <f>[2]CZ_decarbplus_opex!AQ150</f>
        <v>0</v>
      </c>
      <c r="BA150" s="188">
        <f>[2]CZ_decarbplus_opex!AR150</f>
        <v>4.6499999999999999E-8</v>
      </c>
      <c r="BB150" s="188">
        <f>[2]CZ_decarbplus_opex!AS150</f>
        <v>4.73E-8</v>
      </c>
      <c r="BC150" s="188">
        <f>[2]CZ_decarbplus_opex!AT150</f>
        <v>2.9200000000000002E-7</v>
      </c>
      <c r="BD150" s="188">
        <f>[2]CZ_decarbplus_opex!AU150</f>
        <v>3.7E-7</v>
      </c>
      <c r="BE150" s="188">
        <f>[2]CZ_decarbplus_opex!AV150</f>
        <v>4.2899999999999999E-7</v>
      </c>
      <c r="BF150" s="188">
        <f>[2]CZ_decarbplus_opex!AW150</f>
        <v>6.1799999999999998E-8</v>
      </c>
      <c r="BG150" s="188">
        <f>[2]CZ_decarbplus_opex!AX150</f>
        <v>7.0200000000000007E-8</v>
      </c>
      <c r="BH150" s="188">
        <f>[3]CZ_decarb_opex!I150</f>
        <v>1.9414176068821601E-7</v>
      </c>
      <c r="BI150" s="188">
        <f>[2]CZ_decarbplus_opex!AY150</f>
        <v>1.04E-7</v>
      </c>
      <c r="BJ150" s="188">
        <f>[2]CZ_decarbplus_opex!AZ150</f>
        <v>5.1300000000000003E-8</v>
      </c>
      <c r="BK150" s="188">
        <f>[2]CZ_decarbplus_opex!BA150</f>
        <v>3.8199999999999998E-8</v>
      </c>
      <c r="BL150" s="188">
        <f>[2]CZ_decarbplus_opex!BB150</f>
        <v>0</v>
      </c>
      <c r="BM150" s="188">
        <f>[3]CZ_decarb_opex!J150</f>
        <v>2.2206708547427899E-7</v>
      </c>
      <c r="BN150" s="188">
        <f>[3]CZ_decarb_opex!K150</f>
        <v>4.2832359688720299E-7</v>
      </c>
      <c r="BO150" s="188">
        <f>[3]CZ_decarb_opex!L150</f>
        <v>7.33979980418677E-8</v>
      </c>
      <c r="BP150" s="188">
        <f>[3]CZ_decarb_opex!M150</f>
        <v>1.5438816653154601E-7</v>
      </c>
      <c r="BQ150" s="188">
        <f>[3]CZ_decarb_opex!N150</f>
        <v>4.21727156486482E-7</v>
      </c>
      <c r="BR150" s="188">
        <f>[3]CZ_decarb_opex!O150</f>
        <v>5.1114740861365101E-7</v>
      </c>
      <c r="BS150" s="188">
        <f>[3]CZ_decarb_opex!P150</f>
        <v>1.13787623981086E-6</v>
      </c>
      <c r="BT150" s="188">
        <f>[3]CZ_decarb_opex!Q150</f>
        <v>2.18511609074642E-5</v>
      </c>
      <c r="BU150" s="188">
        <f>[3]CZ_decarb_opex!R150</f>
        <v>7.3443666876365406E-8</v>
      </c>
      <c r="BV150" s="188">
        <f>[3]CZ_decarb_opex!S150</f>
        <v>7.3443666876365406E-8</v>
      </c>
      <c r="BW150" s="188">
        <f>[3]CZ_decarb_opex!T150</f>
        <v>1.56277184980311E-6</v>
      </c>
      <c r="BX150" s="188">
        <f>[3]CZ_decarb_opex!U150</f>
        <v>1.7565139488465201E-6</v>
      </c>
      <c r="BY150" s="188">
        <f>[3]CZ_decarb_opex!V150</f>
        <v>1.8054471924416701E-6</v>
      </c>
      <c r="BZ150" s="188">
        <f>[2]CZ_decarbplus_opex!BC150</f>
        <v>2.0699999999999999E-7</v>
      </c>
      <c r="CA150" s="188">
        <f>[2]CZ_decarbplus_opex!BD150</f>
        <v>1.08E-7</v>
      </c>
      <c r="CB150" s="188">
        <f>[2]CZ_decarbplus_opex!BE150</f>
        <v>1.24E-7</v>
      </c>
      <c r="CC150" s="188">
        <f>[2]CZ_decarbplus_opex!BF150</f>
        <v>7.6000000000000006E-8</v>
      </c>
      <c r="CD150" s="188">
        <f>[2]CZ_decarbplus_opex!BG150</f>
        <v>4.5900000000000002E-7</v>
      </c>
      <c r="CE150" s="188">
        <f>[2]CZ_decarbplus_opex!BH150</f>
        <v>4.7299999999999998E-5</v>
      </c>
      <c r="CF150" s="188">
        <f>[2]CZ_decarbplus_opex!BI150</f>
        <v>1.31E-7</v>
      </c>
      <c r="CG150" s="188">
        <f>[2]CZ_decarbplus_opex!BJ150</f>
        <v>8.7600000000000004E-8</v>
      </c>
    </row>
    <row r="151" spans="1:85" x14ac:dyDescent="0.25">
      <c r="A151" s="6" t="s">
        <v>293</v>
      </c>
      <c r="B151" s="2" t="s">
        <v>292</v>
      </c>
      <c r="C151" s="1" t="s">
        <v>335</v>
      </c>
      <c r="D151" s="187">
        <f>[2]CZ_decarbplus_opex!B151</f>
        <v>7.5060199999999995E-4</v>
      </c>
      <c r="E151" s="187">
        <f>[2]CZ_decarbplus_opex!C151</f>
        <v>6.7458100000000005E-4</v>
      </c>
      <c r="F151" s="187">
        <f>[2]CZ_decarbplus_opex!D151</f>
        <v>1.37553E-4</v>
      </c>
      <c r="G151" s="187">
        <f>[2]CZ_decarbplus_opex!E151</f>
        <v>3.0899999999999999E-5</v>
      </c>
      <c r="H151" s="187">
        <f>[2]CZ_decarbplus_opex!F151</f>
        <v>5.2299999999999997E-5</v>
      </c>
      <c r="I151" s="187">
        <f>[2]CZ_decarbplus_opex!G151</f>
        <v>5.8034199999999997E-4</v>
      </c>
      <c r="J151" s="187">
        <f>[2]CZ_decarbplus_opex!H151</f>
        <v>4.1181399999999998E-4</v>
      </c>
      <c r="K151" s="187">
        <f>[2]CZ_decarbplus_opex!I151</f>
        <v>8.2000000000000001E-5</v>
      </c>
      <c r="L151" s="187">
        <f>[2]CZ_decarbplus_opex!J151</f>
        <v>7.7417299999999996E-4</v>
      </c>
      <c r="M151" s="187">
        <f>[2]CZ_decarbplus_opex!K151</f>
        <v>2.2069110000000002E-3</v>
      </c>
      <c r="N151" s="187">
        <f>[2]CZ_decarbplus_opex!L151</f>
        <v>4.0971940000000002E-3</v>
      </c>
      <c r="O151" s="187">
        <f>[2]CZ_decarbplus_opex!M151</f>
        <v>1.176341E-3</v>
      </c>
      <c r="P151" s="187">
        <f>[2]CZ_decarbplus_opex!N151</f>
        <v>6.0090299999999996E-4</v>
      </c>
      <c r="Q151" s="187">
        <f>[2]CZ_decarbplus_opex!O151</f>
        <v>8.0500000000000005E-5</v>
      </c>
      <c r="R151" s="187">
        <f>[2]CZ_decarbplus_opex!P151</f>
        <v>6.3299999999999994E-5</v>
      </c>
      <c r="S151" s="187">
        <f>[2]CZ_decarbplus_opex!Q151</f>
        <v>1.5568299999999999E-4</v>
      </c>
      <c r="T151" s="187">
        <f>[2]CZ_decarbplus_opex!R151</f>
        <v>9.2100000000000003E-5</v>
      </c>
      <c r="U151" s="187">
        <f>[2]CZ_decarbplus_opex!S151</f>
        <v>1.4636E-3</v>
      </c>
      <c r="V151" s="187">
        <f>[2]CZ_decarbplus_opex!T151</f>
        <v>2.61247E-3</v>
      </c>
      <c r="W151" s="187">
        <f>[2]CZ_decarbplus_opex!U151</f>
        <v>4.82089E-4</v>
      </c>
      <c r="X151" s="187">
        <f>[2]CZ_decarbplus_opex!V151</f>
        <v>1.83034E-4</v>
      </c>
      <c r="Y151" s="187">
        <f>[2]CZ_decarbplus_opex!W151</f>
        <v>1.00537E-4</v>
      </c>
      <c r="Z151" s="187">
        <f>[2]CZ_decarbplus_opex!X151</f>
        <v>4.2496E-4</v>
      </c>
      <c r="AA151" s="187">
        <f>[2]CZ_decarbplus_opex!Y151</f>
        <v>2.0543800000000001E-4</v>
      </c>
      <c r="AB151" s="188">
        <f>[3]CZ_decarb_opex!B151</f>
        <v>4.0779143705006998E-4</v>
      </c>
      <c r="AC151" s="188">
        <f>[3]CZ_decarb_opex!C151</f>
        <v>1.47205900693031E-2</v>
      </c>
      <c r="AD151" s="188">
        <f>[3]CZ_decarb_opex!D151</f>
        <v>4.8451550028647903E-3</v>
      </c>
      <c r="AE151" s="188">
        <f>[2]CZ_decarbplus_opex!Z151</f>
        <v>3.8648020000000001E-3</v>
      </c>
      <c r="AF151" s="188">
        <f>[2]CZ_decarbplus_opex!AA151</f>
        <v>1.1499850000000001E-3</v>
      </c>
      <c r="AG151" s="188">
        <f>[2]CZ_decarbplus_opex!AB151</f>
        <v>1.8349999999999999E-4</v>
      </c>
      <c r="AH151" s="188">
        <f>[2]CZ_decarbplus_opex!AC151</f>
        <v>2.4061300000000001E-4</v>
      </c>
      <c r="AI151" s="188">
        <f>[2]CZ_decarbplus_opex!AD151</f>
        <v>2.1080099999999999E-4</v>
      </c>
      <c r="AJ151" s="188">
        <f>[2]CZ_decarbplus_opex!AE151</f>
        <v>4.3507099999999998E-4</v>
      </c>
      <c r="AK151" s="188">
        <f>[2]CZ_decarbplus_opex!AF151</f>
        <v>2.6100100000000002E-4</v>
      </c>
      <c r="AL151" s="188">
        <f>[3]CZ_decarb_opex!E151</f>
        <v>5.9833910216383905E-4</v>
      </c>
      <c r="AM151" s="188">
        <f>[3]CZ_decarb_opex!F151</f>
        <v>2.4495527498332099E-4</v>
      </c>
      <c r="AN151" s="188">
        <f>[2]CZ_decarbplus_opex!AG151</f>
        <v>6.7969700000000005E-4</v>
      </c>
      <c r="AO151" s="188">
        <f>[3]CZ_decarb_opex!G151</f>
        <v>1.02592142149026E-3</v>
      </c>
      <c r="AP151" s="188">
        <f>[3]CZ_decarb_opex!H151</f>
        <v>1.58024908945407E-3</v>
      </c>
      <c r="AQ151" s="188">
        <f>[2]CZ_decarbplus_opex!AH151</f>
        <v>1.8066779999999999E-3</v>
      </c>
      <c r="AR151" s="188">
        <f>[2]CZ_decarbplus_opex!AI151</f>
        <v>0</v>
      </c>
      <c r="AS151" s="188">
        <f>[2]CZ_decarbplus_opex!AJ151</f>
        <v>1.0807729999999999E-3</v>
      </c>
      <c r="AT151" s="188">
        <f>[2]CZ_decarbplus_opex!AK151</f>
        <v>8.3712299999999995E-4</v>
      </c>
      <c r="AU151" s="188">
        <f>[2]CZ_decarbplus_opex!AL151</f>
        <v>1.4913540000000001E-3</v>
      </c>
      <c r="AV151" s="188">
        <f>[2]CZ_decarbplus_opex!AM151</f>
        <v>1.14617E-4</v>
      </c>
      <c r="AW151" s="188">
        <f>[2]CZ_decarbplus_opex!AN151</f>
        <v>1.2604910000000001E-3</v>
      </c>
      <c r="AX151" s="188">
        <f>[2]CZ_decarbplus_opex!AO151</f>
        <v>0</v>
      </c>
      <c r="AY151" s="188">
        <f>[2]CZ_decarbplus_opex!AP151</f>
        <v>5.5049799999999996E-4</v>
      </c>
      <c r="AZ151" s="188">
        <f>[2]CZ_decarbplus_opex!AQ151</f>
        <v>0</v>
      </c>
      <c r="BA151" s="188">
        <f>[2]CZ_decarbplus_opex!AR151</f>
        <v>8.9336400000000001E-4</v>
      </c>
      <c r="BB151" s="188">
        <f>[2]CZ_decarbplus_opex!AS151</f>
        <v>1.2793080000000001E-3</v>
      </c>
      <c r="BC151" s="188">
        <f>[2]CZ_decarbplus_opex!AT151</f>
        <v>2.0519269999999998E-3</v>
      </c>
      <c r="BD151" s="188">
        <f>[2]CZ_decarbplus_opex!AU151</f>
        <v>1.2801699999999999E-4</v>
      </c>
      <c r="BE151" s="188">
        <f>[2]CZ_decarbplus_opex!AV151</f>
        <v>2.4504300000000002E-4</v>
      </c>
      <c r="BF151" s="188">
        <f>[2]CZ_decarbplus_opex!AW151</f>
        <v>9.1299999999999997E-5</v>
      </c>
      <c r="BG151" s="188">
        <f>[2]CZ_decarbplus_opex!AX151</f>
        <v>3.7532599999999999E-4</v>
      </c>
      <c r="BH151" s="188">
        <f>[3]CZ_decarb_opex!I151</f>
        <v>7.0941738088187698E-4</v>
      </c>
      <c r="BI151" s="188">
        <f>[2]CZ_decarbplus_opex!AY151</f>
        <v>9.816759999999999E-4</v>
      </c>
      <c r="BJ151" s="188">
        <f>[2]CZ_decarbplus_opex!AZ151</f>
        <v>3.2180400000000002E-4</v>
      </c>
      <c r="BK151" s="188">
        <f>[2]CZ_decarbplus_opex!BA151</f>
        <v>1.668817E-3</v>
      </c>
      <c r="BL151" s="188">
        <f>[2]CZ_decarbplus_opex!BB151</f>
        <v>0</v>
      </c>
      <c r="BM151" s="188">
        <f>[3]CZ_decarb_opex!J151</f>
        <v>9.06552981922833E-4</v>
      </c>
      <c r="BN151" s="188">
        <f>[3]CZ_decarb_opex!K151</f>
        <v>4.31597988665329E-3</v>
      </c>
      <c r="BO151" s="188">
        <f>[3]CZ_decarb_opex!L151</f>
        <v>8.9157486830278797E-4</v>
      </c>
      <c r="BP151" s="188">
        <f>[3]CZ_decarb_opex!M151</f>
        <v>3.4094000825991501E-3</v>
      </c>
      <c r="BQ151" s="188">
        <f>[3]CZ_decarb_opex!N151</f>
        <v>4.3309313224459202E-4</v>
      </c>
      <c r="BR151" s="188">
        <f>[3]CZ_decarb_opex!O151</f>
        <v>1.76900244559416E-5</v>
      </c>
      <c r="BS151" s="188">
        <f>[3]CZ_decarb_opex!P151</f>
        <v>7.4462640213385797E-4</v>
      </c>
      <c r="BT151" s="188">
        <f>[3]CZ_decarb_opex!Q151</f>
        <v>1.02870188231935E-4</v>
      </c>
      <c r="BU151" s="188">
        <f>[3]CZ_decarb_opex!R151</f>
        <v>4.7382137204071802E-5</v>
      </c>
      <c r="BV151" s="188">
        <f>[3]CZ_decarb_opex!S151</f>
        <v>4.7382137204071897E-5</v>
      </c>
      <c r="BW151" s="188">
        <f>[3]CZ_decarb_opex!T151</f>
        <v>4.2682116581145297E-6</v>
      </c>
      <c r="BX151" s="188">
        <f>[3]CZ_decarb_opex!U151</f>
        <v>7.4992149924902901E-6</v>
      </c>
      <c r="BY151" s="188">
        <f>[3]CZ_decarb_opex!V151</f>
        <v>6.2745877962952505E-8</v>
      </c>
      <c r="BZ151" s="188">
        <f>[2]CZ_decarbplus_opex!BC151</f>
        <v>2.2840429999999999E-3</v>
      </c>
      <c r="CA151" s="188">
        <f>[2]CZ_decarbplus_opex!BD151</f>
        <v>8.4203299999999995E-4</v>
      </c>
      <c r="CB151" s="188">
        <f>[2]CZ_decarbplus_opex!BE151</f>
        <v>5.7005800000000002E-4</v>
      </c>
      <c r="CC151" s="188">
        <f>[2]CZ_decarbplus_opex!BF151</f>
        <v>3.3559399999999999E-4</v>
      </c>
      <c r="CD151" s="188">
        <f>[2]CZ_decarbplus_opex!BG151</f>
        <v>1.5528429999999999E-3</v>
      </c>
      <c r="CE151" s="188">
        <f>[2]CZ_decarbplus_opex!BH151</f>
        <v>1.0244633E-2</v>
      </c>
      <c r="CF151" s="188">
        <f>[2]CZ_decarbplus_opex!BI151</f>
        <v>6.9147100000000003E-4</v>
      </c>
      <c r="CG151" s="188">
        <f>[2]CZ_decarbplus_opex!BJ151</f>
        <v>2.3148299999999999E-4</v>
      </c>
    </row>
    <row r="152" spans="1:85" x14ac:dyDescent="0.25">
      <c r="A152" s="6" t="s">
        <v>295</v>
      </c>
      <c r="B152" s="2" t="s">
        <v>294</v>
      </c>
      <c r="C152" s="1" t="s">
        <v>335</v>
      </c>
      <c r="D152" s="187">
        <f>[2]CZ_decarbplus_opex!B152</f>
        <v>3.6141E-4</v>
      </c>
      <c r="E152" s="187">
        <f>[2]CZ_decarbplus_opex!C152</f>
        <v>1.5144299999999999E-4</v>
      </c>
      <c r="F152" s="187">
        <f>[2]CZ_decarbplus_opex!D152</f>
        <v>2.4700000000000001E-5</v>
      </c>
      <c r="G152" s="187">
        <f>[2]CZ_decarbplus_opex!E152</f>
        <v>5.7300000000000002E-6</v>
      </c>
      <c r="H152" s="187">
        <f>[2]CZ_decarbplus_opex!F152</f>
        <v>9.4499999999999993E-6</v>
      </c>
      <c r="I152" s="187">
        <f>[2]CZ_decarbplus_opex!G152</f>
        <v>1.09522E-4</v>
      </c>
      <c r="J152" s="187">
        <f>[2]CZ_decarbplus_opex!H152</f>
        <v>7.1299999999999998E-5</v>
      </c>
      <c r="K152" s="187">
        <f>[2]CZ_decarbplus_opex!I152</f>
        <v>1.5400000000000002E-5</v>
      </c>
      <c r="L152" s="187">
        <f>[2]CZ_decarbplus_opex!J152</f>
        <v>1.42516E-4</v>
      </c>
      <c r="M152" s="187">
        <f>[2]CZ_decarbplus_opex!K152</f>
        <v>4.0025299999999999E-4</v>
      </c>
      <c r="N152" s="187">
        <f>[2]CZ_decarbplus_opex!L152</f>
        <v>9.6061200000000001E-4</v>
      </c>
      <c r="O152" s="187">
        <f>[2]CZ_decarbplus_opex!M152</f>
        <v>2.4738000000000001E-4</v>
      </c>
      <c r="P152" s="187">
        <f>[2]CZ_decarbplus_opex!N152</f>
        <v>1.5653299999999999E-4</v>
      </c>
      <c r="Q152" s="187">
        <f>[2]CZ_decarbplus_opex!O152</f>
        <v>3.2100000000000001E-5</v>
      </c>
      <c r="R152" s="187">
        <f>[2]CZ_decarbplus_opex!P152</f>
        <v>1.9899999999999999E-5</v>
      </c>
      <c r="S152" s="187">
        <f>[2]CZ_decarbplus_opex!Q152</f>
        <v>3.5099999999999999E-5</v>
      </c>
      <c r="T152" s="187">
        <f>[2]CZ_decarbplus_opex!R152</f>
        <v>1.8600000000000001E-5</v>
      </c>
      <c r="U152" s="187">
        <f>[2]CZ_decarbplus_opex!S152</f>
        <v>3.0597799999999999E-4</v>
      </c>
      <c r="V152" s="187">
        <f>[2]CZ_decarbplus_opex!T152</f>
        <v>5.7236600000000004E-4</v>
      </c>
      <c r="W152" s="187">
        <f>[2]CZ_decarbplus_opex!U152</f>
        <v>1.0179900000000001E-4</v>
      </c>
      <c r="X152" s="187">
        <f>[2]CZ_decarbplus_opex!V152</f>
        <v>4.1100000000000003E-5</v>
      </c>
      <c r="Y152" s="187">
        <f>[2]CZ_decarbplus_opex!W152</f>
        <v>2.2500000000000001E-5</v>
      </c>
      <c r="Z152" s="187">
        <f>[2]CZ_decarbplus_opex!X152</f>
        <v>8.9499999999999994E-5</v>
      </c>
      <c r="AA152" s="187">
        <f>[2]CZ_decarbplus_opex!Y152</f>
        <v>4.6999999999999997E-5</v>
      </c>
      <c r="AB152" s="188">
        <f>[3]CZ_decarb_opex!B152</f>
        <v>3.6122724475254003E-5</v>
      </c>
      <c r="AC152" s="188">
        <f>[3]CZ_decarb_opex!C152</f>
        <v>3.51658865794856E-3</v>
      </c>
      <c r="AD152" s="188">
        <f>[3]CZ_decarb_opex!D152</f>
        <v>9.9503212743291109E-4</v>
      </c>
      <c r="AE152" s="188">
        <f>[2]CZ_decarbplus_opex!Z152</f>
        <v>7.5445199999999997E-4</v>
      </c>
      <c r="AF152" s="188">
        <f>[2]CZ_decarbplus_opex!AA152</f>
        <v>2.0940499999999999E-4</v>
      </c>
      <c r="AG152" s="188">
        <f>[2]CZ_decarbplus_opex!AB152</f>
        <v>3.8500000000000001E-5</v>
      </c>
      <c r="AH152" s="188">
        <f>[2]CZ_decarbplus_opex!AC152</f>
        <v>5.4700000000000001E-5</v>
      </c>
      <c r="AI152" s="188">
        <f>[2]CZ_decarbplus_opex!AD152</f>
        <v>3.8000000000000002E-5</v>
      </c>
      <c r="AJ152" s="188">
        <f>[2]CZ_decarbplus_opex!AE152</f>
        <v>1.04827E-4</v>
      </c>
      <c r="AK152" s="188">
        <f>[2]CZ_decarbplus_opex!AF152</f>
        <v>4.6999999999999997E-5</v>
      </c>
      <c r="AL152" s="188">
        <f>[3]CZ_decarb_opex!E152</f>
        <v>1.3512775337577799E-4</v>
      </c>
      <c r="AM152" s="188">
        <f>[3]CZ_decarb_opex!F152</f>
        <v>5.0574544437702795E-4</v>
      </c>
      <c r="AN152" s="188">
        <f>[2]CZ_decarbplus_opex!AG152</f>
        <v>1.4677399999999999E-4</v>
      </c>
      <c r="AO152" s="188">
        <f>[3]CZ_decarb_opex!G152</f>
        <v>1.9499961782822999E-4</v>
      </c>
      <c r="AP152" s="188">
        <f>[3]CZ_decarb_opex!H152</f>
        <v>3.1904948747469197E-4</v>
      </c>
      <c r="AQ152" s="188">
        <f>[2]CZ_decarbplus_opex!AH152</f>
        <v>3.8755000000000001E-4</v>
      </c>
      <c r="AR152" s="188">
        <f>[2]CZ_decarbplus_opex!AI152</f>
        <v>0</v>
      </c>
      <c r="AS152" s="188">
        <f>[2]CZ_decarbplus_opex!AJ152</f>
        <v>2.2894899999999999E-4</v>
      </c>
      <c r="AT152" s="188">
        <f>[2]CZ_decarbplus_opex!AK152</f>
        <v>1.6331000000000001E-4</v>
      </c>
      <c r="AU152" s="188">
        <f>[2]CZ_decarbplus_opex!AL152</f>
        <v>3.6683100000000003E-4</v>
      </c>
      <c r="AV152" s="188">
        <f>[2]CZ_decarbplus_opex!AM152</f>
        <v>4.0289999999999998E-4</v>
      </c>
      <c r="AW152" s="188">
        <f>[2]CZ_decarbplus_opex!AN152</f>
        <v>2.6685100000000002E-4</v>
      </c>
      <c r="AX152" s="188">
        <f>[2]CZ_decarbplus_opex!AO152</f>
        <v>0</v>
      </c>
      <c r="AY152" s="188">
        <f>[2]CZ_decarbplus_opex!AP152</f>
        <v>1.03575E-4</v>
      </c>
      <c r="AZ152" s="188">
        <f>[2]CZ_decarbplus_opex!AQ152</f>
        <v>0</v>
      </c>
      <c r="BA152" s="188">
        <f>[2]CZ_decarbplus_opex!AR152</f>
        <v>1.6847100000000001E-4</v>
      </c>
      <c r="BB152" s="188">
        <f>[2]CZ_decarbplus_opex!AS152</f>
        <v>2.2697099999999999E-4</v>
      </c>
      <c r="BC152" s="188">
        <f>[2]CZ_decarbplus_opex!AT152</f>
        <v>3.62925E-4</v>
      </c>
      <c r="BD152" s="188">
        <f>[2]CZ_decarbplus_opex!AU152</f>
        <v>3.0300000000000001E-5</v>
      </c>
      <c r="BE152" s="188">
        <f>[2]CZ_decarbplus_opex!AV152</f>
        <v>4.6199999999999998E-5</v>
      </c>
      <c r="BF152" s="188">
        <f>[2]CZ_decarbplus_opex!AW152</f>
        <v>1.9599999999999999E-5</v>
      </c>
      <c r="BG152" s="188">
        <f>[2]CZ_decarbplus_opex!AX152</f>
        <v>7.6899999999999999E-5</v>
      </c>
      <c r="BH152" s="188">
        <f>[3]CZ_decarb_opex!I152</f>
        <v>1.2729870880822801E-4</v>
      </c>
      <c r="BI152" s="188">
        <f>[2]CZ_decarbplus_opex!AY152</f>
        <v>1.83318E-4</v>
      </c>
      <c r="BJ152" s="188">
        <f>[2]CZ_decarbplus_opex!AZ152</f>
        <v>6.3600000000000001E-5</v>
      </c>
      <c r="BK152" s="188">
        <f>[2]CZ_decarbplus_opex!BA152</f>
        <v>3.1004699999999998E-4</v>
      </c>
      <c r="BL152" s="188">
        <f>[2]CZ_decarbplus_opex!BB152</f>
        <v>0</v>
      </c>
      <c r="BM152" s="188">
        <f>[3]CZ_decarb_opex!J152</f>
        <v>1.6932946730991E-4</v>
      </c>
      <c r="BN152" s="188">
        <f>[3]CZ_decarb_opex!K152</f>
        <v>9.6656315429329497E-4</v>
      </c>
      <c r="BO152" s="188">
        <f>[3]CZ_decarb_opex!L152</f>
        <v>1.7124384044226099E-4</v>
      </c>
      <c r="BP152" s="188">
        <f>[3]CZ_decarb_opex!M152</f>
        <v>8.3341159985566096E-4</v>
      </c>
      <c r="BQ152" s="188">
        <f>[3]CZ_decarb_opex!N152</f>
        <v>7.6213680567842503E-5</v>
      </c>
      <c r="BR152" s="188">
        <f>[3]CZ_decarb_opex!O152</f>
        <v>4.7919268110639304E-6</v>
      </c>
      <c r="BS152" s="188">
        <f>[3]CZ_decarb_opex!P152</f>
        <v>1.7331354867221999E-4</v>
      </c>
      <c r="BT152" s="188">
        <f>[3]CZ_decarb_opex!Q152</f>
        <v>4.2864053637616997E-3</v>
      </c>
      <c r="BU152" s="188">
        <f>[3]CZ_decarb_opex!R152</f>
        <v>7.9693628963268797E-6</v>
      </c>
      <c r="BV152" s="188">
        <f>[3]CZ_decarb_opex!S152</f>
        <v>7.9693628963268899E-6</v>
      </c>
      <c r="BW152" s="188">
        <f>[3]CZ_decarb_opex!T152</f>
        <v>3.9296589954353803E-6</v>
      </c>
      <c r="BX152" s="188">
        <f>[3]CZ_decarb_opex!U152</f>
        <v>5.9043087107970504E-6</v>
      </c>
      <c r="BY152" s="188">
        <f>[3]CZ_decarb_opex!V152</f>
        <v>2.10514152409404E-6</v>
      </c>
      <c r="BZ152" s="188">
        <f>[2]CZ_decarbplus_opex!BC152</f>
        <v>5.1942600000000002E-4</v>
      </c>
      <c r="CA152" s="188">
        <f>[2]CZ_decarbplus_opex!BD152</f>
        <v>1.7230300000000001E-4</v>
      </c>
      <c r="CB152" s="188">
        <f>[2]CZ_decarbplus_opex!BE152</f>
        <v>1.08175E-4</v>
      </c>
      <c r="CC152" s="188">
        <f>[2]CZ_decarbplus_opex!BF152</f>
        <v>7.6500000000000003E-5</v>
      </c>
      <c r="CD152" s="188">
        <f>[2]CZ_decarbplus_opex!BG152</f>
        <v>2.3549899999999999E-4</v>
      </c>
      <c r="CE152" s="188">
        <f>[2]CZ_decarbplus_opex!BH152</f>
        <v>1.8284659999999999E-3</v>
      </c>
      <c r="CF152" s="188">
        <f>[2]CZ_decarbplus_opex!BI152</f>
        <v>1.2280400000000001E-4</v>
      </c>
      <c r="CG152" s="188">
        <f>[2]CZ_decarbplus_opex!BJ152</f>
        <v>7.5619800000000003E-4</v>
      </c>
    </row>
    <row r="153" spans="1:85" x14ac:dyDescent="0.25">
      <c r="A153" s="6" t="s">
        <v>297</v>
      </c>
      <c r="B153" s="2" t="s">
        <v>296</v>
      </c>
      <c r="C153" s="1" t="s">
        <v>335</v>
      </c>
      <c r="D153" s="187">
        <f>[2]CZ_decarbplus_opex!B153</f>
        <v>5.9800000000000006E-8</v>
      </c>
      <c r="E153" s="187">
        <f>[2]CZ_decarbplus_opex!C153</f>
        <v>1.33E-8</v>
      </c>
      <c r="F153" s="187">
        <f>[2]CZ_decarbplus_opex!D153</f>
        <v>2.14E-8</v>
      </c>
      <c r="G153" s="187">
        <f>[2]CZ_decarbplus_opex!E153</f>
        <v>3.8199999999999996E-9</v>
      </c>
      <c r="H153" s="187">
        <f>[2]CZ_decarbplus_opex!F153</f>
        <v>8.6100000000000007E-9</v>
      </c>
      <c r="I153" s="187">
        <f>[2]CZ_decarbplus_opex!G153</f>
        <v>1.8699999999999999E-8</v>
      </c>
      <c r="J153" s="187">
        <f>[2]CZ_decarbplus_opex!H153</f>
        <v>5.0699999999999997E-8</v>
      </c>
      <c r="K153" s="187">
        <f>[2]CZ_decarbplus_opex!I153</f>
        <v>1.1199999999999999E-8</v>
      </c>
      <c r="L153" s="187">
        <f>[2]CZ_decarbplus_opex!J153</f>
        <v>6.7099999999999999E-8</v>
      </c>
      <c r="M153" s="187">
        <f>[2]CZ_decarbplus_opex!K153</f>
        <v>5.5000000000000003E-8</v>
      </c>
      <c r="N153" s="187">
        <f>[2]CZ_decarbplus_opex!L153</f>
        <v>3.7499999999999998E-8</v>
      </c>
      <c r="O153" s="187">
        <f>[2]CZ_decarbplus_opex!M153</f>
        <v>3.5399999999999999E-8</v>
      </c>
      <c r="P153" s="187">
        <f>[2]CZ_decarbplus_opex!N153</f>
        <v>8.5E-9</v>
      </c>
      <c r="Q153" s="187">
        <f>[2]CZ_decarbplus_opex!O153</f>
        <v>4.5900000000000001E-9</v>
      </c>
      <c r="R153" s="187">
        <f>[2]CZ_decarbplus_opex!P153</f>
        <v>5.6599999999999999E-9</v>
      </c>
      <c r="S153" s="187">
        <f>[2]CZ_decarbplus_opex!Q153</f>
        <v>8.6100000000000007E-9</v>
      </c>
      <c r="T153" s="187">
        <f>[2]CZ_decarbplus_opex!R153</f>
        <v>2.85E-8</v>
      </c>
      <c r="U153" s="187">
        <f>[2]CZ_decarbplus_opex!S153</f>
        <v>7.61E-9</v>
      </c>
      <c r="V153" s="187">
        <f>[2]CZ_decarbplus_opex!T153</f>
        <v>8.4599999999999993E-9</v>
      </c>
      <c r="W153" s="187">
        <f>[2]CZ_decarbplus_opex!U153</f>
        <v>3.2600000000000001E-8</v>
      </c>
      <c r="X153" s="187">
        <f>[2]CZ_decarbplus_opex!V153</f>
        <v>1.3799999999999999E-8</v>
      </c>
      <c r="Y153" s="187">
        <f>[2]CZ_decarbplus_opex!W153</f>
        <v>2.23E-7</v>
      </c>
      <c r="Z153" s="187">
        <f>[2]CZ_decarbplus_opex!X153</f>
        <v>4.0300000000000004E-9</v>
      </c>
      <c r="AA153" s="187">
        <f>[2]CZ_decarbplus_opex!Y153</f>
        <v>3.6500000000000003E-8</v>
      </c>
      <c r="AB153" s="188">
        <f>[3]CZ_decarb_opex!B153</f>
        <v>3.3124385624188101E-7</v>
      </c>
      <c r="AC153" s="188">
        <f>[3]CZ_decarb_opex!C153</f>
        <v>3.6858164331613297E-8</v>
      </c>
      <c r="AD153" s="188">
        <f>[3]CZ_decarb_opex!D153</f>
        <v>1.79447557831874E-8</v>
      </c>
      <c r="AE153" s="188">
        <f>[2]CZ_decarbplus_opex!Z153</f>
        <v>1.48E-8</v>
      </c>
      <c r="AF153" s="188">
        <f>[2]CZ_decarbplus_opex!AA153</f>
        <v>2.4999999999999999E-8</v>
      </c>
      <c r="AG153" s="188">
        <f>[2]CZ_decarbplus_opex!AB153</f>
        <v>5.6599999999999999E-9</v>
      </c>
      <c r="AH153" s="188">
        <f>[2]CZ_decarbplus_opex!AC153</f>
        <v>2.1699999999999999E-8</v>
      </c>
      <c r="AI153" s="188">
        <f>[2]CZ_decarbplus_opex!AD153</f>
        <v>1.3000000000000001E-8</v>
      </c>
      <c r="AJ153" s="188">
        <f>[2]CZ_decarbplus_opex!AE153</f>
        <v>2.5600000000000001E-8</v>
      </c>
      <c r="AK153" s="188">
        <f>[2]CZ_decarbplus_opex!AF153</f>
        <v>1.9799999999999999E-8</v>
      </c>
      <c r="AL153" s="188">
        <f>[3]CZ_decarb_opex!E153</f>
        <v>1.48236781438993E-8</v>
      </c>
      <c r="AM153" s="188">
        <f>[3]CZ_decarb_opex!F153</f>
        <v>1.68812119936103E-8</v>
      </c>
      <c r="AN153" s="188">
        <f>[2]CZ_decarbplus_opex!AG153</f>
        <v>1.33E-8</v>
      </c>
      <c r="AO153" s="188">
        <f>[3]CZ_decarb_opex!G153</f>
        <v>4.5260085548045498E-8</v>
      </c>
      <c r="AP153" s="188">
        <f>[3]CZ_decarb_opex!H153</f>
        <v>1.0647973758409799E-8</v>
      </c>
      <c r="AQ153" s="188">
        <f>[2]CZ_decarbplus_opex!AH153</f>
        <v>7.6000000000000002E-9</v>
      </c>
      <c r="AR153" s="188">
        <f>[2]CZ_decarbplus_opex!AI153</f>
        <v>0</v>
      </c>
      <c r="AS153" s="188">
        <f>[2]CZ_decarbplus_opex!AJ153</f>
        <v>9.8099999999999998E-9</v>
      </c>
      <c r="AT153" s="188">
        <f>[2]CZ_decarbplus_opex!AK153</f>
        <v>7.0800000000000004E-9</v>
      </c>
      <c r="AU153" s="188">
        <f>[2]CZ_decarbplus_opex!AL153</f>
        <v>4.6299999999999999E-9</v>
      </c>
      <c r="AV153" s="188">
        <f>[2]CZ_decarbplus_opex!AM153</f>
        <v>4.4699999999999997E-9</v>
      </c>
      <c r="AW153" s="188">
        <f>[2]CZ_decarbplus_opex!AN153</f>
        <v>5.0799999999999998E-9</v>
      </c>
      <c r="AX153" s="188">
        <f>[2]CZ_decarbplus_opex!AO153</f>
        <v>0</v>
      </c>
      <c r="AY153" s="188">
        <f>[2]CZ_decarbplus_opex!AP153</f>
        <v>2.18E-8</v>
      </c>
      <c r="AZ153" s="188">
        <f>[2]CZ_decarbplus_opex!AQ153</f>
        <v>0</v>
      </c>
      <c r="BA153" s="188">
        <f>[2]CZ_decarbplus_opex!AR153</f>
        <v>1E-8</v>
      </c>
      <c r="BB153" s="188">
        <f>[2]CZ_decarbplus_opex!AS153</f>
        <v>7.8000000000000004E-9</v>
      </c>
      <c r="BC153" s="188">
        <f>[2]CZ_decarbplus_opex!AT153</f>
        <v>9.94E-9</v>
      </c>
      <c r="BD153" s="188">
        <f>[2]CZ_decarbplus_opex!AU153</f>
        <v>1.73E-9</v>
      </c>
      <c r="BE153" s="188">
        <f>[2]CZ_decarbplus_opex!AV153</f>
        <v>6.5899999999999998E-9</v>
      </c>
      <c r="BF153" s="188">
        <f>[2]CZ_decarbplus_opex!AW153</f>
        <v>1.74E-9</v>
      </c>
      <c r="BG153" s="188">
        <f>[2]CZ_decarbplus_opex!AX153</f>
        <v>6.8800000000000002E-9</v>
      </c>
      <c r="BH153" s="188">
        <f>[3]CZ_decarb_opex!I153</f>
        <v>5.8491541064663598E-9</v>
      </c>
      <c r="BI153" s="188">
        <f>[2]CZ_decarbplus_opex!AY153</f>
        <v>3.94E-9</v>
      </c>
      <c r="BJ153" s="188">
        <f>[2]CZ_decarbplus_opex!AZ153</f>
        <v>1.24E-8</v>
      </c>
      <c r="BK153" s="188">
        <f>[2]CZ_decarbplus_opex!BA153</f>
        <v>6.3099999999999999E-9</v>
      </c>
      <c r="BL153" s="188">
        <f>[2]CZ_decarbplus_opex!BB153</f>
        <v>0</v>
      </c>
      <c r="BM153" s="188">
        <f>[3]CZ_decarb_opex!J153</f>
        <v>5.9684984694976295E-8</v>
      </c>
      <c r="BN153" s="188">
        <f>[3]CZ_decarb_opex!K153</f>
        <v>1.35342489055662E-8</v>
      </c>
      <c r="BO153" s="188">
        <f>[3]CZ_decarb_opex!L153</f>
        <v>3.1995826005544702E-9</v>
      </c>
      <c r="BP153" s="188">
        <f>[3]CZ_decarb_opex!M153</f>
        <v>9.5225606378635995E-9</v>
      </c>
      <c r="BQ153" s="188">
        <f>[3]CZ_decarb_opex!N153</f>
        <v>3.7491506243653902E-8</v>
      </c>
      <c r="BR153" s="188">
        <f>[3]CZ_decarb_opex!O153</f>
        <v>2.1966410998050101E-7</v>
      </c>
      <c r="BS153" s="188">
        <f>[3]CZ_decarb_opex!P153</f>
        <v>1.00449291662653E-7</v>
      </c>
      <c r="BT153" s="188">
        <f>[3]CZ_decarb_opex!Q153</f>
        <v>1.18568197719708E-8</v>
      </c>
      <c r="BU153" s="188">
        <f>[3]CZ_decarb_opex!R153</f>
        <v>3.8002937281402397E-9</v>
      </c>
      <c r="BV153" s="188">
        <f>[3]CZ_decarb_opex!S153</f>
        <v>3.8002937281402496E-9</v>
      </c>
      <c r="BW153" s="188">
        <f>[3]CZ_decarb_opex!T153</f>
        <v>1.36619149831936E-8</v>
      </c>
      <c r="BX153" s="188">
        <f>[3]CZ_decarb_opex!U153</f>
        <v>4.7866875770247495E-10</v>
      </c>
      <c r="BY153" s="188">
        <f>[3]CZ_decarb_opex!V153</f>
        <v>2.7009100532561298E-9</v>
      </c>
      <c r="BZ153" s="188">
        <f>[2]CZ_decarbplus_opex!BC153</f>
        <v>8.9600000000000005E-9</v>
      </c>
      <c r="CA153" s="188">
        <f>[2]CZ_decarbplus_opex!BD153</f>
        <v>4.9399999999999999E-9</v>
      </c>
      <c r="CB153" s="188">
        <f>[2]CZ_decarbplus_opex!BE153</f>
        <v>4.5399999999999996E-9</v>
      </c>
      <c r="CC153" s="188">
        <f>[2]CZ_decarbplus_opex!BF153</f>
        <v>2.1200000000000001E-9</v>
      </c>
      <c r="CD153" s="188">
        <f>[2]CZ_decarbplus_opex!BG153</f>
        <v>8.5999999999999993E-9</v>
      </c>
      <c r="CE153" s="188">
        <f>[2]CZ_decarbplus_opex!BH153</f>
        <v>3.8300000000000003E-5</v>
      </c>
      <c r="CF153" s="188">
        <f>[2]CZ_decarbplus_opex!BI153</f>
        <v>4.2300000000000002E-8</v>
      </c>
      <c r="CG153" s="188">
        <f>[2]CZ_decarbplus_opex!BJ153</f>
        <v>1.4100000000000001E-8</v>
      </c>
    </row>
    <row r="154" spans="1:85" x14ac:dyDescent="0.25">
      <c r="A154" s="6" t="s">
        <v>299</v>
      </c>
      <c r="B154" s="2" t="s">
        <v>298</v>
      </c>
      <c r="C154" s="1" t="s">
        <v>335</v>
      </c>
      <c r="D154" s="187">
        <f>[2]CZ_decarbplus_opex!B154</f>
        <v>4.5905799999999998E-4</v>
      </c>
      <c r="E154" s="187">
        <f>[2]CZ_decarbplus_opex!C154</f>
        <v>1.65141E-4</v>
      </c>
      <c r="F154" s="187">
        <f>[2]CZ_decarbplus_opex!D154</f>
        <v>1.6490799999999999E-4</v>
      </c>
      <c r="G154" s="187">
        <f>[2]CZ_decarbplus_opex!E154</f>
        <v>9.6600000000000007E-6</v>
      </c>
      <c r="H154" s="187">
        <f>[2]CZ_decarbplus_opex!F154</f>
        <v>1.6099999999999998E-5</v>
      </c>
      <c r="I154" s="187">
        <f>[2]CZ_decarbplus_opex!G154</f>
        <v>1.5862800000000001E-4</v>
      </c>
      <c r="J154" s="187">
        <f>[2]CZ_decarbplus_opex!H154</f>
        <v>1.5508300000000001E-4</v>
      </c>
      <c r="K154" s="187">
        <f>[2]CZ_decarbplus_opex!I154</f>
        <v>2.5700000000000001E-5</v>
      </c>
      <c r="L154" s="187">
        <f>[2]CZ_decarbplus_opex!J154</f>
        <v>2.1560199999999999E-4</v>
      </c>
      <c r="M154" s="187">
        <f>[2]CZ_decarbplus_opex!K154</f>
        <v>6.0227900000000005E-4</v>
      </c>
      <c r="N154" s="187">
        <f>[2]CZ_decarbplus_opex!L154</f>
        <v>9.4162499999999997E-4</v>
      </c>
      <c r="O154" s="187">
        <f>[2]CZ_decarbplus_opex!M154</f>
        <v>3.3530000000000002E-4</v>
      </c>
      <c r="P154" s="187">
        <f>[2]CZ_decarbplus_opex!N154</f>
        <v>1.6721499999999999E-4</v>
      </c>
      <c r="Q154" s="187">
        <f>[2]CZ_decarbplus_opex!O154</f>
        <v>7.8499999999999997E-5</v>
      </c>
      <c r="R154" s="187">
        <f>[2]CZ_decarbplus_opex!P154</f>
        <v>2.44E-5</v>
      </c>
      <c r="S154" s="187">
        <f>[2]CZ_decarbplus_opex!Q154</f>
        <v>4.2400000000000001E-5</v>
      </c>
      <c r="T154" s="187">
        <f>[2]CZ_decarbplus_opex!R154</f>
        <v>3.15E-5</v>
      </c>
      <c r="U154" s="187">
        <f>[2]CZ_decarbplus_opex!S154</f>
        <v>3.6199600000000001E-4</v>
      </c>
      <c r="V154" s="187">
        <f>[2]CZ_decarbplus_opex!T154</f>
        <v>6.2190599999999998E-4</v>
      </c>
      <c r="W154" s="187">
        <f>[2]CZ_decarbplus_opex!U154</f>
        <v>1.2652799999999999E-4</v>
      </c>
      <c r="X154" s="187">
        <f>[2]CZ_decarbplus_opex!V154</f>
        <v>5.3699999999999997E-5</v>
      </c>
      <c r="Y154" s="187">
        <f>[2]CZ_decarbplus_opex!W154</f>
        <v>3.3399999999999999E-5</v>
      </c>
      <c r="Z154" s="187">
        <f>[2]CZ_decarbplus_opex!X154</f>
        <v>1.16698E-4</v>
      </c>
      <c r="AA154" s="187">
        <f>[2]CZ_decarbplus_opex!Y154</f>
        <v>8.0900000000000001E-5</v>
      </c>
      <c r="AB154" s="188">
        <f>[3]CZ_decarb_opex!B154</f>
        <v>6.00974610040198E-5</v>
      </c>
      <c r="AC154" s="188">
        <f>[3]CZ_decarb_opex!C154</f>
        <v>3.2787202138873702E-3</v>
      </c>
      <c r="AD154" s="188">
        <f>[3]CZ_decarb_opex!D154</f>
        <v>1.19876281626405E-3</v>
      </c>
      <c r="AE154" s="188">
        <f>[2]CZ_decarbplus_opex!Z154</f>
        <v>9.8096399999999997E-4</v>
      </c>
      <c r="AF154" s="188">
        <f>[2]CZ_decarbplus_opex!AA154</f>
        <v>3.2990599999999998E-4</v>
      </c>
      <c r="AG154" s="188">
        <f>[2]CZ_decarbplus_opex!AB154</f>
        <v>5.5000000000000002E-5</v>
      </c>
      <c r="AH154" s="188">
        <f>[2]CZ_decarbplus_opex!AC154</f>
        <v>6.1500000000000004E-5</v>
      </c>
      <c r="AI154" s="188">
        <f>[2]CZ_decarbplus_opex!AD154</f>
        <v>3.95296E-4</v>
      </c>
      <c r="AJ154" s="188">
        <f>[2]CZ_decarbplus_opex!AE154</f>
        <v>1.0030300000000001E-4</v>
      </c>
      <c r="AK154" s="188">
        <f>[2]CZ_decarbplus_opex!AF154</f>
        <v>6.5319100000000001E-4</v>
      </c>
      <c r="AL154" s="188">
        <f>[3]CZ_decarb_opex!E154</f>
        <v>1.4631340572300599E-4</v>
      </c>
      <c r="AM154" s="188">
        <f>[3]CZ_decarb_opex!F154</f>
        <v>4.5476328950981099E-4</v>
      </c>
      <c r="AN154" s="188">
        <f>[2]CZ_decarbplus_opex!AG154</f>
        <v>1.6961E-4</v>
      </c>
      <c r="AO154" s="188">
        <f>[3]CZ_decarb_opex!G154</f>
        <v>3.1085848023983001E-4</v>
      </c>
      <c r="AP154" s="188">
        <f>[3]CZ_decarb_opex!H154</f>
        <v>4.3920308043526998E-4</v>
      </c>
      <c r="AQ154" s="188">
        <f>[2]CZ_decarbplus_opex!AH154</f>
        <v>4.9028299999999999E-4</v>
      </c>
      <c r="AR154" s="188">
        <f>[2]CZ_decarbplus_opex!AI154</f>
        <v>0</v>
      </c>
      <c r="AS154" s="188">
        <f>[2]CZ_decarbplus_opex!AJ154</f>
        <v>3.00966E-4</v>
      </c>
      <c r="AT154" s="188">
        <f>[2]CZ_decarbplus_opex!AK154</f>
        <v>2.5911400000000001E-4</v>
      </c>
      <c r="AU154" s="188">
        <f>[2]CZ_decarbplus_opex!AL154</f>
        <v>3.2238299999999998E-4</v>
      </c>
      <c r="AV154" s="188">
        <f>[2]CZ_decarbplus_opex!AM154</f>
        <v>3.4757599999999999E-4</v>
      </c>
      <c r="AW154" s="188">
        <f>[2]CZ_decarbplus_opex!AN154</f>
        <v>3.3749099999999998E-4</v>
      </c>
      <c r="AX154" s="188">
        <f>[2]CZ_decarbplus_opex!AO154</f>
        <v>0</v>
      </c>
      <c r="AY154" s="188">
        <f>[2]CZ_decarbplus_opex!AP154</f>
        <v>1.88841E-4</v>
      </c>
      <c r="AZ154" s="188">
        <f>[2]CZ_decarbplus_opex!AQ154</f>
        <v>0</v>
      </c>
      <c r="BA154" s="188">
        <f>[2]CZ_decarbplus_opex!AR154</f>
        <v>2.5232299999999999E-4</v>
      </c>
      <c r="BB154" s="188">
        <f>[2]CZ_decarbplus_opex!AS154</f>
        <v>3.47012E-4</v>
      </c>
      <c r="BC154" s="188">
        <f>[2]CZ_decarbplus_opex!AT154</f>
        <v>5.5958600000000005E-4</v>
      </c>
      <c r="BD154" s="188">
        <f>[2]CZ_decarbplus_opex!AU154</f>
        <v>3.6999999999999998E-5</v>
      </c>
      <c r="BE154" s="188">
        <f>[2]CZ_decarbplus_opex!AV154</f>
        <v>7.1099999999999994E-5</v>
      </c>
      <c r="BF154" s="188">
        <f>[2]CZ_decarbplus_opex!AW154</f>
        <v>2.2900000000000001E-5</v>
      </c>
      <c r="BG154" s="188">
        <f>[2]CZ_decarbplus_opex!AX154</f>
        <v>1.0135499999999999E-4</v>
      </c>
      <c r="BH154" s="188">
        <f>[3]CZ_decarb_opex!I154</f>
        <v>1.9590367138453099E-4</v>
      </c>
      <c r="BI154" s="188">
        <f>[2]CZ_decarbplus_opex!AY154</f>
        <v>2.60683E-4</v>
      </c>
      <c r="BJ154" s="188">
        <f>[2]CZ_decarbplus_opex!AZ154</f>
        <v>9.3300000000000005E-5</v>
      </c>
      <c r="BK154" s="188">
        <f>[2]CZ_decarbplus_opex!BA154</f>
        <v>5.1384399999999995E-4</v>
      </c>
      <c r="BL154" s="188">
        <f>[2]CZ_decarbplus_opex!BB154</f>
        <v>0</v>
      </c>
      <c r="BM154" s="188">
        <f>[3]CZ_decarb_opex!J154</f>
        <v>2.3533445448944499E-4</v>
      </c>
      <c r="BN154" s="188">
        <f>[3]CZ_decarb_opex!K154</f>
        <v>9.2141172416562603E-4</v>
      </c>
      <c r="BO154" s="188">
        <f>[3]CZ_decarb_opex!L154</f>
        <v>2.2693953237543299E-4</v>
      </c>
      <c r="BP154" s="188">
        <f>[3]CZ_decarb_opex!M154</f>
        <v>7.41883456431368E-4</v>
      </c>
      <c r="BQ154" s="188">
        <f>[3]CZ_decarb_opex!N154</f>
        <v>3.30980313877647E-3</v>
      </c>
      <c r="BR154" s="188">
        <f>[3]CZ_decarb_opex!O154</f>
        <v>2.9163671353881902E-6</v>
      </c>
      <c r="BS154" s="188">
        <f>[3]CZ_decarb_opex!P154</f>
        <v>2.0828994071538101E-4</v>
      </c>
      <c r="BT154" s="188">
        <f>[3]CZ_decarb_opex!Q154</f>
        <v>3.0968596744851998E-4</v>
      </c>
      <c r="BU154" s="188">
        <f>[3]CZ_decarb_opex!R154</f>
        <v>1.5535380806972601E-5</v>
      </c>
      <c r="BV154" s="188">
        <f>[3]CZ_decarb_opex!S154</f>
        <v>1.5535380806972601E-5</v>
      </c>
      <c r="BW154" s="188">
        <f>[3]CZ_decarb_opex!T154</f>
        <v>1.59291745929494E-6</v>
      </c>
      <c r="BX154" s="188">
        <f>[3]CZ_decarb_opex!U154</f>
        <v>4.1330530822725E-6</v>
      </c>
      <c r="BY154" s="188">
        <f>[3]CZ_decarb_opex!V154</f>
        <v>1.6990441657205E-6</v>
      </c>
      <c r="BZ154" s="188">
        <f>[2]CZ_decarbplus_opex!BC154</f>
        <v>5.1322399999999995E-4</v>
      </c>
      <c r="CA154" s="188">
        <f>[2]CZ_decarbplus_opex!BD154</f>
        <v>2.0832000000000001E-4</v>
      </c>
      <c r="CB154" s="188">
        <f>[2]CZ_decarbplus_opex!BE154</f>
        <v>1.47372E-4</v>
      </c>
      <c r="CC154" s="188">
        <f>[2]CZ_decarbplus_opex!BF154</f>
        <v>8.03E-5</v>
      </c>
      <c r="CD154" s="188">
        <f>[2]CZ_decarbplus_opex!BG154</f>
        <v>2.72451E-4</v>
      </c>
      <c r="CE154" s="188">
        <f>[2]CZ_decarbplus_opex!BH154</f>
        <v>2.738252E-3</v>
      </c>
      <c r="CF154" s="188">
        <f>[2]CZ_decarbplus_opex!BI154</f>
        <v>2.33303E-4</v>
      </c>
      <c r="CG154" s="188">
        <f>[2]CZ_decarbplus_opex!BJ154</f>
        <v>6.62899E-4</v>
      </c>
    </row>
    <row r="155" spans="1:85" x14ac:dyDescent="0.25">
      <c r="A155" s="6" t="s">
        <v>301</v>
      </c>
      <c r="B155" s="2" t="s">
        <v>300</v>
      </c>
      <c r="C155" s="1" t="s">
        <v>335</v>
      </c>
      <c r="D155" s="187">
        <f>[2]CZ_decarbplus_opex!B155</f>
        <v>8.87827E-4</v>
      </c>
      <c r="E155" s="187">
        <f>[2]CZ_decarbplus_opex!C155</f>
        <v>3.2305600000000001E-4</v>
      </c>
      <c r="F155" s="187">
        <f>[2]CZ_decarbplus_opex!D155</f>
        <v>8.0900000000000001E-5</v>
      </c>
      <c r="G155" s="187">
        <f>[2]CZ_decarbplus_opex!E155</f>
        <v>1.7900000000000001E-5</v>
      </c>
      <c r="H155" s="187">
        <f>[2]CZ_decarbplus_opex!F155</f>
        <v>3.0000000000000001E-5</v>
      </c>
      <c r="I155" s="187">
        <f>[2]CZ_decarbplus_opex!G155</f>
        <v>2.9926300000000002E-4</v>
      </c>
      <c r="J155" s="187">
        <f>[2]CZ_decarbplus_opex!H155</f>
        <v>2.8236599999999999E-4</v>
      </c>
      <c r="K155" s="187">
        <f>[2]CZ_decarbplus_opex!I155</f>
        <v>4.7800000000000003E-5</v>
      </c>
      <c r="L155" s="187">
        <f>[2]CZ_decarbplus_opex!J155</f>
        <v>4.0429300000000001E-4</v>
      </c>
      <c r="M155" s="187">
        <f>[2]CZ_decarbplus_opex!K155</f>
        <v>1.131347E-3</v>
      </c>
      <c r="N155" s="187">
        <f>[2]CZ_decarbplus_opex!L155</f>
        <v>1.8647030000000001E-3</v>
      </c>
      <c r="O155" s="187">
        <f>[2]CZ_decarbplus_opex!M155</f>
        <v>6.4103300000000005E-4</v>
      </c>
      <c r="P155" s="187">
        <f>[2]CZ_decarbplus_opex!N155</f>
        <v>3.1710700000000001E-4</v>
      </c>
      <c r="Q155" s="187">
        <f>[2]CZ_decarbplus_opex!O155</f>
        <v>4.9200000000000003E-5</v>
      </c>
      <c r="R155" s="187">
        <f>[2]CZ_decarbplus_opex!P155</f>
        <v>4.3900000000000003E-5</v>
      </c>
      <c r="S155" s="187">
        <f>[2]CZ_decarbplus_opex!Q155</f>
        <v>8.1899999999999999E-5</v>
      </c>
      <c r="T155" s="187">
        <f>[2]CZ_decarbplus_opex!R155</f>
        <v>5.8400000000000003E-5</v>
      </c>
      <c r="U155" s="187">
        <f>[2]CZ_decarbplus_opex!S155</f>
        <v>6.98031E-4</v>
      </c>
      <c r="V155" s="187">
        <f>[2]CZ_decarbplus_opex!T155</f>
        <v>1.213371E-3</v>
      </c>
      <c r="W155" s="187">
        <f>[2]CZ_decarbplus_opex!U155</f>
        <v>2.41179E-4</v>
      </c>
      <c r="X155" s="187">
        <f>[2]CZ_decarbplus_opex!V155</f>
        <v>1.02834E-4</v>
      </c>
      <c r="Y155" s="187">
        <f>[2]CZ_decarbplus_opex!W155</f>
        <v>6.0999999999999999E-5</v>
      </c>
      <c r="Z155" s="187">
        <f>[2]CZ_decarbplus_opex!X155</f>
        <v>2.22766E-4</v>
      </c>
      <c r="AA155" s="187">
        <f>[2]CZ_decarbplus_opex!Y155</f>
        <v>1.4192999999999999E-4</v>
      </c>
      <c r="AB155" s="188">
        <f>[3]CZ_decarb_opex!B155</f>
        <v>1.75779615479713E-4</v>
      </c>
      <c r="AC155" s="188">
        <f>[3]CZ_decarb_opex!C155</f>
        <v>6.5440124258429903E-3</v>
      </c>
      <c r="AD155" s="188">
        <f>[3]CZ_decarb_opex!D155</f>
        <v>2.3060063501480301E-3</v>
      </c>
      <c r="AE155" s="188">
        <f>[2]CZ_decarbplus_opex!Z155</f>
        <v>1.8678080000000001E-3</v>
      </c>
      <c r="AF155" s="188">
        <f>[2]CZ_decarbplus_opex!AA155</f>
        <v>6.1852000000000001E-4</v>
      </c>
      <c r="AG155" s="188">
        <f>[2]CZ_decarbplus_opex!AB155</f>
        <v>1.042E-4</v>
      </c>
      <c r="AH155" s="188">
        <f>[2]CZ_decarbplus_opex!AC155</f>
        <v>1.1934699999999999E-4</v>
      </c>
      <c r="AI155" s="188">
        <f>[2]CZ_decarbplus_opex!AD155</f>
        <v>7.9468599999999996E-4</v>
      </c>
      <c r="AJ155" s="188">
        <f>[2]CZ_decarbplus_opex!AE155</f>
        <v>1.9937899999999999E-4</v>
      </c>
      <c r="AK155" s="188">
        <f>[2]CZ_decarbplus_opex!AF155</f>
        <v>1.3182510000000001E-3</v>
      </c>
      <c r="AL155" s="188">
        <f>[3]CZ_decarb_opex!E155</f>
        <v>2.8567617890058202E-4</v>
      </c>
      <c r="AM155" s="188">
        <f>[3]CZ_decarb_opex!F155</f>
        <v>9.1403329914841304E-4</v>
      </c>
      <c r="AN155" s="188">
        <f>[2]CZ_decarbplus_opex!AG155</f>
        <v>3.2839399999999997E-4</v>
      </c>
      <c r="AO155" s="188">
        <f>[3]CZ_decarb_opex!G155</f>
        <v>5.8404726826616002E-4</v>
      </c>
      <c r="AP155" s="188">
        <f>[3]CZ_decarb_opex!H155</f>
        <v>8.3863771021095497E-4</v>
      </c>
      <c r="AQ155" s="188">
        <f>[2]CZ_decarbplus_opex!AH155</f>
        <v>9.40236E-4</v>
      </c>
      <c r="AR155" s="188">
        <f>[2]CZ_decarbplus_opex!AI155</f>
        <v>0</v>
      </c>
      <c r="AS155" s="188">
        <f>[2]CZ_decarbplus_opex!AJ155</f>
        <v>5.7917799999999996E-4</v>
      </c>
      <c r="AT155" s="188">
        <f>[2]CZ_decarbplus_opex!AK155</f>
        <v>4.9100200000000004E-4</v>
      </c>
      <c r="AU155" s="188">
        <f>[2]CZ_decarbplus_opex!AL155</f>
        <v>6.5167600000000001E-4</v>
      </c>
      <c r="AV155" s="188">
        <f>[2]CZ_decarbplus_opex!AM155</f>
        <v>7.0493699999999999E-4</v>
      </c>
      <c r="AW155" s="188">
        <f>[2]CZ_decarbplus_opex!AN155</f>
        <v>6.5039399999999999E-4</v>
      </c>
      <c r="AX155" s="188">
        <f>[2]CZ_decarbplus_opex!AO155</f>
        <v>0</v>
      </c>
      <c r="AY155" s="188">
        <f>[2]CZ_decarbplus_opex!AP155</f>
        <v>3.5110300000000002E-4</v>
      </c>
      <c r="AZ155" s="188">
        <f>[2]CZ_decarbplus_opex!AQ155</f>
        <v>0</v>
      </c>
      <c r="BA155" s="188">
        <f>[2]CZ_decarbplus_opex!AR155</f>
        <v>4.7515399999999998E-4</v>
      </c>
      <c r="BB155" s="188">
        <f>[2]CZ_decarbplus_opex!AS155</f>
        <v>6.50422E-4</v>
      </c>
      <c r="BC155" s="188">
        <f>[2]CZ_decarbplus_opex!AT155</f>
        <v>1.0500399999999999E-3</v>
      </c>
      <c r="BD155" s="188">
        <f>[2]CZ_decarbplus_opex!AU155</f>
        <v>7.5199999999999998E-5</v>
      </c>
      <c r="BE155" s="188">
        <f>[2]CZ_decarbplus_opex!AV155</f>
        <v>1.4140999999999999E-4</v>
      </c>
      <c r="BF155" s="188">
        <f>[2]CZ_decarbplus_opex!AW155</f>
        <v>4.4199999999999997E-5</v>
      </c>
      <c r="BG155" s="188">
        <f>[2]CZ_decarbplus_opex!AX155</f>
        <v>1.9395400000000001E-4</v>
      </c>
      <c r="BH155" s="188">
        <f>[3]CZ_decarb_opex!I155</f>
        <v>3.69167925723472E-4</v>
      </c>
      <c r="BI155" s="188">
        <f>[2]CZ_decarbplus_opex!AY155</f>
        <v>4.9282299999999998E-4</v>
      </c>
      <c r="BJ155" s="188">
        <f>[2]CZ_decarbplus_opex!AZ155</f>
        <v>1.7614900000000001E-4</v>
      </c>
      <c r="BK155" s="188">
        <f>[2]CZ_decarbplus_opex!BA155</f>
        <v>9.6810400000000001E-4</v>
      </c>
      <c r="BL155" s="188">
        <f>[2]CZ_decarbplus_opex!BB155</f>
        <v>0</v>
      </c>
      <c r="BM155" s="188">
        <f>[3]CZ_decarb_opex!J155</f>
        <v>4.43155536702237E-4</v>
      </c>
      <c r="BN155" s="188">
        <f>[3]CZ_decarb_opex!K155</f>
        <v>1.83405471052581E-3</v>
      </c>
      <c r="BO155" s="188">
        <f>[3]CZ_decarb_opex!L155</f>
        <v>4.3143751782531101E-4</v>
      </c>
      <c r="BP155" s="188">
        <f>[3]CZ_decarb_opex!M155</f>
        <v>1.49388600936813E-3</v>
      </c>
      <c r="BQ155" s="188">
        <f>[3]CZ_decarb_opex!N155</f>
        <v>2.2234702234125601E-4</v>
      </c>
      <c r="BR155" s="188">
        <f>[3]CZ_decarb_opex!O155</f>
        <v>7.45277610514715E-6</v>
      </c>
      <c r="BS155" s="188">
        <f>[3]CZ_decarb_opex!P155</f>
        <v>3.2417242088143898E-4</v>
      </c>
      <c r="BT155" s="188">
        <f>[3]CZ_decarb_opex!Q155</f>
        <v>6.25276723281627E-4</v>
      </c>
      <c r="BU155" s="188">
        <f>[3]CZ_decarb_opex!R155</f>
        <v>2.92708586837795E-5</v>
      </c>
      <c r="BV155" s="188">
        <f>[3]CZ_decarb_opex!S155</f>
        <v>2.9270858683779601E-5</v>
      </c>
      <c r="BW155" s="188">
        <f>[3]CZ_decarb_opex!T155</f>
        <v>3.2735414489275702E-6</v>
      </c>
      <c r="BX155" s="188">
        <f>[3]CZ_decarb_opex!U155</f>
        <v>5.5476878097768999E-6</v>
      </c>
      <c r="BY155" s="188">
        <f>[3]CZ_decarb_opex!V155</f>
        <v>1.8375001341602801E-6</v>
      </c>
      <c r="BZ155" s="188">
        <f>[2]CZ_decarbplus_opex!BC155</f>
        <v>1.016901E-3</v>
      </c>
      <c r="CA155" s="188">
        <f>[2]CZ_decarbplus_opex!BD155</f>
        <v>4.0141800000000001E-4</v>
      </c>
      <c r="CB155" s="188">
        <f>[2]CZ_decarbplus_opex!BE155</f>
        <v>2.7997299999999998E-4</v>
      </c>
      <c r="CC155" s="188">
        <f>[2]CZ_decarbplus_opex!BF155</f>
        <v>1.57706E-4</v>
      </c>
      <c r="CD155" s="188">
        <f>[2]CZ_decarbplus_opex!BG155</f>
        <v>5.3330999999999995E-4</v>
      </c>
      <c r="CE155" s="188">
        <f>[2]CZ_decarbplus_opex!BH155</f>
        <v>5.1360080000000001E-3</v>
      </c>
      <c r="CF155" s="188">
        <f>[2]CZ_decarbplus_opex!BI155</f>
        <v>4.3637100000000001E-4</v>
      </c>
      <c r="CG155" s="188">
        <f>[2]CZ_decarbplus_opex!BJ155</f>
        <v>1.336877E-3</v>
      </c>
    </row>
    <row r="156" spans="1:85" x14ac:dyDescent="0.25">
      <c r="A156" s="6" t="s">
        <v>303</v>
      </c>
      <c r="B156" s="2" t="s">
        <v>302</v>
      </c>
      <c r="C156" s="1" t="s">
        <v>335</v>
      </c>
      <c r="D156" s="187">
        <f>[2]CZ_decarbplus_opex!B156</f>
        <v>6.9707000000000005E-4</v>
      </c>
      <c r="E156" s="187">
        <f>[2]CZ_decarbplus_opex!C156</f>
        <v>7.3923700000000001E-4</v>
      </c>
      <c r="F156" s="187">
        <f>[2]CZ_decarbplus_opex!D156</f>
        <v>1.1307900000000001E-4</v>
      </c>
      <c r="G156" s="187">
        <f>[2]CZ_decarbplus_opex!E156</f>
        <v>2.48E-5</v>
      </c>
      <c r="H156" s="187">
        <f>[2]CZ_decarbplus_opex!F156</f>
        <v>4.1600000000000002E-5</v>
      </c>
      <c r="I156" s="187">
        <f>[2]CZ_decarbplus_opex!G156</f>
        <v>4.7487099999999997E-4</v>
      </c>
      <c r="J156" s="187">
        <f>[2]CZ_decarbplus_opex!H156</f>
        <v>3.9058499999999999E-4</v>
      </c>
      <c r="K156" s="187">
        <f>[2]CZ_decarbplus_opex!I156</f>
        <v>6.6299999999999999E-5</v>
      </c>
      <c r="L156" s="187">
        <f>[2]CZ_decarbplus_opex!J156</f>
        <v>6.00561E-4</v>
      </c>
      <c r="M156" s="187">
        <f>[2]CZ_decarbplus_opex!K156</f>
        <v>1.6706609999999999E-3</v>
      </c>
      <c r="N156" s="187">
        <f>[2]CZ_decarbplus_opex!L156</f>
        <v>4.7147619999999999E-3</v>
      </c>
      <c r="O156" s="187">
        <f>[2]CZ_decarbplus_opex!M156</f>
        <v>1.2280850000000001E-3</v>
      </c>
      <c r="P156" s="187">
        <f>[2]CZ_decarbplus_opex!N156</f>
        <v>5.1373100000000002E-4</v>
      </c>
      <c r="Q156" s="187">
        <f>[2]CZ_decarbplus_opex!O156</f>
        <v>7.6500000000000003E-5</v>
      </c>
      <c r="R156" s="187">
        <f>[2]CZ_decarbplus_opex!P156</f>
        <v>5.94E-5</v>
      </c>
      <c r="S156" s="187">
        <f>[2]CZ_decarbplus_opex!Q156</f>
        <v>1.72564E-4</v>
      </c>
      <c r="T156" s="187">
        <f>[2]CZ_decarbplus_opex!R156</f>
        <v>8.2700000000000004E-5</v>
      </c>
      <c r="U156" s="187">
        <f>[2]CZ_decarbplus_opex!S156</f>
        <v>1.3881290000000001E-3</v>
      </c>
      <c r="V156" s="187">
        <f>[2]CZ_decarbplus_opex!T156</f>
        <v>2.679617E-3</v>
      </c>
      <c r="W156" s="187">
        <f>[2]CZ_decarbplus_opex!U156</f>
        <v>4.4044599999999999E-4</v>
      </c>
      <c r="X156" s="187">
        <f>[2]CZ_decarbplus_opex!V156</f>
        <v>2.0505400000000001E-4</v>
      </c>
      <c r="Y156" s="187">
        <f>[2]CZ_decarbplus_opex!W156</f>
        <v>8.4699999999999999E-5</v>
      </c>
      <c r="Z156" s="187">
        <f>[2]CZ_decarbplus_opex!X156</f>
        <v>5.0925799999999995E-4</v>
      </c>
      <c r="AA156" s="187">
        <f>[2]CZ_decarbplus_opex!Y156</f>
        <v>1.9376500000000001E-4</v>
      </c>
      <c r="AB156" s="188">
        <f>[3]CZ_decarb_opex!B156</f>
        <v>2.8991103986343098E-4</v>
      </c>
      <c r="AC156" s="188">
        <f>[3]CZ_decarb_opex!C156</f>
        <v>1.7375960445600001E-2</v>
      </c>
      <c r="AD156" s="188">
        <f>[3]CZ_decarb_opex!D156</f>
        <v>4.4715935971112999E-3</v>
      </c>
      <c r="AE156" s="188">
        <f>[2]CZ_decarbplus_opex!Z156</f>
        <v>3.24968E-3</v>
      </c>
      <c r="AF156" s="188">
        <f>[2]CZ_decarbplus_opex!AA156</f>
        <v>8.8707599999999999E-4</v>
      </c>
      <c r="AG156" s="188">
        <f>[2]CZ_decarbplus_opex!AB156</f>
        <v>1.67999E-4</v>
      </c>
      <c r="AH156" s="188">
        <f>[2]CZ_decarbplus_opex!AC156</f>
        <v>2.7130999999999998E-4</v>
      </c>
      <c r="AI156" s="188">
        <f>[2]CZ_decarbplus_opex!AD156</f>
        <v>1.7002200000000001E-4</v>
      </c>
      <c r="AJ156" s="188">
        <f>[2]CZ_decarbplus_opex!AE156</f>
        <v>5.2481700000000001E-4</v>
      </c>
      <c r="AK156" s="188">
        <f>[2]CZ_decarbplus_opex!AF156</f>
        <v>2.0376300000000001E-4</v>
      </c>
      <c r="AL156" s="188">
        <f>[3]CZ_decarb_opex!E156</f>
        <v>6.5255405964827597E-4</v>
      </c>
      <c r="AM156" s="188">
        <f>[3]CZ_decarb_opex!F156</f>
        <v>1.9103215063761699E-4</v>
      </c>
      <c r="AN156" s="188">
        <f>[2]CZ_decarbplus_opex!AG156</f>
        <v>6.9379000000000001E-4</v>
      </c>
      <c r="AO156" s="188">
        <f>[3]CZ_decarb_opex!G156</f>
        <v>9.0770493286724998E-4</v>
      </c>
      <c r="AP156" s="188">
        <f>[3]CZ_decarb_opex!H156</f>
        <v>1.5359243953784001E-3</v>
      </c>
      <c r="AQ156" s="188">
        <f>[2]CZ_decarbplus_opex!AH156</f>
        <v>1.777215E-3</v>
      </c>
      <c r="AR156" s="188">
        <f>[2]CZ_decarbplus_opex!AI156</f>
        <v>0</v>
      </c>
      <c r="AS156" s="188">
        <f>[2]CZ_decarbplus_opex!AJ156</f>
        <v>1.1616409999999999E-3</v>
      </c>
      <c r="AT156" s="188">
        <f>[2]CZ_decarbplus_opex!AK156</f>
        <v>8.4000199999999996E-4</v>
      </c>
      <c r="AU156" s="188">
        <f>[2]CZ_decarbplus_opex!AL156</f>
        <v>1.854117E-3</v>
      </c>
      <c r="AV156" s="188">
        <f>[2]CZ_decarbplus_opex!AM156</f>
        <v>8.0900000000000001E-5</v>
      </c>
      <c r="AW156" s="188">
        <f>[2]CZ_decarbplus_opex!AN156</f>
        <v>1.352107E-3</v>
      </c>
      <c r="AX156" s="188">
        <f>[2]CZ_decarbplus_opex!AO156</f>
        <v>0</v>
      </c>
      <c r="AY156" s="188">
        <f>[2]CZ_decarbplus_opex!AP156</f>
        <v>4.9199599999999997E-4</v>
      </c>
      <c r="AZ156" s="188">
        <f>[2]CZ_decarbplus_opex!AQ156</f>
        <v>0</v>
      </c>
      <c r="BA156" s="188">
        <f>[2]CZ_decarbplus_opex!AR156</f>
        <v>7.3457600000000002E-4</v>
      </c>
      <c r="BB156" s="188">
        <f>[2]CZ_decarbplus_opex!AS156</f>
        <v>9.1581699999999998E-4</v>
      </c>
      <c r="BC156" s="188">
        <f>[2]CZ_decarbplus_opex!AT156</f>
        <v>1.460774E-3</v>
      </c>
      <c r="BD156" s="188">
        <f>[2]CZ_decarbplus_opex!AU156</f>
        <v>1.20862E-4</v>
      </c>
      <c r="BE156" s="188">
        <f>[2]CZ_decarbplus_opex!AV156</f>
        <v>2.0387399999999999E-4</v>
      </c>
      <c r="BF156" s="188">
        <f>[2]CZ_decarbplus_opex!AW156</f>
        <v>8.0799999999999999E-5</v>
      </c>
      <c r="BG156" s="188">
        <f>[2]CZ_decarbplus_opex!AX156</f>
        <v>3.5260700000000001E-4</v>
      </c>
      <c r="BH156" s="188">
        <f>[3]CZ_decarb_opex!I156</f>
        <v>5.1405708517077197E-4</v>
      </c>
      <c r="BI156" s="188">
        <f>[2]CZ_decarbplus_opex!AY156</f>
        <v>7.6133099999999997E-4</v>
      </c>
      <c r="BJ156" s="188">
        <f>[2]CZ_decarbplus_opex!AZ156</f>
        <v>3.0819700000000002E-4</v>
      </c>
      <c r="BK156" s="188">
        <f>[2]CZ_decarbplus_opex!BA156</f>
        <v>1.516454E-3</v>
      </c>
      <c r="BL156" s="188">
        <f>[2]CZ_decarbplus_opex!BB156</f>
        <v>0</v>
      </c>
      <c r="BM156" s="188">
        <f>[3]CZ_decarb_opex!J156</f>
        <v>6.9135370975218597E-4</v>
      </c>
      <c r="BN156" s="188">
        <f>[3]CZ_decarb_opex!K156</f>
        <v>4.7477773061178497E-3</v>
      </c>
      <c r="BO156" s="188">
        <f>[3]CZ_decarb_opex!L156</f>
        <v>7.2964137879135099E-4</v>
      </c>
      <c r="BP156" s="188">
        <f>[3]CZ_decarb_opex!M156</f>
        <v>4.1797246635399098E-3</v>
      </c>
      <c r="BQ156" s="188">
        <f>[3]CZ_decarb_opex!N156</f>
        <v>3.0727488364640302E-4</v>
      </c>
      <c r="BR156" s="188">
        <f>[3]CZ_decarb_opex!O156</f>
        <v>3.58614301365673E-6</v>
      </c>
      <c r="BS156" s="188">
        <f>[3]CZ_decarb_opex!P156</f>
        <v>4.5025273427052898E-4</v>
      </c>
      <c r="BT156" s="188">
        <f>[3]CZ_decarb_opex!Q156</f>
        <v>8.5120931893341599E-5</v>
      </c>
      <c r="BU156" s="188">
        <f>[3]CZ_decarb_opex!R156</f>
        <v>4.0212646970507597E-5</v>
      </c>
      <c r="BV156" s="188">
        <f>[3]CZ_decarb_opex!S156</f>
        <v>4.0212646970507801E-5</v>
      </c>
      <c r="BW156" s="188">
        <f>[3]CZ_decarb_opex!T156</f>
        <v>5.9407479125004303E-6</v>
      </c>
      <c r="BX156" s="188">
        <f>[3]CZ_decarb_opex!U156</f>
        <v>5.6119771733730298E-6</v>
      </c>
      <c r="BY156" s="188">
        <f>[3]CZ_decarb_opex!V156</f>
        <v>3.3365552552091599E-6</v>
      </c>
      <c r="BZ156" s="188">
        <f>[2]CZ_decarbplus_opex!BC156</f>
        <v>2.528481E-3</v>
      </c>
      <c r="CA156" s="188">
        <f>[2]CZ_decarbplus_opex!BD156</f>
        <v>7.8226599999999999E-4</v>
      </c>
      <c r="CB156" s="188">
        <f>[2]CZ_decarbplus_opex!BE156</f>
        <v>4.61638E-4</v>
      </c>
      <c r="CC156" s="188">
        <f>[2]CZ_decarbplus_opex!BF156</f>
        <v>3.6790500000000002E-4</v>
      </c>
      <c r="CD156" s="188">
        <f>[2]CZ_decarbplus_opex!BG156</f>
        <v>1.102699E-3</v>
      </c>
      <c r="CE156" s="188">
        <f>[2]CZ_decarbplus_opex!BH156</f>
        <v>7.3718589999999997E-3</v>
      </c>
      <c r="CF156" s="188">
        <f>[2]CZ_decarbplus_opex!BI156</f>
        <v>6.1086500000000004E-4</v>
      </c>
      <c r="CG156" s="188">
        <f>[2]CZ_decarbplus_opex!BJ156</f>
        <v>3.8294660000000001E-3</v>
      </c>
    </row>
    <row r="157" spans="1:85" x14ac:dyDescent="0.25">
      <c r="A157" s="6" t="s">
        <v>305</v>
      </c>
      <c r="B157" s="2" t="s">
        <v>304</v>
      </c>
      <c r="C157" s="1" t="s">
        <v>335</v>
      </c>
      <c r="D157" s="187">
        <f>[2]CZ_decarbplus_opex!B157</f>
        <v>4.7901999999999998E-4</v>
      </c>
      <c r="E157" s="187">
        <f>[2]CZ_decarbplus_opex!C157</f>
        <v>3.9701500000000002E-4</v>
      </c>
      <c r="F157" s="187">
        <f>[2]CZ_decarbplus_opex!D157</f>
        <v>7.7899999999999996E-5</v>
      </c>
      <c r="G157" s="187">
        <f>[2]CZ_decarbplus_opex!E157</f>
        <v>1.73E-5</v>
      </c>
      <c r="H157" s="187">
        <f>[2]CZ_decarbplus_opex!F157</f>
        <v>2.87E-5</v>
      </c>
      <c r="I157" s="187">
        <f>[2]CZ_decarbplus_opex!G157</f>
        <v>3.0340199999999998E-4</v>
      </c>
      <c r="J157" s="187">
        <f>[2]CZ_decarbplus_opex!H157</f>
        <v>2.7058399999999998E-4</v>
      </c>
      <c r="K157" s="187">
        <f>[2]CZ_decarbplus_opex!I157</f>
        <v>4.5899999999999998E-5</v>
      </c>
      <c r="L157" s="187">
        <f>[2]CZ_decarbplus_opex!J157</f>
        <v>3.97768E-4</v>
      </c>
      <c r="M157" s="187">
        <f>[2]CZ_decarbplus_opex!K157</f>
        <v>1.1072969999999999E-3</v>
      </c>
      <c r="N157" s="187">
        <f>[2]CZ_decarbplus_opex!L157</f>
        <v>2.428188E-3</v>
      </c>
      <c r="O157" s="187">
        <f>[2]CZ_decarbplus_opex!M157</f>
        <v>7.1870500000000004E-4</v>
      </c>
      <c r="P157" s="187">
        <f>[2]CZ_decarbplus_opex!N157</f>
        <v>3.2418099999999999E-4</v>
      </c>
      <c r="Q157" s="187">
        <f>[2]CZ_decarbplus_opex!O157</f>
        <v>5.5000000000000002E-5</v>
      </c>
      <c r="R157" s="187">
        <f>[2]CZ_decarbplus_opex!P157</f>
        <v>4.1699999999999997E-5</v>
      </c>
      <c r="S157" s="187">
        <f>[2]CZ_decarbplus_opex!Q157</f>
        <v>9.7999999999999997E-5</v>
      </c>
      <c r="T157" s="187">
        <f>[2]CZ_decarbplus_opex!R157</f>
        <v>5.77E-5</v>
      </c>
      <c r="U157" s="187">
        <f>[2]CZ_decarbplus_opex!S157</f>
        <v>7.9353300000000002E-4</v>
      </c>
      <c r="V157" s="187">
        <f>[2]CZ_decarbplus_opex!T157</f>
        <v>1.4602250000000001E-3</v>
      </c>
      <c r="W157" s="187">
        <f>[2]CZ_decarbplus_opex!U157</f>
        <v>2.6311800000000001E-4</v>
      </c>
      <c r="X157" s="187">
        <f>[2]CZ_decarbplus_opex!V157</f>
        <v>1.20642E-4</v>
      </c>
      <c r="Y157" s="187">
        <f>[2]CZ_decarbplus_opex!W157</f>
        <v>5.7299999999999997E-5</v>
      </c>
      <c r="Z157" s="187">
        <f>[2]CZ_decarbplus_opex!X157</f>
        <v>3.3895000000000003E-4</v>
      </c>
      <c r="AA157" s="187">
        <f>[2]CZ_decarbplus_opex!Y157</f>
        <v>1.37269E-4</v>
      </c>
      <c r="AB157" s="188">
        <f>[3]CZ_decarb_opex!B157</f>
        <v>1.7018294170267301E-4</v>
      </c>
      <c r="AC157" s="188">
        <f>[3]CZ_decarb_opex!C157</f>
        <v>8.7720385080731194E-3</v>
      </c>
      <c r="AD157" s="188">
        <f>[3]CZ_decarb_opex!D157</f>
        <v>2.5827499330849401E-3</v>
      </c>
      <c r="AE157" s="188">
        <f>[2]CZ_decarbplus_opex!Z157</f>
        <v>1.977389E-3</v>
      </c>
      <c r="AF157" s="188">
        <f>[2]CZ_decarbplus_opex!AA157</f>
        <v>6.0040199999999999E-4</v>
      </c>
      <c r="AG157" s="188">
        <f>[2]CZ_decarbplus_opex!AB157</f>
        <v>1.07865E-4</v>
      </c>
      <c r="AH157" s="188">
        <f>[2]CZ_decarbplus_opex!AC157</f>
        <v>1.5752600000000001E-4</v>
      </c>
      <c r="AI157" s="188">
        <f>[2]CZ_decarbplus_opex!AD157</f>
        <v>1.17812E-4</v>
      </c>
      <c r="AJ157" s="188">
        <f>[2]CZ_decarbplus_opex!AE157</f>
        <v>2.7084599999999999E-4</v>
      </c>
      <c r="AK157" s="188">
        <f>[2]CZ_decarbplus_opex!AF157</f>
        <v>1.41772E-4</v>
      </c>
      <c r="AL157" s="188">
        <f>[3]CZ_decarb_opex!E157</f>
        <v>3.52067367083704E-4</v>
      </c>
      <c r="AM157" s="188">
        <f>[3]CZ_decarb_opex!F157</f>
        <v>1.3196219483485399E-4</v>
      </c>
      <c r="AN157" s="188">
        <f>[2]CZ_decarbplus_opex!AG157</f>
        <v>3.89081E-4</v>
      </c>
      <c r="AO157" s="188">
        <f>[3]CZ_decarb_opex!G157</f>
        <v>5.8526037394860395E-4</v>
      </c>
      <c r="AP157" s="188">
        <f>[3]CZ_decarb_opex!H157</f>
        <v>9.1321580100747995E-4</v>
      </c>
      <c r="AQ157" s="188">
        <f>[2]CZ_decarbplus_opex!AH157</f>
        <v>1.038258E-3</v>
      </c>
      <c r="AR157" s="188">
        <f>[2]CZ_decarbplus_opex!AI157</f>
        <v>0</v>
      </c>
      <c r="AS157" s="188">
        <f>[2]CZ_decarbplus_opex!AJ157</f>
        <v>6.6460800000000002E-4</v>
      </c>
      <c r="AT157" s="188">
        <f>[2]CZ_decarbplus_opex!AK157</f>
        <v>5.1970599999999999E-4</v>
      </c>
      <c r="AU157" s="188">
        <f>[2]CZ_decarbplus_opex!AL157</f>
        <v>9.1173600000000001E-4</v>
      </c>
      <c r="AV157" s="188">
        <f>[2]CZ_decarbplus_opex!AM157</f>
        <v>5.5999999999999999E-5</v>
      </c>
      <c r="AW157" s="188">
        <f>[2]CZ_decarbplus_opex!AN157</f>
        <v>7.90812E-4</v>
      </c>
      <c r="AX157" s="188">
        <f>[2]CZ_decarbplus_opex!AO157</f>
        <v>0</v>
      </c>
      <c r="AY157" s="188">
        <f>[2]CZ_decarbplus_opex!AP157</f>
        <v>3.4501300000000003E-4</v>
      </c>
      <c r="AZ157" s="188">
        <f>[2]CZ_decarbplus_opex!AQ157</f>
        <v>0</v>
      </c>
      <c r="BA157" s="188">
        <f>[2]CZ_decarbplus_opex!AR157</f>
        <v>4.7686000000000001E-4</v>
      </c>
      <c r="BB157" s="188">
        <f>[2]CZ_decarbplus_opex!AS157</f>
        <v>6.2354000000000001E-4</v>
      </c>
      <c r="BC157" s="188">
        <f>[2]CZ_decarbplus_opex!AT157</f>
        <v>9.9850500000000001E-4</v>
      </c>
      <c r="BD157" s="188">
        <f>[2]CZ_decarbplus_opex!AU157</f>
        <v>7.5799999999999999E-5</v>
      </c>
      <c r="BE157" s="188">
        <f>[2]CZ_decarbplus_opex!AV157</f>
        <v>1.3647900000000001E-4</v>
      </c>
      <c r="BF157" s="188">
        <f>[2]CZ_decarbplus_opex!AW157</f>
        <v>4.7200000000000002E-5</v>
      </c>
      <c r="BG157" s="188">
        <f>[2]CZ_decarbplus_opex!AX157</f>
        <v>2.11084E-4</v>
      </c>
      <c r="BH157" s="188">
        <f>[3]CZ_decarb_opex!I157</f>
        <v>3.5283240885361299E-4</v>
      </c>
      <c r="BI157" s="188">
        <f>[2]CZ_decarbplus_opex!AY157</f>
        <v>4.9329799999999998E-4</v>
      </c>
      <c r="BJ157" s="188">
        <f>[2]CZ_decarbplus_opex!AZ157</f>
        <v>2.0016000000000001E-4</v>
      </c>
      <c r="BK157" s="188">
        <f>[2]CZ_decarbplus_opex!BA157</f>
        <v>9.7698100000000003E-4</v>
      </c>
      <c r="BL157" s="188">
        <f>[2]CZ_decarbplus_opex!BB157</f>
        <v>0</v>
      </c>
      <c r="BM157" s="188">
        <f>[3]CZ_decarb_opex!J157</f>
        <v>4.4324302003774502E-4</v>
      </c>
      <c r="BN157" s="188">
        <f>[3]CZ_decarb_opex!K157</f>
        <v>2.4212579089995601E-3</v>
      </c>
      <c r="BO157" s="188">
        <f>[3]CZ_decarb_opex!L157</f>
        <v>4.5044097314015302E-4</v>
      </c>
      <c r="BP157" s="188">
        <f>[3]CZ_decarb_opex!M157</f>
        <v>2.0678779877519701E-3</v>
      </c>
      <c r="BQ157" s="188">
        <f>[3]CZ_decarb_opex!N157</f>
        <v>2.12076564350015E-4</v>
      </c>
      <c r="BR157" s="188">
        <f>[3]CZ_decarb_opex!O157</f>
        <v>2.5373068295384999E-6</v>
      </c>
      <c r="BS157" s="188">
        <f>[3]CZ_decarb_opex!P157</f>
        <v>3.12448134508119E-4</v>
      </c>
      <c r="BT157" s="188">
        <f>[3]CZ_decarb_opex!Q157</f>
        <v>1.3564830593289399E-4</v>
      </c>
      <c r="BU157" s="188">
        <f>[3]CZ_decarb_opex!R157</f>
        <v>2.78260725717538E-5</v>
      </c>
      <c r="BV157" s="188">
        <f>[3]CZ_decarb_opex!S157</f>
        <v>2.7826072571753698E-5</v>
      </c>
      <c r="BW157" s="188">
        <f>[3]CZ_decarb_opex!T157</f>
        <v>6.2280127523064099E-6</v>
      </c>
      <c r="BX157" s="188">
        <f>[3]CZ_decarb_opex!U157</f>
        <v>5.0951320917932E-6</v>
      </c>
      <c r="BY157" s="188">
        <f>[3]CZ_decarb_opex!V157</f>
        <v>1.06490403504606E-5</v>
      </c>
      <c r="BZ157" s="188">
        <f>[2]CZ_decarbplus_opex!BC157</f>
        <v>1.3103030000000001E-3</v>
      </c>
      <c r="CA157" s="188">
        <f>[2]CZ_decarbplus_opex!BD157</f>
        <v>4.5096099999999999E-4</v>
      </c>
      <c r="CB157" s="188">
        <f>[2]CZ_decarbplus_opex!BE157</f>
        <v>2.8874800000000002E-4</v>
      </c>
      <c r="CC157" s="188">
        <f>[2]CZ_decarbplus_opex!BF157</f>
        <v>1.9595100000000001E-4</v>
      </c>
      <c r="CD157" s="188">
        <f>[2]CZ_decarbplus_opex!BG157</f>
        <v>6.17156E-4</v>
      </c>
      <c r="CE157" s="188">
        <f>[2]CZ_decarbplus_opex!BH157</f>
        <v>4.955877E-3</v>
      </c>
      <c r="CF157" s="188">
        <f>[2]CZ_decarbplus_opex!BI157</f>
        <v>4.1694799999999999E-4</v>
      </c>
      <c r="CG157" s="188">
        <f>[2]CZ_decarbplus_opex!BJ157</f>
        <v>1.8783809999999999E-3</v>
      </c>
    </row>
    <row r="158" spans="1:85" x14ac:dyDescent="0.25">
      <c r="A158" s="6" t="s">
        <v>307</v>
      </c>
      <c r="B158" s="2" t="s">
        <v>306</v>
      </c>
      <c r="C158" s="1" t="s">
        <v>335</v>
      </c>
      <c r="D158" s="187">
        <f>[2]CZ_decarbplus_opex!B158</f>
        <v>5.94E-5</v>
      </c>
      <c r="E158" s="187">
        <f>[2]CZ_decarbplus_opex!C158</f>
        <v>1.2505700000000001E-4</v>
      </c>
      <c r="F158" s="187">
        <f>[2]CZ_decarbplus_opex!D158</f>
        <v>1.04E-5</v>
      </c>
      <c r="G158" s="187">
        <f>[2]CZ_decarbplus_opex!E158</f>
        <v>2.6199999999999999E-6</v>
      </c>
      <c r="H158" s="187">
        <f>[2]CZ_decarbplus_opex!F158</f>
        <v>5.1399999999999999E-6</v>
      </c>
      <c r="I158" s="187">
        <f>[2]CZ_decarbplus_opex!G158</f>
        <v>5.2800000000000003E-5</v>
      </c>
      <c r="J158" s="187">
        <f>[2]CZ_decarbplus_opex!H158</f>
        <v>3.3699999999999999E-5</v>
      </c>
      <c r="K158" s="187">
        <f>[2]CZ_decarbplus_opex!I158</f>
        <v>7.4900000000000003E-6</v>
      </c>
      <c r="L158" s="187">
        <f>[2]CZ_decarbplus_opex!J158</f>
        <v>5.9599999999999999E-5</v>
      </c>
      <c r="M158" s="187">
        <f>[2]CZ_decarbplus_opex!K158</f>
        <v>1.60085E-4</v>
      </c>
      <c r="N158" s="187">
        <f>[2]CZ_decarbplus_opex!L158</f>
        <v>6.5300000000000002E-5</v>
      </c>
      <c r="O158" s="187">
        <f>[2]CZ_decarbplus_opex!M158</f>
        <v>1.81977E-4</v>
      </c>
      <c r="P158" s="187">
        <f>[2]CZ_decarbplus_opex!N158</f>
        <v>6.0900000000000003E-5</v>
      </c>
      <c r="Q158" s="187">
        <f>[2]CZ_decarbplus_opex!O158</f>
        <v>1.5E-5</v>
      </c>
      <c r="R158" s="187">
        <f>[2]CZ_decarbplus_opex!P158</f>
        <v>7.7200000000000006E-6</v>
      </c>
      <c r="S158" s="187">
        <f>[2]CZ_decarbplus_opex!Q158</f>
        <v>2.8900000000000001E-5</v>
      </c>
      <c r="T158" s="187">
        <f>[2]CZ_decarbplus_opex!R158</f>
        <v>1.11E-5</v>
      </c>
      <c r="U158" s="187">
        <f>[2]CZ_decarbplus_opex!S158</f>
        <v>2.06937E-4</v>
      </c>
      <c r="V158" s="187">
        <f>[2]CZ_decarbplus_opex!T158</f>
        <v>4.3846899999999998E-4</v>
      </c>
      <c r="W158" s="187">
        <f>[2]CZ_decarbplus_opex!U158</f>
        <v>6.0900000000000003E-5</v>
      </c>
      <c r="X158" s="187">
        <f>[2]CZ_decarbplus_opex!V158</f>
        <v>3.4700000000000003E-5</v>
      </c>
      <c r="Y158" s="187">
        <f>[2]CZ_decarbplus_opex!W158</f>
        <v>8.2500000000000006E-6</v>
      </c>
      <c r="Z158" s="187">
        <f>[2]CZ_decarbplus_opex!X158</f>
        <v>1.53172E-4</v>
      </c>
      <c r="AA158" s="187">
        <f>[2]CZ_decarbplus_opex!Y158</f>
        <v>2.8600000000000001E-5</v>
      </c>
      <c r="AB158" s="188">
        <f>[3]CZ_decarb_opex!B158</f>
        <v>2.3514239141681801E-5</v>
      </c>
      <c r="AC158" s="188">
        <f>[3]CZ_decarb_opex!C158</f>
        <v>1.6716436963089799E-4</v>
      </c>
      <c r="AD158" s="188">
        <f>[3]CZ_decarb_opex!D158</f>
        <v>6.4446358509226095E-4</v>
      </c>
      <c r="AE158" s="188">
        <f>[2]CZ_decarbplus_opex!Z158</f>
        <v>4.1050599999999999E-4</v>
      </c>
      <c r="AF158" s="188">
        <f>[2]CZ_decarbplus_opex!AA158</f>
        <v>8.0099999999999995E-5</v>
      </c>
      <c r="AG158" s="188">
        <f>[2]CZ_decarbplus_opex!AB158</f>
        <v>2.0100000000000001E-5</v>
      </c>
      <c r="AH158" s="188">
        <f>[2]CZ_decarbplus_opex!AC158</f>
        <v>5.7200000000000001E-5</v>
      </c>
      <c r="AI158" s="188">
        <f>[2]CZ_decarbplus_opex!AD158</f>
        <v>1.5500000000000001E-5</v>
      </c>
      <c r="AJ158" s="188">
        <f>[2]CZ_decarbplus_opex!AE158</f>
        <v>9.7600000000000001E-5</v>
      </c>
      <c r="AK158" s="188">
        <f>[2]CZ_decarbplus_opex!AF158</f>
        <v>1.8600000000000001E-5</v>
      </c>
      <c r="AL158" s="188">
        <f>[3]CZ_decarb_opex!E158</f>
        <v>1.1006166006732599E-4</v>
      </c>
      <c r="AM158" s="188">
        <f>[3]CZ_decarb_opex!F158</f>
        <v>1.7025550726392001E-5</v>
      </c>
      <c r="AN158" s="188">
        <f>[2]CZ_decarbplus_opex!AG158</f>
        <v>1.09815E-4</v>
      </c>
      <c r="AO158" s="188">
        <f>[3]CZ_decarb_opex!G158</f>
        <v>9.6434465253483897E-5</v>
      </c>
      <c r="AP158" s="188">
        <f>[3]CZ_decarb_opex!H158</f>
        <v>2.0824144172198301E-4</v>
      </c>
      <c r="AQ158" s="188">
        <f>[2]CZ_decarbplus_opex!AH158</f>
        <v>2.51573E-4</v>
      </c>
      <c r="AR158" s="188">
        <f>[2]CZ_decarbplus_opex!AI158</f>
        <v>0</v>
      </c>
      <c r="AS158" s="188">
        <f>[2]CZ_decarbplus_opex!AJ158</f>
        <v>1.7688099999999999E-4</v>
      </c>
      <c r="AT158" s="188">
        <f>[2]CZ_decarbplus_opex!AK158</f>
        <v>1.06901E-4</v>
      </c>
      <c r="AU158" s="188">
        <f>[2]CZ_decarbplus_opex!AL158</f>
        <v>9.1700000000000003E-6</v>
      </c>
      <c r="AV158" s="188">
        <f>[2]CZ_decarbplus_opex!AM158</f>
        <v>7.3499999999999999E-6</v>
      </c>
      <c r="AW158" s="188">
        <f>[2]CZ_decarbplus_opex!AN158</f>
        <v>2.16281E-4</v>
      </c>
      <c r="AX158" s="188">
        <f>[2]CZ_decarbplus_opex!AO158</f>
        <v>0</v>
      </c>
      <c r="AY158" s="188">
        <f>[2]CZ_decarbplus_opex!AP158</f>
        <v>7.2000000000000002E-5</v>
      </c>
      <c r="AZ158" s="188">
        <f>[2]CZ_decarbplus_opex!AQ158</f>
        <v>0</v>
      </c>
      <c r="BA158" s="188">
        <f>[2]CZ_decarbplus_opex!AR158</f>
        <v>7.8200000000000003E-5</v>
      </c>
      <c r="BB158" s="188">
        <f>[2]CZ_decarbplus_opex!AS158</f>
        <v>7.86E-5</v>
      </c>
      <c r="BC158" s="188">
        <f>[2]CZ_decarbplus_opex!AT158</f>
        <v>1.2342599999999999E-4</v>
      </c>
      <c r="BD158" s="188">
        <f>[2]CZ_decarbplus_opex!AU158</f>
        <v>1.9899999999999999E-5</v>
      </c>
      <c r="BE158" s="188">
        <f>[2]CZ_decarbplus_opex!AV158</f>
        <v>2.4300000000000001E-5</v>
      </c>
      <c r="BF158" s="188">
        <f>[2]CZ_decarbplus_opex!AW158</f>
        <v>1.31E-5</v>
      </c>
      <c r="BG158" s="188">
        <f>[2]CZ_decarbplus_opex!AX158</f>
        <v>4.85E-5</v>
      </c>
      <c r="BH158" s="188">
        <f>[3]CZ_decarb_opex!I158</f>
        <v>4.4988827566755897E-5</v>
      </c>
      <c r="BI158" s="188">
        <f>[2]CZ_decarbplus_opex!AY158</f>
        <v>8.0900000000000001E-5</v>
      </c>
      <c r="BJ158" s="188">
        <f>[2]CZ_decarbplus_opex!AZ158</f>
        <v>5.1900000000000001E-5</v>
      </c>
      <c r="BK158" s="188">
        <f>[2]CZ_decarbplus_opex!BA158</f>
        <v>1.63015E-4</v>
      </c>
      <c r="BL158" s="188">
        <f>[2]CZ_decarbplus_opex!BB158</f>
        <v>0</v>
      </c>
      <c r="BM158" s="188">
        <f>[3]CZ_decarb_opex!J158</f>
        <v>7.5109643191318906E-5</v>
      </c>
      <c r="BN158" s="188">
        <f>[3]CZ_decarb_opex!K158</f>
        <v>8.7805780293134697E-4</v>
      </c>
      <c r="BO158" s="188">
        <f>[3]CZ_decarb_opex!L158</f>
        <v>8.9157373576567806E-5</v>
      </c>
      <c r="BP158" s="188">
        <f>[3]CZ_decarb_opex!M158</f>
        <v>8.0310225274494898E-4</v>
      </c>
      <c r="BQ158" s="188">
        <f>[3]CZ_decarb_opex!N158</f>
        <v>3.2654315572785503E-5</v>
      </c>
      <c r="BR158" s="188">
        <f>[3]CZ_decarb_opex!O158</f>
        <v>7.0137476346523402E-7</v>
      </c>
      <c r="BS158" s="188">
        <f>[3]CZ_decarb_opex!P158</f>
        <v>1.3482800810826E-4</v>
      </c>
      <c r="BT158" s="188">
        <f>[3]CZ_decarb_opex!Q158</f>
        <v>3.23909204280854E-5</v>
      </c>
      <c r="BU158" s="188">
        <f>[3]CZ_decarb_opex!R158</f>
        <v>3.8619931204369496E-6</v>
      </c>
      <c r="BV158" s="188">
        <f>[3]CZ_decarb_opex!S158</f>
        <v>3.8619931204369496E-6</v>
      </c>
      <c r="BW158" s="188">
        <f>[3]CZ_decarb_opex!T158</f>
        <v>2.28900890051315E-6</v>
      </c>
      <c r="BX158" s="188">
        <f>[3]CZ_decarb_opex!U158</f>
        <v>3.2704113175192299E-6</v>
      </c>
      <c r="BY158" s="188">
        <f>[3]CZ_decarb_opex!V158</f>
        <v>2.3796066895425801E-5</v>
      </c>
      <c r="BZ158" s="188">
        <f>[2]CZ_decarbplus_opex!BC158</f>
        <v>4.5326699999999998E-4</v>
      </c>
      <c r="CA158" s="188">
        <f>[2]CZ_decarbplus_opex!BD158</f>
        <v>1.14239E-4</v>
      </c>
      <c r="CB158" s="188">
        <f>[2]CZ_decarbplus_opex!BE158</f>
        <v>5.5000000000000002E-5</v>
      </c>
      <c r="CC158" s="188">
        <f>[2]CZ_decarbplus_opex!BF158</f>
        <v>6.3800000000000006E-5</v>
      </c>
      <c r="CD158" s="188">
        <f>[2]CZ_decarbplus_opex!BG158</f>
        <v>1.75489E-4</v>
      </c>
      <c r="CE158" s="188">
        <f>[2]CZ_decarbplus_opex!BH158</f>
        <v>6.5546300000000001E-4</v>
      </c>
      <c r="CF158" s="188">
        <f>[2]CZ_decarbplus_opex!BI158</f>
        <v>5.3100000000000003E-5</v>
      </c>
      <c r="CG158" s="188">
        <f>[2]CZ_decarbplus_opex!BJ158</f>
        <v>1.6699999999999999E-5</v>
      </c>
    </row>
    <row r="159" spans="1:85" x14ac:dyDescent="0.25">
      <c r="A159" s="6" t="s">
        <v>309</v>
      </c>
      <c r="B159" s="2" t="s">
        <v>308</v>
      </c>
      <c r="C159" s="1" t="s">
        <v>335</v>
      </c>
      <c r="D159" s="187">
        <f>[2]CZ_decarbplus_opex!B159</f>
        <v>3.3694699999999998E-4</v>
      </c>
      <c r="E159" s="187">
        <f>[2]CZ_decarbplus_opex!C159</f>
        <v>3.5291700000000001E-4</v>
      </c>
      <c r="F159" s="187">
        <f>[2]CZ_decarbplus_opex!D159</f>
        <v>5.6499999999999998E-5</v>
      </c>
      <c r="G159" s="187">
        <f>[2]CZ_decarbplus_opex!E159</f>
        <v>1.24E-5</v>
      </c>
      <c r="H159" s="187">
        <f>[2]CZ_decarbplus_opex!F159</f>
        <v>2.02E-5</v>
      </c>
      <c r="I159" s="187">
        <f>[2]CZ_decarbplus_opex!G159</f>
        <v>2.2928400000000001E-4</v>
      </c>
      <c r="J159" s="187">
        <f>[2]CZ_decarbplus_opex!H159</f>
        <v>1.9313500000000001E-4</v>
      </c>
      <c r="K159" s="187">
        <f>[2]CZ_decarbplus_opex!I159</f>
        <v>3.2299999999999999E-5</v>
      </c>
      <c r="L159" s="187">
        <f>[2]CZ_decarbplus_opex!J159</f>
        <v>2.9492400000000001E-4</v>
      </c>
      <c r="M159" s="187">
        <f>[2]CZ_decarbplus_opex!K159</f>
        <v>8.0630299999999997E-4</v>
      </c>
      <c r="N159" s="187">
        <f>[2]CZ_decarbplus_opex!L159</f>
        <v>2.2460449999999999E-3</v>
      </c>
      <c r="O159" s="187">
        <f>[2]CZ_decarbplus_opex!M159</f>
        <v>5.9304799999999999E-4</v>
      </c>
      <c r="P159" s="187">
        <f>[2]CZ_decarbplus_opex!N159</f>
        <v>2.5541499999999999E-4</v>
      </c>
      <c r="Q159" s="187">
        <f>[2]CZ_decarbplus_opex!O159</f>
        <v>4.46E-5</v>
      </c>
      <c r="R159" s="187">
        <f>[2]CZ_decarbplus_opex!P159</f>
        <v>3.4700000000000003E-5</v>
      </c>
      <c r="S159" s="187">
        <f>[2]CZ_decarbplus_opex!Q159</f>
        <v>8.6100000000000006E-5</v>
      </c>
      <c r="T159" s="187">
        <f>[2]CZ_decarbplus_opex!R159</f>
        <v>4.6E-5</v>
      </c>
      <c r="U159" s="187">
        <f>[2]CZ_decarbplus_opex!S159</f>
        <v>6.6500499999999998E-4</v>
      </c>
      <c r="V159" s="187">
        <f>[2]CZ_decarbplus_opex!T159</f>
        <v>1.2779550000000001E-3</v>
      </c>
      <c r="W159" s="187">
        <f>[2]CZ_decarbplus_opex!U159</f>
        <v>2.1432299999999999E-4</v>
      </c>
      <c r="X159" s="187">
        <f>[2]CZ_decarbplus_opex!V159</f>
        <v>1.0064399999999999E-4</v>
      </c>
      <c r="Y159" s="187">
        <f>[2]CZ_decarbplus_opex!W159</f>
        <v>4.5399999999999999E-5</v>
      </c>
      <c r="Z159" s="187">
        <f>[2]CZ_decarbplus_opex!X159</f>
        <v>2.9094199999999998E-4</v>
      </c>
      <c r="AA159" s="187">
        <f>[2]CZ_decarbplus_opex!Y159</f>
        <v>1.0050199999999999E-4</v>
      </c>
      <c r="AB159" s="188">
        <f>[3]CZ_decarb_opex!B159</f>
        <v>9.4316181983729501E-5</v>
      </c>
      <c r="AC159" s="188">
        <f>[3]CZ_decarb_opex!C159</f>
        <v>8.2592784153750504E-3</v>
      </c>
      <c r="AD159" s="188">
        <f>[3]CZ_decarb_opex!D159</f>
        <v>2.13560390731099E-3</v>
      </c>
      <c r="AE159" s="188">
        <f>[2]CZ_decarbplus_opex!Z159</f>
        <v>1.555833E-3</v>
      </c>
      <c r="AF159" s="188">
        <f>[2]CZ_decarbplus_opex!AA159</f>
        <v>4.3222300000000003E-4</v>
      </c>
      <c r="AG159" s="188">
        <f>[2]CZ_decarbplus_opex!AB159</f>
        <v>8.5000000000000006E-5</v>
      </c>
      <c r="AH159" s="188">
        <f>[2]CZ_decarbplus_opex!AC159</f>
        <v>1.4557799999999999E-4</v>
      </c>
      <c r="AI159" s="188">
        <f>[2]CZ_decarbplus_opex!AD159</f>
        <v>8.7700000000000004E-5</v>
      </c>
      <c r="AJ159" s="188">
        <f>[2]CZ_decarbplus_opex!AE159</f>
        <v>2.6766700000000002E-4</v>
      </c>
      <c r="AK159" s="188">
        <f>[2]CZ_decarbplus_opex!AF159</f>
        <v>1.13113E-4</v>
      </c>
      <c r="AL159" s="188">
        <f>[3]CZ_decarb_opex!E159</f>
        <v>3.20465060044885E-4</v>
      </c>
      <c r="AM159" s="188">
        <f>[3]CZ_decarb_opex!F159</f>
        <v>1.00451769635191E-4</v>
      </c>
      <c r="AN159" s="188">
        <f>[2]CZ_decarbplus_opex!AG159</f>
        <v>3.4226699999999999E-4</v>
      </c>
      <c r="AO159" s="188">
        <f>[3]CZ_decarb_opex!G159</f>
        <v>4.3960917091354399E-4</v>
      </c>
      <c r="AP159" s="188">
        <f>[3]CZ_decarb_opex!H159</f>
        <v>7.3555164518019701E-4</v>
      </c>
      <c r="AQ159" s="188">
        <f>[2]CZ_decarbplus_opex!AH159</f>
        <v>8.5991400000000003E-4</v>
      </c>
      <c r="AR159" s="188">
        <f>[2]CZ_decarbplus_opex!AI159</f>
        <v>0</v>
      </c>
      <c r="AS159" s="188">
        <f>[2]CZ_decarbplus_opex!AJ159</f>
        <v>5.59721E-4</v>
      </c>
      <c r="AT159" s="188">
        <f>[2]CZ_decarbplus_opex!AK159</f>
        <v>4.0738100000000001E-4</v>
      </c>
      <c r="AU159" s="188">
        <f>[2]CZ_decarbplus_opex!AL159</f>
        <v>5.0800000000000002E-5</v>
      </c>
      <c r="AV159" s="188">
        <f>[2]CZ_decarbplus_opex!AM159</f>
        <v>3.9700000000000003E-5</v>
      </c>
      <c r="AW159" s="188">
        <f>[2]CZ_decarbplus_opex!AN159</f>
        <v>6.7311200000000002E-4</v>
      </c>
      <c r="AX159" s="188">
        <f>[2]CZ_decarbplus_opex!AO159</f>
        <v>0</v>
      </c>
      <c r="AY159" s="188">
        <f>[2]CZ_decarbplus_opex!AP159</f>
        <v>2.4203899999999999E-4</v>
      </c>
      <c r="AZ159" s="188">
        <f>[2]CZ_decarbplus_opex!AQ159</f>
        <v>0</v>
      </c>
      <c r="BA159" s="188">
        <f>[2]CZ_decarbplus_opex!AR159</f>
        <v>3.5712599999999998E-4</v>
      </c>
      <c r="BB159" s="188">
        <f>[2]CZ_decarbplus_opex!AS159</f>
        <v>4.4195699999999998E-4</v>
      </c>
      <c r="BC159" s="188">
        <f>[2]CZ_decarbplus_opex!AT159</f>
        <v>7.04414E-4</v>
      </c>
      <c r="BD159" s="188">
        <f>[2]CZ_decarbplus_opex!AU159</f>
        <v>6.97E-5</v>
      </c>
      <c r="BE159" s="188">
        <f>[2]CZ_decarbplus_opex!AV159</f>
        <v>1.02754E-4</v>
      </c>
      <c r="BF159" s="188">
        <f>[2]CZ_decarbplus_opex!AW159</f>
        <v>4.1600000000000002E-5</v>
      </c>
      <c r="BG159" s="188">
        <f>[2]CZ_decarbplus_opex!AX159</f>
        <v>1.70891E-4</v>
      </c>
      <c r="BH159" s="188">
        <f>[3]CZ_decarb_opex!I159</f>
        <v>2.5102751442709502E-4</v>
      </c>
      <c r="BI159" s="188">
        <f>[2]CZ_decarbplus_opex!AY159</f>
        <v>3.69353E-4</v>
      </c>
      <c r="BJ159" s="188">
        <f>[2]CZ_decarbplus_opex!AZ159</f>
        <v>1.5924799999999999E-4</v>
      </c>
      <c r="BK159" s="188">
        <f>[2]CZ_decarbplus_opex!BA159</f>
        <v>7.2962500000000002E-4</v>
      </c>
      <c r="BL159" s="188">
        <f>[2]CZ_decarbplus_opex!BB159</f>
        <v>0</v>
      </c>
      <c r="BM159" s="188">
        <f>[3]CZ_decarb_opex!J159</f>
        <v>3.3821731219164301E-4</v>
      </c>
      <c r="BN159" s="188">
        <f>[3]CZ_decarb_opex!K159</f>
        <v>2.2620877252600602E-3</v>
      </c>
      <c r="BO159" s="188">
        <f>[3]CZ_decarb_opex!L159</f>
        <v>3.4996638482635199E-4</v>
      </c>
      <c r="BP159" s="188">
        <f>[3]CZ_decarb_opex!M159</f>
        <v>1.9851687858298199E-3</v>
      </c>
      <c r="BQ159" s="188">
        <f>[3]CZ_decarb_opex!N159</f>
        <v>1.4896906946066101E-4</v>
      </c>
      <c r="BR159" s="188">
        <f>[3]CZ_decarb_opex!O159</f>
        <v>4.2519184490714E-6</v>
      </c>
      <c r="BS159" s="188">
        <f>[3]CZ_decarb_opex!P159</f>
        <v>2.4094553631591901E-4</v>
      </c>
      <c r="BT159" s="188">
        <f>[3]CZ_decarb_opex!Q159</f>
        <v>3.5010661756235698E-4</v>
      </c>
      <c r="BU159" s="188">
        <f>[3]CZ_decarb_opex!R159</f>
        <v>1.97086189991677E-5</v>
      </c>
      <c r="BV159" s="188">
        <f>[3]CZ_decarb_opex!S159</f>
        <v>1.9708618999167799E-5</v>
      </c>
      <c r="BW159" s="188">
        <f>[3]CZ_decarb_opex!T159</f>
        <v>8.3438702378099102E-6</v>
      </c>
      <c r="BX159" s="188">
        <f>[3]CZ_decarb_opex!U159</f>
        <v>9.7631584927433804E-6</v>
      </c>
      <c r="BY159" s="188">
        <f>[3]CZ_decarb_opex!V159</f>
        <v>1.1804607575677201E-5</v>
      </c>
      <c r="BZ159" s="188">
        <f>[2]CZ_decarbplus_opex!BC159</f>
        <v>1.203951E-3</v>
      </c>
      <c r="CA159" s="188">
        <f>[2]CZ_decarbplus_opex!BD159</f>
        <v>3.7406499999999998E-4</v>
      </c>
      <c r="CB159" s="188">
        <f>[2]CZ_decarbplus_opex!BE159</f>
        <v>2.2205099999999999E-4</v>
      </c>
      <c r="CC159" s="188">
        <f>[2]CZ_decarbplus_opex!BF159</f>
        <v>1.75699E-4</v>
      </c>
      <c r="CD159" s="188">
        <f>[2]CZ_decarbplus_opex!BG159</f>
        <v>5.3047399999999996E-4</v>
      </c>
      <c r="CE159" s="188">
        <f>[2]CZ_decarbplus_opex!BH159</f>
        <v>3.5400539999999999E-3</v>
      </c>
      <c r="CF159" s="188">
        <f>[2]CZ_decarbplus_opex!BI159</f>
        <v>2.9606400000000002E-4</v>
      </c>
      <c r="CG159" s="188">
        <f>[2]CZ_decarbplus_opex!BJ159</f>
        <v>8.8399999999999994E-5</v>
      </c>
    </row>
    <row r="160" spans="1:85" x14ac:dyDescent="0.25">
      <c r="A160" s="6" t="s">
        <v>311</v>
      </c>
      <c r="B160" s="2" t="s">
        <v>310</v>
      </c>
      <c r="C160" s="1" t="s">
        <v>335</v>
      </c>
      <c r="D160" s="187">
        <f>[2]CZ_decarbplus_opex!B160</f>
        <v>1.0507599999999999E-4</v>
      </c>
      <c r="E160" s="187">
        <f>[2]CZ_decarbplus_opex!C160</f>
        <v>9.3700000000000001E-5</v>
      </c>
      <c r="F160" s="187">
        <f>[2]CZ_decarbplus_opex!D160</f>
        <v>1.7099999999999999E-5</v>
      </c>
      <c r="G160" s="187">
        <f>[2]CZ_decarbplus_opex!E160</f>
        <v>4.1699999999999999E-6</v>
      </c>
      <c r="H160" s="187">
        <f>[2]CZ_decarbplus_opex!F160</f>
        <v>7.17E-6</v>
      </c>
      <c r="I160" s="187">
        <f>[2]CZ_decarbplus_opex!G160</f>
        <v>6.7600000000000003E-5</v>
      </c>
      <c r="J160" s="187">
        <f>[2]CZ_decarbplus_opex!H160</f>
        <v>5.7800000000000002E-5</v>
      </c>
      <c r="K160" s="187">
        <f>[2]CZ_decarbplus_opex!I160</f>
        <v>1.13E-5</v>
      </c>
      <c r="L160" s="187">
        <f>[2]CZ_decarbplus_opex!J160</f>
        <v>8.7800000000000006E-5</v>
      </c>
      <c r="M160" s="187">
        <f>[2]CZ_decarbplus_opex!K160</f>
        <v>2.42215E-4</v>
      </c>
      <c r="N160" s="187">
        <f>[2]CZ_decarbplus_opex!L160</f>
        <v>1.16901E-4</v>
      </c>
      <c r="O160" s="187">
        <f>[2]CZ_decarbplus_opex!M160</f>
        <v>1.6979699999999999E-4</v>
      </c>
      <c r="P160" s="187">
        <f>[2]CZ_decarbplus_opex!N160</f>
        <v>7.3300000000000006E-5</v>
      </c>
      <c r="Q160" s="187">
        <f>[2]CZ_decarbplus_opex!O160</f>
        <v>1.3200000000000001E-5</v>
      </c>
      <c r="R160" s="187">
        <f>[2]CZ_decarbplus_opex!P160</f>
        <v>1.1399999999999999E-5</v>
      </c>
      <c r="S160" s="187">
        <f>[2]CZ_decarbplus_opex!Q160</f>
        <v>2.37E-5</v>
      </c>
      <c r="T160" s="187">
        <f>[2]CZ_decarbplus_opex!R160</f>
        <v>1.5E-5</v>
      </c>
      <c r="U160" s="187">
        <f>[2]CZ_decarbplus_opex!S160</f>
        <v>1.83077E-4</v>
      </c>
      <c r="V160" s="187">
        <f>[2]CZ_decarbplus_opex!T160</f>
        <v>3.4190400000000003E-4</v>
      </c>
      <c r="W160" s="187">
        <f>[2]CZ_decarbplus_opex!U160</f>
        <v>6.0099999999999997E-5</v>
      </c>
      <c r="X160" s="187">
        <f>[2]CZ_decarbplus_opex!V160</f>
        <v>2.8799999999999999E-5</v>
      </c>
      <c r="Y160" s="187">
        <f>[2]CZ_decarbplus_opex!W160</f>
        <v>1.26E-5</v>
      </c>
      <c r="Z160" s="187">
        <f>[2]CZ_decarbplus_opex!X160</f>
        <v>9.1100000000000005E-5</v>
      </c>
      <c r="AA160" s="187">
        <f>[2]CZ_decarbplus_opex!Y160</f>
        <v>3.9900000000000001E-5</v>
      </c>
      <c r="AB160" s="188">
        <f>[3]CZ_decarb_opex!B160</f>
        <v>2.6778410060271498E-5</v>
      </c>
      <c r="AC160" s="188">
        <f>[3]CZ_decarb_opex!C160</f>
        <v>3.0340557009651999E-4</v>
      </c>
      <c r="AD160" s="188">
        <f>[3]CZ_decarb_opex!D160</f>
        <v>5.8993459686822701E-4</v>
      </c>
      <c r="AE160" s="188">
        <f>[2]CZ_decarbplus_opex!Z160</f>
        <v>4.44048E-4</v>
      </c>
      <c r="AF160" s="188">
        <f>[2]CZ_decarbplus_opex!AA160</f>
        <v>1.3071400000000001E-4</v>
      </c>
      <c r="AG160" s="188">
        <f>[2]CZ_decarbplus_opex!AB160</f>
        <v>2.6299999999999999E-5</v>
      </c>
      <c r="AH160" s="188">
        <f>[2]CZ_decarbplus_opex!AC160</f>
        <v>4.3800000000000001E-5</v>
      </c>
      <c r="AI160" s="188">
        <f>[2]CZ_decarbplus_opex!AD160</f>
        <v>2.69E-5</v>
      </c>
      <c r="AJ160" s="188">
        <f>[2]CZ_decarbplus_opex!AE160</f>
        <v>1.3699999999999999E-5</v>
      </c>
      <c r="AK160" s="188">
        <f>[2]CZ_decarbplus_opex!AF160</f>
        <v>3.2199999999999997E-5</v>
      </c>
      <c r="AL160" s="188">
        <f>[3]CZ_decarb_opex!E160</f>
        <v>8.3576928500994502E-5</v>
      </c>
      <c r="AM160" s="188">
        <f>[3]CZ_decarb_opex!F160</f>
        <v>2.9659330173209399E-5</v>
      </c>
      <c r="AN160" s="188">
        <f>[2]CZ_decarbplus_opex!AG160</f>
        <v>9.1600000000000004E-5</v>
      </c>
      <c r="AO160" s="188">
        <f>[3]CZ_decarb_opex!G160</f>
        <v>1.28330186247315E-4</v>
      </c>
      <c r="AP160" s="188">
        <f>[3]CZ_decarb_opex!H160</f>
        <v>2.06537463384535E-4</v>
      </c>
      <c r="AQ160" s="188">
        <f>[2]CZ_decarbplus_opex!AH160</f>
        <v>2.3619299999999999E-4</v>
      </c>
      <c r="AR160" s="188">
        <f>[2]CZ_decarbplus_opex!AI160</f>
        <v>0</v>
      </c>
      <c r="AS160" s="188">
        <f>[2]CZ_decarbplus_opex!AJ160</f>
        <v>1.5522100000000001E-4</v>
      </c>
      <c r="AT160" s="188">
        <f>[2]CZ_decarbplus_opex!AK160</f>
        <v>1.18738E-4</v>
      </c>
      <c r="AU160" s="188">
        <f>[2]CZ_decarbplus_opex!AL160</f>
        <v>1.5800000000000001E-5</v>
      </c>
      <c r="AV160" s="188">
        <f>[2]CZ_decarbplus_opex!AM160</f>
        <v>1.24E-5</v>
      </c>
      <c r="AW160" s="188">
        <f>[2]CZ_decarbplus_opex!AN160</f>
        <v>1.8018400000000001E-4</v>
      </c>
      <c r="AX160" s="188">
        <f>[2]CZ_decarbplus_opex!AO160</f>
        <v>0</v>
      </c>
      <c r="AY160" s="188">
        <f>[2]CZ_decarbplus_opex!AP160</f>
        <v>9.8499999999999995E-5</v>
      </c>
      <c r="AZ160" s="188">
        <f>[2]CZ_decarbplus_opex!AQ160</f>
        <v>0</v>
      </c>
      <c r="BA160" s="188">
        <f>[2]CZ_decarbplus_opex!AR160</f>
        <v>1.05364E-4</v>
      </c>
      <c r="BB160" s="188">
        <f>[2]CZ_decarbplus_opex!AS160</f>
        <v>1.3524899999999999E-4</v>
      </c>
      <c r="BC160" s="188">
        <f>[2]CZ_decarbplus_opex!AT160</f>
        <v>2.1655200000000001E-4</v>
      </c>
      <c r="BD160" s="188">
        <f>[2]CZ_decarbplus_opex!AU160</f>
        <v>2.0699999999999998E-5</v>
      </c>
      <c r="BE160" s="188">
        <f>[2]CZ_decarbplus_opex!AV160</f>
        <v>3.3300000000000003E-5</v>
      </c>
      <c r="BF160" s="188">
        <f>[2]CZ_decarbplus_opex!AW160</f>
        <v>1.19E-5</v>
      </c>
      <c r="BG160" s="188">
        <f>[2]CZ_decarbplus_opex!AX160</f>
        <v>4.88E-5</v>
      </c>
      <c r="BH160" s="188">
        <f>[3]CZ_decarb_opex!I160</f>
        <v>7.8289234911365095E-5</v>
      </c>
      <c r="BI160" s="188">
        <f>[2]CZ_decarbplus_opex!AY160</f>
        <v>1.10241E-4</v>
      </c>
      <c r="BJ160" s="188">
        <f>[2]CZ_decarbplus_opex!AZ160</f>
        <v>4.7700000000000001E-5</v>
      </c>
      <c r="BK160" s="188">
        <f>[2]CZ_decarbplus_opex!BA160</f>
        <v>2.14348E-4</v>
      </c>
      <c r="BL160" s="188">
        <f>[2]CZ_decarbplus_opex!BB160</f>
        <v>0</v>
      </c>
      <c r="BM160" s="188">
        <f>[3]CZ_decarb_opex!J160</f>
        <v>9.8278917622810294E-5</v>
      </c>
      <c r="BN160" s="188">
        <f>[3]CZ_decarb_opex!K160</f>
        <v>5.8409760438884204E-4</v>
      </c>
      <c r="BO160" s="188">
        <f>[3]CZ_decarb_opex!L160</f>
        <v>1.0113078259079E-4</v>
      </c>
      <c r="BP160" s="188">
        <f>[3]CZ_decarb_opex!M160</f>
        <v>5.0099327148420104E-4</v>
      </c>
      <c r="BQ160" s="188">
        <f>[3]CZ_decarb_opex!N160</f>
        <v>4.8935475925847199E-5</v>
      </c>
      <c r="BR160" s="188">
        <f>[3]CZ_decarb_opex!O160</f>
        <v>1.1697981551185399E-6</v>
      </c>
      <c r="BS160" s="188">
        <f>[3]CZ_decarb_opex!P160</f>
        <v>1.5039156228156499E-4</v>
      </c>
      <c r="BT160" s="188">
        <f>[3]CZ_decarb_opex!Q160</f>
        <v>1.47924455836965E-5</v>
      </c>
      <c r="BU160" s="188">
        <f>[3]CZ_decarb_opex!R160</f>
        <v>6.4881583355903499E-6</v>
      </c>
      <c r="BV160" s="188">
        <f>[3]CZ_decarb_opex!S160</f>
        <v>6.4881583355903703E-6</v>
      </c>
      <c r="BW160" s="188">
        <f>[3]CZ_decarb_opex!T160</f>
        <v>2.0339755801592598E-6</v>
      </c>
      <c r="BX160" s="188">
        <f>[3]CZ_decarb_opex!U160</f>
        <v>2.4866381741655799E-6</v>
      </c>
      <c r="BY160" s="188">
        <f>[3]CZ_decarb_opex!V160</f>
        <v>1.41279623428962E-5</v>
      </c>
      <c r="BZ160" s="188">
        <f>[2]CZ_decarbplus_opex!BC160</f>
        <v>3.1285800000000001E-4</v>
      </c>
      <c r="CA160" s="188">
        <f>[2]CZ_decarbplus_opex!BD160</f>
        <v>1.03671E-4</v>
      </c>
      <c r="CB160" s="188">
        <f>[2]CZ_decarbplus_opex!BE160</f>
        <v>6.4999999999999994E-5</v>
      </c>
      <c r="CC160" s="188">
        <f>[2]CZ_decarbplus_opex!BF160</f>
        <v>4.6699999999999997E-5</v>
      </c>
      <c r="CD160" s="188">
        <f>[2]CZ_decarbplus_opex!BG160</f>
        <v>1.4586499999999999E-4</v>
      </c>
      <c r="CE160" s="188">
        <f>[2]CZ_decarbplus_opex!BH160</f>
        <v>1.072655E-3</v>
      </c>
      <c r="CF160" s="188">
        <f>[2]CZ_decarbplus_opex!BI160</f>
        <v>9.1100000000000005E-5</v>
      </c>
      <c r="CG160" s="188">
        <f>[2]CZ_decarbplus_opex!BJ160</f>
        <v>2.7399999999999999E-5</v>
      </c>
    </row>
    <row r="161" spans="1:85" x14ac:dyDescent="0.25">
      <c r="A161" s="6" t="s">
        <v>313</v>
      </c>
      <c r="B161" s="2" t="s">
        <v>312</v>
      </c>
      <c r="C161" s="1" t="s">
        <v>335</v>
      </c>
      <c r="D161" s="187">
        <f>[2]CZ_decarbplus_opex!B161</f>
        <v>1.3304500000000001E-4</v>
      </c>
      <c r="E161" s="187">
        <f>[2]CZ_decarbplus_opex!C161</f>
        <v>1.18399E-4</v>
      </c>
      <c r="F161" s="187">
        <f>[2]CZ_decarbplus_opex!D161</f>
        <v>2.1699999999999999E-5</v>
      </c>
      <c r="G161" s="187">
        <f>[2]CZ_decarbplus_opex!E161</f>
        <v>5.1200000000000001E-6</v>
      </c>
      <c r="H161" s="187">
        <f>[2]CZ_decarbplus_opex!F161</f>
        <v>8.5599999999999994E-6</v>
      </c>
      <c r="I161" s="187">
        <f>[2]CZ_decarbplus_opex!G161</f>
        <v>8.5699999999999996E-5</v>
      </c>
      <c r="J161" s="187">
        <f>[2]CZ_decarbplus_opex!H161</f>
        <v>7.3200000000000004E-5</v>
      </c>
      <c r="K161" s="187">
        <f>[2]CZ_decarbplus_opex!I161</f>
        <v>1.38E-5</v>
      </c>
      <c r="L161" s="187">
        <f>[2]CZ_decarbplus_opex!J161</f>
        <v>1.11383E-4</v>
      </c>
      <c r="M161" s="187">
        <f>[2]CZ_decarbplus_opex!K161</f>
        <v>3.0776700000000002E-4</v>
      </c>
      <c r="N161" s="187">
        <f>[2]CZ_decarbplus_opex!L161</f>
        <v>1.4861900000000001E-4</v>
      </c>
      <c r="O161" s="187">
        <f>[2]CZ_decarbplus_opex!M161</f>
        <v>2.14677E-4</v>
      </c>
      <c r="P161" s="187">
        <f>[2]CZ_decarbplus_opex!N161</f>
        <v>9.31E-5</v>
      </c>
      <c r="Q161" s="187">
        <f>[2]CZ_decarbplus_opex!O161</f>
        <v>1.6500000000000001E-5</v>
      </c>
      <c r="R161" s="187">
        <f>[2]CZ_decarbplus_opex!P161</f>
        <v>1.3699999999999999E-5</v>
      </c>
      <c r="S161" s="187">
        <f>[2]CZ_decarbplus_opex!Q161</f>
        <v>2.9899999999999998E-5</v>
      </c>
      <c r="T161" s="187">
        <f>[2]CZ_decarbplus_opex!R161</f>
        <v>1.8099999999999999E-5</v>
      </c>
      <c r="U161" s="187">
        <f>[2]CZ_decarbplus_opex!S161</f>
        <v>2.31776E-4</v>
      </c>
      <c r="V161" s="187">
        <f>[2]CZ_decarbplus_opex!T161</f>
        <v>4.3249E-4</v>
      </c>
      <c r="W161" s="187">
        <f>[2]CZ_decarbplus_opex!U161</f>
        <v>7.6199999999999995E-5</v>
      </c>
      <c r="X161" s="187">
        <f>[2]CZ_decarbplus_opex!V161</f>
        <v>3.65E-5</v>
      </c>
      <c r="Y161" s="187">
        <f>[2]CZ_decarbplus_opex!W161</f>
        <v>1.6200000000000001E-5</v>
      </c>
      <c r="Z161" s="187">
        <f>[2]CZ_decarbplus_opex!X161</f>
        <v>1.12279E-4</v>
      </c>
      <c r="AA161" s="187">
        <f>[2]CZ_decarbplus_opex!Y161</f>
        <v>4.71E-5</v>
      </c>
      <c r="AB161" s="188">
        <f>[3]CZ_decarb_opex!B161</f>
        <v>3.2079500677445198E-5</v>
      </c>
      <c r="AC161" s="188">
        <f>[3]CZ_decarb_opex!C161</f>
        <v>3.8614433275978299E-4</v>
      </c>
      <c r="AD161" s="188">
        <f>[3]CZ_decarb_opex!D161</f>
        <v>7.4766594732178905E-4</v>
      </c>
      <c r="AE161" s="188">
        <f>[2]CZ_decarbplus_opex!Z161</f>
        <v>5.6330200000000001E-4</v>
      </c>
      <c r="AF161" s="188">
        <f>[2]CZ_decarbplus_opex!AA161</f>
        <v>1.6634700000000001E-4</v>
      </c>
      <c r="AG161" s="188">
        <f>[2]CZ_decarbplus_opex!AB161</f>
        <v>3.2299999999999999E-5</v>
      </c>
      <c r="AH161" s="188">
        <f>[2]CZ_decarbplus_opex!AC161</f>
        <v>5.4500000000000003E-5</v>
      </c>
      <c r="AI161" s="188">
        <f>[2]CZ_decarbplus_opex!AD161</f>
        <v>3.4100000000000002E-5</v>
      </c>
      <c r="AJ161" s="188">
        <f>[2]CZ_decarbplus_opex!AE161</f>
        <v>8.3599999999999999E-5</v>
      </c>
      <c r="AK161" s="188">
        <f>[2]CZ_decarbplus_opex!AF161</f>
        <v>4.0899999999999998E-5</v>
      </c>
      <c r="AL161" s="188">
        <f>[3]CZ_decarb_opex!E161</f>
        <v>1.05693926440086E-4</v>
      </c>
      <c r="AM161" s="188">
        <f>[3]CZ_decarb_opex!F161</f>
        <v>3.7626757112614798E-5</v>
      </c>
      <c r="AN161" s="188">
        <f>[2]CZ_decarbplus_opex!AG161</f>
        <v>1.15925E-4</v>
      </c>
      <c r="AO161" s="188">
        <f>[3]CZ_decarb_opex!G161</f>
        <v>1.633530897815E-4</v>
      </c>
      <c r="AP161" s="188">
        <f>[3]CZ_decarb_opex!H161</f>
        <v>2.6195583907484598E-4</v>
      </c>
      <c r="AQ161" s="188">
        <f>[2]CZ_decarbplus_opex!AH161</f>
        <v>3.0014899999999999E-4</v>
      </c>
      <c r="AR161" s="188">
        <f>[2]CZ_decarbplus_opex!AI161</f>
        <v>0</v>
      </c>
      <c r="AS161" s="188">
        <f>[2]CZ_decarbplus_opex!AJ161</f>
        <v>1.962E-4</v>
      </c>
      <c r="AT161" s="188">
        <f>[2]CZ_decarbplus_opex!AK161</f>
        <v>1.50309E-4</v>
      </c>
      <c r="AU161" s="188">
        <f>[2]CZ_decarbplus_opex!AL161</f>
        <v>2.0100000000000001E-5</v>
      </c>
      <c r="AV161" s="188">
        <f>[2]CZ_decarbplus_opex!AM161</f>
        <v>1.59E-5</v>
      </c>
      <c r="AW161" s="188">
        <f>[2]CZ_decarbplus_opex!AN161</f>
        <v>2.4156899999999999E-4</v>
      </c>
      <c r="AX161" s="188">
        <f>[2]CZ_decarbplus_opex!AO161</f>
        <v>0</v>
      </c>
      <c r="AY161" s="188">
        <f>[2]CZ_decarbplus_opex!AP161</f>
        <v>1.15844E-4</v>
      </c>
      <c r="AZ161" s="188">
        <f>[2]CZ_decarbplus_opex!AQ161</f>
        <v>0</v>
      </c>
      <c r="BA161" s="188">
        <f>[2]CZ_decarbplus_opex!AR161</f>
        <v>1.3406599999999999E-4</v>
      </c>
      <c r="BB161" s="188">
        <f>[2]CZ_decarbplus_opex!AS161</f>
        <v>1.7222200000000001E-4</v>
      </c>
      <c r="BC161" s="188">
        <f>[2]CZ_decarbplus_opex!AT161</f>
        <v>2.75918E-4</v>
      </c>
      <c r="BD161" s="188">
        <f>[2]CZ_decarbplus_opex!AU161</f>
        <v>2.5700000000000001E-5</v>
      </c>
      <c r="BE161" s="188">
        <f>[2]CZ_decarbplus_opex!AV161</f>
        <v>4.2400000000000001E-5</v>
      </c>
      <c r="BF161" s="188">
        <f>[2]CZ_decarbplus_opex!AW161</f>
        <v>1.49E-5</v>
      </c>
      <c r="BG161" s="188">
        <f>[2]CZ_decarbplus_opex!AX161</f>
        <v>6.1799999999999998E-5</v>
      </c>
      <c r="BH161" s="188">
        <f>[3]CZ_decarb_opex!I161</f>
        <v>9.9021341907965901E-5</v>
      </c>
      <c r="BI161" s="188">
        <f>[2]CZ_decarbplus_opex!AY161</f>
        <v>1.3979500000000001E-4</v>
      </c>
      <c r="BJ161" s="188">
        <f>[2]CZ_decarbplus_opex!AZ161</f>
        <v>5.9799999999999997E-5</v>
      </c>
      <c r="BK161" s="188">
        <f>[2]CZ_decarbplus_opex!BA161</f>
        <v>2.7349600000000003E-4</v>
      </c>
      <c r="BL161" s="188">
        <f>[2]CZ_decarbplus_opex!BB161</f>
        <v>0</v>
      </c>
      <c r="BM161" s="188">
        <f>[3]CZ_decarb_opex!J161</f>
        <v>1.2510818549199101E-4</v>
      </c>
      <c r="BN161" s="188">
        <f>[3]CZ_decarb_opex!K161</f>
        <v>7.3678973656984197E-4</v>
      </c>
      <c r="BO161" s="188">
        <f>[3]CZ_decarb_opex!L161</f>
        <v>1.2832648099402901E-4</v>
      </c>
      <c r="BP161" s="188">
        <f>[3]CZ_decarb_opex!M161</f>
        <v>6.3248259259981305E-4</v>
      </c>
      <c r="BQ161" s="188">
        <f>[3]CZ_decarb_opex!N161</f>
        <v>5.9285309974792903E-5</v>
      </c>
      <c r="BR161" s="188">
        <f>[3]CZ_decarb_opex!O161</f>
        <v>1.3634233575037001E-6</v>
      </c>
      <c r="BS161" s="188">
        <f>[3]CZ_decarb_opex!P161</f>
        <v>1.6068637442023299E-4</v>
      </c>
      <c r="BT161" s="188">
        <f>[3]CZ_decarb_opex!Q161</f>
        <v>6.8112521435454102E-5</v>
      </c>
      <c r="BU161" s="188">
        <f>[3]CZ_decarb_opex!R161</f>
        <v>8.1795120597588196E-6</v>
      </c>
      <c r="BV161" s="188">
        <f>[3]CZ_decarb_opex!S161</f>
        <v>8.1795120597588399E-6</v>
      </c>
      <c r="BW161" s="188">
        <f>[3]CZ_decarb_opex!T161</f>
        <v>2.6447906039046701E-6</v>
      </c>
      <c r="BX161" s="188">
        <f>[3]CZ_decarb_opex!U161</f>
        <v>4.0505349240296001E-6</v>
      </c>
      <c r="BY161" s="188">
        <f>[3]CZ_decarb_opex!V161</f>
        <v>1.5527391045972502E-5</v>
      </c>
      <c r="BZ161" s="188">
        <f>[2]CZ_decarbplus_opex!BC161</f>
        <v>3.95227E-4</v>
      </c>
      <c r="CA161" s="188">
        <f>[2]CZ_decarbplus_opex!BD161</f>
        <v>1.31335E-4</v>
      </c>
      <c r="CB161" s="188">
        <f>[2]CZ_decarbplus_opex!BE161</f>
        <v>8.25E-5</v>
      </c>
      <c r="CC161" s="188">
        <f>[2]CZ_decarbplus_opex!BF161</f>
        <v>5.8999999999999998E-5</v>
      </c>
      <c r="CD161" s="188">
        <f>[2]CZ_decarbplus_opex!BG161</f>
        <v>1.84363E-4</v>
      </c>
      <c r="CE161" s="188">
        <f>[2]CZ_decarbplus_opex!BH161</f>
        <v>1.3650960000000001E-3</v>
      </c>
      <c r="CF161" s="188">
        <f>[2]CZ_decarbplus_opex!BI161</f>
        <v>1.1574900000000001E-4</v>
      </c>
      <c r="CG161" s="188">
        <f>[2]CZ_decarbplus_opex!BJ161</f>
        <v>3.4799999999999999E-5</v>
      </c>
    </row>
    <row r="162" spans="1:85" x14ac:dyDescent="0.25">
      <c r="A162" s="5" t="s">
        <v>315</v>
      </c>
      <c r="B162" s="2" t="s">
        <v>314</v>
      </c>
      <c r="C162" s="1" t="s">
        <v>335</v>
      </c>
      <c r="D162" s="187">
        <f>[2]CZ_decarbplus_opex!B162</f>
        <v>3.0699999999999998E-6</v>
      </c>
      <c r="E162" s="187">
        <f>[2]CZ_decarbplus_opex!C162</f>
        <v>3.5499999999999999E-7</v>
      </c>
      <c r="F162" s="187">
        <f>[2]CZ_decarbplus_opex!D162</f>
        <v>3.3699999999999999E-6</v>
      </c>
      <c r="G162" s="187">
        <f>[2]CZ_decarbplus_opex!E162</f>
        <v>2.8100000000000002E-6</v>
      </c>
      <c r="H162" s="187">
        <f>[2]CZ_decarbplus_opex!F162</f>
        <v>3.9299999999999996E-6</v>
      </c>
      <c r="I162" s="187">
        <f>[2]CZ_decarbplus_opex!G162</f>
        <v>1.2699999999999999E-6</v>
      </c>
      <c r="J162" s="187">
        <f>[2]CZ_decarbplus_opex!H162</f>
        <v>1.8500000000000001E-6</v>
      </c>
      <c r="K162" s="187">
        <f>[2]CZ_decarbplus_opex!I162</f>
        <v>1.1399999999999999E-5</v>
      </c>
      <c r="L162" s="187">
        <f>[2]CZ_decarbplus_opex!J162</f>
        <v>1.9199999999999999E-5</v>
      </c>
      <c r="M162" s="187">
        <f>[2]CZ_decarbplus_opex!K162</f>
        <v>1.6645000000000001E-4</v>
      </c>
      <c r="N162" s="187">
        <f>[2]CZ_decarbplus_opex!L162</f>
        <v>9.8099999999999999E-5</v>
      </c>
      <c r="O162" s="187">
        <f>[2]CZ_decarbplus_opex!M162</f>
        <v>2.7900000000000001E-5</v>
      </c>
      <c r="P162" s="187">
        <f>[2]CZ_decarbplus_opex!N162</f>
        <v>2.39E-6</v>
      </c>
      <c r="Q162" s="187">
        <f>[2]CZ_decarbplus_opex!O162</f>
        <v>5.4634900000000001E-4</v>
      </c>
      <c r="R162" s="187">
        <f>[2]CZ_decarbplus_opex!P162</f>
        <v>5.8188599999999999E-4</v>
      </c>
      <c r="S162" s="187">
        <f>[2]CZ_decarbplus_opex!Q162</f>
        <v>2.7099999999999999E-6</v>
      </c>
      <c r="T162" s="187">
        <f>[2]CZ_decarbplus_opex!R162</f>
        <v>3.069713E-3</v>
      </c>
      <c r="U162" s="187">
        <f>[2]CZ_decarbplus_opex!S162</f>
        <v>1.22E-5</v>
      </c>
      <c r="V162" s="187">
        <f>[2]CZ_decarbplus_opex!T162</f>
        <v>6.61E-7</v>
      </c>
      <c r="W162" s="187">
        <f>[2]CZ_decarbplus_opex!U162</f>
        <v>3.0300000000000001E-5</v>
      </c>
      <c r="X162" s="187">
        <f>[2]CZ_decarbplus_opex!V162</f>
        <v>8.4100000000000008E-6</v>
      </c>
      <c r="Y162" s="187">
        <f>[2]CZ_decarbplus_opex!W162</f>
        <v>4.4799999999999999E-7</v>
      </c>
      <c r="Z162" s="187">
        <f>[2]CZ_decarbplus_opex!X162</f>
        <v>7.4900000000000002E-8</v>
      </c>
      <c r="AA162" s="187">
        <f>[2]CZ_decarbplus_opex!Y162</f>
        <v>2.17E-7</v>
      </c>
      <c r="AB162" s="188">
        <f>[3]CZ_decarb_opex!B162</f>
        <v>1.3847483179878599E-6</v>
      </c>
      <c r="AC162" s="188">
        <f>[3]CZ_decarb_opex!C162</f>
        <v>4.3668233248707203E-5</v>
      </c>
      <c r="AD162" s="188">
        <f>[3]CZ_decarb_opex!D162</f>
        <v>3.96084116528952E-5</v>
      </c>
      <c r="AE162" s="188">
        <f>[2]CZ_decarbplus_opex!Z162</f>
        <v>9.0599999999999997E-6</v>
      </c>
      <c r="AF162" s="188">
        <f>[2]CZ_decarbplus_opex!AA162</f>
        <v>2.3730100000000001E-4</v>
      </c>
      <c r="AG162" s="188">
        <f>[2]CZ_decarbplus_opex!AB162</f>
        <v>7.0500000000000003E-7</v>
      </c>
      <c r="AH162" s="188">
        <f>[2]CZ_decarbplus_opex!AC162</f>
        <v>8.9999999999999996E-7</v>
      </c>
      <c r="AI162" s="188">
        <f>[2]CZ_decarbplus_opex!AD162</f>
        <v>8.7499999999999999E-7</v>
      </c>
      <c r="AJ162" s="188">
        <f>[2]CZ_decarbplus_opex!AE162</f>
        <v>1.3799999999999999E-6</v>
      </c>
      <c r="AK162" s="188">
        <f>[2]CZ_decarbplus_opex!AF162</f>
        <v>1.2500000000000001E-6</v>
      </c>
      <c r="AL162" s="188">
        <f>[3]CZ_decarb_opex!E162</f>
        <v>7.6877982635626802E-7</v>
      </c>
      <c r="AM162" s="188">
        <f>[3]CZ_decarb_opex!F162</f>
        <v>6.9330753583842795E-7</v>
      </c>
      <c r="AN162" s="188">
        <f>[2]CZ_decarbplus_opex!AG162</f>
        <v>1.26E-6</v>
      </c>
      <c r="AO162" s="188">
        <f>[3]CZ_decarb_opex!G162</f>
        <v>7.8205414033679097E-7</v>
      </c>
      <c r="AP162" s="188">
        <f>[3]CZ_decarb_opex!H162</f>
        <v>5.1733314594485897E-7</v>
      </c>
      <c r="AQ162" s="188">
        <f>[2]CZ_decarbplus_opex!AH162</f>
        <v>1.2300000000000001E-6</v>
      </c>
      <c r="AR162" s="188">
        <f>[2]CZ_decarbplus_opex!AI162</f>
        <v>0</v>
      </c>
      <c r="AS162" s="188">
        <f>[2]CZ_decarbplus_opex!AJ162</f>
        <v>1.57E-6</v>
      </c>
      <c r="AT162" s="188">
        <f>[2]CZ_decarbplus_opex!AK162</f>
        <v>1.77E-6</v>
      </c>
      <c r="AU162" s="188">
        <f>[2]CZ_decarbplus_opex!AL162</f>
        <v>1.4399999999999999E-7</v>
      </c>
      <c r="AV162" s="188">
        <f>[2]CZ_decarbplus_opex!AM162</f>
        <v>5.7299999999999997E-8</v>
      </c>
      <c r="AW162" s="188">
        <f>[2]CZ_decarbplus_opex!AN162</f>
        <v>2.43E-6</v>
      </c>
      <c r="AX162" s="188">
        <f>[2]CZ_decarbplus_opex!AO162</f>
        <v>0</v>
      </c>
      <c r="AY162" s="188">
        <f>[2]CZ_decarbplus_opex!AP162</f>
        <v>2.4499999999999998E-7</v>
      </c>
      <c r="AZ162" s="188">
        <f>[2]CZ_decarbplus_opex!AQ162</f>
        <v>0</v>
      </c>
      <c r="BA162" s="188">
        <f>[2]CZ_decarbplus_opex!AR162</f>
        <v>1.1200000000000001E-6</v>
      </c>
      <c r="BB162" s="188">
        <f>[2]CZ_decarbplus_opex!AS162</f>
        <v>6.4899999999999995E-7</v>
      </c>
      <c r="BC162" s="188">
        <f>[2]CZ_decarbplus_opex!AT162</f>
        <v>9.569999999999999E-7</v>
      </c>
      <c r="BD162" s="188">
        <f>[2]CZ_decarbplus_opex!AU162</f>
        <v>1.73E-6</v>
      </c>
      <c r="BE162" s="188">
        <f>[2]CZ_decarbplus_opex!AV162</f>
        <v>7.3099999999999997E-7</v>
      </c>
      <c r="BF162" s="188">
        <f>[2]CZ_decarbplus_opex!AW162</f>
        <v>2.5799999999999999E-6</v>
      </c>
      <c r="BG162" s="188">
        <f>[2]CZ_decarbplus_opex!AX162</f>
        <v>7.7700000000000004E-7</v>
      </c>
      <c r="BH162" s="188">
        <f>[3]CZ_decarb_opex!I162</f>
        <v>9.57439489476464E-7</v>
      </c>
      <c r="BI162" s="188">
        <f>[2]CZ_decarbplus_opex!AY162</f>
        <v>7.9299999999999997E-7</v>
      </c>
      <c r="BJ162" s="188">
        <f>[2]CZ_decarbplus_opex!AZ162</f>
        <v>1.1599999999999999E-6</v>
      </c>
      <c r="BK162" s="188">
        <f>[2]CZ_decarbplus_opex!BA162</f>
        <v>9.1200000000000001E-7</v>
      </c>
      <c r="BL162" s="188">
        <f>[2]CZ_decarbplus_opex!BB162</f>
        <v>0</v>
      </c>
      <c r="BM162" s="188">
        <f>[3]CZ_decarb_opex!J162</f>
        <v>9.1952157672422796E-7</v>
      </c>
      <c r="BN162" s="188">
        <f>[3]CZ_decarb_opex!K162</f>
        <v>5.9543591135705804E-7</v>
      </c>
      <c r="BO162" s="188">
        <f>[3]CZ_decarb_opex!L162</f>
        <v>2.4655283410438898E-7</v>
      </c>
      <c r="BP162" s="188">
        <f>[3]CZ_decarb_opex!M162</f>
        <v>3.7710360526712302E-7</v>
      </c>
      <c r="BQ162" s="188">
        <f>[3]CZ_decarb_opex!N162</f>
        <v>2.1620859308802301E-7</v>
      </c>
      <c r="BR162" s="188">
        <f>[3]CZ_decarb_opex!O162</f>
        <v>1.9337730303935E-6</v>
      </c>
      <c r="BS162" s="188">
        <f>[3]CZ_decarb_opex!P162</f>
        <v>4.8943631265472696E-7</v>
      </c>
      <c r="BT162" s="188">
        <f>[3]CZ_decarb_opex!Q162</f>
        <v>4.3298060544080799E-6</v>
      </c>
      <c r="BU162" s="188">
        <f>[3]CZ_decarb_opex!R162</f>
        <v>1.4409365371630599E-7</v>
      </c>
      <c r="BV162" s="188">
        <f>[3]CZ_decarb_opex!S162</f>
        <v>1.4409365371630599E-7</v>
      </c>
      <c r="BW162" s="188">
        <f>[3]CZ_decarb_opex!T162</f>
        <v>1.3891020648707101E-6</v>
      </c>
      <c r="BX162" s="188">
        <f>[3]CZ_decarb_opex!U162</f>
        <v>1.8212736406923799E-6</v>
      </c>
      <c r="BY162" s="188">
        <f>[3]CZ_decarb_opex!V162</f>
        <v>6.7885518158220102E-7</v>
      </c>
      <c r="BZ162" s="188">
        <f>[2]CZ_decarbplus_opex!BC162</f>
        <v>3.5699999999999998E-7</v>
      </c>
      <c r="CA162" s="188">
        <f>[2]CZ_decarbplus_opex!BD162</f>
        <v>2.41E-7</v>
      </c>
      <c r="CB162" s="188">
        <f>[2]CZ_decarbplus_opex!BE162</f>
        <v>2.3200000000000001E-7</v>
      </c>
      <c r="CC162" s="188">
        <f>[2]CZ_decarbplus_opex!BF162</f>
        <v>8.0900000000000003E-8</v>
      </c>
      <c r="CD162" s="188">
        <f>[2]CZ_decarbplus_opex!BG162</f>
        <v>4.4799999999999999E-7</v>
      </c>
      <c r="CE162" s="188">
        <f>[2]CZ_decarbplus_opex!BH162</f>
        <v>1.1599999999999999E-6</v>
      </c>
      <c r="CF162" s="188">
        <f>[2]CZ_decarbplus_opex!BI162</f>
        <v>2.6999999999999999E-5</v>
      </c>
      <c r="CG162" s="188">
        <f>[2]CZ_decarbplus_opex!BJ162</f>
        <v>2.65E-5</v>
      </c>
    </row>
    <row r="163" spans="1:85" x14ac:dyDescent="0.25">
      <c r="A163" s="5" t="s">
        <v>317</v>
      </c>
      <c r="B163" s="2" t="s">
        <v>316</v>
      </c>
      <c r="C163" s="1" t="s">
        <v>335</v>
      </c>
      <c r="D163" s="187">
        <f>[2]CZ_decarbplus_opex!B163</f>
        <v>2.23262E-4</v>
      </c>
      <c r="E163" s="187">
        <f>[2]CZ_decarbplus_opex!C163</f>
        <v>3.0800000000000003E-5</v>
      </c>
      <c r="F163" s="187">
        <f>[2]CZ_decarbplus_opex!D163</f>
        <v>9.7999999999999997E-5</v>
      </c>
      <c r="G163" s="187">
        <f>[2]CZ_decarbplus_opex!E163</f>
        <v>2.3800000000000001E-6</v>
      </c>
      <c r="H163" s="187">
        <f>[2]CZ_decarbplus_opex!F163</f>
        <v>5.0799999999999996E-6</v>
      </c>
      <c r="I163" s="187">
        <f>[2]CZ_decarbplus_opex!G163</f>
        <v>3.8399999999999998E-5</v>
      </c>
      <c r="J163" s="187">
        <f>[2]CZ_decarbplus_opex!H163</f>
        <v>1.21416E-4</v>
      </c>
      <c r="K163" s="187">
        <f>[2]CZ_decarbplus_opex!I163</f>
        <v>7.5000000000000002E-6</v>
      </c>
      <c r="L163" s="187">
        <f>[2]CZ_decarbplus_opex!J163</f>
        <v>4.1600000000000002E-5</v>
      </c>
      <c r="M163" s="187">
        <f>[2]CZ_decarbplus_opex!K163</f>
        <v>1.07506E-4</v>
      </c>
      <c r="N163" s="187">
        <f>[2]CZ_decarbplus_opex!L163</f>
        <v>7.25E-5</v>
      </c>
      <c r="O163" s="187">
        <f>[2]CZ_decarbplus_opex!M163</f>
        <v>1.5858499999999999E-4</v>
      </c>
      <c r="P163" s="187">
        <f>[2]CZ_decarbplus_opex!N163</f>
        <v>5.2200000000000002E-5</v>
      </c>
      <c r="Q163" s="187">
        <f>[2]CZ_decarbplus_opex!O163</f>
        <v>6.8499999999999998E-5</v>
      </c>
      <c r="R163" s="187">
        <f>[2]CZ_decarbplus_opex!P163</f>
        <v>2.9200000000000002E-5</v>
      </c>
      <c r="S163" s="187">
        <f>[2]CZ_decarbplus_opex!Q163</f>
        <v>5.2099999999999999E-5</v>
      </c>
      <c r="T163" s="187">
        <f>[2]CZ_decarbplus_opex!R163</f>
        <v>4.32E-5</v>
      </c>
      <c r="U163" s="187">
        <f>[2]CZ_decarbplus_opex!S163</f>
        <v>5.3600000000000002E-5</v>
      </c>
      <c r="V163" s="187">
        <f>[2]CZ_decarbplus_opex!T163</f>
        <v>6.0800000000000001E-5</v>
      </c>
      <c r="W163" s="187">
        <f>[2]CZ_decarbplus_opex!U163</f>
        <v>5.3199999999999999E-5</v>
      </c>
      <c r="X163" s="187">
        <f>[2]CZ_decarbplus_opex!V163</f>
        <v>8.1199999999999995E-5</v>
      </c>
      <c r="Y163" s="187">
        <f>[2]CZ_decarbplus_opex!W163</f>
        <v>4.7400000000000004E-6</v>
      </c>
      <c r="Z163" s="187">
        <f>[2]CZ_decarbplus_opex!X163</f>
        <v>6.2534099999999996E-4</v>
      </c>
      <c r="AA163" s="187">
        <f>[2]CZ_decarbplus_opex!Y163</f>
        <v>2.41E-5</v>
      </c>
      <c r="AB163" s="188">
        <f>[3]CZ_decarb_opex!B163</f>
        <v>2.1192933224346199E-5</v>
      </c>
      <c r="AC163" s="188">
        <f>[3]CZ_decarb_opex!C163</f>
        <v>1.13136768777148E-4</v>
      </c>
      <c r="AD163" s="188">
        <f>[3]CZ_decarb_opex!D163</f>
        <v>7.7942863584130604E-5</v>
      </c>
      <c r="AE163" s="188">
        <f>[2]CZ_decarbplus_opex!Z163</f>
        <v>7.4400000000000006E-5</v>
      </c>
      <c r="AF163" s="188">
        <f>[2]CZ_decarbplus_opex!AA163</f>
        <v>5.8976799999999995E-4</v>
      </c>
      <c r="AG163" s="188">
        <f>[2]CZ_decarbplus_opex!AB163</f>
        <v>2.7500000000000001E-5</v>
      </c>
      <c r="AH163" s="188">
        <f>[2]CZ_decarbplus_opex!AC163</f>
        <v>1.33E-5</v>
      </c>
      <c r="AI163" s="188">
        <f>[2]CZ_decarbplus_opex!AD163</f>
        <v>2.4600000000000002E-5</v>
      </c>
      <c r="AJ163" s="188">
        <f>[2]CZ_decarbplus_opex!AE163</f>
        <v>1.19E-5</v>
      </c>
      <c r="AK163" s="188">
        <f>[2]CZ_decarbplus_opex!AF163</f>
        <v>1.36E-5</v>
      </c>
      <c r="AL163" s="188">
        <f>[3]CZ_decarb_opex!E163</f>
        <v>1.9225811905037701E-5</v>
      </c>
      <c r="AM163" s="188">
        <f>[3]CZ_decarb_opex!F163</f>
        <v>1.7662469224607301E-5</v>
      </c>
      <c r="AN163" s="188">
        <f>[2]CZ_decarbplus_opex!AG163</f>
        <v>2.5400000000000001E-5</v>
      </c>
      <c r="AO163" s="188">
        <f>[3]CZ_decarb_opex!G163</f>
        <v>1.3967744771570899E-5</v>
      </c>
      <c r="AP163" s="188">
        <f>[3]CZ_decarb_opex!H163</f>
        <v>1.7450745944546499E-5</v>
      </c>
      <c r="AQ163" s="188">
        <f>[2]CZ_decarbplus_opex!AH163</f>
        <v>8.7899999999999995E-5</v>
      </c>
      <c r="AR163" s="188">
        <f>[2]CZ_decarbplus_opex!AI163</f>
        <v>0</v>
      </c>
      <c r="AS163" s="188">
        <f>[2]CZ_decarbplus_opex!AJ163</f>
        <v>2.0400000000000001E-5</v>
      </c>
      <c r="AT163" s="188">
        <f>[2]CZ_decarbplus_opex!AK163</f>
        <v>1.9300000000000002E-5</v>
      </c>
      <c r="AU163" s="188">
        <f>[2]CZ_decarbplus_opex!AL163</f>
        <v>7.96E-6</v>
      </c>
      <c r="AV163" s="188">
        <f>[2]CZ_decarbplus_opex!AM163</f>
        <v>4.6E-6</v>
      </c>
      <c r="AW163" s="188">
        <f>[2]CZ_decarbplus_opex!AN163</f>
        <v>1.4399999999999999E-5</v>
      </c>
      <c r="AX163" s="188">
        <f>[2]CZ_decarbplus_opex!AO163</f>
        <v>0</v>
      </c>
      <c r="AY163" s="188">
        <f>[2]CZ_decarbplus_opex!AP163</f>
        <v>2.6299999999999999E-5</v>
      </c>
      <c r="AZ163" s="188">
        <f>[2]CZ_decarbplus_opex!AQ163</f>
        <v>0</v>
      </c>
      <c r="BA163" s="188">
        <f>[2]CZ_decarbplus_opex!AR163</f>
        <v>2.48E-5</v>
      </c>
      <c r="BB163" s="188">
        <f>[2]CZ_decarbplus_opex!AS163</f>
        <v>2.5700000000000001E-5</v>
      </c>
      <c r="BC163" s="188">
        <f>[2]CZ_decarbplus_opex!AT163</f>
        <v>4.4299999999999999E-5</v>
      </c>
      <c r="BD163" s="188">
        <f>[2]CZ_decarbplus_opex!AU163</f>
        <v>1.2082300000000001E-4</v>
      </c>
      <c r="BE163" s="188">
        <f>[2]CZ_decarbplus_opex!AV163</f>
        <v>3.18E-5</v>
      </c>
      <c r="BF163" s="188">
        <f>[2]CZ_decarbplus_opex!AW163</f>
        <v>1.26E-5</v>
      </c>
      <c r="BG163" s="188">
        <f>[2]CZ_decarbplus_opex!AX163</f>
        <v>5.4500000000000003E-5</v>
      </c>
      <c r="BH163" s="188">
        <f>[3]CZ_decarb_opex!I163</f>
        <v>2.8513923540861499E-5</v>
      </c>
      <c r="BI163" s="188">
        <f>[2]CZ_decarbplus_opex!AY163</f>
        <v>1.8899999999999999E-5</v>
      </c>
      <c r="BJ163" s="188">
        <f>[2]CZ_decarbplus_opex!AZ163</f>
        <v>2.1490499999999999E-4</v>
      </c>
      <c r="BK163" s="188">
        <f>[2]CZ_decarbplus_opex!BA163</f>
        <v>1.5E-5</v>
      </c>
      <c r="BL163" s="188">
        <f>[2]CZ_decarbplus_opex!BB163</f>
        <v>0</v>
      </c>
      <c r="BM163" s="188">
        <f>[3]CZ_decarb_opex!J163</f>
        <v>2.7178667076136001E-5</v>
      </c>
      <c r="BN163" s="188">
        <f>[3]CZ_decarb_opex!K163</f>
        <v>5.2998248676683503E-5</v>
      </c>
      <c r="BO163" s="188">
        <f>[3]CZ_decarb_opex!L163</f>
        <v>1.5105540152157899E-5</v>
      </c>
      <c r="BP163" s="188">
        <f>[3]CZ_decarb_opex!M163</f>
        <v>3.3545981816338698E-5</v>
      </c>
      <c r="BQ163" s="188">
        <f>[3]CZ_decarb_opex!N163</f>
        <v>1.62103461719277E-5</v>
      </c>
      <c r="BR163" s="188">
        <f>[3]CZ_decarb_opex!O163</f>
        <v>6.4780126218526204E-5</v>
      </c>
      <c r="BS163" s="188">
        <f>[3]CZ_decarb_opex!P163</f>
        <v>2.2941245202591399E-5</v>
      </c>
      <c r="BT163" s="188">
        <f>[3]CZ_decarb_opex!Q163</f>
        <v>9.7134247988924896E-5</v>
      </c>
      <c r="BU163" s="188">
        <f>[3]CZ_decarb_opex!R163</f>
        <v>3.0034955208036401E-5</v>
      </c>
      <c r="BV163" s="188">
        <f>[3]CZ_decarb_opex!S163</f>
        <v>3.0034955208036499E-5</v>
      </c>
      <c r="BW163" s="188">
        <f>[3]CZ_decarb_opex!T163</f>
        <v>4.0714813644691102E-5</v>
      </c>
      <c r="BX163" s="188">
        <f>[3]CZ_decarb_opex!U163</f>
        <v>4.3523285205156897E-6</v>
      </c>
      <c r="BY163" s="188">
        <f>[3]CZ_decarb_opex!V163</f>
        <v>4.1746528477457003E-5</v>
      </c>
      <c r="BZ163" s="188">
        <f>[2]CZ_decarbplus_opex!BC163</f>
        <v>4.71E-5</v>
      </c>
      <c r="CA163" s="188">
        <f>[2]CZ_decarbplus_opex!BD163</f>
        <v>3.3699999999999999E-5</v>
      </c>
      <c r="CB163" s="188">
        <f>[2]CZ_decarbplus_opex!BE163</f>
        <v>2.8799999999999999E-5</v>
      </c>
      <c r="CC163" s="188">
        <f>[2]CZ_decarbplus_opex!BF163</f>
        <v>4.18E-5</v>
      </c>
      <c r="CD163" s="188">
        <f>[2]CZ_decarbplus_opex!BG163</f>
        <v>7.5199999999999998E-5</v>
      </c>
      <c r="CE163" s="188">
        <f>[2]CZ_decarbplus_opex!BH163</f>
        <v>1.43392E-4</v>
      </c>
      <c r="CF163" s="188">
        <f>[2]CZ_decarbplus_opex!BI163</f>
        <v>1.45084E-4</v>
      </c>
      <c r="CG163" s="188">
        <f>[2]CZ_decarbplus_opex!BJ163</f>
        <v>4.7899999999999999E-5</v>
      </c>
    </row>
    <row r="164" spans="1:85" x14ac:dyDescent="0.25">
      <c r="A164" s="5" t="s">
        <v>319</v>
      </c>
      <c r="B164" s="2" t="s">
        <v>318</v>
      </c>
      <c r="C164" s="1" t="s">
        <v>335</v>
      </c>
      <c r="D164" s="187">
        <f>[2]CZ_decarbplus_opex!B164</f>
        <v>5.49E-5</v>
      </c>
      <c r="E164" s="187">
        <f>[2]CZ_decarbplus_opex!C164</f>
        <v>2.6100000000000001E-5</v>
      </c>
      <c r="F164" s="187">
        <f>[2]CZ_decarbplus_opex!D164</f>
        <v>2.4600000000000002E-5</v>
      </c>
      <c r="G164" s="187">
        <f>[2]CZ_decarbplus_opex!E164</f>
        <v>5.0900000000000004E-6</v>
      </c>
      <c r="H164" s="187">
        <f>[2]CZ_decarbplus_opex!F164</f>
        <v>8.32E-6</v>
      </c>
      <c r="I164" s="187">
        <f>[2]CZ_decarbplus_opex!G164</f>
        <v>4.0299999999999997E-5</v>
      </c>
      <c r="J164" s="187">
        <f>[2]CZ_decarbplus_opex!H164</f>
        <v>7.7200000000000006E-5</v>
      </c>
      <c r="K164" s="187">
        <f>[2]CZ_decarbplus_opex!I164</f>
        <v>1.63E-5</v>
      </c>
      <c r="L164" s="187">
        <f>[2]CZ_decarbplus_opex!J164</f>
        <v>4.9700000000000002E-5</v>
      </c>
      <c r="M164" s="187">
        <f>[2]CZ_decarbplus_opex!K164</f>
        <v>1.42733E-4</v>
      </c>
      <c r="N164" s="187">
        <f>[2]CZ_decarbplus_opex!L164</f>
        <v>1.01235E-4</v>
      </c>
      <c r="O164" s="187">
        <f>[2]CZ_decarbplus_opex!M164</f>
        <v>6.86E-5</v>
      </c>
      <c r="P164" s="187">
        <f>[2]CZ_decarbplus_opex!N164</f>
        <v>3.2898699999999999E-4</v>
      </c>
      <c r="Q164" s="187">
        <f>[2]CZ_decarbplus_opex!O164</f>
        <v>1.8762600000000001E-4</v>
      </c>
      <c r="R164" s="187">
        <f>[2]CZ_decarbplus_opex!P164</f>
        <v>4.4299999999999999E-5</v>
      </c>
      <c r="S164" s="187">
        <f>[2]CZ_decarbplus_opex!Q164</f>
        <v>1.24845E-4</v>
      </c>
      <c r="T164" s="187">
        <f>[2]CZ_decarbplus_opex!R164</f>
        <v>1.4848500000000001E-4</v>
      </c>
      <c r="U164" s="187">
        <f>[2]CZ_decarbplus_opex!S164</f>
        <v>7.2200000000000007E-5</v>
      </c>
      <c r="V164" s="187">
        <f>[2]CZ_decarbplus_opex!T164</f>
        <v>4.7700000000000001E-5</v>
      </c>
      <c r="W164" s="187">
        <f>[2]CZ_decarbplus_opex!U164</f>
        <v>4.3699999999999998E-5</v>
      </c>
      <c r="X164" s="187">
        <f>[2]CZ_decarbplus_opex!V164</f>
        <v>6.2100000000000005E-5</v>
      </c>
      <c r="Y164" s="187">
        <f>[2]CZ_decarbplus_opex!W164</f>
        <v>2.0299999999999999E-5</v>
      </c>
      <c r="Z164" s="187">
        <f>[2]CZ_decarbplus_opex!X164</f>
        <v>1.6200000000000001E-5</v>
      </c>
      <c r="AA164" s="187">
        <f>[2]CZ_decarbplus_opex!Y164</f>
        <v>5.3300000000000001E-5</v>
      </c>
      <c r="AB164" s="188">
        <f>[3]CZ_decarb_opex!B164</f>
        <v>5.2384373153058202E-5</v>
      </c>
      <c r="AC164" s="188">
        <f>[3]CZ_decarb_opex!C164</f>
        <v>9.6183959114447799E-5</v>
      </c>
      <c r="AD164" s="188">
        <f>[3]CZ_decarb_opex!D164</f>
        <v>5.2585023334554401E-5</v>
      </c>
      <c r="AE164" s="188">
        <f>[2]CZ_decarbplus_opex!Z164</f>
        <v>4.6600000000000001E-5</v>
      </c>
      <c r="AF164" s="188">
        <f>[2]CZ_decarbplus_opex!AA164</f>
        <v>1.1233E-4</v>
      </c>
      <c r="AG164" s="188">
        <f>[2]CZ_decarbplus_opex!AB164</f>
        <v>3.2700000000000002E-5</v>
      </c>
      <c r="AH164" s="188">
        <f>[2]CZ_decarbplus_opex!AC164</f>
        <v>1.5618300000000001E-4</v>
      </c>
      <c r="AI164" s="188">
        <f>[2]CZ_decarbplus_opex!AD164</f>
        <v>5.02E-5</v>
      </c>
      <c r="AJ164" s="188">
        <f>[2]CZ_decarbplus_opex!AE164</f>
        <v>1.7628199999999999E-4</v>
      </c>
      <c r="AK164" s="188">
        <f>[2]CZ_decarbplus_opex!AF164</f>
        <v>1.26484E-4</v>
      </c>
      <c r="AL164" s="188">
        <f>[3]CZ_decarb_opex!E164</f>
        <v>1.04720304548453E-4</v>
      </c>
      <c r="AM164" s="188">
        <f>[3]CZ_decarb_opex!F164</f>
        <v>1.04171819738258E-4</v>
      </c>
      <c r="AN164" s="188">
        <f>[2]CZ_decarbplus_opex!AG164</f>
        <v>1.0063799999999999E-4</v>
      </c>
      <c r="AO164" s="188">
        <f>[3]CZ_decarb_opex!G164</f>
        <v>3.2056024835260102E-5</v>
      </c>
      <c r="AP164" s="188">
        <f>[3]CZ_decarb_opex!H164</f>
        <v>4.2290329449059799E-5</v>
      </c>
      <c r="AQ164" s="188">
        <f>[2]CZ_decarbplus_opex!AH164</f>
        <v>7.0500000000000006E-5</v>
      </c>
      <c r="AR164" s="188">
        <f>[2]CZ_decarbplus_opex!AI164</f>
        <v>0</v>
      </c>
      <c r="AS164" s="188">
        <f>[2]CZ_decarbplus_opex!AJ164</f>
        <v>4.6300000000000001E-5</v>
      </c>
      <c r="AT164" s="188">
        <f>[2]CZ_decarbplus_opex!AK164</f>
        <v>4.3399999999999998E-5</v>
      </c>
      <c r="AU164" s="188">
        <f>[2]CZ_decarbplus_opex!AL164</f>
        <v>1.7499999999999998E-5</v>
      </c>
      <c r="AV164" s="188">
        <f>[2]CZ_decarbplus_opex!AM164</f>
        <v>1.36E-5</v>
      </c>
      <c r="AW164" s="188">
        <f>[2]CZ_decarbplus_opex!AN164</f>
        <v>3.1300000000000002E-5</v>
      </c>
      <c r="AX164" s="188">
        <f>[2]CZ_decarbplus_opex!AO164</f>
        <v>0</v>
      </c>
      <c r="AY164" s="188">
        <f>[2]CZ_decarbplus_opex!AP164</f>
        <v>9.4500000000000007E-5</v>
      </c>
      <c r="AZ164" s="188">
        <f>[2]CZ_decarbplus_opex!AQ164</f>
        <v>0</v>
      </c>
      <c r="BA164" s="188">
        <f>[2]CZ_decarbplus_opex!AR164</f>
        <v>4.9400000000000001E-5</v>
      </c>
      <c r="BB164" s="188">
        <f>[2]CZ_decarbplus_opex!AS164</f>
        <v>4.1399999999999997E-5</v>
      </c>
      <c r="BC164" s="188">
        <f>[2]CZ_decarbplus_opex!AT164</f>
        <v>3.8699999999999999E-5</v>
      </c>
      <c r="BD164" s="188">
        <f>[2]CZ_decarbplus_opex!AU164</f>
        <v>5.0899999999999997E-5</v>
      </c>
      <c r="BE164" s="188">
        <f>[2]CZ_decarbplus_opex!AV164</f>
        <v>5.9599999999999999E-5</v>
      </c>
      <c r="BF164" s="188">
        <f>[2]CZ_decarbplus_opex!AW164</f>
        <v>7.6699999999999994E-5</v>
      </c>
      <c r="BG164" s="188">
        <f>[2]CZ_decarbplus_opex!AX164</f>
        <v>4.85E-5</v>
      </c>
      <c r="BH164" s="188">
        <f>[3]CZ_decarb_opex!I164</f>
        <v>3.37841055797442E-5</v>
      </c>
      <c r="BI164" s="188">
        <f>[2]CZ_decarbplus_opex!AY164</f>
        <v>2.1100000000000001E-5</v>
      </c>
      <c r="BJ164" s="188">
        <f>[2]CZ_decarbplus_opex!AZ164</f>
        <v>6.0999999999999999E-5</v>
      </c>
      <c r="BK164" s="188">
        <f>[2]CZ_decarbplus_opex!BA164</f>
        <v>3.04E-5</v>
      </c>
      <c r="BL164" s="188">
        <f>[2]CZ_decarbplus_opex!BB164</f>
        <v>0</v>
      </c>
      <c r="BM164" s="188">
        <f>[3]CZ_decarb_opex!J164</f>
        <v>2.3048704198728399E-5</v>
      </c>
      <c r="BN164" s="188">
        <f>[3]CZ_decarb_opex!K164</f>
        <v>4.4263032493905502E-5</v>
      </c>
      <c r="BO164" s="188">
        <f>[3]CZ_decarb_opex!L164</f>
        <v>1.51329221303918E-5</v>
      </c>
      <c r="BP164" s="188">
        <f>[3]CZ_decarb_opex!M164</f>
        <v>2.5958667366038199E-5</v>
      </c>
      <c r="BQ164" s="188">
        <f>[3]CZ_decarb_opex!N164</f>
        <v>1.9557936922317601E-5</v>
      </c>
      <c r="BR164" s="188">
        <f>[3]CZ_decarb_opex!O164</f>
        <v>4.0047176341573201E-4</v>
      </c>
      <c r="BS164" s="188">
        <f>[3]CZ_decarb_opex!P164</f>
        <v>1.1561893699226E-4</v>
      </c>
      <c r="BT164" s="188">
        <f>[3]CZ_decarb_opex!Q164</f>
        <v>1.1309361249905999E-5</v>
      </c>
      <c r="BU164" s="188">
        <f>[3]CZ_decarb_opex!R164</f>
        <v>1.31250331663879E-5</v>
      </c>
      <c r="BV164" s="188">
        <f>[3]CZ_decarb_opex!S164</f>
        <v>1.31250331663879E-5</v>
      </c>
      <c r="BW164" s="188">
        <f>[3]CZ_decarb_opex!T164</f>
        <v>1.6061716490178999E-5</v>
      </c>
      <c r="BX164" s="188">
        <f>[3]CZ_decarb_opex!U164</f>
        <v>1.12627202847729E-5</v>
      </c>
      <c r="BY164" s="188">
        <f>[3]CZ_decarb_opex!V164</f>
        <v>7.8128938811943504E-5</v>
      </c>
      <c r="BZ164" s="188">
        <f>[2]CZ_decarbplus_opex!BC164</f>
        <v>3.18E-5</v>
      </c>
      <c r="CA164" s="188">
        <f>[2]CZ_decarbplus_opex!BD164</f>
        <v>2.0999999999999999E-5</v>
      </c>
      <c r="CB164" s="188">
        <f>[2]CZ_decarbplus_opex!BE164</f>
        <v>1.7E-5</v>
      </c>
      <c r="CC164" s="188">
        <f>[2]CZ_decarbplus_opex!BF164</f>
        <v>1.7099999999999999E-5</v>
      </c>
      <c r="CD164" s="188">
        <f>[2]CZ_decarbplus_opex!BG164</f>
        <v>3.0499999999999999E-5</v>
      </c>
      <c r="CE164" s="188">
        <f>[2]CZ_decarbplus_opex!BH164</f>
        <v>5.5600000000000003E-5</v>
      </c>
      <c r="CF164" s="188">
        <f>[2]CZ_decarbplus_opex!BI164</f>
        <v>5.9799999999999997E-5</v>
      </c>
      <c r="CG164" s="188">
        <f>[2]CZ_decarbplus_opex!BJ164</f>
        <v>3.6999999999999998E-5</v>
      </c>
    </row>
    <row r="165" spans="1:85" x14ac:dyDescent="0.25">
      <c r="A165" s="5" t="s">
        <v>321</v>
      </c>
      <c r="B165" s="2" t="s">
        <v>320</v>
      </c>
      <c r="C165" s="1" t="s">
        <v>335</v>
      </c>
      <c r="D165" s="187">
        <f>[2]CZ_decarbplus_opex!B165</f>
        <v>2.8200000000000001E-7</v>
      </c>
      <c r="E165" s="187">
        <f>[2]CZ_decarbplus_opex!C165</f>
        <v>5.6700000000000003E-7</v>
      </c>
      <c r="F165" s="187">
        <f>[2]CZ_decarbplus_opex!D165</f>
        <v>9.2600000000000001E-7</v>
      </c>
      <c r="G165" s="187">
        <f>[2]CZ_decarbplus_opex!E165</f>
        <v>1.0700000000000001E-7</v>
      </c>
      <c r="H165" s="187">
        <f>[2]CZ_decarbplus_opex!F165</f>
        <v>4.8900000000000001E-8</v>
      </c>
      <c r="I165" s="187">
        <f>[2]CZ_decarbplus_opex!G165</f>
        <v>5.2099999999999997E-7</v>
      </c>
      <c r="J165" s="187">
        <f>[2]CZ_decarbplus_opex!H165</f>
        <v>1.9099999999999999E-6</v>
      </c>
      <c r="K165" s="187">
        <f>[2]CZ_decarbplus_opex!I165</f>
        <v>2.6800000000000002E-7</v>
      </c>
      <c r="L165" s="187">
        <f>[2]CZ_decarbplus_opex!J165</f>
        <v>1.7099999999999999E-6</v>
      </c>
      <c r="M165" s="187">
        <f>[2]CZ_decarbplus_opex!K165</f>
        <v>1.9E-6</v>
      </c>
      <c r="N165" s="187">
        <f>[2]CZ_decarbplus_opex!L165</f>
        <v>1.3200000000000001E-6</v>
      </c>
      <c r="O165" s="187">
        <f>[2]CZ_decarbplus_opex!M165</f>
        <v>6.3100000000000003E-8</v>
      </c>
      <c r="P165" s="187">
        <f>[2]CZ_decarbplus_opex!N165</f>
        <v>2.4899999999999999E-6</v>
      </c>
      <c r="Q165" s="187">
        <f>[2]CZ_decarbplus_opex!O165</f>
        <v>2.6100000000000001E-5</v>
      </c>
      <c r="R165" s="187">
        <f>[2]CZ_decarbplus_opex!P165</f>
        <v>2.4899999999999999E-5</v>
      </c>
      <c r="S165" s="187">
        <f>[2]CZ_decarbplus_opex!Q165</f>
        <v>4.75E-7</v>
      </c>
      <c r="T165" s="187">
        <f>[2]CZ_decarbplus_opex!R165</f>
        <v>7.0299999999999998E-7</v>
      </c>
      <c r="U165" s="187">
        <f>[2]CZ_decarbplus_opex!S165</f>
        <v>7.9599999999999998E-7</v>
      </c>
      <c r="V165" s="187">
        <f>[2]CZ_decarbplus_opex!T165</f>
        <v>9.33E-7</v>
      </c>
      <c r="W165" s="187">
        <f>[2]CZ_decarbplus_opex!U165</f>
        <v>5.1399999999999997E-7</v>
      </c>
      <c r="X165" s="187">
        <f>[2]CZ_decarbplus_opex!V165</f>
        <v>2.35E-7</v>
      </c>
      <c r="Y165" s="187">
        <f>[2]CZ_decarbplus_opex!W165</f>
        <v>1.3199999999999999E-7</v>
      </c>
      <c r="Z165" s="187">
        <f>[2]CZ_decarbplus_opex!X165</f>
        <v>4.75E-7</v>
      </c>
      <c r="AA165" s="187">
        <f>[2]CZ_decarbplus_opex!Y165</f>
        <v>2.26E-6</v>
      </c>
      <c r="AB165" s="188">
        <f>[3]CZ_decarb_opex!B165</f>
        <v>1.7846163263408401E-6</v>
      </c>
      <c r="AC165" s="188">
        <f>[3]CZ_decarb_opex!C165</f>
        <v>1.51834511102114E-6</v>
      </c>
      <c r="AD165" s="188">
        <f>[3]CZ_decarb_opex!D165</f>
        <v>8.5840372566698495E-7</v>
      </c>
      <c r="AE165" s="188">
        <f>[2]CZ_decarbplus_opex!Z165</f>
        <v>7.0699999999999996E-7</v>
      </c>
      <c r="AF165" s="188">
        <f>[2]CZ_decarbplus_opex!AA165</f>
        <v>1.7999999999999999E-6</v>
      </c>
      <c r="AG165" s="188">
        <f>[2]CZ_decarbplus_opex!AB165</f>
        <v>6.7400000000000003E-7</v>
      </c>
      <c r="AH165" s="188">
        <f>[2]CZ_decarbplus_opex!AC165</f>
        <v>1.73E-7</v>
      </c>
      <c r="AI165" s="188">
        <f>[2]CZ_decarbplus_opex!AD165</f>
        <v>2.36E-7</v>
      </c>
      <c r="AJ165" s="188">
        <f>[2]CZ_decarbplus_opex!AE165</f>
        <v>2.8599999999999999E-7</v>
      </c>
      <c r="AK165" s="188">
        <f>[2]CZ_decarbplus_opex!AF165</f>
        <v>4.6899999999999998E-7</v>
      </c>
      <c r="AL165" s="188">
        <f>[3]CZ_decarb_opex!E165</f>
        <v>3.4614722113146099E-7</v>
      </c>
      <c r="AM165" s="188">
        <f>[3]CZ_decarb_opex!F165</f>
        <v>4.5591543449837997E-7</v>
      </c>
      <c r="AN165" s="188">
        <f>[2]CZ_decarbplus_opex!AG165</f>
        <v>2.4900000000000002E-7</v>
      </c>
      <c r="AO165" s="188">
        <f>[3]CZ_decarb_opex!G165</f>
        <v>1.58607042941954E-6</v>
      </c>
      <c r="AP165" s="188">
        <f>[3]CZ_decarb_opex!H165</f>
        <v>2.20198139225125E-7</v>
      </c>
      <c r="AQ165" s="188">
        <f>[2]CZ_decarbplus_opex!AH165</f>
        <v>1.74E-7</v>
      </c>
      <c r="AR165" s="188">
        <f>[2]CZ_decarbplus_opex!AI165</f>
        <v>0</v>
      </c>
      <c r="AS165" s="188">
        <f>[2]CZ_decarbplus_opex!AJ165</f>
        <v>2.05E-7</v>
      </c>
      <c r="AT165" s="188">
        <f>[2]CZ_decarbplus_opex!AK165</f>
        <v>1.4399999999999999E-7</v>
      </c>
      <c r="AU165" s="188">
        <f>[2]CZ_decarbplus_opex!AL165</f>
        <v>9.9400000000000003E-8</v>
      </c>
      <c r="AV165" s="188">
        <f>[2]CZ_decarbplus_opex!AM165</f>
        <v>5.25E-8</v>
      </c>
      <c r="AW165" s="188">
        <f>[2]CZ_decarbplus_opex!AN165</f>
        <v>1.36E-7</v>
      </c>
      <c r="AX165" s="188">
        <f>[2]CZ_decarbplus_opex!AO165</f>
        <v>0</v>
      </c>
      <c r="AY165" s="188">
        <f>[2]CZ_decarbplus_opex!AP165</f>
        <v>1.17E-6</v>
      </c>
      <c r="AZ165" s="188">
        <f>[2]CZ_decarbplus_opex!AQ165</f>
        <v>0</v>
      </c>
      <c r="BA165" s="188">
        <f>[2]CZ_decarbplus_opex!AR165</f>
        <v>2.1500000000000001E-7</v>
      </c>
      <c r="BB165" s="188">
        <f>[2]CZ_decarbplus_opex!AS165</f>
        <v>1.6500000000000001E-7</v>
      </c>
      <c r="BC165" s="188">
        <f>[2]CZ_decarbplus_opex!AT165</f>
        <v>4.0400000000000002E-7</v>
      </c>
      <c r="BD165" s="188">
        <f>[2]CZ_decarbplus_opex!AU165</f>
        <v>9.5600000000000004E-7</v>
      </c>
      <c r="BE165" s="188">
        <f>[2]CZ_decarbplus_opex!AV165</f>
        <v>6.4300000000000003E-7</v>
      </c>
      <c r="BF165" s="188">
        <f>[2]CZ_decarbplus_opex!AW165</f>
        <v>1.17E-6</v>
      </c>
      <c r="BG165" s="188">
        <f>[2]CZ_decarbplus_opex!AX165</f>
        <v>4.46E-7</v>
      </c>
      <c r="BH165" s="188">
        <f>[3]CZ_decarb_opex!I165</f>
        <v>2.2164024773430399E-7</v>
      </c>
      <c r="BI165" s="188">
        <f>[2]CZ_decarbplus_opex!AY165</f>
        <v>5.7700000000000004E-7</v>
      </c>
      <c r="BJ165" s="188">
        <f>[2]CZ_decarbplus_opex!AZ165</f>
        <v>2.17E-6</v>
      </c>
      <c r="BK165" s="188">
        <f>[2]CZ_decarbplus_opex!BA165</f>
        <v>5.3900000000000005E-7</v>
      </c>
      <c r="BL165" s="188">
        <f>[2]CZ_decarbplus_opex!BB165</f>
        <v>0</v>
      </c>
      <c r="BM165" s="188">
        <f>[3]CZ_decarb_opex!J165</f>
        <v>5.7654186785735303E-7</v>
      </c>
      <c r="BN165" s="188">
        <f>[3]CZ_decarb_opex!K165</f>
        <v>1.22306166621198E-6</v>
      </c>
      <c r="BO165" s="188">
        <f>[3]CZ_decarb_opex!L165</f>
        <v>2.13435460522069E-7</v>
      </c>
      <c r="BP165" s="188">
        <f>[3]CZ_decarb_opex!M165</f>
        <v>3.39938748611201E-7</v>
      </c>
      <c r="BQ165" s="188">
        <f>[3]CZ_decarb_opex!N165</f>
        <v>6.3754401403648799E-7</v>
      </c>
      <c r="BR165" s="188">
        <f>[3]CZ_decarb_opex!O165</f>
        <v>1.2319222570579099E-6</v>
      </c>
      <c r="BS165" s="188">
        <f>[3]CZ_decarb_opex!P165</f>
        <v>1.2856170297006901E-6</v>
      </c>
      <c r="BT165" s="188">
        <f>[3]CZ_decarb_opex!Q165</f>
        <v>7.1397410649271795E-7</v>
      </c>
      <c r="BU165" s="188">
        <f>[3]CZ_decarb_opex!R165</f>
        <v>3.2345005118112098E-7</v>
      </c>
      <c r="BV165" s="188">
        <f>[3]CZ_decarb_opex!S165</f>
        <v>3.2345005118112098E-7</v>
      </c>
      <c r="BW165" s="188">
        <f>[3]CZ_decarb_opex!T165</f>
        <v>3.3598391751656198E-6</v>
      </c>
      <c r="BX165" s="188">
        <f>[3]CZ_decarb_opex!U165</f>
        <v>1.9762208876009702E-6</v>
      </c>
      <c r="BY165" s="188">
        <f>[3]CZ_decarb_opex!V165</f>
        <v>8.4008251806134998E-8</v>
      </c>
      <c r="BZ165" s="188">
        <f>[2]CZ_decarbplus_opex!BC165</f>
        <v>4.1199999999999998E-7</v>
      </c>
      <c r="CA165" s="188">
        <f>[2]CZ_decarbplus_opex!BD165</f>
        <v>3.72E-7</v>
      </c>
      <c r="CB165" s="188">
        <f>[2]CZ_decarbplus_opex!BE165</f>
        <v>3.72E-7</v>
      </c>
      <c r="CC165" s="188">
        <f>[2]CZ_decarbplus_opex!BF165</f>
        <v>2.2399999999999999E-7</v>
      </c>
      <c r="CD165" s="188">
        <f>[2]CZ_decarbplus_opex!BG165</f>
        <v>9.9900000000000009E-7</v>
      </c>
      <c r="CE165" s="188">
        <f>[2]CZ_decarbplus_opex!BH165</f>
        <v>7.6000000000000003E-7</v>
      </c>
      <c r="CF165" s="188">
        <f>[2]CZ_decarbplus_opex!BI165</f>
        <v>4.33E-6</v>
      </c>
      <c r="CG165" s="188">
        <f>[2]CZ_decarbplus_opex!BJ165</f>
        <v>1.37E-7</v>
      </c>
    </row>
    <row r="166" spans="1:85" x14ac:dyDescent="0.25">
      <c r="A166" s="5" t="s">
        <v>323</v>
      </c>
      <c r="B166" s="2" t="s">
        <v>322</v>
      </c>
      <c r="C166" s="1" t="s">
        <v>335</v>
      </c>
      <c r="D166" s="187">
        <f>[2]CZ_decarbplus_opex!B166</f>
        <v>0</v>
      </c>
      <c r="E166" s="187">
        <f>[2]CZ_decarbplus_opex!C166</f>
        <v>0</v>
      </c>
      <c r="F166" s="187">
        <f>[2]CZ_decarbplus_opex!D166</f>
        <v>0</v>
      </c>
      <c r="G166" s="187">
        <f>[2]CZ_decarbplus_opex!E166</f>
        <v>0</v>
      </c>
      <c r="H166" s="187">
        <f>[2]CZ_decarbplus_opex!F166</f>
        <v>0</v>
      </c>
      <c r="I166" s="187">
        <f>[2]CZ_decarbplus_opex!G166</f>
        <v>0</v>
      </c>
      <c r="J166" s="187">
        <f>[2]CZ_decarbplus_opex!H166</f>
        <v>0</v>
      </c>
      <c r="K166" s="187">
        <f>[2]CZ_decarbplus_opex!I166</f>
        <v>0</v>
      </c>
      <c r="L166" s="187">
        <f>[2]CZ_decarbplus_opex!J166</f>
        <v>0</v>
      </c>
      <c r="M166" s="187">
        <f>[2]CZ_decarbplus_opex!K166</f>
        <v>0</v>
      </c>
      <c r="N166" s="187">
        <f>[2]CZ_decarbplus_opex!L166</f>
        <v>0</v>
      </c>
      <c r="O166" s="187">
        <f>[2]CZ_decarbplus_opex!M166</f>
        <v>0</v>
      </c>
      <c r="P166" s="187">
        <f>[2]CZ_decarbplus_opex!N166</f>
        <v>0</v>
      </c>
      <c r="Q166" s="187">
        <f>[2]CZ_decarbplus_opex!O166</f>
        <v>0</v>
      </c>
      <c r="R166" s="187">
        <f>[2]CZ_decarbplus_opex!P166</f>
        <v>0</v>
      </c>
      <c r="S166" s="187">
        <f>[2]CZ_decarbplus_opex!Q166</f>
        <v>0</v>
      </c>
      <c r="T166" s="187">
        <f>[2]CZ_decarbplus_opex!R166</f>
        <v>0</v>
      </c>
      <c r="U166" s="187">
        <f>[2]CZ_decarbplus_opex!S166</f>
        <v>0</v>
      </c>
      <c r="V166" s="187">
        <f>[2]CZ_decarbplus_opex!T166</f>
        <v>0</v>
      </c>
      <c r="W166" s="187">
        <f>[2]CZ_decarbplus_opex!U166</f>
        <v>0</v>
      </c>
      <c r="X166" s="187">
        <f>[2]CZ_decarbplus_opex!V166</f>
        <v>0</v>
      </c>
      <c r="Y166" s="187">
        <f>[2]CZ_decarbplus_opex!W166</f>
        <v>0</v>
      </c>
      <c r="Z166" s="187">
        <f>[2]CZ_decarbplus_opex!X166</f>
        <v>0</v>
      </c>
      <c r="AA166" s="187">
        <f>[2]CZ_decarbplus_opex!Y166</f>
        <v>0</v>
      </c>
      <c r="AB166" s="188">
        <f>[3]CZ_decarb_opex!B166</f>
        <v>0</v>
      </c>
      <c r="AC166" s="188">
        <f>[3]CZ_decarb_opex!C166</f>
        <v>0</v>
      </c>
      <c r="AD166" s="188">
        <f>[3]CZ_decarb_opex!D166</f>
        <v>0</v>
      </c>
      <c r="AE166" s="188">
        <f>[2]CZ_decarbplus_opex!Z166</f>
        <v>0</v>
      </c>
      <c r="AF166" s="188">
        <f>[2]CZ_decarbplus_opex!AA166</f>
        <v>0</v>
      </c>
      <c r="AG166" s="188">
        <f>[2]CZ_decarbplus_opex!AB166</f>
        <v>0</v>
      </c>
      <c r="AH166" s="188">
        <f>[2]CZ_decarbplus_opex!AC166</f>
        <v>0</v>
      </c>
      <c r="AI166" s="188">
        <f>[2]CZ_decarbplus_opex!AD166</f>
        <v>0</v>
      </c>
      <c r="AJ166" s="188">
        <f>[2]CZ_decarbplus_opex!AE166</f>
        <v>0</v>
      </c>
      <c r="AK166" s="188">
        <f>[2]CZ_decarbplus_opex!AF166</f>
        <v>0</v>
      </c>
      <c r="AL166" s="188">
        <f>[3]CZ_decarb_opex!E166</f>
        <v>0</v>
      </c>
      <c r="AM166" s="188">
        <f>[3]CZ_decarb_opex!F166</f>
        <v>0</v>
      </c>
      <c r="AN166" s="188">
        <f>[2]CZ_decarbplus_opex!AG166</f>
        <v>0</v>
      </c>
      <c r="AO166" s="188">
        <f>[3]CZ_decarb_opex!G166</f>
        <v>0</v>
      </c>
      <c r="AP166" s="188">
        <f>[3]CZ_decarb_opex!H166</f>
        <v>0</v>
      </c>
      <c r="AQ166" s="188">
        <f>[2]CZ_decarbplus_opex!AH166</f>
        <v>0</v>
      </c>
      <c r="AR166" s="188">
        <f>[2]CZ_decarbplus_opex!AI166</f>
        <v>0</v>
      </c>
      <c r="AS166" s="188">
        <f>[2]CZ_decarbplus_opex!AJ166</f>
        <v>0</v>
      </c>
      <c r="AT166" s="188">
        <f>[2]CZ_decarbplus_opex!AK166</f>
        <v>0</v>
      </c>
      <c r="AU166" s="188">
        <f>[2]CZ_decarbplus_opex!AL166</f>
        <v>0</v>
      </c>
      <c r="AV166" s="188">
        <f>[2]CZ_decarbplus_opex!AM166</f>
        <v>0</v>
      </c>
      <c r="AW166" s="188">
        <f>[2]CZ_decarbplus_opex!AN166</f>
        <v>0</v>
      </c>
      <c r="AX166" s="188">
        <f>[2]CZ_decarbplus_opex!AO166</f>
        <v>0</v>
      </c>
      <c r="AY166" s="188">
        <f>[2]CZ_decarbplus_opex!AP166</f>
        <v>0</v>
      </c>
      <c r="AZ166" s="188">
        <f>[2]CZ_decarbplus_opex!AQ166</f>
        <v>0</v>
      </c>
      <c r="BA166" s="188">
        <f>[2]CZ_decarbplus_opex!AR166</f>
        <v>0</v>
      </c>
      <c r="BB166" s="188">
        <f>[2]CZ_decarbplus_opex!AS166</f>
        <v>0</v>
      </c>
      <c r="BC166" s="188">
        <f>[2]CZ_decarbplus_opex!AT166</f>
        <v>0</v>
      </c>
      <c r="BD166" s="188">
        <f>[2]CZ_decarbplus_opex!AU166</f>
        <v>0</v>
      </c>
      <c r="BE166" s="188">
        <f>[2]CZ_decarbplus_opex!AV166</f>
        <v>0</v>
      </c>
      <c r="BF166" s="188">
        <f>[2]CZ_decarbplus_opex!AW166</f>
        <v>0</v>
      </c>
      <c r="BG166" s="188">
        <f>[2]CZ_decarbplus_opex!AX166</f>
        <v>0</v>
      </c>
      <c r="BH166" s="188">
        <f>[3]CZ_decarb_opex!I166</f>
        <v>0</v>
      </c>
      <c r="BI166" s="188">
        <f>[2]CZ_decarbplus_opex!AY166</f>
        <v>0</v>
      </c>
      <c r="BJ166" s="188">
        <f>[2]CZ_decarbplus_opex!AZ166</f>
        <v>0</v>
      </c>
      <c r="BK166" s="188">
        <f>[2]CZ_decarbplus_opex!BA166</f>
        <v>0</v>
      </c>
      <c r="BL166" s="188">
        <f>[2]CZ_decarbplus_opex!BB166</f>
        <v>0</v>
      </c>
      <c r="BM166" s="188">
        <f>[3]CZ_decarb_opex!J166</f>
        <v>0</v>
      </c>
      <c r="BN166" s="188">
        <f>[3]CZ_decarb_opex!K166</f>
        <v>0</v>
      </c>
      <c r="BO166" s="188">
        <f>[3]CZ_decarb_opex!L166</f>
        <v>0</v>
      </c>
      <c r="BP166" s="188">
        <f>[3]CZ_decarb_opex!M166</f>
        <v>0</v>
      </c>
      <c r="BQ166" s="188">
        <f>[3]CZ_decarb_opex!N166</f>
        <v>0</v>
      </c>
      <c r="BR166" s="188">
        <f>[3]CZ_decarb_opex!O166</f>
        <v>0</v>
      </c>
      <c r="BS166" s="188">
        <f>[3]CZ_decarb_opex!P166</f>
        <v>0</v>
      </c>
      <c r="BT166" s="188">
        <f>[3]CZ_decarb_opex!Q166</f>
        <v>0</v>
      </c>
      <c r="BU166" s="188">
        <f>[3]CZ_decarb_opex!R166</f>
        <v>0</v>
      </c>
      <c r="BV166" s="188">
        <f>[3]CZ_decarb_opex!S166</f>
        <v>0</v>
      </c>
      <c r="BW166" s="188">
        <f>[3]CZ_decarb_opex!T166</f>
        <v>0</v>
      </c>
      <c r="BX166" s="188">
        <f>[3]CZ_decarb_opex!U166</f>
        <v>0</v>
      </c>
      <c r="BY166" s="188">
        <f>[3]CZ_decarb_opex!V166</f>
        <v>0</v>
      </c>
      <c r="BZ166" s="188">
        <f>[2]CZ_decarbplus_opex!BC166</f>
        <v>0</v>
      </c>
      <c r="CA166" s="188">
        <f>[2]CZ_decarbplus_opex!BD166</f>
        <v>0</v>
      </c>
      <c r="CB166" s="188">
        <f>[2]CZ_decarbplus_opex!BE166</f>
        <v>0</v>
      </c>
      <c r="CC166" s="188">
        <f>[2]CZ_decarbplus_opex!BF166</f>
        <v>0</v>
      </c>
      <c r="CD166" s="188">
        <f>[2]CZ_decarbplus_opex!BG166</f>
        <v>0</v>
      </c>
      <c r="CE166" s="188">
        <f>[2]CZ_decarbplus_opex!BH166</f>
        <v>0</v>
      </c>
      <c r="CF166" s="188">
        <f>[2]CZ_decarbplus_opex!BI166</f>
        <v>0</v>
      </c>
      <c r="CG166" s="188">
        <f>[2]CZ_decarbplus_opex!BJ166</f>
        <v>0</v>
      </c>
    </row>
    <row r="167" spans="1:85" x14ac:dyDescent="0.25">
      <c r="A167" s="43" t="s">
        <v>370</v>
      </c>
      <c r="B167" s="43">
        <v>1</v>
      </c>
      <c r="C167" s="43" t="s">
        <v>379</v>
      </c>
      <c r="D167" s="187">
        <f>[2]CZ_decarbplus_opex!B167</f>
        <v>1.1094641000000001E-2</v>
      </c>
      <c r="E167" s="187">
        <f>[2]CZ_decarbplus_opex!C167</f>
        <v>4.6216080000000001E-3</v>
      </c>
      <c r="F167" s="187">
        <f>[2]CZ_decarbplus_opex!D167</f>
        <v>1.1293766E-2</v>
      </c>
      <c r="G167" s="187">
        <f>[2]CZ_decarbplus_opex!E167</f>
        <v>2.8879779999999998E-3</v>
      </c>
      <c r="H167" s="187">
        <f>[2]CZ_decarbplus_opex!F167</f>
        <v>2.6131599999999999E-4</v>
      </c>
      <c r="I167" s="187">
        <f>[2]CZ_decarbplus_opex!G167</f>
        <v>1.3412949E-2</v>
      </c>
      <c r="J167" s="187">
        <f>[2]CZ_decarbplus_opex!H167</f>
        <v>1.3272533E-2</v>
      </c>
      <c r="K167" s="187">
        <f>[2]CZ_decarbplus_opex!I167</f>
        <v>4.7301800000000002E-4</v>
      </c>
      <c r="L167" s="187">
        <f>[2]CZ_decarbplus_opex!J167</f>
        <v>2.7519213000000001E-2</v>
      </c>
      <c r="M167" s="187">
        <f>[2]CZ_decarbplus_opex!K167</f>
        <v>1.6251565999999999E-2</v>
      </c>
      <c r="N167" s="187">
        <f>[2]CZ_decarbplus_opex!L167</f>
        <v>8.5591299999999999E-3</v>
      </c>
      <c r="O167" s="187">
        <f>[2]CZ_decarbplus_opex!M167</f>
        <v>5.3130499999999997E-3</v>
      </c>
      <c r="P167" s="187">
        <f>[2]CZ_decarbplus_opex!N167</f>
        <v>3.3073723999999999E-2</v>
      </c>
      <c r="Q167" s="187">
        <f>[2]CZ_decarbplus_opex!O167</f>
        <v>5.7810674999999999E-2</v>
      </c>
      <c r="R167" s="187">
        <f>[2]CZ_decarbplus_opex!P167</f>
        <v>5.9012006999999998E-2</v>
      </c>
      <c r="S167" s="187">
        <f>[2]CZ_decarbplus_opex!Q167</f>
        <v>2.2181962999999999E-2</v>
      </c>
      <c r="T167" s="187">
        <f>[2]CZ_decarbplus_opex!R167</f>
        <v>5.9909979000000002E-2</v>
      </c>
      <c r="U167" s="187">
        <f>[2]CZ_decarbplus_opex!S167</f>
        <v>1.1152987E-2</v>
      </c>
      <c r="V167" s="187">
        <f>[2]CZ_decarbplus_opex!T167</f>
        <v>-1.0856124999999999E-2</v>
      </c>
      <c r="W167" s="187">
        <f>[2]CZ_decarbplus_opex!U167</f>
        <v>2.1083039000000001E-2</v>
      </c>
      <c r="X167" s="187">
        <f>[2]CZ_decarbplus_opex!V167</f>
        <v>1.9118890999999999E-2</v>
      </c>
      <c r="Y167" s="187">
        <f>[2]CZ_decarbplus_opex!W167</f>
        <v>2.2557173999999999E-2</v>
      </c>
      <c r="Z167" s="187">
        <f>[2]CZ_decarbplus_opex!X167</f>
        <v>1.2734137E-2</v>
      </c>
      <c r="AA167" s="187">
        <f>[2]CZ_decarbplus_opex!Y167</f>
        <v>3.5246630000000001E-2</v>
      </c>
      <c r="AB167" s="188">
        <f>[3]CZ_decarb_opex!B167</f>
        <v>3.8373787899811301E-2</v>
      </c>
      <c r="AC167" s="188">
        <f>[3]CZ_decarb_opex!C167</f>
        <v>1.6426119751658801E-2</v>
      </c>
      <c r="AD167" s="188">
        <f>[3]CZ_decarb_opex!D167</f>
        <v>4.1252095697665803E-2</v>
      </c>
      <c r="AE167" s="188">
        <f>[2]CZ_decarbplus_opex!Z167</f>
        <v>4.3852934000000003E-2</v>
      </c>
      <c r="AF167" s="188">
        <f>[2]CZ_decarbplus_opex!AA167</f>
        <v>4.7079289000000003E-2</v>
      </c>
      <c r="AG167" s="188">
        <f>[2]CZ_decarbplus_opex!AB167</f>
        <v>1.9997298E-2</v>
      </c>
      <c r="AH167" s="188">
        <f>[2]CZ_decarbplus_opex!AC167</f>
        <v>1.8428727999999998E-2</v>
      </c>
      <c r="AI167" s="188">
        <f>[2]CZ_decarbplus_opex!AD167</f>
        <v>1.2308176000000001E-2</v>
      </c>
      <c r="AJ167" s="188">
        <f>[2]CZ_decarbplus_opex!AE167</f>
        <v>3.3281481000000002E-2</v>
      </c>
      <c r="AK167" s="188">
        <f>[2]CZ_decarbplus_opex!AF167</f>
        <v>1.809361E-2</v>
      </c>
      <c r="AL167" s="188">
        <f>[3]CZ_decarb_opex!E167</f>
        <v>1.4590982803862699E-2</v>
      </c>
      <c r="AM167" s="188">
        <f>[3]CZ_decarb_opex!F167</f>
        <v>1.3968475925001601E-2</v>
      </c>
      <c r="AN167" s="188">
        <f>[2]CZ_decarbplus_opex!AG167</f>
        <v>1.7255943999999999E-2</v>
      </c>
      <c r="AO167" s="188">
        <f>[3]CZ_decarb_opex!G167</f>
        <v>9.1212096186146403E-3</v>
      </c>
      <c r="AP167" s="188">
        <f>[3]CZ_decarb_opex!H167</f>
        <v>6.7200368914564698E-3</v>
      </c>
      <c r="AQ167" s="188">
        <f>[2]CZ_decarbplus_opex!AH167</f>
        <v>8.8108140000000001E-3</v>
      </c>
      <c r="AR167" s="188">
        <f>[2]CZ_decarbplus_opex!AI167</f>
        <v>0</v>
      </c>
      <c r="AS167" s="188">
        <f>[2]CZ_decarbplus_opex!AJ167</f>
        <v>1.5313128000000001E-2</v>
      </c>
      <c r="AT167" s="188">
        <f>[2]CZ_decarbplus_opex!AK167</f>
        <v>1.1940994999999999E-2</v>
      </c>
      <c r="AU167" s="188">
        <f>[2]CZ_decarbplus_opex!AL167</f>
        <v>8.7802569999999996E-3</v>
      </c>
      <c r="AV167" s="188">
        <f>[2]CZ_decarbplus_opex!AM167</f>
        <v>6.400284E-3</v>
      </c>
      <c r="AW167" s="188">
        <f>[2]CZ_decarbplus_opex!AN167</f>
        <v>8.5897200000000003E-3</v>
      </c>
      <c r="AX167" s="188">
        <f>[2]CZ_decarbplus_opex!AO167</f>
        <v>0</v>
      </c>
      <c r="AY167" s="188">
        <f>[2]CZ_decarbplus_opex!AP167</f>
        <v>5.9938680000000003E-3</v>
      </c>
      <c r="AZ167" s="188">
        <f>[2]CZ_decarbplus_opex!AQ167</f>
        <v>0</v>
      </c>
      <c r="BA167" s="188">
        <f>[2]CZ_decarbplus_opex!AR167</f>
        <v>1.2311681E-2</v>
      </c>
      <c r="BB167" s="188">
        <f>[2]CZ_decarbplus_opex!AS167</f>
        <v>9.1525719999999994E-3</v>
      </c>
      <c r="BC167" s="188">
        <f>[2]CZ_decarbplus_opex!AT167</f>
        <v>7.7226059999999999E-3</v>
      </c>
      <c r="BD167" s="188">
        <f>[2]CZ_decarbplus_opex!AU167</f>
        <v>1.9455324E-2</v>
      </c>
      <c r="BE167" s="188">
        <f>[2]CZ_decarbplus_opex!AV167</f>
        <v>8.2965069999999998E-3</v>
      </c>
      <c r="BF167" s="188">
        <f>[2]CZ_decarbplus_opex!AW167</f>
        <v>1.6568550000000001E-2</v>
      </c>
      <c r="BG167" s="188">
        <f>[2]CZ_decarbplus_opex!AX167</f>
        <v>1.3043165000000001E-2</v>
      </c>
      <c r="BH167" s="188">
        <f>[3]CZ_decarb_opex!I167</f>
        <v>1.4311192638375899E-2</v>
      </c>
      <c r="BI167" s="188">
        <f>[2]CZ_decarbplus_opex!AY167</f>
        <v>1.5739138E-2</v>
      </c>
      <c r="BJ167" s="188">
        <f>[2]CZ_decarbplus_opex!AZ167</f>
        <v>2.0712100000000001E-2</v>
      </c>
      <c r="BK167" s="188">
        <f>[2]CZ_decarbplus_opex!BA167</f>
        <v>6.3544500000000002E-3</v>
      </c>
      <c r="BL167" s="188">
        <f>[2]CZ_decarbplus_opex!BB167</f>
        <v>0</v>
      </c>
      <c r="BM167" s="188">
        <f>[3]CZ_decarb_opex!J167</f>
        <v>1.9217877874260401E-2</v>
      </c>
      <c r="BN167" s="188">
        <f>[3]CZ_decarb_opex!K167</f>
        <v>2.1220448352368498E-2</v>
      </c>
      <c r="BO167" s="188">
        <f>[3]CZ_decarb_opex!L167</f>
        <v>9.3574532956588097E-4</v>
      </c>
      <c r="BP167" s="188">
        <f>[3]CZ_decarb_opex!M167</f>
        <v>4.0371168910868999E-4</v>
      </c>
      <c r="BQ167" s="188">
        <f>[3]CZ_decarb_opex!N167</f>
        <v>-2.5512486208753999E-4</v>
      </c>
      <c r="BR167" s="188">
        <f>[3]CZ_decarb_opex!O167</f>
        <v>2.03087027167414E-2</v>
      </c>
      <c r="BS167" s="188">
        <f>[3]CZ_decarb_opex!P167</f>
        <v>3.9110640227603501E-2</v>
      </c>
      <c r="BT167" s="188">
        <f>[3]CZ_decarb_opex!Q167</f>
        <v>4.09221332653113E-2</v>
      </c>
      <c r="BU167" s="188">
        <f>[3]CZ_decarb_opex!R167</f>
        <v>-3.2882927891388098E-3</v>
      </c>
      <c r="BV167" s="188">
        <f>[3]CZ_decarb_opex!S167</f>
        <v>-3.2882927891387998E-3</v>
      </c>
      <c r="BW167" s="188">
        <f>[3]CZ_decarb_opex!T167</f>
        <v>2.3256485429826401E-2</v>
      </c>
      <c r="BX167" s="188">
        <f>[3]CZ_decarb_opex!U167</f>
        <v>2.0046903056631399E-2</v>
      </c>
      <c r="BY167" s="188">
        <f>[3]CZ_decarb_opex!V167</f>
        <v>5.9474249329968497E-3</v>
      </c>
      <c r="BZ167" s="188">
        <f>[2]CZ_decarbplus_opex!BC167</f>
        <v>7.1576210000000003E-3</v>
      </c>
      <c r="CA167" s="188">
        <f>[2]CZ_decarbplus_opex!BD167</f>
        <v>4.1212219999999999E-3</v>
      </c>
      <c r="CB167" s="188">
        <f>[2]CZ_decarbplus_opex!BE167</f>
        <v>4.8623620000000003E-3</v>
      </c>
      <c r="CC167" s="188">
        <f>[2]CZ_decarbplus_opex!BF167</f>
        <v>1.1264098E-2</v>
      </c>
      <c r="CD167" s="188">
        <f>[2]CZ_decarbplus_opex!BG167</f>
        <v>1.7738519000000001E-2</v>
      </c>
      <c r="CE167" s="188">
        <f>[2]CZ_decarbplus_opex!BH167</f>
        <v>1.9976437999999999E-2</v>
      </c>
      <c r="CF167" s="188">
        <f>[2]CZ_decarbplus_opex!BI167</f>
        <v>2.3290529000000001E-2</v>
      </c>
      <c r="CG167" s="188">
        <f>[2]CZ_decarbplus_opex!BJ167</f>
        <v>2.601351E-3</v>
      </c>
    </row>
    <row r="168" spans="1:85" x14ac:dyDescent="0.25">
      <c r="A168" s="43" t="s">
        <v>371</v>
      </c>
      <c r="B168" s="43">
        <v>2</v>
      </c>
      <c r="C168" s="43" t="s">
        <v>379</v>
      </c>
      <c r="D168" s="187">
        <f>[2]CZ_decarbplus_opex!B168</f>
        <v>-1.0000000000000001E-5</v>
      </c>
      <c r="E168" s="187">
        <f>[2]CZ_decarbplus_opex!C168</f>
        <v>-2.0699999999999998E-5</v>
      </c>
      <c r="F168" s="187">
        <f>[2]CZ_decarbplus_opex!D168</f>
        <v>-3.54E-6</v>
      </c>
      <c r="G168" s="187">
        <f>[2]CZ_decarbplus_opex!E168</f>
        <v>-2.7499999999999999E-6</v>
      </c>
      <c r="H168" s="187">
        <f>[2]CZ_decarbplus_opex!F168</f>
        <v>-3.3000000000000002E-6</v>
      </c>
      <c r="I168" s="187">
        <f>[2]CZ_decarbplus_opex!G168</f>
        <v>-4.6900000000000002E-5</v>
      </c>
      <c r="J168" s="187">
        <f>[2]CZ_decarbplus_opex!H168</f>
        <v>-4.2299999999999998E-5</v>
      </c>
      <c r="K168" s="187">
        <f>[2]CZ_decarbplus_opex!I168</f>
        <v>-7.7500000000000003E-6</v>
      </c>
      <c r="L168" s="187">
        <f>[2]CZ_decarbplus_opex!J168</f>
        <v>-7.1699999999999995E-5</v>
      </c>
      <c r="M168" s="187">
        <f>[2]CZ_decarbplus_opex!K168</f>
        <v>-2.2211E-4</v>
      </c>
      <c r="N168" s="187">
        <f>[2]CZ_decarbplus_opex!L168</f>
        <v>-8.1899999999999999E-5</v>
      </c>
      <c r="O168" s="187">
        <f>[2]CZ_decarbplus_opex!M168</f>
        <v>-2.0082300000000001E-4</v>
      </c>
      <c r="P168" s="187">
        <f>[2]CZ_decarbplus_opex!N168</f>
        <v>-3.1050700000000001E-4</v>
      </c>
      <c r="Q168" s="187">
        <f>[2]CZ_decarbplus_opex!O168</f>
        <v>-3.9355100000000001E-4</v>
      </c>
      <c r="R168" s="187">
        <f>[2]CZ_decarbplus_opex!P168</f>
        <v>-1.1220799999999999E-4</v>
      </c>
      <c r="S168" s="187">
        <f>[2]CZ_decarbplus_opex!Q168</f>
        <v>-5.3235200000000004E-4</v>
      </c>
      <c r="T168" s="187">
        <f>[2]CZ_decarbplus_opex!R168</f>
        <v>-5.58082E-4</v>
      </c>
      <c r="U168" s="187">
        <f>[2]CZ_decarbplus_opex!S168</f>
        <v>-4.7798900000000001E-4</v>
      </c>
      <c r="V168" s="187">
        <f>[2]CZ_decarbplus_opex!T168</f>
        <v>-5.4825399999999997E-4</v>
      </c>
      <c r="W168" s="187">
        <f>[2]CZ_decarbplus_opex!U168</f>
        <v>-1.7002900000000001E-4</v>
      </c>
      <c r="X168" s="187">
        <f>[2]CZ_decarbplus_opex!V168</f>
        <v>-3.0037400000000001E-4</v>
      </c>
      <c r="Y168" s="187">
        <f>[2]CZ_decarbplus_opex!W168</f>
        <v>2.0699999999999998E-5</v>
      </c>
      <c r="Z168" s="187">
        <f>[2]CZ_decarbplus_opex!X168</f>
        <v>2.9296500000000001E-4</v>
      </c>
      <c r="AA168" s="187">
        <f>[2]CZ_decarbplus_opex!Y168</f>
        <v>3.7004399999999998E-4</v>
      </c>
      <c r="AB168" s="188">
        <f>[3]CZ_decarb_opex!B168</f>
        <v>-1.37692962018158E-3</v>
      </c>
      <c r="AC168" s="188">
        <f>[3]CZ_decarb_opex!C168</f>
        <v>-1.50305529414925E-3</v>
      </c>
      <c r="AD168" s="188">
        <f>[3]CZ_decarb_opex!D168</f>
        <v>-1.79799507611615E-3</v>
      </c>
      <c r="AE168" s="188">
        <f>[2]CZ_decarbplus_opex!Z168</f>
        <v>-2.035153E-3</v>
      </c>
      <c r="AF168" s="188">
        <f>[2]CZ_decarbplus_opex!AA168</f>
        <v>-4.9239399999999995E-4</v>
      </c>
      <c r="AG168" s="188">
        <f>[2]CZ_decarbplus_opex!AB168</f>
        <v>-2.2181300000000001E-4</v>
      </c>
      <c r="AH168" s="188">
        <f>[2]CZ_decarbplus_opex!AC168</f>
        <v>-1.2977749999999999E-3</v>
      </c>
      <c r="AI168" s="188">
        <f>[2]CZ_decarbplus_opex!AD168</f>
        <v>-1.8425760000000001E-3</v>
      </c>
      <c r="AJ168" s="188">
        <f>[2]CZ_decarbplus_opex!AE168</f>
        <v>-1.8275959999999999E-3</v>
      </c>
      <c r="AK168" s="188">
        <f>[2]CZ_decarbplus_opex!AF168</f>
        <v>-1.41431E-3</v>
      </c>
      <c r="AL168" s="188">
        <f>[3]CZ_decarb_opex!E168</f>
        <v>-1.3269491119265E-3</v>
      </c>
      <c r="AM168" s="188">
        <f>[3]CZ_decarb_opex!F168</f>
        <v>-1.35022049380928E-3</v>
      </c>
      <c r="AN168" s="188">
        <f>[2]CZ_decarbplus_opex!AG168</f>
        <v>-1.3119830000000001E-3</v>
      </c>
      <c r="AO168" s="188">
        <f>[3]CZ_decarb_opex!G168</f>
        <v>1.38613233379743E-5</v>
      </c>
      <c r="AP168" s="188">
        <f>[3]CZ_decarb_opex!H168</f>
        <v>1.5823821074542599E-5</v>
      </c>
      <c r="AQ168" s="188">
        <f>[2]CZ_decarbplus_opex!AH168</f>
        <v>4.7299999999999996E-6</v>
      </c>
      <c r="AR168" s="188">
        <f>[2]CZ_decarbplus_opex!AI168</f>
        <v>0</v>
      </c>
      <c r="AS168" s="188">
        <f>[2]CZ_decarbplus_opex!AJ168</f>
        <v>8.5900000000000008E-6</v>
      </c>
      <c r="AT168" s="188">
        <f>[2]CZ_decarbplus_opex!AK168</f>
        <v>1.06E-5</v>
      </c>
      <c r="AU168" s="188">
        <f>[2]CZ_decarbplus_opex!AL168</f>
        <v>1.3900000000000001E-5</v>
      </c>
      <c r="AV168" s="188">
        <f>[2]CZ_decarbplus_opex!AM168</f>
        <v>1.6799999999999998E-5</v>
      </c>
      <c r="AW168" s="188">
        <f>[2]CZ_decarbplus_opex!AN168</f>
        <v>1.33E-5</v>
      </c>
      <c r="AX168" s="188">
        <f>[2]CZ_decarbplus_opex!AO168</f>
        <v>0</v>
      </c>
      <c r="AY168" s="188">
        <f>[2]CZ_decarbplus_opex!AP168</f>
        <v>5.6699999999999999E-6</v>
      </c>
      <c r="AZ168" s="188">
        <f>[2]CZ_decarbplus_opex!AQ168</f>
        <v>0</v>
      </c>
      <c r="BA168" s="188">
        <f>[2]CZ_decarbplus_opex!AR168</f>
        <v>7.3200000000000002E-6</v>
      </c>
      <c r="BB168" s="188">
        <f>[2]CZ_decarbplus_opex!AS168</f>
        <v>-1.1472399999999999E-4</v>
      </c>
      <c r="BC168" s="188">
        <f>[2]CZ_decarbplus_opex!AT168</f>
        <v>-3.2050900000000002E-4</v>
      </c>
      <c r="BD168" s="188">
        <f>[2]CZ_decarbplus_opex!AU168</f>
        <v>-1.6699999999999999E-5</v>
      </c>
      <c r="BE168" s="188">
        <f>[2]CZ_decarbplus_opex!AV168</f>
        <v>-7.1600000000000006E-5</v>
      </c>
      <c r="BF168" s="188">
        <f>[2]CZ_decarbplus_opex!AW168</f>
        <v>-4.0819899999999999E-4</v>
      </c>
      <c r="BG168" s="188">
        <f>[2]CZ_decarbplus_opex!AX168</f>
        <v>-1.0143179999999999E-3</v>
      </c>
      <c r="BH168" s="188">
        <f>[3]CZ_decarb_opex!I168</f>
        <v>-1.6007953468615601E-4</v>
      </c>
      <c r="BI168" s="188">
        <f>[2]CZ_decarbplus_opex!AY168</f>
        <v>-7.3361200000000002E-4</v>
      </c>
      <c r="BJ168" s="188">
        <f>[2]CZ_decarbplus_opex!AZ168</f>
        <v>-3.6077899999999998E-4</v>
      </c>
      <c r="BK168" s="188">
        <f>[2]CZ_decarbplus_opex!BA168</f>
        <v>-2.6847699999999998E-4</v>
      </c>
      <c r="BL168" s="188">
        <f>[2]CZ_decarbplus_opex!BB168</f>
        <v>0</v>
      </c>
      <c r="BM168" s="188">
        <f>[3]CZ_decarb_opex!J168</f>
        <v>4.1393068854815897E-3</v>
      </c>
      <c r="BN168" s="188">
        <f>[3]CZ_decarb_opex!K168</f>
        <v>2.2836270809513799E-2</v>
      </c>
      <c r="BO168" s="188">
        <f>[3]CZ_decarb_opex!L168</f>
        <v>1.5624396048960301E-3</v>
      </c>
      <c r="BP168" s="188">
        <f>[3]CZ_decarb_opex!M168</f>
        <v>1.48529342370016E-3</v>
      </c>
      <c r="BQ168" s="188">
        <f>[3]CZ_decarb_opex!N168</f>
        <v>1.56747473013872E-3</v>
      </c>
      <c r="BR168" s="188">
        <f>[3]CZ_decarb_opex!O168</f>
        <v>5.5669920881360304E-4</v>
      </c>
      <c r="BS168" s="188">
        <f>[3]CZ_decarb_opex!P168</f>
        <v>1.0066004416298201E-2</v>
      </c>
      <c r="BT168" s="188">
        <f>[3]CZ_decarb_opex!Q168</f>
        <v>2.8348540627027101E-3</v>
      </c>
      <c r="BU168" s="188">
        <f>[3]CZ_decarb_opex!R168</f>
        <v>1.61013995642182E-3</v>
      </c>
      <c r="BV168" s="188">
        <f>[3]CZ_decarb_opex!S168</f>
        <v>1.61013995642182E-3</v>
      </c>
      <c r="BW168" s="188">
        <f>[3]CZ_decarb_opex!T168</f>
        <v>3.22247696629291E-3</v>
      </c>
      <c r="BX168" s="188">
        <f>[3]CZ_decarb_opex!U168</f>
        <v>2.2521604509950701E-4</v>
      </c>
      <c r="BY168" s="188">
        <f>[3]CZ_decarb_opex!V168</f>
        <v>4.4007112319954897E-4</v>
      </c>
      <c r="BZ168" s="188">
        <f>[2]CZ_decarbplus_opex!BC168</f>
        <v>6.7704439999999996E-3</v>
      </c>
      <c r="CA168" s="188">
        <f>[2]CZ_decarbplus_opex!BD168</f>
        <v>2.0967920000000001E-3</v>
      </c>
      <c r="CB168" s="188">
        <f>[2]CZ_decarbplus_opex!BE168</f>
        <v>2.4892069999999998E-3</v>
      </c>
      <c r="CC168" s="188">
        <f>[2]CZ_decarbplus_opex!BF168</f>
        <v>5.4513230000000001E-3</v>
      </c>
      <c r="CD168" s="188">
        <f>[2]CZ_decarbplus_opex!BG168</f>
        <v>8.7165809999999993E-3</v>
      </c>
      <c r="CE168" s="188">
        <f>[2]CZ_decarbplus_opex!BH168</f>
        <v>3.2298370000000002E-3</v>
      </c>
      <c r="CF168" s="188">
        <f>[2]CZ_decarbplus_opex!BI168</f>
        <v>8.0546700000000003E-4</v>
      </c>
      <c r="CG168" s="188">
        <f>[2]CZ_decarbplus_opex!BJ168</f>
        <v>1.8752630000000001E-3</v>
      </c>
    </row>
    <row r="169" spans="1:85" x14ac:dyDescent="0.25">
      <c r="A169" s="38" t="s">
        <v>372</v>
      </c>
      <c r="B169" s="38">
        <v>3</v>
      </c>
      <c r="C169" s="38" t="s">
        <v>379</v>
      </c>
      <c r="D169" s="187">
        <f>[2]CZ_decarbplus_opex!B169</f>
        <v>6.5532020000000002E-3</v>
      </c>
      <c r="E169" s="187">
        <f>[2]CZ_decarbplus_opex!C169</f>
        <v>1.1406179000000001E-2</v>
      </c>
      <c r="F169" s="187">
        <f>[2]CZ_decarbplus_opex!D169</f>
        <v>3.7727540000000001E-3</v>
      </c>
      <c r="G169" s="187">
        <f>[2]CZ_decarbplus_opex!E169</f>
        <v>1.4311269999999999E-3</v>
      </c>
      <c r="H169" s="187">
        <f>[2]CZ_decarbplus_opex!F169</f>
        <v>5.3929181999999999E-2</v>
      </c>
      <c r="I169" s="187">
        <f>[2]CZ_decarbplus_opex!G169</f>
        <v>6.5435440000000001E-3</v>
      </c>
      <c r="J169" s="187">
        <f>[2]CZ_decarbplus_opex!H169</f>
        <v>8.6924910000000001E-3</v>
      </c>
      <c r="K169" s="187">
        <f>[2]CZ_decarbplus_opex!I169</f>
        <v>2.1498171999999999E-2</v>
      </c>
      <c r="L169" s="187">
        <f>[2]CZ_decarbplus_opex!J169</f>
        <v>6.4801169999999996E-3</v>
      </c>
      <c r="M169" s="187">
        <f>[2]CZ_decarbplus_opex!K169</f>
        <v>8.4600379999999996E-3</v>
      </c>
      <c r="N169" s="187">
        <f>[2]CZ_decarbplus_opex!L169</f>
        <v>4.3551800000000002E-3</v>
      </c>
      <c r="O169" s="187">
        <f>[2]CZ_decarbplus_opex!M169</f>
        <v>3.1409799999999998E-3</v>
      </c>
      <c r="P169" s="187">
        <f>[2]CZ_decarbplus_opex!N169</f>
        <v>1.1379752E-2</v>
      </c>
      <c r="Q169" s="187">
        <f>[2]CZ_decarbplus_opex!O169</f>
        <v>1.2001839E-2</v>
      </c>
      <c r="R169" s="187">
        <f>[2]CZ_decarbplus_opex!P169</f>
        <v>5.7799210000000004E-3</v>
      </c>
      <c r="S169" s="187">
        <f>[2]CZ_decarbplus_opex!Q169</f>
        <v>5.416372E-3</v>
      </c>
      <c r="T169" s="187">
        <f>[2]CZ_decarbplus_opex!R169</f>
        <v>6.2026850000000003E-3</v>
      </c>
      <c r="U169" s="187">
        <f>[2]CZ_decarbplus_opex!S169</f>
        <v>9.5347120000000007E-3</v>
      </c>
      <c r="V169" s="187">
        <f>[2]CZ_decarbplus_opex!T169</f>
        <v>1.3258851E-2</v>
      </c>
      <c r="W169" s="187">
        <f>[2]CZ_decarbplus_opex!U169</f>
        <v>7.5331790000000001E-3</v>
      </c>
      <c r="X169" s="187">
        <f>[2]CZ_decarbplus_opex!V169</f>
        <v>1.214459E-2</v>
      </c>
      <c r="Y169" s="187">
        <f>[2]CZ_decarbplus_opex!W169</f>
        <v>2.60914E-4</v>
      </c>
      <c r="Z169" s="187">
        <f>[2]CZ_decarbplus_opex!X169</f>
        <v>1.2977349999999999E-3</v>
      </c>
      <c r="AA169" s="187">
        <f>[2]CZ_decarbplus_opex!Y169</f>
        <v>2.1418689999999998E-3</v>
      </c>
      <c r="AB169" s="188">
        <f>[3]CZ_decarb_opex!B169</f>
        <v>2.0894772559803799E-3</v>
      </c>
      <c r="AC169" s="188">
        <f>[3]CZ_decarb_opex!C169</f>
        <v>8.8951152203076492E-3</v>
      </c>
      <c r="AD169" s="188">
        <f>[3]CZ_decarb_opex!D169</f>
        <v>1.3590283572723801E-2</v>
      </c>
      <c r="AE169" s="188">
        <f>[2]CZ_decarbplus_opex!Z169</f>
        <v>1.4454549000000001E-2</v>
      </c>
      <c r="AF169" s="188">
        <f>[2]CZ_decarbplus_opex!AA169</f>
        <v>5.4511079999999996E-3</v>
      </c>
      <c r="AG169" s="188">
        <f>[2]CZ_decarbplus_opex!AB169</f>
        <v>8.8320989999999995E-3</v>
      </c>
      <c r="AH169" s="188">
        <f>[2]CZ_decarbplus_opex!AC169</f>
        <v>6.5227469999999997E-3</v>
      </c>
      <c r="AI169" s="188">
        <f>[2]CZ_decarbplus_opex!AD169</f>
        <v>1.3083897000000001E-2</v>
      </c>
      <c r="AJ169" s="188">
        <f>[2]CZ_decarbplus_opex!AE169</f>
        <v>1.4390134000000001E-2</v>
      </c>
      <c r="AK169" s="188">
        <f>[2]CZ_decarbplus_opex!AF169</f>
        <v>1.0452293E-2</v>
      </c>
      <c r="AL169" s="188">
        <f>[3]CZ_decarb_opex!E169</f>
        <v>1.05295467349773E-2</v>
      </c>
      <c r="AM169" s="188">
        <f>[3]CZ_decarb_opex!F169</f>
        <v>1.0540024019467501E-2</v>
      </c>
      <c r="AN169" s="188">
        <f>[2]CZ_decarbplus_opex!AG169</f>
        <v>1.0981424E-2</v>
      </c>
      <c r="AO169" s="188">
        <f>[3]CZ_decarb_opex!G169</f>
        <v>3.4890727097774501E-3</v>
      </c>
      <c r="AP169" s="188">
        <f>[3]CZ_decarb_opex!H169</f>
        <v>4.5823446607328299E-3</v>
      </c>
      <c r="AQ169" s="188">
        <f>[2]CZ_decarbplus_opex!AH169</f>
        <v>2.6920030000000001E-3</v>
      </c>
      <c r="AR169" s="188">
        <f>[2]CZ_decarbplus_opex!AI169</f>
        <v>0</v>
      </c>
      <c r="AS169" s="188">
        <f>[2]CZ_decarbplus_opex!AJ169</f>
        <v>3.9808680000000003E-3</v>
      </c>
      <c r="AT169" s="188">
        <f>[2]CZ_decarbplus_opex!AK169</f>
        <v>4.4061789999999997E-3</v>
      </c>
      <c r="AU169" s="188">
        <f>[2]CZ_decarbplus_opex!AL169</f>
        <v>4.5111739999999997E-3</v>
      </c>
      <c r="AV169" s="188">
        <f>[2]CZ_decarbplus_opex!AM169</f>
        <v>4.5659089999999999E-3</v>
      </c>
      <c r="AW169" s="188">
        <f>[2]CZ_decarbplus_opex!AN169</f>
        <v>4.5246119999999999E-3</v>
      </c>
      <c r="AX169" s="188">
        <f>[2]CZ_decarbplus_opex!AO169</f>
        <v>0</v>
      </c>
      <c r="AY169" s="188">
        <f>[2]CZ_decarbplus_opex!AP169</f>
        <v>1.0510669999999999E-3</v>
      </c>
      <c r="AZ169" s="188">
        <f>[2]CZ_decarbplus_opex!AQ169</f>
        <v>0</v>
      </c>
      <c r="BA169" s="188">
        <f>[2]CZ_decarbplus_opex!AR169</f>
        <v>5.4425339999999997E-3</v>
      </c>
      <c r="BB169" s="188">
        <f>[2]CZ_decarbplus_opex!AS169</f>
        <v>8.6842489999999998E-3</v>
      </c>
      <c r="BC169" s="188">
        <f>[2]CZ_decarbplus_opex!AT169</f>
        <v>8.1242339999999993E-3</v>
      </c>
      <c r="BD169" s="188">
        <f>[2]CZ_decarbplus_opex!AU169</f>
        <v>1.4842049999999999E-3</v>
      </c>
      <c r="BE169" s="188">
        <f>[2]CZ_decarbplus_opex!AV169</f>
        <v>9.3267220000000008E-3</v>
      </c>
      <c r="BF169" s="188">
        <f>[2]CZ_decarbplus_opex!AW169</f>
        <v>5.52317E-3</v>
      </c>
      <c r="BG169" s="188">
        <f>[2]CZ_decarbplus_opex!AX169</f>
        <v>1.9586411000000001E-2</v>
      </c>
      <c r="BH169" s="188">
        <f>[3]CZ_decarb_opex!I169</f>
        <v>6.2817762371068699E-3</v>
      </c>
      <c r="BI169" s="188">
        <f>[2]CZ_decarbplus_opex!AY169</f>
        <v>7.2820360000000004E-3</v>
      </c>
      <c r="BJ169" s="188">
        <f>[2]CZ_decarbplus_opex!AZ169</f>
        <v>9.9469840000000007E-3</v>
      </c>
      <c r="BK169" s="188">
        <f>[2]CZ_decarbplus_opex!BA169</f>
        <v>3.4587649999999999E-3</v>
      </c>
      <c r="BL169" s="188">
        <f>[2]CZ_decarbplus_opex!BB169</f>
        <v>0</v>
      </c>
      <c r="BM169" s="188">
        <f>[3]CZ_decarb_opex!J169</f>
        <v>1.5354003933229E-3</v>
      </c>
      <c r="BN169" s="188">
        <f>[3]CZ_decarb_opex!K169</f>
        <v>9.0300792336197699E-4</v>
      </c>
      <c r="BO169" s="188">
        <f>[3]CZ_decarb_opex!L169</f>
        <v>1.40423598384108E-3</v>
      </c>
      <c r="BP169" s="188">
        <f>[3]CZ_decarb_opex!M169</f>
        <v>9.1941358960136003E-4</v>
      </c>
      <c r="BQ169" s="188">
        <f>[3]CZ_decarb_opex!N169</f>
        <v>6.2925704329554102E-4</v>
      </c>
      <c r="BR169" s="188">
        <f>[3]CZ_decarb_opex!O169</f>
        <v>1.49948297489806E-3</v>
      </c>
      <c r="BS169" s="188">
        <f>[3]CZ_decarb_opex!P169</f>
        <v>5.2574219357217798E-4</v>
      </c>
      <c r="BT169" s="188">
        <f>[3]CZ_decarb_opex!Q169</f>
        <v>3.5188500358481301E-5</v>
      </c>
      <c r="BU169" s="188">
        <f>[3]CZ_decarb_opex!R169</f>
        <v>3.2858403239308901E-4</v>
      </c>
      <c r="BV169" s="188">
        <f>[3]CZ_decarb_opex!S169</f>
        <v>3.2858403239308998E-4</v>
      </c>
      <c r="BW169" s="188">
        <f>[3]CZ_decarb_opex!T169</f>
        <v>1.4154968383210699E-3</v>
      </c>
      <c r="BX169" s="188">
        <f>[3]CZ_decarb_opex!U169</f>
        <v>7.0163303107703296E-5</v>
      </c>
      <c r="BY169" s="188">
        <f>[3]CZ_decarb_opex!V169</f>
        <v>4.6726272755630803E-6</v>
      </c>
      <c r="BZ169" s="188">
        <f>[2]CZ_decarbplus_opex!BC169</f>
        <v>9.0061000000000004E-4</v>
      </c>
      <c r="CA169" s="188">
        <f>[2]CZ_decarbplus_opex!BD169</f>
        <v>7.1392000000000005E-4</v>
      </c>
      <c r="CB169" s="188">
        <f>[2]CZ_decarbplus_opex!BE169</f>
        <v>8.53804E-4</v>
      </c>
      <c r="CC169" s="188">
        <f>[2]CZ_decarbplus_opex!BF169</f>
        <v>2.9946299999999998E-4</v>
      </c>
      <c r="CD169" s="188">
        <f>[2]CZ_decarbplus_opex!BG169</f>
        <v>1.155131E-3</v>
      </c>
      <c r="CE169" s="188">
        <f>[2]CZ_decarbplus_opex!BH169</f>
        <v>5.6532980000000002E-3</v>
      </c>
      <c r="CF169" s="188">
        <f>[2]CZ_decarbplus_opex!BI169</f>
        <v>3.757299E-3</v>
      </c>
      <c r="CG169" s="188">
        <f>[2]CZ_decarbplus_opex!BJ169</f>
        <v>1.0304667E-2</v>
      </c>
    </row>
    <row r="170" spans="1:85" x14ac:dyDescent="0.25">
      <c r="A170" s="38" t="s">
        <v>373</v>
      </c>
      <c r="B170" s="38">
        <v>4</v>
      </c>
      <c r="C170" s="38" t="s">
        <v>379</v>
      </c>
      <c r="D170" s="187">
        <f>[2]CZ_decarbplus_opex!B170</f>
        <v>5.1618493000000001E-2</v>
      </c>
      <c r="E170" s="187">
        <f>[2]CZ_decarbplus_opex!C170</f>
        <v>8.9844591000000001E-2</v>
      </c>
      <c r="F170" s="187">
        <f>[2]CZ_decarbplus_opex!D170</f>
        <v>2.9717358999999999E-2</v>
      </c>
      <c r="G170" s="187">
        <f>[2]CZ_decarbplus_opex!E170</f>
        <v>1.1272752E-2</v>
      </c>
      <c r="H170" s="187">
        <f>[2]CZ_decarbplus_opex!F170</f>
        <v>0.42479125899999998</v>
      </c>
      <c r="I170" s="187">
        <f>[2]CZ_decarbplus_opex!G170</f>
        <v>5.1542417E-2</v>
      </c>
      <c r="J170" s="187">
        <f>[2]CZ_decarbplus_opex!H170</f>
        <v>6.846932E-2</v>
      </c>
      <c r="K170" s="187">
        <f>[2]CZ_decarbplus_opex!I170</f>
        <v>0.169337553</v>
      </c>
      <c r="L170" s="187">
        <f>[2]CZ_decarbplus_opex!J170</f>
        <v>5.1042812E-2</v>
      </c>
      <c r="M170" s="187">
        <f>[2]CZ_decarbplus_opex!K170</f>
        <v>6.6638321E-2</v>
      </c>
      <c r="N170" s="187">
        <f>[2]CZ_decarbplus_opex!L170</f>
        <v>3.4305031999999999E-2</v>
      </c>
      <c r="O170" s="187">
        <f>[2]CZ_decarbplus_opex!M170</f>
        <v>3.2155441999999999E-2</v>
      </c>
      <c r="P170" s="187">
        <f>[2]CZ_decarbplus_opex!N170</f>
        <v>7.7338494999999993E-2</v>
      </c>
      <c r="Q170" s="187">
        <f>[2]CZ_decarbplus_opex!O170</f>
        <v>6.3284425000000005E-2</v>
      </c>
      <c r="R170" s="187">
        <f>[2]CZ_decarbplus_opex!P170</f>
        <v>3.7369977999999998E-2</v>
      </c>
      <c r="S170" s="187">
        <f>[2]CZ_decarbplus_opex!Q170</f>
        <v>5.9899886999999999E-2</v>
      </c>
      <c r="T170" s="187">
        <f>[2]CZ_decarbplus_opex!R170</f>
        <v>6.8595762000000005E-2</v>
      </c>
      <c r="U170" s="187">
        <f>[2]CZ_decarbplus_opex!S170</f>
        <v>7.9269931000000002E-2</v>
      </c>
      <c r="V170" s="187">
        <f>[2]CZ_decarbplus_opex!T170</f>
        <v>0.110231774</v>
      </c>
      <c r="W170" s="187">
        <f>[2]CZ_decarbplus_opex!U170</f>
        <v>6.2629540999999997E-2</v>
      </c>
      <c r="X170" s="187">
        <f>[2]CZ_decarbplus_opex!V170</f>
        <v>0.104142605</v>
      </c>
      <c r="Y170" s="187">
        <f>[2]CZ_decarbplus_opex!W170</f>
        <v>2.533432E-3</v>
      </c>
      <c r="Z170" s="187">
        <f>[2]CZ_decarbplus_opex!X170</f>
        <v>1.2600787E-2</v>
      </c>
      <c r="AA170" s="187">
        <f>[2]CZ_decarbplus_opex!Y170</f>
        <v>2.0797184999999999E-2</v>
      </c>
      <c r="AB170" s="188">
        <f>[3]CZ_decarb_opex!B170</f>
        <v>1.9118201818306101E-2</v>
      </c>
      <c r="AC170" s="188">
        <f>[3]CZ_decarb_opex!C170</f>
        <v>8.1388111543926694E-2</v>
      </c>
      <c r="AD170" s="188">
        <f>[3]CZ_decarb_opex!D170</f>
        <v>0.131959371148891</v>
      </c>
      <c r="AE170" s="188">
        <f>[2]CZ_decarbplus_opex!Z170</f>
        <v>0.14035124800000001</v>
      </c>
      <c r="AF170" s="188">
        <f>[2]CZ_decarbplus_opex!AA170</f>
        <v>5.2929341999999997E-2</v>
      </c>
      <c r="AG170" s="188">
        <f>[2]CZ_decarbplus_opex!AB170</f>
        <v>8.0811530000000006E-2</v>
      </c>
      <c r="AH170" s="188">
        <f>[2]CZ_decarbplus_opex!AC170</f>
        <v>6.3007526999999994E-2</v>
      </c>
      <c r="AI170" s="188">
        <f>[2]CZ_decarbplus_opex!AD170</f>
        <v>0.12638601799999999</v>
      </c>
      <c r="AJ170" s="188">
        <f>[2]CZ_decarbplus_opex!AE170</f>
        <v>0.139003827</v>
      </c>
      <c r="AK170" s="188">
        <f>[2]CZ_decarbplus_opex!AF170</f>
        <v>0.100965613</v>
      </c>
      <c r="AL170" s="188">
        <f>[3]CZ_decarb_opex!E170</f>
        <v>0.101711858375403</v>
      </c>
      <c r="AM170" s="188">
        <f>[3]CZ_decarb_opex!F170</f>
        <v>0.101813065398154</v>
      </c>
      <c r="AN170" s="188">
        <f>[2]CZ_decarbplus_opex!AG170</f>
        <v>0.10607684100000001</v>
      </c>
      <c r="AO170" s="188">
        <f>[3]CZ_decarb_opex!G170</f>
        <v>4.1017073062728802E-2</v>
      </c>
      <c r="AP170" s="188">
        <f>[3]CZ_decarb_opex!H170</f>
        <v>5.3869432190903302E-2</v>
      </c>
      <c r="AQ170" s="188">
        <f>[2]CZ_decarbplus_opex!AH170</f>
        <v>3.1646832E-2</v>
      </c>
      <c r="AR170" s="188">
        <f>[2]CZ_decarbplus_opex!AI170</f>
        <v>0</v>
      </c>
      <c r="AS170" s="188">
        <f>[2]CZ_decarbplus_opex!AJ170</f>
        <v>4.6798553E-2</v>
      </c>
      <c r="AT170" s="188">
        <f>[2]CZ_decarbplus_opex!AK170</f>
        <v>5.1798456999999999E-2</v>
      </c>
      <c r="AU170" s="188">
        <f>[2]CZ_decarbplus_opex!AL170</f>
        <v>5.3032758999999999E-2</v>
      </c>
      <c r="AV170" s="188">
        <f>[2]CZ_decarbplus_opex!AM170</f>
        <v>5.3676214999999999E-2</v>
      </c>
      <c r="AW170" s="188">
        <f>[2]CZ_decarbplus_opex!AN170</f>
        <v>5.3190732999999997E-2</v>
      </c>
      <c r="AX170" s="188">
        <f>[2]CZ_decarbplus_opex!AO170</f>
        <v>0</v>
      </c>
      <c r="AY170" s="188">
        <f>[2]CZ_decarbplus_opex!AP170</f>
        <v>1.2356205E-2</v>
      </c>
      <c r="AZ170" s="188">
        <f>[2]CZ_decarbplus_opex!AQ170</f>
        <v>0</v>
      </c>
      <c r="BA170" s="188">
        <f>[2]CZ_decarbplus_opex!AR170</f>
        <v>6.3981706999999999E-2</v>
      </c>
      <c r="BB170" s="188">
        <f>[2]CZ_decarbplus_opex!AS170</f>
        <v>9.4310986999999999E-2</v>
      </c>
      <c r="BC170" s="188">
        <f>[2]CZ_decarbplus_opex!AT170</f>
        <v>8.7404361E-2</v>
      </c>
      <c r="BD170" s="188">
        <f>[2]CZ_decarbplus_opex!AU170</f>
        <v>1.4693895E-2</v>
      </c>
      <c r="BE170" s="188">
        <f>[2]CZ_decarbplus_opex!AV170</f>
        <v>7.6008618E-2</v>
      </c>
      <c r="BF170" s="188">
        <f>[2]CZ_decarbplus_opex!AW170</f>
        <v>4.3643003E-2</v>
      </c>
      <c r="BG170" s="188">
        <f>[2]CZ_decarbplus_opex!AX170</f>
        <v>0.15510922299999999</v>
      </c>
      <c r="BH170" s="188">
        <f>[3]CZ_decarb_opex!I170</f>
        <v>5.9386267088479397E-2</v>
      </c>
      <c r="BI170" s="188">
        <f>[2]CZ_decarbplus_opex!AY170</f>
        <v>8.3892715000000007E-2</v>
      </c>
      <c r="BJ170" s="188">
        <f>[2]CZ_decarbplus_opex!AZ170</f>
        <v>8.6107845000000002E-2</v>
      </c>
      <c r="BK170" s="188">
        <f>[2]CZ_decarbplus_opex!BA170</f>
        <v>1.6569912999999999E-2</v>
      </c>
      <c r="BL170" s="188">
        <f>[2]CZ_decarbplus_opex!BB170</f>
        <v>0</v>
      </c>
      <c r="BM170" s="188">
        <f>[3]CZ_decarb_opex!J170</f>
        <v>2.3872619079459801E-2</v>
      </c>
      <c r="BN170" s="188">
        <f>[3]CZ_decarb_opex!K170</f>
        <v>1.4040092912497699E-2</v>
      </c>
      <c r="BO170" s="188">
        <f>[3]CZ_decarb_opex!L170</f>
        <v>2.1833256579643402E-2</v>
      </c>
      <c r="BP170" s="188">
        <f>[3]CZ_decarb_opex!M170</f>
        <v>1.4295170495225299E-2</v>
      </c>
      <c r="BQ170" s="188">
        <f>[3]CZ_decarb_opex!N170</f>
        <v>9.78377611665362E-3</v>
      </c>
      <c r="BR170" s="188">
        <f>[3]CZ_decarb_opex!O170</f>
        <v>2.5602987428067998E-2</v>
      </c>
      <c r="BS170" s="188">
        <f>[3]CZ_decarb_opex!P170</f>
        <v>8.1743128214047008E-3</v>
      </c>
      <c r="BT170" s="188">
        <f>[3]CZ_decarb_opex!Q170</f>
        <v>1.4602311602215101E-3</v>
      </c>
      <c r="BU170" s="188">
        <f>[3]CZ_decarb_opex!R170</f>
        <v>5.1088702823233398E-3</v>
      </c>
      <c r="BV170" s="188">
        <f>[3]CZ_decarb_opex!S170</f>
        <v>5.1088702823233398E-3</v>
      </c>
      <c r="BW170" s="188">
        <f>[3]CZ_decarb_opex!T170</f>
        <v>1.2981058556713301E-2</v>
      </c>
      <c r="BX170" s="188">
        <f>[3]CZ_decarb_opex!U170</f>
        <v>1.0265351011156201E-3</v>
      </c>
      <c r="BY170" s="188">
        <f>[3]CZ_decarb_opex!V170</f>
        <v>1.9390186789404701E-4</v>
      </c>
      <c r="BZ170" s="188">
        <f>[2]CZ_decarbplus_opex!BC170</f>
        <v>1.4002809999999999E-2</v>
      </c>
      <c r="CA170" s="188">
        <f>[2]CZ_decarbplus_opex!BD170</f>
        <v>1.110013E-2</v>
      </c>
      <c r="CB170" s="188">
        <f>[2]CZ_decarbplus_opex!BE170</f>
        <v>1.3275060999999999E-2</v>
      </c>
      <c r="CC170" s="188">
        <f>[2]CZ_decarbplus_opex!BF170</f>
        <v>4.656093E-3</v>
      </c>
      <c r="CD170" s="188">
        <f>[2]CZ_decarbplus_opex!BG170</f>
        <v>1.7960133E-2</v>
      </c>
      <c r="CE170" s="188">
        <f>[2]CZ_decarbplus_opex!BH170</f>
        <v>8.0504987E-2</v>
      </c>
      <c r="CF170" s="188">
        <f>[2]CZ_decarbplus_opex!BI170</f>
        <v>6.7552206000000004E-2</v>
      </c>
      <c r="CG170" s="188">
        <f>[2]CZ_decarbplus_opex!BJ170</f>
        <v>0.18526683999999999</v>
      </c>
    </row>
    <row r="171" spans="1:85" x14ac:dyDescent="0.25">
      <c r="A171" s="38" t="s">
        <v>374</v>
      </c>
      <c r="B171" s="38">
        <v>5</v>
      </c>
      <c r="C171" s="38" t="s">
        <v>379</v>
      </c>
      <c r="D171" s="187">
        <f>[2]CZ_decarbplus_opex!B171</f>
        <v>4.1662375000000001E-2</v>
      </c>
      <c r="E171" s="187">
        <f>[2]CZ_decarbplus_opex!C171</f>
        <v>7.2515466000000001E-2</v>
      </c>
      <c r="F171" s="187">
        <f>[2]CZ_decarbplus_opex!D171</f>
        <v>2.3985507999999999E-2</v>
      </c>
      <c r="G171" s="187">
        <f>[2]CZ_decarbplus_opex!E171</f>
        <v>9.0984759999999994E-3</v>
      </c>
      <c r="H171" s="187">
        <f>[2]CZ_decarbplus_opex!F171</f>
        <v>0.342857992</v>
      </c>
      <c r="I171" s="187">
        <f>[2]CZ_decarbplus_opex!G171</f>
        <v>4.1600972E-2</v>
      </c>
      <c r="J171" s="187">
        <f>[2]CZ_decarbplus_opex!H171</f>
        <v>5.5263034000000003E-2</v>
      </c>
      <c r="K171" s="187">
        <f>[2]CZ_decarbplus_opex!I171</f>
        <v>0.13667591300000001</v>
      </c>
      <c r="L171" s="187">
        <f>[2]CZ_decarbplus_opex!J171</f>
        <v>4.1197731000000001E-2</v>
      </c>
      <c r="M171" s="187">
        <f>[2]CZ_decarbplus_opex!K171</f>
        <v>5.3785196E-2</v>
      </c>
      <c r="N171" s="187">
        <f>[2]CZ_decarbplus_opex!L171</f>
        <v>2.7688316000000001E-2</v>
      </c>
      <c r="O171" s="187">
        <f>[2]CZ_decarbplus_opex!M171</f>
        <v>2.6155127E-2</v>
      </c>
      <c r="P171" s="187">
        <f>[2]CZ_decarbplus_opex!N171</f>
        <v>6.2086834E-2</v>
      </c>
      <c r="Q171" s="187">
        <f>[2]CZ_decarbplus_opex!O171</f>
        <v>5.0227645000000001E-2</v>
      </c>
      <c r="R171" s="187">
        <f>[2]CZ_decarbplus_opex!P171</f>
        <v>2.9940085000000002E-2</v>
      </c>
      <c r="S171" s="187">
        <f>[2]CZ_decarbplus_opex!Q171</f>
        <v>4.8815554999999997E-2</v>
      </c>
      <c r="T171" s="187">
        <f>[2]CZ_decarbplus_opex!R171</f>
        <v>5.5902278999999999E-2</v>
      </c>
      <c r="U171" s="187">
        <f>[2]CZ_decarbplus_opex!S171</f>
        <v>6.4093831000000004E-2</v>
      </c>
      <c r="V171" s="187">
        <f>[2]CZ_decarbplus_opex!T171</f>
        <v>8.9128079999999998E-2</v>
      </c>
      <c r="W171" s="187">
        <f>[2]CZ_decarbplus_opex!U171</f>
        <v>5.0639217E-2</v>
      </c>
      <c r="X171" s="187">
        <f>[2]CZ_decarbplus_opex!V171</f>
        <v>8.4286530999999998E-2</v>
      </c>
      <c r="Y171" s="187">
        <f>[2]CZ_decarbplus_opex!W171</f>
        <v>2.0578020000000001E-3</v>
      </c>
      <c r="Z171" s="187">
        <f>[2]CZ_decarbplus_opex!X171</f>
        <v>1.0235101E-2</v>
      </c>
      <c r="AA171" s="187">
        <f>[2]CZ_decarbplus_opex!Y171</f>
        <v>1.6892697000000002E-2</v>
      </c>
      <c r="AB171" s="188">
        <f>[3]CZ_decarb_opex!B171</f>
        <v>1.55030910219837E-2</v>
      </c>
      <c r="AC171" s="188">
        <f>[3]CZ_decarb_opex!C171</f>
        <v>6.5998220615631403E-2</v>
      </c>
      <c r="AD171" s="188">
        <f>[3]CZ_decarb_opex!D171</f>
        <v>0.10718516514040501</v>
      </c>
      <c r="AE171" s="188">
        <f>[2]CZ_decarbplus_opex!Z171</f>
        <v>0.114001541</v>
      </c>
      <c r="AF171" s="188">
        <f>[2]CZ_decarbplus_opex!AA171</f>
        <v>4.2992325999999997E-2</v>
      </c>
      <c r="AG171" s="188">
        <f>[2]CZ_decarbplus_opex!AB171</f>
        <v>6.5530667000000001E-2</v>
      </c>
      <c r="AH171" s="188">
        <f>[2]CZ_decarbplus_opex!AC171</f>
        <v>5.1171196000000002E-2</v>
      </c>
      <c r="AI171" s="188">
        <f>[2]CZ_decarbplus_opex!AD171</f>
        <v>0.10264366699999999</v>
      </c>
      <c r="AJ171" s="188">
        <f>[2]CZ_decarbplus_opex!AE171</f>
        <v>0.112891147</v>
      </c>
      <c r="AK171" s="188">
        <f>[2]CZ_decarbplus_opex!AF171</f>
        <v>8.1998634000000001E-2</v>
      </c>
      <c r="AL171" s="188">
        <f>[3]CZ_decarb_opex!E171</f>
        <v>8.26046924153198E-2</v>
      </c>
      <c r="AM171" s="188">
        <f>[3]CZ_decarb_opex!F171</f>
        <v>8.2686887108493201E-2</v>
      </c>
      <c r="AN171" s="188">
        <f>[2]CZ_decarbplus_opex!AG171</f>
        <v>8.6149688000000002E-2</v>
      </c>
      <c r="AO171" s="188">
        <f>[3]CZ_decarb_opex!G171</f>
        <v>3.3474090041934301E-2</v>
      </c>
      <c r="AP171" s="188">
        <f>[3]CZ_decarb_opex!H171</f>
        <v>4.39629180976547E-2</v>
      </c>
      <c r="AQ171" s="188">
        <f>[2]CZ_decarbplus_opex!AH171</f>
        <v>2.5827023000000001E-2</v>
      </c>
      <c r="AR171" s="188">
        <f>[2]CZ_decarbplus_opex!AI171</f>
        <v>0</v>
      </c>
      <c r="AS171" s="188">
        <f>[2]CZ_decarbplus_opex!AJ171</f>
        <v>3.8192363999999999E-2</v>
      </c>
      <c r="AT171" s="188">
        <f>[2]CZ_decarbplus_opex!AK171</f>
        <v>4.2272791999999997E-2</v>
      </c>
      <c r="AU171" s="188">
        <f>[2]CZ_decarbplus_opex!AL171</f>
        <v>4.3280107999999998E-2</v>
      </c>
      <c r="AV171" s="188">
        <f>[2]CZ_decarbplus_opex!AM171</f>
        <v>4.3805232999999999E-2</v>
      </c>
      <c r="AW171" s="188">
        <f>[2]CZ_decarbplus_opex!AN171</f>
        <v>4.3409031000000001E-2</v>
      </c>
      <c r="AX171" s="188">
        <f>[2]CZ_decarbplus_opex!AO171</f>
        <v>0</v>
      </c>
      <c r="AY171" s="188">
        <f>[2]CZ_decarbplus_opex!AP171</f>
        <v>1.0083916E-2</v>
      </c>
      <c r="AZ171" s="188">
        <f>[2]CZ_decarbplus_opex!AQ171</f>
        <v>0</v>
      </c>
      <c r="BA171" s="188">
        <f>[2]CZ_decarbplus_opex!AR171</f>
        <v>5.2215559000000002E-2</v>
      </c>
      <c r="BB171" s="188">
        <f>[2]CZ_decarbplus_opex!AS171</f>
        <v>7.6825457E-2</v>
      </c>
      <c r="BC171" s="188">
        <f>[2]CZ_decarbplus_opex!AT171</f>
        <v>7.1183056999999994E-2</v>
      </c>
      <c r="BD171" s="188">
        <f>[2]CZ_decarbplus_opex!AU171</f>
        <v>1.1941482999999999E-2</v>
      </c>
      <c r="BE171" s="188">
        <f>[2]CZ_decarbplus_opex!AV171</f>
        <v>6.1417384999999998E-2</v>
      </c>
      <c r="BF171" s="188">
        <f>[2]CZ_decarbplus_opex!AW171</f>
        <v>3.5228942999999999E-2</v>
      </c>
      <c r="BG171" s="188">
        <f>[2]CZ_decarbplus_opex!AX171</f>
        <v>0.12521452499999999</v>
      </c>
      <c r="BH171" s="188">
        <f>[3]CZ_decarb_opex!I171</f>
        <v>4.8201502616191702E-2</v>
      </c>
      <c r="BI171" s="188">
        <f>[2]CZ_decarbplus_opex!AY171</f>
        <v>6.8433706999999996E-2</v>
      </c>
      <c r="BJ171" s="188">
        <f>[2]CZ_decarbplus_opex!AZ171</f>
        <v>6.9710573999999997E-2</v>
      </c>
      <c r="BK171" s="188">
        <f>[2]CZ_decarbplus_opex!BA171</f>
        <v>1.308342E-2</v>
      </c>
      <c r="BL171" s="188">
        <f>[2]CZ_decarbplus_opex!BB171</f>
        <v>0</v>
      </c>
      <c r="BM171" s="188">
        <f>[3]CZ_decarb_opex!J171</f>
        <v>5.2417823993075499E-2</v>
      </c>
      <c r="BN171" s="188">
        <f>[3]CZ_decarb_opex!K171</f>
        <v>3.08282520943058E-2</v>
      </c>
      <c r="BO171" s="188">
        <f>[3]CZ_decarb_opex!L171</f>
        <v>4.7939934733401399E-2</v>
      </c>
      <c r="BP171" s="188">
        <f>[3]CZ_decarb_opex!M171</f>
        <v>3.13883335748023E-2</v>
      </c>
      <c r="BQ171" s="188">
        <f>[3]CZ_decarb_opex!N171</f>
        <v>2.1482529954626801E-2</v>
      </c>
      <c r="BR171" s="188">
        <f>[3]CZ_decarb_opex!O171</f>
        <v>3.6669761821682301E-2</v>
      </c>
      <c r="BS171" s="188">
        <f>[3]CZ_decarb_opex!P171</f>
        <v>1.7948583241348799E-2</v>
      </c>
      <c r="BT171" s="188">
        <f>[3]CZ_decarb_opex!Q171</f>
        <v>1.6365853074895801E-3</v>
      </c>
      <c r="BU171" s="188">
        <f>[3]CZ_decarb_opex!R171</f>
        <v>1.1217699338740899E-2</v>
      </c>
      <c r="BV171" s="188">
        <f>[3]CZ_decarb_opex!S171</f>
        <v>1.1217699338741E-2</v>
      </c>
      <c r="BW171" s="188">
        <f>[3]CZ_decarb_opex!T171</f>
        <v>1.6318747470693201E-2</v>
      </c>
      <c r="BX171" s="188">
        <f>[3]CZ_decarb_opex!U171</f>
        <v>2.1835723980346898E-3</v>
      </c>
      <c r="BY171" s="188">
        <f>[3]CZ_decarb_opex!V171</f>
        <v>2.1731966604625301E-4</v>
      </c>
      <c r="BZ171" s="188">
        <f>[2]CZ_decarbplus_opex!BC171</f>
        <v>3.0746389999999998E-2</v>
      </c>
      <c r="CA171" s="188">
        <f>[2]CZ_decarbplus_opex!BD171</f>
        <v>2.4372887999999999E-2</v>
      </c>
      <c r="CB171" s="188">
        <f>[2]CZ_decarbplus_opex!BE171</f>
        <v>2.9148449E-2</v>
      </c>
      <c r="CC171" s="188">
        <f>[2]CZ_decarbplus_opex!BF171</f>
        <v>1.0223522000000001E-2</v>
      </c>
      <c r="CD171" s="188">
        <f>[2]CZ_decarbplus_opex!BG171</f>
        <v>3.9435600000000001E-2</v>
      </c>
      <c r="CE171" s="188">
        <f>[2]CZ_decarbplus_opex!BH171</f>
        <v>0.182927531</v>
      </c>
      <c r="CF171" s="188">
        <f>[2]CZ_decarbplus_opex!BI171</f>
        <v>4.3496106E-2</v>
      </c>
      <c r="CG171" s="188">
        <f>[2]CZ_decarbplus_opex!BJ171</f>
        <v>0.119291235</v>
      </c>
    </row>
    <row r="172" spans="1:85" x14ac:dyDescent="0.25">
      <c r="A172" s="43" t="s">
        <v>375</v>
      </c>
      <c r="B172" s="43">
        <v>6</v>
      </c>
      <c r="C172" s="43" t="s">
        <v>379</v>
      </c>
      <c r="D172" s="187">
        <f>[2]CZ_decarbplus_opex!B172</f>
        <v>3.7616176000000001E-2</v>
      </c>
      <c r="E172" s="187">
        <f>[2]CZ_decarbplus_opex!C172</f>
        <v>3.5656532999999997E-2</v>
      </c>
      <c r="F172" s="187">
        <f>[2]CZ_decarbplus_opex!D172</f>
        <v>3.8810554999999997E-2</v>
      </c>
      <c r="G172" s="187">
        <f>[2]CZ_decarbplus_opex!E172</f>
        <v>4.9808804999999998E-2</v>
      </c>
      <c r="H172" s="187">
        <f>[2]CZ_decarbplus_opex!F172</f>
        <v>1.5923209000000001E-2</v>
      </c>
      <c r="I172" s="187">
        <f>[2]CZ_decarbplus_opex!G172</f>
        <v>4.4156775000000002E-2</v>
      </c>
      <c r="J172" s="187">
        <f>[2]CZ_decarbplus_opex!H172</f>
        <v>5.8707941E-2</v>
      </c>
      <c r="K172" s="187">
        <f>[2]CZ_decarbplus_opex!I172</f>
        <v>1.3055663E-2</v>
      </c>
      <c r="L172" s="187">
        <f>[2]CZ_decarbplus_opex!J172</f>
        <v>5.012349E-2</v>
      </c>
      <c r="M172" s="187">
        <f>[2]CZ_decarbplus_opex!K172</f>
        <v>4.0126920000000003E-2</v>
      </c>
      <c r="N172" s="187">
        <f>[2]CZ_decarbplus_opex!L172</f>
        <v>3.0698599E-2</v>
      </c>
      <c r="O172" s="187">
        <f>[2]CZ_decarbplus_opex!M172</f>
        <v>3.8896093999999999E-2</v>
      </c>
      <c r="P172" s="187">
        <f>[2]CZ_decarbplus_opex!N172</f>
        <v>7.5192202999999999E-2</v>
      </c>
      <c r="Q172" s="187">
        <f>[2]CZ_decarbplus_opex!O172</f>
        <v>3.5726748000000003E-2</v>
      </c>
      <c r="R172" s="187">
        <f>[2]CZ_decarbplus_opex!P172</f>
        <v>2.0568030000000001E-2</v>
      </c>
      <c r="S172" s="187">
        <f>[2]CZ_decarbplus_opex!Q172</f>
        <v>5.1451341999999997E-2</v>
      </c>
      <c r="T172" s="187">
        <f>[2]CZ_decarbplus_opex!R172</f>
        <v>5.8859899E-2</v>
      </c>
      <c r="U172" s="187">
        <f>[2]CZ_decarbplus_opex!S172</f>
        <v>9.0522117999999999E-2</v>
      </c>
      <c r="V172" s="187">
        <f>[2]CZ_decarbplus_opex!T172</f>
        <v>0.12632651</v>
      </c>
      <c r="W172" s="187">
        <f>[2]CZ_decarbplus_opex!U172</f>
        <v>4.6824007000000001E-2</v>
      </c>
      <c r="X172" s="187">
        <f>[2]CZ_decarbplus_opex!V172</f>
        <v>6.5886701000000006E-2</v>
      </c>
      <c r="Y172" s="187">
        <f>[2]CZ_decarbplus_opex!W172</f>
        <v>1.1066133000000001E-2</v>
      </c>
      <c r="Z172" s="187">
        <f>[2]CZ_decarbplus_opex!X172</f>
        <v>2.5041468000000001E-2</v>
      </c>
      <c r="AA172" s="187">
        <f>[2]CZ_decarbplus_opex!Y172</f>
        <v>0.237483271</v>
      </c>
      <c r="AB172" s="188">
        <f>[3]CZ_decarb_opex!B172</f>
        <v>1.6966862703751199E-2</v>
      </c>
      <c r="AC172" s="188">
        <f>[3]CZ_decarb_opex!C172</f>
        <v>7.07507608489613E-2</v>
      </c>
      <c r="AD172" s="188">
        <f>[3]CZ_decarb_opex!D172</f>
        <v>9.6972910774539706E-2</v>
      </c>
      <c r="AE172" s="188">
        <f>[2]CZ_decarbplus_opex!Z172</f>
        <v>0.103459739</v>
      </c>
      <c r="AF172" s="188">
        <f>[2]CZ_decarbplus_opex!AA172</f>
        <v>5.0368270999999999E-2</v>
      </c>
      <c r="AG172" s="188">
        <f>[2]CZ_decarbplus_opex!AB172</f>
        <v>4.9159138999999998E-2</v>
      </c>
      <c r="AH172" s="188">
        <f>[2]CZ_decarbplus_opex!AC172</f>
        <v>7.4897470999999993E-2</v>
      </c>
      <c r="AI172" s="188">
        <f>[2]CZ_decarbplus_opex!AD172</f>
        <v>0.15127358299999999</v>
      </c>
      <c r="AJ172" s="188">
        <f>[2]CZ_decarbplus_opex!AE172</f>
        <v>0.122638104</v>
      </c>
      <c r="AK172" s="188">
        <f>[2]CZ_decarbplus_opex!AF172</f>
        <v>9.1016111999999996E-2</v>
      </c>
      <c r="AL172" s="188">
        <f>[3]CZ_decarb_opex!E172</f>
        <v>8.9656316685048101E-2</v>
      </c>
      <c r="AM172" s="188">
        <f>[3]CZ_decarb_opex!F172</f>
        <v>8.9832462324537093E-2</v>
      </c>
      <c r="AN172" s="188">
        <f>[2]CZ_decarbplus_opex!AG172</f>
        <v>7.9225959999999998E-2</v>
      </c>
      <c r="AO172" s="188">
        <f>[3]CZ_decarb_opex!G172</f>
        <v>6.4305291228469799E-2</v>
      </c>
      <c r="AP172" s="188">
        <f>[3]CZ_decarb_opex!H172</f>
        <v>8.4403785042961199E-2</v>
      </c>
      <c r="AQ172" s="188">
        <f>[2]CZ_decarbplus_opex!AH172</f>
        <v>4.9937247999999997E-2</v>
      </c>
      <c r="AR172" s="188">
        <f>[2]CZ_decarbplus_opex!AI172</f>
        <v>0</v>
      </c>
      <c r="AS172" s="188">
        <f>[2]CZ_decarbplus_opex!AJ172</f>
        <v>6.7300267999999996E-2</v>
      </c>
      <c r="AT172" s="188">
        <f>[2]CZ_decarbplus_opex!AK172</f>
        <v>7.3316016999999997E-2</v>
      </c>
      <c r="AU172" s="188">
        <f>[2]CZ_decarbplus_opex!AL172</f>
        <v>6.8841863000000003E-2</v>
      </c>
      <c r="AV172" s="188">
        <f>[2]CZ_decarbplus_opex!AM172</f>
        <v>6.8829944000000004E-2</v>
      </c>
      <c r="AW172" s="188">
        <f>[2]CZ_decarbplus_opex!AN172</f>
        <v>4.3962078000000002E-2</v>
      </c>
      <c r="AX172" s="188">
        <f>[2]CZ_decarbplus_opex!AO172</f>
        <v>0</v>
      </c>
      <c r="AY172" s="188">
        <f>[2]CZ_decarbplus_opex!AP172</f>
        <v>1.2968891999999999E-2</v>
      </c>
      <c r="AZ172" s="188">
        <f>[2]CZ_decarbplus_opex!AQ172</f>
        <v>0</v>
      </c>
      <c r="BA172" s="188">
        <f>[2]CZ_decarbplus_opex!AR172</f>
        <v>2.7393292E-2</v>
      </c>
      <c r="BB172" s="188">
        <f>[2]CZ_decarbplus_opex!AS172</f>
        <v>4.4349530999999998E-2</v>
      </c>
      <c r="BC172" s="188">
        <f>[2]CZ_decarbplus_opex!AT172</f>
        <v>3.6815788000000002E-2</v>
      </c>
      <c r="BD172" s="188">
        <f>[2]CZ_decarbplus_opex!AU172</f>
        <v>5.5330830000000003E-3</v>
      </c>
      <c r="BE172" s="188">
        <f>[2]CZ_decarbplus_opex!AV172</f>
        <v>2.9086240999999999E-2</v>
      </c>
      <c r="BF172" s="188">
        <f>[2]CZ_decarbplus_opex!AW172</f>
        <v>1.9830510999999999E-2</v>
      </c>
      <c r="BG172" s="188">
        <f>[2]CZ_decarbplus_opex!AX172</f>
        <v>5.6598955999999999E-2</v>
      </c>
      <c r="BH172" s="188">
        <f>[3]CZ_decarb_opex!I172</f>
        <v>3.7937550460069698E-2</v>
      </c>
      <c r="BI172" s="188">
        <f>[2]CZ_decarbplus_opex!AY172</f>
        <v>2.0624667999999999E-2</v>
      </c>
      <c r="BJ172" s="188">
        <f>[2]CZ_decarbplus_opex!AZ172</f>
        <v>3.3220697E-2</v>
      </c>
      <c r="BK172" s="188">
        <f>[2]CZ_decarbplus_opex!BA172</f>
        <v>3.5045889999999998E-3</v>
      </c>
      <c r="BL172" s="188">
        <f>[2]CZ_decarbplus_opex!BB172</f>
        <v>0</v>
      </c>
      <c r="BM172" s="188">
        <f>[3]CZ_decarb_opex!J172</f>
        <v>8.5753400470552396E-2</v>
      </c>
      <c r="BN172" s="188">
        <f>[3]CZ_decarb_opex!K172</f>
        <v>5.8101751216910899E-2</v>
      </c>
      <c r="BO172" s="188">
        <f>[3]CZ_decarb_opex!L172</f>
        <v>0.28665823996199402</v>
      </c>
      <c r="BP172" s="188">
        <f>[3]CZ_decarb_opex!M172</f>
        <v>0.40226381012782197</v>
      </c>
      <c r="BQ172" s="188">
        <f>[3]CZ_decarb_opex!N172</f>
        <v>0.38432064379752401</v>
      </c>
      <c r="BR172" s="188">
        <f>[3]CZ_decarb_opex!O172</f>
        <v>0.42194821526933501</v>
      </c>
      <c r="BS172" s="188">
        <f>[3]CZ_decarb_opex!P172</f>
        <v>3.3705098157663899E-2</v>
      </c>
      <c r="BT172" s="188">
        <f>[3]CZ_decarb_opex!Q172</f>
        <v>5.4764153480878503E-3</v>
      </c>
      <c r="BU172" s="188">
        <f>[3]CZ_decarb_opex!R172</f>
        <v>0.46317330193951101</v>
      </c>
      <c r="BV172" s="188">
        <f>[3]CZ_decarb_opex!S172</f>
        <v>0.46317330193951201</v>
      </c>
      <c r="BW172" s="188">
        <f>[3]CZ_decarb_opex!T172</f>
        <v>0.50434904837405903</v>
      </c>
      <c r="BX172" s="188">
        <f>[3]CZ_decarb_opex!U172</f>
        <v>0.70732922475813498</v>
      </c>
      <c r="BY172" s="188">
        <f>[3]CZ_decarb_opex!V172</f>
        <v>0.14987762101875901</v>
      </c>
      <c r="BZ172" s="188">
        <f>[2]CZ_decarbplus_opex!BC172</f>
        <v>0.198982256</v>
      </c>
      <c r="CA172" s="188">
        <f>[2]CZ_decarbplus_opex!BD172</f>
        <v>0.19343668899999999</v>
      </c>
      <c r="CB172" s="188">
        <f>[2]CZ_decarbplus_opex!BE172</f>
        <v>0.19427140700000001</v>
      </c>
      <c r="CC172" s="188">
        <f>[2]CZ_decarbplus_opex!BF172</f>
        <v>5.5653619999999999E-3</v>
      </c>
      <c r="CD172" s="188">
        <f>[2]CZ_decarbplus_opex!BG172</f>
        <v>3.5386885999999999E-2</v>
      </c>
      <c r="CE172" s="188">
        <f>[2]CZ_decarbplus_opex!BH172</f>
        <v>0.17053499999999999</v>
      </c>
      <c r="CF172" s="188">
        <f>[2]CZ_decarbplus_opex!BI172</f>
        <v>3.1262209999999999E-2</v>
      </c>
      <c r="CG172" s="188">
        <f>[2]CZ_decarbplus_opex!BJ172</f>
        <v>5.1982584999999998E-2</v>
      </c>
    </row>
    <row r="173" spans="1:85" x14ac:dyDescent="0.25">
      <c r="A173" s="38" t="s">
        <v>376</v>
      </c>
      <c r="B173" s="38">
        <v>7</v>
      </c>
      <c r="C173" s="38" t="s">
        <v>379</v>
      </c>
      <c r="D173" s="187">
        <f>[2]CZ_decarbplus_opex!B173</f>
        <v>0</v>
      </c>
      <c r="E173" s="187">
        <f>[2]CZ_decarbplus_opex!C173</f>
        <v>0</v>
      </c>
      <c r="F173" s="187">
        <f>[2]CZ_decarbplus_opex!D173</f>
        <v>0</v>
      </c>
      <c r="G173" s="187">
        <f>[2]CZ_decarbplus_opex!E173</f>
        <v>0</v>
      </c>
      <c r="H173" s="187">
        <f>[2]CZ_decarbplus_opex!F173</f>
        <v>0</v>
      </c>
      <c r="I173" s="187">
        <f>[2]CZ_decarbplus_opex!G173</f>
        <v>0</v>
      </c>
      <c r="J173" s="187">
        <f>[2]CZ_decarbplus_opex!H173</f>
        <v>0</v>
      </c>
      <c r="K173" s="187">
        <f>[2]CZ_decarbplus_opex!I173</f>
        <v>0</v>
      </c>
      <c r="L173" s="187">
        <f>[2]CZ_decarbplus_opex!J173</f>
        <v>0</v>
      </c>
      <c r="M173" s="187">
        <f>[2]CZ_decarbplus_opex!K173</f>
        <v>0</v>
      </c>
      <c r="N173" s="187">
        <f>[2]CZ_decarbplus_opex!L173</f>
        <v>0</v>
      </c>
      <c r="O173" s="187">
        <f>[2]CZ_decarbplus_opex!M173</f>
        <v>0</v>
      </c>
      <c r="P173" s="187">
        <f>[2]CZ_decarbplus_opex!N173</f>
        <v>0</v>
      </c>
      <c r="Q173" s="187">
        <f>[2]CZ_decarbplus_opex!O173</f>
        <v>0</v>
      </c>
      <c r="R173" s="187">
        <f>[2]CZ_decarbplus_opex!P173</f>
        <v>0</v>
      </c>
      <c r="S173" s="187">
        <f>[2]CZ_decarbplus_opex!Q173</f>
        <v>0</v>
      </c>
      <c r="T173" s="187">
        <f>[2]CZ_decarbplus_opex!R173</f>
        <v>0</v>
      </c>
      <c r="U173" s="187">
        <f>[2]CZ_decarbplus_opex!S173</f>
        <v>0</v>
      </c>
      <c r="V173" s="187">
        <f>[2]CZ_decarbplus_opex!T173</f>
        <v>0</v>
      </c>
      <c r="W173" s="187">
        <f>[2]CZ_decarbplus_opex!U173</f>
        <v>0</v>
      </c>
      <c r="X173" s="187">
        <f>[2]CZ_decarbplus_opex!V173</f>
        <v>0</v>
      </c>
      <c r="Y173" s="187">
        <f>[2]CZ_decarbplus_opex!W173</f>
        <v>0</v>
      </c>
      <c r="Z173" s="187">
        <f>[2]CZ_decarbplus_opex!X173</f>
        <v>0</v>
      </c>
      <c r="AA173" s="187">
        <f>[2]CZ_decarbplus_opex!Y173</f>
        <v>0</v>
      </c>
      <c r="AB173" s="188">
        <f>[3]CZ_decarb_opex!B173</f>
        <v>0</v>
      </c>
      <c r="AC173" s="188">
        <f>[3]CZ_decarb_opex!C173</f>
        <v>0</v>
      </c>
      <c r="AD173" s="188">
        <f>[3]CZ_decarb_opex!D173</f>
        <v>0</v>
      </c>
      <c r="AE173" s="188">
        <f>[2]CZ_decarbplus_opex!Z173</f>
        <v>0</v>
      </c>
      <c r="AF173" s="188">
        <f>[2]CZ_decarbplus_opex!AA173</f>
        <v>0</v>
      </c>
      <c r="AG173" s="188">
        <f>[2]CZ_decarbplus_opex!AB173</f>
        <v>0</v>
      </c>
      <c r="AH173" s="188">
        <f>[2]CZ_decarbplus_opex!AC173</f>
        <v>0</v>
      </c>
      <c r="AI173" s="188">
        <f>[2]CZ_decarbplus_opex!AD173</f>
        <v>0</v>
      </c>
      <c r="AJ173" s="188">
        <f>[2]CZ_decarbplus_opex!AE173</f>
        <v>0</v>
      </c>
      <c r="AK173" s="188">
        <f>[2]CZ_decarbplus_opex!AF173</f>
        <v>0</v>
      </c>
      <c r="AL173" s="188">
        <f>[3]CZ_decarb_opex!E173</f>
        <v>0</v>
      </c>
      <c r="AM173" s="188">
        <f>[3]CZ_decarb_opex!F173</f>
        <v>0</v>
      </c>
      <c r="AN173" s="188">
        <f>[2]CZ_decarbplus_opex!AG173</f>
        <v>0</v>
      </c>
      <c r="AO173" s="188">
        <f>[3]CZ_decarb_opex!G173</f>
        <v>0</v>
      </c>
      <c r="AP173" s="188">
        <f>[3]CZ_decarb_opex!H173</f>
        <v>0</v>
      </c>
      <c r="AQ173" s="188">
        <f>[2]CZ_decarbplus_opex!AH173</f>
        <v>0</v>
      </c>
      <c r="AR173" s="188">
        <f>[2]CZ_decarbplus_opex!AI173</f>
        <v>0</v>
      </c>
      <c r="AS173" s="188">
        <f>[2]CZ_decarbplus_opex!AJ173</f>
        <v>0</v>
      </c>
      <c r="AT173" s="188">
        <f>[2]CZ_decarbplus_opex!AK173</f>
        <v>0</v>
      </c>
      <c r="AU173" s="188">
        <f>[2]CZ_decarbplus_opex!AL173</f>
        <v>0</v>
      </c>
      <c r="AV173" s="188">
        <f>[2]CZ_decarbplus_opex!AM173</f>
        <v>0</v>
      </c>
      <c r="AW173" s="188">
        <f>[2]CZ_decarbplus_opex!AN173</f>
        <v>0</v>
      </c>
      <c r="AX173" s="188">
        <f>[2]CZ_decarbplus_opex!AO173</f>
        <v>0</v>
      </c>
      <c r="AY173" s="188">
        <f>[2]CZ_decarbplus_opex!AP173</f>
        <v>0</v>
      </c>
      <c r="AZ173" s="188">
        <f>[2]CZ_decarbplus_opex!AQ173</f>
        <v>0</v>
      </c>
      <c r="BA173" s="188">
        <f>[2]CZ_decarbplus_opex!AR173</f>
        <v>0</v>
      </c>
      <c r="BB173" s="188">
        <f>[2]CZ_decarbplus_opex!AS173</f>
        <v>0</v>
      </c>
      <c r="BC173" s="188">
        <f>[2]CZ_decarbplus_opex!AT173</f>
        <v>0</v>
      </c>
      <c r="BD173" s="188">
        <f>[2]CZ_decarbplus_opex!AU173</f>
        <v>0</v>
      </c>
      <c r="BE173" s="188">
        <f>[2]CZ_decarbplus_opex!AV173</f>
        <v>0</v>
      </c>
      <c r="BF173" s="188">
        <f>[2]CZ_decarbplus_opex!AW173</f>
        <v>0</v>
      </c>
      <c r="BG173" s="188">
        <f>[2]CZ_decarbplus_opex!AX173</f>
        <v>0</v>
      </c>
      <c r="BH173" s="188">
        <f>[3]CZ_decarb_opex!I173</f>
        <v>0</v>
      </c>
      <c r="BI173" s="188">
        <f>[2]CZ_decarbplus_opex!AY173</f>
        <v>0</v>
      </c>
      <c r="BJ173" s="188">
        <f>[2]CZ_decarbplus_opex!AZ173</f>
        <v>0</v>
      </c>
      <c r="BK173" s="188">
        <f>[2]CZ_decarbplus_opex!BA173</f>
        <v>0</v>
      </c>
      <c r="BL173" s="188">
        <f>[2]CZ_decarbplus_opex!BB173</f>
        <v>0</v>
      </c>
      <c r="BM173" s="188">
        <f>[3]CZ_decarb_opex!J173</f>
        <v>0</v>
      </c>
      <c r="BN173" s="188">
        <f>[3]CZ_decarb_opex!K173</f>
        <v>0</v>
      </c>
      <c r="BO173" s="188">
        <f>[3]CZ_decarb_opex!L173</f>
        <v>0</v>
      </c>
      <c r="BP173" s="188">
        <f>[3]CZ_decarb_opex!M173</f>
        <v>0</v>
      </c>
      <c r="BQ173" s="188">
        <f>[3]CZ_decarb_opex!N173</f>
        <v>0</v>
      </c>
      <c r="BR173" s="188">
        <f>[3]CZ_decarb_opex!O173</f>
        <v>0</v>
      </c>
      <c r="BS173" s="188">
        <f>[3]CZ_decarb_opex!P173</f>
        <v>0</v>
      </c>
      <c r="BT173" s="188">
        <f>[3]CZ_decarb_opex!Q173</f>
        <v>0</v>
      </c>
      <c r="BU173" s="188">
        <f>[3]CZ_decarb_opex!R173</f>
        <v>0</v>
      </c>
      <c r="BV173" s="188">
        <f>[3]CZ_decarb_opex!S173</f>
        <v>0</v>
      </c>
      <c r="BW173" s="188">
        <f>[3]CZ_decarb_opex!T173</f>
        <v>0</v>
      </c>
      <c r="BX173" s="188">
        <f>[3]CZ_decarb_opex!U173</f>
        <v>0</v>
      </c>
      <c r="BY173" s="188">
        <f>[3]CZ_decarb_opex!V173</f>
        <v>0</v>
      </c>
      <c r="BZ173" s="188">
        <f>[2]CZ_decarbplus_opex!BC173</f>
        <v>0</v>
      </c>
      <c r="CA173" s="188">
        <f>[2]CZ_decarbplus_opex!BD173</f>
        <v>0</v>
      </c>
      <c r="CB173" s="188">
        <f>[2]CZ_decarbplus_opex!BE173</f>
        <v>0</v>
      </c>
      <c r="CC173" s="188">
        <f>[2]CZ_decarbplus_opex!BF173</f>
        <v>0</v>
      </c>
      <c r="CD173" s="188">
        <f>[2]CZ_decarbplus_opex!BG173</f>
        <v>0</v>
      </c>
      <c r="CE173" s="188">
        <f>[2]CZ_decarbplus_opex!BH173</f>
        <v>0</v>
      </c>
      <c r="CF173" s="188">
        <f>[2]CZ_decarbplus_opex!BI173</f>
        <v>0</v>
      </c>
      <c r="CG173" s="188">
        <f>[2]CZ_decarbplus_opex!BJ173</f>
        <v>0</v>
      </c>
    </row>
    <row r="174" spans="1:85" x14ac:dyDescent="0.25">
      <c r="A174" s="43" t="s">
        <v>377</v>
      </c>
      <c r="B174" s="43">
        <v>8</v>
      </c>
      <c r="C174" s="43" t="s">
        <v>379</v>
      </c>
      <c r="D174" s="187">
        <f>[2]CZ_decarbplus_opex!B174</f>
        <v>0</v>
      </c>
      <c r="E174" s="187">
        <f>[2]CZ_decarbplus_opex!C174</f>
        <v>0</v>
      </c>
      <c r="F174" s="187">
        <f>[2]CZ_decarbplus_opex!D174</f>
        <v>0</v>
      </c>
      <c r="G174" s="187">
        <f>[2]CZ_decarbplus_opex!E174</f>
        <v>0</v>
      </c>
      <c r="H174" s="187">
        <f>[2]CZ_decarbplus_opex!F174</f>
        <v>0</v>
      </c>
      <c r="I174" s="187">
        <f>[2]CZ_decarbplus_opex!G174</f>
        <v>0</v>
      </c>
      <c r="J174" s="187">
        <f>[2]CZ_decarbplus_opex!H174</f>
        <v>0</v>
      </c>
      <c r="K174" s="187">
        <f>[2]CZ_decarbplus_opex!I174</f>
        <v>0</v>
      </c>
      <c r="L174" s="187">
        <f>[2]CZ_decarbplus_opex!J174</f>
        <v>0</v>
      </c>
      <c r="M174" s="187">
        <f>[2]CZ_decarbplus_opex!K174</f>
        <v>0</v>
      </c>
      <c r="N174" s="187">
        <f>[2]CZ_decarbplus_opex!L174</f>
        <v>0</v>
      </c>
      <c r="O174" s="187">
        <f>[2]CZ_decarbplus_opex!M174</f>
        <v>0</v>
      </c>
      <c r="P174" s="187">
        <f>[2]CZ_decarbplus_opex!N174</f>
        <v>0</v>
      </c>
      <c r="Q174" s="187">
        <f>[2]CZ_decarbplus_opex!O174</f>
        <v>0</v>
      </c>
      <c r="R174" s="187">
        <f>[2]CZ_decarbplus_opex!P174</f>
        <v>0</v>
      </c>
      <c r="S174" s="187">
        <f>[2]CZ_decarbplus_opex!Q174</f>
        <v>0</v>
      </c>
      <c r="T174" s="187">
        <f>[2]CZ_decarbplus_opex!R174</f>
        <v>0</v>
      </c>
      <c r="U174" s="187">
        <f>[2]CZ_decarbplus_opex!S174</f>
        <v>0</v>
      </c>
      <c r="V174" s="187">
        <f>[2]CZ_decarbplus_opex!T174</f>
        <v>0</v>
      </c>
      <c r="W174" s="187">
        <f>[2]CZ_decarbplus_opex!U174</f>
        <v>0</v>
      </c>
      <c r="X174" s="187">
        <f>[2]CZ_decarbplus_opex!V174</f>
        <v>0</v>
      </c>
      <c r="Y174" s="187">
        <f>[2]CZ_decarbplus_opex!W174</f>
        <v>0</v>
      </c>
      <c r="Z174" s="187">
        <f>[2]CZ_decarbplus_opex!X174</f>
        <v>0</v>
      </c>
      <c r="AA174" s="187">
        <f>[2]CZ_decarbplus_opex!Y174</f>
        <v>0</v>
      </c>
      <c r="AB174" s="188">
        <f>[3]CZ_decarb_opex!B174</f>
        <v>0</v>
      </c>
      <c r="AC174" s="188">
        <f>[3]CZ_decarb_opex!C174</f>
        <v>0</v>
      </c>
      <c r="AD174" s="188">
        <f>[3]CZ_decarb_opex!D174</f>
        <v>0</v>
      </c>
      <c r="AE174" s="188">
        <f>[2]CZ_decarbplus_opex!Z174</f>
        <v>0</v>
      </c>
      <c r="AF174" s="188">
        <f>[2]CZ_decarbplus_opex!AA174</f>
        <v>0</v>
      </c>
      <c r="AG174" s="188">
        <f>[2]CZ_decarbplus_opex!AB174</f>
        <v>0</v>
      </c>
      <c r="AH174" s="188">
        <f>[2]CZ_decarbplus_opex!AC174</f>
        <v>0</v>
      </c>
      <c r="AI174" s="188">
        <f>[2]CZ_decarbplus_opex!AD174</f>
        <v>0</v>
      </c>
      <c r="AJ174" s="188">
        <f>[2]CZ_decarbplus_opex!AE174</f>
        <v>0</v>
      </c>
      <c r="AK174" s="188">
        <f>[2]CZ_decarbplus_opex!AF174</f>
        <v>0</v>
      </c>
      <c r="AL174" s="188">
        <f>[3]CZ_decarb_opex!E174</f>
        <v>0</v>
      </c>
      <c r="AM174" s="188">
        <f>[3]CZ_decarb_opex!F174</f>
        <v>0</v>
      </c>
      <c r="AN174" s="188">
        <f>[2]CZ_decarbplus_opex!AG174</f>
        <v>0</v>
      </c>
      <c r="AO174" s="188">
        <f>[3]CZ_decarb_opex!G174</f>
        <v>0</v>
      </c>
      <c r="AP174" s="188">
        <f>[3]CZ_decarb_opex!H174</f>
        <v>0</v>
      </c>
      <c r="AQ174" s="188">
        <f>[2]CZ_decarbplus_opex!AH174</f>
        <v>0</v>
      </c>
      <c r="AR174" s="188">
        <f>[2]CZ_decarbplus_opex!AI174</f>
        <v>0</v>
      </c>
      <c r="AS174" s="188">
        <f>[2]CZ_decarbplus_opex!AJ174</f>
        <v>0</v>
      </c>
      <c r="AT174" s="188">
        <f>[2]CZ_decarbplus_opex!AK174</f>
        <v>0</v>
      </c>
      <c r="AU174" s="188">
        <f>[2]CZ_decarbplus_opex!AL174</f>
        <v>0</v>
      </c>
      <c r="AV174" s="188">
        <f>[2]CZ_decarbplus_opex!AM174</f>
        <v>0</v>
      </c>
      <c r="AW174" s="188">
        <f>[2]CZ_decarbplus_opex!AN174</f>
        <v>0</v>
      </c>
      <c r="AX174" s="188">
        <f>[2]CZ_decarbplus_opex!AO174</f>
        <v>0</v>
      </c>
      <c r="AY174" s="188">
        <f>[2]CZ_decarbplus_opex!AP174</f>
        <v>0</v>
      </c>
      <c r="AZ174" s="188">
        <f>[2]CZ_decarbplus_opex!AQ174</f>
        <v>0</v>
      </c>
      <c r="BA174" s="188">
        <f>[2]CZ_decarbplus_opex!AR174</f>
        <v>0</v>
      </c>
      <c r="BB174" s="188">
        <f>[2]CZ_decarbplus_opex!AS174</f>
        <v>0</v>
      </c>
      <c r="BC174" s="188">
        <f>[2]CZ_decarbplus_opex!AT174</f>
        <v>0</v>
      </c>
      <c r="BD174" s="188">
        <f>[2]CZ_decarbplus_opex!AU174</f>
        <v>0</v>
      </c>
      <c r="BE174" s="188">
        <f>[2]CZ_decarbplus_opex!AV174</f>
        <v>0</v>
      </c>
      <c r="BF174" s="188">
        <f>[2]CZ_decarbplus_opex!AW174</f>
        <v>0</v>
      </c>
      <c r="BG174" s="188">
        <f>[2]CZ_decarbplus_opex!AX174</f>
        <v>0</v>
      </c>
      <c r="BH174" s="188">
        <f>[3]CZ_decarb_opex!I174</f>
        <v>0</v>
      </c>
      <c r="BI174" s="188">
        <f>[2]CZ_decarbplus_opex!AY174</f>
        <v>0</v>
      </c>
      <c r="BJ174" s="188">
        <f>[2]CZ_decarbplus_opex!AZ174</f>
        <v>0</v>
      </c>
      <c r="BK174" s="188">
        <f>[2]CZ_decarbplus_opex!BA174</f>
        <v>0</v>
      </c>
      <c r="BL174" s="188">
        <f>[2]CZ_decarbplus_opex!BB174</f>
        <v>0</v>
      </c>
      <c r="BM174" s="188">
        <f>[3]CZ_decarb_opex!J174</f>
        <v>0</v>
      </c>
      <c r="BN174" s="188">
        <f>[3]CZ_decarb_opex!K174</f>
        <v>0</v>
      </c>
      <c r="BO174" s="188">
        <f>[3]CZ_decarb_opex!L174</f>
        <v>0</v>
      </c>
      <c r="BP174" s="188">
        <f>[3]CZ_decarb_opex!M174</f>
        <v>0</v>
      </c>
      <c r="BQ174" s="188">
        <f>[3]CZ_decarb_opex!N174</f>
        <v>0</v>
      </c>
      <c r="BR174" s="188">
        <f>[3]CZ_decarb_opex!O174</f>
        <v>0</v>
      </c>
      <c r="BS174" s="188">
        <f>[3]CZ_decarb_opex!P174</f>
        <v>0</v>
      </c>
      <c r="BT174" s="188">
        <f>[3]CZ_decarb_opex!Q174</f>
        <v>0</v>
      </c>
      <c r="BU174" s="188">
        <f>[3]CZ_decarb_opex!R174</f>
        <v>0</v>
      </c>
      <c r="BV174" s="188">
        <f>[3]CZ_decarb_opex!S174</f>
        <v>0</v>
      </c>
      <c r="BW174" s="188">
        <f>[3]CZ_decarb_opex!T174</f>
        <v>0</v>
      </c>
      <c r="BX174" s="188">
        <f>[3]CZ_decarb_opex!U174</f>
        <v>0</v>
      </c>
      <c r="BY174" s="188">
        <f>[3]CZ_decarb_opex!V174</f>
        <v>0</v>
      </c>
      <c r="BZ174" s="188">
        <f>[2]CZ_decarbplus_opex!BC174</f>
        <v>0</v>
      </c>
      <c r="CA174" s="188">
        <f>[2]CZ_decarbplus_opex!BD174</f>
        <v>0</v>
      </c>
      <c r="CB174" s="188">
        <f>[2]CZ_decarbplus_opex!BE174</f>
        <v>0</v>
      </c>
      <c r="CC174" s="188">
        <f>[2]CZ_decarbplus_opex!BF174</f>
        <v>0</v>
      </c>
      <c r="CD174" s="188">
        <f>[2]CZ_decarbplus_opex!BG174</f>
        <v>0</v>
      </c>
      <c r="CE174" s="188">
        <f>[2]CZ_decarbplus_opex!BH174</f>
        <v>0</v>
      </c>
      <c r="CF174" s="188">
        <f>[2]CZ_decarbplus_opex!BI174</f>
        <v>0</v>
      </c>
      <c r="CG174" s="188">
        <f>[2]CZ_decarbplus_opex!BJ174</f>
        <v>0</v>
      </c>
    </row>
    <row r="175" spans="1:85" x14ac:dyDescent="0.25">
      <c r="A175" s="43" t="s">
        <v>378</v>
      </c>
      <c r="B175" s="43">
        <v>9</v>
      </c>
      <c r="C175" s="43" t="s">
        <v>379</v>
      </c>
      <c r="D175" s="187">
        <f>[2]CZ_decarbplus_opex!B175</f>
        <v>3.0952513000000001E-2</v>
      </c>
      <c r="E175" s="187">
        <f>[2]CZ_decarbplus_opex!C175</f>
        <v>5.0094341000000001E-2</v>
      </c>
      <c r="F175" s="187">
        <f>[2]CZ_decarbplus_opex!D175</f>
        <v>0.38141762899999998</v>
      </c>
      <c r="G175" s="187">
        <f>[2]CZ_decarbplus_opex!E175</f>
        <v>0.83545048799999999</v>
      </c>
      <c r="H175" s="187">
        <f>[2]CZ_decarbplus_opex!F175</f>
        <v>1.0747684E-2</v>
      </c>
      <c r="I175" s="187">
        <f>[2]CZ_decarbplus_opex!G175</f>
        <v>2.5513395000000001E-2</v>
      </c>
      <c r="J175" s="187">
        <f>[2]CZ_decarbplus_opex!H175</f>
        <v>5.2844174000000001E-2</v>
      </c>
      <c r="K175" s="187">
        <f>[2]CZ_decarbplus_opex!I175</f>
        <v>7.2142815999999998E-2</v>
      </c>
      <c r="L175" s="187">
        <f>[2]CZ_decarbplus_opex!J175</f>
        <v>2.7349254E-2</v>
      </c>
      <c r="M175" s="187">
        <f>[2]CZ_decarbplus_opex!K175</f>
        <v>3.2233487999999998E-2</v>
      </c>
      <c r="N175" s="187">
        <f>[2]CZ_decarbplus_opex!L175</f>
        <v>1.6662318999999998E-2</v>
      </c>
      <c r="O175" s="187">
        <f>[2]CZ_decarbplus_opex!M175</f>
        <v>0.13487027200000001</v>
      </c>
      <c r="P175" s="187">
        <f>[2]CZ_decarbplus_opex!N175</f>
        <v>5.4126549000000003E-2</v>
      </c>
      <c r="Q175" s="187">
        <f>[2]CZ_decarbplus_opex!O175</f>
        <v>6.0455898000000001E-2</v>
      </c>
      <c r="R175" s="187">
        <f>[2]CZ_decarbplus_opex!P175</f>
        <v>3.1493156000000001E-2</v>
      </c>
      <c r="S175" s="187">
        <f>[2]CZ_decarbplus_opex!Q175</f>
        <v>8.9304930000000005E-2</v>
      </c>
      <c r="T175" s="187">
        <f>[2]CZ_decarbplus_opex!R175</f>
        <v>0.102393532</v>
      </c>
      <c r="U175" s="187">
        <f>[2]CZ_decarbplus_opex!S175</f>
        <v>3.8400761999999998E-2</v>
      </c>
      <c r="V175" s="187">
        <f>[2]CZ_decarbplus_opex!T175</f>
        <v>5.3421637000000001E-2</v>
      </c>
      <c r="W175" s="187">
        <f>[2]CZ_decarbplus_opex!U175</f>
        <v>3.0294115999999999E-2</v>
      </c>
      <c r="X175" s="187">
        <f>[2]CZ_decarbplus_opex!V175</f>
        <v>0.11061180900000001</v>
      </c>
      <c r="Y175" s="187">
        <f>[2]CZ_decarbplus_opex!W175</f>
        <v>-3.8496114999999997E-2</v>
      </c>
      <c r="Z175" s="187">
        <f>[2]CZ_decarbplus_opex!X175</f>
        <v>-9.9263460000000008E-3</v>
      </c>
      <c r="AA175" s="187">
        <f>[2]CZ_decarbplus_opex!Y175</f>
        <v>-2.1740316999999999E-2</v>
      </c>
      <c r="AB175" s="188">
        <f>[3]CZ_decarb_opex!B175</f>
        <v>1.5677574550000201E-2</v>
      </c>
      <c r="AC175" s="188">
        <f>[3]CZ_decarb_opex!C175</f>
        <v>6.5654605634915E-2</v>
      </c>
      <c r="AD175" s="188">
        <f>[3]CZ_decarb_opex!D175</f>
        <v>0.16308611079326399</v>
      </c>
      <c r="AE175" s="188">
        <f>[2]CZ_decarbplus_opex!Z175</f>
        <v>0.173500398</v>
      </c>
      <c r="AF175" s="188">
        <f>[2]CZ_decarbplus_opex!AA175</f>
        <v>6.8790061E-2</v>
      </c>
      <c r="AG175" s="188">
        <f>[2]CZ_decarbplus_opex!AB175</f>
        <v>0.14811727199999999</v>
      </c>
      <c r="AH175" s="188">
        <f>[2]CZ_decarbplus_opex!AC175</f>
        <v>6.3215387999999997E-2</v>
      </c>
      <c r="AI175" s="188">
        <f>[2]CZ_decarbplus_opex!AD175</f>
        <v>0.12758918499999999</v>
      </c>
      <c r="AJ175" s="188">
        <f>[2]CZ_decarbplus_opex!AE175</f>
        <v>4.7831307000000003E-2</v>
      </c>
      <c r="AK175" s="188">
        <f>[2]CZ_decarbplus_opex!AF175</f>
        <v>5.4951398999999998E-2</v>
      </c>
      <c r="AL175" s="188">
        <f>[3]CZ_decarb_opex!E175</f>
        <v>6.36384671503607E-2</v>
      </c>
      <c r="AM175" s="188">
        <f>[3]CZ_decarb_opex!F175</f>
        <v>6.3690313630891102E-2</v>
      </c>
      <c r="AN175" s="188">
        <f>[2]CZ_decarbplus_opex!AG175</f>
        <v>9.2028012000000006E-2</v>
      </c>
      <c r="AO175" s="188">
        <f>[3]CZ_decarb_opex!G175</f>
        <v>2.64411298464235E-3</v>
      </c>
      <c r="AP175" s="188">
        <f>[3]CZ_decarb_opex!H175</f>
        <v>3.4945324240890901E-3</v>
      </c>
      <c r="AQ175" s="188">
        <f>[2]CZ_decarbplus_opex!AH175</f>
        <v>7.9759399999999999E-4</v>
      </c>
      <c r="AR175" s="188">
        <f>[2]CZ_decarbplus_opex!AI175</f>
        <v>0</v>
      </c>
      <c r="AS175" s="188">
        <f>[2]CZ_decarbplus_opex!AJ175</f>
        <v>1.8598600000000001E-3</v>
      </c>
      <c r="AT175" s="188">
        <f>[2]CZ_decarbplus_opex!AK175</f>
        <v>2.1140210000000002E-3</v>
      </c>
      <c r="AU175" s="188">
        <f>[2]CZ_decarbplus_opex!AL175</f>
        <v>6.1204200000000003E-4</v>
      </c>
      <c r="AV175" s="188">
        <f>[2]CZ_decarbplus_opex!AM175</f>
        <v>5.7530600000000004E-4</v>
      </c>
      <c r="AW175" s="188">
        <f>[2]CZ_decarbplus_opex!AN175</f>
        <v>1.2907439999999999E-3</v>
      </c>
      <c r="AX175" s="188">
        <f>[2]CZ_decarbplus_opex!AO175</f>
        <v>0</v>
      </c>
      <c r="AY175" s="188">
        <f>[2]CZ_decarbplus_opex!AP175</f>
        <v>2.5342600000000001E-4</v>
      </c>
      <c r="AZ175" s="188">
        <f>[2]CZ_decarbplus_opex!AQ175</f>
        <v>0</v>
      </c>
      <c r="BA175" s="188">
        <f>[2]CZ_decarbplus_opex!AR175</f>
        <v>3.1777999999999998E-4</v>
      </c>
      <c r="BB175" s="188">
        <f>[2]CZ_decarbplus_opex!AS175</f>
        <v>9.3027401999999995E-2</v>
      </c>
      <c r="BC175" s="188">
        <f>[2]CZ_decarbplus_opex!AT175</f>
        <v>7.6691798000000005E-2</v>
      </c>
      <c r="BD175" s="188">
        <f>[2]CZ_decarbplus_opex!AU175</f>
        <v>1.372912E-3</v>
      </c>
      <c r="BE175" s="188">
        <f>[2]CZ_decarbplus_opex!AV175</f>
        <v>7.7889587999999996E-2</v>
      </c>
      <c r="BF175" s="188">
        <f>[2]CZ_decarbplus_opex!AW175</f>
        <v>2.9870790000000001E-2</v>
      </c>
      <c r="BG175" s="188">
        <f>[2]CZ_decarbplus_opex!AX175</f>
        <v>0.13532033199999999</v>
      </c>
      <c r="BH175" s="188">
        <f>[3]CZ_decarb_opex!I175</f>
        <v>8.5868655653659504E-2</v>
      </c>
      <c r="BI175" s="188">
        <f>[2]CZ_decarbplus_opex!AY175</f>
        <v>0.15978751199999999</v>
      </c>
      <c r="BJ175" s="188">
        <f>[2]CZ_decarbplus_opex!AZ175</f>
        <v>0.12379754699999999</v>
      </c>
      <c r="BK175" s="188">
        <f>[2]CZ_decarbplus_opex!BA175</f>
        <v>0.119477341</v>
      </c>
      <c r="BL175" s="188">
        <f>[2]CZ_decarbplus_opex!BB175</f>
        <v>0</v>
      </c>
      <c r="BM175" s="188">
        <f>[3]CZ_decarb_opex!J175</f>
        <v>0.14009712470071001</v>
      </c>
      <c r="BN175" s="188">
        <f>[3]CZ_decarb_opex!K175</f>
        <v>0.234836223813777</v>
      </c>
      <c r="BO175" s="188">
        <f>[3]CZ_decarb_opex!L175</f>
        <v>0.488338162635226</v>
      </c>
      <c r="BP175" s="188">
        <f>[3]CZ_decarb_opex!M175</f>
        <v>0.32230837156694397</v>
      </c>
      <c r="BQ175" s="188">
        <f>[3]CZ_decarb_opex!N175</f>
        <v>0.31460392943249899</v>
      </c>
      <c r="BR175" s="188">
        <f>[3]CZ_decarb_opex!O175</f>
        <v>0.297465391113024</v>
      </c>
      <c r="BS175" s="188">
        <f>[3]CZ_decarb_opex!P175</f>
        <v>0.13662292856663799</v>
      </c>
      <c r="BT175" s="188">
        <f>[3]CZ_decarb_opex!Q175</f>
        <v>2.1511488365284302E-2</v>
      </c>
      <c r="BU175" s="188">
        <f>[3]CZ_decarb_opex!R175</f>
        <v>0.333059271095485</v>
      </c>
      <c r="BV175" s="188">
        <f>[3]CZ_decarb_opex!S175</f>
        <v>0.333059271095486</v>
      </c>
      <c r="BW175" s="188">
        <f>[3]CZ_decarb_opex!T175</f>
        <v>6.2830168609727594E-2</v>
      </c>
      <c r="BX175" s="188">
        <f>[3]CZ_decarb_opex!U175</f>
        <v>3.7523160432135299E-3</v>
      </c>
      <c r="BY175" s="188">
        <f>[3]CZ_decarb_opex!V175</f>
        <v>1.75365994254091E-3</v>
      </c>
      <c r="BZ175" s="188">
        <f>[2]CZ_decarbplus_opex!BC175</f>
        <v>0.40122091700000001</v>
      </c>
      <c r="CA175" s="188">
        <f>[2]CZ_decarbplus_opex!BD175</f>
        <v>0.35421503700000001</v>
      </c>
      <c r="CB175" s="188">
        <f>[2]CZ_decarbplus_opex!BE175</f>
        <v>0.37755069699999999</v>
      </c>
      <c r="CC175" s="188">
        <f>[2]CZ_decarbplus_opex!BF175</f>
        <v>9.7344134999999998E-2</v>
      </c>
      <c r="CD175" s="188">
        <f>[2]CZ_decarbplus_opex!BG175</f>
        <v>0.24967217899999999</v>
      </c>
      <c r="CE175" s="188">
        <f>[2]CZ_decarbplus_opex!BH175</f>
        <v>8.7914087000000002E-2</v>
      </c>
      <c r="CF175" s="188">
        <f>[2]CZ_decarbplus_opex!BI175</f>
        <v>0.13882391199999999</v>
      </c>
      <c r="CG175" s="188">
        <f>[2]CZ_decarbplus_opex!BJ175</f>
        <v>0.50646185499999996</v>
      </c>
    </row>
    <row r="176" spans="1:85" x14ac:dyDescent="0.25">
      <c r="A176" s="4" t="s">
        <v>1068</v>
      </c>
      <c r="B176" s="355">
        <v>10</v>
      </c>
      <c r="C176" s="1" t="s">
        <v>1074</v>
      </c>
      <c r="D176" s="459">
        <f>[2]CZ_decarbplus_opex!B176</f>
        <v>2.24971E-4</v>
      </c>
      <c r="E176" s="459">
        <f>[2]CZ_decarbplus_opex!C176</f>
        <v>4.2425299999999998E-4</v>
      </c>
      <c r="F176" s="459">
        <f>[2]CZ_decarbplus_opex!D176</f>
        <v>1.34623E-4</v>
      </c>
      <c r="G176" s="459">
        <f>[2]CZ_decarbplus_opex!E176</f>
        <v>4.7599999999999998E-5</v>
      </c>
      <c r="H176" s="459">
        <f>[2]CZ_decarbplus_opex!F176</f>
        <v>1.74989E-3</v>
      </c>
      <c r="I176" s="459">
        <f>[2]CZ_decarbplus_opex!G176</f>
        <v>2.3518000000000001E-4</v>
      </c>
      <c r="J176" s="459">
        <f>[2]CZ_decarbplus_opex!H176</f>
        <v>3.1128500000000001E-4</v>
      </c>
      <c r="K176" s="459">
        <f>[2]CZ_decarbplus_opex!I176</f>
        <v>8.7381299999999998E-4</v>
      </c>
      <c r="L176" s="459">
        <f>[2]CZ_decarbplus_opex!J176</f>
        <v>2.4361900000000001E-4</v>
      </c>
      <c r="M176" s="459">
        <f>[2]CZ_decarbplus_opex!K176</f>
        <v>2.8376200000000001E-4</v>
      </c>
      <c r="N176" s="459">
        <f>[2]CZ_decarbplus_opex!L176</f>
        <v>1.7470800000000001E-4</v>
      </c>
      <c r="O176" s="459">
        <f>[2]CZ_decarbplus_opex!M176</f>
        <v>1.62285E-4</v>
      </c>
      <c r="P176" s="459">
        <f>[2]CZ_decarbplus_opex!N176</f>
        <v>2.5577100000000001E-4</v>
      </c>
      <c r="Q176" s="459">
        <f>[2]CZ_decarbplus_opex!O176</f>
        <v>8.42E-5</v>
      </c>
      <c r="R176" s="459">
        <f>[2]CZ_decarbplus_opex!P176</f>
        <v>1.81015E-4</v>
      </c>
      <c r="S176" s="459">
        <f>[2]CZ_decarbplus_opex!Q176</f>
        <v>6.7826500000000005E-4</v>
      </c>
      <c r="T176" s="459">
        <f>[2]CZ_decarbplus_opex!R176</f>
        <v>7.6338700000000003E-4</v>
      </c>
      <c r="U176" s="459">
        <f>[2]CZ_decarbplus_opex!S176</f>
        <v>2.8463099999999998E-4</v>
      </c>
      <c r="V176" s="459">
        <f>[2]CZ_decarbplus_opex!T176</f>
        <v>3.1583499999999999E-4</v>
      </c>
      <c r="W176" s="459">
        <f>[2]CZ_decarbplus_opex!U176</f>
        <v>1.7173500000000001E-4</v>
      </c>
      <c r="X176" s="459">
        <f>[2]CZ_decarbplus_opex!V176</f>
        <v>2.2904300000000001E-4</v>
      </c>
      <c r="Y176" s="459">
        <f>[2]CZ_decarbplus_opex!W176</f>
        <v>7.9200000000000004E-6</v>
      </c>
      <c r="Z176" s="459">
        <f>[2]CZ_decarbplus_opex!X176</f>
        <v>4.57E-5</v>
      </c>
      <c r="AA176" s="459">
        <f>[2]CZ_decarbplus_opex!Y176</f>
        <v>7.6000000000000004E-5</v>
      </c>
      <c r="AB176" s="356">
        <f>[3]CZ_decarb_opex!B176</f>
        <v>6.8416599191246001E-3</v>
      </c>
      <c r="AC176" s="356">
        <f>[3]CZ_decarb_opex!C176</f>
        <v>6.1579544640138796E-3</v>
      </c>
      <c r="AD176" s="356">
        <f>[3]CZ_decarb_opex!D176</f>
        <v>4.1257682955284103E-4</v>
      </c>
      <c r="AE176" s="356">
        <f>[2]CZ_decarbplus_opex!Z176</f>
        <v>3.1991799999999998E-4</v>
      </c>
      <c r="AF176" s="356">
        <f>[2]CZ_decarbplus_opex!AA176</f>
        <v>2.18443E-4</v>
      </c>
      <c r="AG176" s="356">
        <f>[2]CZ_decarbplus_opex!AB176</f>
        <v>2.5620299999999999E-4</v>
      </c>
      <c r="AH176" s="356">
        <f>[2]CZ_decarbplus_opex!AC176</f>
        <v>2.5954100000000001E-4</v>
      </c>
      <c r="AI176" s="356">
        <f>[2]CZ_decarbplus_opex!AD176</f>
        <v>5.2824100000000004E-4</v>
      </c>
      <c r="AJ176" s="356">
        <f>[2]CZ_decarbplus_opex!AE176</f>
        <v>5.72088E-4</v>
      </c>
      <c r="AK176" s="356">
        <f>[2]CZ_decarbplus_opex!AF176</f>
        <v>4.2356300000000001E-4</v>
      </c>
      <c r="AL176" s="356">
        <f>[3]CZ_decarb_opex!E176</f>
        <v>7.1718872118275499E-5</v>
      </c>
      <c r="AM176" s="356">
        <f>[3]CZ_decarb_opex!F176</f>
        <v>7.1669195021667605E-5</v>
      </c>
      <c r="AN176" s="356">
        <f>[2]CZ_decarbplus_opex!AG176</f>
        <v>4.2540900000000002E-4</v>
      </c>
      <c r="AO176" s="356">
        <f>[3]CZ_decarb_opex!G176</f>
        <v>3.7828056299533898E-4</v>
      </c>
      <c r="AP176" s="356">
        <f>[3]CZ_decarb_opex!H176</f>
        <v>3.6992528865454802E-4</v>
      </c>
      <c r="AQ176" s="356">
        <f>[2]CZ_decarbplus_opex!AH176</f>
        <v>1.74974E-4</v>
      </c>
      <c r="AR176" s="356">
        <f>[2]CZ_decarbplus_opex!AI176</f>
        <v>0</v>
      </c>
      <c r="AS176" s="356">
        <f>[2]CZ_decarbplus_opex!AJ176</f>
        <v>2.5293400000000001E-4</v>
      </c>
      <c r="AT176" s="356">
        <f>[2]CZ_decarbplus_opex!AK176</f>
        <v>2.7838400000000001E-4</v>
      </c>
      <c r="AU176" s="356">
        <f>[2]CZ_decarbplus_opex!AL176</f>
        <v>3.0676400000000001E-4</v>
      </c>
      <c r="AV176" s="356">
        <f>[2]CZ_decarbplus_opex!AM176</f>
        <v>3.2168000000000002E-4</v>
      </c>
      <c r="AW176" s="356">
        <f>[2]CZ_decarbplus_opex!AN176</f>
        <v>3.2230399999999998E-4</v>
      </c>
      <c r="AX176" s="356">
        <f>[2]CZ_decarbplus_opex!AO176</f>
        <v>0</v>
      </c>
      <c r="AY176" s="356">
        <f>[2]CZ_decarbplus_opex!AP176</f>
        <v>8.6199999999999995E-5</v>
      </c>
      <c r="AZ176" s="356">
        <f>[2]CZ_decarbplus_opex!AQ176</f>
        <v>0</v>
      </c>
      <c r="BA176" s="356">
        <f>[2]CZ_decarbplus_opex!AR176</f>
        <v>3.1230400000000001E-4</v>
      </c>
      <c r="BB176" s="356">
        <f>[2]CZ_decarbplus_opex!AS176</f>
        <v>5.7002699999999997E-4</v>
      </c>
      <c r="BC176" s="356">
        <f>[2]CZ_decarbplus_opex!AT176</f>
        <v>3.1975599999999998E-4</v>
      </c>
      <c r="BD176" s="356">
        <f>[2]CZ_decarbplus_opex!AU176</f>
        <v>3.8000000000000002E-5</v>
      </c>
      <c r="BE176" s="356">
        <f>[2]CZ_decarbplus_opex!AV176</f>
        <v>2.10041E-4</v>
      </c>
      <c r="BF176" s="356">
        <f>[2]CZ_decarbplus_opex!AW176</f>
        <v>7.8100000000000001E-5</v>
      </c>
      <c r="BG176" s="356">
        <f>[2]CZ_decarbplus_opex!AX176</f>
        <v>1.9252399999999999E-4</v>
      </c>
      <c r="BH176" s="356">
        <f>[3]CZ_decarb_opex!I176</f>
        <v>2.5293746933511603E-4</v>
      </c>
      <c r="BI176" s="356">
        <f>[2]CZ_decarbplus_opex!AY176</f>
        <v>3.9806900000000003E-4</v>
      </c>
      <c r="BJ176" s="356">
        <f>[2]CZ_decarbplus_opex!AZ176</f>
        <v>7.5515700000000001E-4</v>
      </c>
      <c r="BK176" s="356">
        <f>[2]CZ_decarbplus_opex!BA176</f>
        <v>0</v>
      </c>
      <c r="BL176" s="356">
        <f>[2]CZ_decarbplus_opex!BB176</f>
        <v>0</v>
      </c>
      <c r="BM176" s="356">
        <f>[3]CZ_decarb_opex!J176</f>
        <v>1.09064739834762E-5</v>
      </c>
      <c r="BN176" s="356">
        <f>[3]CZ_decarb_opex!K176</f>
        <v>3.8646043258471297E-5</v>
      </c>
      <c r="BO176" s="356">
        <f>[3]CZ_decarb_opex!L176</f>
        <v>3.7989642375837803E-5</v>
      </c>
      <c r="BP176" s="356">
        <f>[3]CZ_decarb_opex!M176</f>
        <v>5.2306425062487002E-5</v>
      </c>
      <c r="BQ176" s="356">
        <f>[3]CZ_decarb_opex!N176</f>
        <v>1.05097939659807E-4</v>
      </c>
      <c r="BR176" s="356">
        <f>[3]CZ_decarb_opex!O176</f>
        <v>4.6494514553130002E-5</v>
      </c>
      <c r="BS176" s="356">
        <f>[3]CZ_decarb_opex!P176</f>
        <v>6.01060058776879E-5</v>
      </c>
      <c r="BT176" s="356">
        <f>[3]CZ_decarb_opex!Q176</f>
        <v>1.5514070429880201E-5</v>
      </c>
      <c r="BU176" s="356">
        <f>[3]CZ_decarb_opex!R176</f>
        <v>3.6046753502252601E-4</v>
      </c>
      <c r="BV176" s="356">
        <f>[3]CZ_decarb_opex!S176</f>
        <v>7.6413469267740401E-4</v>
      </c>
      <c r="BW176" s="356">
        <f>[3]CZ_decarb_opex!T176</f>
        <v>5.5357603499048801E-4</v>
      </c>
      <c r="BX176" s="356">
        <f>[3]CZ_decarb_opex!U176</f>
        <v>2.8602382327974901E-5</v>
      </c>
      <c r="BY176" s="356">
        <f>[3]CZ_decarb_opex!V176</f>
        <v>1.2676225041033401E-5</v>
      </c>
      <c r="BZ176" s="356">
        <f>[2]CZ_decarbplus_opex!BC176</f>
        <v>5.5300000000000002E-5</v>
      </c>
      <c r="CA176" s="356">
        <f>[2]CZ_decarbplus_opex!BD176</f>
        <v>2.9499999999999999E-5</v>
      </c>
      <c r="CB176" s="356">
        <f>[2]CZ_decarbplus_opex!BE176</f>
        <v>3.3599999999999997E-5</v>
      </c>
      <c r="CC176" s="356">
        <f>[2]CZ_decarbplus_opex!BF176</f>
        <v>1.2999999999999999E-5</v>
      </c>
      <c r="CD176" s="356">
        <f>[2]CZ_decarbplus_opex!BG176</f>
        <v>5.5999999999999999E-5</v>
      </c>
      <c r="CE176" s="356">
        <f>[2]CZ_decarbplus_opex!BH176</f>
        <v>3.8949200000000002E-4</v>
      </c>
      <c r="CF176" s="356">
        <f>[2]CZ_decarbplus_opex!BI176</f>
        <v>6.1071499999999996E-4</v>
      </c>
      <c r="CG176" s="356">
        <f>[2]CZ_decarbplus_opex!BJ176</f>
        <v>1.8959599999999999E-3</v>
      </c>
    </row>
    <row r="177" spans="1:85" x14ac:dyDescent="0.25">
      <c r="A177" s="4" t="s">
        <v>1069</v>
      </c>
      <c r="B177" s="355">
        <v>11</v>
      </c>
      <c r="C177" s="1" t="s">
        <v>1074</v>
      </c>
      <c r="D177" s="459">
        <f>[2]CZ_decarbplus_opex!B177</f>
        <v>5.5937300000000005E-4</v>
      </c>
      <c r="E177" s="459">
        <f>[2]CZ_decarbplus_opex!C177</f>
        <v>1.0394309999999999E-3</v>
      </c>
      <c r="F177" s="459">
        <f>[2]CZ_decarbplus_opex!D177</f>
        <v>3.35574E-4</v>
      </c>
      <c r="G177" s="459">
        <f>[2]CZ_decarbplus_opex!E177</f>
        <v>1.17427E-4</v>
      </c>
      <c r="H177" s="459">
        <f>[2]CZ_decarbplus_opex!F177</f>
        <v>4.1021779999999997E-3</v>
      </c>
      <c r="I177" s="459">
        <f>[2]CZ_decarbplus_opex!G177</f>
        <v>5.7457500000000002E-4</v>
      </c>
      <c r="J177" s="459">
        <f>[2]CZ_decarbplus_opex!H177</f>
        <v>7.79705E-4</v>
      </c>
      <c r="K177" s="459">
        <f>[2]CZ_decarbplus_opex!I177</f>
        <v>2.1074000000000002E-3</v>
      </c>
      <c r="L177" s="459">
        <f>[2]CZ_decarbplus_opex!J177</f>
        <v>6.0053999999999999E-4</v>
      </c>
      <c r="M177" s="459">
        <f>[2]CZ_decarbplus_opex!K177</f>
        <v>6.9913500000000003E-4</v>
      </c>
      <c r="N177" s="459">
        <f>[2]CZ_decarbplus_opex!L177</f>
        <v>4.25139E-4</v>
      </c>
      <c r="O177" s="459">
        <f>[2]CZ_decarbplus_opex!M177</f>
        <v>1.19431E-4</v>
      </c>
      <c r="P177" s="459">
        <f>[2]CZ_decarbplus_opex!N177</f>
        <v>1.363036E-3</v>
      </c>
      <c r="Q177" s="459">
        <f>[2]CZ_decarbplus_opex!O177</f>
        <v>1.9075419999999999E-3</v>
      </c>
      <c r="R177" s="459">
        <f>[2]CZ_decarbplus_opex!P177</f>
        <v>1.0254960000000001E-3</v>
      </c>
      <c r="S177" s="459">
        <f>[2]CZ_decarbplus_opex!Q177</f>
        <v>4.4411899999999998E-4</v>
      </c>
      <c r="T177" s="459">
        <f>[2]CZ_decarbplus_opex!R177</f>
        <v>5.7106400000000003E-4</v>
      </c>
      <c r="U177" s="459">
        <f>[2]CZ_decarbplus_opex!S177</f>
        <v>5.2905599999999997E-4</v>
      </c>
      <c r="V177" s="459">
        <f>[2]CZ_decarbplus_opex!T177</f>
        <v>6.64407E-4</v>
      </c>
      <c r="W177" s="459">
        <f>[2]CZ_decarbplus_opex!U177</f>
        <v>3.58938E-4</v>
      </c>
      <c r="X177" s="459">
        <f>[2]CZ_decarbplus_opex!V177</f>
        <v>3.6380100000000002E-4</v>
      </c>
      <c r="Y177" s="459">
        <f>[2]CZ_decarbplus_opex!W177</f>
        <v>6.9399999999999996E-6</v>
      </c>
      <c r="Z177" s="459">
        <f>[2]CZ_decarbplus_opex!X177</f>
        <v>4.6999999999999997E-5</v>
      </c>
      <c r="AA177" s="459">
        <f>[2]CZ_decarbplus_opex!Y177</f>
        <v>9.1700000000000006E-5</v>
      </c>
      <c r="AB177" s="356">
        <f>[3]CZ_decarb_opex!B177</f>
        <v>9.8085617875942298E-3</v>
      </c>
      <c r="AC177" s="356">
        <f>[3]CZ_decarb_opex!C177</f>
        <v>7.8664415809781493E-3</v>
      </c>
      <c r="AD177" s="356">
        <f>[3]CZ_decarb_opex!D177</f>
        <v>4.48445981606745E-4</v>
      </c>
      <c r="AE177" s="356">
        <f>[2]CZ_decarbplus_opex!Z177</f>
        <v>3.88203E-4</v>
      </c>
      <c r="AF177" s="356">
        <f>[2]CZ_decarbplus_opex!AA177</f>
        <v>2.3055999999999999E-4</v>
      </c>
      <c r="AG177" s="356">
        <f>[2]CZ_decarbplus_opex!AB177</f>
        <v>4.1430299999999998E-4</v>
      </c>
      <c r="AH177" s="356">
        <f>[2]CZ_decarbplus_opex!AC177</f>
        <v>3.6569499999999997E-4</v>
      </c>
      <c r="AI177" s="356">
        <f>[2]CZ_decarbplus_opex!AD177</f>
        <v>6.8440199999999997E-4</v>
      </c>
      <c r="AJ177" s="356">
        <f>[2]CZ_decarbplus_opex!AE177</f>
        <v>7.5883799999999996E-4</v>
      </c>
      <c r="AK177" s="356">
        <f>[2]CZ_decarbplus_opex!AF177</f>
        <v>5.7047499999999998E-4</v>
      </c>
      <c r="AL177" s="356">
        <f>[3]CZ_decarb_opex!E177</f>
        <v>9.0901649153739202E-5</v>
      </c>
      <c r="AM177" s="356">
        <f>[3]CZ_decarb_opex!F177</f>
        <v>9.1140223274622706E-5</v>
      </c>
      <c r="AN177" s="356">
        <f>[2]CZ_decarbplus_opex!AG177</f>
        <v>5.5480099999999995E-4</v>
      </c>
      <c r="AO177" s="356">
        <f>[3]CZ_decarb_opex!G177</f>
        <v>1.87585185778832E-4</v>
      </c>
      <c r="AP177" s="356">
        <f>[3]CZ_decarb_opex!H177</f>
        <v>1.8749408035536599E-4</v>
      </c>
      <c r="AQ177" s="356">
        <f>[2]CZ_decarbplus_opex!AH177</f>
        <v>8.6600000000000004E-5</v>
      </c>
      <c r="AR177" s="356">
        <f>[2]CZ_decarbplus_opex!AI177</f>
        <v>0</v>
      </c>
      <c r="AS177" s="356">
        <f>[2]CZ_decarbplus_opex!AJ177</f>
        <v>1.09497E-4</v>
      </c>
      <c r="AT177" s="356">
        <f>[2]CZ_decarbplus_opex!AK177</f>
        <v>1.2326500000000001E-4</v>
      </c>
      <c r="AU177" s="356">
        <f>[2]CZ_decarbplus_opex!AL177</f>
        <v>1.7140999999999999E-4</v>
      </c>
      <c r="AV177" s="356">
        <f>[2]CZ_decarbplus_opex!AM177</f>
        <v>1.7818399999999999E-4</v>
      </c>
      <c r="AW177" s="356">
        <f>[2]CZ_decarbplus_opex!AN177</f>
        <v>1.4368000000000001E-4</v>
      </c>
      <c r="AX177" s="356">
        <f>[2]CZ_decarbplus_opex!AO177</f>
        <v>0</v>
      </c>
      <c r="AY177" s="356">
        <f>[2]CZ_decarbplus_opex!AP177</f>
        <v>3.8399999999999998E-5</v>
      </c>
      <c r="AZ177" s="356">
        <f>[2]CZ_decarbplus_opex!AQ177</f>
        <v>0</v>
      </c>
      <c r="BA177" s="356">
        <f>[2]CZ_decarbplus_opex!AR177</f>
        <v>1.65367E-4</v>
      </c>
      <c r="BB177" s="356">
        <f>[2]CZ_decarbplus_opex!AS177</f>
        <v>3.66984E-4</v>
      </c>
      <c r="BC177" s="356">
        <f>[2]CZ_decarbplus_opex!AT177</f>
        <v>2.9456099999999999E-4</v>
      </c>
      <c r="BD177" s="356">
        <f>[2]CZ_decarbplus_opex!AU177</f>
        <v>3.9700000000000003E-5</v>
      </c>
      <c r="BE177" s="356">
        <f>[2]CZ_decarbplus_opex!AV177</f>
        <v>5.5149099999999998E-4</v>
      </c>
      <c r="BF177" s="356">
        <f>[2]CZ_decarbplus_opex!AW177</f>
        <v>1.9477700000000001E-4</v>
      </c>
      <c r="BG177" s="356">
        <f>[2]CZ_decarbplus_opex!AX177</f>
        <v>5.9715500000000004E-4</v>
      </c>
      <c r="BH177" s="356">
        <f>[3]CZ_decarb_opex!I177</f>
        <v>3.1909017360691E-4</v>
      </c>
      <c r="BI177" s="356">
        <f>[2]CZ_decarbplus_opex!AY177</f>
        <v>2.41325E-4</v>
      </c>
      <c r="BJ177" s="356">
        <f>[2]CZ_decarbplus_opex!AZ177</f>
        <v>1.276964E-3</v>
      </c>
      <c r="BK177" s="356">
        <f>[2]CZ_decarbplus_opex!BA177</f>
        <v>8.2183799999999997E-4</v>
      </c>
      <c r="BL177" s="356">
        <f>[2]CZ_decarbplus_opex!BB177</f>
        <v>0</v>
      </c>
      <c r="BM177" s="356">
        <f>[3]CZ_decarb_opex!J177</f>
        <v>8.1944936609517401E-6</v>
      </c>
      <c r="BN177" s="356">
        <f>[3]CZ_decarb_opex!K177</f>
        <v>2.85557154164066E-5</v>
      </c>
      <c r="BO177" s="356">
        <f>[3]CZ_decarb_opex!L177</f>
        <v>2.3830632020232299E-5</v>
      </c>
      <c r="BP177" s="356">
        <f>[3]CZ_decarb_opex!M177</f>
        <v>3.6351536901749403E-5</v>
      </c>
      <c r="BQ177" s="356">
        <f>[3]CZ_decarb_opex!N177</f>
        <v>6.1607513435438E-5</v>
      </c>
      <c r="BR177" s="356">
        <f>[3]CZ_decarb_opex!O177</f>
        <v>4.53995004570547E-5</v>
      </c>
      <c r="BS177" s="356">
        <f>[3]CZ_decarb_opex!P177</f>
        <v>3.6960879786593897E-5</v>
      </c>
      <c r="BT177" s="356">
        <f>[3]CZ_decarb_opex!Q177</f>
        <v>3.8799494899978897E-6</v>
      </c>
      <c r="BU177" s="356">
        <f>[3]CZ_decarb_opex!R177</f>
        <v>2.15541775499495E-4</v>
      </c>
      <c r="BV177" s="356">
        <f>[3]CZ_decarb_opex!S177</f>
        <v>4.5691479087057503E-4</v>
      </c>
      <c r="BW177" s="356">
        <f>[3]CZ_decarb_opex!T177</f>
        <v>1.8759257268544899E-4</v>
      </c>
      <c r="BX177" s="356">
        <f>[3]CZ_decarb_opex!U177</f>
        <v>1.12857991940804E-5</v>
      </c>
      <c r="BY177" s="356">
        <f>[3]CZ_decarb_opex!V177</f>
        <v>3.1702262217660201E-6</v>
      </c>
      <c r="BZ177" s="356">
        <f>[2]CZ_decarbplus_opex!BC177</f>
        <v>3.7400000000000001E-5</v>
      </c>
      <c r="CA177" s="356">
        <f>[2]CZ_decarbplus_opex!BD177</f>
        <v>2.1100000000000001E-5</v>
      </c>
      <c r="CB177" s="356">
        <f>[2]CZ_decarbplus_opex!BE177</f>
        <v>2.3900000000000002E-5</v>
      </c>
      <c r="CC177" s="356">
        <f>[2]CZ_decarbplus_opex!BF177</f>
        <v>7.1600000000000001E-6</v>
      </c>
      <c r="CD177" s="356">
        <f>[2]CZ_decarbplus_opex!BG177</f>
        <v>4.1399999999999997E-5</v>
      </c>
      <c r="CE177" s="356">
        <f>[2]CZ_decarbplus_opex!BH177</f>
        <v>3.5002299999999998E-4</v>
      </c>
      <c r="CF177" s="356">
        <f>[2]CZ_decarbplus_opex!BI177</f>
        <v>5.0800000000000002E-5</v>
      </c>
      <c r="CG177" s="356">
        <f>[2]CZ_decarbplus_opex!BJ177</f>
        <v>1.19193E-4</v>
      </c>
    </row>
    <row r="178" spans="1:85" x14ac:dyDescent="0.25">
      <c r="A178" s="4" t="s">
        <v>1070</v>
      </c>
      <c r="B178" s="355">
        <v>12</v>
      </c>
      <c r="C178" s="1" t="s">
        <v>1074</v>
      </c>
      <c r="D178" s="459">
        <f>[2]CZ_decarbplus_opex!B178</f>
        <v>2.6849040000000001E-3</v>
      </c>
      <c r="E178" s="459">
        <f>[2]CZ_decarbplus_opex!C178</f>
        <v>5.1695990000000004E-3</v>
      </c>
      <c r="F178" s="459">
        <f>[2]CZ_decarbplus_opex!D178</f>
        <v>1.6166329999999999E-3</v>
      </c>
      <c r="G178" s="459">
        <f>[2]CZ_decarbplus_opex!E178</f>
        <v>5.8073300000000005E-4</v>
      </c>
      <c r="H178" s="459">
        <f>[2]CZ_decarbplus_opex!F178</f>
        <v>2.1631851000000001E-2</v>
      </c>
      <c r="I178" s="459">
        <f>[2]CZ_decarbplus_opex!G178</f>
        <v>2.8567140000000002E-3</v>
      </c>
      <c r="J178" s="459">
        <f>[2]CZ_decarbplus_opex!H178</f>
        <v>3.7916640000000001E-3</v>
      </c>
      <c r="K178" s="459">
        <f>[2]CZ_decarbplus_opex!I178</f>
        <v>1.0625005999999999E-2</v>
      </c>
      <c r="L178" s="459">
        <f>[2]CZ_decarbplus_opex!J178</f>
        <v>2.9234980000000001E-3</v>
      </c>
      <c r="M178" s="459">
        <f>[2]CZ_decarbplus_opex!K178</f>
        <v>3.5103809999999999E-3</v>
      </c>
      <c r="N178" s="459">
        <f>[2]CZ_decarbplus_opex!L178</f>
        <v>2.0935989999999998E-3</v>
      </c>
      <c r="O178" s="459">
        <f>[2]CZ_decarbplus_opex!M178</f>
        <v>1.9616220000000001E-3</v>
      </c>
      <c r="P178" s="459">
        <f>[2]CZ_decarbplus_opex!N178</f>
        <v>3.2244959999999999E-3</v>
      </c>
      <c r="Q178" s="459">
        <f>[2]CZ_decarbplus_opex!O178</f>
        <v>9.9462800000000001E-4</v>
      </c>
      <c r="R178" s="459">
        <f>[2]CZ_decarbplus_opex!P178</f>
        <v>2.138849E-3</v>
      </c>
      <c r="S178" s="459">
        <f>[2]CZ_decarbplus_opex!Q178</f>
        <v>8.2828099999999998E-3</v>
      </c>
      <c r="T178" s="459">
        <f>[2]CZ_decarbplus_opex!R178</f>
        <v>9.5295699999999994E-3</v>
      </c>
      <c r="U178" s="459">
        <f>[2]CZ_decarbplus_opex!S178</f>
        <v>2.582913E-3</v>
      </c>
      <c r="V178" s="459">
        <f>[2]CZ_decarbplus_opex!T178</f>
        <v>4.0505360000000004E-3</v>
      </c>
      <c r="W178" s="459">
        <f>[2]CZ_decarbplus_opex!U178</f>
        <v>2.156243E-3</v>
      </c>
      <c r="X178" s="459">
        <f>[2]CZ_decarbplus_opex!V178</f>
        <v>2.7879100000000002E-3</v>
      </c>
      <c r="Y178" s="459">
        <f>[2]CZ_decarbplus_opex!W178</f>
        <v>9.3599999999999998E-5</v>
      </c>
      <c r="Z178" s="459">
        <f>[2]CZ_decarbplus_opex!X178</f>
        <v>4.8871400000000001E-4</v>
      </c>
      <c r="AA178" s="459">
        <f>[2]CZ_decarbplus_opex!Y178</f>
        <v>9.1006300000000002E-4</v>
      </c>
      <c r="AB178" s="356">
        <f>[3]CZ_decarb_opex!B178</f>
        <v>7.28309686749712E-2</v>
      </c>
      <c r="AC178" s="356">
        <f>[3]CZ_decarb_opex!C178</f>
        <v>7.61937727976396E-2</v>
      </c>
      <c r="AD178" s="356">
        <f>[3]CZ_decarb_opex!D178</f>
        <v>4.0669188983245399E-3</v>
      </c>
      <c r="AE178" s="356">
        <f>[2]CZ_decarbplus_opex!Z178</f>
        <v>3.599554E-3</v>
      </c>
      <c r="AF178" s="356">
        <f>[2]CZ_decarbplus_opex!AA178</f>
        <v>2.1639839999999999E-3</v>
      </c>
      <c r="AG178" s="356">
        <f>[2]CZ_decarbplus_opex!AB178</f>
        <v>3.2673250000000002E-3</v>
      </c>
      <c r="AH178" s="356">
        <f>[2]CZ_decarbplus_opex!AC178</f>
        <v>3.3294850000000001E-3</v>
      </c>
      <c r="AI178" s="356">
        <f>[2]CZ_decarbplus_opex!AD178</f>
        <v>6.5338449999999999E-3</v>
      </c>
      <c r="AJ178" s="356">
        <f>[2]CZ_decarbplus_opex!AE178</f>
        <v>7.1711559999999997E-3</v>
      </c>
      <c r="AK178" s="356">
        <f>[2]CZ_decarbplus_opex!AF178</f>
        <v>5.3220949999999998E-3</v>
      </c>
      <c r="AL178" s="356">
        <f>[3]CZ_decarb_opex!E178</f>
        <v>8.8546909302365698E-4</v>
      </c>
      <c r="AM178" s="356">
        <f>[3]CZ_decarb_opex!F178</f>
        <v>8.8621226144005704E-4</v>
      </c>
      <c r="AN178" s="356">
        <f>[2]CZ_decarbplus_opex!AG178</f>
        <v>5.2865380000000003E-3</v>
      </c>
      <c r="AO178" s="356">
        <f>[3]CZ_decarb_opex!G178</f>
        <v>4.5776163923563502E-3</v>
      </c>
      <c r="AP178" s="356">
        <f>[3]CZ_decarb_opex!H178</f>
        <v>4.5800303616456498E-3</v>
      </c>
      <c r="AQ178" s="356">
        <f>[2]CZ_decarbplus_opex!AH178</f>
        <v>2.11283E-3</v>
      </c>
      <c r="AR178" s="356">
        <f>[2]CZ_decarbplus_opex!AI178</f>
        <v>0</v>
      </c>
      <c r="AS178" s="356">
        <f>[2]CZ_decarbplus_opex!AJ178</f>
        <v>3.0944079999999999E-3</v>
      </c>
      <c r="AT178" s="356">
        <f>[2]CZ_decarbplus_opex!AK178</f>
        <v>3.4226460000000001E-3</v>
      </c>
      <c r="AU178" s="356">
        <f>[2]CZ_decarbplus_opex!AL178</f>
        <v>3.9594139999999996E-3</v>
      </c>
      <c r="AV178" s="356">
        <f>[2]CZ_decarbplus_opex!AM178</f>
        <v>4.1133589999999996E-3</v>
      </c>
      <c r="AW178" s="356">
        <f>[2]CZ_decarbplus_opex!AN178</f>
        <v>2.8758719999999998E-3</v>
      </c>
      <c r="AX178" s="356">
        <f>[2]CZ_decarbplus_opex!AO178</f>
        <v>0</v>
      </c>
      <c r="AY178" s="356">
        <f>[2]CZ_decarbplus_opex!AP178</f>
        <v>9.1906099999999999E-4</v>
      </c>
      <c r="AZ178" s="356">
        <f>[2]CZ_decarbplus_opex!AQ178</f>
        <v>0</v>
      </c>
      <c r="BA178" s="356">
        <f>[2]CZ_decarbplus_opex!AR178</f>
        <v>3.8608929999999998E-3</v>
      </c>
      <c r="BB178" s="356">
        <f>[2]CZ_decarbplus_opex!AS178</f>
        <v>7.0771999999999996E-3</v>
      </c>
      <c r="BC178" s="356">
        <f>[2]CZ_decarbplus_opex!AT178</f>
        <v>4.1411039999999996E-3</v>
      </c>
      <c r="BD178" s="356">
        <f>[2]CZ_decarbplus_opex!AU178</f>
        <v>4.4878000000000002E-4</v>
      </c>
      <c r="BE178" s="356">
        <f>[2]CZ_decarbplus_opex!AV178</f>
        <v>2.658793E-3</v>
      </c>
      <c r="BF178" s="356">
        <f>[2]CZ_decarbplus_opex!AW178</f>
        <v>9.23276E-4</v>
      </c>
      <c r="BG178" s="356">
        <f>[2]CZ_decarbplus_opex!AX178</f>
        <v>2.3678010000000001E-3</v>
      </c>
      <c r="BH178" s="356">
        <f>[3]CZ_decarb_opex!I178</f>
        <v>2.9886681459578802E-3</v>
      </c>
      <c r="BI178" s="356">
        <f>[2]CZ_decarbplus_opex!AY178</f>
        <v>5.0583779999999997E-3</v>
      </c>
      <c r="BJ178" s="356">
        <f>[2]CZ_decarbplus_opex!AZ178</f>
        <v>9.5319930000000008E-3</v>
      </c>
      <c r="BK178" s="356">
        <f>[2]CZ_decarbplus_opex!BA178</f>
        <v>0</v>
      </c>
      <c r="BL178" s="356">
        <f>[2]CZ_decarbplus_opex!BB178</f>
        <v>0</v>
      </c>
      <c r="BM178" s="356">
        <f>[3]CZ_decarb_opex!J178</f>
        <v>1.96875649561672E-4</v>
      </c>
      <c r="BN178" s="356">
        <f>[3]CZ_decarb_opex!K178</f>
        <v>6.8492247646510795E-4</v>
      </c>
      <c r="BO178" s="356">
        <f>[3]CZ_decarb_opex!L178</f>
        <v>5.3736973256998395E-4</v>
      </c>
      <c r="BP178" s="356">
        <f>[3]CZ_decarb_opex!M178</f>
        <v>7.4883184065273702E-4</v>
      </c>
      <c r="BQ178" s="356">
        <f>[3]CZ_decarb_opex!N178</f>
        <v>1.6583048993306299E-3</v>
      </c>
      <c r="BR178" s="356">
        <f>[3]CZ_decarb_opex!O178</f>
        <v>7.1639687399868495E-4</v>
      </c>
      <c r="BS178" s="356">
        <f>[3]CZ_decarb_opex!P178</f>
        <v>9.838404119987031E-4</v>
      </c>
      <c r="BT178" s="356">
        <f>[3]CZ_decarb_opex!Q178</f>
        <v>2.4853510024365E-4</v>
      </c>
      <c r="BU178" s="356">
        <f>[3]CZ_decarb_opex!R178</f>
        <v>5.9002843890480798E-3</v>
      </c>
      <c r="BV178" s="356">
        <f>[3]CZ_decarb_opex!S178</f>
        <v>1.25076783906568E-2</v>
      </c>
      <c r="BW178" s="356">
        <f>[3]CZ_decarb_opex!T178</f>
        <v>5.0316107466097304E-3</v>
      </c>
      <c r="BX178" s="356">
        <f>[3]CZ_decarb_opex!U178</f>
        <v>3.8426678866586099E-4</v>
      </c>
      <c r="BY178" s="356">
        <f>[3]CZ_decarb_opex!V178</f>
        <v>2.5859499083645098E-4</v>
      </c>
      <c r="BZ178" s="356">
        <f>[2]CZ_decarbplus_opex!BC178</f>
        <v>8.31039E-4</v>
      </c>
      <c r="CA178" s="356">
        <f>[2]CZ_decarbplus_opex!BD178</f>
        <v>4.3680800000000001E-4</v>
      </c>
      <c r="CB178" s="356">
        <f>[2]CZ_decarbplus_opex!BE178</f>
        <v>4.8725500000000002E-4</v>
      </c>
      <c r="CC178" s="356">
        <f>[2]CZ_decarbplus_opex!BF178</f>
        <v>2.04859E-4</v>
      </c>
      <c r="CD178" s="356">
        <f>[2]CZ_decarbplus_opex!BG178</f>
        <v>1.1015879999999999E-3</v>
      </c>
      <c r="CE178" s="356">
        <f>[2]CZ_decarbplus_opex!BH178</f>
        <v>6.4790819999999997E-3</v>
      </c>
      <c r="CF178" s="356">
        <f>[2]CZ_decarbplus_opex!BI178</f>
        <v>9.599659E-3</v>
      </c>
      <c r="CG178" s="356">
        <f>[2]CZ_decarbplus_opex!BJ178</f>
        <v>3.0386661999999998E-2</v>
      </c>
    </row>
    <row r="179" spans="1:85" x14ac:dyDescent="0.25">
      <c r="A179" s="4" t="s">
        <v>1071</v>
      </c>
      <c r="B179" s="355">
        <v>13</v>
      </c>
      <c r="C179" s="1" t="s">
        <v>1074</v>
      </c>
      <c r="D179" s="459">
        <f>[2]CZ_decarbplus_opex!B179</f>
        <v>2.3544210000000002E-3</v>
      </c>
      <c r="E179" s="459">
        <f>[2]CZ_decarbplus_opex!C179</f>
        <v>4.4390239999999997E-3</v>
      </c>
      <c r="F179" s="459">
        <f>[2]CZ_decarbplus_opex!D179</f>
        <v>1.4185129999999999E-3</v>
      </c>
      <c r="G179" s="459">
        <f>[2]CZ_decarbplus_opex!E179</f>
        <v>5.06913E-4</v>
      </c>
      <c r="H179" s="459">
        <f>[2]CZ_decarbplus_opex!F179</f>
        <v>1.8070194000000001E-2</v>
      </c>
      <c r="I179" s="459">
        <f>[2]CZ_decarbplus_opex!G179</f>
        <v>2.4838009999999999E-3</v>
      </c>
      <c r="J179" s="459">
        <f>[2]CZ_decarbplus_opex!H179</f>
        <v>3.311596E-3</v>
      </c>
      <c r="K179" s="459">
        <f>[2]CZ_decarbplus_opex!I179</f>
        <v>8.9668809999999995E-3</v>
      </c>
      <c r="L179" s="459">
        <f>[2]CZ_decarbplus_opex!J179</f>
        <v>2.5549349999999999E-3</v>
      </c>
      <c r="M179" s="459">
        <f>[2]CZ_decarbplus_opex!K179</f>
        <v>3.0376399999999999E-3</v>
      </c>
      <c r="N179" s="459">
        <f>[2]CZ_decarbplus_opex!L179</f>
        <v>1.817817E-3</v>
      </c>
      <c r="O179" s="459">
        <f>[2]CZ_decarbplus_opex!M179</f>
        <v>5.2594000000000002E-4</v>
      </c>
      <c r="P179" s="459">
        <f>[2]CZ_decarbplus_opex!N179</f>
        <v>5.6798869999999998E-3</v>
      </c>
      <c r="Q179" s="459">
        <f>[2]CZ_decarbplus_opex!O179</f>
        <v>7.9488920000000008E-3</v>
      </c>
      <c r="R179" s="459">
        <f>[2]CZ_decarbplus_opex!P179</f>
        <v>4.2733279999999998E-3</v>
      </c>
      <c r="S179" s="459">
        <f>[2]CZ_decarbplus_opex!Q179</f>
        <v>1.599411E-3</v>
      </c>
      <c r="T179" s="459">
        <f>[2]CZ_decarbplus_opex!R179</f>
        <v>1.841978E-3</v>
      </c>
      <c r="U179" s="459">
        <f>[2]CZ_decarbplus_opex!S179</f>
        <v>1.8681380000000001E-3</v>
      </c>
      <c r="V179" s="459">
        <f>[2]CZ_decarbplus_opex!T179</f>
        <v>2.930818E-3</v>
      </c>
      <c r="W179" s="459">
        <f>[2]CZ_decarbplus_opex!U179</f>
        <v>1.5852189999999999E-3</v>
      </c>
      <c r="X179" s="459">
        <f>[2]CZ_decarbplus_opex!V179</f>
        <v>1.4242580000000001E-3</v>
      </c>
      <c r="Y179" s="459">
        <f>[2]CZ_decarbplus_opex!W179</f>
        <v>2.9499999999999999E-5</v>
      </c>
      <c r="Z179" s="459">
        <f>[2]CZ_decarbplus_opex!X179</f>
        <v>1.9583900000000001E-4</v>
      </c>
      <c r="AA179" s="459">
        <f>[2]CZ_decarbplus_opex!Y179</f>
        <v>3.8828300000000001E-4</v>
      </c>
      <c r="AB179" s="356">
        <f>[3]CZ_decarb_opex!B179</f>
        <v>4.08731148861965E-2</v>
      </c>
      <c r="AC179" s="356">
        <f>[3]CZ_decarb_opex!C179</f>
        <v>3.5082533233366103E-2</v>
      </c>
      <c r="AD179" s="356">
        <f>[3]CZ_decarb_opex!D179</f>
        <v>1.9559406591141801E-3</v>
      </c>
      <c r="AE179" s="356">
        <f>[2]CZ_decarbplus_opex!Z179</f>
        <v>1.6843489999999999E-3</v>
      </c>
      <c r="AF179" s="356">
        <f>[2]CZ_decarbplus_opex!AA179</f>
        <v>1.014692E-3</v>
      </c>
      <c r="AG179" s="356">
        <f>[2]CZ_decarbplus_opex!AB179</f>
        <v>1.5177669999999999E-3</v>
      </c>
      <c r="AH179" s="356">
        <f>[2]CZ_decarbplus_opex!AC179</f>
        <v>1.5238820000000001E-3</v>
      </c>
      <c r="AI179" s="356">
        <f>[2]CZ_decarbplus_opex!AD179</f>
        <v>2.8519610000000001E-3</v>
      </c>
      <c r="AJ179" s="356">
        <f>[2]CZ_decarbplus_opex!AE179</f>
        <v>3.1621430000000001E-3</v>
      </c>
      <c r="AK179" s="356">
        <f>[2]CZ_decarbplus_opex!AF179</f>
        <v>2.377218E-3</v>
      </c>
      <c r="AL179" s="356">
        <f>[3]CZ_decarb_opex!E179</f>
        <v>3.7879493749067798E-4</v>
      </c>
      <c r="AM179" s="356">
        <f>[3]CZ_decarb_opex!F179</f>
        <v>3.7978909623347898E-4</v>
      </c>
      <c r="AN179" s="356">
        <f>[2]CZ_decarbplus_opex!AG179</f>
        <v>2.3119019999999998E-3</v>
      </c>
      <c r="AO179" s="356">
        <f>[3]CZ_decarb_opex!G179</f>
        <v>7.0564123959574203E-4</v>
      </c>
      <c r="AP179" s="356">
        <f>[3]CZ_decarb_opex!H179</f>
        <v>6.4224919278275797E-4</v>
      </c>
      <c r="AQ179" s="356">
        <f>[2]CZ_decarbplus_opex!AH179</f>
        <v>3.6100200000000002E-4</v>
      </c>
      <c r="AR179" s="356">
        <f>[2]CZ_decarbplus_opex!AI179</f>
        <v>0</v>
      </c>
      <c r="AS179" s="356">
        <f>[2]CZ_decarbplus_opex!AJ179</f>
        <v>3.9955500000000001E-4</v>
      </c>
      <c r="AT179" s="356">
        <f>[2]CZ_decarbplus_opex!AK179</f>
        <v>4.29474E-4</v>
      </c>
      <c r="AU179" s="356">
        <f>[2]CZ_decarbplus_opex!AL179</f>
        <v>7.1427999999999997E-4</v>
      </c>
      <c r="AV179" s="356">
        <f>[2]CZ_decarbplus_opex!AM179</f>
        <v>7.42507E-4</v>
      </c>
      <c r="AW179" s="356">
        <f>[2]CZ_decarbplus_opex!AN179</f>
        <v>5.9872600000000005E-4</v>
      </c>
      <c r="AX179" s="356">
        <f>[2]CZ_decarbplus_opex!AO179</f>
        <v>0</v>
      </c>
      <c r="AY179" s="356">
        <f>[2]CZ_decarbplus_opex!AP179</f>
        <v>1.6020300000000001E-4</v>
      </c>
      <c r="AZ179" s="356">
        <f>[2]CZ_decarbplus_opex!AQ179</f>
        <v>0</v>
      </c>
      <c r="BA179" s="356">
        <f>[2]CZ_decarbplus_opex!AR179</f>
        <v>6.8909899999999998E-4</v>
      </c>
      <c r="BB179" s="356">
        <f>[2]CZ_decarbplus_opex!AS179</f>
        <v>1.5867920000000001E-3</v>
      </c>
      <c r="BC179" s="356">
        <f>[2]CZ_decarbplus_opex!AT179</f>
        <v>1.1073260000000001E-3</v>
      </c>
      <c r="BD179" s="356">
        <f>[2]CZ_decarbplus_opex!AU179</f>
        <v>1.65534E-4</v>
      </c>
      <c r="BE179" s="356">
        <f>[2]CZ_decarbplus_opex!AV179</f>
        <v>1.937214E-3</v>
      </c>
      <c r="BF179" s="356">
        <f>[2]CZ_decarbplus_opex!AW179</f>
        <v>8.1165299999999996E-4</v>
      </c>
      <c r="BG179" s="356">
        <f>[2]CZ_decarbplus_opex!AX179</f>
        <v>1.8824320000000001E-3</v>
      </c>
      <c r="BH179" s="356">
        <f>[3]CZ_decarb_opex!I179</f>
        <v>1.32967601237896E-3</v>
      </c>
      <c r="BI179" s="356">
        <f>[2]CZ_decarbplus_opex!AY179</f>
        <v>1.0056240000000001E-3</v>
      </c>
      <c r="BJ179" s="356">
        <f>[2]CZ_decarbplus_opex!AZ179</f>
        <v>5.6360569999999999E-3</v>
      </c>
      <c r="BK179" s="356">
        <f>[2]CZ_decarbplus_opex!BA179</f>
        <v>3.4246699999999999E-3</v>
      </c>
      <c r="BL179" s="356">
        <f>[2]CZ_decarbplus_opex!BB179</f>
        <v>0</v>
      </c>
      <c r="BM179" s="356">
        <f>[3]CZ_decarb_opex!J179</f>
        <v>1.92811615551389E-5</v>
      </c>
      <c r="BN179" s="356">
        <f>[3]CZ_decarb_opex!K179</f>
        <v>6.7189918626761895E-5</v>
      </c>
      <c r="BO179" s="356">
        <f>[3]CZ_decarb_opex!L179</f>
        <v>5.6072075341723103E-5</v>
      </c>
      <c r="BP179" s="356">
        <f>[3]CZ_decarb_opex!M179</f>
        <v>8.5533028003629305E-5</v>
      </c>
      <c r="BQ179" s="356">
        <f>[3]CZ_decarb_opex!N179</f>
        <v>1.4495885514186901E-4</v>
      </c>
      <c r="BR179" s="356">
        <f>[3]CZ_decarb_opex!O179</f>
        <v>2.4376822780900501E-4</v>
      </c>
      <c r="BS179" s="356">
        <f>[3]CZ_decarb_opex!P179</f>
        <v>8.6966775968509995E-5</v>
      </c>
      <c r="BT179" s="356">
        <f>[3]CZ_decarb_opex!Q179</f>
        <v>1.11408554029922E-4</v>
      </c>
      <c r="BU179" s="356">
        <f>[3]CZ_decarb_opex!R179</f>
        <v>5.0715711882397003E-4</v>
      </c>
      <c r="BV179" s="356">
        <f>[3]CZ_decarb_opex!S179</f>
        <v>1.07509362558127E-3</v>
      </c>
      <c r="BW179" s="356">
        <f>[3]CZ_decarb_opex!T179</f>
        <v>9.2623832763558296E-4</v>
      </c>
      <c r="BX179" s="356">
        <f>[3]CZ_decarb_opex!U179</f>
        <v>1.4171613736630801E-4</v>
      </c>
      <c r="BY179" s="356">
        <f>[3]CZ_decarb_opex!V179</f>
        <v>8.5041930162181302E-5</v>
      </c>
      <c r="BZ179" s="356">
        <f>[2]CZ_decarbplus_opex!BC179</f>
        <v>8.7999999999999998E-5</v>
      </c>
      <c r="CA179" s="356">
        <f>[2]CZ_decarbplus_opex!BD179</f>
        <v>4.9700000000000002E-5</v>
      </c>
      <c r="CB179" s="356">
        <f>[2]CZ_decarbplus_opex!BE179</f>
        <v>5.63E-5</v>
      </c>
      <c r="CC179" s="356">
        <f>[2]CZ_decarbplus_opex!BF179</f>
        <v>2.0400000000000001E-5</v>
      </c>
      <c r="CD179" s="356">
        <f>[2]CZ_decarbplus_opex!BG179</f>
        <v>9.7399999999999996E-5</v>
      </c>
      <c r="CE179" s="356">
        <f>[2]CZ_decarbplus_opex!BH179</f>
        <v>7.76255E-4</v>
      </c>
      <c r="CF179" s="356">
        <f>[2]CZ_decarbplus_opex!BI179</f>
        <v>3.2418300000000002E-4</v>
      </c>
      <c r="CG179" s="356">
        <f>[2]CZ_decarbplus_opex!BJ179</f>
        <v>1.041639E-3</v>
      </c>
    </row>
    <row r="180" spans="1:85" x14ac:dyDescent="0.25">
      <c r="A180" s="4" t="s">
        <v>1072</v>
      </c>
      <c r="B180" s="355">
        <v>14</v>
      </c>
      <c r="C180" s="1" t="s">
        <v>1074</v>
      </c>
      <c r="D180" s="459">
        <f>[2]CZ_decarbplus_opex!B180</f>
        <v>1.0432460000000001E-3</v>
      </c>
      <c r="E180" s="459">
        <f>[2]CZ_decarbplus_opex!C180</f>
        <v>2.0301849999999999E-3</v>
      </c>
      <c r="F180" s="459">
        <f>[2]CZ_decarbplus_opex!D180</f>
        <v>6.3400200000000005E-4</v>
      </c>
      <c r="G180" s="459">
        <f>[2]CZ_decarbplus_opex!E180</f>
        <v>2.2642699999999999E-4</v>
      </c>
      <c r="H180" s="459">
        <f>[2]CZ_decarbplus_opex!F180</f>
        <v>8.5498810000000005E-3</v>
      </c>
      <c r="I180" s="459">
        <f>[2]CZ_decarbplus_opex!G180</f>
        <v>1.127931E-3</v>
      </c>
      <c r="J180" s="459">
        <f>[2]CZ_decarbplus_opex!H180</f>
        <v>1.506206E-3</v>
      </c>
      <c r="K180" s="459">
        <f>[2]CZ_decarbplus_opex!I180</f>
        <v>4.2536120000000004E-3</v>
      </c>
      <c r="L180" s="459">
        <f>[2]CZ_decarbplus_opex!J180</f>
        <v>1.1459899999999999E-3</v>
      </c>
      <c r="M180" s="459">
        <f>[2]CZ_decarbplus_opex!K180</f>
        <v>1.405664E-3</v>
      </c>
      <c r="N180" s="459">
        <f>[2]CZ_decarbplus_opex!L180</f>
        <v>8.2458200000000003E-4</v>
      </c>
      <c r="O180" s="459">
        <f>[2]CZ_decarbplus_opex!M180</f>
        <v>7.7559799999999996E-4</v>
      </c>
      <c r="P180" s="459">
        <f>[2]CZ_decarbplus_opex!N180</f>
        <v>1.263894E-3</v>
      </c>
      <c r="Q180" s="459">
        <f>[2]CZ_decarbplus_opex!O180</f>
        <v>2.9268700000000003E-4</v>
      </c>
      <c r="R180" s="459">
        <f>[2]CZ_decarbplus_opex!P180</f>
        <v>8.3107099999999996E-4</v>
      </c>
      <c r="S180" s="459">
        <f>[2]CZ_decarbplus_opex!Q180</f>
        <v>3.3902250000000002E-3</v>
      </c>
      <c r="T180" s="459">
        <f>[2]CZ_decarbplus_opex!R180</f>
        <v>3.8721319999999999E-3</v>
      </c>
      <c r="U180" s="459">
        <f>[2]CZ_decarbplus_opex!S180</f>
        <v>1.0602470000000001E-3</v>
      </c>
      <c r="V180" s="459">
        <f>[2]CZ_decarbplus_opex!T180</f>
        <v>1.6083779999999999E-3</v>
      </c>
      <c r="W180" s="459">
        <f>[2]CZ_decarbplus_opex!U180</f>
        <v>8.7733899999999998E-4</v>
      </c>
      <c r="X180" s="459">
        <f>[2]CZ_decarbplus_opex!V180</f>
        <v>1.1027400000000001E-3</v>
      </c>
      <c r="Y180" s="459">
        <f>[2]CZ_decarbplus_opex!W180</f>
        <v>3.6399999999999997E-5</v>
      </c>
      <c r="Z180" s="459">
        <f>[2]CZ_decarbplus_opex!X180</f>
        <v>1.9024100000000001E-4</v>
      </c>
      <c r="AA180" s="459">
        <f>[2]CZ_decarbplus_opex!Y180</f>
        <v>3.6043000000000002E-4</v>
      </c>
      <c r="AB180" s="356">
        <f>[3]CZ_decarb_opex!B180</f>
        <v>2.84545258168175E-2</v>
      </c>
      <c r="AC180" s="356">
        <f>[3]CZ_decarb_opex!C180</f>
        <v>3.0133956640500701E-2</v>
      </c>
      <c r="AD180" s="356">
        <f>[3]CZ_decarb_opex!D180</f>
        <v>1.6238841283597999E-3</v>
      </c>
      <c r="AE180" s="356">
        <f>[2]CZ_decarbplus_opex!Z180</f>
        <v>1.4320509999999999E-3</v>
      </c>
      <c r="AF180" s="356">
        <f>[2]CZ_decarbplus_opex!AA180</f>
        <v>8.9359800000000001E-4</v>
      </c>
      <c r="AG180" s="356">
        <f>[2]CZ_decarbplus_opex!AB180</f>
        <v>1.307957E-3</v>
      </c>
      <c r="AH180" s="356">
        <f>[2]CZ_decarbplus_opex!AC180</f>
        <v>1.3048739999999999E-3</v>
      </c>
      <c r="AI180" s="356">
        <f>[2]CZ_decarbplus_opex!AD180</f>
        <v>2.548748E-3</v>
      </c>
      <c r="AJ180" s="356">
        <f>[2]CZ_decarbplus_opex!AE180</f>
        <v>2.8086539999999998E-3</v>
      </c>
      <c r="AK180" s="356">
        <f>[2]CZ_decarbplus_opex!AF180</f>
        <v>2.1052380000000002E-3</v>
      </c>
      <c r="AL180" s="356">
        <f>[3]CZ_decarb_opex!E180</f>
        <v>3.4534530815274301E-4</v>
      </c>
      <c r="AM180" s="356">
        <f>[3]CZ_decarb_opex!F180</f>
        <v>3.4564404819614498E-4</v>
      </c>
      <c r="AN180" s="356">
        <f>[2]CZ_decarbplus_opex!AG180</f>
        <v>2.0624580000000001E-3</v>
      </c>
      <c r="AO180" s="356">
        <f>[3]CZ_decarb_opex!G180</f>
        <v>1.7955768749206701E-3</v>
      </c>
      <c r="AP180" s="356">
        <f>[3]CZ_decarb_opex!H180</f>
        <v>1.8563095528323201E-3</v>
      </c>
      <c r="AQ180" s="356">
        <f>[2]CZ_decarbplus_opex!AH180</f>
        <v>8.4049700000000005E-4</v>
      </c>
      <c r="AR180" s="356">
        <f>[2]CZ_decarbplus_opex!AI180</f>
        <v>0</v>
      </c>
      <c r="AS180" s="356">
        <f>[2]CZ_decarbplus_opex!AJ180</f>
        <v>1.22211E-3</v>
      </c>
      <c r="AT180" s="356">
        <f>[2]CZ_decarbplus_opex!AK180</f>
        <v>1.352198E-3</v>
      </c>
      <c r="AU180" s="356">
        <f>[2]CZ_decarbplus_opex!AL180</f>
        <v>1.5709210000000001E-3</v>
      </c>
      <c r="AV180" s="356">
        <f>[2]CZ_decarbplus_opex!AM180</f>
        <v>1.6458989999999999E-3</v>
      </c>
      <c r="AW180" s="356">
        <f>[2]CZ_decarbplus_opex!AN180</f>
        <v>1.189374E-3</v>
      </c>
      <c r="AX180" s="356">
        <f>[2]CZ_decarbplus_opex!AO180</f>
        <v>0</v>
      </c>
      <c r="AY180" s="356">
        <f>[2]CZ_decarbplus_opex!AP180</f>
        <v>3.58594E-4</v>
      </c>
      <c r="AZ180" s="356">
        <f>[2]CZ_decarbplus_opex!AQ180</f>
        <v>0</v>
      </c>
      <c r="BA180" s="356">
        <f>[2]CZ_decarbplus_opex!AR180</f>
        <v>1.546537E-3</v>
      </c>
      <c r="BB180" s="356">
        <f>[2]CZ_decarbplus_opex!AS180</f>
        <v>2.8247860000000001E-3</v>
      </c>
      <c r="BC180" s="356">
        <f>[2]CZ_decarbplus_opex!AT180</f>
        <v>1.6244919999999999E-3</v>
      </c>
      <c r="BD180" s="356">
        <f>[2]CZ_decarbplus_opex!AU180</f>
        <v>1.7437799999999999E-4</v>
      </c>
      <c r="BE180" s="356">
        <f>[2]CZ_decarbplus_opex!AV180</f>
        <v>1.085309E-3</v>
      </c>
      <c r="BF180" s="356">
        <f>[2]CZ_decarbplus_opex!AW180</f>
        <v>3.5874799999999999E-4</v>
      </c>
      <c r="BG180" s="356">
        <f>[2]CZ_decarbplus_opex!AX180</f>
        <v>9.5949999999999996E-4</v>
      </c>
      <c r="BH180" s="356">
        <f>[3]CZ_decarb_opex!I180</f>
        <v>1.04798695233956E-3</v>
      </c>
      <c r="BI180" s="356">
        <f>[2]CZ_decarbplus_opex!AY180</f>
        <v>2.029271E-3</v>
      </c>
      <c r="BJ180" s="356">
        <f>[2]CZ_decarbplus_opex!AZ180</f>
        <v>3.8426060000000001E-3</v>
      </c>
      <c r="BK180" s="356">
        <f>[2]CZ_decarbplus_opex!BA180</f>
        <v>0</v>
      </c>
      <c r="BL180" s="356">
        <f>[2]CZ_decarbplus_opex!BB180</f>
        <v>0</v>
      </c>
      <c r="BM180" s="356">
        <f>[3]CZ_decarb_opex!J180</f>
        <v>1.9044632531111801E-4</v>
      </c>
      <c r="BN180" s="356">
        <f>[3]CZ_decarb_opex!K180</f>
        <v>6.3990681274080595E-4</v>
      </c>
      <c r="BO180" s="356">
        <f>[3]CZ_decarb_opex!L180</f>
        <v>5.9271673541817197E-4</v>
      </c>
      <c r="BP180" s="356">
        <f>[3]CZ_decarb_opex!M180</f>
        <v>8.6731839361864501E-4</v>
      </c>
      <c r="BQ180" s="356">
        <f>[3]CZ_decarb_opex!N180</f>
        <v>1.5505395740113199E-3</v>
      </c>
      <c r="BR180" s="356">
        <f>[3]CZ_decarb_opex!O180</f>
        <v>7.0227359882270703E-4</v>
      </c>
      <c r="BS180" s="356">
        <f>[3]CZ_decarb_opex!P180</f>
        <v>8.9209966618462996E-4</v>
      </c>
      <c r="BT180" s="356">
        <f>[3]CZ_decarb_opex!Q180</f>
        <v>3.1586907358370497E-4</v>
      </c>
      <c r="BU180" s="356">
        <f>[3]CZ_decarb_opex!R180</f>
        <v>5.3500970987472602E-3</v>
      </c>
      <c r="BV180" s="356">
        <f>[3]CZ_decarb_opex!S180</f>
        <v>1.1341367543931599E-2</v>
      </c>
      <c r="BW180" s="356">
        <f>[3]CZ_decarb_opex!T180</f>
        <v>3.5488177957405899E-3</v>
      </c>
      <c r="BX180" s="356">
        <f>[3]CZ_decarb_opex!U180</f>
        <v>5.4966317343450302E-4</v>
      </c>
      <c r="BY180" s="356">
        <f>[3]CZ_decarb_opex!V180</f>
        <v>2.63665480853938E-4</v>
      </c>
      <c r="BZ180" s="356">
        <f>[2]CZ_decarbplus_opex!BC180</f>
        <v>9.0787400000000003E-4</v>
      </c>
      <c r="CA180" s="356">
        <f>[2]CZ_decarbplus_opex!BD180</f>
        <v>4.8357499999999998E-4</v>
      </c>
      <c r="CB180" s="356">
        <f>[2]CZ_decarbplus_opex!BE180</f>
        <v>5.4076500000000002E-4</v>
      </c>
      <c r="CC180" s="356">
        <f>[2]CZ_decarbplus_opex!BF180</f>
        <v>2.16109E-4</v>
      </c>
      <c r="CD180" s="356">
        <f>[2]CZ_decarbplus_opex!BG180</f>
        <v>9.3691300000000005E-4</v>
      </c>
      <c r="CE180" s="356">
        <f>[2]CZ_decarbplus_opex!BH180</f>
        <v>6.5292559999999998E-3</v>
      </c>
      <c r="CF180" s="356">
        <f>[2]CZ_decarbplus_opex!BI180</f>
        <v>2.9126460000000001E-3</v>
      </c>
      <c r="CG180" s="356">
        <f>[2]CZ_decarbplus_opex!BJ180</f>
        <v>9.0310640000000001E-3</v>
      </c>
    </row>
    <row r="181" spans="1:85" x14ac:dyDescent="0.25">
      <c r="A181" s="4" t="s">
        <v>1073</v>
      </c>
      <c r="B181" s="355">
        <v>15</v>
      </c>
      <c r="C181" s="1" t="s">
        <v>1074</v>
      </c>
      <c r="D181" s="459">
        <f>[2]CZ_decarbplus_opex!B181</f>
        <v>1.0012459999999999E-3</v>
      </c>
      <c r="E181" s="459">
        <f>[2]CZ_decarbplus_opex!C181</f>
        <v>1.9317589999999999E-3</v>
      </c>
      <c r="F181" s="459">
        <f>[2]CZ_decarbplus_opex!D181</f>
        <v>6.0259099999999998E-4</v>
      </c>
      <c r="G181" s="459">
        <f>[2]CZ_decarbplus_opex!E181</f>
        <v>2.1917099999999999E-4</v>
      </c>
      <c r="H181" s="459">
        <f>[2]CZ_decarbplus_opex!F181</f>
        <v>8.182992E-3</v>
      </c>
      <c r="I181" s="459">
        <f>[2]CZ_decarbplus_opex!G181</f>
        <v>1.0640300000000001E-3</v>
      </c>
      <c r="J181" s="459">
        <f>[2]CZ_decarbplus_opex!H181</f>
        <v>1.4225850000000001E-3</v>
      </c>
      <c r="K181" s="459">
        <f>[2]CZ_decarbplus_opex!I181</f>
        <v>3.9943399999999999E-3</v>
      </c>
      <c r="L181" s="459">
        <f>[2]CZ_decarbplus_opex!J181</f>
        <v>1.1088750000000001E-3</v>
      </c>
      <c r="M181" s="459">
        <f>[2]CZ_decarbplus_opex!K181</f>
        <v>1.3358619999999999E-3</v>
      </c>
      <c r="N181" s="459">
        <f>[2]CZ_decarbplus_opex!L181</f>
        <v>7.8297299999999996E-4</v>
      </c>
      <c r="O181" s="459">
        <f>[2]CZ_decarbplus_opex!M181</f>
        <v>2.4867299999999998E-4</v>
      </c>
      <c r="P181" s="459">
        <f>[2]CZ_decarbplus_opex!N181</f>
        <v>1.935825E-3</v>
      </c>
      <c r="Q181" s="459">
        <f>[2]CZ_decarbplus_opex!O181</f>
        <v>2.4432199999999999E-3</v>
      </c>
      <c r="R181" s="459">
        <f>[2]CZ_decarbplus_opex!P181</f>
        <v>1.725049E-3</v>
      </c>
      <c r="S181" s="459">
        <f>[2]CZ_decarbplus_opex!Q181</f>
        <v>7.8275399999999998E-4</v>
      </c>
      <c r="T181" s="459">
        <f>[2]CZ_decarbplus_opex!R181</f>
        <v>9.0732699999999998E-4</v>
      </c>
      <c r="U181" s="459">
        <f>[2]CZ_decarbplus_opex!S181</f>
        <v>9.3470499999999998E-4</v>
      </c>
      <c r="V181" s="459">
        <f>[2]CZ_decarbplus_opex!T181</f>
        <v>1.3649790000000001E-3</v>
      </c>
      <c r="W181" s="459">
        <f>[2]CZ_decarbplus_opex!U181</f>
        <v>7.3853299999999998E-4</v>
      </c>
      <c r="X181" s="459">
        <f>[2]CZ_decarbplus_opex!V181</f>
        <v>6.9155099999999999E-4</v>
      </c>
      <c r="Y181" s="459">
        <f>[2]CZ_decarbplus_opex!W181</f>
        <v>1.34E-5</v>
      </c>
      <c r="Z181" s="459">
        <f>[2]CZ_decarbplus_opex!X181</f>
        <v>7.0199999999999999E-5</v>
      </c>
      <c r="AA181" s="459">
        <f>[2]CZ_decarbplus_opex!Y181</f>
        <v>1.68505E-4</v>
      </c>
      <c r="AB181" s="356">
        <f>[3]CZ_decarb_opex!B181</f>
        <v>1.2439681995484699E-2</v>
      </c>
      <c r="AC181" s="356">
        <f>[3]CZ_decarb_opex!C181</f>
        <v>1.5813854342637601E-2</v>
      </c>
      <c r="AD181" s="356">
        <f>[3]CZ_decarb_opex!D181</f>
        <v>8.7148272413930703E-4</v>
      </c>
      <c r="AE181" s="356">
        <f>[2]CZ_decarbplus_opex!Z181</f>
        <v>7.4528500000000004E-4</v>
      </c>
      <c r="AF181" s="356">
        <f>[2]CZ_decarbplus_opex!AA181</f>
        <v>4.5423700000000002E-4</v>
      </c>
      <c r="AG181" s="356">
        <f>[2]CZ_decarbplus_opex!AB181</f>
        <v>7.0949700000000001E-4</v>
      </c>
      <c r="AH181" s="356">
        <f>[2]CZ_decarbplus_opex!AC181</f>
        <v>4.8343799999999999E-4</v>
      </c>
      <c r="AI181" s="356">
        <f>[2]CZ_decarbplus_opex!AD181</f>
        <v>1.0050739999999999E-3</v>
      </c>
      <c r="AJ181" s="356">
        <f>[2]CZ_decarbplus_opex!AE181</f>
        <v>1.0789160000000001E-3</v>
      </c>
      <c r="AK181" s="356">
        <f>[2]CZ_decarbplus_opex!AF181</f>
        <v>8.0385999999999999E-4</v>
      </c>
      <c r="AL181" s="356">
        <f>[3]CZ_decarb_opex!E181</f>
        <v>1.3742887021158401E-4</v>
      </c>
      <c r="AM181" s="356">
        <f>[3]CZ_decarb_opex!F181</f>
        <v>1.3520390578673999E-4</v>
      </c>
      <c r="AN181" s="356">
        <f>[2]CZ_decarbplus_opex!AG181</f>
        <v>8.0410300000000002E-4</v>
      </c>
      <c r="AO181" s="356">
        <f>[3]CZ_decarb_opex!G181</f>
        <v>2.75610006443124E-4</v>
      </c>
      <c r="AP181" s="356">
        <f>[3]CZ_decarb_opex!H181</f>
        <v>2.8430178530263899E-4</v>
      </c>
      <c r="AQ181" s="356">
        <f>[2]CZ_decarbplus_opex!AH181</f>
        <v>1.2575600000000001E-4</v>
      </c>
      <c r="AR181" s="356">
        <f>[2]CZ_decarbplus_opex!AI181</f>
        <v>0</v>
      </c>
      <c r="AS181" s="356">
        <f>[2]CZ_decarbplus_opex!AJ181</f>
        <v>1.8821699999999999E-4</v>
      </c>
      <c r="AT181" s="356">
        <f>[2]CZ_decarbplus_opex!AK181</f>
        <v>2.0552999999999999E-4</v>
      </c>
      <c r="AU181" s="356">
        <f>[2]CZ_decarbplus_opex!AL181</f>
        <v>2.3750600000000001E-4</v>
      </c>
      <c r="AV181" s="356">
        <f>[2]CZ_decarbplus_opex!AM181</f>
        <v>2.5035900000000002E-4</v>
      </c>
      <c r="AW181" s="356">
        <f>[2]CZ_decarbplus_opex!AN181</f>
        <v>2.1927599999999999E-4</v>
      </c>
      <c r="AX181" s="356">
        <f>[2]CZ_decarbplus_opex!AO181</f>
        <v>0</v>
      </c>
      <c r="AY181" s="356">
        <f>[2]CZ_decarbplus_opex!AP181</f>
        <v>6.4700000000000001E-5</v>
      </c>
      <c r="AZ181" s="356">
        <f>[2]CZ_decarbplus_opex!AQ181</f>
        <v>0</v>
      </c>
      <c r="BA181" s="356">
        <f>[2]CZ_decarbplus_opex!AR181</f>
        <v>2.3116799999999999E-4</v>
      </c>
      <c r="BB181" s="356">
        <f>[2]CZ_decarbplus_opex!AS181</f>
        <v>7.5025199999999997E-4</v>
      </c>
      <c r="BC181" s="356">
        <f>[2]CZ_decarbplus_opex!AT181</f>
        <v>4.38023E-4</v>
      </c>
      <c r="BD181" s="356">
        <f>[2]CZ_decarbplus_opex!AU181</f>
        <v>6.6799999999999997E-5</v>
      </c>
      <c r="BE181" s="356">
        <f>[2]CZ_decarbplus_opex!AV181</f>
        <v>9.3526500000000001E-4</v>
      </c>
      <c r="BF181" s="356">
        <f>[2]CZ_decarbplus_opex!AW181</f>
        <v>3.2764600000000001E-4</v>
      </c>
      <c r="BG181" s="356">
        <f>[2]CZ_decarbplus_opex!AX181</f>
        <v>8.8863799999999997E-4</v>
      </c>
      <c r="BH181" s="356">
        <f>[3]CZ_decarb_opex!I181</f>
        <v>4.7685544881004099E-4</v>
      </c>
      <c r="BI181" s="356">
        <f>[2]CZ_decarbplus_opex!AY181</f>
        <v>3.4291500000000001E-4</v>
      </c>
      <c r="BJ181" s="356">
        <f>[2]CZ_decarbplus_opex!AZ181</f>
        <v>2.7126009999999998E-3</v>
      </c>
      <c r="BK181" s="356">
        <f>[2]CZ_decarbplus_opex!BA181</f>
        <v>1.509575E-3</v>
      </c>
      <c r="BL181" s="356">
        <f>[2]CZ_decarbplus_opex!BB181</f>
        <v>0</v>
      </c>
      <c r="BM181" s="356">
        <f>[3]CZ_decarb_opex!J181</f>
        <v>4.7350482917290899E-5</v>
      </c>
      <c r="BN181" s="356">
        <f>[3]CZ_decarb_opex!K181</f>
        <v>1.99890007914769E-4</v>
      </c>
      <c r="BO181" s="356">
        <f>[3]CZ_decarb_opex!L181</f>
        <v>1.61076424834357E-4</v>
      </c>
      <c r="BP181" s="356">
        <f>[3]CZ_decarb_opex!M181</f>
        <v>2.0842237371708101E-4</v>
      </c>
      <c r="BQ181" s="356">
        <f>[3]CZ_decarb_opex!N181</f>
        <v>4.4008601747723202E-4</v>
      </c>
      <c r="BR181" s="356">
        <f>[3]CZ_decarb_opex!O181</f>
        <v>2.1501080993261801E-4</v>
      </c>
      <c r="BS181" s="356">
        <f>[3]CZ_decarb_opex!P181</f>
        <v>2.5872615850600598E-4</v>
      </c>
      <c r="BT181" s="356">
        <f>[3]CZ_decarb_opex!Q181</f>
        <v>6.7249638333113099E-5</v>
      </c>
      <c r="BU181" s="356">
        <f>[3]CZ_decarb_opex!R181</f>
        <v>1.5087924285052099E-3</v>
      </c>
      <c r="BV181" s="356">
        <f>[3]CZ_decarb_opex!S181</f>
        <v>3.19840353611255E-3</v>
      </c>
      <c r="BW181" s="356">
        <f>[3]CZ_decarb_opex!T181</f>
        <v>1.7352312973366001E-3</v>
      </c>
      <c r="BX181" s="356">
        <f>[3]CZ_decarb_opex!U181</f>
        <v>1.5536781594964301E-4</v>
      </c>
      <c r="BY181" s="356">
        <f>[3]CZ_decarb_opex!V181</f>
        <v>4.9882203842358697E-5</v>
      </c>
      <c r="BZ181" s="356">
        <f>[2]CZ_decarbplus_opex!BC181</f>
        <v>2.1724299999999999E-4</v>
      </c>
      <c r="CA181" s="356">
        <f>[2]CZ_decarbplus_opex!BD181</f>
        <v>1.21248E-4</v>
      </c>
      <c r="CB181" s="356">
        <f>[2]CZ_decarbplus_opex!BE181</f>
        <v>1.37849E-4</v>
      </c>
      <c r="CC181" s="356">
        <f>[2]CZ_decarbplus_opex!BF181</f>
        <v>5.1100000000000002E-5</v>
      </c>
      <c r="CD181" s="356">
        <f>[2]CZ_decarbplus_opex!BG181</f>
        <v>2.8969100000000002E-4</v>
      </c>
      <c r="CE181" s="356">
        <f>[2]CZ_decarbplus_opex!BH181</f>
        <v>2.7404510000000001E-3</v>
      </c>
      <c r="CF181" s="356">
        <f>[2]CZ_decarbplus_opex!BI181</f>
        <v>7.45702E-4</v>
      </c>
      <c r="CG181" s="356">
        <f>[2]CZ_decarbplus_opex!BJ181</f>
        <v>2.3485899999999998E-3</v>
      </c>
    </row>
  </sheetData>
  <conditionalFormatting sqref="BM1">
    <cfRule type="colorScale" priority="20">
      <colorScale>
        <cfvo type="min"/>
        <cfvo type="max"/>
        <color rgb="FFFCFCFF"/>
        <color rgb="FF63BE7B"/>
      </colorScale>
    </cfRule>
  </conditionalFormatting>
  <conditionalFormatting sqref="BN1">
    <cfRule type="colorScale" priority="19">
      <colorScale>
        <cfvo type="min"/>
        <cfvo type="max"/>
        <color rgb="FFFCFCFF"/>
        <color rgb="FF63BE7B"/>
      </colorScale>
    </cfRule>
  </conditionalFormatting>
  <conditionalFormatting sqref="BO1">
    <cfRule type="colorScale" priority="18">
      <colorScale>
        <cfvo type="min"/>
        <cfvo type="max"/>
        <color rgb="FFFCFCFF"/>
        <color rgb="FF63BE7B"/>
      </colorScale>
    </cfRule>
  </conditionalFormatting>
  <conditionalFormatting sqref="BP1">
    <cfRule type="colorScale" priority="17">
      <colorScale>
        <cfvo type="min"/>
        <cfvo type="max"/>
        <color rgb="FFFCFCFF"/>
        <color rgb="FF63BE7B"/>
      </colorScale>
    </cfRule>
  </conditionalFormatting>
  <conditionalFormatting sqref="BQ1">
    <cfRule type="colorScale" priority="16">
      <colorScale>
        <cfvo type="min"/>
        <cfvo type="max"/>
        <color rgb="FFFCFCFF"/>
        <color rgb="FF63BE7B"/>
      </colorScale>
    </cfRule>
  </conditionalFormatting>
  <conditionalFormatting sqref="BR1">
    <cfRule type="colorScale" priority="15">
      <colorScale>
        <cfvo type="min"/>
        <cfvo type="max"/>
        <color rgb="FFFCFCFF"/>
        <color rgb="FF63BE7B"/>
      </colorScale>
    </cfRule>
  </conditionalFormatting>
  <conditionalFormatting sqref="BS1">
    <cfRule type="colorScale" priority="14">
      <colorScale>
        <cfvo type="min"/>
        <cfvo type="max"/>
        <color rgb="FFFCFCFF"/>
        <color rgb="FF63BE7B"/>
      </colorScale>
    </cfRule>
  </conditionalFormatting>
  <conditionalFormatting sqref="BT1">
    <cfRule type="colorScale" priority="13">
      <colorScale>
        <cfvo type="min"/>
        <cfvo type="max"/>
        <color rgb="FFFCFCFF"/>
        <color rgb="FF63BE7B"/>
      </colorScale>
    </cfRule>
  </conditionalFormatting>
  <conditionalFormatting sqref="BV1">
    <cfRule type="colorScale" priority="12">
      <colorScale>
        <cfvo type="min"/>
        <cfvo type="max"/>
        <color rgb="FFFCFCFF"/>
        <color rgb="FF63BE7B"/>
      </colorScale>
    </cfRule>
  </conditionalFormatting>
  <conditionalFormatting sqref="BW1">
    <cfRule type="colorScale" priority="11">
      <colorScale>
        <cfvo type="min"/>
        <cfvo type="max"/>
        <color rgb="FFFCFCFF"/>
        <color rgb="FF63BE7B"/>
      </colorScale>
    </cfRule>
  </conditionalFormatting>
  <conditionalFormatting sqref="BX1">
    <cfRule type="colorScale" priority="10">
      <colorScale>
        <cfvo type="min"/>
        <cfvo type="max"/>
        <color rgb="FFFCFCFF"/>
        <color rgb="FF63BE7B"/>
      </colorScale>
    </cfRule>
  </conditionalFormatting>
  <conditionalFormatting sqref="BY1">
    <cfRule type="colorScale" priority="9">
      <colorScale>
        <cfvo type="min"/>
        <cfvo type="max"/>
        <color rgb="FFFCFCFF"/>
        <color rgb="FF63BE7B"/>
      </colorScale>
    </cfRule>
  </conditionalFormatting>
  <conditionalFormatting sqref="BM1:BY1 BM182:BY1048576">
    <cfRule type="colorScale" priority="8">
      <colorScale>
        <cfvo type="min"/>
        <cfvo type="max"/>
        <color rgb="FFFCFCFF"/>
        <color rgb="FF63BE7B"/>
      </colorScale>
    </cfRule>
  </conditionalFormatting>
  <conditionalFormatting sqref="AB176:BY181">
    <cfRule type="cellIs" dxfId="41" priority="6" operator="equal">
      <formula>1</formula>
    </cfRule>
  </conditionalFormatting>
  <conditionalFormatting sqref="D2:AA175">
    <cfRule type="colorScale" priority="5">
      <colorScale>
        <cfvo type="min"/>
        <cfvo type="max"/>
        <color rgb="FFFFEF9C"/>
        <color rgb="FF63BE7B"/>
      </colorScale>
    </cfRule>
  </conditionalFormatting>
  <conditionalFormatting sqref="AB2:BY175">
    <cfRule type="colorScale" priority="65">
      <colorScale>
        <cfvo type="min"/>
        <cfvo type="max"/>
        <color rgb="FFFFEF9C"/>
        <color rgb="FF63BE7B"/>
      </colorScale>
    </cfRule>
  </conditionalFormatting>
  <conditionalFormatting sqref="BZ1:CG1">
    <cfRule type="colorScale" priority="3">
      <colorScale>
        <cfvo type="min"/>
        <cfvo type="max"/>
        <color rgb="FFFCFCFF"/>
        <color rgb="FF63BE7B"/>
      </colorScale>
    </cfRule>
  </conditionalFormatting>
  <conditionalFormatting sqref="BZ1:CG1 BZ182:CG1048576">
    <cfRule type="colorScale" priority="2">
      <colorScale>
        <cfvo type="min"/>
        <cfvo type="max"/>
        <color rgb="FFFCFCFF"/>
        <color rgb="FF63BE7B"/>
      </colorScale>
    </cfRule>
  </conditionalFormatting>
  <conditionalFormatting sqref="BZ176:CG181">
    <cfRule type="cellIs" dxfId="40" priority="1" operator="equal">
      <formula>1</formula>
    </cfRule>
  </conditionalFormatting>
  <conditionalFormatting sqref="BZ2:CG175">
    <cfRule type="colorScale" priority="4">
      <colorScale>
        <cfvo type="min"/>
        <cfvo type="max"/>
        <color rgb="FFFFEF9C"/>
        <color rgb="FF63BE7B"/>
      </colorScale>
    </cfRule>
  </conditionalFormatting>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81"/>
  <sheetViews>
    <sheetView zoomScale="75" zoomScaleNormal="75" workbookViewId="0">
      <pane xSplit="3" ySplit="1" topLeftCell="D2" activePane="bottomRight" state="frozen"/>
      <selection activeCell="D2" sqref="D2"/>
      <selection pane="topRight" activeCell="D2" sqref="D2"/>
      <selection pane="bottomLeft" activeCell="D2" sqref="D2"/>
      <selection pane="bottomRight" activeCell="D2" sqref="D2"/>
    </sheetView>
  </sheetViews>
  <sheetFormatPr defaultColWidth="8.75" defaultRowHeight="15" x14ac:dyDescent="0.25"/>
  <cols>
    <col min="1" max="1" width="45.75" style="4" customWidth="1"/>
    <col min="2" max="2" width="12.375" style="4" customWidth="1"/>
    <col min="3" max="3" width="25" style="1" bestFit="1" customWidth="1"/>
    <col min="4" max="67" width="9.625" style="1" customWidth="1"/>
    <col min="68" max="73" width="9.625" style="188" customWidth="1"/>
    <col min="74" max="86" width="9.625" style="25" customWidth="1"/>
    <col min="87" max="94" width="9.625" style="86" customWidth="1"/>
    <col min="95" max="16384" width="8.75" style="4"/>
  </cols>
  <sheetData>
    <row r="1" spans="1:94" ht="15" customHeight="1" x14ac:dyDescent="0.25">
      <c r="A1" s="3" t="s">
        <v>0</v>
      </c>
      <c r="B1" s="3" t="s">
        <v>1</v>
      </c>
      <c r="C1" s="10" t="s">
        <v>324</v>
      </c>
      <c r="D1" s="10" t="s">
        <v>90</v>
      </c>
      <c r="E1" s="10" t="s">
        <v>92</v>
      </c>
      <c r="F1" s="10" t="s">
        <v>94</v>
      </c>
      <c r="G1" s="10" t="s">
        <v>96</v>
      </c>
      <c r="H1" s="10" t="s">
        <v>98</v>
      </c>
      <c r="I1" s="10" t="s">
        <v>100</v>
      </c>
      <c r="J1" s="10" t="s">
        <v>102</v>
      </c>
      <c r="K1" s="10" t="s">
        <v>104</v>
      </c>
      <c r="L1" s="10" t="s">
        <v>106</v>
      </c>
      <c r="M1" s="10" t="s">
        <v>108</v>
      </c>
      <c r="N1" s="10" t="s">
        <v>110</v>
      </c>
      <c r="O1" s="10" t="s">
        <v>112</v>
      </c>
      <c r="P1" s="10" t="s">
        <v>114</v>
      </c>
      <c r="Q1" s="10" t="s">
        <v>116</v>
      </c>
      <c r="R1" s="10" t="s">
        <v>118</v>
      </c>
      <c r="S1" s="10" t="s">
        <v>120</v>
      </c>
      <c r="T1" s="10" t="s">
        <v>122</v>
      </c>
      <c r="U1" s="10" t="s">
        <v>124</v>
      </c>
      <c r="V1" s="10" t="s">
        <v>126</v>
      </c>
      <c r="W1" s="10" t="s">
        <v>128</v>
      </c>
      <c r="X1" s="10" t="s">
        <v>130</v>
      </c>
      <c r="Y1" s="10" t="s">
        <v>132</v>
      </c>
      <c r="Z1" s="10" t="s">
        <v>134</v>
      </c>
      <c r="AA1" s="10" t="s">
        <v>136</v>
      </c>
      <c r="AB1" s="24" t="s">
        <v>737</v>
      </c>
      <c r="AC1" s="24" t="s">
        <v>738</v>
      </c>
      <c r="AD1" s="24" t="s">
        <v>748</v>
      </c>
      <c r="AE1" s="24" t="s">
        <v>140</v>
      </c>
      <c r="AF1" s="24" t="s">
        <v>739</v>
      </c>
      <c r="AG1" s="24" t="s">
        <v>740</v>
      </c>
      <c r="AH1" s="24" t="s">
        <v>926</v>
      </c>
      <c r="AI1" s="26" t="s">
        <v>144</v>
      </c>
      <c r="AJ1" s="26" t="s">
        <v>146</v>
      </c>
      <c r="AK1" s="26" t="s">
        <v>148</v>
      </c>
      <c r="AL1" s="26" t="s">
        <v>150</v>
      </c>
      <c r="AM1" s="26" t="s">
        <v>152</v>
      </c>
      <c r="AN1" s="26" t="s">
        <v>154</v>
      </c>
      <c r="AO1" s="26" t="s">
        <v>156</v>
      </c>
      <c r="AP1" s="24" t="s">
        <v>735</v>
      </c>
      <c r="AQ1" s="24" t="s">
        <v>736</v>
      </c>
      <c r="AR1" s="24" t="s">
        <v>744</v>
      </c>
      <c r="AS1" s="24" t="s">
        <v>160</v>
      </c>
      <c r="AT1" s="26" t="s">
        <v>162</v>
      </c>
      <c r="AU1" s="24" t="s">
        <v>730</v>
      </c>
      <c r="AV1" s="24" t="s">
        <v>731</v>
      </c>
      <c r="AW1" s="24" t="s">
        <v>746</v>
      </c>
      <c r="AX1" s="24" t="s">
        <v>166</v>
      </c>
      <c r="AY1" s="26" t="s">
        <v>168</v>
      </c>
      <c r="AZ1" s="26" t="s">
        <v>170</v>
      </c>
      <c r="BA1" s="26" t="s">
        <v>172</v>
      </c>
      <c r="BB1" s="26" t="s">
        <v>174</v>
      </c>
      <c r="BC1" s="26" t="s">
        <v>176</v>
      </c>
      <c r="BD1" s="26" t="s">
        <v>178</v>
      </c>
      <c r="BE1" s="26" t="s">
        <v>180</v>
      </c>
      <c r="BF1" s="26" t="s">
        <v>182</v>
      </c>
      <c r="BG1" s="26" t="s">
        <v>184</v>
      </c>
      <c r="BH1" s="26" t="s">
        <v>186</v>
      </c>
      <c r="BI1" s="26" t="s">
        <v>188</v>
      </c>
      <c r="BJ1" s="26" t="s">
        <v>190</v>
      </c>
      <c r="BK1" s="26" t="s">
        <v>192</v>
      </c>
      <c r="BL1" s="26" t="s">
        <v>194</v>
      </c>
      <c r="BM1" s="26" t="s">
        <v>196</v>
      </c>
      <c r="BN1" s="26" t="s">
        <v>198</v>
      </c>
      <c r="BO1" s="26" t="s">
        <v>200</v>
      </c>
      <c r="BP1" s="190" t="s">
        <v>733</v>
      </c>
      <c r="BQ1" s="190" t="s">
        <v>734</v>
      </c>
      <c r="BR1" s="26" t="s">
        <v>204</v>
      </c>
      <c r="BS1" s="26" t="s">
        <v>206</v>
      </c>
      <c r="BT1" s="26" t="s">
        <v>208</v>
      </c>
      <c r="BU1" s="26" t="s">
        <v>210</v>
      </c>
      <c r="BV1" s="26" t="s">
        <v>3</v>
      </c>
      <c r="BW1" s="26" t="s">
        <v>5</v>
      </c>
      <c r="BX1" s="26" t="s">
        <v>7</v>
      </c>
      <c r="BY1" s="26" t="s">
        <v>9</v>
      </c>
      <c r="BZ1" s="26" t="s">
        <v>336</v>
      </c>
      <c r="CA1" s="26" t="s">
        <v>337</v>
      </c>
      <c r="CB1" s="26" t="s">
        <v>11</v>
      </c>
      <c r="CC1" s="26" t="s">
        <v>13</v>
      </c>
      <c r="CD1" s="28" t="s">
        <v>338</v>
      </c>
      <c r="CE1" s="26" t="s">
        <v>339</v>
      </c>
      <c r="CF1" s="26" t="s">
        <v>15</v>
      </c>
      <c r="CG1" s="26" t="s">
        <v>17</v>
      </c>
      <c r="CH1" s="26" t="s">
        <v>19</v>
      </c>
      <c r="CI1" s="26" t="s">
        <v>21</v>
      </c>
      <c r="CJ1" s="26" t="s">
        <v>212</v>
      </c>
      <c r="CK1" s="26" t="s">
        <v>214</v>
      </c>
      <c r="CL1" s="26" t="s">
        <v>216</v>
      </c>
      <c r="CM1" s="26" t="s">
        <v>218</v>
      </c>
      <c r="CN1" s="26" t="s">
        <v>220</v>
      </c>
      <c r="CO1" s="26" t="s">
        <v>222</v>
      </c>
      <c r="CP1" s="26" t="s">
        <v>224</v>
      </c>
    </row>
    <row r="2" spans="1:94" x14ac:dyDescent="0.25">
      <c r="A2" s="5" t="s">
        <v>23</v>
      </c>
      <c r="B2" s="2" t="s">
        <v>22</v>
      </c>
      <c r="C2" s="1" t="s">
        <v>325</v>
      </c>
      <c r="D2" s="188">
        <f>opex_orig!D2</f>
        <v>4.7099999999999998E-6</v>
      </c>
      <c r="E2" s="188">
        <f>opex_orig!E2</f>
        <v>5.4500000000000003E-6</v>
      </c>
      <c r="F2" s="188">
        <f>opex_orig!F2</f>
        <v>2.41E-5</v>
      </c>
      <c r="G2" s="188">
        <f>opex_orig!G2</f>
        <v>1.19E-6</v>
      </c>
      <c r="H2" s="188">
        <f>opex_orig!H2</f>
        <v>1.35E-6</v>
      </c>
      <c r="I2" s="188">
        <f>opex_orig!I2</f>
        <v>3.3900000000000002E-6</v>
      </c>
      <c r="J2" s="188">
        <f>opex_orig!J2</f>
        <v>1.7001830000000001E-3</v>
      </c>
      <c r="K2" s="188">
        <f>opex_orig!K2</f>
        <v>1.27E-5</v>
      </c>
      <c r="L2" s="188">
        <f>opex_orig!L2</f>
        <v>4.1969700000000002E-4</v>
      </c>
      <c r="M2" s="188">
        <f>opex_orig!M2</f>
        <v>4.0421899999999999E-4</v>
      </c>
      <c r="N2" s="188">
        <f>opex_orig!N2</f>
        <v>1.052297E-3</v>
      </c>
      <c r="O2" s="188">
        <f>opex_orig!O2</f>
        <v>1.0026785E-2</v>
      </c>
      <c r="P2" s="188">
        <f>opex_orig!P2</f>
        <v>1.4309069999999999E-3</v>
      </c>
      <c r="Q2" s="188">
        <f>opex_orig!Q2</f>
        <v>2.7500000000000001E-5</v>
      </c>
      <c r="R2" s="188">
        <f>opex_orig!R2</f>
        <v>1.24E-5</v>
      </c>
      <c r="S2" s="188">
        <f>opex_orig!S2</f>
        <v>2.3599999999999999E-6</v>
      </c>
      <c r="T2" s="188">
        <f>opex_orig!T2</f>
        <v>3.0900000000000001E-6</v>
      </c>
      <c r="U2" s="188">
        <f>opex_orig!U2</f>
        <v>2.5299999999999999E-6</v>
      </c>
      <c r="V2" s="188">
        <f>opex_orig!V2</f>
        <v>4.1699999999999999E-6</v>
      </c>
      <c r="W2" s="188">
        <f>opex_orig!W2</f>
        <v>2.7700000000000002E-6</v>
      </c>
      <c r="X2" s="188">
        <f>opex_orig!X2</f>
        <v>1.13E-5</v>
      </c>
      <c r="Y2" s="188">
        <f>opex_orig!Y2</f>
        <v>9.7300000000000004E-7</v>
      </c>
      <c r="Z2" s="188">
        <f>opex_orig!Z2</f>
        <v>1.0100000000000001E-6</v>
      </c>
      <c r="AA2" s="188">
        <f>opex_orig!AA2</f>
        <v>7.1799999999999999E-6</v>
      </c>
      <c r="AB2" s="188">
        <f>opex_orig!$AB2</f>
        <v>2.5635095410803999E-4</v>
      </c>
      <c r="AC2" s="188">
        <f>opex_orig!$AB2</f>
        <v>2.5635095410803999E-4</v>
      </c>
      <c r="AD2" s="188">
        <f>opex_orig!$AB2</f>
        <v>2.5635095410803999E-4</v>
      </c>
      <c r="AE2" s="188">
        <f>opex_orig!$AC2</f>
        <v>8.8072851094694998E-5</v>
      </c>
      <c r="AF2" s="188">
        <f>opex_orig!$AD2</f>
        <v>6.2079689877585098E-5</v>
      </c>
      <c r="AG2" s="188">
        <f>opex_orig!$AD2</f>
        <v>6.2079689877585098E-5</v>
      </c>
      <c r="AH2" s="188">
        <f>opex_orig!$AD2</f>
        <v>6.2079689877585098E-5</v>
      </c>
      <c r="AI2" s="188">
        <f>opex_orig!AE2</f>
        <v>5.0300000000000003E-5</v>
      </c>
      <c r="AJ2" s="188">
        <f>opex_orig!AF2</f>
        <v>6.3399999999999996E-5</v>
      </c>
      <c r="AK2" s="188">
        <f>opex_orig!AG2</f>
        <v>1.95E-6</v>
      </c>
      <c r="AL2" s="188">
        <f>opex_orig!AH2</f>
        <v>8.4399999999999999E-7</v>
      </c>
      <c r="AM2" s="188">
        <f>opex_orig!AI2</f>
        <v>2.83E-6</v>
      </c>
      <c r="AN2" s="188">
        <f>opex_orig!AJ2</f>
        <v>5.4899999999999995E-7</v>
      </c>
      <c r="AO2" s="188">
        <f>opex_orig!AK2</f>
        <v>3.4300000000000002E-6</v>
      </c>
      <c r="AP2" s="188">
        <f>opex_orig!$AL2</f>
        <v>1.32070289340045E-6</v>
      </c>
      <c r="AQ2" s="188">
        <f>opex_orig!$AL2</f>
        <v>1.32070289340045E-6</v>
      </c>
      <c r="AR2" s="188">
        <f>opex_orig!$AL2</f>
        <v>1.32070289340045E-6</v>
      </c>
      <c r="AS2" s="188">
        <f>opex_orig!$AM2</f>
        <v>2.2462385770093401E-6</v>
      </c>
      <c r="AT2" s="188">
        <f>opex_orig!AN2</f>
        <v>5.3600000000000004E-6</v>
      </c>
      <c r="AU2" s="188">
        <f>opex_orig!$AO2</f>
        <v>6.0340918307895499E-7</v>
      </c>
      <c r="AV2" s="188">
        <f>opex_orig!$AO2</f>
        <v>6.0340918307895499E-7</v>
      </c>
      <c r="AW2" s="188">
        <f>opex_orig!$AO2</f>
        <v>6.0340918307895499E-7</v>
      </c>
      <c r="AX2" s="188">
        <f>opex_orig!$AP2</f>
        <v>9.4895279719534805E-7</v>
      </c>
      <c r="AY2" s="188">
        <f>opex_orig!AQ2</f>
        <v>1.2699999999999999E-6</v>
      </c>
      <c r="AZ2" s="188">
        <f>opex_orig!AR2</f>
        <v>0</v>
      </c>
      <c r="BA2" s="188">
        <f>opex_orig!AS2</f>
        <v>9.8599999999999996E-7</v>
      </c>
      <c r="BB2" s="188">
        <f>opex_orig!AT2</f>
        <v>5.8899999999999999E-7</v>
      </c>
      <c r="BC2" s="188">
        <f>opex_orig!AU2</f>
        <v>1.3400000000000001E-6</v>
      </c>
      <c r="BD2" s="188">
        <f>opex_orig!AV2</f>
        <v>1.3200000000000001E-6</v>
      </c>
      <c r="BE2" s="188">
        <f>opex_orig!AW2</f>
        <v>9.0100000000000003E-7</v>
      </c>
      <c r="BF2" s="188">
        <f>opex_orig!AX2</f>
        <v>0</v>
      </c>
      <c r="BG2" s="188">
        <f>opex_orig!AY2</f>
        <v>5.9000000000000003E-6</v>
      </c>
      <c r="BH2" s="188">
        <f>opex_orig!AZ2</f>
        <v>0</v>
      </c>
      <c r="BI2" s="188">
        <f>opex_orig!BA2</f>
        <v>5.5400000000000001E-7</v>
      </c>
      <c r="BJ2" s="188">
        <f>opex_orig!BB2</f>
        <v>4.15E-7</v>
      </c>
      <c r="BK2" s="188">
        <f>opex_orig!BC2</f>
        <v>7.7899999999999997E-7</v>
      </c>
      <c r="BL2" s="188">
        <f>opex_orig!BD2</f>
        <v>2.5800000000000001E-7</v>
      </c>
      <c r="BM2" s="188">
        <f>opex_orig!BE2</f>
        <v>1.29E-5</v>
      </c>
      <c r="BN2" s="188">
        <f>opex_orig!BF2</f>
        <v>6.5000000000000002E-7</v>
      </c>
      <c r="BO2" s="188">
        <f>opex_orig!BG2</f>
        <v>3.3899999999999997E-5</v>
      </c>
      <c r="BP2" s="188">
        <f>opex_orig!$BH2</f>
        <v>9.2354873016701E-7</v>
      </c>
      <c r="BQ2" s="188">
        <f>opex_orig!$BH2</f>
        <v>9.2354873016701E-7</v>
      </c>
      <c r="BR2" s="188">
        <f>opex_orig!BI2</f>
        <v>6.92E-7</v>
      </c>
      <c r="BS2" s="188">
        <f>opex_orig!BJ2</f>
        <v>1.48E-6</v>
      </c>
      <c r="BT2" s="188">
        <f>opex_orig!BK2</f>
        <v>2.8524300000000002E-4</v>
      </c>
      <c r="BU2" s="188">
        <f>opex_orig!BL2</f>
        <v>0</v>
      </c>
      <c r="BV2" s="27">
        <f>opex_orig!BM2</f>
        <v>4.0059935488491897E-6</v>
      </c>
      <c r="BW2" s="27">
        <f>opex_orig!BN2</f>
        <v>2.3666686553420099E-5</v>
      </c>
      <c r="BX2" s="27">
        <f>opex_orig!BO2</f>
        <v>6.2480255108572701E-7</v>
      </c>
      <c r="BY2" s="27">
        <f>opex_orig!BP2</f>
        <v>2.5199845595808698E-6</v>
      </c>
      <c r="BZ2" s="27">
        <f>opex_orig!BQ2</f>
        <v>8.0720609694100406E-6</v>
      </c>
      <c r="CA2" s="27">
        <f>opex_orig!BR2</f>
        <v>1.70104992858016E-7</v>
      </c>
      <c r="CB2" s="27">
        <f>opex_orig!BS2</f>
        <v>3.14424888827703E-5</v>
      </c>
      <c r="CC2" s="27">
        <f>opex_orig!BT2</f>
        <v>4.2065437282019902E-7</v>
      </c>
      <c r="CD2" s="27">
        <f>opex_orig!BU2</f>
        <v>3.0333085193102798E-7</v>
      </c>
      <c r="CE2" s="27">
        <f>opex_orig!BV2</f>
        <v>3.0333085193102899E-7</v>
      </c>
      <c r="CF2" s="27">
        <f>opex_orig!BW2</f>
        <v>1.51719488873251E-6</v>
      </c>
      <c r="CG2" s="27">
        <f>opex_orig!BX2</f>
        <v>3.8051596501042501E-7</v>
      </c>
      <c r="CH2" s="27">
        <f>opex_orig!BY2</f>
        <v>3.9724160144309002E-5</v>
      </c>
      <c r="CI2" s="27">
        <f>opex_orig!BZ2</f>
        <v>4.5399999999999997E-6</v>
      </c>
      <c r="CJ2" s="27">
        <f>opex_orig!CA2</f>
        <v>1.5099999999999999E-6</v>
      </c>
      <c r="CK2" s="27">
        <f>opex_orig!CB2</f>
        <v>1.02E-6</v>
      </c>
      <c r="CL2" s="27">
        <f>opex_orig!CC2</f>
        <v>7.9100000000000003E-7</v>
      </c>
      <c r="CM2" s="27">
        <f>opex_orig!CD2</f>
        <v>2.3900000000000002E-5</v>
      </c>
      <c r="CN2" s="27">
        <f>opex_orig!CE2</f>
        <v>1.1988400000000001E-4</v>
      </c>
      <c r="CO2" s="27">
        <f>opex_orig!CF2</f>
        <v>1.48E-6</v>
      </c>
      <c r="CP2" s="27">
        <f>opex_orig!CG2</f>
        <v>1.9800000000000001E-6</v>
      </c>
    </row>
    <row r="3" spans="1:94" x14ac:dyDescent="0.25">
      <c r="A3" s="5" t="s">
        <v>25</v>
      </c>
      <c r="B3" s="2" t="s">
        <v>24</v>
      </c>
      <c r="C3" s="1" t="s">
        <v>325</v>
      </c>
      <c r="D3" s="188">
        <f>opex_orig!D3</f>
        <v>4.5700000000000003E-6</v>
      </c>
      <c r="E3" s="188">
        <f>opex_orig!E3</f>
        <v>6.7900000000000002E-6</v>
      </c>
      <c r="F3" s="188">
        <f>opex_orig!F3</f>
        <v>2.3300000000000001E-5</v>
      </c>
      <c r="G3" s="188">
        <f>opex_orig!G3</f>
        <v>6.6400000000000002E-7</v>
      </c>
      <c r="H3" s="188">
        <f>opex_orig!H3</f>
        <v>6.75E-7</v>
      </c>
      <c r="I3" s="188">
        <f>opex_orig!I3</f>
        <v>3.6200000000000001E-6</v>
      </c>
      <c r="J3" s="188">
        <f>opex_orig!J3</f>
        <v>1.8099999999999999E-5</v>
      </c>
      <c r="K3" s="188">
        <f>opex_orig!K3</f>
        <v>2.0700000000000001E-6</v>
      </c>
      <c r="L3" s="188">
        <f>opex_orig!L3</f>
        <v>3.0303534999999999E-2</v>
      </c>
      <c r="M3" s="188">
        <f>opex_orig!M3</f>
        <v>3.5543452000000003E-2</v>
      </c>
      <c r="N3" s="188">
        <f>opex_orig!N3</f>
        <v>3.2944673000000001E-2</v>
      </c>
      <c r="O3" s="188">
        <f>opex_orig!O3</f>
        <v>1.2748373E-2</v>
      </c>
      <c r="P3" s="188">
        <f>opex_orig!P3</f>
        <v>2.451342E-3</v>
      </c>
      <c r="Q3" s="188">
        <f>opex_orig!Q3</f>
        <v>9.9500000000000006E-5</v>
      </c>
      <c r="R3" s="188">
        <f>opex_orig!R3</f>
        <v>1.8499999999999999E-5</v>
      </c>
      <c r="S3" s="188">
        <f>opex_orig!S3</f>
        <v>2.8799999999999999E-5</v>
      </c>
      <c r="T3" s="188">
        <f>opex_orig!T3</f>
        <v>2.6299999999999999E-5</v>
      </c>
      <c r="U3" s="188">
        <f>opex_orig!U3</f>
        <v>4.7099999999999998E-6</v>
      </c>
      <c r="V3" s="188">
        <f>opex_orig!V3</f>
        <v>4.9400000000000001E-6</v>
      </c>
      <c r="W3" s="188">
        <f>opex_orig!W3</f>
        <v>2.9500000000000001E-6</v>
      </c>
      <c r="X3" s="188">
        <f>opex_orig!X3</f>
        <v>5.2800000000000003E-6</v>
      </c>
      <c r="Y3" s="188">
        <f>opex_orig!Y3</f>
        <v>8.6400000000000001E-7</v>
      </c>
      <c r="Z3" s="188">
        <f>opex_orig!Z3</f>
        <v>4.2872899999999998E-4</v>
      </c>
      <c r="AA3" s="188">
        <f>opex_orig!AA3</f>
        <v>3.7000000000000002E-6</v>
      </c>
      <c r="AB3" s="188">
        <f>opex_orig!$AB3</f>
        <v>6.9137020226511402E-4</v>
      </c>
      <c r="AC3" s="188">
        <f>opex_orig!$AB3</f>
        <v>6.9137020226511402E-4</v>
      </c>
      <c r="AD3" s="188">
        <f>opex_orig!$AB3</f>
        <v>6.9137020226511402E-4</v>
      </c>
      <c r="AE3" s="188">
        <f>opex_orig!$AC3</f>
        <v>1.08333817586238E-2</v>
      </c>
      <c r="AF3" s="188">
        <f>opex_orig!$AD3</f>
        <v>5.3969859103065601E-3</v>
      </c>
      <c r="AG3" s="188">
        <f>opex_orig!$AD3</f>
        <v>5.3969859103065601E-3</v>
      </c>
      <c r="AH3" s="188">
        <f>opex_orig!$AD3</f>
        <v>5.3969859103065601E-3</v>
      </c>
      <c r="AI3" s="188">
        <f>opex_orig!AE3</f>
        <v>5.3668919999999998E-3</v>
      </c>
      <c r="AJ3" s="188">
        <f>opex_orig!AF3</f>
        <v>4.5390669999999999E-3</v>
      </c>
      <c r="AK3" s="188">
        <f>opex_orig!AG3</f>
        <v>1.6099999999999998E-5</v>
      </c>
      <c r="AL3" s="188">
        <f>opex_orig!AH3</f>
        <v>1.1800000000000001E-5</v>
      </c>
      <c r="AM3" s="188">
        <f>opex_orig!AI3</f>
        <v>4.6399999999999996E-6</v>
      </c>
      <c r="AN3" s="188">
        <f>opex_orig!AJ3</f>
        <v>3.1700000000000001E-6</v>
      </c>
      <c r="AO3" s="188">
        <f>opex_orig!AK3</f>
        <v>5.4999999999999999E-6</v>
      </c>
      <c r="AP3" s="188">
        <f>opex_orig!$AL3</f>
        <v>3.6502467033151902E-6</v>
      </c>
      <c r="AQ3" s="188">
        <f>opex_orig!$AL3</f>
        <v>3.6502467033151902E-6</v>
      </c>
      <c r="AR3" s="188">
        <f>opex_orig!$AL3</f>
        <v>3.6502467033151902E-6</v>
      </c>
      <c r="AS3" s="188">
        <f>opex_orig!$AM3</f>
        <v>3.14474142906157E-6</v>
      </c>
      <c r="AT3" s="188">
        <f>opex_orig!AN3</f>
        <v>1.1199999999999999E-5</v>
      </c>
      <c r="AU3" s="188">
        <f>opex_orig!$AO3</f>
        <v>1.75393432855517E-6</v>
      </c>
      <c r="AV3" s="188">
        <f>opex_orig!$AO3</f>
        <v>1.75393432855517E-6</v>
      </c>
      <c r="AW3" s="188">
        <f>opex_orig!$AO3</f>
        <v>1.75393432855517E-6</v>
      </c>
      <c r="AX3" s="188">
        <f>opex_orig!$AP3</f>
        <v>2.0158827936232199E-6</v>
      </c>
      <c r="AY3" s="188">
        <f>opex_orig!AQ3</f>
        <v>3.0800000000000002E-6</v>
      </c>
      <c r="AZ3" s="188">
        <f>opex_orig!AR3</f>
        <v>0</v>
      </c>
      <c r="BA3" s="188">
        <f>opex_orig!AS3</f>
        <v>5.5799999999999999E-6</v>
      </c>
      <c r="BB3" s="188">
        <f>opex_orig!AT3</f>
        <v>4.7199999999999997E-6</v>
      </c>
      <c r="BC3" s="188">
        <f>opex_orig!AU3</f>
        <v>1.5E-6</v>
      </c>
      <c r="BD3" s="188">
        <f>opex_orig!AV3</f>
        <v>5.3499999999999996E-7</v>
      </c>
      <c r="BE3" s="188">
        <f>opex_orig!AW3</f>
        <v>1.5600000000000001E-6</v>
      </c>
      <c r="BF3" s="188">
        <f>opex_orig!AX3</f>
        <v>0</v>
      </c>
      <c r="BG3" s="188">
        <f>opex_orig!AY3</f>
        <v>2.7199999999999998E-6</v>
      </c>
      <c r="BH3" s="188">
        <f>opex_orig!AZ3</f>
        <v>0</v>
      </c>
      <c r="BI3" s="188">
        <f>opex_orig!BA3</f>
        <v>1.22E-6</v>
      </c>
      <c r="BJ3" s="188">
        <f>opex_orig!BB3</f>
        <v>1.2100000000000001E-6</v>
      </c>
      <c r="BK3" s="188">
        <f>opex_orig!BC3</f>
        <v>2.3800000000000001E-6</v>
      </c>
      <c r="BL3" s="188">
        <f>opex_orig!BD3</f>
        <v>3.7400000000000002E-6</v>
      </c>
      <c r="BM3" s="188">
        <f>opex_orig!BE3</f>
        <v>4.3699999999999997E-6</v>
      </c>
      <c r="BN3" s="188">
        <f>opex_orig!BF3</f>
        <v>1.66E-6</v>
      </c>
      <c r="BO3" s="188">
        <f>opex_orig!BG3</f>
        <v>1.4399999999999999E-5</v>
      </c>
      <c r="BP3" s="188">
        <f>opex_orig!$BH3</f>
        <v>1.3095730095945599E-6</v>
      </c>
      <c r="BQ3" s="188">
        <f>opex_orig!$BH3</f>
        <v>1.3095730095945599E-6</v>
      </c>
      <c r="BR3" s="188">
        <f>opex_orig!BI3</f>
        <v>2.4499999999999998E-6</v>
      </c>
      <c r="BS3" s="188">
        <f>opex_orig!BJ3</f>
        <v>1.24249E-4</v>
      </c>
      <c r="BT3" s="188">
        <f>opex_orig!BK3</f>
        <v>7.7799999999999994E-5</v>
      </c>
      <c r="BU3" s="188">
        <f>opex_orig!BL3</f>
        <v>0</v>
      </c>
      <c r="BV3" s="27">
        <f>opex_orig!BM3</f>
        <v>8.1506668659692803E-6</v>
      </c>
      <c r="BW3" s="27">
        <f>opex_orig!BN3</f>
        <v>3.81311848483976E-5</v>
      </c>
      <c r="BX3" s="27">
        <f>opex_orig!BO3</f>
        <v>1.9405806420825001E-6</v>
      </c>
      <c r="BY3" s="27">
        <f>opex_orig!BP3</f>
        <v>5.9106631693904599E-6</v>
      </c>
      <c r="BZ3" s="27">
        <f>opex_orig!BQ3</f>
        <v>3.5311531227553401E-6</v>
      </c>
      <c r="CA3" s="27">
        <f>opex_orig!BR3</f>
        <v>1.0981743401556701E-7</v>
      </c>
      <c r="CB3" s="27">
        <f>opex_orig!BS3</f>
        <v>2.0882865983200501E-5</v>
      </c>
      <c r="CC3" s="27">
        <f>opex_orig!BT3</f>
        <v>5.8279733294884198E-7</v>
      </c>
      <c r="CD3" s="27">
        <f>opex_orig!BU3</f>
        <v>7.4809859392345E-7</v>
      </c>
      <c r="CE3" s="27">
        <f>opex_orig!BV3</f>
        <v>7.4809859392345095E-7</v>
      </c>
      <c r="CF3" s="27">
        <f>opex_orig!BW3</f>
        <v>7.4116903318488501E-6</v>
      </c>
      <c r="CG3" s="27">
        <f>opex_orig!BX3</f>
        <v>4.88461904935668E-7</v>
      </c>
      <c r="CH3" s="27">
        <f>opex_orig!BY3</f>
        <v>3.4349817764955398E-6</v>
      </c>
      <c r="CI3" s="27">
        <f>opex_orig!BZ3</f>
        <v>1.0000000000000001E-5</v>
      </c>
      <c r="CJ3" s="27">
        <f>opex_orig!CA3</f>
        <v>3.14E-6</v>
      </c>
      <c r="CK3" s="27">
        <f>opex_orig!CB3</f>
        <v>3.2399999999999999E-6</v>
      </c>
      <c r="CL3" s="27">
        <f>opex_orig!CC3</f>
        <v>2.04E-6</v>
      </c>
      <c r="CM3" s="27">
        <f>opex_orig!CD3</f>
        <v>3.8999999999999999E-5</v>
      </c>
      <c r="CN3" s="27">
        <f>opex_orig!CE3</f>
        <v>3.3800000000000002E-5</v>
      </c>
      <c r="CO3" s="27">
        <f>opex_orig!CF3</f>
        <v>2.3099999999999999E-6</v>
      </c>
      <c r="CP3" s="27">
        <f>opex_orig!CG3</f>
        <v>3.0299999999999998E-6</v>
      </c>
    </row>
    <row r="4" spans="1:94" x14ac:dyDescent="0.25">
      <c r="A4" s="5" t="s">
        <v>27</v>
      </c>
      <c r="B4" s="2" t="s">
        <v>26</v>
      </c>
      <c r="C4" s="1" t="s">
        <v>325</v>
      </c>
      <c r="D4" s="188">
        <f>opex_orig!D4</f>
        <v>5.6400000000000002E-6</v>
      </c>
      <c r="E4" s="188">
        <f>opex_orig!E4</f>
        <v>5.4299999999999997E-6</v>
      </c>
      <c r="F4" s="188">
        <f>opex_orig!F4</f>
        <v>1.4800000000000001E-5</v>
      </c>
      <c r="G4" s="188">
        <f>opex_orig!G4</f>
        <v>1.0899999999999999E-6</v>
      </c>
      <c r="H4" s="188">
        <f>opex_orig!H4</f>
        <v>1.22E-6</v>
      </c>
      <c r="I4" s="188">
        <f>opex_orig!I4</f>
        <v>4.7199999999999997E-6</v>
      </c>
      <c r="J4" s="188">
        <f>opex_orig!J4</f>
        <v>1.5800000000000001E-5</v>
      </c>
      <c r="K4" s="188">
        <f>opex_orig!K4</f>
        <v>2.7800000000000001E-6</v>
      </c>
      <c r="L4" s="188">
        <f>opex_orig!L4</f>
        <v>4.4177942999999997E-2</v>
      </c>
      <c r="M4" s="188">
        <f>opex_orig!M4</f>
        <v>5.2844980999999999E-2</v>
      </c>
      <c r="N4" s="188">
        <f>opex_orig!N4</f>
        <v>5.5589567999999999E-2</v>
      </c>
      <c r="O4" s="188">
        <f>opex_orig!O4</f>
        <v>9.8015359999999996E-3</v>
      </c>
      <c r="P4" s="188">
        <f>opex_orig!P4</f>
        <v>1.7074950000000001E-3</v>
      </c>
      <c r="Q4" s="188">
        <f>opex_orig!Q4</f>
        <v>1.21818E-4</v>
      </c>
      <c r="R4" s="188">
        <f>opex_orig!R4</f>
        <v>3.3599999999999997E-5</v>
      </c>
      <c r="S4" s="188">
        <f>opex_orig!S4</f>
        <v>2.4300000000000001E-5</v>
      </c>
      <c r="T4" s="188">
        <f>opex_orig!T4</f>
        <v>2.34E-5</v>
      </c>
      <c r="U4" s="188">
        <f>opex_orig!U4</f>
        <v>1.0699999999999999E-5</v>
      </c>
      <c r="V4" s="188">
        <f>opex_orig!V4</f>
        <v>1.3200000000000001E-5</v>
      </c>
      <c r="W4" s="188">
        <f>opex_orig!W4</f>
        <v>3.2200000000000001E-6</v>
      </c>
      <c r="X4" s="188">
        <f>opex_orig!X4</f>
        <v>3.3500000000000001E-6</v>
      </c>
      <c r="Y4" s="188">
        <f>opex_orig!Y4</f>
        <v>1.7099999999999999E-6</v>
      </c>
      <c r="Z4" s="188">
        <f>opex_orig!Z4</f>
        <v>1.8328299999999999E-4</v>
      </c>
      <c r="AA4" s="188">
        <f>opex_orig!AA4</f>
        <v>1.03E-5</v>
      </c>
      <c r="AB4" s="188">
        <f>opex_orig!$AB4</f>
        <v>3.9091818214950498E-4</v>
      </c>
      <c r="AC4" s="188">
        <f>opex_orig!$AB4</f>
        <v>3.9091818214950498E-4</v>
      </c>
      <c r="AD4" s="188">
        <f>opex_orig!$AB4</f>
        <v>3.9091818214950498E-4</v>
      </c>
      <c r="AE4" s="188">
        <f>opex_orig!$AC4</f>
        <v>7.6306391172149398E-3</v>
      </c>
      <c r="AF4" s="188">
        <f>opex_orig!$AD4</f>
        <v>3.9053434058628502E-3</v>
      </c>
      <c r="AG4" s="188">
        <f>opex_orig!$AD4</f>
        <v>3.9053434058628502E-3</v>
      </c>
      <c r="AH4" s="188">
        <f>opex_orig!$AD4</f>
        <v>3.9053434058628502E-3</v>
      </c>
      <c r="AI4" s="188">
        <f>opex_orig!AE4</f>
        <v>3.8017530000000002E-3</v>
      </c>
      <c r="AJ4" s="188">
        <f>opex_orig!AF4</f>
        <v>3.569301E-3</v>
      </c>
      <c r="AK4" s="188">
        <f>opex_orig!AG4</f>
        <v>5.9800000000000003E-6</v>
      </c>
      <c r="AL4" s="188">
        <f>opex_orig!AH4</f>
        <v>4.0799999999999999E-6</v>
      </c>
      <c r="AM4" s="188">
        <f>opex_orig!AI4</f>
        <v>4.16E-6</v>
      </c>
      <c r="AN4" s="188">
        <f>opex_orig!AJ4</f>
        <v>2.17E-6</v>
      </c>
      <c r="AO4" s="188">
        <f>opex_orig!AK4</f>
        <v>5.1599999999999997E-6</v>
      </c>
      <c r="AP4" s="188">
        <f>opex_orig!$AL4</f>
        <v>2.8878020605785502E-6</v>
      </c>
      <c r="AQ4" s="188">
        <f>opex_orig!$AL4</f>
        <v>2.8878020605785502E-6</v>
      </c>
      <c r="AR4" s="188">
        <f>opex_orig!$AL4</f>
        <v>2.8878020605785502E-6</v>
      </c>
      <c r="AS4" s="188">
        <f>opex_orig!$AM4</f>
        <v>3.4022056056284901E-6</v>
      </c>
      <c r="AT4" s="188">
        <f>opex_orig!AN4</f>
        <v>7.8900000000000007E-6</v>
      </c>
      <c r="AU4" s="188">
        <f>opex_orig!$AO4</f>
        <v>1.54396575275685E-6</v>
      </c>
      <c r="AV4" s="188">
        <f>opex_orig!$AO4</f>
        <v>1.54396575275685E-6</v>
      </c>
      <c r="AW4" s="188">
        <f>opex_orig!$AO4</f>
        <v>1.54396575275685E-6</v>
      </c>
      <c r="AX4" s="188">
        <f>opex_orig!$AP4</f>
        <v>2.0200053433418101E-6</v>
      </c>
      <c r="AY4" s="188">
        <f>opex_orig!AQ4</f>
        <v>2.8700000000000001E-6</v>
      </c>
      <c r="AZ4" s="188">
        <f>opex_orig!AR4</f>
        <v>0</v>
      </c>
      <c r="BA4" s="188">
        <f>opex_orig!AS4</f>
        <v>3.23E-6</v>
      </c>
      <c r="BB4" s="188">
        <f>opex_orig!AT4</f>
        <v>2.6199999999999999E-6</v>
      </c>
      <c r="BC4" s="188">
        <f>opex_orig!AU4</f>
        <v>1.8700000000000001E-6</v>
      </c>
      <c r="BD4" s="188">
        <f>opex_orig!AV4</f>
        <v>1.5999999999999999E-6</v>
      </c>
      <c r="BE4" s="188">
        <f>opex_orig!AW4</f>
        <v>1.79E-6</v>
      </c>
      <c r="BF4" s="188">
        <f>opex_orig!AX4</f>
        <v>0</v>
      </c>
      <c r="BG4" s="188">
        <f>opex_orig!AY4</f>
        <v>5.7899999999999996E-6</v>
      </c>
      <c r="BH4" s="188">
        <f>opex_orig!AZ4</f>
        <v>0</v>
      </c>
      <c r="BI4" s="188">
        <f>opex_orig!BA4</f>
        <v>1.4899999999999999E-6</v>
      </c>
      <c r="BJ4" s="188">
        <f>opex_orig!BB4</f>
        <v>8.6099999999999999E-7</v>
      </c>
      <c r="BK4" s="188">
        <f>opex_orig!BC4</f>
        <v>2.6299999999999998E-6</v>
      </c>
      <c r="BL4" s="188">
        <f>opex_orig!BD4</f>
        <v>3.2600000000000001E-6</v>
      </c>
      <c r="BM4" s="188">
        <f>opex_orig!BE4</f>
        <v>3.9500000000000003E-6</v>
      </c>
      <c r="BN4" s="188">
        <f>opex_orig!BF4</f>
        <v>1.6899999999999999E-6</v>
      </c>
      <c r="BO4" s="188">
        <f>opex_orig!BG4</f>
        <v>8.0600000000000008E-6</v>
      </c>
      <c r="BP4" s="188">
        <f>opex_orig!$BH4</f>
        <v>2.7738992921792502E-6</v>
      </c>
      <c r="BQ4" s="188">
        <f>opex_orig!$BH4</f>
        <v>2.7738992921792502E-6</v>
      </c>
      <c r="BR4" s="188">
        <f>opex_orig!BI4</f>
        <v>2.0600000000000002E-6</v>
      </c>
      <c r="BS4" s="188">
        <f>opex_orig!BJ4</f>
        <v>5.6400000000000002E-5</v>
      </c>
      <c r="BT4" s="188">
        <f>opex_orig!BK4</f>
        <v>4.6499999999999999E-5</v>
      </c>
      <c r="BU4" s="188">
        <f>opex_orig!BL4</f>
        <v>0</v>
      </c>
      <c r="BV4" s="27">
        <f>opex_orig!BM4</f>
        <v>9.2554371606333499E-6</v>
      </c>
      <c r="BW4" s="27">
        <f>opex_orig!BN4</f>
        <v>3.0004397944589501E-5</v>
      </c>
      <c r="BX4" s="27">
        <f>opex_orig!BO4</f>
        <v>2.71744830176484E-6</v>
      </c>
      <c r="BY4" s="27">
        <f>opex_orig!BP4</f>
        <v>6.7608806709892103E-6</v>
      </c>
      <c r="BZ4" s="27">
        <f>opex_orig!BQ4</f>
        <v>9.0764697549774002E-6</v>
      </c>
      <c r="CA4" s="27">
        <f>opex_orig!BR4</f>
        <v>2.54580738085961E-7</v>
      </c>
      <c r="CB4" s="27">
        <f>opex_orig!BS4</f>
        <v>2.8600295128253999E-5</v>
      </c>
      <c r="CC4" s="27">
        <f>opex_orig!BT4</f>
        <v>9.4552827812069497E-7</v>
      </c>
      <c r="CD4" s="27">
        <f>opex_orig!BU4</f>
        <v>3.0021769808777601E-6</v>
      </c>
      <c r="CE4" s="27">
        <f>opex_orig!BV4</f>
        <v>3.0021769808777601E-6</v>
      </c>
      <c r="CF4" s="27">
        <f>opex_orig!BW4</f>
        <v>8.6419249570513802E-6</v>
      </c>
      <c r="CG4" s="27">
        <f>opex_orig!BX4</f>
        <v>1.01706811526365E-6</v>
      </c>
      <c r="CH4" s="27">
        <f>opex_orig!BY4</f>
        <v>1.48411691079235E-5</v>
      </c>
      <c r="CI4" s="27">
        <f>opex_orig!BZ4</f>
        <v>9.8500000000000006E-6</v>
      </c>
      <c r="CJ4" s="27">
        <f>opex_orig!CA4</f>
        <v>4.7500000000000003E-6</v>
      </c>
      <c r="CK4" s="27">
        <f>opex_orig!CB4</f>
        <v>4.7999999999999998E-6</v>
      </c>
      <c r="CL4" s="27">
        <f>opex_orig!CC4</f>
        <v>2.9799999999999998E-6</v>
      </c>
      <c r="CM4" s="27">
        <f>opex_orig!CD4</f>
        <v>2.9200000000000002E-5</v>
      </c>
      <c r="CN4" s="27">
        <f>opex_orig!CE4</f>
        <v>2.1399999999999998E-5</v>
      </c>
      <c r="CO4" s="27">
        <f>opex_orig!CF4</f>
        <v>4.0199999999999996E-6</v>
      </c>
      <c r="CP4" s="27">
        <f>opex_orig!CG4</f>
        <v>2.8100000000000002E-6</v>
      </c>
    </row>
    <row r="5" spans="1:94" x14ac:dyDescent="0.25">
      <c r="A5" s="5" t="s">
        <v>29</v>
      </c>
      <c r="B5" s="2" t="s">
        <v>28</v>
      </c>
      <c r="C5" s="1" t="s">
        <v>325</v>
      </c>
      <c r="D5" s="188">
        <f>opex_orig!D5</f>
        <v>2.3799999999999999E-5</v>
      </c>
      <c r="E5" s="188">
        <f>opex_orig!E5</f>
        <v>3.9799999999999998E-5</v>
      </c>
      <c r="F5" s="188">
        <f>opex_orig!F5</f>
        <v>1.05468E-4</v>
      </c>
      <c r="G5" s="188">
        <f>opex_orig!G5</f>
        <v>3.8999999999999999E-6</v>
      </c>
      <c r="H5" s="188">
        <f>opex_orig!H5</f>
        <v>3.19E-6</v>
      </c>
      <c r="I5" s="188">
        <f>opex_orig!I5</f>
        <v>2.37E-5</v>
      </c>
      <c r="J5" s="188">
        <f>opex_orig!J5</f>
        <v>3.1600000000000002E-5</v>
      </c>
      <c r="K5" s="188">
        <f>opex_orig!K5</f>
        <v>7.1600000000000001E-6</v>
      </c>
      <c r="L5" s="188">
        <f>opex_orig!L5</f>
        <v>4.8133914E-2</v>
      </c>
      <c r="M5" s="188">
        <f>opex_orig!M5</f>
        <v>4.5783371000000003E-2</v>
      </c>
      <c r="N5" s="188">
        <f>opex_orig!N5</f>
        <v>3.9651406E-2</v>
      </c>
      <c r="O5" s="188">
        <f>opex_orig!O5</f>
        <v>2.917003E-3</v>
      </c>
      <c r="P5" s="188">
        <f>opex_orig!P5</f>
        <v>4.58932E-4</v>
      </c>
      <c r="Q5" s="188">
        <f>opex_orig!Q5</f>
        <v>2.2037900000000001E-4</v>
      </c>
      <c r="R5" s="188">
        <f>opex_orig!R5</f>
        <v>5.52E-5</v>
      </c>
      <c r="S5" s="188">
        <f>opex_orig!S5</f>
        <v>1.9400000000000001E-5</v>
      </c>
      <c r="T5" s="188">
        <f>opex_orig!T5</f>
        <v>2.55E-5</v>
      </c>
      <c r="U5" s="188">
        <f>opex_orig!U5</f>
        <v>5.0099999999999998E-5</v>
      </c>
      <c r="V5" s="188">
        <f>opex_orig!V5</f>
        <v>8.5000000000000006E-5</v>
      </c>
      <c r="W5" s="188">
        <f>opex_orig!W5</f>
        <v>1.73E-5</v>
      </c>
      <c r="X5" s="188">
        <f>opex_orig!X5</f>
        <v>1.33E-5</v>
      </c>
      <c r="Y5" s="188">
        <f>opex_orig!Y5</f>
        <v>6.7499999999999997E-6</v>
      </c>
      <c r="Z5" s="188">
        <f>opex_orig!Z5</f>
        <v>4.3512999999999999E-4</v>
      </c>
      <c r="AA5" s="188">
        <f>opex_orig!AA5</f>
        <v>3.0700000000000001E-5</v>
      </c>
      <c r="AB5" s="188">
        <f>opex_orig!$AB5</f>
        <v>2.6398995416881997E-4</v>
      </c>
      <c r="AC5" s="188">
        <f>opex_orig!$AB5</f>
        <v>2.6398995416881997E-4</v>
      </c>
      <c r="AD5" s="188">
        <f>opex_orig!$AB5</f>
        <v>2.6398995416881997E-4</v>
      </c>
      <c r="AE5" s="188">
        <f>opex_orig!$AC5</f>
        <v>2.6223217922986901E-3</v>
      </c>
      <c r="AF5" s="188">
        <f>opex_orig!$AD5</f>
        <v>1.47731003015292E-3</v>
      </c>
      <c r="AG5" s="188">
        <f>opex_orig!$AD5</f>
        <v>1.47731003015292E-3</v>
      </c>
      <c r="AH5" s="188">
        <f>opex_orig!$AD5</f>
        <v>1.47731003015292E-3</v>
      </c>
      <c r="AI5" s="188">
        <f>opex_orig!AE5</f>
        <v>1.492461E-3</v>
      </c>
      <c r="AJ5" s="188">
        <f>opex_orig!AF5</f>
        <v>1.382805E-3</v>
      </c>
      <c r="AK5" s="188">
        <f>opex_orig!AG5</f>
        <v>5.2099999999999999E-5</v>
      </c>
      <c r="AL5" s="188">
        <f>opex_orig!AH5</f>
        <v>4.1699999999999997E-5</v>
      </c>
      <c r="AM5" s="188">
        <f>opex_orig!AI5</f>
        <v>1.52E-5</v>
      </c>
      <c r="AN5" s="188">
        <f>opex_orig!AJ5</f>
        <v>2.58E-5</v>
      </c>
      <c r="AO5" s="188">
        <f>opex_orig!AK5</f>
        <v>3.26E-5</v>
      </c>
      <c r="AP5" s="188">
        <f>opex_orig!$AL5</f>
        <v>2.13902961806828E-5</v>
      </c>
      <c r="AQ5" s="188">
        <f>opex_orig!$AL5</f>
        <v>2.13902961806828E-5</v>
      </c>
      <c r="AR5" s="188">
        <f>opex_orig!$AL5</f>
        <v>2.13902961806828E-5</v>
      </c>
      <c r="AS5" s="188">
        <f>opex_orig!$AM5</f>
        <v>2.0163970879711499E-5</v>
      </c>
      <c r="AT5" s="188">
        <f>opex_orig!AN5</f>
        <v>2.9799999999999999E-5</v>
      </c>
      <c r="AU5" s="188">
        <f>opex_orig!$AO5</f>
        <v>1.1329822884584199E-5</v>
      </c>
      <c r="AV5" s="188">
        <f>opex_orig!$AO5</f>
        <v>1.1329822884584199E-5</v>
      </c>
      <c r="AW5" s="188">
        <f>opex_orig!$AO5</f>
        <v>1.1329822884584199E-5</v>
      </c>
      <c r="AX5" s="188">
        <f>opex_orig!$AP5</f>
        <v>2.4637383657795899E-5</v>
      </c>
      <c r="AY5" s="188">
        <f>opex_orig!AQ5</f>
        <v>3.3899999999999997E-5</v>
      </c>
      <c r="AZ5" s="188">
        <f>opex_orig!AR5</f>
        <v>0</v>
      </c>
      <c r="BA5" s="188">
        <f>opex_orig!AS5</f>
        <v>3.4600000000000001E-5</v>
      </c>
      <c r="BB5" s="188">
        <f>opex_orig!AT5</f>
        <v>2.4000000000000001E-5</v>
      </c>
      <c r="BC5" s="188">
        <f>opex_orig!AU5</f>
        <v>2.6699999999999998E-5</v>
      </c>
      <c r="BD5" s="188">
        <f>opex_orig!AV5</f>
        <v>1.1600000000000001E-5</v>
      </c>
      <c r="BE5" s="188">
        <f>opex_orig!AW5</f>
        <v>2.41E-5</v>
      </c>
      <c r="BF5" s="188">
        <f>opex_orig!AX5</f>
        <v>0</v>
      </c>
      <c r="BG5" s="188">
        <f>opex_orig!AY5</f>
        <v>2.1399999999999998E-5</v>
      </c>
      <c r="BH5" s="188">
        <f>opex_orig!AZ5</f>
        <v>0</v>
      </c>
      <c r="BI5" s="188">
        <f>opex_orig!BA5</f>
        <v>1.01E-5</v>
      </c>
      <c r="BJ5" s="188">
        <f>opex_orig!BB5</f>
        <v>1.3200000000000001E-5</v>
      </c>
      <c r="BK5" s="188">
        <f>opex_orig!BC5</f>
        <v>1.31E-5</v>
      </c>
      <c r="BL5" s="188">
        <f>opex_orig!BD5</f>
        <v>1.2300000000000001E-5</v>
      </c>
      <c r="BM5" s="188">
        <f>opex_orig!BE5</f>
        <v>1.34E-5</v>
      </c>
      <c r="BN5" s="188">
        <f>opex_orig!BF5</f>
        <v>3.0899999999999999E-5</v>
      </c>
      <c r="BO5" s="188">
        <f>opex_orig!BG5</f>
        <v>3.6300000000000001E-5</v>
      </c>
      <c r="BP5" s="188">
        <f>opex_orig!$BH5</f>
        <v>1.4437854679112399E-5</v>
      </c>
      <c r="BQ5" s="188">
        <f>opex_orig!$BH5</f>
        <v>1.4437854679112399E-5</v>
      </c>
      <c r="BR5" s="188">
        <f>opex_orig!BI5</f>
        <v>1.2999999999999999E-5</v>
      </c>
      <c r="BS5" s="188">
        <f>opex_orig!BJ5</f>
        <v>1.83454E-4</v>
      </c>
      <c r="BT5" s="188">
        <f>opex_orig!BK5</f>
        <v>1.6259E-4</v>
      </c>
      <c r="BU5" s="188">
        <f>opex_orig!BL5</f>
        <v>0</v>
      </c>
      <c r="BV5" s="27">
        <f>opex_orig!BM5</f>
        <v>2.7029491260443198E-5</v>
      </c>
      <c r="BW5" s="27">
        <f>opex_orig!BN5</f>
        <v>1.34404858140836E-4</v>
      </c>
      <c r="BX5" s="27">
        <f>opex_orig!BO5</f>
        <v>1.7514496997939899E-5</v>
      </c>
      <c r="BY5" s="27">
        <f>opex_orig!BP5</f>
        <v>1.07024393829226E-4</v>
      </c>
      <c r="BZ5" s="27">
        <f>opex_orig!BQ5</f>
        <v>3.2927106211466703E-5</v>
      </c>
      <c r="CA5" s="27">
        <f>opex_orig!BR5</f>
        <v>1.1145424608715299E-6</v>
      </c>
      <c r="CB5" s="27">
        <f>opex_orig!BS5</f>
        <v>7.52960943890219E-5</v>
      </c>
      <c r="CC5" s="27">
        <f>opex_orig!BT5</f>
        <v>3.0969534561804899E-6</v>
      </c>
      <c r="CD5" s="27">
        <f>opex_orig!BU5</f>
        <v>9.4255485452580808E-6</v>
      </c>
      <c r="CE5" s="27">
        <f>opex_orig!BV5</f>
        <v>9.4255485452581096E-6</v>
      </c>
      <c r="CF5" s="27">
        <f>opex_orig!BW5</f>
        <v>2.4014948795505301E-5</v>
      </c>
      <c r="CG5" s="27">
        <f>opex_orig!BX5</f>
        <v>5.6662083579293398E-6</v>
      </c>
      <c r="CH5" s="27">
        <f>opex_orig!BY5</f>
        <v>4.9506988337283403E-5</v>
      </c>
      <c r="CI5" s="27">
        <f>opex_orig!BZ5</f>
        <v>6.9499999999999995E-5</v>
      </c>
      <c r="CJ5" s="27">
        <f>opex_orig!CA5</f>
        <v>2.5700000000000001E-5</v>
      </c>
      <c r="CK5" s="27">
        <f>opex_orig!CB5</f>
        <v>2.3499999999999999E-5</v>
      </c>
      <c r="CL5" s="27">
        <f>opex_orig!CC5</f>
        <v>1.63E-5</v>
      </c>
      <c r="CM5" s="27">
        <f>opex_orig!CD5</f>
        <v>6.7700000000000006E-5</v>
      </c>
      <c r="CN5" s="27">
        <f>opex_orig!CE5</f>
        <v>6.1600000000000007E-5</v>
      </c>
      <c r="CO5" s="27">
        <f>opex_orig!CF5</f>
        <v>1.17E-5</v>
      </c>
      <c r="CP5" s="27">
        <f>opex_orig!CG5</f>
        <v>5.02E-5</v>
      </c>
    </row>
    <row r="6" spans="1:94" x14ac:dyDescent="0.25">
      <c r="A6" s="5" t="s">
        <v>31</v>
      </c>
      <c r="B6" s="2" t="s">
        <v>30</v>
      </c>
      <c r="C6" s="1" t="s">
        <v>325</v>
      </c>
      <c r="D6" s="188">
        <f>opex_orig!D6</f>
        <v>5.3900000000000001E-6</v>
      </c>
      <c r="E6" s="188">
        <f>opex_orig!E6</f>
        <v>6.6000000000000003E-6</v>
      </c>
      <c r="F6" s="188">
        <f>opex_orig!F6</f>
        <v>2.2799999999999999E-5</v>
      </c>
      <c r="G6" s="188">
        <f>opex_orig!G6</f>
        <v>7.2900000000000003E-7</v>
      </c>
      <c r="H6" s="188">
        <f>opex_orig!H6</f>
        <v>8.7167596999999999E-2</v>
      </c>
      <c r="I6" s="188">
        <f>opex_orig!I6</f>
        <v>5.5999999999999997E-6</v>
      </c>
      <c r="J6" s="188">
        <f>opex_orig!J6</f>
        <v>5.8999999999999998E-5</v>
      </c>
      <c r="K6" s="188">
        <f>opex_orig!K6</f>
        <v>1.37E-6</v>
      </c>
      <c r="L6" s="188">
        <f>opex_orig!L6</f>
        <v>4.2637011000000002E-2</v>
      </c>
      <c r="M6" s="188">
        <f>opex_orig!M6</f>
        <v>1.3523300000000001E-4</v>
      </c>
      <c r="N6" s="188">
        <f>opex_orig!N6</f>
        <v>4.7779838999999998E-2</v>
      </c>
      <c r="O6" s="188">
        <f>opex_orig!O6</f>
        <v>5.2529499999999995E-4</v>
      </c>
      <c r="P6" s="188">
        <f>opex_orig!P6</f>
        <v>8.2000000000000001E-5</v>
      </c>
      <c r="Q6" s="188">
        <f>opex_orig!Q6</f>
        <v>1.1746700000000001E-4</v>
      </c>
      <c r="R6" s="188">
        <f>opex_orig!R6</f>
        <v>1.52E-5</v>
      </c>
      <c r="S6" s="188">
        <f>opex_orig!S6</f>
        <v>1.1800000000000001E-5</v>
      </c>
      <c r="T6" s="188">
        <f>opex_orig!T6</f>
        <v>7.3799999999999996E-6</v>
      </c>
      <c r="U6" s="188">
        <f>opex_orig!U6</f>
        <v>1.6500000000000001E-5</v>
      </c>
      <c r="V6" s="188">
        <f>opex_orig!V6</f>
        <v>1.42E-5</v>
      </c>
      <c r="W6" s="188">
        <f>opex_orig!W6</f>
        <v>5.5799999999999999E-6</v>
      </c>
      <c r="X6" s="188">
        <f>opex_orig!X6</f>
        <v>7.9400000000000002E-6</v>
      </c>
      <c r="Y6" s="188">
        <f>opex_orig!Y6</f>
        <v>1.4699999999999999E-6</v>
      </c>
      <c r="Z6" s="188">
        <f>opex_orig!Z6</f>
        <v>6.0136100000000002E-4</v>
      </c>
      <c r="AA6" s="188">
        <f>opex_orig!AA6</f>
        <v>6.9299999999999997E-6</v>
      </c>
      <c r="AB6" s="188">
        <f>opex_orig!$AB6</f>
        <v>1.9295825082987501E-3</v>
      </c>
      <c r="AC6" s="188">
        <f>opex_orig!$AB6</f>
        <v>1.9295825082987501E-3</v>
      </c>
      <c r="AD6" s="188">
        <f>opex_orig!$AB6</f>
        <v>1.9295825082987501E-3</v>
      </c>
      <c r="AE6" s="188">
        <f>opex_orig!$AC6</f>
        <v>1.03276120516338E-2</v>
      </c>
      <c r="AF6" s="188">
        <f>opex_orig!$AD6</f>
        <v>5.4057003692516903E-3</v>
      </c>
      <c r="AG6" s="188">
        <f>opex_orig!$AD6</f>
        <v>5.4057003692516903E-3</v>
      </c>
      <c r="AH6" s="188">
        <f>opex_orig!$AD6</f>
        <v>5.4057003692516903E-3</v>
      </c>
      <c r="AI6" s="188">
        <f>opex_orig!AE6</f>
        <v>5.6725090000000001E-3</v>
      </c>
      <c r="AJ6" s="188">
        <f>opex_orig!AF6</f>
        <v>3.9565829999999996E-3</v>
      </c>
      <c r="AK6" s="188">
        <f>opex_orig!AG6</f>
        <v>9.1400000000000006E-6</v>
      </c>
      <c r="AL6" s="188">
        <f>opex_orig!AH6</f>
        <v>1.1000000000000001E-6</v>
      </c>
      <c r="AM6" s="188">
        <f>opex_orig!AI6</f>
        <v>1.55E-6</v>
      </c>
      <c r="AN6" s="188">
        <f>opex_orig!AJ6</f>
        <v>1.7E-6</v>
      </c>
      <c r="AO6" s="188">
        <f>opex_orig!AK6</f>
        <v>2.08E-6</v>
      </c>
      <c r="AP6" s="188">
        <f>opex_orig!$AL6</f>
        <v>1.87170251141367E-6</v>
      </c>
      <c r="AQ6" s="188">
        <f>opex_orig!$AL6</f>
        <v>1.87170251141367E-6</v>
      </c>
      <c r="AR6" s="188">
        <f>opex_orig!$AL6</f>
        <v>1.87170251141367E-6</v>
      </c>
      <c r="AS6" s="188">
        <f>opex_orig!$AM6</f>
        <v>1.6159411099682499E-6</v>
      </c>
      <c r="AT6" s="188">
        <f>opex_orig!AN6</f>
        <v>1.9800000000000001E-6</v>
      </c>
      <c r="AU6" s="188">
        <f>opex_orig!$AO6</f>
        <v>1.9999439975512799E-6</v>
      </c>
      <c r="AV6" s="188">
        <f>opex_orig!$AO6</f>
        <v>1.9999439975512799E-6</v>
      </c>
      <c r="AW6" s="188">
        <f>opex_orig!$AO6</f>
        <v>1.9999439975512799E-6</v>
      </c>
      <c r="AX6" s="188">
        <f>opex_orig!$AP6</f>
        <v>2.4471023060981198E-6</v>
      </c>
      <c r="AY6" s="188">
        <f>opex_orig!AQ6</f>
        <v>3.5599999999999998E-6</v>
      </c>
      <c r="AZ6" s="188">
        <f>opex_orig!AR6</f>
        <v>0</v>
      </c>
      <c r="BA6" s="188">
        <f>opex_orig!AS6</f>
        <v>3.9500000000000003E-6</v>
      </c>
      <c r="BB6" s="188">
        <f>opex_orig!AT6</f>
        <v>3.1300000000000001E-6</v>
      </c>
      <c r="BC6" s="188">
        <f>opex_orig!AU6</f>
        <v>2.1299999999999999E-6</v>
      </c>
      <c r="BD6" s="188">
        <f>opex_orig!AV6</f>
        <v>1.1400000000000001E-6</v>
      </c>
      <c r="BE6" s="188">
        <f>opex_orig!AW6</f>
        <v>2.1399999999999998E-6</v>
      </c>
      <c r="BF6" s="188">
        <f>opex_orig!AX6</f>
        <v>0</v>
      </c>
      <c r="BG6" s="188">
        <f>opex_orig!AY6</f>
        <v>4.1899999999999997E-6</v>
      </c>
      <c r="BH6" s="188">
        <f>opex_orig!AZ6</f>
        <v>0</v>
      </c>
      <c r="BI6" s="188">
        <f>opex_orig!BA6</f>
        <v>2.0999999999999998E-6</v>
      </c>
      <c r="BJ6" s="188">
        <f>opex_orig!BB6</f>
        <v>8.78E-7</v>
      </c>
      <c r="BK6" s="188">
        <f>opex_orig!BC6</f>
        <v>2.6800000000000002E-6</v>
      </c>
      <c r="BL6" s="188">
        <f>opex_orig!BD6</f>
        <v>3.6899999999999998E-6</v>
      </c>
      <c r="BM6" s="188">
        <f>opex_orig!BE6</f>
        <v>2.0800000000000001E-5</v>
      </c>
      <c r="BN6" s="188">
        <f>opex_orig!BF6</f>
        <v>7.7000000000000008E-6</v>
      </c>
      <c r="BO6" s="188">
        <f>opex_orig!BG6</f>
        <v>5.3300000000000001E-5</v>
      </c>
      <c r="BP6" s="188">
        <f>opex_orig!$BH6</f>
        <v>2.6870260228513101E-6</v>
      </c>
      <c r="BQ6" s="188">
        <f>opex_orig!$BH6</f>
        <v>2.6870260228513101E-6</v>
      </c>
      <c r="BR6" s="188">
        <f>opex_orig!BI6</f>
        <v>2.7300000000000001E-6</v>
      </c>
      <c r="BS6" s="188">
        <f>opex_orig!BJ6</f>
        <v>1.9512800000000001E-4</v>
      </c>
      <c r="BT6" s="188">
        <f>opex_orig!BK6</f>
        <v>4.3272699999999999E-4</v>
      </c>
      <c r="BU6" s="188">
        <f>opex_orig!BL6</f>
        <v>0</v>
      </c>
      <c r="BV6" s="27">
        <f>opex_orig!BM6</f>
        <v>4.9947610782088204E-6</v>
      </c>
      <c r="BW6" s="27">
        <f>opex_orig!BN6</f>
        <v>1.0544534882370699E-5</v>
      </c>
      <c r="BX6" s="27">
        <f>opex_orig!BO6</f>
        <v>1.95910026709198E-6</v>
      </c>
      <c r="BY6" s="27">
        <f>opex_orig!BP6</f>
        <v>7.4302451879980997E-6</v>
      </c>
      <c r="BZ6" s="27">
        <f>opex_orig!BQ6</f>
        <v>5.7747763410687196E-6</v>
      </c>
      <c r="CA6" s="27">
        <f>opex_orig!BR6</f>
        <v>1.6831819767579501E-7</v>
      </c>
      <c r="CB6" s="27">
        <f>opex_orig!BS6</f>
        <v>1.10339496318347E-5</v>
      </c>
      <c r="CC6" s="27">
        <f>opex_orig!BT6</f>
        <v>8.52288166039791E-7</v>
      </c>
      <c r="CD6" s="27">
        <f>opex_orig!BU6</f>
        <v>2.6148531584017501E-6</v>
      </c>
      <c r="CE6" s="27">
        <f>opex_orig!BV6</f>
        <v>2.6148531584017599E-6</v>
      </c>
      <c r="CF6" s="27">
        <f>opex_orig!BW6</f>
        <v>1.3867375652559399E-6</v>
      </c>
      <c r="CG6" s="27">
        <f>opex_orig!BX6</f>
        <v>3.0910267754775402E-6</v>
      </c>
      <c r="CH6" s="27">
        <f>opex_orig!BY6</f>
        <v>4.8163447629127004E-6</v>
      </c>
      <c r="CI6" s="27">
        <f>opex_orig!BZ6</f>
        <v>5.7699999999999998E-6</v>
      </c>
      <c r="CJ6" s="27">
        <f>opex_orig!CA6</f>
        <v>3.36E-6</v>
      </c>
      <c r="CK6" s="27">
        <f>opex_orig!CB6</f>
        <v>3.2799999999999999E-6</v>
      </c>
      <c r="CL6" s="27">
        <f>opex_orig!CC6</f>
        <v>2.5500000000000001E-6</v>
      </c>
      <c r="CM6" s="27">
        <f>opex_orig!CD6</f>
        <v>6.4500000000000001E-6</v>
      </c>
      <c r="CN6" s="27">
        <f>opex_orig!CE6</f>
        <v>1.8190799999999999E-4</v>
      </c>
      <c r="CO6" s="27">
        <f>opex_orig!CF6</f>
        <v>3.2899999999999998E-6</v>
      </c>
      <c r="CP6" s="27">
        <f>opex_orig!CG6</f>
        <v>3.3799999999999998E-6</v>
      </c>
    </row>
    <row r="7" spans="1:94" x14ac:dyDescent="0.25">
      <c r="A7" s="5" t="s">
        <v>33</v>
      </c>
      <c r="B7" s="2" t="s">
        <v>32</v>
      </c>
      <c r="C7" s="1" t="s">
        <v>325</v>
      </c>
      <c r="D7" s="188">
        <f>opex_orig!D7</f>
        <v>2.6100000000000001E-5</v>
      </c>
      <c r="E7" s="188">
        <f>opex_orig!E7</f>
        <v>9.6900000000000004E-6</v>
      </c>
      <c r="F7" s="188">
        <f>opex_orig!F7</f>
        <v>2.05E-5</v>
      </c>
      <c r="G7" s="188">
        <f>opex_orig!G7</f>
        <v>8.8000000000000004E-7</v>
      </c>
      <c r="H7" s="188">
        <f>opex_orig!H7</f>
        <v>1.06E-6</v>
      </c>
      <c r="I7" s="188">
        <f>opex_orig!I7</f>
        <v>9.7599999999999997E-6</v>
      </c>
      <c r="J7" s="188">
        <f>opex_orig!J7</f>
        <v>4.9499999999999997E-5</v>
      </c>
      <c r="K7" s="188">
        <f>opex_orig!K7</f>
        <v>0.459987743</v>
      </c>
      <c r="L7" s="188">
        <f>opex_orig!L7</f>
        <v>5.4299999999999998E-5</v>
      </c>
      <c r="M7" s="188">
        <f>opex_orig!M7</f>
        <v>3.6999999999999998E-5</v>
      </c>
      <c r="N7" s="188">
        <f>opex_orig!N7</f>
        <v>1.059606E-3</v>
      </c>
      <c r="O7" s="188">
        <f>opex_orig!O7</f>
        <v>6.02E-5</v>
      </c>
      <c r="P7" s="188">
        <f>opex_orig!P7</f>
        <v>1.3699999999999999E-5</v>
      </c>
      <c r="Q7" s="188">
        <f>opex_orig!Q7</f>
        <v>3.3899999999999997E-5</v>
      </c>
      <c r="R7" s="188">
        <f>opex_orig!R7</f>
        <v>3.5200000000000002E-6</v>
      </c>
      <c r="S7" s="188">
        <f>opex_orig!S7</f>
        <v>5.7899999999999996E-6</v>
      </c>
      <c r="T7" s="188">
        <f>opex_orig!T7</f>
        <v>5.6099999999999997E-6</v>
      </c>
      <c r="U7" s="188">
        <f>opex_orig!U7</f>
        <v>1.19E-5</v>
      </c>
      <c r="V7" s="188">
        <f>opex_orig!V7</f>
        <v>1.326303E-3</v>
      </c>
      <c r="W7" s="188">
        <f>opex_orig!W7</f>
        <v>1.42473E-4</v>
      </c>
      <c r="X7" s="188">
        <f>opex_orig!X7</f>
        <v>5.2100000000000001E-6</v>
      </c>
      <c r="Y7" s="188">
        <f>opex_orig!Y7</f>
        <v>9.3600000000000002E-7</v>
      </c>
      <c r="Z7" s="188">
        <f>opex_orig!Z7</f>
        <v>1.4023599999999999E-4</v>
      </c>
      <c r="AA7" s="188">
        <f>opex_orig!AA7</f>
        <v>4.6199999999999998E-6</v>
      </c>
      <c r="AB7" s="188">
        <f>opex_orig!$AB7</f>
        <v>5.4961139789089296E-4</v>
      </c>
      <c r="AC7" s="188">
        <f>opex_orig!$AB7</f>
        <v>5.4961139789089296E-4</v>
      </c>
      <c r="AD7" s="188">
        <f>opex_orig!$AB7</f>
        <v>5.4961139789089296E-4</v>
      </c>
      <c r="AE7" s="188">
        <f>opex_orig!$AC7</f>
        <v>1.54751358076817E-5</v>
      </c>
      <c r="AF7" s="188">
        <f>opex_orig!$AD7</f>
        <v>1.05746440436805E-4</v>
      </c>
      <c r="AG7" s="188">
        <f>opex_orig!$AD7</f>
        <v>1.05746440436805E-4</v>
      </c>
      <c r="AH7" s="188">
        <f>opex_orig!$AD7</f>
        <v>1.05746440436805E-4</v>
      </c>
      <c r="AI7" s="188">
        <f>opex_orig!AE7</f>
        <v>1.1459E-4</v>
      </c>
      <c r="AJ7" s="188">
        <f>opex_orig!AF7</f>
        <v>8.3399999999999994E-5</v>
      </c>
      <c r="AK7" s="188">
        <f>opex_orig!AG7</f>
        <v>1.03E-5</v>
      </c>
      <c r="AL7" s="188">
        <f>opex_orig!AH7</f>
        <v>5.6899999999999997E-6</v>
      </c>
      <c r="AM7" s="188">
        <f>opex_orig!AI7</f>
        <v>3.0400000000000001E-6</v>
      </c>
      <c r="AN7" s="188">
        <f>opex_orig!AJ7</f>
        <v>2.96E-6</v>
      </c>
      <c r="AO7" s="188">
        <f>opex_orig!AK7</f>
        <v>3.2600000000000001E-6</v>
      </c>
      <c r="AP7" s="188">
        <f>opex_orig!$AL7</f>
        <v>3.7196890334302801E-6</v>
      </c>
      <c r="AQ7" s="188">
        <f>opex_orig!$AL7</f>
        <v>3.7196890334302801E-6</v>
      </c>
      <c r="AR7" s="188">
        <f>opex_orig!$AL7</f>
        <v>3.7196890334302801E-6</v>
      </c>
      <c r="AS7" s="188">
        <f>opex_orig!$AM7</f>
        <v>2.6377320507412798E-6</v>
      </c>
      <c r="AT7" s="188">
        <f>opex_orig!AN7</f>
        <v>3.6500000000000002E-6</v>
      </c>
      <c r="AU7" s="188">
        <f>opex_orig!$AO7</f>
        <v>1.43266590334269E-6</v>
      </c>
      <c r="AV7" s="188">
        <f>opex_orig!$AO7</f>
        <v>1.43266590334269E-6</v>
      </c>
      <c r="AW7" s="188">
        <f>opex_orig!$AO7</f>
        <v>1.43266590334269E-6</v>
      </c>
      <c r="AX7" s="188">
        <f>opex_orig!$AP7</f>
        <v>1.9078844683532999E-6</v>
      </c>
      <c r="AY7" s="188">
        <f>opex_orig!AQ7</f>
        <v>2.7999999999999999E-6</v>
      </c>
      <c r="AZ7" s="188">
        <f>opex_orig!AR7</f>
        <v>0</v>
      </c>
      <c r="BA7" s="188">
        <f>opex_orig!AS7</f>
        <v>3.98E-6</v>
      </c>
      <c r="BB7" s="188">
        <f>opex_orig!AT7</f>
        <v>3.1700000000000001E-6</v>
      </c>
      <c r="BC7" s="188">
        <f>opex_orig!AU7</f>
        <v>1.3599999999999999E-6</v>
      </c>
      <c r="BD7" s="188">
        <f>opex_orig!AV7</f>
        <v>6.61E-7</v>
      </c>
      <c r="BE7" s="188">
        <f>opex_orig!AW7</f>
        <v>1.61E-6</v>
      </c>
      <c r="BF7" s="188">
        <f>opex_orig!AX7</f>
        <v>0</v>
      </c>
      <c r="BG7" s="188">
        <f>opex_orig!AY7</f>
        <v>3.5599999999999998E-6</v>
      </c>
      <c r="BH7" s="188">
        <f>opex_orig!AZ7</f>
        <v>0</v>
      </c>
      <c r="BI7" s="188">
        <f>opex_orig!BA7</f>
        <v>1.7099999999999999E-6</v>
      </c>
      <c r="BJ7" s="188">
        <f>opex_orig!BB7</f>
        <v>2.65E-6</v>
      </c>
      <c r="BK7" s="188">
        <f>opex_orig!BC7</f>
        <v>4.1200000000000004E-6</v>
      </c>
      <c r="BL7" s="188">
        <f>opex_orig!BD7</f>
        <v>1.4699999999999999E-6</v>
      </c>
      <c r="BM7" s="188">
        <f>opex_orig!BE7</f>
        <v>3.7799999999999997E-5</v>
      </c>
      <c r="BN7" s="188">
        <f>opex_orig!BF7</f>
        <v>4.8600000000000002E-5</v>
      </c>
      <c r="BO7" s="188">
        <f>opex_orig!BG7</f>
        <v>9.8800000000000003E-5</v>
      </c>
      <c r="BP7" s="188">
        <f>opex_orig!$BH7</f>
        <v>2.20630357283205E-6</v>
      </c>
      <c r="BQ7" s="188">
        <f>opex_orig!$BH7</f>
        <v>2.20630357283205E-6</v>
      </c>
      <c r="BR7" s="188">
        <f>opex_orig!BI7</f>
        <v>2.4600000000000002E-6</v>
      </c>
      <c r="BS7" s="188">
        <f>opex_orig!BJ7</f>
        <v>5.8699999999999997E-5</v>
      </c>
      <c r="BT7" s="188">
        <f>opex_orig!BK7</f>
        <v>8.1945900000000003E-4</v>
      </c>
      <c r="BU7" s="188">
        <f>opex_orig!BL7</f>
        <v>0</v>
      </c>
      <c r="BV7" s="27">
        <f>opex_orig!BM7</f>
        <v>3.0062628985074001E-6</v>
      </c>
      <c r="BW7" s="27">
        <f>opex_orig!BN7</f>
        <v>8.4958291046238802E-6</v>
      </c>
      <c r="BX7" s="27">
        <f>opex_orig!BO7</f>
        <v>1.5028367101685401E-6</v>
      </c>
      <c r="BY7" s="27">
        <f>opex_orig!BP7</f>
        <v>6.0015416432402698E-6</v>
      </c>
      <c r="BZ7" s="27">
        <f>opex_orig!BQ7</f>
        <v>4.29964705279371E-6</v>
      </c>
      <c r="CA7" s="27">
        <f>opex_orig!BR7</f>
        <v>1.91207364275816E-7</v>
      </c>
      <c r="CB7" s="27">
        <f>opex_orig!BS7</f>
        <v>1.00610884072258E-5</v>
      </c>
      <c r="CC7" s="27">
        <f>opex_orig!BT7</f>
        <v>3.7374336664819197E-5</v>
      </c>
      <c r="CD7" s="27">
        <f>opex_orig!BU7</f>
        <v>1.6894299205273301E-6</v>
      </c>
      <c r="CE7" s="27">
        <f>opex_orig!BV7</f>
        <v>1.68942992052734E-6</v>
      </c>
      <c r="CF7" s="27">
        <f>opex_orig!BW7</f>
        <v>2.5534183777905799E-6</v>
      </c>
      <c r="CG7" s="27">
        <f>opex_orig!BX7</f>
        <v>4.9346653140120699E-6</v>
      </c>
      <c r="CH7" s="27">
        <f>opex_orig!BY7</f>
        <v>2.49407832468011E-6</v>
      </c>
      <c r="CI7" s="27">
        <f>opex_orig!BZ7</f>
        <v>3.9700000000000001E-6</v>
      </c>
      <c r="CJ7" s="27">
        <f>opex_orig!CA7</f>
        <v>2.3199999999999998E-6</v>
      </c>
      <c r="CK7" s="27">
        <f>opex_orig!CB7</f>
        <v>2.1299999999999999E-6</v>
      </c>
      <c r="CL7" s="27">
        <f>opex_orig!CC7</f>
        <v>1.73E-6</v>
      </c>
      <c r="CM7" s="27">
        <f>opex_orig!CD7</f>
        <v>4.8999999999999997E-6</v>
      </c>
      <c r="CN7" s="27">
        <f>opex_orig!CE7</f>
        <v>3.49332E-4</v>
      </c>
      <c r="CO7" s="27">
        <f>opex_orig!CF7</f>
        <v>1.63E-5</v>
      </c>
      <c r="CP7" s="27">
        <f>opex_orig!CG7</f>
        <v>4.34E-6</v>
      </c>
    </row>
    <row r="8" spans="1:94" x14ac:dyDescent="0.25">
      <c r="A8" s="5" t="s">
        <v>35</v>
      </c>
      <c r="B8" s="2" t="s">
        <v>34</v>
      </c>
      <c r="C8" s="1" t="s">
        <v>325</v>
      </c>
      <c r="D8" s="188">
        <f>opex_orig!D8</f>
        <v>8.6700000000000002E-7</v>
      </c>
      <c r="E8" s="188">
        <f>opex_orig!E8</f>
        <v>1.53E-6</v>
      </c>
      <c r="F8" s="188">
        <f>opex_orig!F8</f>
        <v>7.0099999999999998E-6</v>
      </c>
      <c r="G8" s="188">
        <f>opex_orig!G8</f>
        <v>4.3799999999999998E-7</v>
      </c>
      <c r="H8" s="188">
        <f>opex_orig!H8</f>
        <v>6.9299999999999997E-6</v>
      </c>
      <c r="I8" s="188">
        <f>opex_orig!I8</f>
        <v>9.1200000000000001E-7</v>
      </c>
      <c r="J8" s="188">
        <f>opex_orig!J8</f>
        <v>8.2400000000000007E-6</v>
      </c>
      <c r="K8" s="188">
        <f>opex_orig!K8</f>
        <v>2.62E-8</v>
      </c>
      <c r="L8" s="188">
        <f>opex_orig!L8</f>
        <v>1.5061E-4</v>
      </c>
      <c r="M8" s="188">
        <f>opex_orig!M8</f>
        <v>5.2499999999999997E-6</v>
      </c>
      <c r="N8" s="188">
        <f>opex_orig!N8</f>
        <v>2.5597E-4</v>
      </c>
      <c r="O8" s="188">
        <f>opex_orig!O8</f>
        <v>8.7100000000000003E-5</v>
      </c>
      <c r="P8" s="188">
        <f>opex_orig!P8</f>
        <v>7.2260900000000003E-4</v>
      </c>
      <c r="Q8" s="188">
        <f>opex_orig!Q8</f>
        <v>2.6900000000000001E-6</v>
      </c>
      <c r="R8" s="188">
        <f>opex_orig!R8</f>
        <v>2.1E-7</v>
      </c>
      <c r="S8" s="188">
        <f>opex_orig!S8</f>
        <v>4.2800000000000002E-7</v>
      </c>
      <c r="T8" s="188">
        <f>opex_orig!T8</f>
        <v>3.1699999999999999E-7</v>
      </c>
      <c r="U8" s="188">
        <f>opex_orig!U8</f>
        <v>2.1299999999999999E-7</v>
      </c>
      <c r="V8" s="188">
        <f>opex_orig!V8</f>
        <v>2.5699999999999999E-7</v>
      </c>
      <c r="W8" s="188">
        <f>opex_orig!W8</f>
        <v>2.3900000000000001E-7</v>
      </c>
      <c r="X8" s="188">
        <f>opex_orig!X8</f>
        <v>9.3299999999999995E-8</v>
      </c>
      <c r="Y8" s="188">
        <f>opex_orig!Y8</f>
        <v>2.1500000000000001E-8</v>
      </c>
      <c r="Z8" s="188">
        <f>opex_orig!Z8</f>
        <v>7.0500000000000003E-8</v>
      </c>
      <c r="AA8" s="188">
        <f>opex_orig!AA8</f>
        <v>1.4000000000000001E-7</v>
      </c>
      <c r="AB8" s="188">
        <f>opex_orig!$AB8</f>
        <v>1.75606128250703E-5</v>
      </c>
      <c r="AC8" s="188">
        <f>opex_orig!$AB8</f>
        <v>1.75606128250703E-5</v>
      </c>
      <c r="AD8" s="188">
        <f>opex_orig!$AB8</f>
        <v>1.75606128250703E-5</v>
      </c>
      <c r="AE8" s="188">
        <f>opex_orig!$AC8</f>
        <v>2.5198025670741999E-5</v>
      </c>
      <c r="AF8" s="188">
        <f>opex_orig!$AD8</f>
        <v>1.2237764747378399E-5</v>
      </c>
      <c r="AG8" s="188">
        <f>opex_orig!$AD8</f>
        <v>1.2237764747378399E-5</v>
      </c>
      <c r="AH8" s="188">
        <f>opex_orig!$AD8</f>
        <v>1.2237764747378399E-5</v>
      </c>
      <c r="AI8" s="188">
        <f>opex_orig!AE8</f>
        <v>1.1800000000000001E-5</v>
      </c>
      <c r="AJ8" s="188">
        <f>opex_orig!AF8</f>
        <v>1.15E-5</v>
      </c>
      <c r="AK8" s="188">
        <f>opex_orig!AG8</f>
        <v>9.1100000000000004E-7</v>
      </c>
      <c r="AL8" s="188">
        <f>opex_orig!AH8</f>
        <v>3.3599999999999999E-7</v>
      </c>
      <c r="AM8" s="188">
        <f>opex_orig!AI8</f>
        <v>5.4899999999999995E-7</v>
      </c>
      <c r="AN8" s="188">
        <f>opex_orig!AJ8</f>
        <v>1.2700000000000001E-7</v>
      </c>
      <c r="AO8" s="188">
        <f>opex_orig!AK8</f>
        <v>5.3300000000000002E-7</v>
      </c>
      <c r="AP8" s="188">
        <f>opex_orig!$AL8</f>
        <v>3.4898193225122803E-7</v>
      </c>
      <c r="AQ8" s="188">
        <f>opex_orig!$AL8</f>
        <v>3.4898193225122803E-7</v>
      </c>
      <c r="AR8" s="188">
        <f>opex_orig!$AL8</f>
        <v>3.4898193225122803E-7</v>
      </c>
      <c r="AS8" s="188">
        <f>opex_orig!$AM8</f>
        <v>4.0234554027215903E-8</v>
      </c>
      <c r="AT8" s="188">
        <f>opex_orig!AN8</f>
        <v>1.33E-6</v>
      </c>
      <c r="AU8" s="188">
        <f>opex_orig!$AO8</f>
        <v>7.3040998371177704E-8</v>
      </c>
      <c r="AV8" s="188">
        <f>opex_orig!$AO8</f>
        <v>7.3040998371177704E-8</v>
      </c>
      <c r="AW8" s="188">
        <f>opex_orig!$AO8</f>
        <v>7.3040998371177704E-8</v>
      </c>
      <c r="AX8" s="188">
        <f>opex_orig!$AP8</f>
        <v>7.5418212669092298E-8</v>
      </c>
      <c r="AY8" s="188">
        <f>opex_orig!AQ8</f>
        <v>1.3899999999999999E-7</v>
      </c>
      <c r="AZ8" s="188">
        <f>opex_orig!AR8</f>
        <v>0</v>
      </c>
      <c r="BA8" s="188">
        <f>opex_orig!AS8</f>
        <v>2.11E-7</v>
      </c>
      <c r="BB8" s="188">
        <f>opex_orig!AT8</f>
        <v>1.8199999999999999E-7</v>
      </c>
      <c r="BC8" s="188">
        <f>opex_orig!AU8</f>
        <v>1.89E-8</v>
      </c>
      <c r="BD8" s="188">
        <f>opex_orig!AV8</f>
        <v>1.59E-8</v>
      </c>
      <c r="BE8" s="188">
        <f>opex_orig!AW8</f>
        <v>5.2299999999999998E-8</v>
      </c>
      <c r="BF8" s="188">
        <f>opex_orig!AX8</f>
        <v>0</v>
      </c>
      <c r="BG8" s="188">
        <f>opex_orig!AY8</f>
        <v>1.61E-7</v>
      </c>
      <c r="BH8" s="188">
        <f>opex_orig!AZ8</f>
        <v>0</v>
      </c>
      <c r="BI8" s="188">
        <f>opex_orig!BA8</f>
        <v>9.1300000000000004E-8</v>
      </c>
      <c r="BJ8" s="188">
        <f>opex_orig!BB8</f>
        <v>4.14E-8</v>
      </c>
      <c r="BK8" s="188">
        <f>opex_orig!BC8</f>
        <v>1.1600000000000001E-7</v>
      </c>
      <c r="BL8" s="188">
        <f>opex_orig!BD8</f>
        <v>1.24E-7</v>
      </c>
      <c r="BM8" s="188">
        <f>opex_orig!BE8</f>
        <v>9.2699999999999998E-7</v>
      </c>
      <c r="BN8" s="188">
        <f>opex_orig!BF8</f>
        <v>9.7800000000000002E-8</v>
      </c>
      <c r="BO8" s="188">
        <f>opex_orig!BG8</f>
        <v>2.6400000000000001E-6</v>
      </c>
      <c r="BP8" s="188">
        <f>opex_orig!$BH8</f>
        <v>7.7032511048254499E-8</v>
      </c>
      <c r="BQ8" s="188">
        <f>opex_orig!$BH8</f>
        <v>7.7032511048254499E-8</v>
      </c>
      <c r="BR8" s="188">
        <f>opex_orig!BI8</f>
        <v>9.2399999999999994E-8</v>
      </c>
      <c r="BS8" s="188">
        <f>opex_orig!BJ8</f>
        <v>3.0499999999999999E-7</v>
      </c>
      <c r="BT8" s="188">
        <f>opex_orig!BK8</f>
        <v>2.0299999999999999E-5</v>
      </c>
      <c r="BU8" s="188">
        <f>opex_orig!BL8</f>
        <v>0</v>
      </c>
      <c r="BV8" s="27">
        <f>opex_orig!BM8</f>
        <v>1.0555221273605E-7</v>
      </c>
      <c r="BW8" s="27">
        <f>opex_orig!BN8</f>
        <v>3.6737280402816802E-7</v>
      </c>
      <c r="BX8" s="27">
        <f>opex_orig!BO8</f>
        <v>3.2161222639475197E-8</v>
      </c>
      <c r="BY8" s="27">
        <f>opex_orig!BP8</f>
        <v>8.5694378812688495E-8</v>
      </c>
      <c r="BZ8" s="27">
        <f>opex_orig!BQ8</f>
        <v>9.1905614577162498E-8</v>
      </c>
      <c r="CA8" s="27">
        <f>opex_orig!BR8</f>
        <v>4.0688750127938799E-9</v>
      </c>
      <c r="CB8" s="27">
        <f>opex_orig!BS8</f>
        <v>3.7461556278706799E-7</v>
      </c>
      <c r="CC8" s="27">
        <f>opex_orig!BT8</f>
        <v>2.30770657486689E-8</v>
      </c>
      <c r="CD8" s="27">
        <f>opex_orig!BU8</f>
        <v>3.3939728049769503E-8</v>
      </c>
      <c r="CE8" s="27">
        <f>opex_orig!BV8</f>
        <v>3.3939728049769602E-8</v>
      </c>
      <c r="CF8" s="27">
        <f>opex_orig!BW8</f>
        <v>8.8459240977324305E-8</v>
      </c>
      <c r="CG8" s="27">
        <f>opex_orig!BX8</f>
        <v>1.55624417851064E-7</v>
      </c>
      <c r="CH8" s="27">
        <f>opex_orig!BY8</f>
        <v>1.52892156164356E-8</v>
      </c>
      <c r="CI8" s="27">
        <f>opex_orig!BZ8</f>
        <v>7.8600000000000002E-8</v>
      </c>
      <c r="CJ8" s="27">
        <f>opex_orig!CA8</f>
        <v>5.39E-8</v>
      </c>
      <c r="CK8" s="27">
        <f>opex_orig!CB8</f>
        <v>6.1700000000000003E-8</v>
      </c>
      <c r="CL8" s="27">
        <f>opex_orig!CC8</f>
        <v>5.4200000000000002E-8</v>
      </c>
      <c r="CM8" s="27">
        <f>opex_orig!CD8</f>
        <v>4.2800000000000002E-7</v>
      </c>
      <c r="CN8" s="27">
        <f>opex_orig!CE8</f>
        <v>8.5199999999999997E-6</v>
      </c>
      <c r="CO8" s="27">
        <f>opex_orig!CF8</f>
        <v>2.9900000000000002E-7</v>
      </c>
      <c r="CP8" s="27">
        <f>opex_orig!CG8</f>
        <v>4.6700000000000001E-8</v>
      </c>
    </row>
    <row r="9" spans="1:94" x14ac:dyDescent="0.25">
      <c r="A9" s="5" t="s">
        <v>37</v>
      </c>
      <c r="B9" s="2" t="s">
        <v>36</v>
      </c>
      <c r="C9" s="1" t="s">
        <v>325</v>
      </c>
      <c r="D9" s="188">
        <f>opex_orig!D9</f>
        <v>1.7099999999999999E-5</v>
      </c>
      <c r="E9" s="188">
        <f>opex_orig!E9</f>
        <v>2.19E-5</v>
      </c>
      <c r="F9" s="188">
        <f>opex_orig!F9</f>
        <v>5.02E-5</v>
      </c>
      <c r="G9" s="188">
        <f>opex_orig!G9</f>
        <v>5.48E-6</v>
      </c>
      <c r="H9" s="188">
        <f>opex_orig!H9</f>
        <v>1.5500000000000001E-5</v>
      </c>
      <c r="I9" s="188">
        <f>opex_orig!I9</f>
        <v>2.2399999999999999E-5</v>
      </c>
      <c r="J9" s="188">
        <f>opex_orig!J9</f>
        <v>5.41E-5</v>
      </c>
      <c r="K9" s="188">
        <f>opex_orig!K9</f>
        <v>1.6799999999999998E-5</v>
      </c>
      <c r="L9" s="188">
        <f>opex_orig!L9</f>
        <v>3.4660429999999998E-3</v>
      </c>
      <c r="M9" s="188">
        <f>opex_orig!M9</f>
        <v>3.5306619999999999E-3</v>
      </c>
      <c r="N9" s="188">
        <f>opex_orig!N9</f>
        <v>5.7242170000000002E-3</v>
      </c>
      <c r="O9" s="188">
        <f>opex_orig!O9</f>
        <v>7.9365669999999999E-2</v>
      </c>
      <c r="P9" s="188">
        <f>opex_orig!P9</f>
        <v>1.2195546E-2</v>
      </c>
      <c r="Q9" s="188">
        <f>opex_orig!Q9</f>
        <v>1.9171100000000001E-4</v>
      </c>
      <c r="R9" s="188">
        <f>opex_orig!R9</f>
        <v>1.2836299999999999E-4</v>
      </c>
      <c r="S9" s="188">
        <f>opex_orig!S9</f>
        <v>8.53E-5</v>
      </c>
      <c r="T9" s="188">
        <f>opex_orig!T9</f>
        <v>3.3699999999999999E-5</v>
      </c>
      <c r="U9" s="188">
        <f>opex_orig!U9</f>
        <v>4.6900000000000002E-5</v>
      </c>
      <c r="V9" s="188">
        <f>opex_orig!V9</f>
        <v>2.7800000000000001E-5</v>
      </c>
      <c r="W9" s="188">
        <f>opex_orig!W9</f>
        <v>2.3200000000000001E-5</v>
      </c>
      <c r="X9" s="188">
        <f>opex_orig!X9</f>
        <v>1.9599999999999999E-5</v>
      </c>
      <c r="Y9" s="188">
        <f>opex_orig!Y9</f>
        <v>1.6399999999999999E-5</v>
      </c>
      <c r="Z9" s="188">
        <f>opex_orig!Z9</f>
        <v>1.6399999999999999E-5</v>
      </c>
      <c r="AA9" s="188">
        <f>opex_orig!AA9</f>
        <v>5.91E-5</v>
      </c>
      <c r="AB9" s="188">
        <f>opex_orig!$AB9</f>
        <v>6.8300018472459002E-5</v>
      </c>
      <c r="AC9" s="188">
        <f>opex_orig!$AB9</f>
        <v>6.8300018472459002E-5</v>
      </c>
      <c r="AD9" s="188">
        <f>opex_orig!$AB9</f>
        <v>6.8300018472459002E-5</v>
      </c>
      <c r="AE9" s="188">
        <f>opex_orig!$AC9</f>
        <v>7.9347477517161804E-4</v>
      </c>
      <c r="AF9" s="188">
        <f>opex_orig!$AD9</f>
        <v>2.6895197862001301E-4</v>
      </c>
      <c r="AG9" s="188">
        <f>opex_orig!$AD9</f>
        <v>2.6895197862001301E-4</v>
      </c>
      <c r="AH9" s="188">
        <f>opex_orig!$AD9</f>
        <v>2.6895197862001301E-4</v>
      </c>
      <c r="AI9" s="188">
        <f>opex_orig!AE9</f>
        <v>1.5848500000000001E-4</v>
      </c>
      <c r="AJ9" s="188">
        <f>opex_orig!AF9</f>
        <v>3.86785E-4</v>
      </c>
      <c r="AK9" s="188">
        <f>opex_orig!AG9</f>
        <v>1.8700000000000001E-5</v>
      </c>
      <c r="AL9" s="188">
        <f>opex_orig!AH9</f>
        <v>2.0800000000000001E-5</v>
      </c>
      <c r="AM9" s="188">
        <f>opex_orig!AI9</f>
        <v>3.3300000000000003E-5</v>
      </c>
      <c r="AN9" s="188">
        <f>opex_orig!AJ9</f>
        <v>1.4800000000000001E-5</v>
      </c>
      <c r="AO9" s="188">
        <f>opex_orig!AK9</f>
        <v>3.7599999999999999E-5</v>
      </c>
      <c r="AP9" s="188">
        <f>opex_orig!$AL9</f>
        <v>2.1780617985482599E-5</v>
      </c>
      <c r="AQ9" s="188">
        <f>opex_orig!$AL9</f>
        <v>2.1780617985482599E-5</v>
      </c>
      <c r="AR9" s="188">
        <f>opex_orig!$AL9</f>
        <v>2.1780617985482599E-5</v>
      </c>
      <c r="AS9" s="188">
        <f>opex_orig!$AM9</f>
        <v>2.77916238542939E-5</v>
      </c>
      <c r="AT9" s="188">
        <f>opex_orig!AN9</f>
        <v>5.8600000000000001E-5</v>
      </c>
      <c r="AU9" s="188">
        <f>opex_orig!$AO9</f>
        <v>1.31731680429376E-5</v>
      </c>
      <c r="AV9" s="188">
        <f>opex_orig!$AO9</f>
        <v>1.31731680429376E-5</v>
      </c>
      <c r="AW9" s="188">
        <f>opex_orig!$AO9</f>
        <v>1.31731680429376E-5</v>
      </c>
      <c r="AX9" s="188">
        <f>opex_orig!$AP9</f>
        <v>2.08574421188413E-5</v>
      </c>
      <c r="AY9" s="188">
        <f>opex_orig!AQ9</f>
        <v>2.6999999999999999E-5</v>
      </c>
      <c r="AZ9" s="188">
        <f>opex_orig!AR9</f>
        <v>0</v>
      </c>
      <c r="BA9" s="188">
        <f>opex_orig!AS9</f>
        <v>2.1399999999999998E-5</v>
      </c>
      <c r="BB9" s="188">
        <f>opex_orig!AT9</f>
        <v>1.6799999999999998E-5</v>
      </c>
      <c r="BC9" s="188">
        <f>opex_orig!AU9</f>
        <v>1.2799999999999999E-5</v>
      </c>
      <c r="BD9" s="188">
        <f>opex_orig!AV9</f>
        <v>9.9499999999999996E-6</v>
      </c>
      <c r="BE9" s="188">
        <f>opex_orig!AW9</f>
        <v>1.8700000000000001E-5</v>
      </c>
      <c r="BF9" s="188">
        <f>opex_orig!AX9</f>
        <v>0</v>
      </c>
      <c r="BG9" s="188">
        <f>opex_orig!AY9</f>
        <v>5.3999999999999998E-5</v>
      </c>
      <c r="BH9" s="188">
        <f>opex_orig!AZ9</f>
        <v>0</v>
      </c>
      <c r="BI9" s="188">
        <f>opex_orig!BA9</f>
        <v>1.5800000000000001E-5</v>
      </c>
      <c r="BJ9" s="188">
        <f>opex_orig!BB9</f>
        <v>1.5099999999999999E-5</v>
      </c>
      <c r="BK9" s="188">
        <f>opex_orig!BC9</f>
        <v>1.5500000000000001E-5</v>
      </c>
      <c r="BL9" s="188">
        <f>opex_orig!BD9</f>
        <v>1.66E-5</v>
      </c>
      <c r="BM9" s="188">
        <f>opex_orig!BE9</f>
        <v>1.22E-5</v>
      </c>
      <c r="BN9" s="188">
        <f>opex_orig!BF9</f>
        <v>1.5400000000000002E-5</v>
      </c>
      <c r="BO9" s="188">
        <f>opex_orig!BG9</f>
        <v>2.2399999999999999E-5</v>
      </c>
      <c r="BP9" s="188">
        <f>opex_orig!$BH9</f>
        <v>1.5694151735061099E-5</v>
      </c>
      <c r="BQ9" s="188">
        <f>opex_orig!$BH9</f>
        <v>1.5694151735061099E-5</v>
      </c>
      <c r="BR9" s="188">
        <f>opex_orig!BI9</f>
        <v>9.9000000000000001E-6</v>
      </c>
      <c r="BS9" s="188">
        <f>opex_orig!BJ9</f>
        <v>9.8700000000000004E-6</v>
      </c>
      <c r="BT9" s="188">
        <f>opex_orig!BK9</f>
        <v>3.7499999999999997E-5</v>
      </c>
      <c r="BU9" s="188">
        <f>opex_orig!BL9</f>
        <v>0</v>
      </c>
      <c r="BV9" s="27">
        <f>opex_orig!BM9</f>
        <v>4.0475561448742303E-5</v>
      </c>
      <c r="BW9" s="27">
        <f>opex_orig!BN9</f>
        <v>1.99757728456767E-4</v>
      </c>
      <c r="BX9" s="27">
        <f>opex_orig!BO9</f>
        <v>7.9562447175385305E-6</v>
      </c>
      <c r="BY9" s="27">
        <f>opex_orig!BP9</f>
        <v>2.5729757899980798E-5</v>
      </c>
      <c r="BZ9" s="27">
        <f>opex_orig!BQ9</f>
        <v>1.7798462658515301E-5</v>
      </c>
      <c r="CA9" s="27">
        <f>opex_orig!BR9</f>
        <v>9.8027025201533409E-7</v>
      </c>
      <c r="CB9" s="27">
        <f>opex_orig!BS9</f>
        <v>1.21667092573394E-4</v>
      </c>
      <c r="CC9" s="27">
        <f>opex_orig!BT9</f>
        <v>6.8333262620606603E-6</v>
      </c>
      <c r="CD9" s="27">
        <f>opex_orig!BU9</f>
        <v>7.7966844605378704E-6</v>
      </c>
      <c r="CE9" s="27">
        <f>opex_orig!BV9</f>
        <v>7.7966844605378805E-6</v>
      </c>
      <c r="CF9" s="27">
        <f>opex_orig!BW9</f>
        <v>5.0074867288667003E-6</v>
      </c>
      <c r="CG9" s="27">
        <f>opex_orig!BX9</f>
        <v>4.2602464618092303E-7</v>
      </c>
      <c r="CH9" s="27">
        <f>opex_orig!BY9</f>
        <v>2.1268313759980102E-5</v>
      </c>
      <c r="CI9" s="27">
        <f>opex_orig!BZ9</f>
        <v>4.88E-5</v>
      </c>
      <c r="CJ9" s="27">
        <f>opex_orig!CA9</f>
        <v>1.6900000000000001E-5</v>
      </c>
      <c r="CK9" s="27">
        <f>opex_orig!CB9</f>
        <v>1.3699999999999999E-5</v>
      </c>
      <c r="CL9" s="27">
        <f>opex_orig!CC9</f>
        <v>7.1500000000000002E-6</v>
      </c>
      <c r="CM9" s="27">
        <f>opex_orig!CD9</f>
        <v>2.0667E-4</v>
      </c>
      <c r="CN9" s="27">
        <f>opex_orig!CE9</f>
        <v>2.0299999999999999E-5</v>
      </c>
      <c r="CO9" s="27">
        <f>opex_orig!CF9</f>
        <v>4.18E-5</v>
      </c>
      <c r="CP9" s="27">
        <f>opex_orig!CG9</f>
        <v>1.22E-5</v>
      </c>
    </row>
    <row r="10" spans="1:94" x14ac:dyDescent="0.25">
      <c r="A10" s="5" t="s">
        <v>39</v>
      </c>
      <c r="B10" s="2" t="s">
        <v>38</v>
      </c>
      <c r="C10" s="1" t="s">
        <v>325</v>
      </c>
      <c r="D10" s="188">
        <f>opex_orig!D10</f>
        <v>0.30680001499999998</v>
      </c>
      <c r="E10" s="188">
        <f>opex_orig!E10</f>
        <v>1.8700000000000001E-5</v>
      </c>
      <c r="F10" s="188">
        <f>opex_orig!F10</f>
        <v>4.57E-5</v>
      </c>
      <c r="G10" s="188">
        <f>opex_orig!G10</f>
        <v>5.804877E-3</v>
      </c>
      <c r="H10" s="188">
        <f>opex_orig!H10</f>
        <v>1.1999999999999999E-6</v>
      </c>
      <c r="I10" s="188">
        <f>opex_orig!I10</f>
        <v>1.7759949000000001E-2</v>
      </c>
      <c r="J10" s="188">
        <f>opex_orig!J10</f>
        <v>2.5000000000000001E-5</v>
      </c>
      <c r="K10" s="188">
        <f>opex_orig!K10</f>
        <v>1.22E-6</v>
      </c>
      <c r="L10" s="188">
        <f>opex_orig!L10</f>
        <v>1.3591231E-2</v>
      </c>
      <c r="M10" s="188">
        <f>opex_orig!M10</f>
        <v>5.4345499999999998E-4</v>
      </c>
      <c r="N10" s="188">
        <f>opex_orig!N10</f>
        <v>1.8597507999999999E-2</v>
      </c>
      <c r="O10" s="188">
        <f>opex_orig!O10</f>
        <v>1.381712E-3</v>
      </c>
      <c r="P10" s="188">
        <f>opex_orig!P10</f>
        <v>2.0892799999999999E-4</v>
      </c>
      <c r="Q10" s="188">
        <f>opex_orig!Q10</f>
        <v>8.1899999999999999E-5</v>
      </c>
      <c r="R10" s="188">
        <f>opex_orig!R10</f>
        <v>6.3488709999999999E-3</v>
      </c>
      <c r="S10" s="188">
        <f>opex_orig!S10</f>
        <v>1.15E-5</v>
      </c>
      <c r="T10" s="188">
        <f>opex_orig!T10</f>
        <v>9.38E-6</v>
      </c>
      <c r="U10" s="188">
        <f>opex_orig!U10</f>
        <v>1.08E-5</v>
      </c>
      <c r="V10" s="188">
        <f>opex_orig!V10</f>
        <v>1.2E-5</v>
      </c>
      <c r="W10" s="188">
        <f>opex_orig!W10</f>
        <v>5.0699999999999997E-6</v>
      </c>
      <c r="X10" s="188">
        <f>opex_orig!X10</f>
        <v>1.3900000000000001E-5</v>
      </c>
      <c r="Y10" s="188">
        <f>opex_orig!Y10</f>
        <v>2.2400000000000002E-6</v>
      </c>
      <c r="Z10" s="188">
        <f>opex_orig!Z10</f>
        <v>3.6814600000000002E-4</v>
      </c>
      <c r="AA10" s="188">
        <f>opex_orig!AA10</f>
        <v>6.4699999999999999E-6</v>
      </c>
      <c r="AB10" s="188">
        <f>opex_orig!$AB10</f>
        <v>1.5051218643121999E-4</v>
      </c>
      <c r="AC10" s="188">
        <f>opex_orig!$AB10</f>
        <v>1.5051218643121999E-4</v>
      </c>
      <c r="AD10" s="188">
        <f>opex_orig!$AB10</f>
        <v>1.5051218643121999E-4</v>
      </c>
      <c r="AE10" s="188">
        <f>opex_orig!$AC10</f>
        <v>2.9685817651921899E-5</v>
      </c>
      <c r="AF10" s="188">
        <f>opex_orig!$AD10</f>
        <v>3.9248443445086702E-5</v>
      </c>
      <c r="AG10" s="188">
        <f>opex_orig!$AD10</f>
        <v>3.9248443445086702E-5</v>
      </c>
      <c r="AH10" s="188">
        <f>opex_orig!$AD10</f>
        <v>3.9248443445086702E-5</v>
      </c>
      <c r="AI10" s="188">
        <f>opex_orig!AE10</f>
        <v>3.8999999999999999E-5</v>
      </c>
      <c r="AJ10" s="188">
        <f>opex_orig!AF10</f>
        <v>4.2500000000000003E-5</v>
      </c>
      <c r="AK10" s="188">
        <f>opex_orig!AG10</f>
        <v>7.5700000000000004E-6</v>
      </c>
      <c r="AL10" s="188">
        <f>opex_orig!AH10</f>
        <v>2.76E-5</v>
      </c>
      <c r="AM10" s="188">
        <f>opex_orig!AI10</f>
        <v>6.6000000000000003E-6</v>
      </c>
      <c r="AN10" s="188">
        <f>opex_orig!AJ10</f>
        <v>1.01E-5</v>
      </c>
      <c r="AO10" s="188">
        <f>opex_orig!AK10</f>
        <v>1.26E-5</v>
      </c>
      <c r="AP10" s="188">
        <f>opex_orig!$AL10</f>
        <v>6.5707614208099398E-6</v>
      </c>
      <c r="AQ10" s="188">
        <f>opex_orig!$AL10</f>
        <v>6.5707614208099398E-6</v>
      </c>
      <c r="AR10" s="188">
        <f>opex_orig!$AL10</f>
        <v>6.5707614208099398E-6</v>
      </c>
      <c r="AS10" s="188">
        <f>opex_orig!$AM10</f>
        <v>5.7284523888278197E-6</v>
      </c>
      <c r="AT10" s="188">
        <f>opex_orig!AN10</f>
        <v>1.15E-5</v>
      </c>
      <c r="AU10" s="188">
        <f>opex_orig!$AO10</f>
        <v>2.5104817050889702E-6</v>
      </c>
      <c r="AV10" s="188">
        <f>opex_orig!$AO10</f>
        <v>2.5104817050889702E-6</v>
      </c>
      <c r="AW10" s="188">
        <f>opex_orig!$AO10</f>
        <v>2.5104817050889702E-6</v>
      </c>
      <c r="AX10" s="188">
        <f>opex_orig!$AP10</f>
        <v>3.0537104704655202E-6</v>
      </c>
      <c r="AY10" s="188">
        <f>opex_orig!AQ10</f>
        <v>3.9500000000000003E-6</v>
      </c>
      <c r="AZ10" s="188">
        <f>opex_orig!AR10</f>
        <v>0</v>
      </c>
      <c r="BA10" s="188">
        <f>opex_orig!AS10</f>
        <v>4.8099999999999997E-6</v>
      </c>
      <c r="BB10" s="188">
        <f>opex_orig!AT10</f>
        <v>4.3000000000000003E-6</v>
      </c>
      <c r="BC10" s="188">
        <f>opex_orig!AU10</f>
        <v>2.1500000000000002E-6</v>
      </c>
      <c r="BD10" s="188">
        <f>opex_orig!AV10</f>
        <v>1.0499999999999999E-6</v>
      </c>
      <c r="BE10" s="188">
        <f>opex_orig!AW10</f>
        <v>2.3199999999999998E-6</v>
      </c>
      <c r="BF10" s="188">
        <f>opex_orig!AX10</f>
        <v>0</v>
      </c>
      <c r="BG10" s="188">
        <f>opex_orig!AY10</f>
        <v>4.0600000000000001E-6</v>
      </c>
      <c r="BH10" s="188">
        <f>opex_orig!AZ10</f>
        <v>0</v>
      </c>
      <c r="BI10" s="188">
        <f>opex_orig!BA10</f>
        <v>3.2600000000000001E-6</v>
      </c>
      <c r="BJ10" s="188">
        <f>opex_orig!BB10</f>
        <v>4.3599999999999998E-6</v>
      </c>
      <c r="BK10" s="188">
        <f>opex_orig!BC10</f>
        <v>4.5199999999999999E-6</v>
      </c>
      <c r="BL10" s="188">
        <f>opex_orig!BD10</f>
        <v>3.0599999999999999E-6</v>
      </c>
      <c r="BM10" s="188">
        <f>opex_orig!BE10</f>
        <v>1.1800000000000001E-5</v>
      </c>
      <c r="BN10" s="188">
        <f>opex_orig!BF10</f>
        <v>3.0199999999999999E-6</v>
      </c>
      <c r="BO10" s="188">
        <f>opex_orig!BG10</f>
        <v>2.62E-5</v>
      </c>
      <c r="BP10" s="188">
        <f>opex_orig!$BH10</f>
        <v>2.8237569616865799E-6</v>
      </c>
      <c r="BQ10" s="188">
        <f>opex_orig!$BH10</f>
        <v>2.8237569616865799E-6</v>
      </c>
      <c r="BR10" s="188">
        <f>opex_orig!BI10</f>
        <v>4.6199999999999998E-6</v>
      </c>
      <c r="BS10" s="188">
        <f>opex_orig!BJ10</f>
        <v>1.2291599999999999E-4</v>
      </c>
      <c r="BT10" s="188">
        <f>opex_orig!BK10</f>
        <v>1.9084399999999999E-4</v>
      </c>
      <c r="BU10" s="188">
        <f>opex_orig!BL10</f>
        <v>0</v>
      </c>
      <c r="BV10" s="27">
        <f>opex_orig!BM10</f>
        <v>5.7486924260052897E-6</v>
      </c>
      <c r="BW10" s="27">
        <f>opex_orig!BN10</f>
        <v>1.1281052135699199E-5</v>
      </c>
      <c r="BX10" s="27">
        <f>opex_orig!BO10</f>
        <v>2.52563232342309E-6</v>
      </c>
      <c r="BY10" s="27">
        <f>opex_orig!BP10</f>
        <v>6.8244168730467096E-6</v>
      </c>
      <c r="BZ10" s="27">
        <f>opex_orig!BQ10</f>
        <v>4.5174781901651801E-6</v>
      </c>
      <c r="CA10" s="27">
        <f>opex_orig!BR10</f>
        <v>2.4691803696459298E-7</v>
      </c>
      <c r="CB10" s="27">
        <f>opex_orig!BS10</f>
        <v>9.8477740930591592E-6</v>
      </c>
      <c r="CC10" s="27">
        <f>opex_orig!BT10</f>
        <v>9.8489023406946605E-7</v>
      </c>
      <c r="CD10" s="27">
        <f>opex_orig!BU10</f>
        <v>2.6130358624211E-6</v>
      </c>
      <c r="CE10" s="27">
        <f>opex_orig!BV10</f>
        <v>2.6130358624211E-6</v>
      </c>
      <c r="CF10" s="27">
        <f>opex_orig!BW10</f>
        <v>5.90891427211575E-6</v>
      </c>
      <c r="CG10" s="27">
        <f>opex_orig!BX10</f>
        <v>1.7841140580640401E-6</v>
      </c>
      <c r="CH10" s="27">
        <f>opex_orig!BY10</f>
        <v>6.8634367760156597E-6</v>
      </c>
      <c r="CI10" s="27">
        <f>opex_orig!BZ10</f>
        <v>5.8599999999999998E-6</v>
      </c>
      <c r="CJ10" s="27">
        <f>opex_orig!CA10</f>
        <v>3.5999999999999998E-6</v>
      </c>
      <c r="CK10" s="27">
        <f>opex_orig!CB10</f>
        <v>3.5700000000000001E-6</v>
      </c>
      <c r="CL10" s="27">
        <f>opex_orig!CC10</f>
        <v>2.3E-6</v>
      </c>
      <c r="CM10" s="27">
        <f>opex_orig!CD10</f>
        <v>7.9000000000000006E-6</v>
      </c>
      <c r="CN10" s="27">
        <f>opex_orig!CE10</f>
        <v>8.2899999999999996E-5</v>
      </c>
      <c r="CO10" s="27">
        <f>opex_orig!CF10</f>
        <v>4.4299999999999999E-6</v>
      </c>
      <c r="CP10" s="27">
        <f>opex_orig!CG10</f>
        <v>3.3400000000000002E-6</v>
      </c>
    </row>
    <row r="11" spans="1:94" x14ac:dyDescent="0.25">
      <c r="A11" s="5" t="s">
        <v>41</v>
      </c>
      <c r="B11" s="2" t="s">
        <v>40</v>
      </c>
      <c r="C11" s="1" t="s">
        <v>325</v>
      </c>
      <c r="D11" s="188">
        <f>opex_orig!D11</f>
        <v>1.8199999999999999E-5</v>
      </c>
      <c r="E11" s="188">
        <f>opex_orig!E11</f>
        <v>0.49671729399999998</v>
      </c>
      <c r="F11" s="188">
        <f>opex_orig!F11</f>
        <v>3.54E-5</v>
      </c>
      <c r="G11" s="188">
        <f>opex_orig!G11</f>
        <v>9.2122600000000003E-4</v>
      </c>
      <c r="H11" s="188">
        <f>opex_orig!H11</f>
        <v>2.83E-6</v>
      </c>
      <c r="I11" s="188">
        <f>opex_orig!I11</f>
        <v>1.31E-5</v>
      </c>
      <c r="J11" s="188">
        <f>opex_orig!J11</f>
        <v>1.0700399999999999E-4</v>
      </c>
      <c r="K11" s="188">
        <f>opex_orig!K11</f>
        <v>5.2599999999999996E-6</v>
      </c>
      <c r="L11" s="188">
        <f>opex_orig!L11</f>
        <v>1.2561263E-2</v>
      </c>
      <c r="M11" s="188">
        <f>opex_orig!M11</f>
        <v>1.03669E-4</v>
      </c>
      <c r="N11" s="188">
        <f>opex_orig!N11</f>
        <v>1.7294224E-2</v>
      </c>
      <c r="O11" s="188">
        <f>opex_orig!O11</f>
        <v>2.0646140000000002E-3</v>
      </c>
      <c r="P11" s="188">
        <f>opex_orig!P11</f>
        <v>3.0454599999999999E-4</v>
      </c>
      <c r="Q11" s="188">
        <f>opex_orig!Q11</f>
        <v>8.9699999999999998E-5</v>
      </c>
      <c r="R11" s="188">
        <f>opex_orig!R11</f>
        <v>8.0866200000000003E-4</v>
      </c>
      <c r="S11" s="188">
        <f>opex_orig!S11</f>
        <v>1.84E-5</v>
      </c>
      <c r="T11" s="188">
        <f>opex_orig!T11</f>
        <v>1.88E-5</v>
      </c>
      <c r="U11" s="188">
        <f>opex_orig!U11</f>
        <v>3.3300000000000003E-5</v>
      </c>
      <c r="V11" s="188">
        <f>opex_orig!V11</f>
        <v>7.8899999999999993E-5</v>
      </c>
      <c r="W11" s="188">
        <f>opex_orig!W11</f>
        <v>3.8500000000000001E-5</v>
      </c>
      <c r="X11" s="188">
        <f>opex_orig!X11</f>
        <v>4.5300000000000003E-5</v>
      </c>
      <c r="Y11" s="188">
        <f>opex_orig!Y11</f>
        <v>9.5999999999999996E-6</v>
      </c>
      <c r="Z11" s="188">
        <f>opex_orig!Z11</f>
        <v>1.2495760000000001E-3</v>
      </c>
      <c r="AA11" s="188">
        <f>opex_orig!AA11</f>
        <v>1.4800000000000001E-5</v>
      </c>
      <c r="AB11" s="188">
        <f>opex_orig!$AB11</f>
        <v>7.7945012262194705E-5</v>
      </c>
      <c r="AC11" s="188">
        <f>opex_orig!$AB11</f>
        <v>7.7945012262194705E-5</v>
      </c>
      <c r="AD11" s="188">
        <f>opex_orig!$AB11</f>
        <v>7.7945012262194705E-5</v>
      </c>
      <c r="AE11" s="188">
        <f>opex_orig!$AC11</f>
        <v>3.4568210543324898E-4</v>
      </c>
      <c r="AF11" s="188">
        <f>opex_orig!$AD11</f>
        <v>1.2886983380055501E-4</v>
      </c>
      <c r="AG11" s="188">
        <f>opex_orig!$AD11</f>
        <v>1.2886983380055501E-4</v>
      </c>
      <c r="AH11" s="188">
        <f>opex_orig!$AD11</f>
        <v>1.2886983380055501E-4</v>
      </c>
      <c r="AI11" s="188">
        <f>opex_orig!AE11</f>
        <v>1.15443E-4</v>
      </c>
      <c r="AJ11" s="188">
        <f>opex_orig!AF11</f>
        <v>2.8099999999999999E-5</v>
      </c>
      <c r="AK11" s="188">
        <f>opex_orig!AG11</f>
        <v>5.3700000000000003E-6</v>
      </c>
      <c r="AL11" s="188">
        <f>opex_orig!AH11</f>
        <v>1.9476500000000001E-4</v>
      </c>
      <c r="AM11" s="188">
        <f>opex_orig!AI11</f>
        <v>3.4600000000000001E-5</v>
      </c>
      <c r="AN11" s="188">
        <f>opex_orig!AJ11</f>
        <v>7.5900000000000002E-5</v>
      </c>
      <c r="AO11" s="188">
        <f>opex_orig!AK11</f>
        <v>8.6000000000000003E-5</v>
      </c>
      <c r="AP11" s="188">
        <f>opex_orig!$AL11</f>
        <v>4.16584815545092E-5</v>
      </c>
      <c r="AQ11" s="188">
        <f>opex_orig!$AL11</f>
        <v>4.16584815545092E-5</v>
      </c>
      <c r="AR11" s="188">
        <f>opex_orig!$AL11</f>
        <v>4.16584815545092E-5</v>
      </c>
      <c r="AS11" s="188">
        <f>opex_orig!$AM11</f>
        <v>3.6137758667588702E-5</v>
      </c>
      <c r="AT11" s="188">
        <f>opex_orig!AN11</f>
        <v>7.4400000000000006E-5</v>
      </c>
      <c r="AU11" s="188">
        <f>opex_orig!$AO11</f>
        <v>8.9161567717198893E-6</v>
      </c>
      <c r="AV11" s="188">
        <f>opex_orig!$AO11</f>
        <v>8.9161567717198893E-6</v>
      </c>
      <c r="AW11" s="188">
        <f>opex_orig!$AO11</f>
        <v>8.9161567717198893E-6</v>
      </c>
      <c r="AX11" s="188">
        <f>opex_orig!$AP11</f>
        <v>2.0262286038513401E-5</v>
      </c>
      <c r="AY11" s="188">
        <f>opex_orig!AQ11</f>
        <v>2.5299999999999998E-5</v>
      </c>
      <c r="AZ11" s="188">
        <f>opex_orig!AR11</f>
        <v>0</v>
      </c>
      <c r="BA11" s="188">
        <f>opex_orig!AS11</f>
        <v>2.55E-5</v>
      </c>
      <c r="BB11" s="188">
        <f>opex_orig!AT11</f>
        <v>1.91E-5</v>
      </c>
      <c r="BC11" s="188">
        <f>opex_orig!AU11</f>
        <v>2.0299999999999999E-5</v>
      </c>
      <c r="BD11" s="188">
        <f>opex_orig!AV11</f>
        <v>7.2300000000000002E-6</v>
      </c>
      <c r="BE11" s="188">
        <f>opex_orig!AW11</f>
        <v>1.9300000000000002E-5</v>
      </c>
      <c r="BF11" s="188">
        <f>opex_orig!AX11</f>
        <v>0</v>
      </c>
      <c r="BG11" s="188">
        <f>opex_orig!AY11</f>
        <v>8.7800000000000006E-6</v>
      </c>
      <c r="BH11" s="188">
        <f>opex_orig!AZ11</f>
        <v>0</v>
      </c>
      <c r="BI11" s="188">
        <f>opex_orig!BA11</f>
        <v>1.15E-5</v>
      </c>
      <c r="BJ11" s="188">
        <f>opex_orig!BB11</f>
        <v>1.6500000000000001E-5</v>
      </c>
      <c r="BK11" s="188">
        <f>opex_orig!BC11</f>
        <v>1.3699999999999999E-5</v>
      </c>
      <c r="BL11" s="188">
        <f>opex_orig!BD11</f>
        <v>7.6699999999999994E-6</v>
      </c>
      <c r="BM11" s="188">
        <f>opex_orig!BE11</f>
        <v>1.1199999999999999E-5</v>
      </c>
      <c r="BN11" s="188">
        <f>opex_orig!BF11</f>
        <v>1.45E-5</v>
      </c>
      <c r="BO11" s="188">
        <f>opex_orig!BG11</f>
        <v>1.04E-5</v>
      </c>
      <c r="BP11" s="188">
        <f>opex_orig!$BH11</f>
        <v>5.0951967360878102E-6</v>
      </c>
      <c r="BQ11" s="188">
        <f>opex_orig!$BH11</f>
        <v>5.0951967360878102E-6</v>
      </c>
      <c r="BR11" s="188">
        <f>opex_orig!BI11</f>
        <v>1.5699999999999999E-5</v>
      </c>
      <c r="BS11" s="188">
        <f>opex_orig!BJ11</f>
        <v>1.50815E-4</v>
      </c>
      <c r="BT11" s="188">
        <f>opex_orig!BK11</f>
        <v>9.4499999999999993E-6</v>
      </c>
      <c r="BU11" s="188">
        <f>opex_orig!BL11</f>
        <v>0</v>
      </c>
      <c r="BV11" s="27">
        <f>opex_orig!BM11</f>
        <v>1.35945836774948E-5</v>
      </c>
      <c r="BW11" s="27">
        <f>opex_orig!BN11</f>
        <v>9.7459627490837695E-5</v>
      </c>
      <c r="BX11" s="27">
        <f>opex_orig!BO11</f>
        <v>1.09427694524679E-5</v>
      </c>
      <c r="BY11" s="27">
        <f>opex_orig!BP11</f>
        <v>8.6423362833220902E-5</v>
      </c>
      <c r="BZ11" s="27">
        <f>opex_orig!BQ11</f>
        <v>1.7201854165105302E-5</v>
      </c>
      <c r="CA11" s="27">
        <f>opex_orig!BR11</f>
        <v>1.1906531688928001E-6</v>
      </c>
      <c r="CB11" s="27">
        <f>opex_orig!BS11</f>
        <v>2.6906909862313001E-5</v>
      </c>
      <c r="CC11" s="27">
        <f>opex_orig!BT11</f>
        <v>3.0843566856520298E-6</v>
      </c>
      <c r="CD11" s="27">
        <f>opex_orig!BU11</f>
        <v>4.4573768899576904E-6</v>
      </c>
      <c r="CE11" s="27">
        <f>opex_orig!BV11</f>
        <v>4.4573768899577099E-6</v>
      </c>
      <c r="CF11" s="27">
        <f>opex_orig!BW11</f>
        <v>2.25390338206324E-5</v>
      </c>
      <c r="CG11" s="27">
        <f>opex_orig!BX11</f>
        <v>2.1681588641072298E-6</v>
      </c>
      <c r="CH11" s="27">
        <f>opex_orig!BY11</f>
        <v>5.9305368938858399E-6</v>
      </c>
      <c r="CI11" s="27">
        <f>opex_orig!BZ11</f>
        <v>5.0699999999999999E-5</v>
      </c>
      <c r="CJ11" s="27">
        <f>opex_orig!CA11</f>
        <v>1.45E-5</v>
      </c>
      <c r="CK11" s="27">
        <f>opex_orig!CB11</f>
        <v>9.6800000000000005E-6</v>
      </c>
      <c r="CL11" s="27">
        <f>opex_orig!CC11</f>
        <v>9.0599999999999997E-6</v>
      </c>
      <c r="CM11" s="27">
        <f>opex_orig!CD11</f>
        <v>2.51E-5</v>
      </c>
      <c r="CN11" s="27">
        <f>opex_orig!CE11</f>
        <v>2.2099999999999998E-5</v>
      </c>
      <c r="CO11" s="27">
        <f>opex_orig!CF11</f>
        <v>1.19E-5</v>
      </c>
      <c r="CP11" s="27">
        <f>opex_orig!CG11</f>
        <v>4.0500000000000002E-5</v>
      </c>
    </row>
    <row r="12" spans="1:94" x14ac:dyDescent="0.25">
      <c r="A12" s="5" t="s">
        <v>43</v>
      </c>
      <c r="B12" s="2" t="s">
        <v>42</v>
      </c>
      <c r="C12" s="1" t="s">
        <v>325</v>
      </c>
      <c r="D12" s="188">
        <f>opex_orig!D12</f>
        <v>1.38E-5</v>
      </c>
      <c r="E12" s="188">
        <f>opex_orig!E12</f>
        <v>3.2700000000000002E-5</v>
      </c>
      <c r="F12" s="188">
        <f>opex_orig!F12</f>
        <v>0.16682038900000001</v>
      </c>
      <c r="G12" s="188">
        <f>opex_orig!G12</f>
        <v>3.9579539999999996E-3</v>
      </c>
      <c r="H12" s="188">
        <f>opex_orig!H12</f>
        <v>1.4699999999999999E-6</v>
      </c>
      <c r="I12" s="188">
        <f>opex_orig!I12</f>
        <v>1.6699999999999999E-5</v>
      </c>
      <c r="J12" s="188">
        <f>opex_orig!J12</f>
        <v>2.3200000000000001E-5</v>
      </c>
      <c r="K12" s="188">
        <f>opex_orig!K12</f>
        <v>1.15E-6</v>
      </c>
      <c r="L12" s="188">
        <f>opex_orig!L12</f>
        <v>2.5642205000000001E-2</v>
      </c>
      <c r="M12" s="188">
        <f>opex_orig!M12</f>
        <v>3.1608682999999999E-2</v>
      </c>
      <c r="N12" s="188">
        <f>opex_orig!N12</f>
        <v>3.2791763000000002E-2</v>
      </c>
      <c r="O12" s="188">
        <f>opex_orig!O12</f>
        <v>5.38416E-4</v>
      </c>
      <c r="P12" s="188">
        <f>opex_orig!P12</f>
        <v>1.05945E-4</v>
      </c>
      <c r="Q12" s="188">
        <f>opex_orig!Q12</f>
        <v>1.14275E-4</v>
      </c>
      <c r="R12" s="188">
        <f>opex_orig!R12</f>
        <v>5.1980400000000001E-4</v>
      </c>
      <c r="S12" s="188">
        <f>opex_orig!S12</f>
        <v>2.7699999999999999E-5</v>
      </c>
      <c r="T12" s="188">
        <f>opex_orig!T12</f>
        <v>2.6400000000000001E-5</v>
      </c>
      <c r="U12" s="188">
        <f>opex_orig!U12</f>
        <v>1.7200000000000001E-5</v>
      </c>
      <c r="V12" s="188">
        <f>opex_orig!V12</f>
        <v>1.3200000000000001E-5</v>
      </c>
      <c r="W12" s="188">
        <f>opex_orig!W12</f>
        <v>8.2600000000000005E-6</v>
      </c>
      <c r="X12" s="188">
        <f>opex_orig!X12</f>
        <v>7.8299999999999996E-6</v>
      </c>
      <c r="Y12" s="188">
        <f>opex_orig!Y12</f>
        <v>2.7300000000000001E-6</v>
      </c>
      <c r="Z12" s="188">
        <f>opex_orig!Z12</f>
        <v>4.72404E-4</v>
      </c>
      <c r="AA12" s="188">
        <f>opex_orig!AA12</f>
        <v>1.0000000000000001E-5</v>
      </c>
      <c r="AB12" s="188">
        <f>opex_orig!$AB12</f>
        <v>6.3587340005322101E-5</v>
      </c>
      <c r="AC12" s="188">
        <f>opex_orig!$AB12</f>
        <v>6.3587340005322101E-5</v>
      </c>
      <c r="AD12" s="188">
        <f>opex_orig!$AB12</f>
        <v>6.3587340005322101E-5</v>
      </c>
      <c r="AE12" s="188">
        <f>opex_orig!$AC12</f>
        <v>4.5550212098428897E-5</v>
      </c>
      <c r="AF12" s="188">
        <f>opex_orig!$AD12</f>
        <v>2.8995459319350501E-5</v>
      </c>
      <c r="AG12" s="188">
        <f>opex_orig!$AD12</f>
        <v>2.8995459319350501E-5</v>
      </c>
      <c r="AH12" s="188">
        <f>opex_orig!$AD12</f>
        <v>2.8995459319350501E-5</v>
      </c>
      <c r="AI12" s="188">
        <f>opex_orig!AE12</f>
        <v>2.9200000000000002E-5</v>
      </c>
      <c r="AJ12" s="188">
        <f>opex_orig!AF12</f>
        <v>1.1750400000000001E-4</v>
      </c>
      <c r="AK12" s="188">
        <f>opex_orig!AG12</f>
        <v>3.0599999999999998E-5</v>
      </c>
      <c r="AL12" s="188">
        <f>opex_orig!AH12</f>
        <v>3.2199999999999997E-5</v>
      </c>
      <c r="AM12" s="188">
        <f>opex_orig!AI12</f>
        <v>7.6399999999999997E-6</v>
      </c>
      <c r="AN12" s="188">
        <f>opex_orig!AJ12</f>
        <v>1.2500000000000001E-5</v>
      </c>
      <c r="AO12" s="188">
        <f>opex_orig!AK12</f>
        <v>1.49E-5</v>
      </c>
      <c r="AP12" s="188">
        <f>opex_orig!$AL12</f>
        <v>8.2384688723707604E-6</v>
      </c>
      <c r="AQ12" s="188">
        <f>opex_orig!$AL12</f>
        <v>8.2384688723707604E-6</v>
      </c>
      <c r="AR12" s="188">
        <f>opex_orig!$AL12</f>
        <v>8.2384688723707604E-6</v>
      </c>
      <c r="AS12" s="188">
        <f>opex_orig!$AM12</f>
        <v>6.3378684464660198E-6</v>
      </c>
      <c r="AT12" s="188">
        <f>opex_orig!AN12</f>
        <v>1.33E-5</v>
      </c>
      <c r="AU12" s="188">
        <f>opex_orig!$AO12</f>
        <v>7.9638240677743898E-6</v>
      </c>
      <c r="AV12" s="188">
        <f>opex_orig!$AO12</f>
        <v>7.9638240677743898E-6</v>
      </c>
      <c r="AW12" s="188">
        <f>opex_orig!$AO12</f>
        <v>7.9638240677743898E-6</v>
      </c>
      <c r="AX12" s="188">
        <f>opex_orig!$AP12</f>
        <v>8.0277025505255606E-6</v>
      </c>
      <c r="AY12" s="188">
        <f>opex_orig!AQ12</f>
        <v>1.2E-5</v>
      </c>
      <c r="AZ12" s="188">
        <f>opex_orig!AR12</f>
        <v>0</v>
      </c>
      <c r="BA12" s="188">
        <f>opex_orig!AS12</f>
        <v>1.4600000000000001E-5</v>
      </c>
      <c r="BB12" s="188">
        <f>opex_orig!AT12</f>
        <v>1.29E-5</v>
      </c>
      <c r="BC12" s="188">
        <f>opex_orig!AU12</f>
        <v>4.1200000000000004E-6</v>
      </c>
      <c r="BD12" s="188">
        <f>opex_orig!AV12</f>
        <v>1.6199999999999999E-6</v>
      </c>
      <c r="BE12" s="188">
        <f>opex_orig!AW12</f>
        <v>5.8200000000000002E-6</v>
      </c>
      <c r="BF12" s="188">
        <f>opex_orig!AX12</f>
        <v>0</v>
      </c>
      <c r="BG12" s="188">
        <f>opex_orig!AY12</f>
        <v>1.01E-5</v>
      </c>
      <c r="BH12" s="188">
        <f>opex_orig!AZ12</f>
        <v>0</v>
      </c>
      <c r="BI12" s="188">
        <f>opex_orig!BA12</f>
        <v>8.4300000000000006E-6</v>
      </c>
      <c r="BJ12" s="188">
        <f>opex_orig!BB12</f>
        <v>5.75E-6</v>
      </c>
      <c r="BK12" s="188">
        <f>opex_orig!BC12</f>
        <v>6.8399999999999997E-6</v>
      </c>
      <c r="BL12" s="188">
        <f>opex_orig!BD12</f>
        <v>4.5600000000000004E-6</v>
      </c>
      <c r="BM12" s="188">
        <f>opex_orig!BE12</f>
        <v>3.3500000000000001E-6</v>
      </c>
      <c r="BN12" s="188">
        <f>opex_orig!BF12</f>
        <v>1.8700000000000001E-6</v>
      </c>
      <c r="BO12" s="188">
        <f>opex_orig!BG12</f>
        <v>1.1399999999999999E-5</v>
      </c>
      <c r="BP12" s="188">
        <f>opex_orig!$BH12</f>
        <v>4.2967988923090602E-6</v>
      </c>
      <c r="BQ12" s="188">
        <f>opex_orig!$BH12</f>
        <v>4.2967988923090602E-6</v>
      </c>
      <c r="BR12" s="188">
        <f>opex_orig!BI12</f>
        <v>7.8199999999999997E-6</v>
      </c>
      <c r="BS12" s="188">
        <f>opex_orig!BJ12</f>
        <v>1.7311E-4</v>
      </c>
      <c r="BT12" s="188">
        <f>opex_orig!BK12</f>
        <v>3.8399999999999997E-6</v>
      </c>
      <c r="BU12" s="188">
        <f>opex_orig!BL12</f>
        <v>0</v>
      </c>
      <c r="BV12" s="27">
        <f>opex_orig!BM12</f>
        <v>6.69657766286421E-6</v>
      </c>
      <c r="BW12" s="27">
        <f>opex_orig!BN12</f>
        <v>1.8908780649113599E-5</v>
      </c>
      <c r="BX12" s="27">
        <f>opex_orig!BO12</f>
        <v>2.6578816196440101E-6</v>
      </c>
      <c r="BY12" s="27">
        <f>opex_orig!BP12</f>
        <v>1.15383009240367E-5</v>
      </c>
      <c r="BZ12" s="27">
        <f>opex_orig!BQ12</f>
        <v>4.9018960117277204E-6</v>
      </c>
      <c r="CA12" s="27">
        <f>opex_orig!BR12</f>
        <v>2.17444103891164E-7</v>
      </c>
      <c r="CB12" s="27">
        <f>opex_orig!BS12</f>
        <v>1.2339696014075899E-5</v>
      </c>
      <c r="CC12" s="27">
        <f>opex_orig!BT12</f>
        <v>9.3326752528708198E-7</v>
      </c>
      <c r="CD12" s="27">
        <f>opex_orig!BU12</f>
        <v>2.37899400350489E-6</v>
      </c>
      <c r="CE12" s="27">
        <f>opex_orig!BV12</f>
        <v>2.3789940035049002E-6</v>
      </c>
      <c r="CF12" s="27">
        <f>opex_orig!BW12</f>
        <v>4.1476410596135304E-6</v>
      </c>
      <c r="CG12" s="27">
        <f>opex_orig!BX12</f>
        <v>1.88491280804234E-6</v>
      </c>
      <c r="CH12" s="27">
        <f>opex_orig!BY12</f>
        <v>8.9963376128656205E-6</v>
      </c>
      <c r="CI12" s="27">
        <f>opex_orig!BZ12</f>
        <v>7.8699999999999992E-6</v>
      </c>
      <c r="CJ12" s="27">
        <f>opex_orig!CA12</f>
        <v>3.8999999999999999E-6</v>
      </c>
      <c r="CK12" s="27">
        <f>opex_orig!CB12</f>
        <v>3.7100000000000001E-6</v>
      </c>
      <c r="CL12" s="27">
        <f>opex_orig!CC12</f>
        <v>3.6200000000000001E-6</v>
      </c>
      <c r="CM12" s="27">
        <f>opex_orig!CD12</f>
        <v>1.3200000000000001E-5</v>
      </c>
      <c r="CN12" s="27">
        <f>opex_orig!CE12</f>
        <v>4.16E-6</v>
      </c>
      <c r="CO12" s="27">
        <f>opex_orig!CF12</f>
        <v>4.7899999999999999E-6</v>
      </c>
      <c r="CP12" s="27">
        <f>opex_orig!CG12</f>
        <v>5.8900000000000004E-6</v>
      </c>
    </row>
    <row r="13" spans="1:94" x14ac:dyDescent="0.25">
      <c r="A13" s="5" t="s">
        <v>45</v>
      </c>
      <c r="B13" s="2" t="s">
        <v>44</v>
      </c>
      <c r="C13" s="1" t="s">
        <v>325</v>
      </c>
      <c r="D13" s="188">
        <f>opex_orig!D13</f>
        <v>1.2251440000000001E-3</v>
      </c>
      <c r="E13" s="188">
        <f>opex_orig!E13</f>
        <v>2.7980253E-2</v>
      </c>
      <c r="F13" s="188">
        <f>opex_orig!F13</f>
        <v>2.3871470000000001E-3</v>
      </c>
      <c r="G13" s="188">
        <f>opex_orig!G13</f>
        <v>1.1947401E-2</v>
      </c>
      <c r="H13" s="188">
        <f>opex_orig!H13</f>
        <v>1.8300000000000001E-5</v>
      </c>
      <c r="I13" s="188">
        <f>opex_orig!I13</f>
        <v>9.8180360000000005E-3</v>
      </c>
      <c r="J13" s="188">
        <f>opex_orig!J13</f>
        <v>3.03166E-4</v>
      </c>
      <c r="K13" s="188">
        <f>opex_orig!K13</f>
        <v>3.6300000000000001E-5</v>
      </c>
      <c r="L13" s="188">
        <f>opex_orig!L13</f>
        <v>4.9153620000000004E-3</v>
      </c>
      <c r="M13" s="188">
        <f>opex_orig!M13</f>
        <v>8.4320399999999996E-4</v>
      </c>
      <c r="N13" s="188">
        <f>opex_orig!N13</f>
        <v>5.9541300000000002E-3</v>
      </c>
      <c r="O13" s="188">
        <f>opex_orig!O13</f>
        <v>6.1522699999999998E-4</v>
      </c>
      <c r="P13" s="188">
        <f>opex_orig!P13</f>
        <v>3.00921E-4</v>
      </c>
      <c r="Q13" s="188">
        <f>opex_orig!Q13</f>
        <v>2.24415E-4</v>
      </c>
      <c r="R13" s="188">
        <f>opex_orig!R13</f>
        <v>2.76741E-4</v>
      </c>
      <c r="S13" s="188">
        <f>opex_orig!S13</f>
        <v>1.0256599999999999E-4</v>
      </c>
      <c r="T13" s="188">
        <f>opex_orig!T13</f>
        <v>1.13539E-4</v>
      </c>
      <c r="U13" s="188">
        <f>opex_orig!U13</f>
        <v>2.7725500000000001E-4</v>
      </c>
      <c r="V13" s="188">
        <f>opex_orig!V13</f>
        <v>5.1504399999999998E-4</v>
      </c>
      <c r="W13" s="188">
        <f>opex_orig!W13</f>
        <v>1.2682500000000001E-4</v>
      </c>
      <c r="X13" s="188">
        <f>opex_orig!X13</f>
        <v>1.44516E-4</v>
      </c>
      <c r="Y13" s="188">
        <f>opex_orig!Y13</f>
        <v>4.49E-5</v>
      </c>
      <c r="Z13" s="188">
        <f>opex_orig!Z13</f>
        <v>7.4085199999999996E-4</v>
      </c>
      <c r="AA13" s="188">
        <f>opex_orig!AA13</f>
        <v>1.6386600000000001E-4</v>
      </c>
      <c r="AB13" s="188">
        <f>opex_orig!$AB13</f>
        <v>5.9862125154225699E-4</v>
      </c>
      <c r="AC13" s="188">
        <f>opex_orig!$AB13</f>
        <v>5.9862125154225699E-4</v>
      </c>
      <c r="AD13" s="188">
        <f>opex_orig!$AB13</f>
        <v>5.9862125154225699E-4</v>
      </c>
      <c r="AE13" s="188">
        <f>opex_orig!$AC13</f>
        <v>2.03200183827213E-3</v>
      </c>
      <c r="AF13" s="188">
        <f>opex_orig!$AD13</f>
        <v>6.02849990165906E-4</v>
      </c>
      <c r="AG13" s="188">
        <f>opex_orig!$AD13</f>
        <v>6.02849990165906E-4</v>
      </c>
      <c r="AH13" s="188">
        <f>opex_orig!$AD13</f>
        <v>6.02849990165906E-4</v>
      </c>
      <c r="AI13" s="188">
        <f>opex_orig!AE13</f>
        <v>4.0793900000000001E-4</v>
      </c>
      <c r="AJ13" s="188">
        <f>opex_orig!AF13</f>
        <v>2.0705499999999999E-4</v>
      </c>
      <c r="AK13" s="188">
        <f>opex_orig!AG13</f>
        <v>7.4099999999999999E-5</v>
      </c>
      <c r="AL13" s="188">
        <f>opex_orig!AH13</f>
        <v>4.1174499999999998E-4</v>
      </c>
      <c r="AM13" s="188">
        <f>opex_orig!AI13</f>
        <v>1.02434E-4</v>
      </c>
      <c r="AN13" s="188">
        <f>opex_orig!AJ13</f>
        <v>2.9339900000000001E-4</v>
      </c>
      <c r="AO13" s="188">
        <f>opex_orig!AK13</f>
        <v>1.9161199999999999E-4</v>
      </c>
      <c r="AP13" s="188">
        <f>opex_orig!$AL13</f>
        <v>1.6725877606595601E-4</v>
      </c>
      <c r="AQ13" s="188">
        <f>opex_orig!$AL13</f>
        <v>1.6725877606595601E-4</v>
      </c>
      <c r="AR13" s="188">
        <f>opex_orig!$AL13</f>
        <v>1.6725877606595601E-4</v>
      </c>
      <c r="AS13" s="188">
        <f>opex_orig!$AM13</f>
        <v>1.02432135031415E-4</v>
      </c>
      <c r="AT13" s="188">
        <f>opex_orig!AN13</f>
        <v>2.1703200000000001E-4</v>
      </c>
      <c r="AU13" s="188">
        <f>opex_orig!$AO13</f>
        <v>9.8723033692773503E-5</v>
      </c>
      <c r="AV13" s="188">
        <f>opex_orig!$AO13</f>
        <v>9.8723033692773503E-5</v>
      </c>
      <c r="AW13" s="188">
        <f>opex_orig!$AO13</f>
        <v>9.8723033692773503E-5</v>
      </c>
      <c r="AX13" s="188">
        <f>opex_orig!$AP13</f>
        <v>2.0647885871765E-4</v>
      </c>
      <c r="AY13" s="188">
        <f>opex_orig!AQ13</f>
        <v>2.82532E-4</v>
      </c>
      <c r="AZ13" s="188">
        <f>opex_orig!AR13</f>
        <v>0</v>
      </c>
      <c r="BA13" s="188">
        <f>opex_orig!AS13</f>
        <v>2.5874699999999998E-4</v>
      </c>
      <c r="BB13" s="188">
        <f>opex_orig!AT13</f>
        <v>1.98736E-4</v>
      </c>
      <c r="BC13" s="188">
        <f>opex_orig!AU13</f>
        <v>1.85947E-4</v>
      </c>
      <c r="BD13" s="188">
        <f>opex_orig!AV13</f>
        <v>4.5300000000000003E-5</v>
      </c>
      <c r="BE13" s="188">
        <f>opex_orig!AW13</f>
        <v>3.4925400000000001E-4</v>
      </c>
      <c r="BF13" s="188">
        <f>opex_orig!AX13</f>
        <v>0</v>
      </c>
      <c r="BG13" s="188">
        <f>opex_orig!AY13</f>
        <v>1.2864699999999999E-4</v>
      </c>
      <c r="BH13" s="188">
        <f>opex_orig!AZ13</f>
        <v>0</v>
      </c>
      <c r="BI13" s="188">
        <f>opex_orig!BA13</f>
        <v>1.3606299999999999E-4</v>
      </c>
      <c r="BJ13" s="188">
        <f>opex_orig!BB13</f>
        <v>9.2399999999999996E-5</v>
      </c>
      <c r="BK13" s="188">
        <f>opex_orig!BC13</f>
        <v>1.16876E-4</v>
      </c>
      <c r="BL13" s="188">
        <f>opex_orig!BD13</f>
        <v>1.27529E-4</v>
      </c>
      <c r="BM13" s="188">
        <f>opex_orig!BE13</f>
        <v>1.08952E-4</v>
      </c>
      <c r="BN13" s="188">
        <f>opex_orig!BF13</f>
        <v>1.3937500000000001E-4</v>
      </c>
      <c r="BO13" s="188">
        <f>opex_orig!BG13</f>
        <v>1.08554E-4</v>
      </c>
      <c r="BP13" s="188">
        <f>opex_orig!$BH13</f>
        <v>1.05049162046147E-4</v>
      </c>
      <c r="BQ13" s="188">
        <f>opex_orig!$BH13</f>
        <v>1.05049162046147E-4</v>
      </c>
      <c r="BR13" s="188">
        <f>opex_orig!BI13</f>
        <v>9.8200000000000002E-5</v>
      </c>
      <c r="BS13" s="188">
        <f>opex_orig!BJ13</f>
        <v>1.1018099999999999E-4</v>
      </c>
      <c r="BT13" s="188">
        <f>opex_orig!BK13</f>
        <v>1.6132399999999999E-4</v>
      </c>
      <c r="BU13" s="188">
        <f>opex_orig!BL13</f>
        <v>0</v>
      </c>
      <c r="BV13" s="27">
        <f>opex_orig!BM13</f>
        <v>1.13775652616053E-4</v>
      </c>
      <c r="BW13" s="27">
        <f>opex_orig!BN13</f>
        <v>8.6590994480378197E-4</v>
      </c>
      <c r="BX13" s="27">
        <f>opex_orig!BO13</f>
        <v>8.6357232148240003E-5</v>
      </c>
      <c r="BY13" s="27">
        <f>opex_orig!BP13</f>
        <v>7.7691296612167099E-4</v>
      </c>
      <c r="BZ13" s="27">
        <f>opex_orig!BQ13</f>
        <v>1.2256470862852001E-4</v>
      </c>
      <c r="CA13" s="27">
        <f>opex_orig!BR13</f>
        <v>2.3110012343302599E-5</v>
      </c>
      <c r="CB13" s="27">
        <f>opex_orig!BS13</f>
        <v>2.3350818995089001E-4</v>
      </c>
      <c r="CC13" s="27">
        <f>opex_orig!BT13</f>
        <v>3.0394576239496001E-5</v>
      </c>
      <c r="CD13" s="27">
        <f>opex_orig!BU13</f>
        <v>5.32550584164694E-5</v>
      </c>
      <c r="CE13" s="27">
        <f>opex_orig!BV13</f>
        <v>5.3255058416469501E-5</v>
      </c>
      <c r="CF13" s="27">
        <f>opex_orig!BW13</f>
        <v>1.1701265118850301E-4</v>
      </c>
      <c r="CG13" s="27">
        <f>opex_orig!BX13</f>
        <v>2.10816740454389E-5</v>
      </c>
      <c r="CH13" s="27">
        <f>opex_orig!BY13</f>
        <v>3.6380746754708997E-4</v>
      </c>
      <c r="CI13" s="27">
        <f>opex_orig!BZ13</f>
        <v>4.6096199999999998E-4</v>
      </c>
      <c r="CJ13" s="27">
        <f>opex_orig!CA13</f>
        <v>1.36976E-4</v>
      </c>
      <c r="CK13" s="27">
        <f>opex_orig!CB13</f>
        <v>9.1299999999999997E-5</v>
      </c>
      <c r="CL13" s="27">
        <f>opex_orig!CC13</f>
        <v>8.6799999999999996E-5</v>
      </c>
      <c r="CM13" s="27">
        <f>opex_orig!CD13</f>
        <v>2.1528500000000001E-4</v>
      </c>
      <c r="CN13" s="27">
        <f>opex_orig!CE13</f>
        <v>1.6216399999999999E-4</v>
      </c>
      <c r="CO13" s="27">
        <f>opex_orig!CF13</f>
        <v>9.6700000000000006E-5</v>
      </c>
      <c r="CP13" s="27">
        <f>opex_orig!CG13</f>
        <v>2.9287600000000002E-4</v>
      </c>
    </row>
    <row r="14" spans="1:94" x14ac:dyDescent="0.25">
      <c r="A14" s="5" t="s">
        <v>47</v>
      </c>
      <c r="B14" s="2" t="s">
        <v>46</v>
      </c>
      <c r="C14" s="1" t="s">
        <v>325</v>
      </c>
      <c r="D14" s="188">
        <f>opex_orig!D14</f>
        <v>3.1496999999999997E-4</v>
      </c>
      <c r="E14" s="188">
        <f>opex_orig!E14</f>
        <v>6.5200850000000001E-3</v>
      </c>
      <c r="F14" s="188">
        <f>opex_orig!F14</f>
        <v>4.9657E-4</v>
      </c>
      <c r="G14" s="188">
        <f>opex_orig!G14</f>
        <v>1.37396E-3</v>
      </c>
      <c r="H14" s="188">
        <f>opex_orig!H14</f>
        <v>8.4800000000000001E-6</v>
      </c>
      <c r="I14" s="188">
        <f>opex_orig!I14</f>
        <v>2.2704359999999998E-3</v>
      </c>
      <c r="J14" s="188">
        <f>opex_orig!J14</f>
        <v>5.5500000000000001E-5</v>
      </c>
      <c r="K14" s="188">
        <f>opex_orig!K14</f>
        <v>1.9000000000000001E-5</v>
      </c>
      <c r="L14" s="188">
        <f>opex_orig!L14</f>
        <v>7.6957600000000001E-4</v>
      </c>
      <c r="M14" s="188">
        <f>opex_orig!M14</f>
        <v>2.2602899999999999E-4</v>
      </c>
      <c r="N14" s="188">
        <f>opex_orig!N14</f>
        <v>9.4909200000000001E-4</v>
      </c>
      <c r="O14" s="188">
        <f>opex_orig!O14</f>
        <v>4.1100000000000003E-5</v>
      </c>
      <c r="P14" s="188">
        <f>opex_orig!P14</f>
        <v>1.9599999999999999E-5</v>
      </c>
      <c r="Q14" s="188">
        <f>opex_orig!Q14</f>
        <v>3.29E-5</v>
      </c>
      <c r="R14" s="188">
        <f>opex_orig!R14</f>
        <v>6.5500000000000006E-5</v>
      </c>
      <c r="S14" s="188">
        <f>opex_orig!S14</f>
        <v>1.6200000000000001E-5</v>
      </c>
      <c r="T14" s="188">
        <f>opex_orig!T14</f>
        <v>3.65E-5</v>
      </c>
      <c r="U14" s="188">
        <f>opex_orig!U14</f>
        <v>1.8600000000000001E-5</v>
      </c>
      <c r="V14" s="188">
        <f>opex_orig!V14</f>
        <v>2.26E-5</v>
      </c>
      <c r="W14" s="188">
        <f>opex_orig!W14</f>
        <v>1.33E-5</v>
      </c>
      <c r="X14" s="188">
        <f>opex_orig!X14</f>
        <v>2.0100000000000001E-5</v>
      </c>
      <c r="Y14" s="188">
        <f>opex_orig!Y14</f>
        <v>1.8E-5</v>
      </c>
      <c r="Z14" s="188">
        <f>opex_orig!Z14</f>
        <v>8.1000000000000004E-6</v>
      </c>
      <c r="AA14" s="188">
        <f>opex_orig!AA14</f>
        <v>5.7000000000000003E-5</v>
      </c>
      <c r="AB14" s="188">
        <f>opex_orig!$AB14</f>
        <v>4.9308516102304498E-5</v>
      </c>
      <c r="AC14" s="188">
        <f>opex_orig!$AB14</f>
        <v>4.9308516102304498E-5</v>
      </c>
      <c r="AD14" s="188">
        <f>opex_orig!$AB14</f>
        <v>4.9308516102304498E-5</v>
      </c>
      <c r="AE14" s="188">
        <f>opex_orig!$AC14</f>
        <v>6.8756552819594603E-5</v>
      </c>
      <c r="AF14" s="188">
        <f>opex_orig!$AD14</f>
        <v>2.17060825538901E-5</v>
      </c>
      <c r="AG14" s="188">
        <f>opex_orig!$AD14</f>
        <v>2.17060825538901E-5</v>
      </c>
      <c r="AH14" s="188">
        <f>opex_orig!$AD14</f>
        <v>2.17060825538901E-5</v>
      </c>
      <c r="AI14" s="188">
        <f>opex_orig!AE14</f>
        <v>1.6099999999999998E-5</v>
      </c>
      <c r="AJ14" s="188">
        <f>opex_orig!AF14</f>
        <v>3.0199999999999999E-5</v>
      </c>
      <c r="AK14" s="188">
        <f>opex_orig!AG14</f>
        <v>2.16E-5</v>
      </c>
      <c r="AL14" s="188">
        <f>opex_orig!AH14</f>
        <v>1.17E-5</v>
      </c>
      <c r="AM14" s="188">
        <f>opex_orig!AI14</f>
        <v>2.4000000000000001E-5</v>
      </c>
      <c r="AN14" s="188">
        <f>opex_orig!AJ14</f>
        <v>1.43E-5</v>
      </c>
      <c r="AO14" s="188">
        <f>opex_orig!AK14</f>
        <v>3.0499999999999999E-5</v>
      </c>
      <c r="AP14" s="188">
        <f>opex_orig!$AL14</f>
        <v>1.52380921851642E-5</v>
      </c>
      <c r="AQ14" s="188">
        <f>opex_orig!$AL14</f>
        <v>1.52380921851642E-5</v>
      </c>
      <c r="AR14" s="188">
        <f>opex_orig!$AL14</f>
        <v>1.52380921851642E-5</v>
      </c>
      <c r="AS14" s="188">
        <f>opex_orig!$AM14</f>
        <v>2.48794865472445E-5</v>
      </c>
      <c r="AT14" s="188">
        <f>opex_orig!AN14</f>
        <v>1.7099999999999999E-5</v>
      </c>
      <c r="AU14" s="188">
        <f>opex_orig!$AO14</f>
        <v>1.51973948154517E-5</v>
      </c>
      <c r="AV14" s="188">
        <f>opex_orig!$AO14</f>
        <v>1.51973948154517E-5</v>
      </c>
      <c r="AW14" s="188">
        <f>opex_orig!$AO14</f>
        <v>1.51973948154517E-5</v>
      </c>
      <c r="AX14" s="188">
        <f>opex_orig!$AP14</f>
        <v>2.2665363203160399E-5</v>
      </c>
      <c r="AY14" s="188">
        <f>opex_orig!AQ14</f>
        <v>2.9899999999999998E-5</v>
      </c>
      <c r="AZ14" s="188">
        <f>opex_orig!AR14</f>
        <v>0</v>
      </c>
      <c r="BA14" s="188">
        <f>opex_orig!AS14</f>
        <v>2.3600000000000001E-5</v>
      </c>
      <c r="BB14" s="188">
        <f>opex_orig!AT14</f>
        <v>1.98E-5</v>
      </c>
      <c r="BC14" s="188">
        <f>opex_orig!AU14</f>
        <v>1.1600000000000001E-5</v>
      </c>
      <c r="BD14" s="188">
        <f>opex_orig!AV14</f>
        <v>1.11E-5</v>
      </c>
      <c r="BE14" s="188">
        <f>opex_orig!AW14</f>
        <v>1.8099999999999999E-5</v>
      </c>
      <c r="BF14" s="188">
        <f>opex_orig!AX14</f>
        <v>0</v>
      </c>
      <c r="BG14" s="188">
        <f>opex_orig!AY14</f>
        <v>5.9599999999999999E-5</v>
      </c>
      <c r="BH14" s="188">
        <f>opex_orig!AZ14</f>
        <v>0</v>
      </c>
      <c r="BI14" s="188">
        <f>opex_orig!BA14</f>
        <v>1.8600000000000001E-5</v>
      </c>
      <c r="BJ14" s="188">
        <f>opex_orig!BB14</f>
        <v>1.47E-5</v>
      </c>
      <c r="BK14" s="188">
        <f>opex_orig!BC14</f>
        <v>1.5699999999999999E-5</v>
      </c>
      <c r="BL14" s="188">
        <f>opex_orig!BD14</f>
        <v>1.1600000000000001E-5</v>
      </c>
      <c r="BM14" s="188">
        <f>opex_orig!BE14</f>
        <v>9.1900000000000001E-6</v>
      </c>
      <c r="BN14" s="188">
        <f>opex_orig!BF14</f>
        <v>1.24E-5</v>
      </c>
      <c r="BO14" s="188">
        <f>opex_orig!BG14</f>
        <v>2.37E-5</v>
      </c>
      <c r="BP14" s="188">
        <f>opex_orig!$BH14</f>
        <v>2.02263696121965E-5</v>
      </c>
      <c r="BQ14" s="188">
        <f>opex_orig!$BH14</f>
        <v>2.02263696121965E-5</v>
      </c>
      <c r="BR14" s="188">
        <f>opex_orig!BI14</f>
        <v>1.03E-5</v>
      </c>
      <c r="BS14" s="188">
        <f>opex_orig!BJ14</f>
        <v>1.0499999999999999E-5</v>
      </c>
      <c r="BT14" s="188">
        <f>opex_orig!BK14</f>
        <v>2.5000000000000001E-5</v>
      </c>
      <c r="BU14" s="188">
        <f>opex_orig!BL14</f>
        <v>0</v>
      </c>
      <c r="BV14" s="27">
        <f>opex_orig!BM14</f>
        <v>9.48582179931853E-6</v>
      </c>
      <c r="BW14" s="27">
        <f>opex_orig!BN14</f>
        <v>2.3921215976045699E-5</v>
      </c>
      <c r="BX14" s="27">
        <f>opex_orig!BO14</f>
        <v>3.3633318161821098E-6</v>
      </c>
      <c r="BY14" s="27">
        <f>opex_orig!BP14</f>
        <v>1.14510312256993E-5</v>
      </c>
      <c r="BZ14" s="27">
        <f>opex_orig!BQ14</f>
        <v>1.7338088346896499E-5</v>
      </c>
      <c r="CA14" s="27">
        <f>opex_orig!BR14</f>
        <v>1.3561729073329599E-5</v>
      </c>
      <c r="CB14" s="27">
        <f>opex_orig!BS14</f>
        <v>6.5957562521505104E-5</v>
      </c>
      <c r="CC14" s="27">
        <f>opex_orig!BT14</f>
        <v>4.09161192952233E-6</v>
      </c>
      <c r="CD14" s="27">
        <f>opex_orig!BU14</f>
        <v>7.0749000051864003E-6</v>
      </c>
      <c r="CE14" s="27">
        <f>opex_orig!BV14</f>
        <v>7.0749000051864096E-6</v>
      </c>
      <c r="CF14" s="27">
        <f>opex_orig!BW14</f>
        <v>6.6493854841455597E-6</v>
      </c>
      <c r="CG14" s="27">
        <f>opex_orig!BX14</f>
        <v>1.89599648389596E-7</v>
      </c>
      <c r="CH14" s="27">
        <f>opex_orig!BY14</f>
        <v>8.7213870526461499E-7</v>
      </c>
      <c r="CI14" s="27">
        <f>opex_orig!BZ14</f>
        <v>1.26E-5</v>
      </c>
      <c r="CJ14" s="27">
        <f>opex_orig!CA14</f>
        <v>6.1299999999999998E-6</v>
      </c>
      <c r="CK14" s="27">
        <f>opex_orig!CB14</f>
        <v>4.8400000000000002E-6</v>
      </c>
      <c r="CL14" s="27">
        <f>opex_orig!CC14</f>
        <v>3.3500000000000001E-6</v>
      </c>
      <c r="CM14" s="27">
        <f>opex_orig!CD14</f>
        <v>1.2799999999999999E-5</v>
      </c>
      <c r="CN14" s="27">
        <f>opex_orig!CE14</f>
        <v>1.26E-5</v>
      </c>
      <c r="CO14" s="27">
        <f>opex_orig!CF14</f>
        <v>2.0099999999999998E-6</v>
      </c>
      <c r="CP14" s="27">
        <f>opex_orig!CG14</f>
        <v>6.1800000000000001E-6</v>
      </c>
    </row>
    <row r="15" spans="1:94" x14ac:dyDescent="0.25">
      <c r="A15" s="5" t="s">
        <v>49</v>
      </c>
      <c r="B15" s="2" t="s">
        <v>48</v>
      </c>
      <c r="C15" s="1" t="s">
        <v>325</v>
      </c>
      <c r="D15" s="188">
        <f>opex_orig!D15</f>
        <v>1.9603060000000002E-3</v>
      </c>
      <c r="E15" s="188">
        <f>opex_orig!E15</f>
        <v>1.36E-5</v>
      </c>
      <c r="F15" s="188">
        <f>opex_orig!F15</f>
        <v>2.9099999999999999E-5</v>
      </c>
      <c r="G15" s="188">
        <f>opex_orig!G15</f>
        <v>7.6639120000000002E-3</v>
      </c>
      <c r="H15" s="188">
        <f>opex_orig!H15</f>
        <v>9.850000000000001E-7</v>
      </c>
      <c r="I15" s="188">
        <f>opex_orig!I15</f>
        <v>0.33535817200000001</v>
      </c>
      <c r="J15" s="188">
        <f>opex_orig!J15</f>
        <v>1.8899999999999999E-5</v>
      </c>
      <c r="K15" s="188">
        <f>opex_orig!K15</f>
        <v>1.3799999999999999E-6</v>
      </c>
      <c r="L15" s="188">
        <f>opex_orig!L15</f>
        <v>3.045376E-2</v>
      </c>
      <c r="M15" s="188">
        <f>opex_orig!M15</f>
        <v>8.9630049999999996E-3</v>
      </c>
      <c r="N15" s="188">
        <f>opex_orig!N15</f>
        <v>3.3670537E-2</v>
      </c>
      <c r="O15" s="188">
        <f>opex_orig!O15</f>
        <v>5.3335199999999996E-4</v>
      </c>
      <c r="P15" s="188">
        <f>opex_orig!P15</f>
        <v>8.92E-5</v>
      </c>
      <c r="Q15" s="188">
        <f>opex_orig!Q15</f>
        <v>2.0440899999999999E-4</v>
      </c>
      <c r="R15" s="188">
        <f>opex_orig!R15</f>
        <v>8.6899999999999998E-5</v>
      </c>
      <c r="S15" s="188">
        <f>opex_orig!S15</f>
        <v>1.15E-5</v>
      </c>
      <c r="T15" s="188">
        <f>opex_orig!T15</f>
        <v>6.5599999999999999E-6</v>
      </c>
      <c r="U15" s="188">
        <f>opex_orig!U15</f>
        <v>9.6800000000000005E-6</v>
      </c>
      <c r="V15" s="188">
        <f>opex_orig!V15</f>
        <v>1.3200000000000001E-5</v>
      </c>
      <c r="W15" s="188">
        <f>opex_orig!W15</f>
        <v>4.6E-6</v>
      </c>
      <c r="X15" s="188">
        <f>opex_orig!X15</f>
        <v>9.3100000000000006E-6</v>
      </c>
      <c r="Y15" s="188">
        <f>opex_orig!Y15</f>
        <v>1.9700000000000002E-6</v>
      </c>
      <c r="Z15" s="188">
        <f>opex_orig!Z15</f>
        <v>1.014966E-3</v>
      </c>
      <c r="AA15" s="188">
        <f>opex_orig!AA15</f>
        <v>6.3500000000000002E-6</v>
      </c>
      <c r="AB15" s="188">
        <f>opex_orig!$AB15</f>
        <v>1.07657519302187E-4</v>
      </c>
      <c r="AC15" s="188">
        <f>opex_orig!$AB15</f>
        <v>1.07657519302187E-4</v>
      </c>
      <c r="AD15" s="188">
        <f>opex_orig!$AB15</f>
        <v>1.07657519302187E-4</v>
      </c>
      <c r="AE15" s="188">
        <f>opex_orig!$AC15</f>
        <v>5.8585800164570801E-5</v>
      </c>
      <c r="AF15" s="188">
        <f>opex_orig!$AD15</f>
        <v>4.9656906127345398E-5</v>
      </c>
      <c r="AG15" s="188">
        <f>opex_orig!$AD15</f>
        <v>4.9656906127345398E-5</v>
      </c>
      <c r="AH15" s="188">
        <f>opex_orig!$AD15</f>
        <v>4.9656906127345398E-5</v>
      </c>
      <c r="AI15" s="188">
        <f>opex_orig!AE15</f>
        <v>5.0899999999999997E-5</v>
      </c>
      <c r="AJ15" s="188">
        <f>opex_orig!AF15</f>
        <v>3.2299999999999999E-5</v>
      </c>
      <c r="AK15" s="188">
        <f>opex_orig!AG15</f>
        <v>6.1299999999999998E-6</v>
      </c>
      <c r="AL15" s="188">
        <f>opex_orig!AH15</f>
        <v>2.2799999999999999E-5</v>
      </c>
      <c r="AM15" s="188">
        <f>opex_orig!AI15</f>
        <v>4.8199999999999996E-6</v>
      </c>
      <c r="AN15" s="188">
        <f>opex_orig!AJ15</f>
        <v>7.9899999999999997E-6</v>
      </c>
      <c r="AO15" s="188">
        <f>opex_orig!AK15</f>
        <v>9.0699999999999996E-6</v>
      </c>
      <c r="AP15" s="188">
        <f>opex_orig!$AL15</f>
        <v>5.6594203690750201E-6</v>
      </c>
      <c r="AQ15" s="188">
        <f>opex_orig!$AL15</f>
        <v>5.6594203690750201E-6</v>
      </c>
      <c r="AR15" s="188">
        <f>opex_orig!$AL15</f>
        <v>5.6594203690750201E-6</v>
      </c>
      <c r="AS15" s="188">
        <f>opex_orig!$AM15</f>
        <v>4.34858867431015E-6</v>
      </c>
      <c r="AT15" s="188">
        <f>opex_orig!AN15</f>
        <v>8.8000000000000004E-6</v>
      </c>
      <c r="AU15" s="188">
        <f>opex_orig!$AO15</f>
        <v>2.9500354567151198E-6</v>
      </c>
      <c r="AV15" s="188">
        <f>opex_orig!$AO15</f>
        <v>2.9500354567151198E-6</v>
      </c>
      <c r="AW15" s="188">
        <f>opex_orig!$AO15</f>
        <v>2.9500354567151198E-6</v>
      </c>
      <c r="AX15" s="188">
        <f>opex_orig!$AP15</f>
        <v>4.3238104465157202E-6</v>
      </c>
      <c r="AY15" s="188">
        <f>opex_orig!AQ15</f>
        <v>5.4399999999999996E-6</v>
      </c>
      <c r="AZ15" s="188">
        <f>opex_orig!AR15</f>
        <v>0</v>
      </c>
      <c r="BA15" s="188">
        <f>opex_orig!AS15</f>
        <v>5.5799999999999999E-6</v>
      </c>
      <c r="BB15" s="188">
        <f>opex_orig!AT15</f>
        <v>4.3000000000000003E-6</v>
      </c>
      <c r="BC15" s="188">
        <f>opex_orig!AU15</f>
        <v>4.4100000000000001E-6</v>
      </c>
      <c r="BD15" s="188">
        <f>opex_orig!AV15</f>
        <v>1.1200000000000001E-6</v>
      </c>
      <c r="BE15" s="188">
        <f>opex_orig!AW15</f>
        <v>3.7500000000000001E-6</v>
      </c>
      <c r="BF15" s="188">
        <f>opex_orig!AX15</f>
        <v>0</v>
      </c>
      <c r="BG15" s="188">
        <f>opex_orig!AY15</f>
        <v>3.9299999999999996E-6</v>
      </c>
      <c r="BH15" s="188">
        <f>opex_orig!AZ15</f>
        <v>0</v>
      </c>
      <c r="BI15" s="188">
        <f>opex_orig!BA15</f>
        <v>3.36E-6</v>
      </c>
      <c r="BJ15" s="188">
        <f>opex_orig!BB15</f>
        <v>4.9699999999999998E-6</v>
      </c>
      <c r="BK15" s="188">
        <f>opex_orig!BC15</f>
        <v>4.42E-6</v>
      </c>
      <c r="BL15" s="188">
        <f>opex_orig!BD15</f>
        <v>3.49E-6</v>
      </c>
      <c r="BM15" s="188">
        <f>opex_orig!BE15</f>
        <v>7.8800000000000008E-6</v>
      </c>
      <c r="BN15" s="188">
        <f>opex_orig!BF15</f>
        <v>2.51E-5</v>
      </c>
      <c r="BO15" s="188">
        <f>opex_orig!BG15</f>
        <v>1.6200000000000001E-5</v>
      </c>
      <c r="BP15" s="188">
        <f>opex_orig!$BH15</f>
        <v>3.0340668660825402E-6</v>
      </c>
      <c r="BQ15" s="188">
        <f>opex_orig!$BH15</f>
        <v>3.0340668660825402E-6</v>
      </c>
      <c r="BR15" s="188">
        <f>opex_orig!BI15</f>
        <v>3.8399999999999997E-6</v>
      </c>
      <c r="BS15" s="188">
        <f>opex_orig!BJ15</f>
        <v>3.1381399999999999E-4</v>
      </c>
      <c r="BT15" s="188">
        <f>opex_orig!BK15</f>
        <v>1.09412E-4</v>
      </c>
      <c r="BU15" s="188">
        <f>opex_orig!BL15</f>
        <v>0</v>
      </c>
      <c r="BV15" s="27">
        <f>opex_orig!BM15</f>
        <v>4.67258516452962E-6</v>
      </c>
      <c r="BW15" s="27">
        <f>opex_orig!BN15</f>
        <v>1.7232094584709599E-5</v>
      </c>
      <c r="BX15" s="27">
        <f>opex_orig!BO15</f>
        <v>2.4273660630615599E-6</v>
      </c>
      <c r="BY15" s="27">
        <f>opex_orig!BP15</f>
        <v>1.41749446190871E-5</v>
      </c>
      <c r="BZ15" s="27">
        <f>opex_orig!BQ15</f>
        <v>5.59192666834081E-6</v>
      </c>
      <c r="CA15" s="27">
        <f>opex_orig!BR15</f>
        <v>2.2172558711310999E-7</v>
      </c>
      <c r="CB15" s="27">
        <f>opex_orig!BS15</f>
        <v>1.1588758844039099E-5</v>
      </c>
      <c r="CC15" s="27">
        <f>opex_orig!BT15</f>
        <v>7.6399962066904095E-7</v>
      </c>
      <c r="CD15" s="27">
        <f>opex_orig!BU15</f>
        <v>1.9560697756414E-6</v>
      </c>
      <c r="CE15" s="27">
        <f>opex_orig!BV15</f>
        <v>1.9560697756414E-6</v>
      </c>
      <c r="CF15" s="27">
        <f>opex_orig!BW15</f>
        <v>1.02981651211895E-5</v>
      </c>
      <c r="CG15" s="27">
        <f>opex_orig!BX15</f>
        <v>1.0202442963802199E-6</v>
      </c>
      <c r="CH15" s="27">
        <f>opex_orig!BY15</f>
        <v>4.6902846262415303E-6</v>
      </c>
      <c r="CI15" s="27">
        <f>opex_orig!BZ15</f>
        <v>9.1400000000000006E-6</v>
      </c>
      <c r="CJ15" s="27">
        <f>opex_orig!CA15</f>
        <v>3.6200000000000001E-6</v>
      </c>
      <c r="CK15" s="27">
        <f>opex_orig!CB15</f>
        <v>2.9399999999999998E-6</v>
      </c>
      <c r="CL15" s="27">
        <f>opex_orig!CC15</f>
        <v>2.4499999999999998E-6</v>
      </c>
      <c r="CM15" s="27">
        <f>opex_orig!CD15</f>
        <v>6.72E-6</v>
      </c>
      <c r="CN15" s="27">
        <f>opex_orig!CE15</f>
        <v>4.8900000000000003E-5</v>
      </c>
      <c r="CO15" s="27">
        <f>opex_orig!CF15</f>
        <v>3.1499999999999999E-6</v>
      </c>
      <c r="CP15" s="27">
        <f>opex_orig!CG15</f>
        <v>8.2099999999999993E-6</v>
      </c>
    </row>
    <row r="16" spans="1:94" x14ac:dyDescent="0.25">
      <c r="A16" s="5" t="s">
        <v>51</v>
      </c>
      <c r="B16" s="2" t="s">
        <v>50</v>
      </c>
      <c r="C16" s="1" t="s">
        <v>325</v>
      </c>
      <c r="D16" s="188">
        <f>opex_orig!D16</f>
        <v>5.8699999999999995E-7</v>
      </c>
      <c r="E16" s="188">
        <f>opex_orig!E16</f>
        <v>6.3799999999999997E-7</v>
      </c>
      <c r="F16" s="188">
        <f>opex_orig!F16</f>
        <v>9.1999999999999998E-7</v>
      </c>
      <c r="G16" s="188">
        <f>opex_orig!G16</f>
        <v>1.04E-7</v>
      </c>
      <c r="H16" s="188">
        <f>opex_orig!H16</f>
        <v>6.73E-8</v>
      </c>
      <c r="I16" s="188">
        <f>opex_orig!I16</f>
        <v>5.8100000000000003E-6</v>
      </c>
      <c r="J16" s="188">
        <f>opex_orig!J16</f>
        <v>1.15E-6</v>
      </c>
      <c r="K16" s="188">
        <f>opex_orig!K16</f>
        <v>7.4200000000000003E-8</v>
      </c>
      <c r="L16" s="188">
        <f>opex_orig!L16</f>
        <v>6.3099999999999997E-6</v>
      </c>
      <c r="M16" s="188">
        <f>opex_orig!M16</f>
        <v>1.17E-5</v>
      </c>
      <c r="N16" s="188">
        <f>opex_orig!N16</f>
        <v>1.9020714000000001E-2</v>
      </c>
      <c r="O16" s="188">
        <f>opex_orig!O16</f>
        <v>1.4500000000000001E-6</v>
      </c>
      <c r="P16" s="188">
        <f>opex_orig!P16</f>
        <v>2.0699999999999998E-5</v>
      </c>
      <c r="Q16" s="188">
        <f>opex_orig!Q16</f>
        <v>6.0800000000000002E-8</v>
      </c>
      <c r="R16" s="188">
        <f>opex_orig!R16</f>
        <v>7.8600000000000002E-8</v>
      </c>
      <c r="S16" s="188">
        <f>opex_orig!S16</f>
        <v>1.0699999999999999E-6</v>
      </c>
      <c r="T16" s="188">
        <f>opex_orig!T16</f>
        <v>1.6899999999999999E-7</v>
      </c>
      <c r="U16" s="188">
        <f>opex_orig!U16</f>
        <v>8.4900000000000005E-7</v>
      </c>
      <c r="V16" s="188">
        <f>opex_orig!V16</f>
        <v>6.3499999999999996E-7</v>
      </c>
      <c r="W16" s="188">
        <f>opex_orig!W16</f>
        <v>2.4999999999999999E-7</v>
      </c>
      <c r="X16" s="188">
        <f>opex_orig!X16</f>
        <v>1.54E-7</v>
      </c>
      <c r="Y16" s="188">
        <f>opex_orig!Y16</f>
        <v>6.7099999999999999E-8</v>
      </c>
      <c r="Z16" s="188">
        <f>opex_orig!Z16</f>
        <v>1.9599999999999999E-6</v>
      </c>
      <c r="AA16" s="188">
        <f>opex_orig!AA16</f>
        <v>2.96E-7</v>
      </c>
      <c r="AB16" s="188">
        <f>opex_orig!$AB16</f>
        <v>8.9654649341802794E-3</v>
      </c>
      <c r="AC16" s="188">
        <f>opex_orig!$AB16</f>
        <v>8.9654649341802794E-3</v>
      </c>
      <c r="AD16" s="188">
        <f>opex_orig!$AB16</f>
        <v>8.9654649341802794E-3</v>
      </c>
      <c r="AE16" s="188">
        <f>opex_orig!$AC16</f>
        <v>3.71038346291847E-7</v>
      </c>
      <c r="AF16" s="188">
        <f>opex_orig!$AD16</f>
        <v>1.81683672834203E-3</v>
      </c>
      <c r="AG16" s="188">
        <f>opex_orig!$AD16</f>
        <v>1.81683672834203E-3</v>
      </c>
      <c r="AH16" s="188">
        <f>opex_orig!$AD16</f>
        <v>1.81683672834203E-3</v>
      </c>
      <c r="AI16" s="188">
        <f>opex_orig!AE16</f>
        <v>2.0014350000000002E-3</v>
      </c>
      <c r="AJ16" s="188">
        <f>opex_orig!AF16</f>
        <v>8.9146099999999997E-4</v>
      </c>
      <c r="AK16" s="188">
        <f>opex_orig!AG16</f>
        <v>1.6500000000000001E-7</v>
      </c>
      <c r="AL16" s="188">
        <f>opex_orig!AH16</f>
        <v>3.4100000000000001E-8</v>
      </c>
      <c r="AM16" s="188">
        <f>opex_orig!AI16</f>
        <v>7.3900000000000007E-8</v>
      </c>
      <c r="AN16" s="188">
        <f>opex_orig!AJ16</f>
        <v>6.6899999999999997E-8</v>
      </c>
      <c r="AO16" s="188">
        <f>opex_orig!AK16</f>
        <v>8.9000000000000003E-8</v>
      </c>
      <c r="AP16" s="188">
        <f>opex_orig!$AL16</f>
        <v>7.5242867691451605E-8</v>
      </c>
      <c r="AQ16" s="188">
        <f>opex_orig!$AL16</f>
        <v>7.5242867691451605E-8</v>
      </c>
      <c r="AR16" s="188">
        <f>opex_orig!$AL16</f>
        <v>7.5242867691451605E-8</v>
      </c>
      <c r="AS16" s="188">
        <f>opex_orig!$AM16</f>
        <v>8.3601813747779195E-8</v>
      </c>
      <c r="AT16" s="188">
        <f>opex_orig!AN16</f>
        <v>1.03E-7</v>
      </c>
      <c r="AU16" s="188">
        <f>opex_orig!$AO16</f>
        <v>4.4885538010246002E-8</v>
      </c>
      <c r="AV16" s="188">
        <f>opex_orig!$AO16</f>
        <v>4.4885538010246002E-8</v>
      </c>
      <c r="AW16" s="188">
        <f>opex_orig!$AO16</f>
        <v>4.4885538010246002E-8</v>
      </c>
      <c r="AX16" s="188">
        <f>opex_orig!$AP16</f>
        <v>5.4115545258125003E-8</v>
      </c>
      <c r="AY16" s="188">
        <f>opex_orig!AQ16</f>
        <v>7.24E-8</v>
      </c>
      <c r="AZ16" s="188">
        <f>opex_orig!AR16</f>
        <v>0</v>
      </c>
      <c r="BA16" s="188">
        <f>opex_orig!AS16</f>
        <v>8.5500000000000005E-8</v>
      </c>
      <c r="BB16" s="188">
        <f>opex_orig!AT16</f>
        <v>7.2100000000000004E-8</v>
      </c>
      <c r="BC16" s="188">
        <f>opex_orig!AU16</f>
        <v>4.1799999999999997E-8</v>
      </c>
      <c r="BD16" s="188">
        <f>opex_orig!AV16</f>
        <v>3.7300000000000003E-8</v>
      </c>
      <c r="BE16" s="188">
        <f>opex_orig!AW16</f>
        <v>4.6900000000000003E-8</v>
      </c>
      <c r="BF16" s="188">
        <f>opex_orig!AX16</f>
        <v>0</v>
      </c>
      <c r="BG16" s="188">
        <f>opex_orig!AY16</f>
        <v>1.8199999999999999E-7</v>
      </c>
      <c r="BH16" s="188">
        <f>opex_orig!AZ16</f>
        <v>0</v>
      </c>
      <c r="BI16" s="188">
        <f>opex_orig!BA16</f>
        <v>3.6300000000000001E-8</v>
      </c>
      <c r="BJ16" s="188">
        <f>opex_orig!BB16</f>
        <v>5.4499999999999998E-8</v>
      </c>
      <c r="BK16" s="188">
        <f>opex_orig!BC16</f>
        <v>2.23E-7</v>
      </c>
      <c r="BL16" s="188">
        <f>opex_orig!BD16</f>
        <v>2.9499999999999998E-7</v>
      </c>
      <c r="BM16" s="188">
        <f>opex_orig!BE16</f>
        <v>6.68222E-4</v>
      </c>
      <c r="BN16" s="188">
        <f>opex_orig!BF16</f>
        <v>6.5999999999999995E-8</v>
      </c>
      <c r="BO16" s="188">
        <f>opex_orig!BG16</f>
        <v>1.7362689999999999E-3</v>
      </c>
      <c r="BP16" s="188">
        <f>opex_orig!$BH16</f>
        <v>2.2320383265746601E-7</v>
      </c>
      <c r="BQ16" s="188">
        <f>opex_orig!$BH16</f>
        <v>2.2320383265746601E-7</v>
      </c>
      <c r="BR16" s="188">
        <f>opex_orig!BI16</f>
        <v>5.02E-8</v>
      </c>
      <c r="BS16" s="188">
        <f>opex_orig!BJ16</f>
        <v>1.5200000000000001E-7</v>
      </c>
      <c r="BT16" s="188">
        <f>opex_orig!BK16</f>
        <v>1.5077165E-2</v>
      </c>
      <c r="BU16" s="188">
        <f>opex_orig!BL16</f>
        <v>0</v>
      </c>
      <c r="BV16" s="27">
        <f>opex_orig!BM16</f>
        <v>2.6485428201044202E-7</v>
      </c>
      <c r="BW16" s="27">
        <f>opex_orig!BN16</f>
        <v>3.0915730962423102E-7</v>
      </c>
      <c r="BX16" s="27">
        <f>opex_orig!BO16</f>
        <v>1.0718678750979199E-7</v>
      </c>
      <c r="BY16" s="27">
        <f>opex_orig!BP16</f>
        <v>1.8501068362486399E-7</v>
      </c>
      <c r="BZ16" s="27">
        <f>opex_orig!BQ16</f>
        <v>2.0637923133594001E-7</v>
      </c>
      <c r="CA16" s="27">
        <f>opex_orig!BR16</f>
        <v>2.4577290246118101E-8</v>
      </c>
      <c r="CB16" s="27">
        <f>opex_orig!BS16</f>
        <v>4.6585109773163002E-7</v>
      </c>
      <c r="CC16" s="27">
        <f>opex_orig!BT16</f>
        <v>1.78244045380164E-7</v>
      </c>
      <c r="CD16" s="27">
        <f>opex_orig!BU16</f>
        <v>1.71043557286977E-7</v>
      </c>
      <c r="CE16" s="27">
        <f>opex_orig!BV16</f>
        <v>1.7104355728697801E-7</v>
      </c>
      <c r="CF16" s="27">
        <f>opex_orig!BW16</f>
        <v>1.2128038684720101E-6</v>
      </c>
      <c r="CG16" s="27">
        <f>opex_orig!BX16</f>
        <v>4.8952177857585999E-8</v>
      </c>
      <c r="CH16" s="27">
        <f>opex_orig!BY16</f>
        <v>2.7977296955742199E-8</v>
      </c>
      <c r="CI16" s="27">
        <f>opex_orig!BZ16</f>
        <v>2.2100000000000001E-7</v>
      </c>
      <c r="CJ16" s="27">
        <f>opex_orig!CA16</f>
        <v>1.85E-7</v>
      </c>
      <c r="CK16" s="27">
        <f>opex_orig!CB16</f>
        <v>1.9500000000000001E-7</v>
      </c>
      <c r="CL16" s="27">
        <f>opex_orig!CC16</f>
        <v>1.2499999999999999E-7</v>
      </c>
      <c r="CM16" s="27">
        <f>opex_orig!CD16</f>
        <v>2.03E-7</v>
      </c>
      <c r="CN16" s="27">
        <f>opex_orig!CE16</f>
        <v>6.2873479999999999E-3</v>
      </c>
      <c r="CO16" s="27">
        <f>opex_orig!CF16</f>
        <v>3.39E-7</v>
      </c>
      <c r="CP16" s="27">
        <f>opex_orig!CG16</f>
        <v>1.14E-7</v>
      </c>
    </row>
    <row r="17" spans="1:94" x14ac:dyDescent="0.25">
      <c r="A17" s="5" t="s">
        <v>53</v>
      </c>
      <c r="B17" s="2" t="s">
        <v>52</v>
      </c>
      <c r="C17" s="1" t="s">
        <v>325</v>
      </c>
      <c r="D17" s="188">
        <f>opex_orig!D17</f>
        <v>0</v>
      </c>
      <c r="E17" s="188">
        <f>opex_orig!E17</f>
        <v>0</v>
      </c>
      <c r="F17" s="188">
        <f>opex_orig!F17</f>
        <v>0</v>
      </c>
      <c r="G17" s="188">
        <f>opex_orig!G17</f>
        <v>0</v>
      </c>
      <c r="H17" s="188">
        <f>opex_orig!H17</f>
        <v>0</v>
      </c>
      <c r="I17" s="188">
        <f>opex_orig!I17</f>
        <v>0</v>
      </c>
      <c r="J17" s="188">
        <f>opex_orig!J17</f>
        <v>0</v>
      </c>
      <c r="K17" s="188">
        <f>opex_orig!K17</f>
        <v>0</v>
      </c>
      <c r="L17" s="188">
        <f>opex_orig!L17</f>
        <v>0</v>
      </c>
      <c r="M17" s="188">
        <f>opex_orig!M17</f>
        <v>0</v>
      </c>
      <c r="N17" s="188">
        <f>opex_orig!N17</f>
        <v>0</v>
      </c>
      <c r="O17" s="188">
        <f>opex_orig!O17</f>
        <v>0</v>
      </c>
      <c r="P17" s="188">
        <f>opex_orig!P17</f>
        <v>0</v>
      </c>
      <c r="Q17" s="188">
        <f>opex_orig!Q17</f>
        <v>0</v>
      </c>
      <c r="R17" s="188">
        <f>opex_orig!R17</f>
        <v>0</v>
      </c>
      <c r="S17" s="188">
        <f>opex_orig!S17</f>
        <v>0</v>
      </c>
      <c r="T17" s="188">
        <f>opex_orig!T17</f>
        <v>0</v>
      </c>
      <c r="U17" s="188">
        <f>opex_orig!U17</f>
        <v>0</v>
      </c>
      <c r="V17" s="188">
        <f>opex_orig!V17</f>
        <v>0</v>
      </c>
      <c r="W17" s="188">
        <f>opex_orig!W17</f>
        <v>0</v>
      </c>
      <c r="X17" s="188">
        <f>opex_orig!X17</f>
        <v>0</v>
      </c>
      <c r="Y17" s="188">
        <f>opex_orig!Y17</f>
        <v>0</v>
      </c>
      <c r="Z17" s="188">
        <f>opex_orig!Z17</f>
        <v>0</v>
      </c>
      <c r="AA17" s="188">
        <f>opex_orig!AA17</f>
        <v>0</v>
      </c>
      <c r="AB17" s="224">
        <f>opex_concordance!M183</f>
        <v>0</v>
      </c>
      <c r="AC17" s="224">
        <f>opex_concordance!M228</f>
        <v>0</v>
      </c>
      <c r="AD17" s="224">
        <f>opex_concordance!M273</f>
        <v>7.4813005906688212E-2</v>
      </c>
      <c r="AE17" s="188">
        <f>opex_orig!$AC17</f>
        <v>0</v>
      </c>
      <c r="AF17" s="188">
        <f>opex_orig!$AD17</f>
        <v>0</v>
      </c>
      <c r="AG17" s="188">
        <f>opex_orig!$AD17</f>
        <v>0</v>
      </c>
      <c r="AH17" s="188">
        <f>opex_orig!$AD17</f>
        <v>0</v>
      </c>
      <c r="AI17" s="188">
        <f>opex_orig!AE17</f>
        <v>0</v>
      </c>
      <c r="AJ17" s="188">
        <f>opex_orig!AF17</f>
        <v>0</v>
      </c>
      <c r="AK17" s="188">
        <f>opex_orig!AG17</f>
        <v>0</v>
      </c>
      <c r="AL17" s="188">
        <f>opex_orig!AH17</f>
        <v>0</v>
      </c>
      <c r="AM17" s="188">
        <f>opex_orig!AI17</f>
        <v>0</v>
      </c>
      <c r="AN17" s="188">
        <f>opex_orig!AJ17</f>
        <v>0</v>
      </c>
      <c r="AO17" s="188">
        <f>opex_orig!AK17</f>
        <v>0</v>
      </c>
      <c r="AP17" s="188">
        <f>opex_orig!$AL17</f>
        <v>0</v>
      </c>
      <c r="AQ17" s="188">
        <f>opex_orig!$AL17</f>
        <v>0</v>
      </c>
      <c r="AR17" s="188">
        <f>opex_orig!$AL17</f>
        <v>0</v>
      </c>
      <c r="AS17" s="188">
        <f>opex_orig!$AM17</f>
        <v>0</v>
      </c>
      <c r="AT17" s="188">
        <f>opex_orig!AN17</f>
        <v>0</v>
      </c>
      <c r="AU17" s="188">
        <f>opex_orig!$AO17</f>
        <v>0</v>
      </c>
      <c r="AV17" s="188">
        <f>opex_orig!$AO17</f>
        <v>0</v>
      </c>
      <c r="AW17" s="188">
        <f>opex_orig!$AO17</f>
        <v>0</v>
      </c>
      <c r="AX17" s="188">
        <f>opex_orig!$AP17</f>
        <v>0</v>
      </c>
      <c r="AY17" s="188">
        <f>opex_orig!AQ17</f>
        <v>0</v>
      </c>
      <c r="AZ17" s="188">
        <f>opex_orig!AR17</f>
        <v>0</v>
      </c>
      <c r="BA17" s="188">
        <f>opex_orig!AS17</f>
        <v>0</v>
      </c>
      <c r="BB17" s="188">
        <f>opex_orig!AT17</f>
        <v>0</v>
      </c>
      <c r="BC17" s="188">
        <f>opex_orig!AU17</f>
        <v>0</v>
      </c>
      <c r="BD17" s="188">
        <f>opex_orig!AV17</f>
        <v>0</v>
      </c>
      <c r="BE17" s="188">
        <f>opex_orig!AW17</f>
        <v>0</v>
      </c>
      <c r="BF17" s="188">
        <f>opex_orig!AX17</f>
        <v>0</v>
      </c>
      <c r="BG17" s="188">
        <f>opex_orig!AY17</f>
        <v>0</v>
      </c>
      <c r="BH17" s="188">
        <f>opex_orig!AZ17</f>
        <v>0</v>
      </c>
      <c r="BI17" s="188">
        <f>opex_orig!BA17</f>
        <v>0</v>
      </c>
      <c r="BJ17" s="188">
        <f>opex_orig!BB17</f>
        <v>0</v>
      </c>
      <c r="BK17" s="188">
        <f>opex_orig!BC17</f>
        <v>0</v>
      </c>
      <c r="BL17" s="188">
        <f>opex_orig!BD17</f>
        <v>0</v>
      </c>
      <c r="BM17" s="188">
        <f>opex_orig!BE17</f>
        <v>0</v>
      </c>
      <c r="BN17" s="188">
        <f>opex_orig!BF17</f>
        <v>0</v>
      </c>
      <c r="BO17" s="188">
        <f>opex_orig!BG17</f>
        <v>0</v>
      </c>
      <c r="BP17" s="188">
        <f>opex_orig!$BH17</f>
        <v>0</v>
      </c>
      <c r="BQ17" s="188">
        <f>opex_orig!$BH17</f>
        <v>0</v>
      </c>
      <c r="BR17" s="188">
        <f>opex_orig!BI17</f>
        <v>0</v>
      </c>
      <c r="BS17" s="188">
        <f>opex_orig!BJ17</f>
        <v>0</v>
      </c>
      <c r="BT17" s="188">
        <f>opex_orig!BK17</f>
        <v>0</v>
      </c>
      <c r="BU17" s="188">
        <f>opex_orig!BL17</f>
        <v>0</v>
      </c>
      <c r="BV17" s="27">
        <f>opex_orig!BM17</f>
        <v>0</v>
      </c>
      <c r="BW17" s="27">
        <f>opex_orig!BN17</f>
        <v>0</v>
      </c>
      <c r="BX17" s="27">
        <f>opex_orig!BO17</f>
        <v>0</v>
      </c>
      <c r="BY17" s="27">
        <f>opex_orig!BP17</f>
        <v>0</v>
      </c>
      <c r="BZ17" s="27">
        <f>opex_orig!BQ17</f>
        <v>0</v>
      </c>
      <c r="CA17" s="27">
        <f>opex_orig!BR17</f>
        <v>0</v>
      </c>
      <c r="CB17" s="27">
        <f>opex_orig!BS17</f>
        <v>0</v>
      </c>
      <c r="CC17" s="27">
        <f>opex_orig!BT17</f>
        <v>0</v>
      </c>
      <c r="CD17" s="27">
        <f>opex_orig!BU17</f>
        <v>0</v>
      </c>
      <c r="CE17" s="27">
        <f>opex_orig!BV17</f>
        <v>0</v>
      </c>
      <c r="CF17" s="27">
        <f>opex_orig!BW17</f>
        <v>0</v>
      </c>
      <c r="CG17" s="27">
        <f>opex_orig!BX17</f>
        <v>0</v>
      </c>
      <c r="CH17" s="27">
        <f>opex_orig!BY17</f>
        <v>0</v>
      </c>
      <c r="CI17" s="27">
        <f>opex_orig!BZ17</f>
        <v>0</v>
      </c>
      <c r="CJ17" s="27">
        <f>opex_orig!CA17</f>
        <v>0</v>
      </c>
      <c r="CK17" s="27">
        <f>opex_orig!CB17</f>
        <v>0</v>
      </c>
      <c r="CL17" s="27">
        <f>opex_orig!CC17</f>
        <v>0</v>
      </c>
      <c r="CM17" s="27">
        <f>opex_orig!CD17</f>
        <v>0</v>
      </c>
      <c r="CN17" s="27">
        <f>opex_orig!CE17</f>
        <v>0</v>
      </c>
      <c r="CO17" s="27">
        <f>opex_orig!CF17</f>
        <v>0</v>
      </c>
      <c r="CP17" s="27">
        <f>opex_orig!CG17</f>
        <v>0</v>
      </c>
    </row>
    <row r="18" spans="1:94" x14ac:dyDescent="0.25">
      <c r="A18" s="5" t="s">
        <v>55</v>
      </c>
      <c r="B18" s="2" t="s">
        <v>54</v>
      </c>
      <c r="C18" s="1" t="s">
        <v>325</v>
      </c>
      <c r="D18" s="188">
        <f>opex_orig!D18</f>
        <v>0</v>
      </c>
      <c r="E18" s="188">
        <f>opex_orig!E18</f>
        <v>0</v>
      </c>
      <c r="F18" s="188">
        <f>opex_orig!F18</f>
        <v>0</v>
      </c>
      <c r="G18" s="188">
        <f>opex_orig!G18</f>
        <v>0</v>
      </c>
      <c r="H18" s="188">
        <f>opex_orig!H18</f>
        <v>0</v>
      </c>
      <c r="I18" s="188">
        <f>opex_orig!I18</f>
        <v>0</v>
      </c>
      <c r="J18" s="188">
        <f>opex_orig!J18</f>
        <v>0</v>
      </c>
      <c r="K18" s="188">
        <f>opex_orig!K18</f>
        <v>0</v>
      </c>
      <c r="L18" s="188">
        <f>opex_orig!L18</f>
        <v>0</v>
      </c>
      <c r="M18" s="188">
        <f>opex_orig!M18</f>
        <v>0</v>
      </c>
      <c r="N18" s="188">
        <f>opex_orig!N18</f>
        <v>0</v>
      </c>
      <c r="O18" s="188">
        <f>opex_orig!O18</f>
        <v>0</v>
      </c>
      <c r="P18" s="188">
        <f>opex_orig!P18</f>
        <v>0</v>
      </c>
      <c r="Q18" s="188">
        <f>opex_orig!Q18</f>
        <v>0</v>
      </c>
      <c r="R18" s="188">
        <f>opex_orig!R18</f>
        <v>0</v>
      </c>
      <c r="S18" s="188">
        <f>opex_orig!S18</f>
        <v>0</v>
      </c>
      <c r="T18" s="188">
        <f>opex_orig!T18</f>
        <v>0</v>
      </c>
      <c r="U18" s="188">
        <f>opex_orig!U18</f>
        <v>0</v>
      </c>
      <c r="V18" s="188">
        <f>opex_orig!V18</f>
        <v>0</v>
      </c>
      <c r="W18" s="188">
        <f>opex_orig!W18</f>
        <v>0</v>
      </c>
      <c r="X18" s="188">
        <f>opex_orig!X18</f>
        <v>0</v>
      </c>
      <c r="Y18" s="188">
        <f>opex_orig!Y18</f>
        <v>0</v>
      </c>
      <c r="Z18" s="188">
        <f>opex_orig!Z18</f>
        <v>0</v>
      </c>
      <c r="AA18" s="188">
        <f>opex_orig!AA18</f>
        <v>0</v>
      </c>
      <c r="AB18" s="234">
        <f>opex_concordance!M184</f>
        <v>0</v>
      </c>
      <c r="AC18" s="234">
        <f>opex_concordance!M229</f>
        <v>0</v>
      </c>
      <c r="AD18" s="234">
        <f>opex_concordance!M274</f>
        <v>7.4813005906688212E-2</v>
      </c>
      <c r="AE18" s="188">
        <f>opex_orig!$AC18</f>
        <v>0</v>
      </c>
      <c r="AF18" s="188">
        <f>opex_orig!$AD18</f>
        <v>0</v>
      </c>
      <c r="AG18" s="188">
        <f>opex_orig!$AD18</f>
        <v>0</v>
      </c>
      <c r="AH18" s="188">
        <f>opex_orig!$AD18</f>
        <v>0</v>
      </c>
      <c r="AI18" s="188">
        <f>opex_orig!AE18</f>
        <v>0</v>
      </c>
      <c r="AJ18" s="188">
        <f>opex_orig!AF18</f>
        <v>0</v>
      </c>
      <c r="AK18" s="188">
        <f>opex_orig!AG18</f>
        <v>0</v>
      </c>
      <c r="AL18" s="188">
        <f>opex_orig!AH18</f>
        <v>0</v>
      </c>
      <c r="AM18" s="188">
        <f>opex_orig!AI18</f>
        <v>0</v>
      </c>
      <c r="AN18" s="188">
        <f>opex_orig!AJ18</f>
        <v>0</v>
      </c>
      <c r="AO18" s="188">
        <f>opex_orig!AK18</f>
        <v>0</v>
      </c>
      <c r="AP18" s="188">
        <f>opex_orig!$AL18</f>
        <v>0</v>
      </c>
      <c r="AQ18" s="188">
        <f>opex_orig!$AL18</f>
        <v>0</v>
      </c>
      <c r="AR18" s="188">
        <f>opex_orig!$AL18</f>
        <v>0</v>
      </c>
      <c r="AS18" s="188">
        <f>opex_orig!$AM18</f>
        <v>0</v>
      </c>
      <c r="AT18" s="188">
        <f>opex_orig!AN18</f>
        <v>0</v>
      </c>
      <c r="AU18" s="188">
        <f>opex_orig!$AO18</f>
        <v>0</v>
      </c>
      <c r="AV18" s="188">
        <f>opex_orig!$AO18</f>
        <v>0</v>
      </c>
      <c r="AW18" s="188">
        <f>opex_orig!$AO18</f>
        <v>0</v>
      </c>
      <c r="AX18" s="188">
        <f>opex_orig!$AP18</f>
        <v>0</v>
      </c>
      <c r="AY18" s="188">
        <f>opex_orig!AQ18</f>
        <v>0</v>
      </c>
      <c r="AZ18" s="188">
        <f>opex_orig!AR18</f>
        <v>0</v>
      </c>
      <c r="BA18" s="188">
        <f>opex_orig!AS18</f>
        <v>0</v>
      </c>
      <c r="BB18" s="188">
        <f>opex_orig!AT18</f>
        <v>0</v>
      </c>
      <c r="BC18" s="188">
        <f>opex_orig!AU18</f>
        <v>0</v>
      </c>
      <c r="BD18" s="188">
        <f>opex_orig!AV18</f>
        <v>0</v>
      </c>
      <c r="BE18" s="188">
        <f>opex_orig!AW18</f>
        <v>0</v>
      </c>
      <c r="BF18" s="188">
        <f>opex_orig!AX18</f>
        <v>0</v>
      </c>
      <c r="BG18" s="188">
        <f>opex_orig!AY18</f>
        <v>0</v>
      </c>
      <c r="BH18" s="188">
        <f>opex_orig!AZ18</f>
        <v>0</v>
      </c>
      <c r="BI18" s="188">
        <f>opex_orig!BA18</f>
        <v>0</v>
      </c>
      <c r="BJ18" s="188">
        <f>opex_orig!BB18</f>
        <v>0</v>
      </c>
      <c r="BK18" s="188">
        <f>opex_orig!BC18</f>
        <v>0</v>
      </c>
      <c r="BL18" s="188">
        <f>opex_orig!BD18</f>
        <v>0</v>
      </c>
      <c r="BM18" s="188">
        <f>opex_orig!BE18</f>
        <v>0</v>
      </c>
      <c r="BN18" s="188">
        <f>opex_orig!BF18</f>
        <v>0</v>
      </c>
      <c r="BO18" s="188">
        <f>opex_orig!BG18</f>
        <v>0</v>
      </c>
      <c r="BP18" s="188">
        <f>opex_orig!$BH18</f>
        <v>0</v>
      </c>
      <c r="BQ18" s="188">
        <f>opex_orig!$BH18</f>
        <v>0</v>
      </c>
      <c r="BR18" s="188">
        <f>opex_orig!BI18</f>
        <v>0</v>
      </c>
      <c r="BS18" s="188">
        <f>opex_orig!BJ18</f>
        <v>0</v>
      </c>
      <c r="BT18" s="188">
        <f>opex_orig!BK18</f>
        <v>0</v>
      </c>
      <c r="BU18" s="188">
        <f>opex_orig!BL18</f>
        <v>0</v>
      </c>
      <c r="BV18" s="27">
        <f>opex_orig!BM18</f>
        <v>0</v>
      </c>
      <c r="BW18" s="27">
        <f>opex_orig!BN18</f>
        <v>0</v>
      </c>
      <c r="BX18" s="27">
        <f>opex_orig!BO18</f>
        <v>0</v>
      </c>
      <c r="BY18" s="27">
        <f>opex_orig!BP18</f>
        <v>0</v>
      </c>
      <c r="BZ18" s="27">
        <f>opex_orig!BQ18</f>
        <v>0</v>
      </c>
      <c r="CA18" s="27">
        <f>opex_orig!BR18</f>
        <v>0</v>
      </c>
      <c r="CB18" s="27">
        <f>opex_orig!BS18</f>
        <v>0</v>
      </c>
      <c r="CC18" s="27">
        <f>opex_orig!BT18</f>
        <v>0</v>
      </c>
      <c r="CD18" s="27">
        <f>opex_orig!BU18</f>
        <v>0</v>
      </c>
      <c r="CE18" s="27">
        <f>opex_orig!BV18</f>
        <v>0</v>
      </c>
      <c r="CF18" s="27">
        <f>opex_orig!BW18</f>
        <v>0</v>
      </c>
      <c r="CG18" s="27">
        <f>opex_orig!BX18</f>
        <v>0</v>
      </c>
      <c r="CH18" s="27">
        <f>opex_orig!BY18</f>
        <v>0</v>
      </c>
      <c r="CI18" s="27">
        <f>opex_orig!BZ18</f>
        <v>0</v>
      </c>
      <c r="CJ18" s="27">
        <f>opex_orig!CA18</f>
        <v>0</v>
      </c>
      <c r="CK18" s="27">
        <f>opex_orig!CB18</f>
        <v>0</v>
      </c>
      <c r="CL18" s="27">
        <f>opex_orig!CC18</f>
        <v>0</v>
      </c>
      <c r="CM18" s="27">
        <f>opex_orig!CD18</f>
        <v>0</v>
      </c>
      <c r="CN18" s="27">
        <f>opex_orig!CE18</f>
        <v>0</v>
      </c>
      <c r="CO18" s="27">
        <f>opex_orig!CF18</f>
        <v>0</v>
      </c>
      <c r="CP18" s="27">
        <f>opex_orig!CG18</f>
        <v>0</v>
      </c>
    </row>
    <row r="19" spans="1:94" x14ac:dyDescent="0.25">
      <c r="A19" s="5" t="s">
        <v>57</v>
      </c>
      <c r="B19" s="2" t="s">
        <v>56</v>
      </c>
      <c r="C19" s="1" t="s">
        <v>325</v>
      </c>
      <c r="D19" s="188">
        <f>opex_orig!D19</f>
        <v>4.6561399999999999E-4</v>
      </c>
      <c r="E19" s="188">
        <f>opex_orig!E19</f>
        <v>2.49025E-4</v>
      </c>
      <c r="F19" s="188">
        <f>opex_orig!F19</f>
        <v>1.67646E-4</v>
      </c>
      <c r="G19" s="188">
        <f>opex_orig!G19</f>
        <v>3.7200000000000003E-5</v>
      </c>
      <c r="H19" s="188">
        <f>opex_orig!H19</f>
        <v>4.5599999999999997E-5</v>
      </c>
      <c r="I19" s="188">
        <f>opex_orig!I19</f>
        <v>4.71309E-4</v>
      </c>
      <c r="J19" s="188">
        <f>opex_orig!J19</f>
        <v>3.7603400000000003E-4</v>
      </c>
      <c r="K19" s="188">
        <f>opex_orig!K19</f>
        <v>1.11092E-4</v>
      </c>
      <c r="L19" s="188">
        <f>opex_orig!L19</f>
        <v>6.7024770000000001E-3</v>
      </c>
      <c r="M19" s="188">
        <f>opex_orig!M19</f>
        <v>7.7543070000000002E-3</v>
      </c>
      <c r="N19" s="188">
        <f>opex_orig!N19</f>
        <v>8.710476E-3</v>
      </c>
      <c r="O19" s="188">
        <f>opex_orig!O19</f>
        <v>8.6841167999999996E-2</v>
      </c>
      <c r="P19" s="188">
        <f>opex_orig!P19</f>
        <v>1.9023878000000001E-2</v>
      </c>
      <c r="Q19" s="188">
        <f>opex_orig!Q19</f>
        <v>3.2443800000000003E-4</v>
      </c>
      <c r="R19" s="188">
        <f>opex_orig!R19</f>
        <v>2.31096E-4</v>
      </c>
      <c r="S19" s="188">
        <f>opex_orig!S19</f>
        <v>0.24746127000000001</v>
      </c>
      <c r="T19" s="188">
        <f>opex_orig!T19</f>
        <v>5.1552849999999999E-3</v>
      </c>
      <c r="U19" s="188">
        <f>opex_orig!U19</f>
        <v>9.0172163999999999E-2</v>
      </c>
      <c r="V19" s="188">
        <f>opex_orig!V19</f>
        <v>4.2904199999999998E-4</v>
      </c>
      <c r="W19" s="188">
        <f>opex_orig!W19</f>
        <v>3.7532677E-2</v>
      </c>
      <c r="X19" s="188">
        <f>opex_orig!X19</f>
        <v>1.00865E-4</v>
      </c>
      <c r="Y19" s="188">
        <f>opex_orig!Y19</f>
        <v>8.3954199999999998E-4</v>
      </c>
      <c r="Z19" s="188">
        <f>opex_orig!Z19</f>
        <v>3.1935399999999999E-4</v>
      </c>
      <c r="AA19" s="188">
        <f>opex_orig!AA19</f>
        <v>4.1841900000000001E-4</v>
      </c>
      <c r="AB19" s="284">
        <f>opex_concordance!M185</f>
        <v>1.7549611960191201E-4</v>
      </c>
      <c r="AC19" s="284">
        <f>opex_concordance!M230</f>
        <v>2.2111873259401461E-4</v>
      </c>
      <c r="AD19" s="284">
        <f>opex_concordance!M275</f>
        <v>7.5015607405401863E-2</v>
      </c>
      <c r="AE19" s="188">
        <f>opex_orig!$AC19</f>
        <v>1.4250602959395701E-3</v>
      </c>
      <c r="AF19" s="188">
        <f>opex_orig!$AD19</f>
        <v>6.7032224155254402E-4</v>
      </c>
      <c r="AG19" s="188">
        <f>opex_orig!$AD19</f>
        <v>6.7032224155254402E-4</v>
      </c>
      <c r="AH19" s="188">
        <f>opex_orig!$AD19</f>
        <v>6.7032224155254402E-4</v>
      </c>
      <c r="AI19" s="188">
        <f>opex_orig!AE19</f>
        <v>5.9234999999999995E-4</v>
      </c>
      <c r="AJ19" s="188">
        <f>opex_orig!AF19</f>
        <v>8.0176200000000003E-4</v>
      </c>
      <c r="AK19" s="188">
        <f>opex_orig!AG19</f>
        <v>2.28648E-4</v>
      </c>
      <c r="AL19" s="188">
        <f>opex_orig!AH19</f>
        <v>2.9703999999999999E-4</v>
      </c>
      <c r="AM19" s="188">
        <f>opex_orig!AI19</f>
        <v>3.8532099999999999E-4</v>
      </c>
      <c r="AN19" s="188">
        <f>opex_orig!AJ19</f>
        <v>5.3403100000000002E-4</v>
      </c>
      <c r="AO19" s="188">
        <f>opex_orig!AK19</f>
        <v>4.4494499999999998E-4</v>
      </c>
      <c r="AP19" s="188">
        <f>opex_orig!$AL19</f>
        <v>4.2813913786746502E-4</v>
      </c>
      <c r="AQ19" s="188">
        <f>opex_orig!$AL19</f>
        <v>4.2813913786746502E-4</v>
      </c>
      <c r="AR19" s="188">
        <f>opex_orig!$AL19</f>
        <v>4.2813913786746502E-4</v>
      </c>
      <c r="AS19" s="188">
        <f>opex_orig!$AM19</f>
        <v>4.4223446280562499E-4</v>
      </c>
      <c r="AT19" s="188">
        <f>opex_orig!AN19</f>
        <v>3.1315800000000001E-4</v>
      </c>
      <c r="AU19" s="188">
        <f>opex_orig!$AO19</f>
        <v>6.7085912738136402E-4</v>
      </c>
      <c r="AV19" s="188">
        <f>opex_orig!$AO19</f>
        <v>6.7085912738136402E-4</v>
      </c>
      <c r="AW19" s="188">
        <f>opex_orig!$AO19</f>
        <v>6.7085912738136402E-4</v>
      </c>
      <c r="AX19" s="188">
        <f>opex_orig!$AP19</f>
        <v>6.9130115227240504E-4</v>
      </c>
      <c r="AY19" s="188">
        <f>opex_orig!AQ19</f>
        <v>1.3127289999999999E-3</v>
      </c>
      <c r="AZ19" s="188">
        <f>opex_orig!AR19</f>
        <v>0</v>
      </c>
      <c r="BA19" s="188">
        <f>opex_orig!AS19</f>
        <v>7.4404199999999999E-4</v>
      </c>
      <c r="BB19" s="188">
        <f>opex_orig!AT19</f>
        <v>7.2008800000000002E-4</v>
      </c>
      <c r="BC19" s="188">
        <f>opex_orig!AU19</f>
        <v>1.69653E-4</v>
      </c>
      <c r="BD19" s="188">
        <f>opex_orig!AV19</f>
        <v>1.33206E-4</v>
      </c>
      <c r="BE19" s="188">
        <f>opex_orig!AW19</f>
        <v>4.8679600000000001E-4</v>
      </c>
      <c r="BF19" s="188">
        <f>opex_orig!AX19</f>
        <v>0</v>
      </c>
      <c r="BG19" s="188">
        <f>opex_orig!AY19</f>
        <v>1.041099E-3</v>
      </c>
      <c r="BH19" s="188">
        <f>opex_orig!AZ19</f>
        <v>0</v>
      </c>
      <c r="BI19" s="188">
        <f>opex_orig!BA19</f>
        <v>1.1355989999999999E-3</v>
      </c>
      <c r="BJ19" s="188">
        <f>opex_orig!BB19</f>
        <v>7.7299999999999995E-5</v>
      </c>
      <c r="BK19" s="188">
        <f>opex_orig!BC19</f>
        <v>1.6690100000000001E-4</v>
      </c>
      <c r="BL19" s="188">
        <f>opex_orig!BD19</f>
        <v>2.76E-5</v>
      </c>
      <c r="BM19" s="188">
        <f>opex_orig!BE19</f>
        <v>1.1511E-4</v>
      </c>
      <c r="BN19" s="188">
        <f>opex_orig!BF19</f>
        <v>6.5099999999999997E-5</v>
      </c>
      <c r="BO19" s="188">
        <f>opex_orig!BG19</f>
        <v>1.6452900000000001E-4</v>
      </c>
      <c r="BP19" s="188">
        <f>opex_orig!$BH19</f>
        <v>3.9651344089566202E-4</v>
      </c>
      <c r="BQ19" s="188">
        <f>opex_orig!$BH19</f>
        <v>3.9651344089566202E-4</v>
      </c>
      <c r="BR19" s="188">
        <f>opex_orig!BI19</f>
        <v>1.06993E-4</v>
      </c>
      <c r="BS19" s="188">
        <f>opex_orig!BJ19</f>
        <v>1.5136819999999999E-3</v>
      </c>
      <c r="BT19" s="188">
        <f>opex_orig!BK19</f>
        <v>1.46773E-4</v>
      </c>
      <c r="BU19" s="188">
        <f>opex_orig!BL19</f>
        <v>0</v>
      </c>
      <c r="BV19" s="27">
        <f>opex_orig!BM19</f>
        <v>5.0507675663744099E-4</v>
      </c>
      <c r="BW19" s="27">
        <f>opex_orig!BN19</f>
        <v>6.1548312352514704E-4</v>
      </c>
      <c r="BX19" s="27">
        <f>opex_orig!BO19</f>
        <v>9.5120772548679499E-5</v>
      </c>
      <c r="BY19" s="27">
        <f>opex_orig!BP19</f>
        <v>1.4704930705303299E-4</v>
      </c>
      <c r="BZ19" s="27">
        <f>opex_orig!BQ19</f>
        <v>2.0290411604863601E-4</v>
      </c>
      <c r="CA19" s="27">
        <f>opex_orig!BR19</f>
        <v>1.2697500778590599E-6</v>
      </c>
      <c r="CB19" s="27">
        <f>opex_orig!BS19</f>
        <v>7.3312490790736098E-4</v>
      </c>
      <c r="CC19" s="27">
        <f>opex_orig!BT19</f>
        <v>4.8827758569412301E-2</v>
      </c>
      <c r="CD19" s="27">
        <f>opex_orig!BU19</f>
        <v>1.12252453274693E-4</v>
      </c>
      <c r="CE19" s="27">
        <f>opex_orig!BV19</f>
        <v>1.12252453274693E-4</v>
      </c>
      <c r="CF19" s="27">
        <f>opex_orig!BW19</f>
        <v>1.00161804171293E-6</v>
      </c>
      <c r="CG19" s="27">
        <f>opex_orig!BX19</f>
        <v>7.2637337954216603E-7</v>
      </c>
      <c r="CH19" s="27">
        <f>opex_orig!BY19</f>
        <v>1.45073822464957E-5</v>
      </c>
      <c r="CI19" s="27">
        <f>opex_orig!BZ19</f>
        <v>2.75698E-4</v>
      </c>
      <c r="CJ19" s="27">
        <f>opex_orig!CA19</f>
        <v>1.6327599999999999E-4</v>
      </c>
      <c r="CK19" s="27">
        <f>opex_orig!CB19</f>
        <v>1.6791899999999999E-4</v>
      </c>
      <c r="CL19" s="27">
        <f>opex_orig!CC19</f>
        <v>9.8099999999999999E-5</v>
      </c>
      <c r="CM19" s="27">
        <f>opex_orig!CD19</f>
        <v>6.7571600000000003E-4</v>
      </c>
      <c r="CN19" s="27">
        <f>opex_orig!CE19</f>
        <v>2.6160499999999999E-4</v>
      </c>
      <c r="CO19" s="27">
        <f>opex_orig!CF19</f>
        <v>1.062513E-3</v>
      </c>
      <c r="CP19" s="27">
        <f>opex_orig!CG19</f>
        <v>2.09316E-4</v>
      </c>
    </row>
    <row r="20" spans="1:94" x14ac:dyDescent="0.25">
      <c r="A20" s="5" t="s">
        <v>59</v>
      </c>
      <c r="B20" s="2" t="s">
        <v>58</v>
      </c>
      <c r="C20" s="1" t="s">
        <v>325</v>
      </c>
      <c r="D20" s="188">
        <f>opex_orig!D20</f>
        <v>5.7839299999999996E-4</v>
      </c>
      <c r="E20" s="188">
        <f>opex_orig!E20</f>
        <v>1.18088E-3</v>
      </c>
      <c r="F20" s="188">
        <f>opex_orig!F20</f>
        <v>4.5255099999999998E-4</v>
      </c>
      <c r="G20" s="188">
        <f>opex_orig!G20</f>
        <v>1.7189500000000001E-4</v>
      </c>
      <c r="H20" s="188">
        <f>opex_orig!H20</f>
        <v>1.7523699999999999E-4</v>
      </c>
      <c r="I20" s="188">
        <f>opex_orig!I20</f>
        <v>2.7258040000000001E-3</v>
      </c>
      <c r="J20" s="188">
        <f>opex_orig!J20</f>
        <v>1.21103E-4</v>
      </c>
      <c r="K20" s="188">
        <f>opex_orig!K20</f>
        <v>2.6762500000000001E-4</v>
      </c>
      <c r="L20" s="188">
        <f>opex_orig!L20</f>
        <v>4.7003899999999996E-3</v>
      </c>
      <c r="M20" s="188">
        <f>opex_orig!M20</f>
        <v>1.3217378E-2</v>
      </c>
      <c r="N20" s="188">
        <f>opex_orig!N20</f>
        <v>5.8931820000000003E-3</v>
      </c>
      <c r="O20" s="188">
        <f>opex_orig!O20</f>
        <v>4.8172550000000003E-3</v>
      </c>
      <c r="P20" s="188">
        <f>opex_orig!P20</f>
        <v>1.0243769999999999E-3</v>
      </c>
      <c r="Q20" s="188">
        <f>opex_orig!Q20</f>
        <v>1.3200000000000001E-5</v>
      </c>
      <c r="R20" s="188">
        <f>opex_orig!R20</f>
        <v>1.36E-5</v>
      </c>
      <c r="S20" s="188">
        <f>opex_orig!S20</f>
        <v>5.58819E-4</v>
      </c>
      <c r="T20" s="188">
        <f>opex_orig!T20</f>
        <v>8.4600000000000003E-6</v>
      </c>
      <c r="U20" s="188">
        <f>opex_orig!U20</f>
        <v>2.0222400000000001E-4</v>
      </c>
      <c r="V20" s="188">
        <f>opex_orig!V20</f>
        <v>7.2599999999999999E-6</v>
      </c>
      <c r="W20" s="188">
        <f>opex_orig!W20</f>
        <v>8.8399999999999994E-5</v>
      </c>
      <c r="X20" s="188">
        <f>opex_orig!X20</f>
        <v>6.3199999999999996E-6</v>
      </c>
      <c r="Y20" s="188">
        <f>opex_orig!Y20</f>
        <v>2.6800000000000002E-6</v>
      </c>
      <c r="Z20" s="188">
        <f>opex_orig!Z20</f>
        <v>4.6099999999999999E-6</v>
      </c>
      <c r="AA20" s="188">
        <f>opex_orig!AA20</f>
        <v>7.7200000000000006E-6</v>
      </c>
      <c r="AB20" s="188">
        <f>opex_orig!$AB20</f>
        <v>7.1600679228081903E-6</v>
      </c>
      <c r="AC20" s="188">
        <f>opex_orig!$AB20</f>
        <v>7.1600679228081903E-6</v>
      </c>
      <c r="AD20" s="188">
        <f>opex_orig!$AB20</f>
        <v>7.1600679228081903E-6</v>
      </c>
      <c r="AE20" s="188">
        <f>opex_orig!$AC20</f>
        <v>7.5975921821049198E-5</v>
      </c>
      <c r="AF20" s="188">
        <f>opex_orig!$AD20</f>
        <v>3.4627153017206103E-5</v>
      </c>
      <c r="AG20" s="188">
        <f>opex_orig!$AD20</f>
        <v>3.4627153017206103E-5</v>
      </c>
      <c r="AH20" s="188">
        <f>opex_orig!$AD20</f>
        <v>3.4627153017206103E-5</v>
      </c>
      <c r="AI20" s="188">
        <f>opex_orig!AE20</f>
        <v>3.0899999999999999E-5</v>
      </c>
      <c r="AJ20" s="188">
        <f>opex_orig!AF20</f>
        <v>4.7899999999999999E-5</v>
      </c>
      <c r="AK20" s="188">
        <f>opex_orig!AG20</f>
        <v>5.5899999999999998E-6</v>
      </c>
      <c r="AL20" s="188">
        <f>opex_orig!AH20</f>
        <v>4.6500000000000004E-6</v>
      </c>
      <c r="AM20" s="188">
        <f>opex_orig!AI20</f>
        <v>9.3600000000000002E-6</v>
      </c>
      <c r="AN20" s="188">
        <f>opex_orig!AJ20</f>
        <v>3.4300000000000002E-6</v>
      </c>
      <c r="AO20" s="188">
        <f>opex_orig!AK20</f>
        <v>7.3200000000000002E-6</v>
      </c>
      <c r="AP20" s="188">
        <f>opex_orig!$AL20</f>
        <v>6.0452200706155197E-6</v>
      </c>
      <c r="AQ20" s="188">
        <f>opex_orig!$AL20</f>
        <v>6.0452200706155197E-6</v>
      </c>
      <c r="AR20" s="188">
        <f>opex_orig!$AL20</f>
        <v>6.0452200706155197E-6</v>
      </c>
      <c r="AS20" s="188">
        <f>opex_orig!$AM20</f>
        <v>6.6625534867270503E-6</v>
      </c>
      <c r="AT20" s="188">
        <f>opex_orig!AN20</f>
        <v>1.06E-5</v>
      </c>
      <c r="AU20" s="188">
        <f>opex_orig!$AO20</f>
        <v>1.7166881729968899E-6</v>
      </c>
      <c r="AV20" s="188">
        <f>opex_orig!$AO20</f>
        <v>1.7166881729968899E-6</v>
      </c>
      <c r="AW20" s="188">
        <f>opex_orig!$AO20</f>
        <v>1.7166881729968899E-6</v>
      </c>
      <c r="AX20" s="188">
        <f>opex_orig!$AP20</f>
        <v>2.69388690246048E-6</v>
      </c>
      <c r="AY20" s="188">
        <f>opex_orig!AQ20</f>
        <v>3.6899999999999998E-6</v>
      </c>
      <c r="AZ20" s="188">
        <f>opex_orig!AR20</f>
        <v>0</v>
      </c>
      <c r="BA20" s="188">
        <f>opex_orig!AS20</f>
        <v>3.2600000000000001E-6</v>
      </c>
      <c r="BB20" s="188">
        <f>opex_orig!AT20</f>
        <v>2.6400000000000001E-6</v>
      </c>
      <c r="BC20" s="188">
        <f>opex_orig!AU20</f>
        <v>1.4500000000000001E-6</v>
      </c>
      <c r="BD20" s="188">
        <f>opex_orig!AV20</f>
        <v>1.39E-6</v>
      </c>
      <c r="BE20" s="188">
        <f>opex_orig!AW20</f>
        <v>2.2199999999999999E-6</v>
      </c>
      <c r="BF20" s="188">
        <f>opex_orig!AX20</f>
        <v>0</v>
      </c>
      <c r="BG20" s="188">
        <f>opex_orig!AY20</f>
        <v>6.9399999999999996E-6</v>
      </c>
      <c r="BH20" s="188">
        <f>opex_orig!AZ20</f>
        <v>0</v>
      </c>
      <c r="BI20" s="188">
        <f>opex_orig!BA20</f>
        <v>1.9599999999999999E-6</v>
      </c>
      <c r="BJ20" s="188">
        <f>opex_orig!BB20</f>
        <v>5.4299999999999997E-6</v>
      </c>
      <c r="BK20" s="188">
        <f>opex_orig!BC20</f>
        <v>6.1800000000000001E-6</v>
      </c>
      <c r="BL20" s="188">
        <f>opex_orig!BD20</f>
        <v>4.0300000000000004E-6</v>
      </c>
      <c r="BM20" s="188">
        <f>opex_orig!BE20</f>
        <v>2.87E-5</v>
      </c>
      <c r="BN20" s="188">
        <f>opex_orig!BF20</f>
        <v>2.65E-6</v>
      </c>
      <c r="BO20" s="188">
        <f>opex_orig!BG20</f>
        <v>9.8400000000000007E-6</v>
      </c>
      <c r="BP20" s="188">
        <f>opex_orig!$BH20</f>
        <v>4.8903273210541702E-6</v>
      </c>
      <c r="BQ20" s="188">
        <f>opex_orig!$BH20</f>
        <v>4.8903273210541702E-6</v>
      </c>
      <c r="BR20" s="188">
        <f>opex_orig!BI20</f>
        <v>5.93E-6</v>
      </c>
      <c r="BS20" s="188">
        <f>opex_orig!BJ20</f>
        <v>7.4399999999999999E-6</v>
      </c>
      <c r="BT20" s="188">
        <f>opex_orig!BK20</f>
        <v>1.88E-5</v>
      </c>
      <c r="BU20" s="188">
        <f>opex_orig!BL20</f>
        <v>0</v>
      </c>
      <c r="BV20" s="27">
        <f>opex_orig!BM20</f>
        <v>9.4746081205695794E-6</v>
      </c>
      <c r="BW20" s="27">
        <f>opex_orig!BN20</f>
        <v>1.9972045732100901E-5</v>
      </c>
      <c r="BX20" s="27">
        <f>opex_orig!BO20</f>
        <v>3.85771627470666E-6</v>
      </c>
      <c r="BY20" s="27">
        <f>opex_orig!BP20</f>
        <v>3.8128463710641402E-6</v>
      </c>
      <c r="BZ20" s="27">
        <f>opex_orig!BQ20</f>
        <v>3.9714738943353602E-6</v>
      </c>
      <c r="CA20" s="27">
        <f>opex_orig!BR20</f>
        <v>2.24226677237464E-8</v>
      </c>
      <c r="CB20" s="27">
        <f>opex_orig!BS20</f>
        <v>1.5027876289866099E-5</v>
      </c>
      <c r="CC20" s="27">
        <f>opex_orig!BT20</f>
        <v>1.06320272710343E-5</v>
      </c>
      <c r="CD20" s="27">
        <f>opex_orig!BU20</f>
        <v>2.8366259606008799E-6</v>
      </c>
      <c r="CE20" s="27">
        <f>opex_orig!BV20</f>
        <v>2.8366259606008799E-6</v>
      </c>
      <c r="CF20" s="27">
        <f>opex_orig!BW20</f>
        <v>1.9754376532101099E-7</v>
      </c>
      <c r="CG20" s="27">
        <f>opex_orig!BX20</f>
        <v>9.6151655691459309E-7</v>
      </c>
      <c r="CH20" s="27">
        <f>opex_orig!BY20</f>
        <v>1.5034340374470801E-6</v>
      </c>
      <c r="CI20" s="27">
        <f>opex_orig!BZ20</f>
        <v>8.5799999999999992E-6</v>
      </c>
      <c r="CJ20" s="27">
        <f>opex_orig!CA20</f>
        <v>6.3799999999999999E-6</v>
      </c>
      <c r="CK20" s="27">
        <f>opex_orig!CB20</f>
        <v>6.63E-6</v>
      </c>
      <c r="CL20" s="27">
        <f>opex_orig!CC20</f>
        <v>6.3500000000000002E-6</v>
      </c>
      <c r="CM20" s="27">
        <f>opex_orig!CD20</f>
        <v>2.5999999999999998E-5</v>
      </c>
      <c r="CN20" s="27">
        <f>opex_orig!CE20</f>
        <v>1.9000000000000001E-5</v>
      </c>
      <c r="CO20" s="27">
        <f>opex_orig!CF20</f>
        <v>2.0599999999999999E-5</v>
      </c>
      <c r="CP20" s="27">
        <f>opex_orig!CG20</f>
        <v>4.3800000000000004E-6</v>
      </c>
    </row>
    <row r="21" spans="1:94" x14ac:dyDescent="0.25">
      <c r="A21" s="5" t="s">
        <v>61</v>
      </c>
      <c r="B21" s="2" t="s">
        <v>60</v>
      </c>
      <c r="C21" s="1" t="s">
        <v>326</v>
      </c>
      <c r="D21" s="188">
        <f>opex_orig!D21</f>
        <v>1.11265E-4</v>
      </c>
      <c r="E21" s="188">
        <f>opex_orig!E21</f>
        <v>1.98865E-4</v>
      </c>
      <c r="F21" s="188">
        <f>opex_orig!F21</f>
        <v>1.8306600000000001E-4</v>
      </c>
      <c r="G21" s="188">
        <f>opex_orig!G21</f>
        <v>4.6E-5</v>
      </c>
      <c r="H21" s="188">
        <f>opex_orig!H21</f>
        <v>1.3786899999999999E-4</v>
      </c>
      <c r="I21" s="188">
        <f>opex_orig!I21</f>
        <v>5.0590900000000002E-4</v>
      </c>
      <c r="J21" s="188">
        <f>opex_orig!J21</f>
        <v>2.6846919999999998E-3</v>
      </c>
      <c r="K21" s="188">
        <f>opex_orig!K21</f>
        <v>1.0641099999999999E-4</v>
      </c>
      <c r="L21" s="188">
        <f>opex_orig!L21</f>
        <v>4.4276299999999999E-4</v>
      </c>
      <c r="M21" s="188">
        <f>opex_orig!M21</f>
        <v>9.7793899999999994E-4</v>
      </c>
      <c r="N21" s="188">
        <f>opex_orig!N21</f>
        <v>1.1900089999999999E-3</v>
      </c>
      <c r="O21" s="188">
        <f>opex_orig!O21</f>
        <v>1.1699849999999999E-3</v>
      </c>
      <c r="P21" s="188">
        <f>opex_orig!P21</f>
        <v>1.4826590000000001E-3</v>
      </c>
      <c r="Q21" s="188">
        <f>opex_orig!Q21</f>
        <v>1.1966380000000001E-3</v>
      </c>
      <c r="R21" s="188">
        <f>opex_orig!R21</f>
        <v>2.4142599999999999E-4</v>
      </c>
      <c r="S21" s="188">
        <f>opex_orig!S21</f>
        <v>7.5180199999999998E-4</v>
      </c>
      <c r="T21" s="188">
        <f>opex_orig!T21</f>
        <v>1.0777670000000001E-3</v>
      </c>
      <c r="U21" s="188">
        <f>opex_orig!U21</f>
        <v>8.5248019999999997E-3</v>
      </c>
      <c r="V21" s="188">
        <f>opex_orig!V21</f>
        <v>1.521746E-3</v>
      </c>
      <c r="W21" s="188">
        <f>opex_orig!W21</f>
        <v>1.1230649999999999E-3</v>
      </c>
      <c r="X21" s="188">
        <f>opex_orig!X21</f>
        <v>3.43197E-4</v>
      </c>
      <c r="Y21" s="188">
        <f>opex_orig!Y21</f>
        <v>0.74952171099999998</v>
      </c>
      <c r="Z21" s="188">
        <f>opex_orig!Z21</f>
        <v>4.6142379999999997E-3</v>
      </c>
      <c r="AA21" s="188">
        <f>opex_orig!AA21</f>
        <v>4.1452600000000002E-4</v>
      </c>
      <c r="AB21" s="272">
        <f>opex_concordance!M189</f>
        <v>1.89845054350701E-2</v>
      </c>
      <c r="AC21" s="272">
        <f>opex_concordance!M234</f>
        <v>1.5079009570138094E-2</v>
      </c>
      <c r="AD21" s="272">
        <f>opex_concordance!M279</f>
        <v>0</v>
      </c>
      <c r="AE21" s="188">
        <f>opex_orig!$AC21</f>
        <v>3.6500668637103502E-3</v>
      </c>
      <c r="AF21" s="272">
        <f>opex_concordance!$M$311</f>
        <v>1.5464210803373898E-2</v>
      </c>
      <c r="AG21" s="272">
        <f>opex_concordance!$M$347</f>
        <v>0</v>
      </c>
      <c r="AH21" s="272">
        <f>opex_concordance!$M$383</f>
        <v>0</v>
      </c>
      <c r="AI21" s="188">
        <f>opex_orig!AE21</f>
        <v>1.2895808E-2</v>
      </c>
      <c r="AJ21" s="188">
        <f>opex_orig!AF21</f>
        <v>1.4097790000000001E-2</v>
      </c>
      <c r="AK21" s="188">
        <f>opex_orig!AG21</f>
        <v>4.3518499999999999E-4</v>
      </c>
      <c r="AL21" s="188">
        <f>opex_orig!AH21</f>
        <v>2.81823E-4</v>
      </c>
      <c r="AM21" s="188">
        <f>opex_orig!AI21</f>
        <v>6.0976599999999998E-4</v>
      </c>
      <c r="AN21" s="188">
        <f>opex_orig!AJ21</f>
        <v>2.72637E-4</v>
      </c>
      <c r="AO21" s="188">
        <f>opex_orig!AK21</f>
        <v>2.5366659999999999E-3</v>
      </c>
      <c r="AP21" s="272">
        <f>opex_concordance!M421</f>
        <v>9.28829150639718E-3</v>
      </c>
      <c r="AQ21" s="272">
        <f>opex_concordance!M475</f>
        <v>6.1751068755063901E-3</v>
      </c>
      <c r="AR21" s="272">
        <f>opex_concordance!M529</f>
        <v>0</v>
      </c>
      <c r="AS21" s="188">
        <f>opex_orig!$AM21</f>
        <v>7.8601087448428395E-3</v>
      </c>
      <c r="AT21" s="188">
        <f>opex_orig!AN21</f>
        <v>5.2291660000000004E-3</v>
      </c>
      <c r="AU21" s="272">
        <f>opex_concordance!M595</f>
        <v>0.14362150773701499</v>
      </c>
      <c r="AV21" s="272">
        <f>opex_concordance!M641</f>
        <v>0</v>
      </c>
      <c r="AW21" s="272">
        <f>opex_concordance!M687</f>
        <v>5.4698485635967617E-2</v>
      </c>
      <c r="AX21" s="188">
        <f>opex_orig!$AP21</f>
        <v>2.32954737541964E-2</v>
      </c>
      <c r="AY21" s="188">
        <f>opex_orig!AQ21</f>
        <v>5.8274995000000003E-2</v>
      </c>
      <c r="AZ21" s="188">
        <f>opex_orig!AR21</f>
        <v>0</v>
      </c>
      <c r="BA21" s="188">
        <f>opex_orig!AS21</f>
        <v>4.1237013000000003E-2</v>
      </c>
      <c r="BB21" s="188">
        <f>opex_orig!AT21</f>
        <v>3.0875217999999999E-2</v>
      </c>
      <c r="BC21" s="188">
        <f>opex_orig!AU21</f>
        <v>1.3601600000000001E-4</v>
      </c>
      <c r="BD21" s="188">
        <f>opex_orig!AV21</f>
        <v>6.2299999999999996E-5</v>
      </c>
      <c r="BE21" s="188">
        <f>opex_orig!AW21</f>
        <v>3.3230331000000002E-2</v>
      </c>
      <c r="BF21" s="188">
        <f>opex_orig!AX21</f>
        <v>0</v>
      </c>
      <c r="BG21" s="188">
        <f>opex_orig!AY21</f>
        <v>1.6968438999999998E-2</v>
      </c>
      <c r="BH21" s="188">
        <f>opex_orig!AZ21</f>
        <v>0</v>
      </c>
      <c r="BI21" s="188">
        <f>opex_orig!BA21</f>
        <v>1.6326762000000002E-2</v>
      </c>
      <c r="BJ21" s="188">
        <f>opex_orig!BB21</f>
        <v>3.6836399999999999E-4</v>
      </c>
      <c r="BK21" s="188">
        <f>opex_orig!BC21</f>
        <v>6.7534300000000002E-4</v>
      </c>
      <c r="BL21" s="188">
        <f>opex_orig!BD21</f>
        <v>7.2999999999999999E-5</v>
      </c>
      <c r="BM21" s="188">
        <f>opex_orig!BE21</f>
        <v>4.9372299999999995E-4</v>
      </c>
      <c r="BN21" s="188">
        <f>opex_orig!BF21</f>
        <v>1.2435300000000001E-4</v>
      </c>
      <c r="BO21" s="188">
        <f>opex_orig!BG21</f>
        <v>1.1078240000000001E-3</v>
      </c>
      <c r="BP21" s="188">
        <f>opex_orig!$BH21</f>
        <v>5.2455349802427501E-4</v>
      </c>
      <c r="BQ21" s="188">
        <f>opex_orig!$BH21</f>
        <v>5.2455349802427501E-4</v>
      </c>
      <c r="BR21" s="188">
        <f>opex_orig!BI21</f>
        <v>3.0427900000000002E-4</v>
      </c>
      <c r="BS21" s="188">
        <f>opex_orig!BJ21</f>
        <v>1.5199689999999999E-3</v>
      </c>
      <c r="BT21" s="188">
        <f>opex_orig!BK21</f>
        <v>1.9796500000000001E-4</v>
      </c>
      <c r="BU21" s="188">
        <f>opex_orig!BL21</f>
        <v>0</v>
      </c>
      <c r="BV21" s="27">
        <f>opex_orig!BM21</f>
        <v>0.29194198068030602</v>
      </c>
      <c r="BW21" s="27">
        <f>opex_orig!BN21</f>
        <v>5.8680678078267701E-3</v>
      </c>
      <c r="BX21" s="27">
        <f>opex_orig!BO21</f>
        <v>1.25989973558254E-4</v>
      </c>
      <c r="BY21" s="27">
        <f>opex_orig!BP21</f>
        <v>1.65596604292033E-4</v>
      </c>
      <c r="BZ21" s="27">
        <f>opex_orig!BQ21</f>
        <v>1.9319724742737599E-4</v>
      </c>
      <c r="CA21" s="27">
        <f>opex_orig!BR21</f>
        <v>8.6425054310028602E-5</v>
      </c>
      <c r="CB21" s="27">
        <f>opex_orig!BS21</f>
        <v>3.2388546617861699E-3</v>
      </c>
      <c r="CC21" s="27">
        <f>opex_orig!BT21</f>
        <v>3.1673056224531301E-4</v>
      </c>
      <c r="CD21" s="27">
        <f>opex_orig!BU21</f>
        <v>1.1182378651294299E-4</v>
      </c>
      <c r="CE21" s="27">
        <f>opex_orig!BV21</f>
        <v>1.1182378651294299E-4</v>
      </c>
      <c r="CF21" s="27">
        <f>opex_orig!BW21</f>
        <v>3.55016962824601E-6</v>
      </c>
      <c r="CG21" s="27">
        <f>opex_orig!BX21</f>
        <v>6.9320112861441103E-6</v>
      </c>
      <c r="CH21" s="27">
        <f>opex_orig!BY21</f>
        <v>1.32293776707256E-5</v>
      </c>
      <c r="CI21" s="27">
        <f>opex_orig!BZ21</f>
        <v>1.060929E-3</v>
      </c>
      <c r="CJ21" s="27">
        <f>opex_orig!CA21</f>
        <v>3.5234469999999999E-3</v>
      </c>
      <c r="CK21" s="27">
        <f>opex_orig!CB21</f>
        <v>3.021063E-3</v>
      </c>
      <c r="CL21" s="27">
        <f>opex_orig!CC21</f>
        <v>1.3415725E-2</v>
      </c>
      <c r="CM21" s="27">
        <f>opex_orig!CD21</f>
        <v>6.8480889999999999E-3</v>
      </c>
      <c r="CN21" s="27">
        <f>opex_orig!CE21</f>
        <v>6.2275099999999995E-4</v>
      </c>
      <c r="CO21" s="27">
        <f>opex_orig!CF21</f>
        <v>3.4112299999999998E-4</v>
      </c>
      <c r="CP21" s="27">
        <f>opex_orig!CG21</f>
        <v>2.9012999999999999E-4</v>
      </c>
    </row>
    <row r="22" spans="1:94" x14ac:dyDescent="0.25">
      <c r="A22" s="5" t="s">
        <v>63</v>
      </c>
      <c r="B22" s="2" t="s">
        <v>62</v>
      </c>
      <c r="C22" s="1" t="s">
        <v>326</v>
      </c>
      <c r="D22" s="188">
        <f>opex_orig!D22</f>
        <v>5.2200000000000002E-5</v>
      </c>
      <c r="E22" s="188">
        <f>opex_orig!E22</f>
        <v>7.0299999999999996E-6</v>
      </c>
      <c r="F22" s="188">
        <f>opex_orig!F22</f>
        <v>1.03E-5</v>
      </c>
      <c r="G22" s="188">
        <f>opex_orig!G22</f>
        <v>1.28E-6</v>
      </c>
      <c r="H22" s="188">
        <f>opex_orig!H22</f>
        <v>2.2800000000000002E-6</v>
      </c>
      <c r="I22" s="188">
        <f>opex_orig!I22</f>
        <v>8.1999999999999994E-6</v>
      </c>
      <c r="J22" s="188">
        <f>opex_orig!J22</f>
        <v>3.1000000000000001E-5</v>
      </c>
      <c r="K22" s="188">
        <f>opex_orig!K22</f>
        <v>2.92E-6</v>
      </c>
      <c r="L22" s="188">
        <f>opex_orig!L22</f>
        <v>1.33E-5</v>
      </c>
      <c r="M22" s="188">
        <f>opex_orig!M22</f>
        <v>1.6699999999999999E-5</v>
      </c>
      <c r="N22" s="188">
        <f>opex_orig!N22</f>
        <v>1.8E-5</v>
      </c>
      <c r="O22" s="188">
        <f>opex_orig!O22</f>
        <v>2.27E-5</v>
      </c>
      <c r="P22" s="188">
        <f>opex_orig!P22</f>
        <v>2.4199999999999999E-5</v>
      </c>
      <c r="Q22" s="188">
        <f>opex_orig!Q22</f>
        <v>9.0810499999999998E-4</v>
      </c>
      <c r="R22" s="188">
        <f>opex_orig!R22</f>
        <v>1.3499999999999999E-5</v>
      </c>
      <c r="S22" s="188">
        <f>opex_orig!S22</f>
        <v>3.65E-5</v>
      </c>
      <c r="T22" s="188">
        <f>opex_orig!T22</f>
        <v>1.6799999999999998E-5</v>
      </c>
      <c r="U22" s="188">
        <f>opex_orig!U22</f>
        <v>1.3900000000000001E-5</v>
      </c>
      <c r="V22" s="188">
        <f>opex_orig!V22</f>
        <v>1.77E-5</v>
      </c>
      <c r="W22" s="188">
        <f>opex_orig!W22</f>
        <v>1.4399999999999999E-5</v>
      </c>
      <c r="X22" s="188">
        <f>opex_orig!X22</f>
        <v>9.8400000000000007E-6</v>
      </c>
      <c r="Y22" s="188">
        <f>opex_orig!Y22</f>
        <v>4.0899999999999998E-6</v>
      </c>
      <c r="Z22" s="188">
        <f>opex_orig!Z22</f>
        <v>0.226576469</v>
      </c>
      <c r="AA22" s="188">
        <f>opex_orig!AA22</f>
        <v>1.4100000000000001E-5</v>
      </c>
      <c r="AB22" s="188">
        <f>opex_orig!$AB22</f>
        <v>4.37093967398956E-5</v>
      </c>
      <c r="AC22" s="188">
        <f>opex_orig!$AB22</f>
        <v>4.37093967398956E-5</v>
      </c>
      <c r="AD22" s="188">
        <f>opex_orig!$AB22</f>
        <v>4.37093967398956E-5</v>
      </c>
      <c r="AE22" s="188">
        <f>opex_orig!$AC22</f>
        <v>1.9715214114265499E-5</v>
      </c>
      <c r="AF22" s="188">
        <f>opex_orig!$AD22</f>
        <v>3.4479180013033301E-5</v>
      </c>
      <c r="AG22" s="188">
        <f>opex_orig!$AD22</f>
        <v>3.4479180013033301E-5</v>
      </c>
      <c r="AH22" s="188">
        <f>opex_orig!$AD22</f>
        <v>3.4479180013033301E-5</v>
      </c>
      <c r="AI22" s="188">
        <f>opex_orig!AE22</f>
        <v>3.7499999999999997E-5</v>
      </c>
      <c r="AJ22" s="188">
        <f>opex_orig!AF22</f>
        <v>5.2165499999999999E-4</v>
      </c>
      <c r="AK22" s="188">
        <f>opex_orig!AG22</f>
        <v>1.3742E-4</v>
      </c>
      <c r="AL22" s="188">
        <f>opex_orig!AH22</f>
        <v>3.68E-5</v>
      </c>
      <c r="AM22" s="188">
        <f>opex_orig!AI22</f>
        <v>6.2600000000000004E-5</v>
      </c>
      <c r="AN22" s="188">
        <f>opex_orig!AJ22</f>
        <v>4.9200000000000003E-5</v>
      </c>
      <c r="AO22" s="188">
        <f>opex_orig!AK22</f>
        <v>3.29E-5</v>
      </c>
      <c r="AP22" s="348">
        <f>opex_concordance!M422</f>
        <v>3.88904385596317E-5</v>
      </c>
      <c r="AQ22" s="348">
        <f>opex_concordance!M476</f>
        <v>2.5855413169971983E-5</v>
      </c>
      <c r="AR22" s="348">
        <f>opex_concordance!M530</f>
        <v>0</v>
      </c>
      <c r="AS22" s="188">
        <f>opex_orig!$AM22</f>
        <v>3.5689665029099298E-5</v>
      </c>
      <c r="AT22" s="188">
        <f>opex_orig!AN22</f>
        <v>5.5399999999999998E-5</v>
      </c>
      <c r="AU22" s="188">
        <f>opex_orig!$AO22</f>
        <v>1.9161459907773901E-5</v>
      </c>
      <c r="AV22" s="188">
        <f>opex_orig!$AO22</f>
        <v>1.9161459907773901E-5</v>
      </c>
      <c r="AW22" s="188">
        <f>opex_orig!$AO22</f>
        <v>1.9161459907773901E-5</v>
      </c>
      <c r="AX22" s="188">
        <f>opex_orig!$AP22</f>
        <v>1.66710746731291E-5</v>
      </c>
      <c r="AY22" s="188">
        <f>opex_orig!AQ22</f>
        <v>2.3099999999999999E-5</v>
      </c>
      <c r="AZ22" s="188">
        <f>opex_orig!AR22</f>
        <v>0</v>
      </c>
      <c r="BA22" s="188">
        <f>opex_orig!AS22</f>
        <v>4.46E-5</v>
      </c>
      <c r="BB22" s="188">
        <f>opex_orig!AT22</f>
        <v>4.0399999999999999E-5</v>
      </c>
      <c r="BC22" s="188">
        <f>opex_orig!AU22</f>
        <v>1.2300000000000001E-5</v>
      </c>
      <c r="BD22" s="188">
        <f>opex_orig!AV22</f>
        <v>1.1800000000000001E-5</v>
      </c>
      <c r="BE22" s="188">
        <f>opex_orig!AW22</f>
        <v>1.1600000000000001E-5</v>
      </c>
      <c r="BF22" s="188">
        <f>opex_orig!AX22</f>
        <v>0</v>
      </c>
      <c r="BG22" s="188">
        <f>opex_orig!AY22</f>
        <v>1.4800000000000001E-5</v>
      </c>
      <c r="BH22" s="188">
        <f>opex_orig!AZ22</f>
        <v>0</v>
      </c>
      <c r="BI22" s="188">
        <f>opex_orig!BA22</f>
        <v>2.3799999999999999E-5</v>
      </c>
      <c r="BJ22" s="188">
        <f>opex_orig!BB22</f>
        <v>3.26E-5</v>
      </c>
      <c r="BK22" s="188">
        <f>opex_orig!BC22</f>
        <v>4.07E-5</v>
      </c>
      <c r="BL22" s="188">
        <f>opex_orig!BD22</f>
        <v>3.7299999999999999E-5</v>
      </c>
      <c r="BM22" s="188">
        <f>opex_orig!BE22</f>
        <v>5.5300000000000002E-5</v>
      </c>
      <c r="BN22" s="188">
        <f>opex_orig!BF22</f>
        <v>2.6599999999999999E-5</v>
      </c>
      <c r="BO22" s="188">
        <f>opex_orig!BG22</f>
        <v>7.8499999999999997E-5</v>
      </c>
      <c r="BP22" s="188">
        <f>opex_orig!$BH22</f>
        <v>2.3390310783438801E-5</v>
      </c>
      <c r="BQ22" s="188">
        <f>opex_orig!$BH22</f>
        <v>2.3390310783438801E-5</v>
      </c>
      <c r="BR22" s="188">
        <f>opex_orig!BI22</f>
        <v>7.0300000000000001E-5</v>
      </c>
      <c r="BS22" s="188">
        <f>opex_orig!BJ22</f>
        <v>1.702985E-3</v>
      </c>
      <c r="BT22" s="188">
        <f>opex_orig!BK22</f>
        <v>8.3399999999999998E-6</v>
      </c>
      <c r="BU22" s="188">
        <f>opex_orig!BL22</f>
        <v>0</v>
      </c>
      <c r="BV22" s="27">
        <f>opex_orig!BM22</f>
        <v>4.1349560849230603E-5</v>
      </c>
      <c r="BW22" s="27">
        <f>opex_orig!BN22</f>
        <v>5.3760654252330501E-5</v>
      </c>
      <c r="BX22" s="27">
        <f>opex_orig!BO22</f>
        <v>2.4892221796272702E-5</v>
      </c>
      <c r="BY22" s="27">
        <f>opex_orig!BP22</f>
        <v>1.1117066608954801E-5</v>
      </c>
      <c r="BZ22" s="27">
        <f>opex_orig!BQ22</f>
        <v>9.0403126082155297E-6</v>
      </c>
      <c r="CA22" s="27">
        <f>opex_orig!BR22</f>
        <v>1.4618620674975899E-5</v>
      </c>
      <c r="CB22" s="27">
        <f>opex_orig!BS22</f>
        <v>3.8759686665575602E-5</v>
      </c>
      <c r="CC22" s="27">
        <f>opex_orig!BT22</f>
        <v>3.63307388147685E-4</v>
      </c>
      <c r="CD22" s="27">
        <f>opex_orig!BU22</f>
        <v>1.07917541842892E-5</v>
      </c>
      <c r="CE22" s="27">
        <f>opex_orig!BV22</f>
        <v>1.07917541842892E-5</v>
      </c>
      <c r="CF22" s="27">
        <f>opex_orig!BW22</f>
        <v>1.07147097561042E-4</v>
      </c>
      <c r="CG22" s="27">
        <f>opex_orig!BX22</f>
        <v>4.0542645059232103E-5</v>
      </c>
      <c r="CH22" s="27">
        <f>opex_orig!BY22</f>
        <v>5.1891912757954697E-5</v>
      </c>
      <c r="CI22" s="27">
        <f>opex_orig!BZ22</f>
        <v>2.0100000000000001E-5</v>
      </c>
      <c r="CJ22" s="27">
        <f>opex_orig!CA22</f>
        <v>1.84E-5</v>
      </c>
      <c r="CK22" s="27">
        <f>opex_orig!CB22</f>
        <v>2.0299999999999999E-5</v>
      </c>
      <c r="CL22" s="27">
        <f>opex_orig!CC22</f>
        <v>1.7499999999999998E-5</v>
      </c>
      <c r="CM22" s="27">
        <f>opex_orig!CD22</f>
        <v>3.2140399E-2</v>
      </c>
      <c r="CN22" s="27">
        <f>opex_orig!CE22</f>
        <v>6.2000000000000003E-5</v>
      </c>
      <c r="CO22" s="27">
        <f>opex_orig!CF22</f>
        <v>4.5200000000000001E-5</v>
      </c>
      <c r="CP22" s="27">
        <f>opex_orig!CG22</f>
        <v>8.4700000000000002E-6</v>
      </c>
    </row>
    <row r="23" spans="1:94" x14ac:dyDescent="0.25">
      <c r="A23" s="5" t="s">
        <v>65</v>
      </c>
      <c r="B23" s="2" t="s">
        <v>64</v>
      </c>
      <c r="C23" s="1" t="s">
        <v>326</v>
      </c>
      <c r="D23" s="188">
        <f>opex_orig!D23</f>
        <v>1.0719500000000001E-4</v>
      </c>
      <c r="E23" s="188">
        <f>opex_orig!E23</f>
        <v>1.8899999999999999E-5</v>
      </c>
      <c r="F23" s="188">
        <f>opex_orig!F23</f>
        <v>2.3900000000000002E-5</v>
      </c>
      <c r="G23" s="188">
        <f>opex_orig!G23</f>
        <v>4.0600000000000001E-6</v>
      </c>
      <c r="H23" s="188">
        <f>opex_orig!H23</f>
        <v>6.3799999999999999E-6</v>
      </c>
      <c r="I23" s="188">
        <f>opex_orig!I23</f>
        <v>3.01E-5</v>
      </c>
      <c r="J23" s="188">
        <f>opex_orig!J23</f>
        <v>7.9900000000000004E-5</v>
      </c>
      <c r="K23" s="188">
        <f>opex_orig!K23</f>
        <v>9.9000000000000001E-6</v>
      </c>
      <c r="L23" s="188">
        <f>opex_orig!L23</f>
        <v>3.5200000000000002E-5</v>
      </c>
      <c r="M23" s="188">
        <f>opex_orig!M23</f>
        <v>4.6E-5</v>
      </c>
      <c r="N23" s="188">
        <f>opex_orig!N23</f>
        <v>4.6100000000000002E-5</v>
      </c>
      <c r="O23" s="188">
        <f>opex_orig!O23</f>
        <v>4.6199999999999998E-5</v>
      </c>
      <c r="P23" s="188">
        <f>opex_orig!P23</f>
        <v>1.8848399999999999E-4</v>
      </c>
      <c r="Q23" s="188">
        <f>opex_orig!Q23</f>
        <v>1.5505298000000001E-2</v>
      </c>
      <c r="R23" s="188">
        <f>opex_orig!R23</f>
        <v>3.5299999999999997E-5</v>
      </c>
      <c r="S23" s="188">
        <f>opex_orig!S23</f>
        <v>4.8155700000000002E-4</v>
      </c>
      <c r="T23" s="188">
        <f>opex_orig!T23</f>
        <v>1.2613899999999999E-4</v>
      </c>
      <c r="U23" s="188">
        <f>opex_orig!U23</f>
        <v>8.1799999999999996E-5</v>
      </c>
      <c r="V23" s="188">
        <f>opex_orig!V23</f>
        <v>8.8399999999999994E-5</v>
      </c>
      <c r="W23" s="188">
        <f>opex_orig!W23</f>
        <v>4.2700000000000001E-5</v>
      </c>
      <c r="X23" s="188">
        <f>opex_orig!X23</f>
        <v>2.19E-5</v>
      </c>
      <c r="Y23" s="188">
        <f>opex_orig!Y23</f>
        <v>1.6399999999999999E-5</v>
      </c>
      <c r="Z23" s="188">
        <f>opex_orig!Z23</f>
        <v>9.5199999999999997E-5</v>
      </c>
      <c r="AA23" s="188">
        <f>opex_orig!AA23</f>
        <v>5.52E-5</v>
      </c>
      <c r="AB23" s="188">
        <f>opex_orig!$AB23</f>
        <v>1.23299211956506E-4</v>
      </c>
      <c r="AC23" s="188">
        <f>opex_orig!$AB23</f>
        <v>1.23299211956506E-4</v>
      </c>
      <c r="AD23" s="188">
        <f>opex_orig!$AB23</f>
        <v>1.23299211956506E-4</v>
      </c>
      <c r="AE23" s="188">
        <f>opex_orig!$AC23</f>
        <v>5.4895872104014698E-5</v>
      </c>
      <c r="AF23" s="293">
        <f>opex_concordance!$M$312</f>
        <v>5.7937683640318899E-5</v>
      </c>
      <c r="AG23" s="293">
        <f>opex_concordance!$M$348</f>
        <v>0</v>
      </c>
      <c r="AH23" s="293">
        <f>opex_concordance!$M$384</f>
        <v>0</v>
      </c>
      <c r="AI23" s="188">
        <f>opex_orig!AE23</f>
        <v>5.9299999999999998E-5</v>
      </c>
      <c r="AJ23" s="188">
        <f>opex_orig!AF23</f>
        <v>1.1987160000000001E-3</v>
      </c>
      <c r="AK23" s="188">
        <f>opex_orig!AG23</f>
        <v>3.0606999999999997E-4</v>
      </c>
      <c r="AL23" s="188">
        <f>opex_orig!AH23</f>
        <v>6.4900000000000005E-5</v>
      </c>
      <c r="AM23" s="188">
        <f>opex_orig!AI23</f>
        <v>7.6899999999999999E-5</v>
      </c>
      <c r="AN23" s="188">
        <f>opex_orig!AJ23</f>
        <v>7.4800000000000002E-5</v>
      </c>
      <c r="AO23" s="188">
        <f>opex_orig!AK23</f>
        <v>5.2800000000000003E-5</v>
      </c>
      <c r="AP23" s="348">
        <f>opex_concordance!M423</f>
        <v>5.2649147008735097E-5</v>
      </c>
      <c r="AQ23" s="348">
        <f>opex_concordance!M477</f>
        <v>3.5002573881242747E-5</v>
      </c>
      <c r="AR23" s="348">
        <f>opex_concordance!M531</f>
        <v>0</v>
      </c>
      <c r="AS23" s="188">
        <f>opex_orig!$AM23</f>
        <v>4.9804804504434797E-5</v>
      </c>
      <c r="AT23" s="188">
        <f>opex_orig!AN23</f>
        <v>7.5599999999999994E-5</v>
      </c>
      <c r="AU23" s="188">
        <f>opex_orig!$AO23</f>
        <v>2.0532099398601499E-4</v>
      </c>
      <c r="AV23" s="188">
        <f>opex_orig!$AO23</f>
        <v>2.0532099398601499E-4</v>
      </c>
      <c r="AW23" s="188">
        <f>opex_orig!$AO23</f>
        <v>2.0532099398601499E-4</v>
      </c>
      <c r="AX23" s="188">
        <f>opex_orig!$AP23</f>
        <v>3.5250759183475501E-5</v>
      </c>
      <c r="AY23" s="188">
        <f>opex_orig!AQ23</f>
        <v>5.13E-5</v>
      </c>
      <c r="AZ23" s="188">
        <f>opex_orig!AR23</f>
        <v>0</v>
      </c>
      <c r="BA23" s="188">
        <f>opex_orig!AS23</f>
        <v>1.0453E-4</v>
      </c>
      <c r="BB23" s="188">
        <f>opex_orig!AT23</f>
        <v>9.1899999999999998E-5</v>
      </c>
      <c r="BC23" s="188">
        <f>opex_orig!AU23</f>
        <v>2.7399999999999999E-5</v>
      </c>
      <c r="BD23" s="188">
        <f>opex_orig!AV23</f>
        <v>2.5700000000000001E-5</v>
      </c>
      <c r="BE23" s="188">
        <f>opex_orig!AW23</f>
        <v>2.4199999999999999E-5</v>
      </c>
      <c r="BF23" s="188">
        <f>opex_orig!AX23</f>
        <v>0</v>
      </c>
      <c r="BG23" s="188">
        <f>opex_orig!AY23</f>
        <v>1.10171E-4</v>
      </c>
      <c r="BH23" s="188">
        <f>opex_orig!AZ23</f>
        <v>0</v>
      </c>
      <c r="BI23" s="188">
        <f>opex_orig!BA23</f>
        <v>4.3099999999999997E-5</v>
      </c>
      <c r="BJ23" s="188">
        <f>opex_orig!BB23</f>
        <v>4.5800000000000002E-5</v>
      </c>
      <c r="BK23" s="188">
        <f>opex_orig!BC23</f>
        <v>9.4699999999999998E-5</v>
      </c>
      <c r="BL23" s="188">
        <f>opex_orig!BD23</f>
        <v>1.11879E-4</v>
      </c>
      <c r="BM23" s="188">
        <f>opex_orig!BE23</f>
        <v>1.04621E-4</v>
      </c>
      <c r="BN23" s="188">
        <f>opex_orig!BF23</f>
        <v>7.9900000000000004E-5</v>
      </c>
      <c r="BO23" s="188">
        <f>opex_orig!BG23</f>
        <v>1.4765500000000001E-4</v>
      </c>
      <c r="BP23" s="188">
        <f>opex_orig!$BH23</f>
        <v>5.65782206551005E-5</v>
      </c>
      <c r="BQ23" s="188">
        <f>opex_orig!$BH23</f>
        <v>5.65782206551005E-5</v>
      </c>
      <c r="BR23" s="188">
        <f>opex_orig!BI23</f>
        <v>1.10988E-4</v>
      </c>
      <c r="BS23" s="188">
        <f>opex_orig!BJ23</f>
        <v>2.6680717E-2</v>
      </c>
      <c r="BT23" s="188">
        <f>opex_orig!BK23</f>
        <v>1.63E-5</v>
      </c>
      <c r="BU23" s="188">
        <f>opex_orig!BL23</f>
        <v>0</v>
      </c>
      <c r="BV23" s="27">
        <f>opex_orig!BM23</f>
        <v>1.0545997880040001E-4</v>
      </c>
      <c r="BW23" s="27">
        <f>opex_orig!BN23</f>
        <v>1.7219299274710999E-4</v>
      </c>
      <c r="BX23" s="27">
        <f>opex_orig!BO23</f>
        <v>3.9761454309178203E-5</v>
      </c>
      <c r="BY23" s="27">
        <f>opex_orig!BP23</f>
        <v>3.5398760556679297E-5</v>
      </c>
      <c r="BZ23" s="27">
        <f>opex_orig!BQ23</f>
        <v>3.5978476572175E-5</v>
      </c>
      <c r="CA23" s="27">
        <f>opex_orig!BR23</f>
        <v>7.0125071885459699E-5</v>
      </c>
      <c r="CB23" s="27">
        <f>opex_orig!BS23</f>
        <v>1.3738394857886E-4</v>
      </c>
      <c r="CC23" s="27">
        <f>opex_orig!BT23</f>
        <v>2.1398877427752801E-3</v>
      </c>
      <c r="CD23" s="27">
        <f>opex_orig!BU23</f>
        <v>3.0732919006324203E-5</v>
      </c>
      <c r="CE23" s="27">
        <f>opex_orig!BV23</f>
        <v>3.0732919006324203E-5</v>
      </c>
      <c r="CF23" s="27">
        <f>opex_orig!BW23</f>
        <v>2.1746832607788999E-4</v>
      </c>
      <c r="CG23" s="27">
        <f>opex_orig!BX23</f>
        <v>7.7638325067733505E-5</v>
      </c>
      <c r="CH23" s="27">
        <f>opex_orig!BY23</f>
        <v>4.1175999723422601E-5</v>
      </c>
      <c r="CI23" s="27">
        <f>opex_orig!BZ23</f>
        <v>6.3E-5</v>
      </c>
      <c r="CJ23" s="27">
        <f>opex_orig!CA23</f>
        <v>4.3099999999999997E-5</v>
      </c>
      <c r="CK23" s="27">
        <f>opex_orig!CB23</f>
        <v>4.7599999999999998E-5</v>
      </c>
      <c r="CL23" s="27">
        <f>opex_orig!CC23</f>
        <v>5.2800000000000003E-5</v>
      </c>
      <c r="CM23" s="27">
        <f>opex_orig!CD23</f>
        <v>1.96348E-4</v>
      </c>
      <c r="CN23" s="27">
        <f>opex_orig!CE23</f>
        <v>8.3399999999999994E-5</v>
      </c>
      <c r="CO23" s="27">
        <f>opex_orig!CF23</f>
        <v>8.9300000000000002E-5</v>
      </c>
      <c r="CP23" s="27">
        <f>opex_orig!CG23</f>
        <v>1.8300000000000001E-5</v>
      </c>
    </row>
    <row r="24" spans="1:94" x14ac:dyDescent="0.25">
      <c r="A24" s="5" t="s">
        <v>67</v>
      </c>
      <c r="B24" s="2" t="s">
        <v>66</v>
      </c>
      <c r="C24" s="1" t="s">
        <v>326</v>
      </c>
      <c r="D24" s="188">
        <f>opex_orig!D24</f>
        <v>2.9499999999999998E-7</v>
      </c>
      <c r="E24" s="188">
        <f>opex_orig!E24</f>
        <v>2.11E-7</v>
      </c>
      <c r="F24" s="188">
        <f>opex_orig!F24</f>
        <v>1.43E-7</v>
      </c>
      <c r="G24" s="188">
        <f>opex_orig!G24</f>
        <v>9.76E-8</v>
      </c>
      <c r="H24" s="188">
        <f>opex_orig!H24</f>
        <v>1.1300000000000001E-7</v>
      </c>
      <c r="I24" s="188">
        <f>opex_orig!I24</f>
        <v>4.82E-7</v>
      </c>
      <c r="J24" s="188">
        <f>opex_orig!J24</f>
        <v>1.02E-6</v>
      </c>
      <c r="K24" s="188">
        <f>opex_orig!K24</f>
        <v>2.8299999999999998E-7</v>
      </c>
      <c r="L24" s="188">
        <f>opex_orig!L24</f>
        <v>2.1799999999999999E-7</v>
      </c>
      <c r="M24" s="188">
        <f>opex_orig!M24</f>
        <v>4.4400000000000001E-7</v>
      </c>
      <c r="N24" s="188">
        <f>opex_orig!N24</f>
        <v>5.0299999999999999E-7</v>
      </c>
      <c r="O24" s="188">
        <f>opex_orig!O24</f>
        <v>1.72E-7</v>
      </c>
      <c r="P24" s="188">
        <f>opex_orig!P24</f>
        <v>2.6800000000000002E-7</v>
      </c>
      <c r="Q24" s="188">
        <f>opex_orig!Q24</f>
        <v>5.5500000000000001E-8</v>
      </c>
      <c r="R24" s="188">
        <f>opex_orig!R24</f>
        <v>2.0100000000000001E-7</v>
      </c>
      <c r="S24" s="188">
        <f>opex_orig!S24</f>
        <v>4.5600000000000001E-7</v>
      </c>
      <c r="T24" s="188">
        <f>opex_orig!T24</f>
        <v>6.8400000000000004E-7</v>
      </c>
      <c r="U24" s="188">
        <f>opex_orig!U24</f>
        <v>1.6300000000000001E-6</v>
      </c>
      <c r="V24" s="188">
        <f>opex_orig!V24</f>
        <v>2.3499999999999999E-6</v>
      </c>
      <c r="W24" s="188">
        <f>opex_orig!W24</f>
        <v>3.2500000000000001E-7</v>
      </c>
      <c r="X24" s="188">
        <f>opex_orig!X24</f>
        <v>1.9600000000000001E-7</v>
      </c>
      <c r="Y24" s="188">
        <f>opex_orig!Y24</f>
        <v>3.0699999999999998E-7</v>
      </c>
      <c r="Z24" s="188">
        <f>opex_orig!Z24</f>
        <v>1.2899999999999999E-6</v>
      </c>
      <c r="AA24" s="188">
        <f>opex_orig!AA24</f>
        <v>1.7400000000000001E-6</v>
      </c>
      <c r="AB24" s="188">
        <f>opex_orig!$AB24</f>
        <v>5.2362642652402097E-6</v>
      </c>
      <c r="AC24" s="188">
        <f>opex_orig!$AB24</f>
        <v>5.2362642652402097E-6</v>
      </c>
      <c r="AD24" s="188">
        <f>opex_orig!$AB24</f>
        <v>5.2362642652402097E-6</v>
      </c>
      <c r="AE24" s="188">
        <f>opex_orig!$AC24</f>
        <v>1.2213668326568499E-6</v>
      </c>
      <c r="AF24" s="188">
        <f>opex_orig!$AD24</f>
        <v>5.8375204116164799E-7</v>
      </c>
      <c r="AG24" s="188">
        <f>opex_orig!$AD24</f>
        <v>5.8375204116164799E-7</v>
      </c>
      <c r="AH24" s="188">
        <f>opex_orig!$AD24</f>
        <v>5.8375204116164799E-7</v>
      </c>
      <c r="AI24" s="188">
        <f>opex_orig!AE24</f>
        <v>5.5799999999999999E-7</v>
      </c>
      <c r="AJ24" s="188">
        <f>opex_orig!AF24</f>
        <v>4.75E-7</v>
      </c>
      <c r="AK24" s="188">
        <f>opex_orig!AG24</f>
        <v>1.2599999999999999E-7</v>
      </c>
      <c r="AL24" s="188">
        <f>opex_orig!AH24</f>
        <v>2.7500000000000001E-7</v>
      </c>
      <c r="AM24" s="188">
        <f>opex_orig!AI24</f>
        <v>5.3399999999999999E-7</v>
      </c>
      <c r="AN24" s="188">
        <f>opex_orig!AJ24</f>
        <v>4.0400000000000002E-7</v>
      </c>
      <c r="AO24" s="188">
        <f>opex_orig!AK24</f>
        <v>4.7599999999999997E-7</v>
      </c>
      <c r="AP24" s="348">
        <f>opex_concordance!M424</f>
        <v>3.27917057013687E-7</v>
      </c>
      <c r="AQ24" s="348">
        <f>opex_concordance!M478</f>
        <v>2.1800810966865138E-7</v>
      </c>
      <c r="AR24" s="348">
        <f>opex_concordance!M532</f>
        <v>0</v>
      </c>
      <c r="AS24" s="188">
        <f>opex_orig!$AM24</f>
        <v>4.3347905772532899E-7</v>
      </c>
      <c r="AT24" s="188">
        <f>opex_orig!AN24</f>
        <v>4.01E-7</v>
      </c>
      <c r="AU24" s="188">
        <f>opex_orig!$AO24</f>
        <v>1.60314168903746E-7</v>
      </c>
      <c r="AV24" s="188">
        <f>opex_orig!$AO24</f>
        <v>1.60314168903746E-7</v>
      </c>
      <c r="AW24" s="188">
        <f>opex_orig!$AO24</f>
        <v>1.60314168903746E-7</v>
      </c>
      <c r="AX24" s="188">
        <f>opex_orig!$AP24</f>
        <v>2.1244611155283699E-7</v>
      </c>
      <c r="AY24" s="188">
        <f>opex_orig!AQ24</f>
        <v>2.4600000000000001E-7</v>
      </c>
      <c r="AZ24" s="188">
        <f>opex_orig!AR24</f>
        <v>0</v>
      </c>
      <c r="BA24" s="188">
        <f>opex_orig!AS24</f>
        <v>2.2000000000000001E-7</v>
      </c>
      <c r="BB24" s="188">
        <f>opex_orig!AT24</f>
        <v>1.91E-7</v>
      </c>
      <c r="BC24" s="188">
        <f>opex_orig!AU24</f>
        <v>2.22E-7</v>
      </c>
      <c r="BD24" s="188">
        <f>opex_orig!AV24</f>
        <v>2.22E-7</v>
      </c>
      <c r="BE24" s="188">
        <f>opex_orig!AW24</f>
        <v>1.99E-7</v>
      </c>
      <c r="BF24" s="188">
        <f>opex_orig!AX24</f>
        <v>0</v>
      </c>
      <c r="BG24" s="188">
        <f>opex_orig!AY24</f>
        <v>6.7999999999999995E-7</v>
      </c>
      <c r="BH24" s="188">
        <f>opex_orig!AZ24</f>
        <v>0</v>
      </c>
      <c r="BI24" s="188">
        <f>opex_orig!BA24</f>
        <v>2.3099999999999999E-7</v>
      </c>
      <c r="BJ24" s="188">
        <f>opex_orig!BB24</f>
        <v>1.6999999999999999E-7</v>
      </c>
      <c r="BK24" s="188">
        <f>opex_orig!BC24</f>
        <v>3.2899999999999999E-7</v>
      </c>
      <c r="BL24" s="188">
        <f>opex_orig!BD24</f>
        <v>1.6999999999999999E-7</v>
      </c>
      <c r="BM24" s="188">
        <f>opex_orig!BE24</f>
        <v>4.8699999999999995E-7</v>
      </c>
      <c r="BN24" s="188">
        <f>opex_orig!BF24</f>
        <v>1.18E-7</v>
      </c>
      <c r="BO24" s="188">
        <f>opex_orig!BG24</f>
        <v>3.4299999999999999E-7</v>
      </c>
      <c r="BP24" s="188">
        <f>opex_orig!$BH24</f>
        <v>2.7362521902359301E-7</v>
      </c>
      <c r="BQ24" s="188">
        <f>opex_orig!$BH24</f>
        <v>2.7362521902359301E-7</v>
      </c>
      <c r="BR24" s="188">
        <f>opex_orig!BI24</f>
        <v>3.96E-7</v>
      </c>
      <c r="BS24" s="188">
        <f>opex_orig!BJ24</f>
        <v>1.73E-7</v>
      </c>
      <c r="BT24" s="188">
        <f>opex_orig!BK24</f>
        <v>1.48E-7</v>
      </c>
      <c r="BU24" s="188">
        <f>opex_orig!BL24</f>
        <v>0</v>
      </c>
      <c r="BV24" s="27">
        <f>opex_orig!BM24</f>
        <v>1.16240307273316E-6</v>
      </c>
      <c r="BW24" s="27">
        <f>opex_orig!BN24</f>
        <v>1.18203024059604E-6</v>
      </c>
      <c r="BX24" s="27">
        <f>opex_orig!BO24</f>
        <v>4.9844305641103203E-7</v>
      </c>
      <c r="BY24" s="27">
        <f>opex_orig!BP24</f>
        <v>7.6550058821843702E-7</v>
      </c>
      <c r="BZ24" s="27">
        <f>opex_orig!BQ24</f>
        <v>1.1910926338215999E-6</v>
      </c>
      <c r="CA24" s="27">
        <f>opex_orig!BR24</f>
        <v>4.67201823025258E-8</v>
      </c>
      <c r="CB24" s="27">
        <f>opex_orig!BS24</f>
        <v>2.1585067224318701E-6</v>
      </c>
      <c r="CC24" s="27">
        <f>opex_orig!BT24</f>
        <v>4.7587164082679898E-7</v>
      </c>
      <c r="CD24" s="27">
        <f>opex_orig!BU24</f>
        <v>6.5533633547143798E-7</v>
      </c>
      <c r="CE24" s="27">
        <f>opex_orig!BV24</f>
        <v>6.5533633547144105E-7</v>
      </c>
      <c r="CF24" s="27">
        <f>opex_orig!BW24</f>
        <v>1.00691333690043E-7</v>
      </c>
      <c r="CG24" s="27">
        <f>opex_orig!BX24</f>
        <v>1.0095853595881E-7</v>
      </c>
      <c r="CH24" s="27">
        <f>opex_orig!BY24</f>
        <v>1.6093042923231299E-7</v>
      </c>
      <c r="CI24" s="27">
        <f>opex_orig!BZ24</f>
        <v>9.7999999999999993E-7</v>
      </c>
      <c r="CJ24" s="27">
        <f>opex_orig!CA24</f>
        <v>7.2699999999999999E-7</v>
      </c>
      <c r="CK24" s="27">
        <f>opex_orig!CB24</f>
        <v>7.8400000000000003E-7</v>
      </c>
      <c r="CL24" s="27">
        <f>opex_orig!CC24</f>
        <v>4.1699999999999999E-7</v>
      </c>
      <c r="CM24" s="27">
        <f>opex_orig!CD24</f>
        <v>8.7400000000000002E-7</v>
      </c>
      <c r="CN24" s="27">
        <f>opex_orig!CE24</f>
        <v>4.6600000000000002E-7</v>
      </c>
      <c r="CO24" s="27">
        <f>opex_orig!CF24</f>
        <v>4.51E-7</v>
      </c>
      <c r="CP24" s="27">
        <f>opex_orig!CG24</f>
        <v>2.34E-7</v>
      </c>
    </row>
    <row r="25" spans="1:94" x14ac:dyDescent="0.25">
      <c r="A25" s="5" t="s">
        <v>69</v>
      </c>
      <c r="B25" s="2" t="s">
        <v>68</v>
      </c>
      <c r="C25" s="1" t="s">
        <v>326</v>
      </c>
      <c r="D25" s="188">
        <f>opex_orig!D25</f>
        <v>2.4517000000000001E-4</v>
      </c>
      <c r="E25" s="188">
        <f>opex_orig!E25</f>
        <v>7.47E-5</v>
      </c>
      <c r="F25" s="188">
        <f>opex_orig!F25</f>
        <v>4.1100000000000003E-5</v>
      </c>
      <c r="G25" s="188">
        <f>opex_orig!G25</f>
        <v>6.4200000000000004E-6</v>
      </c>
      <c r="H25" s="188">
        <f>opex_orig!H25</f>
        <v>1.33E-5</v>
      </c>
      <c r="I25" s="188">
        <f>opex_orig!I25</f>
        <v>1.68271E-4</v>
      </c>
      <c r="J25" s="188">
        <f>opex_orig!J25</f>
        <v>3.9854300000000001E-4</v>
      </c>
      <c r="K25" s="188">
        <f>opex_orig!K25</f>
        <v>1.8600000000000001E-5</v>
      </c>
      <c r="L25" s="188">
        <f>opex_orig!L25</f>
        <v>1.4455800000000001E-4</v>
      </c>
      <c r="M25" s="188">
        <f>opex_orig!M25</f>
        <v>4.2656399999999999E-4</v>
      </c>
      <c r="N25" s="188">
        <f>opex_orig!N25</f>
        <v>2.0926399999999999E-4</v>
      </c>
      <c r="O25" s="188">
        <f>opex_orig!O25</f>
        <v>2.9155799999999998E-4</v>
      </c>
      <c r="P25" s="188">
        <f>opex_orig!P25</f>
        <v>3.1367400000000001E-4</v>
      </c>
      <c r="Q25" s="188">
        <f>opex_orig!Q25</f>
        <v>1.9826800000000001E-4</v>
      </c>
      <c r="R25" s="188">
        <f>opex_orig!R25</f>
        <v>3.9100000000000002E-5</v>
      </c>
      <c r="S25" s="188">
        <f>opex_orig!S25</f>
        <v>1.33938E-4</v>
      </c>
      <c r="T25" s="188">
        <f>opex_orig!T25</f>
        <v>1.66212E-4</v>
      </c>
      <c r="U25" s="188">
        <f>opex_orig!U25</f>
        <v>4.9059600000000004E-4</v>
      </c>
      <c r="V25" s="188">
        <f>opex_orig!V25</f>
        <v>3.75588E-4</v>
      </c>
      <c r="W25" s="188">
        <f>opex_orig!W25</f>
        <v>1.6208499999999999E-4</v>
      </c>
      <c r="X25" s="188">
        <f>opex_orig!X25</f>
        <v>9.5099999999999994E-5</v>
      </c>
      <c r="Y25" s="188">
        <f>opex_orig!Y25</f>
        <v>2.2097100000000001E-4</v>
      </c>
      <c r="Z25" s="188">
        <f>opex_orig!Z25</f>
        <v>4.6756400000000001E-4</v>
      </c>
      <c r="AA25" s="188">
        <f>opex_orig!AA25</f>
        <v>2.0090099999999999E-4</v>
      </c>
      <c r="AB25" s="188">
        <f>opex_orig!$AB25</f>
        <v>4.0134028601514697E-5</v>
      </c>
      <c r="AC25" s="188">
        <f>opex_orig!$AB25</f>
        <v>4.0134028601514697E-5</v>
      </c>
      <c r="AD25" s="188">
        <f>opex_orig!$AB25</f>
        <v>4.0134028601514697E-5</v>
      </c>
      <c r="AE25" s="188">
        <f>opex_orig!$AC25</f>
        <v>4.4743317631299698E-4</v>
      </c>
      <c r="AF25" s="188">
        <f>opex_orig!$AD25</f>
        <v>5.0096477416577999E-4</v>
      </c>
      <c r="AG25" s="188">
        <f>opex_orig!$AD25</f>
        <v>5.0096477416577999E-4</v>
      </c>
      <c r="AH25" s="188">
        <f>opex_orig!$AD25</f>
        <v>5.0096477416577999E-4</v>
      </c>
      <c r="AI25" s="188">
        <f>opex_orig!AE25</f>
        <v>4.8139500000000002E-4</v>
      </c>
      <c r="AJ25" s="188">
        <f>opex_orig!AF25</f>
        <v>4.6055400000000001E-4</v>
      </c>
      <c r="AK25" s="188">
        <f>opex_orig!AG25</f>
        <v>9.7E-5</v>
      </c>
      <c r="AL25" s="188">
        <f>opex_orig!AH25</f>
        <v>5.8799999999999999E-5</v>
      </c>
      <c r="AM25" s="188">
        <f>opex_orig!AI25</f>
        <v>1.2656200000000001E-4</v>
      </c>
      <c r="AN25" s="188">
        <f>opex_orig!AJ25</f>
        <v>5.13E-5</v>
      </c>
      <c r="AO25" s="188">
        <f>opex_orig!AK25</f>
        <v>9.1799999999999995E-5</v>
      </c>
      <c r="AP25" s="188">
        <f>opex_orig!$AL25</f>
        <v>1.5542377010820699E-4</v>
      </c>
      <c r="AQ25" s="188">
        <f>opex_orig!$AL25</f>
        <v>1.5542377010820699E-4</v>
      </c>
      <c r="AR25" s="188">
        <f>opex_orig!$AL25</f>
        <v>1.5542377010820699E-4</v>
      </c>
      <c r="AS25" s="188">
        <f>opex_orig!$AM25</f>
        <v>9.7343174444135806E-5</v>
      </c>
      <c r="AT25" s="188">
        <f>opex_orig!AN25</f>
        <v>2.1473099999999999E-4</v>
      </c>
      <c r="AU25" s="188">
        <f>opex_orig!$AO25</f>
        <v>1.1474294107694601E-4</v>
      </c>
      <c r="AV25" s="188">
        <f>opex_orig!$AO25</f>
        <v>1.1474294107694601E-4</v>
      </c>
      <c r="AW25" s="188">
        <f>opex_orig!$AO25</f>
        <v>1.1474294107694601E-4</v>
      </c>
      <c r="AX25" s="188">
        <f>opex_orig!$AP25</f>
        <v>2.1774112390585099E-4</v>
      </c>
      <c r="AY25" s="188">
        <f>opex_orig!AQ25</f>
        <v>1.3376999999999999E-4</v>
      </c>
      <c r="AZ25" s="188">
        <f>opex_orig!AR25</f>
        <v>0</v>
      </c>
      <c r="BA25" s="188">
        <f>opex_orig!AS25</f>
        <v>1.5182499999999999E-4</v>
      </c>
      <c r="BB25" s="188">
        <f>opex_orig!AT25</f>
        <v>4.7800000000000003E-5</v>
      </c>
      <c r="BC25" s="188">
        <f>opex_orig!AU25</f>
        <v>2.0800000000000001E-5</v>
      </c>
      <c r="BD25" s="188">
        <f>opex_orig!AV25</f>
        <v>1.6500000000000001E-5</v>
      </c>
      <c r="BE25" s="188">
        <f>opex_orig!AW25</f>
        <v>7.2999999999999999E-5</v>
      </c>
      <c r="BF25" s="188">
        <f>opex_orig!AX25</f>
        <v>0</v>
      </c>
      <c r="BG25" s="188">
        <f>opex_orig!AY25</f>
        <v>6.7999999999999999E-5</v>
      </c>
      <c r="BH25" s="188">
        <f>opex_orig!AZ25</f>
        <v>0</v>
      </c>
      <c r="BI25" s="188">
        <f>opex_orig!BA25</f>
        <v>1.0904900000000001E-4</v>
      </c>
      <c r="BJ25" s="188">
        <f>opex_orig!BB25</f>
        <v>2.4080600000000001E-4</v>
      </c>
      <c r="BK25" s="188">
        <f>opex_orig!BC25</f>
        <v>4.4273799999999997E-4</v>
      </c>
      <c r="BL25" s="188">
        <f>opex_orig!BD25</f>
        <v>5.9299999999999998E-5</v>
      </c>
      <c r="BM25" s="188">
        <f>opex_orig!BE25</f>
        <v>2.1548199999999999E-4</v>
      </c>
      <c r="BN25" s="188">
        <f>opex_orig!BF25</f>
        <v>4.5200000000000001E-5</v>
      </c>
      <c r="BO25" s="188">
        <f>opex_orig!BG25</f>
        <v>2.5255999999999998E-4</v>
      </c>
      <c r="BP25" s="188">
        <f>opex_orig!$BH25</f>
        <v>1.5232161484567301E-4</v>
      </c>
      <c r="BQ25" s="188">
        <f>opex_orig!$BH25</f>
        <v>1.5232161484567301E-4</v>
      </c>
      <c r="BR25" s="188">
        <f>opex_orig!BI25</f>
        <v>1.7933700000000001E-4</v>
      </c>
      <c r="BS25" s="188">
        <f>opex_orig!BJ25</f>
        <v>1.77837E-4</v>
      </c>
      <c r="BT25" s="188">
        <f>opex_orig!BK25</f>
        <v>1.42476E-4</v>
      </c>
      <c r="BU25" s="188">
        <f>opex_orig!BL25</f>
        <v>0</v>
      </c>
      <c r="BV25" s="27">
        <f>opex_orig!BM25</f>
        <v>1.6002869877843799E-4</v>
      </c>
      <c r="BW25" s="27">
        <f>opex_orig!BN25</f>
        <v>2.5186506284692898E-4</v>
      </c>
      <c r="BX25" s="27">
        <f>opex_orig!BO25</f>
        <v>1.14219387489516E-4</v>
      </c>
      <c r="BY25" s="27">
        <f>opex_orig!BP25</f>
        <v>8.3745667609641403E-5</v>
      </c>
      <c r="BZ25" s="27">
        <f>opex_orig!BQ25</f>
        <v>8.9234600161322406E-5</v>
      </c>
      <c r="CA25" s="27">
        <f>opex_orig!BR25</f>
        <v>4.2884317864775998E-7</v>
      </c>
      <c r="CB25" s="27">
        <f>opex_orig!BS25</f>
        <v>1.75791744095147E-4</v>
      </c>
      <c r="CC25" s="27">
        <f>opex_orig!BT25</f>
        <v>1.12169283837012E-6</v>
      </c>
      <c r="CD25" s="27">
        <f>opex_orig!BU25</f>
        <v>4.5565258932628202E-5</v>
      </c>
      <c r="CE25" s="27">
        <f>opex_orig!BV25</f>
        <v>4.5565258932628202E-5</v>
      </c>
      <c r="CF25" s="27">
        <f>opex_orig!BW25</f>
        <v>2.5338256662939301E-6</v>
      </c>
      <c r="CG25" s="27">
        <f>opex_orig!BX25</f>
        <v>8.5972434349110105E-8</v>
      </c>
      <c r="CH25" s="27">
        <f>opex_orig!BY25</f>
        <v>8.14505876605582E-7</v>
      </c>
      <c r="CI25" s="27">
        <f>opex_orig!BZ25</f>
        <v>1.4871599999999999E-4</v>
      </c>
      <c r="CJ25" s="27">
        <f>opex_orig!CA25</f>
        <v>7.5217899999999996E-4</v>
      </c>
      <c r="CK25" s="27">
        <f>opex_orig!CB25</f>
        <v>6.43398E-4</v>
      </c>
      <c r="CL25" s="27">
        <f>opex_orig!CC25</f>
        <v>2.3647719999999998E-3</v>
      </c>
      <c r="CM25" s="27">
        <f>opex_orig!CD25</f>
        <v>2.8367399999999998E-4</v>
      </c>
      <c r="CN25" s="27">
        <f>opex_orig!CE25</f>
        <v>1.671063E-3</v>
      </c>
      <c r="CO25" s="27">
        <f>opex_orig!CF25</f>
        <v>8.0830400000000003E-4</v>
      </c>
      <c r="CP25" s="27">
        <f>opex_orig!CG25</f>
        <v>1.01482E-4</v>
      </c>
    </row>
    <row r="26" spans="1:94" x14ac:dyDescent="0.25">
      <c r="A26" s="5" t="s">
        <v>71</v>
      </c>
      <c r="B26" s="2" t="s">
        <v>70</v>
      </c>
      <c r="C26" s="1" t="s">
        <v>326</v>
      </c>
      <c r="D26" s="188">
        <f>opex_orig!D26</f>
        <v>4.7500000000000003E-6</v>
      </c>
      <c r="E26" s="188">
        <f>opex_orig!E26</f>
        <v>7.9999999999999996E-7</v>
      </c>
      <c r="F26" s="188">
        <f>opex_orig!F26</f>
        <v>1.8899999999999999E-6</v>
      </c>
      <c r="G26" s="188">
        <f>opex_orig!G26</f>
        <v>2.8700000000000002E-7</v>
      </c>
      <c r="H26" s="188">
        <f>opex_orig!H26</f>
        <v>1.2200000000000001E-7</v>
      </c>
      <c r="I26" s="188">
        <f>opex_orig!I26</f>
        <v>9.6599999999999994E-7</v>
      </c>
      <c r="J26" s="188">
        <f>opex_orig!J26</f>
        <v>3.9199999999999997E-6</v>
      </c>
      <c r="K26" s="188">
        <f>opex_orig!K26</f>
        <v>2.2000000000000001E-7</v>
      </c>
      <c r="L26" s="188">
        <f>opex_orig!L26</f>
        <v>3.3100000000000001E-6</v>
      </c>
      <c r="M26" s="188">
        <f>opex_orig!M26</f>
        <v>1.48E-6</v>
      </c>
      <c r="N26" s="188">
        <f>opex_orig!N26</f>
        <v>1.57E-6</v>
      </c>
      <c r="O26" s="188">
        <f>opex_orig!O26</f>
        <v>2.03E-6</v>
      </c>
      <c r="P26" s="188">
        <f>opex_orig!P26</f>
        <v>1.42E-6</v>
      </c>
      <c r="Q26" s="188">
        <f>opex_orig!Q26</f>
        <v>6.7999999999999995E-7</v>
      </c>
      <c r="R26" s="188">
        <f>opex_orig!R26</f>
        <v>6.2799999999999996E-7</v>
      </c>
      <c r="S26" s="188">
        <f>opex_orig!S26</f>
        <v>8.6400000000000001E-7</v>
      </c>
      <c r="T26" s="188">
        <f>opex_orig!T26</f>
        <v>1.4300000000000001E-6</v>
      </c>
      <c r="U26" s="188">
        <f>opex_orig!U26</f>
        <v>6.1600000000000001E-7</v>
      </c>
      <c r="V26" s="188">
        <f>opex_orig!V26</f>
        <v>4.9900000000000001E-7</v>
      </c>
      <c r="W26" s="188">
        <f>opex_orig!W26</f>
        <v>6.8800000000000002E-7</v>
      </c>
      <c r="X26" s="188">
        <f>opex_orig!X26</f>
        <v>7.3799999999999996E-7</v>
      </c>
      <c r="Y26" s="188">
        <f>opex_orig!Y26</f>
        <v>3.3599999999999999E-7</v>
      </c>
      <c r="Z26" s="188">
        <f>opex_orig!Z26</f>
        <v>1.1599999999999999E-6</v>
      </c>
      <c r="AA26" s="188">
        <f>opex_orig!AA26</f>
        <v>7.23E-7</v>
      </c>
      <c r="AB26" s="188">
        <f>opex_orig!$AB26</f>
        <v>3.7692057145822001E-6</v>
      </c>
      <c r="AC26" s="188">
        <f>opex_orig!$AB26</f>
        <v>3.7692057145822001E-6</v>
      </c>
      <c r="AD26" s="188">
        <f>opex_orig!$AB26</f>
        <v>3.7692057145822001E-6</v>
      </c>
      <c r="AE26" s="188">
        <f>opex_orig!$AC26</f>
        <v>1.3216069819405901E-6</v>
      </c>
      <c r="AF26" s="188">
        <f>opex_orig!$AD26</f>
        <v>1.1613598891655601E-6</v>
      </c>
      <c r="AG26" s="188">
        <f>opex_orig!$AD26</f>
        <v>1.1613598891655601E-6</v>
      </c>
      <c r="AH26" s="188">
        <f>opex_orig!$AD26</f>
        <v>1.1613598891655601E-6</v>
      </c>
      <c r="AI26" s="188">
        <f>opex_orig!AE26</f>
        <v>9.7699999999999992E-7</v>
      </c>
      <c r="AJ26" s="188">
        <f>opex_orig!AF26</f>
        <v>1.7099999999999999E-5</v>
      </c>
      <c r="AK26" s="188">
        <f>opex_orig!AG26</f>
        <v>4.0999999999999997E-6</v>
      </c>
      <c r="AL26" s="188">
        <f>opex_orig!AH26</f>
        <v>9.91E-6</v>
      </c>
      <c r="AM26" s="188">
        <f>opex_orig!AI26</f>
        <v>6.3899999999999998E-6</v>
      </c>
      <c r="AN26" s="188">
        <f>opex_orig!AJ26</f>
        <v>3.4800000000000001E-6</v>
      </c>
      <c r="AO26" s="188">
        <f>opex_orig!AK26</f>
        <v>6.0100000000000001E-6</v>
      </c>
      <c r="AP26" s="188">
        <f>opex_orig!$AL26</f>
        <v>3.7848046652276698E-6</v>
      </c>
      <c r="AQ26" s="188">
        <f>opex_orig!$AL26</f>
        <v>3.7848046652276698E-6</v>
      </c>
      <c r="AR26" s="188">
        <f>opex_orig!$AL26</f>
        <v>3.7848046652276698E-6</v>
      </c>
      <c r="AS26" s="188">
        <f>opex_orig!$AM26</f>
        <v>3.5134631998571202E-6</v>
      </c>
      <c r="AT26" s="188">
        <f>opex_orig!AN26</f>
        <v>7.2300000000000002E-6</v>
      </c>
      <c r="AU26" s="349">
        <f>opex_concordance!M588</f>
        <v>3.6259517943428798E-2</v>
      </c>
      <c r="AV26" s="349">
        <f>opex_concordance!M634</f>
        <v>3.42072412088337E-2</v>
      </c>
      <c r="AW26" s="349">
        <f>opex_concordance!M680</f>
        <v>3.0055963167240164E-2</v>
      </c>
      <c r="AX26" s="188">
        <f>opex_orig!$AP26</f>
        <v>3.9280943539919702E-5</v>
      </c>
      <c r="AY26" s="188">
        <f>opex_orig!AQ26</f>
        <v>1.9700000000000002E-6</v>
      </c>
      <c r="AZ26" s="188">
        <f>opex_orig!AR26</f>
        <v>0</v>
      </c>
      <c r="BA26" s="188">
        <f>opex_orig!AS26</f>
        <v>1.39574E-4</v>
      </c>
      <c r="BB26" s="188">
        <f>opex_orig!AT26</f>
        <v>6.2899999999999999E-6</v>
      </c>
      <c r="BC26" s="188">
        <f>opex_orig!AU26</f>
        <v>3.3599999999999999E-7</v>
      </c>
      <c r="BD26" s="188">
        <f>opex_orig!AV26</f>
        <v>3.0600000000000001E-7</v>
      </c>
      <c r="BE26" s="188">
        <f>opex_orig!AW26</f>
        <v>5.6400000000000002E-5</v>
      </c>
      <c r="BF26" s="188">
        <f>opex_orig!AX26</f>
        <v>0</v>
      </c>
      <c r="BG26" s="188">
        <f>opex_orig!AY26</f>
        <v>3.8079759999999998E-3</v>
      </c>
      <c r="BH26" s="188">
        <f>opex_orig!AZ26</f>
        <v>0</v>
      </c>
      <c r="BI26" s="188">
        <f>opex_orig!BA26</f>
        <v>5.2899999999999998E-5</v>
      </c>
      <c r="BJ26" s="188">
        <f>opex_orig!BB26</f>
        <v>5.5500000000000002E-6</v>
      </c>
      <c r="BK26" s="188">
        <f>opex_orig!BC26</f>
        <v>3.54E-6</v>
      </c>
      <c r="BL26" s="188">
        <f>opex_orig!BD26</f>
        <v>9.3200000000000003E-7</v>
      </c>
      <c r="BM26" s="188">
        <f>opex_orig!BE26</f>
        <v>4.6099999999999999E-6</v>
      </c>
      <c r="BN26" s="188">
        <f>opex_orig!BF26</f>
        <v>5.0299999999999999E-7</v>
      </c>
      <c r="BO26" s="188">
        <f>opex_orig!BG26</f>
        <v>1.7600000000000001E-5</v>
      </c>
      <c r="BP26" s="188">
        <f>opex_orig!$BH26</f>
        <v>1.6041660002017001E-6</v>
      </c>
      <c r="BQ26" s="188">
        <f>opex_orig!$BH26</f>
        <v>1.6041660002017001E-6</v>
      </c>
      <c r="BR26" s="188">
        <f>opex_orig!BI26</f>
        <v>1.53E-6</v>
      </c>
      <c r="BS26" s="188">
        <f>opex_orig!BJ26</f>
        <v>2.83E-6</v>
      </c>
      <c r="BT26" s="188">
        <f>opex_orig!BK26</f>
        <v>5.8199999999999998E-5</v>
      </c>
      <c r="BU26" s="188">
        <f>opex_orig!BL26</f>
        <v>0</v>
      </c>
      <c r="BV26" s="27">
        <f>opex_orig!BM26</f>
        <v>8.6487324284757695E-7</v>
      </c>
      <c r="BW26" s="27">
        <f>opex_orig!BN26</f>
        <v>1.71104287717088E-6</v>
      </c>
      <c r="BX26" s="27">
        <f>opex_orig!BO26</f>
        <v>2.6009928414700601E-7</v>
      </c>
      <c r="BY26" s="27">
        <f>opex_orig!BP26</f>
        <v>3.8241554477217301E-7</v>
      </c>
      <c r="BZ26" s="27">
        <f>opex_orig!BQ26</f>
        <v>6.2052445643076498E-7</v>
      </c>
      <c r="CA26" s="27">
        <f>opex_orig!BR26</f>
        <v>4.8780531428149099E-7</v>
      </c>
      <c r="CB26" s="27">
        <f>opex_orig!BS26</f>
        <v>1.7846903984326301E-6</v>
      </c>
      <c r="CC26" s="27">
        <f>opex_orig!BT26</f>
        <v>3.7217126365995501E-4</v>
      </c>
      <c r="CD26" s="27">
        <f>opex_orig!BU26</f>
        <v>2.6725053503300898E-7</v>
      </c>
      <c r="CE26" s="27">
        <f>opex_orig!BV26</f>
        <v>2.6725053503300898E-7</v>
      </c>
      <c r="CF26" s="27">
        <f>opex_orig!BW26</f>
        <v>2.71911194589889E-6</v>
      </c>
      <c r="CG26" s="27">
        <f>opex_orig!BX26</f>
        <v>5.3153332391133603E-8</v>
      </c>
      <c r="CH26" s="27">
        <f>opex_orig!BY26</f>
        <v>1.0707152638512001E-6</v>
      </c>
      <c r="CI26" s="27">
        <f>opex_orig!BZ26</f>
        <v>5.4199999999999996E-7</v>
      </c>
      <c r="CJ26" s="27">
        <f>opex_orig!CA26</f>
        <v>3.1699999999999999E-7</v>
      </c>
      <c r="CK26" s="27">
        <f>opex_orig!CB26</f>
        <v>3.22E-7</v>
      </c>
      <c r="CL26" s="27">
        <f>opex_orig!CC26</f>
        <v>2.8000000000000002E-7</v>
      </c>
      <c r="CM26" s="27">
        <f>opex_orig!CD26</f>
        <v>1.9099999999999999E-6</v>
      </c>
      <c r="CN26" s="27">
        <f>opex_orig!CE26</f>
        <v>2.1799999999999999E-6</v>
      </c>
      <c r="CO26" s="27">
        <f>opex_orig!CF26</f>
        <v>3.1499999999999999E-6</v>
      </c>
      <c r="CP26" s="27">
        <f>opex_orig!CG26</f>
        <v>6.6700000000000003E-7</v>
      </c>
    </row>
    <row r="27" spans="1:94" x14ac:dyDescent="0.25">
      <c r="A27" s="5" t="s">
        <v>73</v>
      </c>
      <c r="B27" s="2" t="s">
        <v>72</v>
      </c>
      <c r="C27" s="1" t="s">
        <v>326</v>
      </c>
      <c r="D27" s="188">
        <f>opex_orig!D27</f>
        <v>7.5292399999999998E-4</v>
      </c>
      <c r="E27" s="188">
        <f>opex_orig!E27</f>
        <v>3.7982199999999998E-4</v>
      </c>
      <c r="F27" s="188">
        <f>opex_orig!F27</f>
        <v>2.32205E-4</v>
      </c>
      <c r="G27" s="188">
        <f>opex_orig!G27</f>
        <v>5.0599999999999997E-5</v>
      </c>
      <c r="H27" s="188">
        <f>opex_orig!H27</f>
        <v>6.7700000000000006E-5</v>
      </c>
      <c r="I27" s="188">
        <f>opex_orig!I27</f>
        <v>3.19403E-4</v>
      </c>
      <c r="J27" s="188">
        <f>opex_orig!J27</f>
        <v>6.75094E-4</v>
      </c>
      <c r="K27" s="188">
        <f>opex_orig!K27</f>
        <v>1.4751E-4</v>
      </c>
      <c r="L27" s="188">
        <f>opex_orig!L27</f>
        <v>3.61527E-4</v>
      </c>
      <c r="M27" s="188">
        <f>opex_orig!M27</f>
        <v>4.5915799999999998E-4</v>
      </c>
      <c r="N27" s="188">
        <f>opex_orig!N27</f>
        <v>1.3683790000000001E-3</v>
      </c>
      <c r="O27" s="188">
        <f>opex_orig!O27</f>
        <v>1.197077E-3</v>
      </c>
      <c r="P27" s="188">
        <f>opex_orig!P27</f>
        <v>6.2939300000000001E-4</v>
      </c>
      <c r="Q27" s="188">
        <f>opex_orig!Q27</f>
        <v>2.9366100000000002E-4</v>
      </c>
      <c r="R27" s="188">
        <f>opex_orig!R27</f>
        <v>8.61998E-4</v>
      </c>
      <c r="S27" s="188">
        <f>opex_orig!S27</f>
        <v>2.7930300000000001E-4</v>
      </c>
      <c r="T27" s="188">
        <f>opex_orig!T27</f>
        <v>3.8345799999999999E-4</v>
      </c>
      <c r="U27" s="188">
        <f>opex_orig!U27</f>
        <v>8.7423700000000004E-4</v>
      </c>
      <c r="V27" s="188">
        <f>opex_orig!V27</f>
        <v>1.522135E-3</v>
      </c>
      <c r="W27" s="188">
        <f>opex_orig!W27</f>
        <v>4.7186899999999998E-4</v>
      </c>
      <c r="X27" s="188">
        <f>opex_orig!X27</f>
        <v>2.6769899999999999E-4</v>
      </c>
      <c r="Y27" s="188">
        <f>opex_orig!Y27</f>
        <v>2.2000399999999999E-4</v>
      </c>
      <c r="Z27" s="188">
        <f>opex_orig!Z27</f>
        <v>1.6277970000000001E-3</v>
      </c>
      <c r="AA27" s="188">
        <f>opex_orig!AA27</f>
        <v>7.7959600000000002E-4</v>
      </c>
      <c r="AB27" s="188">
        <f>opex_orig!$AB27</f>
        <v>2.8196528439808901E-3</v>
      </c>
      <c r="AC27" s="188">
        <f>opex_orig!$AB27</f>
        <v>2.8196528439808901E-3</v>
      </c>
      <c r="AD27" s="188">
        <f>opex_orig!$AB27</f>
        <v>2.8196528439808901E-3</v>
      </c>
      <c r="AE27" s="188">
        <f>opex_orig!$AC27</f>
        <v>4.1927615297094297E-3</v>
      </c>
      <c r="AF27" s="188">
        <f>opex_orig!$AD27</f>
        <v>1.22735178037086E-3</v>
      </c>
      <c r="AG27" s="188">
        <f>opex_orig!$AD27</f>
        <v>1.22735178037086E-3</v>
      </c>
      <c r="AH27" s="188">
        <f>opex_orig!$AD27</f>
        <v>1.22735178037086E-3</v>
      </c>
      <c r="AI27" s="188">
        <f>opex_orig!AE27</f>
        <v>7.6270600000000004E-4</v>
      </c>
      <c r="AJ27" s="188">
        <f>opex_orig!AF27</f>
        <v>2.0389459999999998E-3</v>
      </c>
      <c r="AK27" s="188">
        <f>opex_orig!AG27</f>
        <v>8.6207799999999995E-4</v>
      </c>
      <c r="AL27" s="188">
        <f>opex_orig!AH27</f>
        <v>2.3857629999999999E-3</v>
      </c>
      <c r="AM27" s="188">
        <f>opex_orig!AI27</f>
        <v>6.3729599999999998E-4</v>
      </c>
      <c r="AN27" s="188">
        <f>opex_orig!AJ27</f>
        <v>1.780326E-3</v>
      </c>
      <c r="AO27" s="188">
        <f>opex_orig!AK27</f>
        <v>1.2380410000000001E-3</v>
      </c>
      <c r="AP27" s="188">
        <f>opex_orig!$AL27</f>
        <v>1.01605961309375E-3</v>
      </c>
      <c r="AQ27" s="188">
        <f>opex_orig!$AL27</f>
        <v>1.01605961309375E-3</v>
      </c>
      <c r="AR27" s="188">
        <f>opex_orig!$AL27</f>
        <v>1.01605961309375E-3</v>
      </c>
      <c r="AS27" s="188">
        <f>opex_orig!$AM27</f>
        <v>8.7712617532300903E-4</v>
      </c>
      <c r="AT27" s="188">
        <f>opex_orig!AN27</f>
        <v>1.162375E-3</v>
      </c>
      <c r="AU27" s="349">
        <f>opex_concordance!M589</f>
        <v>2.3574331783123001E-2</v>
      </c>
      <c r="AV27" s="349">
        <f>opex_concordance!M635</f>
        <v>2.2240032393715449E-2</v>
      </c>
      <c r="AW27" s="349">
        <f>opex_concordance!M681</f>
        <v>1.954105536844988E-2</v>
      </c>
      <c r="AX27" s="188">
        <f>opex_orig!$AP27</f>
        <v>1.5942947992159999E-2</v>
      </c>
      <c r="AY27" s="188">
        <f>opex_orig!AQ27</f>
        <v>1.8966862000000001E-2</v>
      </c>
      <c r="AZ27" s="188">
        <f>opex_orig!AR27</f>
        <v>0</v>
      </c>
      <c r="BA27" s="188">
        <f>opex_orig!AS27</f>
        <v>1.1336254E-2</v>
      </c>
      <c r="BB27" s="188">
        <f>opex_orig!AT27</f>
        <v>1.2041744E-2</v>
      </c>
      <c r="BC27" s="188">
        <f>opex_orig!AU27</f>
        <v>9.8695529000000004E-2</v>
      </c>
      <c r="BD27" s="188">
        <f>opex_orig!AV27</f>
        <v>0.10335649399999999</v>
      </c>
      <c r="BE27" s="188">
        <f>opex_orig!AW27</f>
        <v>1.1759923E-2</v>
      </c>
      <c r="BF27" s="188">
        <f>opex_orig!AX27</f>
        <v>0</v>
      </c>
      <c r="BG27" s="188">
        <f>opex_orig!AY27</f>
        <v>1.5130329E-2</v>
      </c>
      <c r="BH27" s="188">
        <f>opex_orig!AZ27</f>
        <v>0</v>
      </c>
      <c r="BI27" s="188">
        <f>opex_orig!BA27</f>
        <v>1.6733690999999998E-2</v>
      </c>
      <c r="BJ27" s="188">
        <f>opex_orig!BB27</f>
        <v>4.9636350000000001E-3</v>
      </c>
      <c r="BK27" s="188">
        <f>opex_orig!BC27</f>
        <v>6.4068379999999998E-3</v>
      </c>
      <c r="BL27" s="188">
        <f>opex_orig!BD27</f>
        <v>8.6194400000000001E-4</v>
      </c>
      <c r="BM27" s="188">
        <f>opex_orig!BE27</f>
        <v>4.2554969999999996E-3</v>
      </c>
      <c r="BN27" s="188">
        <f>opex_orig!BF27</f>
        <v>3.6370800000000002E-4</v>
      </c>
      <c r="BO27" s="188">
        <f>opex_orig!BG27</f>
        <v>1.2163899999999999E-3</v>
      </c>
      <c r="BP27" s="188">
        <f>opex_orig!$BH27</f>
        <v>1.5049664309949801E-3</v>
      </c>
      <c r="BQ27" s="188">
        <f>opex_orig!$BH27</f>
        <v>1.5049664309949801E-3</v>
      </c>
      <c r="BR27" s="188">
        <f>opex_orig!BI27</f>
        <v>4.0513279999999999E-3</v>
      </c>
      <c r="BS27" s="188">
        <f>opex_orig!BJ27</f>
        <v>3.144399E-3</v>
      </c>
      <c r="BT27" s="188">
        <f>opex_orig!BK27</f>
        <v>1.9298154000000001E-2</v>
      </c>
      <c r="BU27" s="188">
        <f>opex_orig!BL27</f>
        <v>0</v>
      </c>
      <c r="BV27" s="27">
        <f>opex_orig!BM27</f>
        <v>4.6568632111485399E-4</v>
      </c>
      <c r="BW27" s="27">
        <f>opex_orig!BN27</f>
        <v>2.1537630356342299E-3</v>
      </c>
      <c r="BX27" s="27">
        <f>opex_orig!BO27</f>
        <v>2.74574544439246E-4</v>
      </c>
      <c r="BY27" s="27">
        <f>opex_orig!BP27</f>
        <v>1.7574731328117901E-3</v>
      </c>
      <c r="BZ27" s="27">
        <f>opex_orig!BQ27</f>
        <v>5.0039683589188995E-4</v>
      </c>
      <c r="CA27" s="27">
        <f>opex_orig!BR27</f>
        <v>6.9029404911065702E-5</v>
      </c>
      <c r="CB27" s="27">
        <f>opex_orig!BS27</f>
        <v>1.0489511690257301E-3</v>
      </c>
      <c r="CC27" s="27">
        <f>opex_orig!BT27</f>
        <v>1.1565365646315501E-4</v>
      </c>
      <c r="CD27" s="27">
        <f>opex_orig!BU27</f>
        <v>2.0960724725442399E-4</v>
      </c>
      <c r="CE27" s="27">
        <f>opex_orig!BV27</f>
        <v>2.0960724725442399E-4</v>
      </c>
      <c r="CF27" s="27">
        <f>opex_orig!BW27</f>
        <v>4.6435979842765002E-4</v>
      </c>
      <c r="CG27" s="27">
        <f>opex_orig!BX27</f>
        <v>7.3477634767652396E-5</v>
      </c>
      <c r="CH27" s="27">
        <f>opex_orig!BY27</f>
        <v>2.9611193060801299E-3</v>
      </c>
      <c r="CI27" s="27">
        <f>opex_orig!BZ27</f>
        <v>1.1441069999999999E-3</v>
      </c>
      <c r="CJ27" s="27">
        <f>opex_orig!CA27</f>
        <v>4.1948799999999998E-4</v>
      </c>
      <c r="CK27" s="27">
        <f>opex_orig!CB27</f>
        <v>3.4294099999999998E-4</v>
      </c>
      <c r="CL27" s="27">
        <f>opex_orig!CC27</f>
        <v>3.00752E-4</v>
      </c>
      <c r="CM27" s="27">
        <f>opex_orig!CD27</f>
        <v>8.1261099999999998E-4</v>
      </c>
      <c r="CN27" s="27">
        <f>opex_orig!CE27</f>
        <v>5.6496900000000002E-4</v>
      </c>
      <c r="CO27" s="27">
        <f>opex_orig!CF27</f>
        <v>8.5638999999999995E-4</v>
      </c>
      <c r="CP27" s="27">
        <f>opex_orig!CG27</f>
        <v>6.1017000000000005E-4</v>
      </c>
    </row>
    <row r="28" spans="1:94" x14ac:dyDescent="0.25">
      <c r="A28" s="5" t="s">
        <v>75</v>
      </c>
      <c r="B28" s="2" t="s">
        <v>74</v>
      </c>
      <c r="C28" s="1" t="s">
        <v>326</v>
      </c>
      <c r="D28" s="188">
        <f>opex_orig!D28</f>
        <v>6.9499999999999995E-5</v>
      </c>
      <c r="E28" s="188">
        <f>opex_orig!E28</f>
        <v>1.7900000000000001E-5</v>
      </c>
      <c r="F28" s="188">
        <f>opex_orig!F28</f>
        <v>1.08E-5</v>
      </c>
      <c r="G28" s="188">
        <f>opex_orig!G28</f>
        <v>8.4799999999999997E-7</v>
      </c>
      <c r="H28" s="188">
        <f>opex_orig!H28</f>
        <v>1.57E-6</v>
      </c>
      <c r="I28" s="188">
        <f>opex_orig!I28</f>
        <v>2.3099999999999999E-5</v>
      </c>
      <c r="J28" s="188">
        <f>opex_orig!J28</f>
        <v>2.8099999999999999E-5</v>
      </c>
      <c r="K28" s="188">
        <f>opex_orig!K28</f>
        <v>2.5799999999999999E-6</v>
      </c>
      <c r="L28" s="188">
        <f>opex_orig!L28</f>
        <v>1.9400000000000001E-5</v>
      </c>
      <c r="M28" s="188">
        <f>opex_orig!M28</f>
        <v>3.5099999999999999E-5</v>
      </c>
      <c r="N28" s="188">
        <f>opex_orig!N28</f>
        <v>7.4800000000000002E-5</v>
      </c>
      <c r="O28" s="188">
        <f>opex_orig!O28</f>
        <v>3.2499999999999997E-5</v>
      </c>
      <c r="P28" s="188">
        <f>opex_orig!P28</f>
        <v>7.5599999999999994E-5</v>
      </c>
      <c r="Q28" s="188">
        <f>opex_orig!Q28</f>
        <v>3.4300000000000002E-6</v>
      </c>
      <c r="R28" s="188">
        <f>opex_orig!R28</f>
        <v>2.5500000000000001E-6</v>
      </c>
      <c r="S28" s="188">
        <f>opex_orig!S28</f>
        <v>2.6100000000000001E-5</v>
      </c>
      <c r="T28" s="188">
        <f>opex_orig!T28</f>
        <v>3.9900000000000001E-5</v>
      </c>
      <c r="U28" s="188">
        <f>opex_orig!U28</f>
        <v>2.1399999999999998E-5</v>
      </c>
      <c r="V28" s="188">
        <f>opex_orig!V28</f>
        <v>3.82E-5</v>
      </c>
      <c r="W28" s="188">
        <f>opex_orig!W28</f>
        <v>1.6699999999999999E-5</v>
      </c>
      <c r="X28" s="188">
        <f>opex_orig!X28</f>
        <v>1.8199999999999999E-5</v>
      </c>
      <c r="Y28" s="188">
        <f>opex_orig!Y28</f>
        <v>2.4000000000000001E-5</v>
      </c>
      <c r="Z28" s="188">
        <f>opex_orig!Z28</f>
        <v>5.0399999999999999E-5</v>
      </c>
      <c r="AA28" s="188">
        <f>opex_orig!AA28</f>
        <v>2.5899999999999999E-5</v>
      </c>
      <c r="AB28" s="188">
        <f>opex_orig!$AB28</f>
        <v>2.1596097588619499E-5</v>
      </c>
      <c r="AC28" s="188">
        <f>opex_orig!$AB28</f>
        <v>2.1596097588619499E-5</v>
      </c>
      <c r="AD28" s="188">
        <f>opex_orig!$AB28</f>
        <v>2.1596097588619499E-5</v>
      </c>
      <c r="AE28" s="188">
        <f>opex_orig!$AC28</f>
        <v>2.40027303160956E-4</v>
      </c>
      <c r="AF28" s="188">
        <f>opex_orig!$AD28</f>
        <v>9.6294733803209504E-5</v>
      </c>
      <c r="AG28" s="188">
        <f>opex_orig!$AD28</f>
        <v>9.6294733803209504E-5</v>
      </c>
      <c r="AH28" s="188">
        <f>opex_orig!$AD28</f>
        <v>9.6294733803209504E-5</v>
      </c>
      <c r="AI28" s="188">
        <f>opex_orig!AE28</f>
        <v>8.5699999999999996E-5</v>
      </c>
      <c r="AJ28" s="188">
        <f>opex_orig!AF28</f>
        <v>5.4799999999999997E-5</v>
      </c>
      <c r="AK28" s="188">
        <f>opex_orig!AG28</f>
        <v>4.1399999999999997E-5</v>
      </c>
      <c r="AL28" s="188">
        <f>opex_orig!AH28</f>
        <v>5.0983500000000004E-4</v>
      </c>
      <c r="AM28" s="188">
        <f>opex_orig!AI28</f>
        <v>1.2845000000000001E-4</v>
      </c>
      <c r="AN28" s="188">
        <f>opex_orig!AJ28</f>
        <v>3.9866400000000002E-4</v>
      </c>
      <c r="AO28" s="188">
        <f>opex_orig!AK28</f>
        <v>2.68554E-4</v>
      </c>
      <c r="AP28" s="188">
        <f>opex_orig!$AL28</f>
        <v>1.00870113392055E-4</v>
      </c>
      <c r="AQ28" s="188">
        <f>opex_orig!$AL28</f>
        <v>1.00870113392055E-4</v>
      </c>
      <c r="AR28" s="188">
        <f>opex_orig!$AL28</f>
        <v>1.00870113392055E-4</v>
      </c>
      <c r="AS28" s="188">
        <f>opex_orig!$AM28</f>
        <v>1.21363559672192E-4</v>
      </c>
      <c r="AT28" s="188">
        <f>opex_orig!AN28</f>
        <v>4.2489999999999997E-4</v>
      </c>
      <c r="AU28" s="188">
        <f>opex_orig!$AO28</f>
        <v>3.6136538497839898E-3</v>
      </c>
      <c r="AV28" s="188">
        <f>opex_orig!$AO28</f>
        <v>3.6136538497839898E-3</v>
      </c>
      <c r="AW28" s="188">
        <f>opex_orig!$AO28</f>
        <v>3.6136538497839898E-3</v>
      </c>
      <c r="AX28" s="188">
        <f>opex_orig!$AP28</f>
        <v>3.6730918128268001E-3</v>
      </c>
      <c r="AY28" s="188">
        <f>opex_orig!AQ28</f>
        <v>6.2399999999999999E-5</v>
      </c>
      <c r="AZ28" s="188">
        <f>opex_orig!AR28</f>
        <v>0</v>
      </c>
      <c r="BA28" s="188">
        <f>opex_orig!AS28</f>
        <v>1.6482399999999999E-4</v>
      </c>
      <c r="BB28" s="188">
        <f>opex_orig!AT28</f>
        <v>1.6609700000000001E-4</v>
      </c>
      <c r="BC28" s="188">
        <f>opex_orig!AU28</f>
        <v>4.6211599999999999E-4</v>
      </c>
      <c r="BD28" s="188">
        <f>opex_orig!AV28</f>
        <v>4.7314699999999999E-4</v>
      </c>
      <c r="BE28" s="188">
        <f>opex_orig!AW28</f>
        <v>3.4420300000000001E-4</v>
      </c>
      <c r="BF28" s="188">
        <f>opex_orig!AX28</f>
        <v>0</v>
      </c>
      <c r="BG28" s="188">
        <f>opex_orig!AY28</f>
        <v>3.3301076999999998E-2</v>
      </c>
      <c r="BH28" s="188">
        <f>opex_orig!AZ28</f>
        <v>0</v>
      </c>
      <c r="BI28" s="188">
        <f>opex_orig!BA28</f>
        <v>2.3485100000000001E-4</v>
      </c>
      <c r="BJ28" s="188">
        <f>opex_orig!BB28</f>
        <v>1.20158E-4</v>
      </c>
      <c r="BK28" s="188">
        <f>opex_orig!BC28</f>
        <v>9.7499999999999998E-5</v>
      </c>
      <c r="BL28" s="188">
        <f>opex_orig!BD28</f>
        <v>5.52E-5</v>
      </c>
      <c r="BM28" s="188">
        <f>opex_orig!BE28</f>
        <v>7.7299999999999995E-5</v>
      </c>
      <c r="BN28" s="188">
        <f>opex_orig!BF28</f>
        <v>1.91492E-4</v>
      </c>
      <c r="BO28" s="188">
        <f>opex_orig!BG28</f>
        <v>6.1199999999999997E-5</v>
      </c>
      <c r="BP28" s="188">
        <f>opex_orig!$BH28</f>
        <v>5.3326345474494502E-5</v>
      </c>
      <c r="BQ28" s="188">
        <f>opex_orig!$BH28</f>
        <v>5.3326345474494502E-5</v>
      </c>
      <c r="BR28" s="188">
        <f>opex_orig!BI28</f>
        <v>7.8399999999999995E-5</v>
      </c>
      <c r="BS28" s="188">
        <f>opex_orig!BJ28</f>
        <v>5.1999999999999997E-5</v>
      </c>
      <c r="BT28" s="188">
        <f>opex_orig!BK28</f>
        <v>3.31505E-4</v>
      </c>
      <c r="BU28" s="188">
        <f>opex_orig!BL28</f>
        <v>0</v>
      </c>
      <c r="BV28" s="27">
        <f>opex_orig!BM28</f>
        <v>1.6627866795222701E-5</v>
      </c>
      <c r="BW28" s="27">
        <f>opex_orig!BN28</f>
        <v>7.3922308623119304E-5</v>
      </c>
      <c r="BX28" s="27">
        <f>opex_orig!BO28</f>
        <v>1.15640286646895E-5</v>
      </c>
      <c r="BY28" s="27">
        <f>opex_orig!BP28</f>
        <v>6.33717624668385E-5</v>
      </c>
      <c r="BZ28" s="27">
        <f>opex_orig!BQ28</f>
        <v>9.7621357122860397E-5</v>
      </c>
      <c r="CA28" s="27">
        <f>opex_orig!BR28</f>
        <v>4.2383442771946398E-6</v>
      </c>
      <c r="CB28" s="27">
        <f>opex_orig!BS28</f>
        <v>2.3733213484927501E-5</v>
      </c>
      <c r="CC28" s="27">
        <f>opex_orig!BT28</f>
        <v>5.0565466224840003E-6</v>
      </c>
      <c r="CD28" s="27">
        <f>opex_orig!BU28</f>
        <v>4.2800455632920297E-6</v>
      </c>
      <c r="CE28" s="27">
        <f>opex_orig!BV28</f>
        <v>4.2800455632920501E-6</v>
      </c>
      <c r="CF28" s="27">
        <f>opex_orig!BW28</f>
        <v>3.6387479216900898E-5</v>
      </c>
      <c r="CG28" s="27">
        <f>opex_orig!BX28</f>
        <v>7.1548645717624798E-6</v>
      </c>
      <c r="CH28" s="27">
        <f>opex_orig!BY28</f>
        <v>4.5093446745452898E-7</v>
      </c>
      <c r="CI28" s="27">
        <f>opex_orig!BZ28</f>
        <v>3.9400000000000002E-5</v>
      </c>
      <c r="CJ28" s="27">
        <f>opex_orig!CA28</f>
        <v>1.3699999999999999E-5</v>
      </c>
      <c r="CK28" s="27">
        <f>opex_orig!CB28</f>
        <v>1.0200000000000001E-5</v>
      </c>
      <c r="CL28" s="27">
        <f>opex_orig!CC28</f>
        <v>1.0200000000000001E-5</v>
      </c>
      <c r="CM28" s="27">
        <f>opex_orig!CD28</f>
        <v>2.19E-5</v>
      </c>
      <c r="CN28" s="27">
        <f>opex_orig!CE28</f>
        <v>3.9799999999999998E-5</v>
      </c>
      <c r="CO28" s="27">
        <f>opex_orig!CF28</f>
        <v>5.1100000000000002E-5</v>
      </c>
      <c r="CP28" s="27">
        <f>opex_orig!CG28</f>
        <v>6.2700000000000006E-5</v>
      </c>
    </row>
    <row r="29" spans="1:94" x14ac:dyDescent="0.25">
      <c r="A29" s="5" t="s">
        <v>77</v>
      </c>
      <c r="B29" s="2" t="s">
        <v>76</v>
      </c>
      <c r="C29" s="1" t="s">
        <v>326</v>
      </c>
      <c r="D29" s="188">
        <f>opex_orig!D29</f>
        <v>1.2300000000000001E-6</v>
      </c>
      <c r="E29" s="188">
        <f>opex_orig!E29</f>
        <v>2.4600000000000001E-7</v>
      </c>
      <c r="F29" s="188">
        <f>opex_orig!F29</f>
        <v>3.3599999999999999E-7</v>
      </c>
      <c r="G29" s="188">
        <f>opex_orig!G29</f>
        <v>3.47E-8</v>
      </c>
      <c r="H29" s="188">
        <f>opex_orig!H29</f>
        <v>5.6400000000000002E-8</v>
      </c>
      <c r="I29" s="188">
        <f>opex_orig!I29</f>
        <v>4.7300000000000001E-7</v>
      </c>
      <c r="J29" s="188">
        <f>opex_orig!J29</f>
        <v>7.3300000000000001E-7</v>
      </c>
      <c r="K29" s="188">
        <f>opex_orig!K29</f>
        <v>9.9E-8</v>
      </c>
      <c r="L29" s="188">
        <f>opex_orig!L29</f>
        <v>5.9400000000000005E-7</v>
      </c>
      <c r="M29" s="188">
        <f>opex_orig!M29</f>
        <v>8.8299999999999995E-7</v>
      </c>
      <c r="N29" s="188">
        <f>opex_orig!N29</f>
        <v>5.06E-7</v>
      </c>
      <c r="O29" s="188">
        <f>opex_orig!O29</f>
        <v>8.2500000000000004E-7</v>
      </c>
      <c r="P29" s="188">
        <f>opex_orig!P29</f>
        <v>1.0699999999999999E-6</v>
      </c>
      <c r="Q29" s="188">
        <f>opex_orig!Q29</f>
        <v>1.29E-7</v>
      </c>
      <c r="R29" s="188">
        <f>opex_orig!R29</f>
        <v>2.3699999999999999E-7</v>
      </c>
      <c r="S29" s="188">
        <f>opex_orig!S29</f>
        <v>6.61E-7</v>
      </c>
      <c r="T29" s="188">
        <f>opex_orig!T29</f>
        <v>7.0399999999999995E-7</v>
      </c>
      <c r="U29" s="188">
        <f>opex_orig!U29</f>
        <v>3.7099999999999997E-7</v>
      </c>
      <c r="V29" s="188">
        <f>opex_orig!V29</f>
        <v>3.7099999999999997E-7</v>
      </c>
      <c r="W29" s="188">
        <f>opex_orig!W29</f>
        <v>6.7100000000000001E-7</v>
      </c>
      <c r="X29" s="188">
        <f>opex_orig!X29</f>
        <v>5.5899999999999996E-7</v>
      </c>
      <c r="Y29" s="188">
        <f>opex_orig!Y29</f>
        <v>4.6199999999999998E-7</v>
      </c>
      <c r="Z29" s="188">
        <f>opex_orig!Z29</f>
        <v>3.8600000000000003E-6</v>
      </c>
      <c r="AA29" s="188">
        <f>opex_orig!AA29</f>
        <v>1.7400000000000001E-6</v>
      </c>
      <c r="AB29" s="188">
        <f>opex_orig!$AB29</f>
        <v>2.5426933172991801E-6</v>
      </c>
      <c r="AC29" s="188">
        <f>opex_orig!$AB29</f>
        <v>2.5426933172991801E-6</v>
      </c>
      <c r="AD29" s="188">
        <f>opex_orig!$AB29</f>
        <v>2.5426933172991801E-6</v>
      </c>
      <c r="AE29" s="188">
        <f>opex_orig!$AC29</f>
        <v>4.8239182424342797E-7</v>
      </c>
      <c r="AF29" s="188">
        <f>opex_orig!$AD29</f>
        <v>8.9225946156324803E-7</v>
      </c>
      <c r="AG29" s="188">
        <f>opex_orig!$AD29</f>
        <v>8.9225946156324803E-7</v>
      </c>
      <c r="AH29" s="188">
        <f>opex_orig!$AD29</f>
        <v>8.9225946156324803E-7</v>
      </c>
      <c r="AI29" s="188">
        <f>opex_orig!AE29</f>
        <v>7.1299999999999999E-7</v>
      </c>
      <c r="AJ29" s="188">
        <f>opex_orig!AF29</f>
        <v>3.2700000000000002E-5</v>
      </c>
      <c r="AK29" s="188">
        <f>opex_orig!AG29</f>
        <v>2.26E-6</v>
      </c>
      <c r="AL29" s="188">
        <f>opex_orig!AH29</f>
        <v>4.4299999999999999E-5</v>
      </c>
      <c r="AM29" s="188">
        <f>opex_orig!AI29</f>
        <v>7.5500000000000006E-5</v>
      </c>
      <c r="AN29" s="188">
        <f>opex_orig!AJ29</f>
        <v>7.96E-6</v>
      </c>
      <c r="AO29" s="188">
        <f>opex_orig!AK29</f>
        <v>9.0599999999999997E-6</v>
      </c>
      <c r="AP29" s="188">
        <f>opex_orig!$AL29</f>
        <v>5.9954304026264903E-6</v>
      </c>
      <c r="AQ29" s="188">
        <f>opex_orig!$AL29</f>
        <v>5.9954304026264903E-6</v>
      </c>
      <c r="AR29" s="188">
        <f>opex_orig!$AL29</f>
        <v>5.9954304026264903E-6</v>
      </c>
      <c r="AS29" s="188">
        <f>opex_orig!$AM29</f>
        <v>5.6325159227175604E-6</v>
      </c>
      <c r="AT29" s="188">
        <f>opex_orig!AN29</f>
        <v>1.8099999999999999E-5</v>
      </c>
      <c r="AU29" s="188">
        <f>opex_orig!$AO29</f>
        <v>3.8825347295320898E-6</v>
      </c>
      <c r="AV29" s="188">
        <f>opex_orig!$AO29</f>
        <v>3.8825347295320898E-6</v>
      </c>
      <c r="AW29" s="188">
        <f>opex_orig!$AO29</f>
        <v>3.8825347295320898E-6</v>
      </c>
      <c r="AX29" s="188">
        <f>opex_orig!$AP29</f>
        <v>1.7231548397229101E-6</v>
      </c>
      <c r="AY29" s="188">
        <f>opex_orig!AQ29</f>
        <v>2.5100000000000001E-6</v>
      </c>
      <c r="AZ29" s="188">
        <f>opex_orig!AR29</f>
        <v>0</v>
      </c>
      <c r="BA29" s="188">
        <f>opex_orig!AS29</f>
        <v>3.8212350000000001E-3</v>
      </c>
      <c r="BB29" s="188">
        <f>opex_orig!AT29</f>
        <v>1.4100000000000001E-6</v>
      </c>
      <c r="BC29" s="188">
        <f>opex_orig!AU29</f>
        <v>2.5100000000000001E-7</v>
      </c>
      <c r="BD29" s="188">
        <f>opex_orig!AV29</f>
        <v>1.73E-7</v>
      </c>
      <c r="BE29" s="188">
        <f>opex_orig!AW29</f>
        <v>1.24E-6</v>
      </c>
      <c r="BF29" s="188">
        <f>opex_orig!AX29</f>
        <v>0</v>
      </c>
      <c r="BG29" s="188">
        <f>opex_orig!AY29</f>
        <v>9.7699999999999992E-7</v>
      </c>
      <c r="BH29" s="188">
        <f>opex_orig!AZ29</f>
        <v>0</v>
      </c>
      <c r="BI29" s="188">
        <f>opex_orig!BA29</f>
        <v>9.9900000000000002E-5</v>
      </c>
      <c r="BJ29" s="188">
        <f>opex_orig!BB29</f>
        <v>6.1099999999999999E-6</v>
      </c>
      <c r="BK29" s="188">
        <f>opex_orig!BC29</f>
        <v>3.0800000000000002E-6</v>
      </c>
      <c r="BL29" s="188">
        <f>opex_orig!BD29</f>
        <v>7.3300000000000001E-6</v>
      </c>
      <c r="BM29" s="188">
        <f>opex_orig!BE29</f>
        <v>5.1599999999999997E-6</v>
      </c>
      <c r="BN29" s="188">
        <f>opex_orig!BF29</f>
        <v>2.4899999999999999E-6</v>
      </c>
      <c r="BO29" s="188">
        <f>opex_orig!BG29</f>
        <v>1.04E-5</v>
      </c>
      <c r="BP29" s="188">
        <f>opex_orig!$BH29</f>
        <v>4.3186031390151298E-6</v>
      </c>
      <c r="BQ29" s="188">
        <f>opex_orig!$BH29</f>
        <v>4.3186031390151298E-6</v>
      </c>
      <c r="BR29" s="188">
        <f>opex_orig!BI29</f>
        <v>3.1099999999999999E-6</v>
      </c>
      <c r="BS29" s="188">
        <f>opex_orig!BJ29</f>
        <v>1.86E-6</v>
      </c>
      <c r="BT29" s="188">
        <f>opex_orig!BK29</f>
        <v>1.05096E-4</v>
      </c>
      <c r="BU29" s="188">
        <f>opex_orig!BL29</f>
        <v>0</v>
      </c>
      <c r="BV29" s="27">
        <f>opex_orig!BM29</f>
        <v>1.05211222108481E-6</v>
      </c>
      <c r="BW29" s="27">
        <f>opex_orig!BN29</f>
        <v>1.85355595265987E-6</v>
      </c>
      <c r="BX29" s="27">
        <f>opex_orig!BO29</f>
        <v>3.71586232102512E-7</v>
      </c>
      <c r="BY29" s="27">
        <f>opex_orig!BP29</f>
        <v>3.0436622981304702E-7</v>
      </c>
      <c r="BZ29" s="27">
        <f>opex_orig!BQ29</f>
        <v>3.66910732948531E-7</v>
      </c>
      <c r="CA29" s="27">
        <f>opex_orig!BR29</f>
        <v>3.0021044782812902E-7</v>
      </c>
      <c r="CB29" s="27">
        <f>opex_orig!BS29</f>
        <v>1.5231435831521799E-6</v>
      </c>
      <c r="CC29" s="27">
        <f>opex_orig!BT29</f>
        <v>6.0566992662685895E-7</v>
      </c>
      <c r="CD29" s="27">
        <f>opex_orig!BU29</f>
        <v>2.8754383216396199E-7</v>
      </c>
      <c r="CE29" s="27">
        <f>opex_orig!BV29</f>
        <v>2.8754383216396199E-7</v>
      </c>
      <c r="CF29" s="27">
        <f>opex_orig!BW29</f>
        <v>1.6665367535863099E-6</v>
      </c>
      <c r="CG29" s="27">
        <f>opex_orig!BX29</f>
        <v>1.8945697207439599E-7</v>
      </c>
      <c r="CH29" s="27">
        <f>opex_orig!BY29</f>
        <v>9.4602635973339406E-8</v>
      </c>
      <c r="CI29" s="27">
        <f>opex_orig!BZ29</f>
        <v>6.8100000000000002E-7</v>
      </c>
      <c r="CJ29" s="27">
        <f>opex_orig!CA29</f>
        <v>3.9400000000000001E-7</v>
      </c>
      <c r="CK29" s="27">
        <f>opex_orig!CB29</f>
        <v>4.5299999999999999E-7</v>
      </c>
      <c r="CL29" s="27">
        <f>opex_orig!CC29</f>
        <v>1.9399999999999999E-7</v>
      </c>
      <c r="CM29" s="27">
        <f>opex_orig!CD29</f>
        <v>1.9599999999999999E-6</v>
      </c>
      <c r="CN29" s="27">
        <f>opex_orig!CE29</f>
        <v>1.33E-6</v>
      </c>
      <c r="CO29" s="27">
        <f>opex_orig!CF29</f>
        <v>2.9399999999999998E-6</v>
      </c>
      <c r="CP29" s="27">
        <f>opex_orig!CG29</f>
        <v>9.5900000000000005E-7</v>
      </c>
    </row>
    <row r="30" spans="1:94" x14ac:dyDescent="0.25">
      <c r="A30" s="5" t="s">
        <v>79</v>
      </c>
      <c r="B30" s="2" t="s">
        <v>78</v>
      </c>
      <c r="C30" s="1" t="s">
        <v>326</v>
      </c>
      <c r="D30" s="188">
        <f>opex_orig!D30</f>
        <v>3.2121199999999997E-4</v>
      </c>
      <c r="E30" s="188">
        <f>opex_orig!E30</f>
        <v>7.3399999999999995E-5</v>
      </c>
      <c r="F30" s="188">
        <f>opex_orig!F30</f>
        <v>1.0084100000000001E-4</v>
      </c>
      <c r="G30" s="188">
        <f>opex_orig!G30</f>
        <v>1.4800000000000001E-5</v>
      </c>
      <c r="H30" s="188">
        <f>opex_orig!H30</f>
        <v>2.09E-5</v>
      </c>
      <c r="I30" s="188">
        <f>opex_orig!I30</f>
        <v>1.1457E-4</v>
      </c>
      <c r="J30" s="188">
        <f>opex_orig!J30</f>
        <v>1.7083500000000001E-4</v>
      </c>
      <c r="K30" s="188">
        <f>opex_orig!K30</f>
        <v>3.5899999999999998E-5</v>
      </c>
      <c r="L30" s="188">
        <f>opex_orig!L30</f>
        <v>1.6541700000000001E-4</v>
      </c>
      <c r="M30" s="188">
        <f>opex_orig!M30</f>
        <v>1.7083800000000001E-4</v>
      </c>
      <c r="N30" s="188">
        <f>opex_orig!N30</f>
        <v>2.1023E-4</v>
      </c>
      <c r="O30" s="188">
        <f>opex_orig!O30</f>
        <v>2.5870800000000002E-4</v>
      </c>
      <c r="P30" s="188">
        <f>opex_orig!P30</f>
        <v>2.43217E-4</v>
      </c>
      <c r="Q30" s="188">
        <f>opex_orig!Q30</f>
        <v>4.57E-5</v>
      </c>
      <c r="R30" s="188">
        <f>opex_orig!R30</f>
        <v>1.2804900000000001E-4</v>
      </c>
      <c r="S30" s="188">
        <f>opex_orig!S30</f>
        <v>2.4996699999999997E-4</v>
      </c>
      <c r="T30" s="188">
        <f>opex_orig!T30</f>
        <v>2.8664899999999999E-4</v>
      </c>
      <c r="U30" s="188">
        <f>opex_orig!U30</f>
        <v>2.6164100000000001E-4</v>
      </c>
      <c r="V30" s="188">
        <f>opex_orig!V30</f>
        <v>2.9317900000000002E-4</v>
      </c>
      <c r="W30" s="188">
        <f>opex_orig!W30</f>
        <v>3.5760099999999998E-4</v>
      </c>
      <c r="X30" s="188">
        <f>opex_orig!X30</f>
        <v>1.2593700000000001E-4</v>
      </c>
      <c r="Y30" s="188">
        <f>opex_orig!Y30</f>
        <v>1.87655E-4</v>
      </c>
      <c r="Z30" s="188">
        <f>opex_orig!Z30</f>
        <v>1.9804100000000001E-4</v>
      </c>
      <c r="AA30" s="188">
        <f>opex_orig!AA30</f>
        <v>2.28703E-4</v>
      </c>
      <c r="AB30" s="188">
        <f>opex_orig!$AB30</f>
        <v>5.2427569028656504E-4</v>
      </c>
      <c r="AC30" s="188">
        <f>opex_orig!$AB30</f>
        <v>5.2427569028656504E-4</v>
      </c>
      <c r="AD30" s="188">
        <f>opex_orig!$AB30</f>
        <v>5.2427569028656504E-4</v>
      </c>
      <c r="AE30" s="188">
        <f>opex_orig!$AC30</f>
        <v>2.8630270859252E-4</v>
      </c>
      <c r="AF30" s="188">
        <f>opex_orig!$AD30</f>
        <v>1.07888591946831E-4</v>
      </c>
      <c r="AG30" s="188">
        <f>opex_orig!$AD30</f>
        <v>1.07888591946831E-4</v>
      </c>
      <c r="AH30" s="188">
        <f>opex_orig!$AD30</f>
        <v>1.07888591946831E-4</v>
      </c>
      <c r="AI30" s="188">
        <f>opex_orig!AE30</f>
        <v>9.0400000000000002E-5</v>
      </c>
      <c r="AJ30" s="188">
        <f>opex_orig!AF30</f>
        <v>3.8960119999999999E-3</v>
      </c>
      <c r="AK30" s="188">
        <f>opex_orig!AG30</f>
        <v>1.8416680000000001E-3</v>
      </c>
      <c r="AL30" s="188">
        <f>opex_orig!AH30</f>
        <v>9.9677800000000003E-4</v>
      </c>
      <c r="AM30" s="188">
        <f>opex_orig!AI30</f>
        <v>6.0687899999999995E-4</v>
      </c>
      <c r="AN30" s="188">
        <f>opex_orig!AJ30</f>
        <v>9.7659799999999996E-4</v>
      </c>
      <c r="AO30" s="188">
        <f>opex_orig!AK30</f>
        <v>1.379412E-3</v>
      </c>
      <c r="AP30" s="188">
        <f>opex_orig!$AL30</f>
        <v>6.6108658524873204E-4</v>
      </c>
      <c r="AQ30" s="188">
        <f>opex_orig!$AL30</f>
        <v>6.6108658524873204E-4</v>
      </c>
      <c r="AR30" s="188">
        <f>opex_orig!$AL30</f>
        <v>6.6108658524873204E-4</v>
      </c>
      <c r="AS30" s="188">
        <f>opex_orig!$AM30</f>
        <v>6.24846178165957E-4</v>
      </c>
      <c r="AT30" s="188">
        <f>opex_orig!AN30</f>
        <v>1.0342560000000001E-3</v>
      </c>
      <c r="AU30" s="349">
        <f>opex_concordance!M590</f>
        <v>6.7444747463274298E-3</v>
      </c>
      <c r="AV30" s="349">
        <f>opex_concordance!M636</f>
        <v>6.3627397042193912E-3</v>
      </c>
      <c r="AW30" s="349">
        <f>opex_concordance!M682</f>
        <v>5.5905785861319083E-3</v>
      </c>
      <c r="AX30" s="188">
        <f>opex_orig!$AP30</f>
        <v>7.0342769915321002E-3</v>
      </c>
      <c r="AY30" s="188">
        <f>opex_orig!AQ30</f>
        <v>7.2524670000000003E-3</v>
      </c>
      <c r="AZ30" s="188">
        <f>opex_orig!AR30</f>
        <v>0</v>
      </c>
      <c r="BA30" s="188">
        <f>opex_orig!AS30</f>
        <v>4.4905819999999999E-3</v>
      </c>
      <c r="BB30" s="188">
        <f>opex_orig!AT30</f>
        <v>5.0038119999999998E-3</v>
      </c>
      <c r="BC30" s="188">
        <f>opex_orig!AU30</f>
        <v>4.1318519999999997E-2</v>
      </c>
      <c r="BD30" s="188">
        <f>opex_orig!AV30</f>
        <v>4.3362451000000003E-2</v>
      </c>
      <c r="BE30" s="188">
        <f>opex_orig!AW30</f>
        <v>3.7979379999999998E-3</v>
      </c>
      <c r="BF30" s="188">
        <f>opex_orig!AX30</f>
        <v>0</v>
      </c>
      <c r="BG30" s="188">
        <f>opex_orig!AY30</f>
        <v>5.03401E-4</v>
      </c>
      <c r="BH30" s="188">
        <f>opex_orig!AZ30</f>
        <v>0</v>
      </c>
      <c r="BI30" s="188">
        <f>opex_orig!BA30</f>
        <v>7.0853110000000004E-3</v>
      </c>
      <c r="BJ30" s="188">
        <f>opex_orig!BB30</f>
        <v>2.335003E-3</v>
      </c>
      <c r="BK30" s="188">
        <f>opex_orig!BC30</f>
        <v>2.8617069999999998E-3</v>
      </c>
      <c r="BL30" s="188">
        <f>opex_orig!BD30</f>
        <v>1.2280200000000001E-4</v>
      </c>
      <c r="BM30" s="188">
        <f>opex_orig!BE30</f>
        <v>1.94915E-3</v>
      </c>
      <c r="BN30" s="188">
        <f>opex_orig!BF30</f>
        <v>1.4790100000000001E-4</v>
      </c>
      <c r="BO30" s="188">
        <f>opex_orig!BG30</f>
        <v>8.9150000000000004E-4</v>
      </c>
      <c r="BP30" s="188">
        <f>opex_orig!$BH30</f>
        <v>9.3037823267944704E-4</v>
      </c>
      <c r="BQ30" s="188">
        <f>opex_orig!$BH30</f>
        <v>9.3037823267944704E-4</v>
      </c>
      <c r="BR30" s="188">
        <f>opex_orig!BI30</f>
        <v>2.3507710000000002E-3</v>
      </c>
      <c r="BS30" s="188">
        <f>opex_orig!BJ30</f>
        <v>1.8272430000000001E-3</v>
      </c>
      <c r="BT30" s="188">
        <f>opex_orig!BK30</f>
        <v>8.2750250000000001E-3</v>
      </c>
      <c r="BU30" s="188">
        <f>opex_orig!BL30</f>
        <v>0</v>
      </c>
      <c r="BV30" s="27">
        <f>opex_orig!BM30</f>
        <v>1.7184175310904E-4</v>
      </c>
      <c r="BW30" s="27">
        <f>opex_orig!BN30</f>
        <v>3.6808335208619099E-4</v>
      </c>
      <c r="BX30" s="27">
        <f>opex_orig!BO30</f>
        <v>6.5132852541496504E-5</v>
      </c>
      <c r="BY30" s="27">
        <f>opex_orig!BP30</f>
        <v>1.21791183863813E-4</v>
      </c>
      <c r="BZ30" s="27">
        <f>opex_orig!BQ30</f>
        <v>1.4755088167342899E-4</v>
      </c>
      <c r="CA30" s="27">
        <f>opex_orig!BR30</f>
        <v>2.2667259183317202E-5</v>
      </c>
      <c r="CB30" s="27">
        <f>opex_orig!BS30</f>
        <v>3.0668701482005001E-4</v>
      </c>
      <c r="CC30" s="27">
        <f>opex_orig!BT30</f>
        <v>3.1671119109134403E-5</v>
      </c>
      <c r="CD30" s="27">
        <f>opex_orig!BU30</f>
        <v>8.4442282292561304E-5</v>
      </c>
      <c r="CE30" s="27">
        <f>opex_orig!BV30</f>
        <v>8.4442282292561399E-5</v>
      </c>
      <c r="CF30" s="27">
        <f>opex_orig!BW30</f>
        <v>2.21952462770045E-4</v>
      </c>
      <c r="CG30" s="27">
        <f>opex_orig!BX30</f>
        <v>1.09077130003885E-5</v>
      </c>
      <c r="CH30" s="27">
        <f>opex_orig!BY30</f>
        <v>3.12106352737079E-4</v>
      </c>
      <c r="CI30" s="27">
        <f>opex_orig!BZ30</f>
        <v>1.3925999999999999E-4</v>
      </c>
      <c r="CJ30" s="27">
        <f>opex_orig!CA30</f>
        <v>9.9900000000000002E-5</v>
      </c>
      <c r="CK30" s="27">
        <f>opex_orig!CB30</f>
        <v>1.0340699999999999E-4</v>
      </c>
      <c r="CL30" s="27">
        <f>opex_orig!CC30</f>
        <v>9.6600000000000003E-5</v>
      </c>
      <c r="CM30" s="27">
        <f>opex_orig!CD30</f>
        <v>3.8495800000000002E-4</v>
      </c>
      <c r="CN30" s="27">
        <f>opex_orig!CE30</f>
        <v>1.4653299999999999E-4</v>
      </c>
      <c r="CO30" s="27">
        <f>opex_orig!CF30</f>
        <v>3.06908E-4</v>
      </c>
      <c r="CP30" s="27">
        <f>opex_orig!CG30</f>
        <v>7.9400000000000006E-5</v>
      </c>
    </row>
    <row r="31" spans="1:94" x14ac:dyDescent="0.25">
      <c r="A31" s="5" t="s">
        <v>81</v>
      </c>
      <c r="B31" s="2" t="s">
        <v>80</v>
      </c>
      <c r="C31" s="1" t="s">
        <v>326</v>
      </c>
      <c r="D31" s="188">
        <f>opex_orig!D31</f>
        <v>1.7499999999999998E-5</v>
      </c>
      <c r="E31" s="188">
        <f>opex_orig!E31</f>
        <v>1.1199999999999999E-5</v>
      </c>
      <c r="F31" s="188">
        <f>opex_orig!F31</f>
        <v>8.9800000000000004E-6</v>
      </c>
      <c r="G31" s="188">
        <f>opex_orig!G31</f>
        <v>2.26E-6</v>
      </c>
      <c r="H31" s="188">
        <f>opex_orig!H31</f>
        <v>2.9399999999999998E-6</v>
      </c>
      <c r="I31" s="188">
        <f>opex_orig!I31</f>
        <v>8.0099999999999995E-6</v>
      </c>
      <c r="J31" s="188">
        <f>opex_orig!J31</f>
        <v>1.6900000000000001E-5</v>
      </c>
      <c r="K31" s="188">
        <f>opex_orig!K31</f>
        <v>5.0799999999999996E-6</v>
      </c>
      <c r="L31" s="188">
        <f>opex_orig!L31</f>
        <v>1.43E-5</v>
      </c>
      <c r="M31" s="188">
        <f>opex_orig!M31</f>
        <v>1.43E-5</v>
      </c>
      <c r="N31" s="188">
        <f>opex_orig!N31</f>
        <v>6.2100000000000005E-5</v>
      </c>
      <c r="O31" s="188">
        <f>opex_orig!O31</f>
        <v>4.8099999999999997E-5</v>
      </c>
      <c r="P31" s="188">
        <f>opex_orig!P31</f>
        <v>2.02E-5</v>
      </c>
      <c r="Q31" s="188">
        <f>opex_orig!Q31</f>
        <v>3.4300000000000002E-6</v>
      </c>
      <c r="R31" s="188">
        <f>opex_orig!R31</f>
        <v>8.7199999999999995E-6</v>
      </c>
      <c r="S31" s="188">
        <f>opex_orig!S31</f>
        <v>9.0100000000000001E-6</v>
      </c>
      <c r="T31" s="188">
        <f>opex_orig!T31</f>
        <v>1.08E-5</v>
      </c>
      <c r="U31" s="188">
        <f>opex_orig!U31</f>
        <v>1.5500000000000001E-5</v>
      </c>
      <c r="V31" s="188">
        <f>opex_orig!V31</f>
        <v>3.0499999999999999E-5</v>
      </c>
      <c r="W31" s="188">
        <f>opex_orig!W31</f>
        <v>6.3100000000000002E-5</v>
      </c>
      <c r="X31" s="188">
        <f>opex_orig!X31</f>
        <v>9.8400000000000007E-6</v>
      </c>
      <c r="Y31" s="188">
        <f>opex_orig!Y31</f>
        <v>7.96E-6</v>
      </c>
      <c r="Z31" s="188">
        <f>opex_orig!Z31</f>
        <v>4.0099999999999999E-5</v>
      </c>
      <c r="AA31" s="188">
        <f>opex_orig!AA31</f>
        <v>1.9700000000000001E-5</v>
      </c>
      <c r="AB31" s="188">
        <f>opex_orig!$AB31</f>
        <v>1.3561961498246899E-4</v>
      </c>
      <c r="AC31" s="188">
        <f>opex_orig!$AB31</f>
        <v>1.3561961498246899E-4</v>
      </c>
      <c r="AD31" s="188">
        <f>opex_orig!$AB31</f>
        <v>1.3561961498246899E-4</v>
      </c>
      <c r="AE31" s="188">
        <f>opex_orig!$AC31</f>
        <v>1.9290262230909499E-4</v>
      </c>
      <c r="AF31" s="188">
        <f>opex_orig!$AD31</f>
        <v>4.1313424733213399E-5</v>
      </c>
      <c r="AG31" s="188">
        <f>opex_orig!$AD31</f>
        <v>4.1313424733213399E-5</v>
      </c>
      <c r="AH31" s="188">
        <f>opex_orig!$AD31</f>
        <v>4.1313424733213399E-5</v>
      </c>
      <c r="AI31" s="188">
        <f>opex_orig!AE31</f>
        <v>2.4199999999999999E-5</v>
      </c>
      <c r="AJ31" s="188">
        <f>opex_orig!AF31</f>
        <v>8.3200000000000003E-5</v>
      </c>
      <c r="AK31" s="188">
        <f>opex_orig!AG31</f>
        <v>4.1199999999999999E-5</v>
      </c>
      <c r="AL31" s="188">
        <f>opex_orig!AH31</f>
        <v>1.5694E-4</v>
      </c>
      <c r="AM31" s="188">
        <f>opex_orig!AI31</f>
        <v>3.3699999999999999E-5</v>
      </c>
      <c r="AN31" s="188">
        <f>opex_orig!AJ31</f>
        <v>9.7E-5</v>
      </c>
      <c r="AO31" s="188">
        <f>opex_orig!AK31</f>
        <v>7.1199999999999996E-5</v>
      </c>
      <c r="AP31" s="188">
        <f>opex_orig!$AL31</f>
        <v>4.7181987372213898E-5</v>
      </c>
      <c r="AQ31" s="188">
        <f>opex_orig!$AL31</f>
        <v>4.7181987372213898E-5</v>
      </c>
      <c r="AR31" s="188">
        <f>opex_orig!$AL31</f>
        <v>4.7181987372213898E-5</v>
      </c>
      <c r="AS31" s="188">
        <f>opex_orig!$AM31</f>
        <v>4.3953328550958999E-5</v>
      </c>
      <c r="AT31" s="188">
        <f>opex_orig!AN31</f>
        <v>1.4008900000000001E-4</v>
      </c>
      <c r="AU31" s="188">
        <f>opex_orig!$AO31</f>
        <v>6.4072934243100395E-4</v>
      </c>
      <c r="AV31" s="188">
        <f>opex_orig!$AO31</f>
        <v>6.4072934243100395E-4</v>
      </c>
      <c r="AW31" s="188">
        <f>opex_orig!$AO31</f>
        <v>6.4072934243100395E-4</v>
      </c>
      <c r="AX31" s="188">
        <f>opex_orig!$AP31</f>
        <v>5.7671480153063102E-4</v>
      </c>
      <c r="AY31" s="188">
        <f>opex_orig!AQ31</f>
        <v>6.6713999999999999E-4</v>
      </c>
      <c r="AZ31" s="188">
        <f>opex_orig!AR31</f>
        <v>0</v>
      </c>
      <c r="BA31" s="188">
        <f>opex_orig!AS31</f>
        <v>3.5218199999999998E-4</v>
      </c>
      <c r="BB31" s="188">
        <f>opex_orig!AT31</f>
        <v>3.7137200000000002E-4</v>
      </c>
      <c r="BC31" s="188">
        <f>opex_orig!AU31</f>
        <v>3.493454E-3</v>
      </c>
      <c r="BD31" s="188">
        <f>opex_orig!AV31</f>
        <v>3.6541439999999998E-3</v>
      </c>
      <c r="BE31" s="188">
        <f>opex_orig!AW31</f>
        <v>6.6470600000000004E-4</v>
      </c>
      <c r="BF31" s="188">
        <f>opex_orig!AX31</f>
        <v>0</v>
      </c>
      <c r="BG31" s="188">
        <f>opex_orig!AY31</f>
        <v>1.493601E-3</v>
      </c>
      <c r="BH31" s="188">
        <f>opex_orig!AZ31</f>
        <v>0</v>
      </c>
      <c r="BI31" s="188">
        <f>opex_orig!BA31</f>
        <v>9.7911900000000008E-4</v>
      </c>
      <c r="BJ31" s="188">
        <f>opex_orig!BB31</f>
        <v>1.8385100000000001E-4</v>
      </c>
      <c r="BK31" s="188">
        <f>opex_orig!BC31</f>
        <v>2.2150499999999999E-4</v>
      </c>
      <c r="BL31" s="188">
        <f>opex_orig!BD31</f>
        <v>2.8E-5</v>
      </c>
      <c r="BM31" s="188">
        <f>opex_orig!BE31</f>
        <v>1.5976200000000001E-4</v>
      </c>
      <c r="BN31" s="188">
        <f>opex_orig!BF31</f>
        <v>1.38E-5</v>
      </c>
      <c r="BO31" s="188">
        <f>opex_orig!BG31</f>
        <v>4.9799999999999998E-5</v>
      </c>
      <c r="BP31" s="188">
        <f>opex_orig!$BH31</f>
        <v>5.2520850081344E-5</v>
      </c>
      <c r="BQ31" s="188">
        <f>opex_orig!$BH31</f>
        <v>5.2520850081344E-5</v>
      </c>
      <c r="BR31" s="188">
        <f>opex_orig!BI31</f>
        <v>1.4376600000000001E-4</v>
      </c>
      <c r="BS31" s="188">
        <f>opex_orig!BJ31</f>
        <v>1.05944E-4</v>
      </c>
      <c r="BT31" s="188">
        <f>opex_orig!BK31</f>
        <v>8.10409E-4</v>
      </c>
      <c r="BU31" s="188">
        <f>opex_orig!BL31</f>
        <v>0</v>
      </c>
      <c r="BV31" s="27">
        <f>opex_orig!BM31</f>
        <v>7.4244990703828801E-6</v>
      </c>
      <c r="BW31" s="27">
        <f>opex_orig!BN31</f>
        <v>7.0311780988442996E-5</v>
      </c>
      <c r="BX31" s="27">
        <f>opex_orig!BO31</f>
        <v>5.8891177497475498E-6</v>
      </c>
      <c r="BY31" s="27">
        <f>opex_orig!BP31</f>
        <v>5.4192345893193603E-5</v>
      </c>
      <c r="BZ31" s="27">
        <f>opex_orig!BQ31</f>
        <v>1.8686868312892E-5</v>
      </c>
      <c r="CA31" s="27">
        <f>opex_orig!BR31</f>
        <v>8.3954645436840004E-6</v>
      </c>
      <c r="CB31" s="27">
        <f>opex_orig!BS31</f>
        <v>4.4486311114153903E-5</v>
      </c>
      <c r="CC31" s="27">
        <f>opex_orig!BT31</f>
        <v>3.54957230690824E-6</v>
      </c>
      <c r="CD31" s="27">
        <f>opex_orig!BU31</f>
        <v>1.9107370317976301E-6</v>
      </c>
      <c r="CE31" s="27">
        <f>opex_orig!BV31</f>
        <v>1.9107370317976301E-6</v>
      </c>
      <c r="CF31" s="27">
        <f>opex_orig!BW31</f>
        <v>6.6281514690317699E-4</v>
      </c>
      <c r="CG31" s="27">
        <f>opex_orig!BX31</f>
        <v>1.8613584103502199E-6</v>
      </c>
      <c r="CH31" s="27">
        <f>opex_orig!BY31</f>
        <v>8.1052858422628996E-5</v>
      </c>
      <c r="CI31" s="27">
        <f>opex_orig!BZ31</f>
        <v>3.1999999999999999E-5</v>
      </c>
      <c r="CJ31" s="27">
        <f>opex_orig!CA31</f>
        <v>8.7299999999999994E-6</v>
      </c>
      <c r="CK31" s="27">
        <f>opex_orig!CB31</f>
        <v>5.6300000000000003E-6</v>
      </c>
      <c r="CL31" s="27">
        <f>opex_orig!CC31</f>
        <v>6.72E-6</v>
      </c>
      <c r="CM31" s="27">
        <f>opex_orig!CD31</f>
        <v>2.3900000000000002E-5</v>
      </c>
      <c r="CN31" s="27">
        <f>opex_orig!CE31</f>
        <v>1.6200000000000001E-5</v>
      </c>
      <c r="CO31" s="27">
        <f>opex_orig!CF31</f>
        <v>2.7699999999999999E-5</v>
      </c>
      <c r="CP31" s="27">
        <f>opex_orig!CG31</f>
        <v>3.2499999999999997E-5</v>
      </c>
    </row>
    <row r="32" spans="1:94" x14ac:dyDescent="0.25">
      <c r="A32" s="5" t="s">
        <v>83</v>
      </c>
      <c r="B32" s="2" t="s">
        <v>82</v>
      </c>
      <c r="C32" s="1" t="s">
        <v>326</v>
      </c>
      <c r="D32" s="188">
        <f>opex_orig!D32</f>
        <v>1.01E-5</v>
      </c>
      <c r="E32" s="188">
        <f>opex_orig!E32</f>
        <v>2.3999999999999999E-6</v>
      </c>
      <c r="F32" s="188">
        <f>opex_orig!F32</f>
        <v>3.2399999999999999E-6</v>
      </c>
      <c r="G32" s="188">
        <f>opex_orig!G32</f>
        <v>2.8900000000000001E-7</v>
      </c>
      <c r="H32" s="188">
        <f>opex_orig!H32</f>
        <v>4.3500000000000002E-7</v>
      </c>
      <c r="I32" s="188">
        <f>opex_orig!I32</f>
        <v>3.4599999999999999E-6</v>
      </c>
      <c r="J32" s="188">
        <f>opex_orig!J32</f>
        <v>2.2500000000000001E-5</v>
      </c>
      <c r="K32" s="188">
        <f>opex_orig!K32</f>
        <v>8.23E-7</v>
      </c>
      <c r="L32" s="188">
        <f>opex_orig!L32</f>
        <v>7.2600000000000003E-5</v>
      </c>
      <c r="M32" s="188">
        <f>opex_orig!M32</f>
        <v>5.8300000000000001E-6</v>
      </c>
      <c r="N32" s="188">
        <f>opex_orig!N32</f>
        <v>1.59E-5</v>
      </c>
      <c r="O32" s="188">
        <f>opex_orig!O32</f>
        <v>7.1400000000000002E-6</v>
      </c>
      <c r="P32" s="188">
        <f>opex_orig!P32</f>
        <v>8.5099999999999998E-6</v>
      </c>
      <c r="Q32" s="188">
        <f>opex_orig!Q32</f>
        <v>1.5E-6</v>
      </c>
      <c r="R32" s="188">
        <f>opex_orig!R32</f>
        <v>2.8899999999999999E-6</v>
      </c>
      <c r="S32" s="188">
        <f>opex_orig!S32</f>
        <v>4.3699999999999997E-6</v>
      </c>
      <c r="T32" s="188">
        <f>opex_orig!T32</f>
        <v>1.0200000000000001E-5</v>
      </c>
      <c r="U32" s="188">
        <f>opex_orig!U32</f>
        <v>4.1500000000000001E-6</v>
      </c>
      <c r="V32" s="188">
        <f>opex_orig!V32</f>
        <v>5.0499999999999999E-6</v>
      </c>
      <c r="W32" s="188">
        <f>opex_orig!W32</f>
        <v>3.1499999999999999E-6</v>
      </c>
      <c r="X32" s="188">
        <f>opex_orig!X32</f>
        <v>2.9699999999999999E-6</v>
      </c>
      <c r="Y32" s="188">
        <f>opex_orig!Y32</f>
        <v>3.05E-6</v>
      </c>
      <c r="Z32" s="188">
        <f>opex_orig!Z32</f>
        <v>9.0000000000000002E-6</v>
      </c>
      <c r="AA32" s="188">
        <f>opex_orig!AA32</f>
        <v>9.73E-6</v>
      </c>
      <c r="AB32" s="188">
        <f>opex_orig!$AB32</f>
        <v>1.60132226993228E-5</v>
      </c>
      <c r="AC32" s="188">
        <f>opex_orig!$AB32</f>
        <v>1.60132226993228E-5</v>
      </c>
      <c r="AD32" s="188">
        <f>opex_orig!$AB32</f>
        <v>1.60132226993228E-5</v>
      </c>
      <c r="AE32" s="188">
        <f>opex_orig!$AC32</f>
        <v>1.5966992588181501E-5</v>
      </c>
      <c r="AF32" s="188">
        <f>opex_orig!$AD32</f>
        <v>6.7588696847659401E-6</v>
      </c>
      <c r="AG32" s="188">
        <f>opex_orig!$AD32</f>
        <v>6.7588696847659401E-6</v>
      </c>
      <c r="AH32" s="188">
        <f>opex_orig!$AD32</f>
        <v>6.7588696847659401E-6</v>
      </c>
      <c r="AI32" s="188">
        <f>opex_orig!AE32</f>
        <v>5.75E-6</v>
      </c>
      <c r="AJ32" s="188">
        <f>opex_orig!AF32</f>
        <v>4.7599999999999998E-5</v>
      </c>
      <c r="AK32" s="188">
        <f>opex_orig!AG32</f>
        <v>1.29E-5</v>
      </c>
      <c r="AL32" s="188">
        <f>opex_orig!AH32</f>
        <v>6.8899999999999994E-5</v>
      </c>
      <c r="AM32" s="188">
        <f>opex_orig!AI32</f>
        <v>1.63E-5</v>
      </c>
      <c r="AN32" s="188">
        <f>opex_orig!AJ32</f>
        <v>5.5500000000000001E-5</v>
      </c>
      <c r="AO32" s="188">
        <f>opex_orig!AK32</f>
        <v>4.2599999999999999E-5</v>
      </c>
      <c r="AP32" s="188">
        <f>opex_orig!$AL32</f>
        <v>2.7445612840193302E-5</v>
      </c>
      <c r="AQ32" s="188">
        <f>opex_orig!$AL32</f>
        <v>2.7445612840193302E-5</v>
      </c>
      <c r="AR32" s="188">
        <f>opex_orig!$AL32</f>
        <v>2.7445612840193302E-5</v>
      </c>
      <c r="AS32" s="188">
        <f>opex_orig!$AM32</f>
        <v>2.6970741298199699E-5</v>
      </c>
      <c r="AT32" s="188">
        <f>opex_orig!AN32</f>
        <v>3.57E-5</v>
      </c>
      <c r="AU32" s="188">
        <f>opex_orig!$AO32</f>
        <v>2.0943543525430799E-3</v>
      </c>
      <c r="AV32" s="188">
        <f>opex_orig!$AO32</f>
        <v>2.0943543525430799E-3</v>
      </c>
      <c r="AW32" s="188">
        <f>opex_orig!$AO32</f>
        <v>2.0943543525430799E-3</v>
      </c>
      <c r="AX32" s="188">
        <f>opex_orig!$AP32</f>
        <v>1.46457519736504E-3</v>
      </c>
      <c r="AY32" s="188">
        <f>opex_orig!AQ32</f>
        <v>2.5999999999999998E-5</v>
      </c>
      <c r="AZ32" s="188">
        <f>opex_orig!AR32</f>
        <v>0</v>
      </c>
      <c r="BA32" s="188">
        <f>opex_orig!AS32</f>
        <v>4.07E-5</v>
      </c>
      <c r="BB32" s="188">
        <f>opex_orig!AT32</f>
        <v>4.1E-5</v>
      </c>
      <c r="BC32" s="188">
        <f>opex_orig!AU32</f>
        <v>3.7666899999999999E-4</v>
      </c>
      <c r="BD32" s="188">
        <f>opex_orig!AV32</f>
        <v>3.94714E-4</v>
      </c>
      <c r="BE32" s="188">
        <f>opex_orig!AW32</f>
        <v>1.48262E-4</v>
      </c>
      <c r="BF32" s="188">
        <f>opex_orig!AX32</f>
        <v>0</v>
      </c>
      <c r="BG32" s="188">
        <f>opex_orig!AY32</f>
        <v>0.125664307</v>
      </c>
      <c r="BH32" s="188">
        <f>opex_orig!AZ32</f>
        <v>0</v>
      </c>
      <c r="BI32" s="188">
        <f>opex_orig!BA32</f>
        <v>7.8500900000000003E-4</v>
      </c>
      <c r="BJ32" s="188">
        <f>opex_orig!BB32</f>
        <v>4.5300000000000003E-5</v>
      </c>
      <c r="BK32" s="188">
        <f>opex_orig!BC32</f>
        <v>4.9100000000000001E-5</v>
      </c>
      <c r="BL32" s="188">
        <f>opex_orig!BD32</f>
        <v>1.9400000000000001E-5</v>
      </c>
      <c r="BM32" s="188">
        <f>opex_orig!BE32</f>
        <v>4.1E-5</v>
      </c>
      <c r="BN32" s="188">
        <f>opex_orig!BF32</f>
        <v>1.4800000000000001E-5</v>
      </c>
      <c r="BO32" s="188">
        <f>opex_orig!BG32</f>
        <v>1.9300000000000002E-5</v>
      </c>
      <c r="BP32" s="188">
        <f>opex_orig!$BH32</f>
        <v>2.0129316787357099E-5</v>
      </c>
      <c r="BQ32" s="188">
        <f>opex_orig!$BH32</f>
        <v>2.0129316787357099E-5</v>
      </c>
      <c r="BR32" s="188">
        <f>opex_orig!BI32</f>
        <v>3.9400000000000002E-5</v>
      </c>
      <c r="BS32" s="188">
        <f>opex_orig!BJ32</f>
        <v>2.1299999999999999E-5</v>
      </c>
      <c r="BT32" s="188">
        <f>opex_orig!BK32</f>
        <v>1.96701E-4</v>
      </c>
      <c r="BU32" s="188">
        <f>opex_orig!BL32</f>
        <v>0</v>
      </c>
      <c r="BV32" s="27">
        <f>opex_orig!BM32</f>
        <v>5.2963786326722903E-6</v>
      </c>
      <c r="BW32" s="27">
        <f>opex_orig!BN32</f>
        <v>1.15487004423204E-5</v>
      </c>
      <c r="BX32" s="27">
        <f>opex_orig!BO32</f>
        <v>2.3283273633339301E-6</v>
      </c>
      <c r="BY32" s="27">
        <f>opex_orig!BP32</f>
        <v>5.11549469902427E-6</v>
      </c>
      <c r="BZ32" s="27">
        <f>opex_orig!BQ32</f>
        <v>8.5781722776040798E-6</v>
      </c>
      <c r="CA32" s="27">
        <f>opex_orig!BR32</f>
        <v>2.15170799772743E-6</v>
      </c>
      <c r="CB32" s="27">
        <f>opex_orig!BS32</f>
        <v>9.9910169231071397E-6</v>
      </c>
      <c r="CC32" s="27">
        <f>opex_orig!BT32</f>
        <v>2.6234949962634199E-3</v>
      </c>
      <c r="CD32" s="27">
        <f>opex_orig!BU32</f>
        <v>1.5432766328910899E-6</v>
      </c>
      <c r="CE32" s="27">
        <f>opex_orig!BV32</f>
        <v>1.5432766328910899E-6</v>
      </c>
      <c r="CF32" s="27">
        <f>opex_orig!BW32</f>
        <v>6.7011978622276303E-6</v>
      </c>
      <c r="CG32" s="27">
        <f>opex_orig!BX32</f>
        <v>1.07704737870192E-6</v>
      </c>
      <c r="CH32" s="27">
        <f>opex_orig!BY32</f>
        <v>2.0405883952220799E-5</v>
      </c>
      <c r="CI32" s="27">
        <f>opex_orig!BZ32</f>
        <v>5.3199999999999999E-6</v>
      </c>
      <c r="CJ32" s="27">
        <f>opex_orig!CA32</f>
        <v>2.6400000000000001E-6</v>
      </c>
      <c r="CK32" s="27">
        <f>opex_orig!CB32</f>
        <v>2.79E-6</v>
      </c>
      <c r="CL32" s="27">
        <f>opex_orig!CC32</f>
        <v>1.48E-6</v>
      </c>
      <c r="CM32" s="27">
        <f>opex_orig!CD32</f>
        <v>1.06E-5</v>
      </c>
      <c r="CN32" s="27">
        <f>opex_orig!CE32</f>
        <v>6.9199999999999998E-6</v>
      </c>
      <c r="CO32" s="27">
        <f>opex_orig!CF32</f>
        <v>1.1800000000000001E-5</v>
      </c>
      <c r="CP32" s="27">
        <f>opex_orig!CG32</f>
        <v>4.6700000000000002E-6</v>
      </c>
    </row>
    <row r="33" spans="1:94" x14ac:dyDescent="0.25">
      <c r="A33" s="5" t="s">
        <v>85</v>
      </c>
      <c r="B33" s="2" t="s">
        <v>84</v>
      </c>
      <c r="C33" s="1" t="s">
        <v>326</v>
      </c>
      <c r="D33" s="188">
        <f>opex_orig!D33</f>
        <v>1.8983199999999999E-4</v>
      </c>
      <c r="E33" s="188">
        <f>opex_orig!E33</f>
        <v>2.0869899999999999E-4</v>
      </c>
      <c r="F33" s="188">
        <f>opex_orig!F33</f>
        <v>3.4271699999999998E-4</v>
      </c>
      <c r="G33" s="188">
        <f>opex_orig!G33</f>
        <v>4.6499999999999999E-5</v>
      </c>
      <c r="H33" s="188">
        <f>opex_orig!H33</f>
        <v>5.9299999999999998E-5</v>
      </c>
      <c r="I33" s="188">
        <f>opex_orig!I33</f>
        <v>4.4376600000000001E-4</v>
      </c>
      <c r="J33" s="188">
        <f>opex_orig!J33</f>
        <v>5.4316599999999998E-4</v>
      </c>
      <c r="K33" s="188">
        <f>opex_orig!K33</f>
        <v>1.11263E-4</v>
      </c>
      <c r="L33" s="188">
        <f>opex_orig!L33</f>
        <v>9.3853299999999997E-4</v>
      </c>
      <c r="M33" s="188">
        <f>opex_orig!M33</f>
        <v>9.04567E-4</v>
      </c>
      <c r="N33" s="188">
        <f>opex_orig!N33</f>
        <v>6.6097400000000005E-4</v>
      </c>
      <c r="O33" s="188">
        <f>opex_orig!O33</f>
        <v>2.55887E-4</v>
      </c>
      <c r="P33" s="188">
        <f>opex_orig!P33</f>
        <v>6.89465E-4</v>
      </c>
      <c r="Q33" s="188">
        <f>opex_orig!Q33</f>
        <v>1.59937E-4</v>
      </c>
      <c r="R33" s="188">
        <f>opex_orig!R33</f>
        <v>2.3257200000000001E-4</v>
      </c>
      <c r="S33" s="188">
        <f>opex_orig!S33</f>
        <v>3.4523799999999999E-4</v>
      </c>
      <c r="T33" s="188">
        <f>opex_orig!T33</f>
        <v>4.6172999999999999E-4</v>
      </c>
      <c r="U33" s="188">
        <f>opex_orig!U33</f>
        <v>7.5492699999999996E-4</v>
      </c>
      <c r="V33" s="188">
        <f>opex_orig!V33</f>
        <v>1.03998E-3</v>
      </c>
      <c r="W33" s="188">
        <f>opex_orig!W33</f>
        <v>1.99719E-4</v>
      </c>
      <c r="X33" s="188">
        <f>opex_orig!X33</f>
        <v>1.2790999999999999E-4</v>
      </c>
      <c r="Y33" s="188">
        <f>opex_orig!Y33</f>
        <v>1.4080900000000001E-3</v>
      </c>
      <c r="Z33" s="188">
        <f>opex_orig!Z33</f>
        <v>1.5879170000000001E-3</v>
      </c>
      <c r="AA33" s="188">
        <f>opex_orig!AA33</f>
        <v>6.6688999999999995E-4</v>
      </c>
      <c r="AB33" s="188">
        <f>opex_orig!$AB33</f>
        <v>8.2281510767581397E-4</v>
      </c>
      <c r="AC33" s="188">
        <f>opex_orig!$AB33</f>
        <v>8.2281510767581397E-4</v>
      </c>
      <c r="AD33" s="188">
        <f>opex_orig!$AB33</f>
        <v>8.2281510767581397E-4</v>
      </c>
      <c r="AE33" s="188">
        <f>opex_orig!$AC33</f>
        <v>6.2705115159581804E-4</v>
      </c>
      <c r="AF33" s="188">
        <f>opex_orig!$AD33</f>
        <v>3.3624147129786598E-3</v>
      </c>
      <c r="AG33" s="188">
        <f>opex_orig!$AD33</f>
        <v>3.3624147129786598E-3</v>
      </c>
      <c r="AH33" s="188">
        <f>opex_orig!$AD33</f>
        <v>3.3624147129786598E-3</v>
      </c>
      <c r="AI33" s="188">
        <f>opex_orig!AE33</f>
        <v>3.4291809999999999E-3</v>
      </c>
      <c r="AJ33" s="188">
        <f>opex_orig!AF33</f>
        <v>7.6217600000000004E-4</v>
      </c>
      <c r="AK33" s="188">
        <f>opex_orig!AG33</f>
        <v>1.4554100000000001E-4</v>
      </c>
      <c r="AL33" s="188">
        <f>opex_orig!AH33</f>
        <v>2.3442162999999999E-2</v>
      </c>
      <c r="AM33" s="188">
        <f>opex_orig!AI33</f>
        <v>1.3968380000000001E-3</v>
      </c>
      <c r="AN33" s="188">
        <f>opex_orig!AJ33</f>
        <v>4.5529539999999997E-3</v>
      </c>
      <c r="AO33" s="188">
        <f>opex_orig!AK33</f>
        <v>4.9184770000000001E-3</v>
      </c>
      <c r="AP33" s="339">
        <f>opex_concordance!M437</f>
        <v>2.2176248757376602E-2</v>
      </c>
      <c r="AQ33" s="339">
        <f>opex_concordance!M491</f>
        <v>1.784723578205907E-2</v>
      </c>
      <c r="AR33" s="339">
        <f>opex_concordance!M545</f>
        <v>1.9585781606683648E-2</v>
      </c>
      <c r="AS33" s="188">
        <f>opex_orig!$AM33</f>
        <v>2.1188770794543101E-2</v>
      </c>
      <c r="AT33" s="188">
        <f>opex_orig!AN33</f>
        <v>4.3246827000000002E-2</v>
      </c>
      <c r="AU33" s="188">
        <f>opex_orig!$AO33</f>
        <v>1.6402065656385501E-3</v>
      </c>
      <c r="AV33" s="188">
        <f>opex_orig!$AO33</f>
        <v>1.6402065656385501E-3</v>
      </c>
      <c r="AW33" s="188">
        <f>opex_orig!$AO33</f>
        <v>1.6402065656385501E-3</v>
      </c>
      <c r="AX33" s="188">
        <f>opex_orig!$AP33</f>
        <v>1.7581214910091601E-3</v>
      </c>
      <c r="AY33" s="188">
        <f>opex_orig!AQ33</f>
        <v>1.9975739999999998E-3</v>
      </c>
      <c r="AZ33" s="188">
        <f>opex_orig!AR33</f>
        <v>0</v>
      </c>
      <c r="BA33" s="188">
        <f>opex_orig!AS33</f>
        <v>1.7073139999999999E-3</v>
      </c>
      <c r="BB33" s="188">
        <f>opex_orig!AT33</f>
        <v>1.880261E-3</v>
      </c>
      <c r="BC33" s="188">
        <f>opex_orig!AU33</f>
        <v>5.7292860000000001E-3</v>
      </c>
      <c r="BD33" s="188">
        <f>opex_orig!AV33</f>
        <v>5.9573739999999997E-3</v>
      </c>
      <c r="BE33" s="188">
        <f>opex_orig!AW33</f>
        <v>1.1299400000000001E-3</v>
      </c>
      <c r="BF33" s="188">
        <f>opex_orig!AX33</f>
        <v>0</v>
      </c>
      <c r="BG33" s="188">
        <f>opex_orig!AY33</f>
        <v>9.3134900000000004E-4</v>
      </c>
      <c r="BH33" s="188">
        <f>opex_orig!AZ33</f>
        <v>0</v>
      </c>
      <c r="BI33" s="188">
        <f>opex_orig!BA33</f>
        <v>3.7958255000000003E-2</v>
      </c>
      <c r="BJ33" s="188">
        <f>opex_orig!BB33</f>
        <v>5.7030700000000004E-4</v>
      </c>
      <c r="BK33" s="188">
        <f>opex_orig!BC33</f>
        <v>1.196576E-3</v>
      </c>
      <c r="BL33" s="188">
        <f>opex_orig!BD33</f>
        <v>5.3999999999999998E-5</v>
      </c>
      <c r="BM33" s="188">
        <f>opex_orig!BE33</f>
        <v>7.2836600000000004E-4</v>
      </c>
      <c r="BN33" s="188">
        <f>opex_orig!BF33</f>
        <v>2.9985899999999998E-4</v>
      </c>
      <c r="BO33" s="188">
        <f>opex_orig!BG33</f>
        <v>2.9589200000000002E-4</v>
      </c>
      <c r="BP33" s="188">
        <f>opex_orig!$BH33</f>
        <v>1.9785214949937901E-4</v>
      </c>
      <c r="BQ33" s="188">
        <f>opex_orig!$BH33</f>
        <v>1.9785214949937901E-4</v>
      </c>
      <c r="BR33" s="188">
        <f>opex_orig!BI33</f>
        <v>4.1041899999999997E-4</v>
      </c>
      <c r="BS33" s="188">
        <f>opex_orig!BJ33</f>
        <v>2.9767200000000002E-4</v>
      </c>
      <c r="BT33" s="188">
        <f>opex_orig!BK33</f>
        <v>2.4259379999999999E-3</v>
      </c>
      <c r="BU33" s="188">
        <f>opex_orig!BL33</f>
        <v>0</v>
      </c>
      <c r="BV33" s="27">
        <f>opex_orig!BM33</f>
        <v>1.2189917940024901E-3</v>
      </c>
      <c r="BW33" s="27">
        <f>opex_orig!BN33</f>
        <v>1.9657155623624498E-3</v>
      </c>
      <c r="BX33" s="27">
        <f>opex_orig!BO33</f>
        <v>3.1538588676767302E-4</v>
      </c>
      <c r="BY33" s="27">
        <f>opex_orig!BP33</f>
        <v>4.1172497033233898E-4</v>
      </c>
      <c r="BZ33" s="27">
        <f>opex_orig!BQ33</f>
        <v>4.2461697830672101E-4</v>
      </c>
      <c r="CA33" s="27">
        <f>opex_orig!BR33</f>
        <v>1.13830492979031E-3</v>
      </c>
      <c r="CB33" s="27">
        <f>opex_orig!BS33</f>
        <v>1.80440708561987E-3</v>
      </c>
      <c r="CC33" s="27">
        <f>opex_orig!BT33</f>
        <v>5.5516886945424296E-4</v>
      </c>
      <c r="CD33" s="27">
        <f>opex_orig!BU33</f>
        <v>2.7430925676028001E-4</v>
      </c>
      <c r="CE33" s="27">
        <f>opex_orig!BV33</f>
        <v>2.7430925676028098E-4</v>
      </c>
      <c r="CF33" s="27">
        <f>opex_orig!BW33</f>
        <v>1.0828598792083899E-3</v>
      </c>
      <c r="CG33" s="27">
        <f>opex_orig!BX33</f>
        <v>5.7006941005823701E-5</v>
      </c>
      <c r="CH33" s="27">
        <f>opex_orig!BY33</f>
        <v>4.0810409469084101E-4</v>
      </c>
      <c r="CI33" s="27">
        <f>opex_orig!BZ33</f>
        <v>8.6592600000000004E-4</v>
      </c>
      <c r="CJ33" s="27">
        <f>opex_orig!CA33</f>
        <v>4.9694799999999999E-4</v>
      </c>
      <c r="CK33" s="27">
        <f>opex_orig!CB33</f>
        <v>5.6555400000000001E-4</v>
      </c>
      <c r="CL33" s="27">
        <f>opex_orig!CC33</f>
        <v>3.8516400000000001E-4</v>
      </c>
      <c r="CM33" s="27">
        <f>opex_orig!CD33</f>
        <v>1.6843699999999999E-3</v>
      </c>
      <c r="CN33" s="27">
        <f>opex_orig!CE33</f>
        <v>1.5552960000000001E-3</v>
      </c>
      <c r="CO33" s="27">
        <f>opex_orig!CF33</f>
        <v>7.9328360000000004E-3</v>
      </c>
      <c r="CP33" s="27">
        <f>opex_orig!CG33</f>
        <v>9.6000000000000002E-5</v>
      </c>
    </row>
    <row r="34" spans="1:94" x14ac:dyDescent="0.25">
      <c r="A34" s="5" t="s">
        <v>87</v>
      </c>
      <c r="B34" s="2" t="s">
        <v>86</v>
      </c>
      <c r="C34" s="1" t="s">
        <v>326</v>
      </c>
      <c r="D34" s="188">
        <f>opex_orig!D34</f>
        <v>3.9660800000000001E-4</v>
      </c>
      <c r="E34" s="188">
        <f>opex_orig!E34</f>
        <v>2.6425999999999999E-4</v>
      </c>
      <c r="F34" s="188">
        <f>opex_orig!F34</f>
        <v>2.3109899999999999E-4</v>
      </c>
      <c r="G34" s="188">
        <f>opex_orig!G34</f>
        <v>5.49E-5</v>
      </c>
      <c r="H34" s="188">
        <f>opex_orig!H34</f>
        <v>8.5099999999999995E-5</v>
      </c>
      <c r="I34" s="188">
        <f>opex_orig!I34</f>
        <v>5.1475499999999999E-4</v>
      </c>
      <c r="J34" s="188">
        <f>opex_orig!J34</f>
        <v>6.7720400000000004E-4</v>
      </c>
      <c r="K34" s="188">
        <f>opex_orig!K34</f>
        <v>1.53778E-4</v>
      </c>
      <c r="L34" s="188">
        <f>opex_orig!L34</f>
        <v>5.0157999999999995E-4</v>
      </c>
      <c r="M34" s="188">
        <f>opex_orig!M34</f>
        <v>7.6856099999999996E-4</v>
      </c>
      <c r="N34" s="188">
        <f>opex_orig!N34</f>
        <v>7.9398999999999995E-4</v>
      </c>
      <c r="O34" s="188">
        <f>opex_orig!O34</f>
        <v>4.18319E-4</v>
      </c>
      <c r="P34" s="188">
        <f>opex_orig!P34</f>
        <v>9.1674400000000004E-4</v>
      </c>
      <c r="Q34" s="188">
        <f>opex_orig!Q34</f>
        <v>3.1717799999999999E-4</v>
      </c>
      <c r="R34" s="188">
        <f>opex_orig!R34</f>
        <v>4.6719099999999999E-4</v>
      </c>
      <c r="S34" s="188">
        <f>opex_orig!S34</f>
        <v>4.4961399999999998E-4</v>
      </c>
      <c r="T34" s="188">
        <f>opex_orig!T34</f>
        <v>5.8620999999999999E-4</v>
      </c>
      <c r="U34" s="188">
        <f>opex_orig!U34</f>
        <v>1.0581589999999999E-3</v>
      </c>
      <c r="V34" s="188">
        <f>opex_orig!V34</f>
        <v>1.476694E-3</v>
      </c>
      <c r="W34" s="188">
        <f>opex_orig!W34</f>
        <v>3.1626499999999998E-4</v>
      </c>
      <c r="X34" s="188">
        <f>opex_orig!X34</f>
        <v>1.8941300000000001E-4</v>
      </c>
      <c r="Y34" s="188">
        <f>opex_orig!Y34</f>
        <v>1.569396E-3</v>
      </c>
      <c r="Z34" s="188">
        <f>opex_orig!Z34</f>
        <v>1.4186610000000001E-3</v>
      </c>
      <c r="AA34" s="188">
        <f>opex_orig!AA34</f>
        <v>8.2014100000000003E-4</v>
      </c>
      <c r="AB34" s="188">
        <f>opex_orig!$AB34</f>
        <v>1.6858694531621499E-3</v>
      </c>
      <c r="AC34" s="188">
        <f>opex_orig!$AB34</f>
        <v>1.6858694531621499E-3</v>
      </c>
      <c r="AD34" s="188">
        <f>opex_orig!$AB34</f>
        <v>1.6858694531621499E-3</v>
      </c>
      <c r="AE34" s="188">
        <f>opex_orig!$AC34</f>
        <v>1.6014469324412499E-3</v>
      </c>
      <c r="AF34" s="188">
        <f>opex_orig!$AD34</f>
        <v>1.10386798288958E-3</v>
      </c>
      <c r="AG34" s="188">
        <f>opex_orig!$AD34</f>
        <v>1.10386798288958E-3</v>
      </c>
      <c r="AH34" s="188">
        <f>opex_orig!$AD34</f>
        <v>1.10386798288958E-3</v>
      </c>
      <c r="AI34" s="188">
        <f>opex_orig!AE34</f>
        <v>1.03199E-3</v>
      </c>
      <c r="AJ34" s="188">
        <f>opex_orig!AF34</f>
        <v>1.1336156999999999E-2</v>
      </c>
      <c r="AK34" s="188">
        <f>opex_orig!AG34</f>
        <v>3.5931500000000002E-4</v>
      </c>
      <c r="AL34" s="188">
        <f>opex_orig!AH34</f>
        <v>3.2010626E-2</v>
      </c>
      <c r="AM34" s="188">
        <f>opex_orig!AI34</f>
        <v>2.1507449999999999E-3</v>
      </c>
      <c r="AN34" s="188">
        <f>opex_orig!AJ34</f>
        <v>4.6189886999999999E-2</v>
      </c>
      <c r="AO34" s="188">
        <f>opex_orig!AK34</f>
        <v>4.0445801000000003E-2</v>
      </c>
      <c r="AP34" s="340">
        <f>opex_concordance!M438</f>
        <v>6.4188829194859104E-2</v>
      </c>
      <c r="AQ34" s="340">
        <f>opex_concordance!M492</f>
        <v>5.1658564157921548E-2</v>
      </c>
      <c r="AR34" s="340">
        <f>opex_concordance!M546</f>
        <v>5.669075973821066E-2</v>
      </c>
      <c r="AS34" s="188">
        <f>opex_orig!$AM34</f>
        <v>6.1428413510679902E-2</v>
      </c>
      <c r="AT34" s="188">
        <f>opex_orig!AN34</f>
        <v>4.8941569999999997E-3</v>
      </c>
      <c r="AU34" s="188">
        <f>opex_orig!$AO34</f>
        <v>4.1076245809831798E-3</v>
      </c>
      <c r="AV34" s="188">
        <f>opex_orig!$AO34</f>
        <v>4.1076245809831798E-3</v>
      </c>
      <c r="AW34" s="188">
        <f>opex_orig!$AO34</f>
        <v>4.1076245809831798E-3</v>
      </c>
      <c r="AX34" s="188">
        <f>opex_orig!$AP34</f>
        <v>3.2200671927913602E-3</v>
      </c>
      <c r="AY34" s="188">
        <f>opex_orig!AQ34</f>
        <v>2.865088E-3</v>
      </c>
      <c r="AZ34" s="188">
        <f>opex_orig!AR34</f>
        <v>0</v>
      </c>
      <c r="BA34" s="188">
        <f>opex_orig!AS34</f>
        <v>2.8520189999999999E-3</v>
      </c>
      <c r="BB34" s="188">
        <f>opex_orig!AT34</f>
        <v>3.0595000000000002E-3</v>
      </c>
      <c r="BC34" s="188">
        <f>opex_orig!AU34</f>
        <v>4.9773559999999996E-3</v>
      </c>
      <c r="BD34" s="188">
        <f>opex_orig!AV34</f>
        <v>5.1098410000000004E-3</v>
      </c>
      <c r="BE34" s="188">
        <f>opex_orig!AW34</f>
        <v>1.9797700000000001E-3</v>
      </c>
      <c r="BF34" s="188">
        <f>opex_orig!AX34</f>
        <v>0</v>
      </c>
      <c r="BG34" s="188">
        <f>opex_orig!AY34</f>
        <v>3.3815479999999998E-3</v>
      </c>
      <c r="BH34" s="188">
        <f>opex_orig!AZ34</f>
        <v>0</v>
      </c>
      <c r="BI34" s="188">
        <f>opex_orig!BA34</f>
        <v>7.6865630000000004E-3</v>
      </c>
      <c r="BJ34" s="188">
        <f>opex_orig!BB34</f>
        <v>5.99198E-4</v>
      </c>
      <c r="BK34" s="188">
        <f>opex_orig!BC34</f>
        <v>1.150875E-3</v>
      </c>
      <c r="BL34" s="188">
        <f>opex_orig!BD34</f>
        <v>1.7491800000000001E-4</v>
      </c>
      <c r="BM34" s="188">
        <f>opex_orig!BE34</f>
        <v>2.8999849999999999E-3</v>
      </c>
      <c r="BN34" s="188">
        <f>opex_orig!BF34</f>
        <v>7.6851700000000003E-4</v>
      </c>
      <c r="BO34" s="188">
        <f>opex_orig!BG34</f>
        <v>8.0975199999999995E-4</v>
      </c>
      <c r="BP34" s="188">
        <f>opex_orig!$BH34</f>
        <v>2.5384749258750499E-4</v>
      </c>
      <c r="BQ34" s="188">
        <f>opex_orig!$BH34</f>
        <v>2.5384749258750499E-4</v>
      </c>
      <c r="BR34" s="188">
        <f>opex_orig!BI34</f>
        <v>4.67501E-4</v>
      </c>
      <c r="BS34" s="188">
        <f>opex_orig!BJ34</f>
        <v>4.2617499999999999E-4</v>
      </c>
      <c r="BT34" s="188">
        <f>opex_orig!BK34</f>
        <v>2.5665129999999999E-3</v>
      </c>
      <c r="BU34" s="188">
        <f>opex_orig!BL34</f>
        <v>0</v>
      </c>
      <c r="BV34" s="27">
        <f>opex_orig!BM34</f>
        <v>1.62115797321454E-3</v>
      </c>
      <c r="BW34" s="27">
        <f>opex_orig!BN34</f>
        <v>3.0601200657460899E-3</v>
      </c>
      <c r="BX34" s="27">
        <f>opex_orig!BO34</f>
        <v>5.0307721206164396E-4</v>
      </c>
      <c r="BY34" s="27">
        <f>opex_orig!BP34</f>
        <v>7.2987987536962098E-4</v>
      </c>
      <c r="BZ34" s="27">
        <f>opex_orig!BQ34</f>
        <v>6.2742698975131004E-4</v>
      </c>
      <c r="CA34" s="27">
        <f>opex_orig!BR34</f>
        <v>7.7944429716747998E-4</v>
      </c>
      <c r="CB34" s="27">
        <f>opex_orig!BS34</f>
        <v>2.0880351639240898E-3</v>
      </c>
      <c r="CC34" s="27">
        <f>opex_orig!BT34</f>
        <v>2.9710660847477702E-4</v>
      </c>
      <c r="CD34" s="27">
        <f>opex_orig!BU34</f>
        <v>3.2969757225450902E-4</v>
      </c>
      <c r="CE34" s="27">
        <f>opex_orig!BV34</f>
        <v>3.2969757225450799E-4</v>
      </c>
      <c r="CF34" s="27">
        <f>opex_orig!BW34</f>
        <v>7.3590574668390706E-5</v>
      </c>
      <c r="CG34" s="27">
        <f>opex_orig!BX34</f>
        <v>1.4055352348933E-4</v>
      </c>
      <c r="CH34" s="27">
        <f>opex_orig!BY34</f>
        <v>3.6390477454428902E-4</v>
      </c>
      <c r="CI34" s="27">
        <f>opex_orig!BZ34</f>
        <v>1.37896E-3</v>
      </c>
      <c r="CJ34" s="27">
        <f>opex_orig!CA34</f>
        <v>7.4439099999999995E-4</v>
      </c>
      <c r="CK34" s="27">
        <f>opex_orig!CB34</f>
        <v>8.8418899999999996E-4</v>
      </c>
      <c r="CL34" s="27">
        <f>opex_orig!CC34</f>
        <v>5.0620400000000001E-4</v>
      </c>
      <c r="CM34" s="27">
        <f>opex_orig!CD34</f>
        <v>3.3563429999999999E-3</v>
      </c>
      <c r="CN34" s="27">
        <f>opex_orig!CE34</f>
        <v>2.0021940000000001E-3</v>
      </c>
      <c r="CO34" s="27">
        <f>opex_orig!CF34</f>
        <v>7.8585589999999993E-3</v>
      </c>
      <c r="CP34" s="27">
        <f>opex_orig!CG34</f>
        <v>2.3758500000000001E-4</v>
      </c>
    </row>
    <row r="35" spans="1:94" x14ac:dyDescent="0.25">
      <c r="A35" s="5" t="s">
        <v>89</v>
      </c>
      <c r="B35" s="2" t="s">
        <v>88</v>
      </c>
      <c r="C35" s="1" t="s">
        <v>326</v>
      </c>
      <c r="D35" s="188">
        <f>opex_orig!D35</f>
        <v>3.3399999999999999E-5</v>
      </c>
      <c r="E35" s="188">
        <f>opex_orig!E35</f>
        <v>5.5899999999999997E-5</v>
      </c>
      <c r="F35" s="188">
        <f>opex_orig!F35</f>
        <v>2.4064400000000001E-4</v>
      </c>
      <c r="G35" s="188">
        <f>opex_orig!G35</f>
        <v>8.2600000000000005E-6</v>
      </c>
      <c r="H35" s="188">
        <f>opex_orig!H35</f>
        <v>2.2699999999999999E-6</v>
      </c>
      <c r="I35" s="188">
        <f>opex_orig!I35</f>
        <v>6.7500000000000001E-5</v>
      </c>
      <c r="J35" s="188">
        <f>opex_orig!J35</f>
        <v>8.0199999999999998E-5</v>
      </c>
      <c r="K35" s="188">
        <f>opex_orig!K35</f>
        <v>4.4299999999999999E-6</v>
      </c>
      <c r="L35" s="188">
        <f>opex_orig!L35</f>
        <v>6.2817400000000001E-4</v>
      </c>
      <c r="M35" s="188">
        <f>opex_orig!M35</f>
        <v>3.7361799999999999E-4</v>
      </c>
      <c r="N35" s="188">
        <f>opex_orig!N35</f>
        <v>1.89326E-4</v>
      </c>
      <c r="O35" s="188">
        <f>opex_orig!O35</f>
        <v>1.1399999999999999E-5</v>
      </c>
      <c r="P35" s="188">
        <f>opex_orig!P35</f>
        <v>8.6399999999999999E-5</v>
      </c>
      <c r="Q35" s="188">
        <f>opex_orig!Q35</f>
        <v>6.8000000000000001E-6</v>
      </c>
      <c r="R35" s="188">
        <f>opex_orig!R35</f>
        <v>2.16E-5</v>
      </c>
      <c r="S35" s="188">
        <f>opex_orig!S35</f>
        <v>2.97E-5</v>
      </c>
      <c r="T35" s="188">
        <f>opex_orig!T35</f>
        <v>3.43E-5</v>
      </c>
      <c r="U35" s="188">
        <f>opex_orig!U35</f>
        <v>2.6400000000000001E-5</v>
      </c>
      <c r="V35" s="188">
        <f>opex_orig!V35</f>
        <v>3.54E-5</v>
      </c>
      <c r="W35" s="188">
        <f>opex_orig!W35</f>
        <v>1.52E-5</v>
      </c>
      <c r="X35" s="188">
        <f>opex_orig!X35</f>
        <v>5.4500000000000003E-6</v>
      </c>
      <c r="Y35" s="188">
        <f>opex_orig!Y35</f>
        <v>8.1199999999999995E-5</v>
      </c>
      <c r="Z35" s="188">
        <f>opex_orig!Z35</f>
        <v>3.8800000000000001E-5</v>
      </c>
      <c r="AA35" s="188">
        <f>opex_orig!AA35</f>
        <v>2.3799999999999999E-5</v>
      </c>
      <c r="AB35" s="188">
        <f>opex_orig!$AB35</f>
        <v>2.3914124155645398E-5</v>
      </c>
      <c r="AC35" s="188">
        <f>opex_orig!$AB35</f>
        <v>2.3914124155645398E-5</v>
      </c>
      <c r="AD35" s="188">
        <f>opex_orig!$AB35</f>
        <v>2.3914124155645398E-5</v>
      </c>
      <c r="AE35" s="188">
        <f>opex_orig!$AC35</f>
        <v>1.2628041236443699E-4</v>
      </c>
      <c r="AF35" s="188">
        <f>opex_orig!$AD35</f>
        <v>1.11389283935398E-3</v>
      </c>
      <c r="AG35" s="188">
        <f>opex_orig!$AD35</f>
        <v>1.11389283935398E-3</v>
      </c>
      <c r="AH35" s="188">
        <f>opex_orig!$AD35</f>
        <v>1.11389283935398E-3</v>
      </c>
      <c r="AI35" s="188">
        <f>opex_orig!AE35</f>
        <v>8.6029300000000004E-4</v>
      </c>
      <c r="AJ35" s="188">
        <f>opex_orig!AF35</f>
        <v>9.3089399999999999E-3</v>
      </c>
      <c r="AK35" s="188">
        <f>opex_orig!AG35</f>
        <v>1.4215199999999999E-4</v>
      </c>
      <c r="AL35" s="188">
        <f>opex_orig!AH35</f>
        <v>1.1628840000000001E-3</v>
      </c>
      <c r="AM35" s="188">
        <f>opex_orig!AI35</f>
        <v>1.6711499999999999E-4</v>
      </c>
      <c r="AN35" s="188">
        <f>opex_orig!AJ35</f>
        <v>5.2874699999999998E-4</v>
      </c>
      <c r="AO35" s="188">
        <f>opex_orig!AK35</f>
        <v>6.3113100000000005E-4</v>
      </c>
      <c r="AP35" s="188">
        <f>opex_orig!$AL35</f>
        <v>3.4357479288574098E-4</v>
      </c>
      <c r="AQ35" s="188">
        <f>opex_orig!$AL35</f>
        <v>3.4357479288574098E-4</v>
      </c>
      <c r="AR35" s="188">
        <f>opex_orig!$AL35</f>
        <v>3.4357479288574098E-4</v>
      </c>
      <c r="AS35" s="188">
        <f>opex_orig!$AM35</f>
        <v>3.0624416735736999E-4</v>
      </c>
      <c r="AT35" s="188">
        <f>opex_orig!AN35</f>
        <v>6.7784099999999999E-4</v>
      </c>
      <c r="AU35" s="188">
        <f>opex_orig!$AO35</f>
        <v>9.1363976234760198E-5</v>
      </c>
      <c r="AV35" s="188">
        <f>opex_orig!$AO35</f>
        <v>9.1363976234760198E-5</v>
      </c>
      <c r="AW35" s="188">
        <f>opex_orig!$AO35</f>
        <v>9.1363976234760198E-5</v>
      </c>
      <c r="AX35" s="188">
        <f>opex_orig!$AP35</f>
        <v>7.4420923880102002E-5</v>
      </c>
      <c r="AY35" s="188">
        <f>opex_orig!AQ35</f>
        <v>1.15269E-4</v>
      </c>
      <c r="AZ35" s="188">
        <f>opex_orig!AR35</f>
        <v>0</v>
      </c>
      <c r="BA35" s="188">
        <f>opex_orig!AS35</f>
        <v>1.3356199999999999E-4</v>
      </c>
      <c r="BB35" s="188">
        <f>opex_orig!AT35</f>
        <v>1.4289399999999999E-4</v>
      </c>
      <c r="BC35" s="188">
        <f>opex_orig!AU35</f>
        <v>1.17514E-4</v>
      </c>
      <c r="BD35" s="188">
        <f>opex_orig!AV35</f>
        <v>1.2218900000000001E-4</v>
      </c>
      <c r="BE35" s="188">
        <f>opex_orig!AW35</f>
        <v>5.9799999999999997E-5</v>
      </c>
      <c r="BF35" s="188">
        <f>opex_orig!AX35</f>
        <v>0</v>
      </c>
      <c r="BG35" s="188">
        <f>opex_orig!AY35</f>
        <v>6.0600000000000003E-5</v>
      </c>
      <c r="BH35" s="188">
        <f>opex_orig!AZ35</f>
        <v>0</v>
      </c>
      <c r="BI35" s="188">
        <f>opex_orig!BA35</f>
        <v>2.947079E-3</v>
      </c>
      <c r="BJ35" s="188">
        <f>opex_orig!BB35</f>
        <v>3.6100000000000003E-5</v>
      </c>
      <c r="BK35" s="188">
        <f>opex_orig!BC35</f>
        <v>1.0550100000000001E-4</v>
      </c>
      <c r="BL35" s="188">
        <f>opex_orig!BD35</f>
        <v>1.2300000000000001E-5</v>
      </c>
      <c r="BM35" s="188">
        <f>opex_orig!BE35</f>
        <v>4.3600000000000003E-5</v>
      </c>
      <c r="BN35" s="188">
        <f>opex_orig!BF35</f>
        <v>2.6299999999999999E-5</v>
      </c>
      <c r="BO35" s="188">
        <f>opex_orig!BG35</f>
        <v>6.2500000000000001E-5</v>
      </c>
      <c r="BP35" s="188">
        <f>opex_orig!$BH35</f>
        <v>1.2462557888889899E-5</v>
      </c>
      <c r="BQ35" s="188">
        <f>opex_orig!$BH35</f>
        <v>1.2462557888889899E-5</v>
      </c>
      <c r="BR35" s="188">
        <f>opex_orig!BI35</f>
        <v>3.6199999999999999E-5</v>
      </c>
      <c r="BS35" s="188">
        <f>opex_orig!BJ35</f>
        <v>1.469599E-3</v>
      </c>
      <c r="BT35" s="188">
        <f>opex_orig!BK35</f>
        <v>1.26558E-4</v>
      </c>
      <c r="BU35" s="188">
        <f>opex_orig!BL35</f>
        <v>0</v>
      </c>
      <c r="BV35" s="27">
        <f>opex_orig!BM35</f>
        <v>5.15522467795291E-5</v>
      </c>
      <c r="BW35" s="27">
        <f>opex_orig!BN35</f>
        <v>2.4831889486767798E-4</v>
      </c>
      <c r="BX35" s="27">
        <f>opex_orig!BO35</f>
        <v>1.14256901649986E-5</v>
      </c>
      <c r="BY35" s="27">
        <f>opex_orig!BP35</f>
        <v>1.5270325361265902E-5</v>
      </c>
      <c r="BZ35" s="27">
        <f>opex_orig!BQ35</f>
        <v>1.7266062016557099E-5</v>
      </c>
      <c r="CA35" s="27">
        <f>opex_orig!BR35</f>
        <v>1.02802650732401E-4</v>
      </c>
      <c r="CB35" s="27">
        <f>opex_orig!BS35</f>
        <v>1.5789079071686801E-4</v>
      </c>
      <c r="CC35" s="27">
        <f>opex_orig!BT35</f>
        <v>7.6707671621549604E-5</v>
      </c>
      <c r="CD35" s="27">
        <f>opex_orig!BU35</f>
        <v>9.4574932816532506E-6</v>
      </c>
      <c r="CE35" s="27">
        <f>opex_orig!BV35</f>
        <v>9.4574932816532692E-6</v>
      </c>
      <c r="CF35" s="27">
        <f>opex_orig!BW35</f>
        <v>1.04793879378905E-5</v>
      </c>
      <c r="CG35" s="27">
        <f>opex_orig!BX35</f>
        <v>9.2638879535854592E-6</v>
      </c>
      <c r="CH35" s="27">
        <f>opex_orig!BY35</f>
        <v>3.1957414290853102E-6</v>
      </c>
      <c r="CI35" s="27">
        <f>opex_orig!BZ35</f>
        <v>3.0899999999999999E-5</v>
      </c>
      <c r="CJ35" s="27">
        <f>opex_orig!CA35</f>
        <v>1.95E-5</v>
      </c>
      <c r="CK35" s="27">
        <f>opex_orig!CB35</f>
        <v>2.1399999999999998E-5</v>
      </c>
      <c r="CL35" s="27">
        <f>opex_orig!CC35</f>
        <v>2.76E-5</v>
      </c>
      <c r="CM35" s="27">
        <f>opex_orig!CD35</f>
        <v>4.0838099999999998E-4</v>
      </c>
      <c r="CN35" s="27">
        <f>opex_orig!CE35</f>
        <v>2.9499999999999999E-5</v>
      </c>
      <c r="CO35" s="27">
        <f>opex_orig!CF35</f>
        <v>6.86E-5</v>
      </c>
      <c r="CP35" s="27">
        <f>opex_orig!CG35</f>
        <v>5.1399999999999999E-6</v>
      </c>
    </row>
    <row r="36" spans="1:94" x14ac:dyDescent="0.25">
      <c r="A36" s="5" t="s">
        <v>91</v>
      </c>
      <c r="B36" s="2" t="s">
        <v>90</v>
      </c>
      <c r="C36" s="1" t="s">
        <v>327</v>
      </c>
      <c r="D36" s="188">
        <f>opex_orig!D36</f>
        <v>8.9115199999999998E-4</v>
      </c>
      <c r="E36" s="188">
        <f>opex_orig!E36</f>
        <v>1.1169369999999999E-3</v>
      </c>
      <c r="F36" s="188">
        <f>opex_orig!F36</f>
        <v>6.838472E-3</v>
      </c>
      <c r="G36" s="188">
        <f>opex_orig!G36</f>
        <v>7.8700000000000002E-5</v>
      </c>
      <c r="H36" s="188">
        <f>opex_orig!H36</f>
        <v>2.4899999999999999E-5</v>
      </c>
      <c r="I36" s="188">
        <f>opex_orig!I36</f>
        <v>6.1936300000000005E-4</v>
      </c>
      <c r="J36" s="188">
        <f>opex_orig!J36</f>
        <v>6.4988100000000005E-4</v>
      </c>
      <c r="K36" s="188">
        <f>opex_orig!K36</f>
        <v>5.0500000000000001E-5</v>
      </c>
      <c r="L36" s="188">
        <f>opex_orig!L36</f>
        <v>1.0654587E-2</v>
      </c>
      <c r="M36" s="188">
        <f>opex_orig!M36</f>
        <v>9.7879799999999991E-4</v>
      </c>
      <c r="N36" s="188">
        <f>opex_orig!N36</f>
        <v>2.4894100000000001E-3</v>
      </c>
      <c r="O36" s="188">
        <f>opex_orig!O36</f>
        <v>1.263431E-3</v>
      </c>
      <c r="P36" s="188">
        <f>opex_orig!P36</f>
        <v>3.9776600000000003E-4</v>
      </c>
      <c r="Q36" s="188">
        <f>opex_orig!Q36</f>
        <v>4.0805799999999999E-4</v>
      </c>
      <c r="R36" s="188">
        <f>opex_orig!R36</f>
        <v>4.3490599999999999E-4</v>
      </c>
      <c r="S36" s="188">
        <f>opex_orig!S36</f>
        <v>6.5699999999999998E-5</v>
      </c>
      <c r="T36" s="188">
        <f>opex_orig!T36</f>
        <v>1.11258E-4</v>
      </c>
      <c r="U36" s="188">
        <f>opex_orig!U36</f>
        <v>1.0980399999999999E-4</v>
      </c>
      <c r="V36" s="188">
        <f>opex_orig!V36</f>
        <v>1.6589600000000001E-4</v>
      </c>
      <c r="W36" s="188">
        <f>opex_orig!W36</f>
        <v>9.6399999999999999E-5</v>
      </c>
      <c r="X36" s="188">
        <f>opex_orig!X36</f>
        <v>9.5500000000000004E-5</v>
      </c>
      <c r="Y36" s="188">
        <f>opex_orig!Y36</f>
        <v>4.9599999999999999E-5</v>
      </c>
      <c r="Z36" s="188">
        <f>opex_orig!Z36</f>
        <v>2.1403500000000001E-4</v>
      </c>
      <c r="AA36" s="188">
        <f>opex_orig!AA36</f>
        <v>1.6176600000000001E-4</v>
      </c>
      <c r="AB36" s="188">
        <f>opex_orig!$AB36</f>
        <v>5.08534392158695E-4</v>
      </c>
      <c r="AC36" s="188">
        <f>opex_orig!$AB36</f>
        <v>5.08534392158695E-4</v>
      </c>
      <c r="AD36" s="188">
        <f>opex_orig!$AB36</f>
        <v>5.08534392158695E-4</v>
      </c>
      <c r="AE36" s="188">
        <f>opex_orig!$AC36</f>
        <v>7.9959097130697504E-4</v>
      </c>
      <c r="AF36" s="188">
        <f>opex_orig!$AD36</f>
        <v>2.9042981904939599E-4</v>
      </c>
      <c r="AG36" s="188">
        <f>opex_orig!$AD36</f>
        <v>2.9042981904939599E-4</v>
      </c>
      <c r="AH36" s="188">
        <f>opex_orig!$AD36</f>
        <v>2.9042981904939599E-4</v>
      </c>
      <c r="AI36" s="188">
        <f>opex_orig!AE36</f>
        <v>2.5387400000000002E-4</v>
      </c>
      <c r="AJ36" s="188">
        <f>opex_orig!AF36</f>
        <v>3.1221200000000003E-4</v>
      </c>
      <c r="AK36" s="188">
        <f>opex_orig!AG36</f>
        <v>1.17243E-4</v>
      </c>
      <c r="AL36" s="188">
        <f>opex_orig!AH36</f>
        <v>6.8999999999999997E-5</v>
      </c>
      <c r="AM36" s="188">
        <f>opex_orig!AI36</f>
        <v>9.3900000000000006E-5</v>
      </c>
      <c r="AN36" s="188">
        <f>opex_orig!AJ36</f>
        <v>7.0699999999999997E-5</v>
      </c>
      <c r="AO36" s="188">
        <f>opex_orig!AK36</f>
        <v>1.14032E-4</v>
      </c>
      <c r="AP36" s="188">
        <f>opex_orig!$AL36</f>
        <v>6.9166382577343999E-5</v>
      </c>
      <c r="AQ36" s="188">
        <f>opex_orig!$AL36</f>
        <v>6.9166382577343999E-5</v>
      </c>
      <c r="AR36" s="188">
        <f>opex_orig!$AL36</f>
        <v>6.9166382577343999E-5</v>
      </c>
      <c r="AS36" s="188">
        <f>opex_orig!$AM36</f>
        <v>8.9835562654913895E-5</v>
      </c>
      <c r="AT36" s="188">
        <f>opex_orig!AN36</f>
        <v>9.4300000000000002E-5</v>
      </c>
      <c r="AU36" s="188">
        <f>opex_orig!$AO36</f>
        <v>4.7616318346772798E-5</v>
      </c>
      <c r="AV36" s="188">
        <f>opex_orig!$AO36</f>
        <v>4.7616318346772798E-5</v>
      </c>
      <c r="AW36" s="188">
        <f>opex_orig!$AO36</f>
        <v>4.7616318346772798E-5</v>
      </c>
      <c r="AX36" s="188">
        <f>opex_orig!$AP36</f>
        <v>7.9690036814502894E-5</v>
      </c>
      <c r="AY36" s="188">
        <f>opex_orig!AQ36</f>
        <v>1.0005699999999999E-4</v>
      </c>
      <c r="AZ36" s="188">
        <f>opex_orig!AR36</f>
        <v>0</v>
      </c>
      <c r="BA36" s="188">
        <f>opex_orig!AS36</f>
        <v>9.3399999999999993E-5</v>
      </c>
      <c r="BB36" s="188">
        <f>opex_orig!AT36</f>
        <v>7.0300000000000001E-5</v>
      </c>
      <c r="BC36" s="188">
        <f>opex_orig!AU36</f>
        <v>6.9900000000000005E-5</v>
      </c>
      <c r="BD36" s="188">
        <f>opex_orig!AV36</f>
        <v>4.3999999999999999E-5</v>
      </c>
      <c r="BE36" s="188">
        <f>opex_orig!AW36</f>
        <v>8.9300000000000002E-5</v>
      </c>
      <c r="BF36" s="188">
        <f>opex_orig!AX36</f>
        <v>0</v>
      </c>
      <c r="BG36" s="188">
        <f>opex_orig!AY36</f>
        <v>1.5091599999999999E-4</v>
      </c>
      <c r="BH36" s="188">
        <f>opex_orig!AZ36</f>
        <v>0</v>
      </c>
      <c r="BI36" s="188">
        <f>opex_orig!BA36</f>
        <v>5.3900000000000002E-5</v>
      </c>
      <c r="BJ36" s="188">
        <f>opex_orig!BB36</f>
        <v>6.1400000000000002E-5</v>
      </c>
      <c r="BK36" s="188">
        <f>opex_orig!BC36</f>
        <v>7.8999999999999996E-5</v>
      </c>
      <c r="BL36" s="188">
        <f>opex_orig!BD36</f>
        <v>8.0900000000000001E-5</v>
      </c>
      <c r="BM36" s="188">
        <f>opex_orig!BE36</f>
        <v>7.25E-5</v>
      </c>
      <c r="BN36" s="188">
        <f>opex_orig!BF36</f>
        <v>4.6900000000000002E-5</v>
      </c>
      <c r="BO36" s="188">
        <f>opex_orig!BG36</f>
        <v>1.2877900000000001E-4</v>
      </c>
      <c r="BP36" s="188">
        <f>opex_orig!$BH36</f>
        <v>7.8949740274024296E-5</v>
      </c>
      <c r="BQ36" s="188">
        <f>opex_orig!$BH36</f>
        <v>7.8949740274024296E-5</v>
      </c>
      <c r="BR36" s="188">
        <f>opex_orig!BI36</f>
        <v>7.1899999999999999E-5</v>
      </c>
      <c r="BS36" s="188">
        <f>opex_orig!BJ36</f>
        <v>8.0500000000000005E-5</v>
      </c>
      <c r="BT36" s="188">
        <f>opex_orig!BK36</f>
        <v>2.8391499999999998E-4</v>
      </c>
      <c r="BU36" s="188">
        <f>opex_orig!BL36</f>
        <v>0</v>
      </c>
      <c r="BV36" s="27">
        <f>opex_orig!BM36</f>
        <v>6.6080229003064996E-5</v>
      </c>
      <c r="BW36" s="27">
        <f>opex_orig!BN36</f>
        <v>2.5801610015121102E-4</v>
      </c>
      <c r="BX36" s="27">
        <f>opex_orig!BO36</f>
        <v>3.5254039437526797E-5</v>
      </c>
      <c r="BY36" s="27">
        <f>opex_orig!BP36</f>
        <v>1.8132612865642901E-4</v>
      </c>
      <c r="BZ36" s="27">
        <f>opex_orig!BQ36</f>
        <v>9.2129566227845696E-5</v>
      </c>
      <c r="CA36" s="27">
        <f>opex_orig!BR36</f>
        <v>6.6372237260418702E-6</v>
      </c>
      <c r="CB36" s="27">
        <f>opex_orig!BS36</f>
        <v>2.4718275648784701E-4</v>
      </c>
      <c r="CC36" s="27">
        <f>opex_orig!BT36</f>
        <v>7.09428004509033E-5</v>
      </c>
      <c r="CD36" s="27">
        <f>opex_orig!BU36</f>
        <v>2.6620843731734401E-5</v>
      </c>
      <c r="CE36" s="27">
        <f>opex_orig!BV36</f>
        <v>2.6620843731734401E-5</v>
      </c>
      <c r="CF36" s="27">
        <f>opex_orig!BW36</f>
        <v>4.72034873240872E-5</v>
      </c>
      <c r="CG36" s="27">
        <f>opex_orig!BX36</f>
        <v>9.6991227695475796E-6</v>
      </c>
      <c r="CH36" s="27">
        <f>opex_orig!BY36</f>
        <v>6.2197760602174105E-4</v>
      </c>
      <c r="CI36" s="27">
        <f>opex_orig!BZ36</f>
        <v>1.3213100000000001E-4</v>
      </c>
      <c r="CJ36" s="27">
        <f>opex_orig!CA36</f>
        <v>5.5600000000000003E-5</v>
      </c>
      <c r="CK36" s="27">
        <f>opex_orig!CB36</f>
        <v>4.85E-5</v>
      </c>
      <c r="CL36" s="27">
        <f>opex_orig!CC36</f>
        <v>4.0200000000000001E-5</v>
      </c>
      <c r="CM36" s="27">
        <f>opex_orig!CD36</f>
        <v>1.45692E-4</v>
      </c>
      <c r="CN36" s="27">
        <f>opex_orig!CE36</f>
        <v>1.45112E-4</v>
      </c>
      <c r="CO36" s="27">
        <f>opex_orig!CF36</f>
        <v>5.27E-5</v>
      </c>
      <c r="CP36" s="27">
        <f>opex_orig!CG36</f>
        <v>9.2700000000000004E-5</v>
      </c>
    </row>
    <row r="37" spans="1:94" x14ac:dyDescent="0.25">
      <c r="A37" s="5" t="s">
        <v>93</v>
      </c>
      <c r="B37" s="2" t="s">
        <v>92</v>
      </c>
      <c r="C37" s="1" t="s">
        <v>327</v>
      </c>
      <c r="D37" s="188">
        <f>opex_orig!D37</f>
        <v>5.9942199999999995E-4</v>
      </c>
      <c r="E37" s="188">
        <f>opex_orig!E37</f>
        <v>1.0181032E-2</v>
      </c>
      <c r="F37" s="188">
        <f>opex_orig!F37</f>
        <v>4.2885470000000002E-3</v>
      </c>
      <c r="G37" s="188">
        <f>opex_orig!G37</f>
        <v>1.7132599999999999E-4</v>
      </c>
      <c r="H37" s="188">
        <f>opex_orig!H37</f>
        <v>1.7034400000000001E-4</v>
      </c>
      <c r="I37" s="188">
        <f>opex_orig!I37</f>
        <v>8.19216E-4</v>
      </c>
      <c r="J37" s="188">
        <f>opex_orig!J37</f>
        <v>1.529704E-3</v>
      </c>
      <c r="K37" s="188">
        <f>opex_orig!K37</f>
        <v>3.7936300000000002E-4</v>
      </c>
      <c r="L37" s="188">
        <f>opex_orig!L37</f>
        <v>1.7054219999999998E-2</v>
      </c>
      <c r="M37" s="188">
        <f>opex_orig!M37</f>
        <v>2.1486370000000001E-3</v>
      </c>
      <c r="N37" s="188">
        <f>opex_orig!N37</f>
        <v>1.1645343000000001E-2</v>
      </c>
      <c r="O37" s="188">
        <f>opex_orig!O37</f>
        <v>2.4725459999999999E-3</v>
      </c>
      <c r="P37" s="188">
        <f>opex_orig!P37</f>
        <v>8.8837599999999997E-4</v>
      </c>
      <c r="Q37" s="188">
        <f>opex_orig!Q37</f>
        <v>6.9471099999999998E-4</v>
      </c>
      <c r="R37" s="188">
        <f>opex_orig!R37</f>
        <v>1.1300780000000001E-3</v>
      </c>
      <c r="S37" s="188">
        <f>opex_orig!S37</f>
        <v>3.5453200000000001E-4</v>
      </c>
      <c r="T37" s="188">
        <f>opex_orig!T37</f>
        <v>7.5299600000000003E-4</v>
      </c>
      <c r="U37" s="188">
        <f>opex_orig!U37</f>
        <v>4.6707200000000002E-4</v>
      </c>
      <c r="V37" s="188">
        <f>opex_orig!V37</f>
        <v>6.2480100000000002E-4</v>
      </c>
      <c r="W37" s="188">
        <f>opex_orig!W37</f>
        <v>2.8098799999999997E-4</v>
      </c>
      <c r="X37" s="188">
        <f>opex_orig!X37</f>
        <v>4.3299799999999998E-4</v>
      </c>
      <c r="Y37" s="188">
        <f>opex_orig!Y37</f>
        <v>3.5974100000000001E-4</v>
      </c>
      <c r="Z37" s="188">
        <f>opex_orig!Z37</f>
        <v>2.0781400000000001E-4</v>
      </c>
      <c r="AA37" s="188">
        <f>opex_orig!AA37</f>
        <v>1.106686E-3</v>
      </c>
      <c r="AB37" s="188">
        <f>opex_orig!$AB37</f>
        <v>1.0890404676379901E-3</v>
      </c>
      <c r="AC37" s="188">
        <f>opex_orig!$AB37</f>
        <v>1.0890404676379901E-3</v>
      </c>
      <c r="AD37" s="188">
        <f>opex_orig!$AB37</f>
        <v>1.0890404676379901E-3</v>
      </c>
      <c r="AE37" s="188">
        <f>opex_orig!$AC37</f>
        <v>2.6765512889738601E-3</v>
      </c>
      <c r="AF37" s="188">
        <f>opex_orig!$AD37</f>
        <v>6.99452959996311E-4</v>
      </c>
      <c r="AG37" s="188">
        <f>opex_orig!$AD37</f>
        <v>6.99452959996311E-4</v>
      </c>
      <c r="AH37" s="188">
        <f>opex_orig!$AD37</f>
        <v>6.99452959996311E-4</v>
      </c>
      <c r="AI37" s="188">
        <f>opex_orig!AE37</f>
        <v>4.9685099999999998E-4</v>
      </c>
      <c r="AJ37" s="188">
        <f>opex_orig!AF37</f>
        <v>1.781707E-3</v>
      </c>
      <c r="AK37" s="188">
        <f>opex_orig!AG37</f>
        <v>7.8961600000000004E-4</v>
      </c>
      <c r="AL37" s="188">
        <f>opex_orig!AH37</f>
        <v>2.6904499999999998E-4</v>
      </c>
      <c r="AM37" s="188">
        <f>opex_orig!AI37</f>
        <v>5.2042400000000002E-4</v>
      </c>
      <c r="AN37" s="188">
        <f>opex_orig!AJ37</f>
        <v>2.7947699999999998E-4</v>
      </c>
      <c r="AO37" s="188">
        <f>opex_orig!AK37</f>
        <v>6.2777600000000003E-4</v>
      </c>
      <c r="AP37" s="188">
        <f>opex_orig!$AL37</f>
        <v>3.2157478218731398E-4</v>
      </c>
      <c r="AQ37" s="188">
        <f>opex_orig!$AL37</f>
        <v>3.2157478218731398E-4</v>
      </c>
      <c r="AR37" s="188">
        <f>opex_orig!$AL37</f>
        <v>3.2157478218731398E-4</v>
      </c>
      <c r="AS37" s="188">
        <f>opex_orig!$AM37</f>
        <v>5.0176333488626305E-4</v>
      </c>
      <c r="AT37" s="188">
        <f>opex_orig!AN37</f>
        <v>4.9551399999999996E-4</v>
      </c>
      <c r="AU37" s="188">
        <f>opex_orig!$AO37</f>
        <v>2.4034740308726801E-4</v>
      </c>
      <c r="AV37" s="188">
        <f>opex_orig!$AO37</f>
        <v>2.4034740308726801E-4</v>
      </c>
      <c r="AW37" s="188">
        <f>opex_orig!$AO37</f>
        <v>2.4034740308726801E-4</v>
      </c>
      <c r="AX37" s="188">
        <f>opex_orig!$AP37</f>
        <v>3.97525087486422E-4</v>
      </c>
      <c r="AY37" s="188">
        <f>opex_orig!AQ37</f>
        <v>4.9818300000000002E-4</v>
      </c>
      <c r="AZ37" s="188">
        <f>opex_orig!AR37</f>
        <v>0</v>
      </c>
      <c r="BA37" s="188">
        <f>opex_orig!AS37</f>
        <v>5.0688299999999996E-4</v>
      </c>
      <c r="BB37" s="188">
        <f>opex_orig!AT37</f>
        <v>4.2182599999999998E-4</v>
      </c>
      <c r="BC37" s="188">
        <f>opex_orig!AU37</f>
        <v>2.7742799999999997E-4</v>
      </c>
      <c r="BD37" s="188">
        <f>opex_orig!AV37</f>
        <v>2.23169E-4</v>
      </c>
      <c r="BE37" s="188">
        <f>opex_orig!AW37</f>
        <v>5.8770399999999998E-4</v>
      </c>
      <c r="BF37" s="188">
        <f>opex_orig!AX37</f>
        <v>0</v>
      </c>
      <c r="BG37" s="188">
        <f>opex_orig!AY37</f>
        <v>1.1394630000000001E-3</v>
      </c>
      <c r="BH37" s="188">
        <f>opex_orig!AZ37</f>
        <v>0</v>
      </c>
      <c r="BI37" s="188">
        <f>opex_orig!BA37</f>
        <v>2.32773E-4</v>
      </c>
      <c r="BJ37" s="188">
        <f>opex_orig!BB37</f>
        <v>1.7013799999999999E-4</v>
      </c>
      <c r="BK37" s="188">
        <f>opex_orig!BC37</f>
        <v>2.8394899999999997E-4</v>
      </c>
      <c r="BL37" s="188">
        <f>opex_orig!BD37</f>
        <v>1.6661200000000001E-4</v>
      </c>
      <c r="BM37" s="188">
        <f>opex_orig!BE37</f>
        <v>1.4836E-4</v>
      </c>
      <c r="BN37" s="188">
        <f>opex_orig!BF37</f>
        <v>2.0826199999999999E-4</v>
      </c>
      <c r="BO37" s="188">
        <f>opex_orig!BG37</f>
        <v>5.90962E-4</v>
      </c>
      <c r="BP37" s="188">
        <f>opex_orig!$BH37</f>
        <v>3.0517123328212698E-4</v>
      </c>
      <c r="BQ37" s="188">
        <f>opex_orig!$BH37</f>
        <v>3.0517123328212698E-4</v>
      </c>
      <c r="BR37" s="188">
        <f>opex_orig!BI37</f>
        <v>2.4579300000000001E-4</v>
      </c>
      <c r="BS37" s="188">
        <f>opex_orig!BJ37</f>
        <v>3.0181000000000001E-4</v>
      </c>
      <c r="BT37" s="188">
        <f>opex_orig!BK37</f>
        <v>4.9648800000000001E-4</v>
      </c>
      <c r="BU37" s="188">
        <f>opex_orig!BL37</f>
        <v>0</v>
      </c>
      <c r="BV37" s="27">
        <f>opex_orig!BM37</f>
        <v>2.3018410114402301E-4</v>
      </c>
      <c r="BW37" s="27">
        <f>opex_orig!BN37</f>
        <v>7.6040799804422295E-4</v>
      </c>
      <c r="BX37" s="27">
        <f>opex_orig!BO37</f>
        <v>7.9063451608296601E-5</v>
      </c>
      <c r="BY37" s="27">
        <f>opex_orig!BP37</f>
        <v>4.3722537212892199E-4</v>
      </c>
      <c r="BZ37" s="27">
        <f>opex_orig!BQ37</f>
        <v>3.6522529730801301E-4</v>
      </c>
      <c r="CA37" s="27">
        <f>opex_orig!BR37</f>
        <v>2.9899100813160201E-5</v>
      </c>
      <c r="CB37" s="27">
        <f>opex_orig!BS37</f>
        <v>1.3632621342988701E-3</v>
      </c>
      <c r="CC37" s="27">
        <f>opex_orig!BT37</f>
        <v>2.6841829413253E-5</v>
      </c>
      <c r="CD37" s="27">
        <f>opex_orig!BU37</f>
        <v>1.3309271554056801E-4</v>
      </c>
      <c r="CE37" s="27">
        <f>opex_orig!BV37</f>
        <v>1.3309271554056801E-4</v>
      </c>
      <c r="CF37" s="27">
        <f>opex_orig!BW37</f>
        <v>2.1142417778256901E-4</v>
      </c>
      <c r="CG37" s="27">
        <f>opex_orig!BX37</f>
        <v>6.4499909462131703E-6</v>
      </c>
      <c r="CH37" s="27">
        <f>opex_orig!BY37</f>
        <v>1.4489163343161499E-4</v>
      </c>
      <c r="CI37" s="27">
        <f>opex_orig!BZ37</f>
        <v>3.7911299999999999E-4</v>
      </c>
      <c r="CJ37" s="27">
        <f>opex_orig!CA37</f>
        <v>1.6336700000000001E-4</v>
      </c>
      <c r="CK37" s="27">
        <f>opex_orig!CB37</f>
        <v>1.17606E-4</v>
      </c>
      <c r="CL37" s="27">
        <f>opex_orig!CC37</f>
        <v>1.01992E-4</v>
      </c>
      <c r="CM37" s="27">
        <f>opex_orig!CD37</f>
        <v>4.3715900000000001E-4</v>
      </c>
      <c r="CN37" s="27">
        <f>opex_orig!CE37</f>
        <v>3.0693400000000003E-4</v>
      </c>
      <c r="CO37" s="27">
        <f>opex_orig!CF37</f>
        <v>5.9299999999999998E-5</v>
      </c>
      <c r="CP37" s="27">
        <f>opex_orig!CG37</f>
        <v>2.2154999999999999E-4</v>
      </c>
    </row>
    <row r="38" spans="1:94" x14ac:dyDescent="0.25">
      <c r="A38" s="5" t="s">
        <v>95</v>
      </c>
      <c r="B38" s="2" t="s">
        <v>94</v>
      </c>
      <c r="C38" s="1" t="s">
        <v>327</v>
      </c>
      <c r="D38" s="188">
        <f>opex_orig!D38</f>
        <v>4.5500000000000001E-5</v>
      </c>
      <c r="E38" s="188">
        <f>opex_orig!E38</f>
        <v>7.2899999999999997E-5</v>
      </c>
      <c r="F38" s="188">
        <f>opex_orig!F38</f>
        <v>3.2922600000000001E-4</v>
      </c>
      <c r="G38" s="188">
        <f>opex_orig!G38</f>
        <v>7.3599999999999998E-6</v>
      </c>
      <c r="H38" s="188">
        <f>opex_orig!H38</f>
        <v>3.5899999999999999E-6</v>
      </c>
      <c r="I38" s="188">
        <f>opex_orig!I38</f>
        <v>3.4799999999999999E-5</v>
      </c>
      <c r="J38" s="188">
        <f>opex_orig!J38</f>
        <v>1.1029799999999999E-4</v>
      </c>
      <c r="K38" s="188">
        <f>opex_orig!K38</f>
        <v>5.5199999999999997E-6</v>
      </c>
      <c r="L38" s="188">
        <f>opex_orig!L38</f>
        <v>4.7808799999999999E-4</v>
      </c>
      <c r="M38" s="188">
        <f>opex_orig!M38</f>
        <v>6.05E-5</v>
      </c>
      <c r="N38" s="188">
        <f>opex_orig!N38</f>
        <v>9.0593800000000001E-4</v>
      </c>
      <c r="O38" s="188">
        <f>opex_orig!O38</f>
        <v>1.2040300000000001E-4</v>
      </c>
      <c r="P38" s="188">
        <f>opex_orig!P38</f>
        <v>7.6500000000000003E-5</v>
      </c>
      <c r="Q38" s="188">
        <f>opex_orig!Q38</f>
        <v>1.35876E-4</v>
      </c>
      <c r="R38" s="188">
        <f>opex_orig!R38</f>
        <v>1.2889600000000001E-4</v>
      </c>
      <c r="S38" s="188">
        <f>opex_orig!S38</f>
        <v>3.96E-5</v>
      </c>
      <c r="T38" s="188">
        <f>opex_orig!T38</f>
        <v>3.9799999999999998E-5</v>
      </c>
      <c r="U38" s="188">
        <f>opex_orig!U38</f>
        <v>4.8699999999999998E-5</v>
      </c>
      <c r="V38" s="188">
        <f>opex_orig!V38</f>
        <v>7.0400000000000004E-5</v>
      </c>
      <c r="W38" s="188">
        <f>opex_orig!W38</f>
        <v>3.9799999999999998E-5</v>
      </c>
      <c r="X38" s="188">
        <f>opex_orig!X38</f>
        <v>2.72E-5</v>
      </c>
      <c r="Y38" s="188">
        <f>opex_orig!Y38</f>
        <v>8.5399999999999996E-6</v>
      </c>
      <c r="Z38" s="188">
        <f>opex_orig!Z38</f>
        <v>1.39214E-4</v>
      </c>
      <c r="AA38" s="188">
        <f>opex_orig!AA38</f>
        <v>2.6699999999999998E-5</v>
      </c>
      <c r="AB38" s="188">
        <f>opex_orig!$AB38</f>
        <v>4.4897929942433202E-4</v>
      </c>
      <c r="AC38" s="188">
        <f>opex_orig!$AB38</f>
        <v>4.4897929942433202E-4</v>
      </c>
      <c r="AD38" s="188">
        <f>opex_orig!$AB38</f>
        <v>4.4897929942433202E-4</v>
      </c>
      <c r="AE38" s="188">
        <f>opex_orig!$AC38</f>
        <v>4.2336191851296602E-4</v>
      </c>
      <c r="AF38" s="188">
        <f>opex_orig!$AD38</f>
        <v>2.02183578993548E-4</v>
      </c>
      <c r="AG38" s="188">
        <f>opex_orig!$AD38</f>
        <v>2.02183578993548E-4</v>
      </c>
      <c r="AH38" s="188">
        <f>opex_orig!$AD38</f>
        <v>2.02183578993548E-4</v>
      </c>
      <c r="AI38" s="188">
        <f>opex_orig!AE38</f>
        <v>1.8769300000000001E-4</v>
      </c>
      <c r="AJ38" s="188">
        <f>opex_orig!AF38</f>
        <v>3.2254799999999998E-4</v>
      </c>
      <c r="AK38" s="188">
        <f>opex_orig!AG38</f>
        <v>8.6799999999999996E-5</v>
      </c>
      <c r="AL38" s="188">
        <f>opex_orig!AH38</f>
        <v>6.9200000000000002E-5</v>
      </c>
      <c r="AM38" s="188">
        <f>opex_orig!AI38</f>
        <v>2.4499999999999999E-5</v>
      </c>
      <c r="AN38" s="188">
        <f>opex_orig!AJ38</f>
        <v>4.3000000000000002E-5</v>
      </c>
      <c r="AO38" s="188">
        <f>opex_orig!AK38</f>
        <v>3.6600000000000002E-5</v>
      </c>
      <c r="AP38" s="188">
        <f>opex_orig!$AL38</f>
        <v>3.1692626215953903E-5</v>
      </c>
      <c r="AQ38" s="188">
        <f>opex_orig!$AL38</f>
        <v>3.1692626215953903E-5</v>
      </c>
      <c r="AR38" s="188">
        <f>opex_orig!$AL38</f>
        <v>3.1692626215953903E-5</v>
      </c>
      <c r="AS38" s="188">
        <f>opex_orig!$AM38</f>
        <v>2.2795440304493499E-5</v>
      </c>
      <c r="AT38" s="188">
        <f>opex_orig!AN38</f>
        <v>4.46E-5</v>
      </c>
      <c r="AU38" s="188">
        <f>opex_orig!$AO38</f>
        <v>3.76943327412314E-5</v>
      </c>
      <c r="AV38" s="188">
        <f>opex_orig!$AO38</f>
        <v>3.76943327412314E-5</v>
      </c>
      <c r="AW38" s="188">
        <f>opex_orig!$AO38</f>
        <v>3.76943327412314E-5</v>
      </c>
      <c r="AX38" s="188">
        <f>opex_orig!$AP38</f>
        <v>4.46832039584569E-5</v>
      </c>
      <c r="AY38" s="188">
        <f>opex_orig!AQ38</f>
        <v>4.9599999999999999E-5</v>
      </c>
      <c r="AZ38" s="188">
        <f>opex_orig!AR38</f>
        <v>0</v>
      </c>
      <c r="BA38" s="188">
        <f>opex_orig!AS38</f>
        <v>5.5699999999999999E-5</v>
      </c>
      <c r="BB38" s="188">
        <f>opex_orig!AT38</f>
        <v>4.18E-5</v>
      </c>
      <c r="BC38" s="188">
        <f>opex_orig!AU38</f>
        <v>3.4999999999999997E-5</v>
      </c>
      <c r="BD38" s="188">
        <f>opex_orig!AV38</f>
        <v>9.6600000000000007E-6</v>
      </c>
      <c r="BE38" s="188">
        <f>opex_orig!AW38</f>
        <v>1.3677700000000001E-4</v>
      </c>
      <c r="BF38" s="188">
        <f>opex_orig!AX38</f>
        <v>0</v>
      </c>
      <c r="BG38" s="188">
        <f>opex_orig!AY38</f>
        <v>2.4600000000000002E-5</v>
      </c>
      <c r="BH38" s="188">
        <f>opex_orig!AZ38</f>
        <v>0</v>
      </c>
      <c r="BI38" s="188">
        <f>opex_orig!BA38</f>
        <v>4.1199999999999999E-5</v>
      </c>
      <c r="BJ38" s="188">
        <f>opex_orig!BB38</f>
        <v>2.2900000000000001E-5</v>
      </c>
      <c r="BK38" s="188">
        <f>opex_orig!BC38</f>
        <v>5.1600000000000001E-5</v>
      </c>
      <c r="BL38" s="188">
        <f>opex_orig!BD38</f>
        <v>8.4400000000000005E-5</v>
      </c>
      <c r="BM38" s="188">
        <f>opex_orig!BE38</f>
        <v>7.1400000000000001E-5</v>
      </c>
      <c r="BN38" s="188">
        <f>opex_orig!BF38</f>
        <v>6.9300000000000004E-5</v>
      </c>
      <c r="BO38" s="188">
        <f>opex_orig!BG38</f>
        <v>1.04694E-4</v>
      </c>
      <c r="BP38" s="188">
        <f>opex_orig!$BH38</f>
        <v>3.5790768720660702E-5</v>
      </c>
      <c r="BQ38" s="188">
        <f>opex_orig!$BH38</f>
        <v>3.5790768720660702E-5</v>
      </c>
      <c r="BR38" s="188">
        <f>opex_orig!BI38</f>
        <v>7.5699999999999997E-5</v>
      </c>
      <c r="BS38" s="188">
        <f>opex_orig!BJ38</f>
        <v>7.6199999999999995E-5</v>
      </c>
      <c r="BT38" s="188">
        <f>opex_orig!BK38</f>
        <v>5.0808400000000001E-4</v>
      </c>
      <c r="BU38" s="188">
        <f>opex_orig!BL38</f>
        <v>0</v>
      </c>
      <c r="BV38" s="27">
        <f>opex_orig!BM38</f>
        <v>3.6727187574824098E-5</v>
      </c>
      <c r="BW38" s="27">
        <f>opex_orig!BN38</f>
        <v>1.7451644867169099E-4</v>
      </c>
      <c r="BX38" s="27">
        <f>opex_orig!BO38</f>
        <v>1.54043643137606E-5</v>
      </c>
      <c r="BY38" s="27">
        <f>opex_orig!BP38</f>
        <v>1.20040039423257E-4</v>
      </c>
      <c r="BZ38" s="27">
        <f>opex_orig!BQ38</f>
        <v>2.2902680287970001E-5</v>
      </c>
      <c r="CA38" s="27">
        <f>opex_orig!BR38</f>
        <v>4.1234828645181098E-6</v>
      </c>
      <c r="CB38" s="27">
        <f>opex_orig!BS38</f>
        <v>5.8071222380606402E-5</v>
      </c>
      <c r="CC38" s="27">
        <f>opex_orig!BT38</f>
        <v>1.6975760208845699E-5</v>
      </c>
      <c r="CD38" s="27">
        <f>opex_orig!BU38</f>
        <v>5.5324437050663703E-6</v>
      </c>
      <c r="CE38" s="27">
        <f>opex_orig!BV38</f>
        <v>5.5324437050663796E-6</v>
      </c>
      <c r="CF38" s="27">
        <f>opex_orig!BW38</f>
        <v>3.2503939594610297E-5</v>
      </c>
      <c r="CG38" s="27">
        <f>opex_orig!BX38</f>
        <v>8.8661626827225003E-6</v>
      </c>
      <c r="CH38" s="27">
        <f>opex_orig!BY38</f>
        <v>1.80686762497684E-4</v>
      </c>
      <c r="CI38" s="27">
        <f>opex_orig!BZ38</f>
        <v>7.6799999999999997E-5</v>
      </c>
      <c r="CJ38" s="27">
        <f>opex_orig!CA38</f>
        <v>2.0800000000000001E-5</v>
      </c>
      <c r="CK38" s="27">
        <f>opex_orig!CB38</f>
        <v>1.49E-5</v>
      </c>
      <c r="CL38" s="27">
        <f>opex_orig!CC38</f>
        <v>1.7600000000000001E-5</v>
      </c>
      <c r="CM38" s="27">
        <f>opex_orig!CD38</f>
        <v>8.3700000000000002E-5</v>
      </c>
      <c r="CN38" s="27">
        <f>opex_orig!CE38</f>
        <v>2.2826300000000001E-4</v>
      </c>
      <c r="CO38" s="27">
        <f>opex_orig!CF38</f>
        <v>2.2500000000000001E-5</v>
      </c>
      <c r="CP38" s="27">
        <f>opex_orig!CG38</f>
        <v>5.8600000000000001E-5</v>
      </c>
    </row>
    <row r="39" spans="1:94" x14ac:dyDescent="0.25">
      <c r="A39" s="5" t="s">
        <v>97</v>
      </c>
      <c r="B39" s="2" t="s">
        <v>96</v>
      </c>
      <c r="C39" s="1" t="s">
        <v>327</v>
      </c>
      <c r="D39" s="188">
        <f>opex_orig!D39</f>
        <v>3.6170000000000001E-4</v>
      </c>
      <c r="E39" s="188">
        <f>opex_orig!E39</f>
        <v>8.5697099999999999E-4</v>
      </c>
      <c r="F39" s="188">
        <f>opex_orig!F39</f>
        <v>5.6755299999999998E-3</v>
      </c>
      <c r="G39" s="188">
        <f>opex_orig!G39</f>
        <v>3.9115920000000002E-3</v>
      </c>
      <c r="H39" s="188">
        <f>opex_orig!H39</f>
        <v>1.1799999999999999E-6</v>
      </c>
      <c r="I39" s="188">
        <f>opex_orig!I39</f>
        <v>4.3712200000000002E-4</v>
      </c>
      <c r="J39" s="188">
        <f>opex_orig!J39</f>
        <v>1.8294606000000001E-2</v>
      </c>
      <c r="K39" s="188">
        <f>opex_orig!K39</f>
        <v>1.81E-6</v>
      </c>
      <c r="L39" s="188">
        <f>opex_orig!L39</f>
        <v>6.9846020000000003E-3</v>
      </c>
      <c r="M39" s="188">
        <f>opex_orig!M39</f>
        <v>6.2554799999999997E-4</v>
      </c>
      <c r="N39" s="188">
        <f>opex_orig!N39</f>
        <v>6.8300230000000002E-3</v>
      </c>
      <c r="O39" s="188">
        <f>opex_orig!O39</f>
        <v>7.0429100000000001E-4</v>
      </c>
      <c r="P39" s="188">
        <f>opex_orig!P39</f>
        <v>1.66286E-4</v>
      </c>
      <c r="Q39" s="188">
        <f>opex_orig!Q39</f>
        <v>1.9952199999999999E-4</v>
      </c>
      <c r="R39" s="188">
        <f>opex_orig!R39</f>
        <v>9.0912899999999995E-4</v>
      </c>
      <c r="S39" s="188">
        <f>opex_orig!S39</f>
        <v>1.24E-5</v>
      </c>
      <c r="T39" s="188">
        <f>opex_orig!T39</f>
        <v>1.7E-5</v>
      </c>
      <c r="U39" s="188">
        <f>opex_orig!U39</f>
        <v>1.2E-5</v>
      </c>
      <c r="V39" s="188">
        <f>opex_orig!V39</f>
        <v>1.33E-5</v>
      </c>
      <c r="W39" s="188">
        <f>opex_orig!W39</f>
        <v>1.0499999999999999E-5</v>
      </c>
      <c r="X39" s="188">
        <f>opex_orig!X39</f>
        <v>1.7127099999999999E-4</v>
      </c>
      <c r="Y39" s="188">
        <f>opex_orig!Y39</f>
        <v>5.4500000000000003E-6</v>
      </c>
      <c r="Z39" s="188">
        <f>opex_orig!Z39</f>
        <v>6.5500000000000006E-5</v>
      </c>
      <c r="AA39" s="188">
        <f>opex_orig!AA39</f>
        <v>8.3399999999999998E-6</v>
      </c>
      <c r="AB39" s="188">
        <f>opex_orig!$AB39</f>
        <v>4.70373126065955E-5</v>
      </c>
      <c r="AC39" s="188">
        <f>opex_orig!$AB39</f>
        <v>4.70373126065955E-5</v>
      </c>
      <c r="AD39" s="188">
        <f>opex_orig!$AB39</f>
        <v>4.70373126065955E-5</v>
      </c>
      <c r="AE39" s="188">
        <f>opex_orig!$AC39</f>
        <v>1.02657340176088E-4</v>
      </c>
      <c r="AF39" s="188">
        <f>opex_orig!$AD39</f>
        <v>9.51510827239466E-5</v>
      </c>
      <c r="AG39" s="188">
        <f>opex_orig!$AD39</f>
        <v>9.51510827239466E-5</v>
      </c>
      <c r="AH39" s="188">
        <f>opex_orig!$AD39</f>
        <v>9.51510827239466E-5</v>
      </c>
      <c r="AI39" s="188">
        <f>opex_orig!AE39</f>
        <v>1.0575E-4</v>
      </c>
      <c r="AJ39" s="188">
        <f>opex_orig!AF39</f>
        <v>7.2299999999999996E-5</v>
      </c>
      <c r="AK39" s="188">
        <f>opex_orig!AG39</f>
        <v>1.8899999999999999E-5</v>
      </c>
      <c r="AL39" s="188">
        <f>opex_orig!AH39</f>
        <v>2.7399999999999999E-5</v>
      </c>
      <c r="AM39" s="188">
        <f>opex_orig!AI39</f>
        <v>1.7200000000000001E-5</v>
      </c>
      <c r="AN39" s="188">
        <f>opex_orig!AJ39</f>
        <v>2.8099999999999999E-5</v>
      </c>
      <c r="AO39" s="188">
        <f>opex_orig!AK39</f>
        <v>1.8700000000000001E-5</v>
      </c>
      <c r="AP39" s="188">
        <f>opex_orig!$AL39</f>
        <v>1.1227597519042201E-5</v>
      </c>
      <c r="AQ39" s="188">
        <f>opex_orig!$AL39</f>
        <v>1.1227597519042201E-5</v>
      </c>
      <c r="AR39" s="188">
        <f>opex_orig!$AL39</f>
        <v>1.1227597519042201E-5</v>
      </c>
      <c r="AS39" s="188">
        <f>opex_orig!$AM39</f>
        <v>1.39399967884562E-5</v>
      </c>
      <c r="AT39" s="188">
        <f>opex_orig!AN39</f>
        <v>1.7900000000000001E-5</v>
      </c>
      <c r="AU39" s="188">
        <f>opex_orig!$AO39</f>
        <v>1.93281512225959E-5</v>
      </c>
      <c r="AV39" s="188">
        <f>opex_orig!$AO39</f>
        <v>1.93281512225959E-5</v>
      </c>
      <c r="AW39" s="188">
        <f>opex_orig!$AO39</f>
        <v>1.93281512225959E-5</v>
      </c>
      <c r="AX39" s="188">
        <f>opex_orig!$AP39</f>
        <v>9.8027047196092099E-6</v>
      </c>
      <c r="AY39" s="188">
        <f>opex_orig!AQ39</f>
        <v>1.26E-5</v>
      </c>
      <c r="AZ39" s="188">
        <f>opex_orig!AR39</f>
        <v>0</v>
      </c>
      <c r="BA39" s="188">
        <f>opex_orig!AS39</f>
        <v>1.26E-5</v>
      </c>
      <c r="BB39" s="188">
        <f>opex_orig!AT39</f>
        <v>9.2399999999999996E-6</v>
      </c>
      <c r="BC39" s="188">
        <f>opex_orig!AU39</f>
        <v>1.13E-5</v>
      </c>
      <c r="BD39" s="188">
        <f>opex_orig!AV39</f>
        <v>7.2400000000000001E-6</v>
      </c>
      <c r="BE39" s="188">
        <f>opex_orig!AW39</f>
        <v>2.34E-5</v>
      </c>
      <c r="BF39" s="188">
        <f>opex_orig!AX39</f>
        <v>0</v>
      </c>
      <c r="BG39" s="188">
        <f>opex_orig!AY39</f>
        <v>9.7799999999999995E-6</v>
      </c>
      <c r="BH39" s="188">
        <f>opex_orig!AZ39</f>
        <v>0</v>
      </c>
      <c r="BI39" s="188">
        <f>opex_orig!BA39</f>
        <v>3.1699999999999998E-5</v>
      </c>
      <c r="BJ39" s="188">
        <f>opex_orig!BB39</f>
        <v>1.4800000000000001E-5</v>
      </c>
      <c r="BK39" s="188">
        <f>opex_orig!BC39</f>
        <v>1.2099999999999999E-5</v>
      </c>
      <c r="BL39" s="188">
        <f>opex_orig!BD39</f>
        <v>7.2000000000000002E-5</v>
      </c>
      <c r="BM39" s="188">
        <f>opex_orig!BE39</f>
        <v>1.8600000000000001E-5</v>
      </c>
      <c r="BN39" s="188">
        <f>opex_orig!BF39</f>
        <v>3.1699999999999998E-5</v>
      </c>
      <c r="BO39" s="188">
        <f>opex_orig!BG39</f>
        <v>2.9348599999999997E-4</v>
      </c>
      <c r="BP39" s="188">
        <f>opex_orig!$BH39</f>
        <v>1.9730672957058001E-5</v>
      </c>
      <c r="BQ39" s="188">
        <f>opex_orig!$BH39</f>
        <v>1.9730672957058001E-5</v>
      </c>
      <c r="BR39" s="188">
        <f>opex_orig!BI39</f>
        <v>2.5599999999999999E-5</v>
      </c>
      <c r="BS39" s="188">
        <f>opex_orig!BJ39</f>
        <v>2.2099999999999998E-5</v>
      </c>
      <c r="BT39" s="188">
        <f>opex_orig!BK39</f>
        <v>7.2299999999999996E-5</v>
      </c>
      <c r="BU39" s="188">
        <f>opex_orig!BL39</f>
        <v>0</v>
      </c>
      <c r="BV39" s="27">
        <f>opex_orig!BM39</f>
        <v>1.79352521212262E-5</v>
      </c>
      <c r="BW39" s="27">
        <f>opex_orig!BN39</f>
        <v>3.7693846861225297E-5</v>
      </c>
      <c r="BX39" s="27">
        <f>opex_orig!BO39</f>
        <v>8.5319930502933993E-6</v>
      </c>
      <c r="BY39" s="27">
        <f>opex_orig!BP39</f>
        <v>1.9243851426679501E-5</v>
      </c>
      <c r="BZ39" s="27">
        <f>opex_orig!BQ39</f>
        <v>5.9608516997033797E-6</v>
      </c>
      <c r="CA39" s="27">
        <f>opex_orig!BR39</f>
        <v>1.40587549953676E-6</v>
      </c>
      <c r="CB39" s="27">
        <f>opex_orig!BS39</f>
        <v>2.90409164639782E-5</v>
      </c>
      <c r="CC39" s="27">
        <f>opex_orig!BT39</f>
        <v>3.4122546516434001E-6</v>
      </c>
      <c r="CD39" s="27">
        <f>opex_orig!BU39</f>
        <v>2.0081437339065201E-6</v>
      </c>
      <c r="CE39" s="27">
        <f>opex_orig!BV39</f>
        <v>2.0081437339065298E-6</v>
      </c>
      <c r="CF39" s="27">
        <f>opex_orig!BW39</f>
        <v>1.23511541698636E-5</v>
      </c>
      <c r="CG39" s="27">
        <f>opex_orig!BX39</f>
        <v>6.3962466752788702E-6</v>
      </c>
      <c r="CH39" s="27">
        <f>opex_orig!BY39</f>
        <v>5.2457164511223203E-5</v>
      </c>
      <c r="CI39" s="27">
        <f>opex_orig!BZ39</f>
        <v>1.84E-5</v>
      </c>
      <c r="CJ39" s="27">
        <f>opex_orig!CA39</f>
        <v>9.2799999999999992E-6</v>
      </c>
      <c r="CK39" s="27">
        <f>opex_orig!CB39</f>
        <v>1.22E-5</v>
      </c>
      <c r="CL39" s="27">
        <f>opex_orig!CC39</f>
        <v>4.9599999999999999E-6</v>
      </c>
      <c r="CM39" s="27">
        <f>opex_orig!CD39</f>
        <v>4.3699999999999998E-5</v>
      </c>
      <c r="CN39" s="27">
        <f>opex_orig!CE39</f>
        <v>1.31E-5</v>
      </c>
      <c r="CO39" s="27">
        <f>opex_orig!CF39</f>
        <v>8.9199999999999993E-6</v>
      </c>
      <c r="CP39" s="27">
        <f>opex_orig!CG39</f>
        <v>1.13E-5</v>
      </c>
    </row>
    <row r="40" spans="1:94" x14ac:dyDescent="0.25">
      <c r="A40" s="5" t="s">
        <v>99</v>
      </c>
      <c r="B40" s="2" t="s">
        <v>98</v>
      </c>
      <c r="C40" s="1" t="s">
        <v>327</v>
      </c>
      <c r="D40" s="188">
        <f>opex_orig!D40</f>
        <v>2.5925299999999998E-4</v>
      </c>
      <c r="E40" s="188">
        <f>opex_orig!E40</f>
        <v>4.5013600000000001E-4</v>
      </c>
      <c r="F40" s="188">
        <f>opex_orig!F40</f>
        <v>2.5941430000000001E-3</v>
      </c>
      <c r="G40" s="188">
        <f>opex_orig!G40</f>
        <v>5.7899999999999998E-5</v>
      </c>
      <c r="H40" s="188">
        <f>opex_orig!H40</f>
        <v>4.2899999999999999E-5</v>
      </c>
      <c r="I40" s="188">
        <f>opex_orig!I40</f>
        <v>3.04715E-4</v>
      </c>
      <c r="J40" s="188">
        <f>opex_orig!J40</f>
        <v>2.886577E-3</v>
      </c>
      <c r="K40" s="188">
        <f>opex_orig!K40</f>
        <v>9.2100000000000003E-5</v>
      </c>
      <c r="L40" s="188">
        <f>opex_orig!L40</f>
        <v>1.2556774999999999E-2</v>
      </c>
      <c r="M40" s="188">
        <f>opex_orig!M40</f>
        <v>6.6267699999999997E-4</v>
      </c>
      <c r="N40" s="188">
        <f>opex_orig!N40</f>
        <v>1.758349E-3</v>
      </c>
      <c r="O40" s="188">
        <f>opex_orig!O40</f>
        <v>5.82933E-4</v>
      </c>
      <c r="P40" s="188">
        <f>opex_orig!P40</f>
        <v>2.1138E-4</v>
      </c>
      <c r="Q40" s="188">
        <f>opex_orig!Q40</f>
        <v>2.4814200000000002E-4</v>
      </c>
      <c r="R40" s="188">
        <f>opex_orig!R40</f>
        <v>3.5800799999999999E-4</v>
      </c>
      <c r="S40" s="188">
        <f>opex_orig!S40</f>
        <v>8.9099999999999997E-5</v>
      </c>
      <c r="T40" s="188">
        <f>opex_orig!T40</f>
        <v>1.8557799999999999E-4</v>
      </c>
      <c r="U40" s="188">
        <f>opex_orig!U40</f>
        <v>1.17656E-4</v>
      </c>
      <c r="V40" s="188">
        <f>opex_orig!V40</f>
        <v>1.44089E-4</v>
      </c>
      <c r="W40" s="188">
        <f>opex_orig!W40</f>
        <v>7.0300000000000001E-5</v>
      </c>
      <c r="X40" s="188">
        <f>opex_orig!X40</f>
        <v>1.0712799999999999E-4</v>
      </c>
      <c r="Y40" s="188">
        <f>opex_orig!Y40</f>
        <v>8.8999999999999995E-5</v>
      </c>
      <c r="Z40" s="188">
        <f>opex_orig!Z40</f>
        <v>7.1500000000000003E-5</v>
      </c>
      <c r="AA40" s="188">
        <f>opex_orig!AA40</f>
        <v>2.78545E-4</v>
      </c>
      <c r="AB40" s="188">
        <f>opex_orig!$AB40</f>
        <v>2.7751497386964798E-4</v>
      </c>
      <c r="AC40" s="188">
        <f>opex_orig!$AB40</f>
        <v>2.7751497386964798E-4</v>
      </c>
      <c r="AD40" s="188">
        <f>opex_orig!$AB40</f>
        <v>2.7751497386964798E-4</v>
      </c>
      <c r="AE40" s="188">
        <f>opex_orig!$AC40</f>
        <v>4.8848037080251598E-4</v>
      </c>
      <c r="AF40" s="188">
        <f>opex_orig!$AD40</f>
        <v>1.5520945376436599E-4</v>
      </c>
      <c r="AG40" s="188">
        <f>opex_orig!$AD40</f>
        <v>1.5520945376436599E-4</v>
      </c>
      <c r="AH40" s="188">
        <f>opex_orig!$AD40</f>
        <v>1.5520945376436599E-4</v>
      </c>
      <c r="AI40" s="188">
        <f>opex_orig!AE40</f>
        <v>1.22929E-4</v>
      </c>
      <c r="AJ40" s="188">
        <f>opex_orig!AF40</f>
        <v>5.8723499999999997E-4</v>
      </c>
      <c r="AK40" s="188">
        <f>opex_orig!AG40</f>
        <v>2.2031000000000001E-4</v>
      </c>
      <c r="AL40" s="188">
        <f>opex_orig!AH40</f>
        <v>5.8999999999999998E-5</v>
      </c>
      <c r="AM40" s="188">
        <f>opex_orig!AI40</f>
        <v>1.3101500000000001E-4</v>
      </c>
      <c r="AN40" s="188">
        <f>opex_orig!AJ40</f>
        <v>6.3299999999999994E-5</v>
      </c>
      <c r="AO40" s="188">
        <f>opex_orig!AK40</f>
        <v>1.51411E-4</v>
      </c>
      <c r="AP40" s="188">
        <f>opex_orig!$AL40</f>
        <v>7.7237790407528605E-5</v>
      </c>
      <c r="AQ40" s="188">
        <f>opex_orig!$AL40</f>
        <v>7.7237790407528605E-5</v>
      </c>
      <c r="AR40" s="188">
        <f>opex_orig!$AL40</f>
        <v>7.7237790407528605E-5</v>
      </c>
      <c r="AS40" s="188">
        <f>opex_orig!$AM40</f>
        <v>1.2285847097019399E-4</v>
      </c>
      <c r="AT40" s="188">
        <f>opex_orig!AN40</f>
        <v>1.2548299999999999E-4</v>
      </c>
      <c r="AU40" s="188">
        <f>opex_orig!$AO40</f>
        <v>5.6446478323691197E-5</v>
      </c>
      <c r="AV40" s="188">
        <f>opex_orig!$AO40</f>
        <v>5.6446478323691197E-5</v>
      </c>
      <c r="AW40" s="188">
        <f>opex_orig!$AO40</f>
        <v>5.6446478323691197E-5</v>
      </c>
      <c r="AX40" s="188">
        <f>opex_orig!$AP40</f>
        <v>8.8379073486974998E-5</v>
      </c>
      <c r="AY40" s="188">
        <f>opex_orig!AQ40</f>
        <v>1.1320299999999999E-4</v>
      </c>
      <c r="AZ40" s="188">
        <f>opex_orig!AR40</f>
        <v>0</v>
      </c>
      <c r="BA40" s="188">
        <f>opex_orig!AS40</f>
        <v>1.22531E-4</v>
      </c>
      <c r="BB40" s="188">
        <f>opex_orig!AT40</f>
        <v>1.06313E-4</v>
      </c>
      <c r="BC40" s="188">
        <f>opex_orig!AU40</f>
        <v>5.0800000000000002E-5</v>
      </c>
      <c r="BD40" s="188">
        <f>opex_orig!AV40</f>
        <v>5.1E-5</v>
      </c>
      <c r="BE40" s="188">
        <f>opex_orig!AW40</f>
        <v>8.6299999999999997E-5</v>
      </c>
      <c r="BF40" s="188">
        <f>opex_orig!AX40</f>
        <v>0</v>
      </c>
      <c r="BG40" s="188">
        <f>opex_orig!AY40</f>
        <v>2.7756699999999999E-4</v>
      </c>
      <c r="BH40" s="188">
        <f>opex_orig!AZ40</f>
        <v>0</v>
      </c>
      <c r="BI40" s="188">
        <f>opex_orig!BA40</f>
        <v>5.3699999999999997E-5</v>
      </c>
      <c r="BJ40" s="188">
        <f>opex_orig!BB40</f>
        <v>4.9799999999999998E-5</v>
      </c>
      <c r="BK40" s="188">
        <f>opex_orig!BC40</f>
        <v>7.4200000000000001E-5</v>
      </c>
      <c r="BL40" s="188">
        <f>opex_orig!BD40</f>
        <v>7.4900000000000005E-5</v>
      </c>
      <c r="BM40" s="188">
        <f>opex_orig!BE40</f>
        <v>3.6399999999999997E-5</v>
      </c>
      <c r="BN40" s="188">
        <f>opex_orig!BF40</f>
        <v>4.9299999999999999E-5</v>
      </c>
      <c r="BO40" s="188">
        <f>opex_orig!BG40</f>
        <v>1.59679E-4</v>
      </c>
      <c r="BP40" s="188">
        <f>opex_orig!$BH40</f>
        <v>7.6049224855771606E-5</v>
      </c>
      <c r="BQ40" s="188">
        <f>opex_orig!$BH40</f>
        <v>7.6049224855771606E-5</v>
      </c>
      <c r="BR40" s="188">
        <f>opex_orig!BI40</f>
        <v>5.0599999999999997E-5</v>
      </c>
      <c r="BS40" s="188">
        <f>opex_orig!BJ40</f>
        <v>7.9300000000000003E-5</v>
      </c>
      <c r="BT40" s="188">
        <f>opex_orig!BK40</f>
        <v>1.83291E-4</v>
      </c>
      <c r="BU40" s="188">
        <f>opex_orig!BL40</f>
        <v>0</v>
      </c>
      <c r="BV40" s="27">
        <f>opex_orig!BM40</f>
        <v>6.8440871639733293E-5</v>
      </c>
      <c r="BW40" s="27">
        <f>opex_orig!BN40</f>
        <v>1.4652922641508501E-4</v>
      </c>
      <c r="BX40" s="27">
        <f>opex_orig!BO40</f>
        <v>2.1145171197583801E-5</v>
      </c>
      <c r="BY40" s="27">
        <f>opex_orig!BP40</f>
        <v>5.7340147095378998E-5</v>
      </c>
      <c r="BZ40" s="27">
        <f>opex_orig!BQ40</f>
        <v>8.9972418089612205E-5</v>
      </c>
      <c r="CA40" s="27">
        <f>opex_orig!BR40</f>
        <v>8.4129819216585297E-7</v>
      </c>
      <c r="CB40" s="27">
        <f>opex_orig!BS40</f>
        <v>3.4743575853558601E-4</v>
      </c>
      <c r="CC40" s="27">
        <f>opex_orig!BT40</f>
        <v>1.8054538723256999E-6</v>
      </c>
      <c r="CD40" s="27">
        <f>opex_orig!BU40</f>
        <v>3.7189795315361798E-5</v>
      </c>
      <c r="CE40" s="27">
        <f>opex_orig!BV40</f>
        <v>3.71897953153619E-5</v>
      </c>
      <c r="CF40" s="27">
        <f>opex_orig!BW40</f>
        <v>9.0611237171247204E-6</v>
      </c>
      <c r="CG40" s="27">
        <f>opex_orig!BX40</f>
        <v>1.7941261123334099E-6</v>
      </c>
      <c r="CH40" s="27">
        <f>opex_orig!BY40</f>
        <v>3.7453143762885699E-5</v>
      </c>
      <c r="CI40" s="27">
        <f>opex_orig!BZ40</f>
        <v>7.47E-5</v>
      </c>
      <c r="CJ40" s="27">
        <f>opex_orig!CA40</f>
        <v>5.02E-5</v>
      </c>
      <c r="CK40" s="27">
        <f>opex_orig!CB40</f>
        <v>4.1900000000000002E-5</v>
      </c>
      <c r="CL40" s="27">
        <f>opex_orig!CC40</f>
        <v>4.8999999999999998E-5</v>
      </c>
      <c r="CM40" s="27">
        <f>opex_orig!CD40</f>
        <v>1.4798E-4</v>
      </c>
      <c r="CN40" s="27">
        <f>opex_orig!CE40</f>
        <v>9.4500000000000007E-5</v>
      </c>
      <c r="CO40" s="27">
        <f>opex_orig!CF40</f>
        <v>4.1399999999999997E-5</v>
      </c>
      <c r="CP40" s="27">
        <f>opex_orig!CG40</f>
        <v>3.68E-5</v>
      </c>
    </row>
    <row r="41" spans="1:94" x14ac:dyDescent="0.25">
      <c r="A41" s="5" t="s">
        <v>101</v>
      </c>
      <c r="B41" s="2" t="s">
        <v>100</v>
      </c>
      <c r="C41" s="1" t="s">
        <v>327</v>
      </c>
      <c r="D41" s="188">
        <f>opex_orig!D41</f>
        <v>5.8129000000000004E-4</v>
      </c>
      <c r="E41" s="188">
        <f>opex_orig!E41</f>
        <v>7.2517899999999995E-4</v>
      </c>
      <c r="F41" s="188">
        <f>opex_orig!F41</f>
        <v>4.1791069999999996E-3</v>
      </c>
      <c r="G41" s="188">
        <f>opex_orig!G41</f>
        <v>3.12947E-4</v>
      </c>
      <c r="H41" s="188">
        <f>opex_orig!H41</f>
        <v>5.5899999999999997E-5</v>
      </c>
      <c r="I41" s="188">
        <f>opex_orig!I41</f>
        <v>0.14339216299999999</v>
      </c>
      <c r="J41" s="188">
        <f>opex_orig!J41</f>
        <v>2.3368219999999999E-2</v>
      </c>
      <c r="K41" s="188">
        <f>opex_orig!K41</f>
        <v>1.1943300000000001E-4</v>
      </c>
      <c r="L41" s="188">
        <f>opex_orig!L41</f>
        <v>2.2991685000000001E-2</v>
      </c>
      <c r="M41" s="188">
        <f>opex_orig!M41</f>
        <v>2.100345E-3</v>
      </c>
      <c r="N41" s="188">
        <f>opex_orig!N41</f>
        <v>1.0416409999999999E-2</v>
      </c>
      <c r="O41" s="188">
        <f>opex_orig!O41</f>
        <v>1.7608704999999999E-2</v>
      </c>
      <c r="P41" s="188">
        <f>opex_orig!P41</f>
        <v>3.8428239999999999E-3</v>
      </c>
      <c r="Q41" s="188">
        <f>opex_orig!Q41</f>
        <v>2.7951400000000002E-4</v>
      </c>
      <c r="R41" s="188">
        <f>opex_orig!R41</f>
        <v>3.2532999999999998E-4</v>
      </c>
      <c r="S41" s="188">
        <f>opex_orig!S41</f>
        <v>1.5049900000000001E-4</v>
      </c>
      <c r="T41" s="188">
        <f>opex_orig!T41</f>
        <v>2.6147399999999998E-4</v>
      </c>
      <c r="U41" s="188">
        <f>opex_orig!U41</f>
        <v>2.2167199999999999E-4</v>
      </c>
      <c r="V41" s="188">
        <f>opex_orig!V41</f>
        <v>2.6475100000000003E-4</v>
      </c>
      <c r="W41" s="188">
        <f>opex_orig!W41</f>
        <v>1.2692700000000001E-4</v>
      </c>
      <c r="X41" s="188">
        <f>opex_orig!X41</f>
        <v>1.87014E-4</v>
      </c>
      <c r="Y41" s="188">
        <f>opex_orig!Y41</f>
        <v>1.2835200000000001E-4</v>
      </c>
      <c r="Z41" s="188">
        <f>opex_orig!Z41</f>
        <v>1.6718700000000001E-4</v>
      </c>
      <c r="AA41" s="188">
        <f>opex_orig!AA41</f>
        <v>4.0565099999999998E-4</v>
      </c>
      <c r="AB41" s="188">
        <f>opex_orig!$AB41</f>
        <v>3.1692935562888298E-4</v>
      </c>
      <c r="AC41" s="188">
        <f>opex_orig!$AB41</f>
        <v>3.1692935562888298E-4</v>
      </c>
      <c r="AD41" s="188">
        <f>opex_orig!$AB41</f>
        <v>3.1692935562888298E-4</v>
      </c>
      <c r="AE41" s="188">
        <f>opex_orig!$AC41</f>
        <v>8.1549068616111598E-4</v>
      </c>
      <c r="AF41" s="188">
        <f>opex_orig!$AD41</f>
        <v>3.1174778824754598E-4</v>
      </c>
      <c r="AG41" s="188">
        <f>opex_orig!$AD41</f>
        <v>3.1174778824754598E-4</v>
      </c>
      <c r="AH41" s="188">
        <f>opex_orig!$AD41</f>
        <v>3.1174778824754598E-4</v>
      </c>
      <c r="AI41" s="188">
        <f>opex_orig!AE41</f>
        <v>2.5804499999999999E-4</v>
      </c>
      <c r="AJ41" s="188">
        <f>opex_orig!AF41</f>
        <v>7.17243E-4</v>
      </c>
      <c r="AK41" s="188">
        <f>opex_orig!AG41</f>
        <v>2.9427199999999999E-4</v>
      </c>
      <c r="AL41" s="188">
        <f>opex_orig!AH41</f>
        <v>1.06469E-4</v>
      </c>
      <c r="AM41" s="188">
        <f>opex_orig!AI41</f>
        <v>2.0567099999999999E-4</v>
      </c>
      <c r="AN41" s="188">
        <f>opex_orig!AJ41</f>
        <v>1.0932100000000001E-4</v>
      </c>
      <c r="AO41" s="188">
        <f>opex_orig!AK41</f>
        <v>2.21709E-4</v>
      </c>
      <c r="AP41" s="188">
        <f>opex_orig!$AL41</f>
        <v>1.4121644197346401E-4</v>
      </c>
      <c r="AQ41" s="188">
        <f>opex_orig!$AL41</f>
        <v>1.4121644197346401E-4</v>
      </c>
      <c r="AR41" s="188">
        <f>opex_orig!$AL41</f>
        <v>1.4121644197346401E-4</v>
      </c>
      <c r="AS41" s="188">
        <f>opex_orig!$AM41</f>
        <v>1.91634005869707E-4</v>
      </c>
      <c r="AT41" s="188">
        <f>opex_orig!AN41</f>
        <v>2.1007E-4</v>
      </c>
      <c r="AU41" s="188">
        <f>opex_orig!$AO41</f>
        <v>8.5311345708781003E-5</v>
      </c>
      <c r="AV41" s="188">
        <f>opex_orig!$AO41</f>
        <v>8.5311345708781003E-5</v>
      </c>
      <c r="AW41" s="188">
        <f>opex_orig!$AO41</f>
        <v>8.5311345708781003E-5</v>
      </c>
      <c r="AX41" s="188">
        <f>opex_orig!$AP41</f>
        <v>1.3062275479023701E-4</v>
      </c>
      <c r="AY41" s="188">
        <f>opex_orig!AQ41</f>
        <v>1.61989E-4</v>
      </c>
      <c r="AZ41" s="188">
        <f>opex_orig!AR41</f>
        <v>0</v>
      </c>
      <c r="BA41" s="188">
        <f>opex_orig!AS41</f>
        <v>1.58111E-4</v>
      </c>
      <c r="BB41" s="188">
        <f>opex_orig!AT41</f>
        <v>1.33886E-4</v>
      </c>
      <c r="BC41" s="188">
        <f>opex_orig!AU41</f>
        <v>6.7799999999999995E-5</v>
      </c>
      <c r="BD41" s="188">
        <f>opex_orig!AV41</f>
        <v>6.5699999999999998E-5</v>
      </c>
      <c r="BE41" s="188">
        <f>opex_orig!AW41</f>
        <v>1.80442E-4</v>
      </c>
      <c r="BF41" s="188">
        <f>opex_orig!AX41</f>
        <v>0</v>
      </c>
      <c r="BG41" s="188">
        <f>opex_orig!AY41</f>
        <v>3.55361E-4</v>
      </c>
      <c r="BH41" s="188">
        <f>opex_orig!AZ41</f>
        <v>0</v>
      </c>
      <c r="BI41" s="188">
        <f>opex_orig!BA41</f>
        <v>9.5199999999999997E-5</v>
      </c>
      <c r="BJ41" s="188">
        <f>opex_orig!BB41</f>
        <v>9.8900000000000005E-5</v>
      </c>
      <c r="BK41" s="188">
        <f>opex_orig!BC41</f>
        <v>1.5757299999999999E-4</v>
      </c>
      <c r="BL41" s="188">
        <f>opex_orig!BD41</f>
        <v>1.92769E-4</v>
      </c>
      <c r="BM41" s="188">
        <f>opex_orig!BE41</f>
        <v>8.6899999999999998E-5</v>
      </c>
      <c r="BN41" s="188">
        <f>opex_orig!BF41</f>
        <v>7.6199999999999995E-5</v>
      </c>
      <c r="BO41" s="188">
        <f>opex_orig!BG41</f>
        <v>3.8033700000000001E-4</v>
      </c>
      <c r="BP41" s="188">
        <f>opex_orig!$BH41</f>
        <v>1.2823655170626601E-4</v>
      </c>
      <c r="BQ41" s="188">
        <f>opex_orig!$BH41</f>
        <v>1.2823655170626601E-4</v>
      </c>
      <c r="BR41" s="188">
        <f>opex_orig!BI41</f>
        <v>9.7499999999999998E-5</v>
      </c>
      <c r="BS41" s="188">
        <f>opex_orig!BJ41</f>
        <v>2.0754899999999999E-4</v>
      </c>
      <c r="BT41" s="188">
        <f>opex_orig!BK41</f>
        <v>2.0781200000000001E-4</v>
      </c>
      <c r="BU41" s="188">
        <f>opex_orig!BL41</f>
        <v>0</v>
      </c>
      <c r="BV41" s="27">
        <f>opex_orig!BM41</f>
        <v>1.3893226498499901E-4</v>
      </c>
      <c r="BW41" s="27">
        <f>opex_orig!BN41</f>
        <v>2.6383059879564398E-4</v>
      </c>
      <c r="BX41" s="27">
        <f>opex_orig!BO41</f>
        <v>4.8987722006800101E-5</v>
      </c>
      <c r="BY41" s="27">
        <f>opex_orig!BP41</f>
        <v>1.0034361077220701E-4</v>
      </c>
      <c r="BZ41" s="27">
        <f>opex_orig!BQ41</f>
        <v>1.34046930234914E-4</v>
      </c>
      <c r="CA41" s="27">
        <f>opex_orig!BR41</f>
        <v>6.9661816290604702E-6</v>
      </c>
      <c r="CB41" s="27">
        <f>opex_orig!BS41</f>
        <v>4.5202881296952898E-4</v>
      </c>
      <c r="CC41" s="27">
        <f>opex_orig!BT41</f>
        <v>2.70423030055878E-5</v>
      </c>
      <c r="CD41" s="27">
        <f>opex_orig!BU41</f>
        <v>7.4987050592248305E-5</v>
      </c>
      <c r="CE41" s="27">
        <f>opex_orig!BV41</f>
        <v>7.49870505922484E-5</v>
      </c>
      <c r="CF41" s="27">
        <f>opex_orig!BW41</f>
        <v>1.05957784442496E-4</v>
      </c>
      <c r="CG41" s="27">
        <f>opex_orig!BX41</f>
        <v>2.0366794157958898E-6</v>
      </c>
      <c r="CH41" s="27">
        <f>opex_orig!BY41</f>
        <v>2.1201621360302599E-5</v>
      </c>
      <c r="CI41" s="27">
        <f>opex_orig!BZ41</f>
        <v>1.4179199999999999E-4</v>
      </c>
      <c r="CJ41" s="27">
        <f>opex_orig!CA41</f>
        <v>1.21371E-4</v>
      </c>
      <c r="CK41" s="27">
        <f>opex_orig!CB41</f>
        <v>1.06418E-4</v>
      </c>
      <c r="CL41" s="27">
        <f>opex_orig!CC41</f>
        <v>1.7729900000000001E-4</v>
      </c>
      <c r="CM41" s="27">
        <f>opex_orig!CD41</f>
        <v>2.3749400000000001E-4</v>
      </c>
      <c r="CN41" s="27">
        <f>opex_orig!CE41</f>
        <v>2.57877E-4</v>
      </c>
      <c r="CO41" s="27">
        <f>opex_orig!CF41</f>
        <v>1.98965E-4</v>
      </c>
      <c r="CP41" s="27">
        <f>opex_orig!CG41</f>
        <v>8.6899999999999998E-5</v>
      </c>
    </row>
    <row r="42" spans="1:94" x14ac:dyDescent="0.25">
      <c r="A42" s="5" t="s">
        <v>103</v>
      </c>
      <c r="B42" s="2" t="s">
        <v>102</v>
      </c>
      <c r="C42" s="1" t="s">
        <v>327</v>
      </c>
      <c r="D42" s="188">
        <f>opex_orig!D42</f>
        <v>1.22E-5</v>
      </c>
      <c r="E42" s="188">
        <f>opex_orig!E42</f>
        <v>2.76E-5</v>
      </c>
      <c r="F42" s="188">
        <f>opex_orig!F42</f>
        <v>1.25043E-4</v>
      </c>
      <c r="G42" s="188">
        <f>opex_orig!G42</f>
        <v>1.95E-6</v>
      </c>
      <c r="H42" s="188">
        <f>opex_orig!H42</f>
        <v>7.0100000000000004E-7</v>
      </c>
      <c r="I42" s="188">
        <f>opex_orig!I42</f>
        <v>1.5299999999999999E-5</v>
      </c>
      <c r="J42" s="188">
        <f>opex_orig!J42</f>
        <v>1.4191779999999999E-2</v>
      </c>
      <c r="K42" s="188">
        <f>opex_orig!K42</f>
        <v>7.0299999999999998E-7</v>
      </c>
      <c r="L42" s="188">
        <f>opex_orig!L42</f>
        <v>3.310534E-3</v>
      </c>
      <c r="M42" s="188">
        <f>opex_orig!M42</f>
        <v>1.8499999999999999E-5</v>
      </c>
      <c r="N42" s="188">
        <f>opex_orig!N42</f>
        <v>9.7646600000000005E-4</v>
      </c>
      <c r="O42" s="188">
        <f>opex_orig!O42</f>
        <v>2.7500000000000001E-5</v>
      </c>
      <c r="P42" s="188">
        <f>opex_orig!P42</f>
        <v>2.6800000000000002E-6</v>
      </c>
      <c r="Q42" s="188">
        <f>opex_orig!Q42</f>
        <v>5.0699999999999997E-6</v>
      </c>
      <c r="R42" s="188">
        <f>opex_orig!R42</f>
        <v>7.2200000000000003E-6</v>
      </c>
      <c r="S42" s="188">
        <f>opex_orig!S42</f>
        <v>8.09E-7</v>
      </c>
      <c r="T42" s="188">
        <f>opex_orig!T42</f>
        <v>9.9199999999999999E-7</v>
      </c>
      <c r="U42" s="188">
        <f>opex_orig!U42</f>
        <v>8.3799999999999996E-7</v>
      </c>
      <c r="V42" s="188">
        <f>opex_orig!V42</f>
        <v>8.2399999999999997E-7</v>
      </c>
      <c r="W42" s="188">
        <f>opex_orig!W42</f>
        <v>1.42E-6</v>
      </c>
      <c r="X42" s="188">
        <f>opex_orig!X42</f>
        <v>1.99E-6</v>
      </c>
      <c r="Y42" s="188">
        <f>opex_orig!Y42</f>
        <v>4.0999999999999999E-7</v>
      </c>
      <c r="Z42" s="188">
        <f>opex_orig!Z42</f>
        <v>1.2899999999999999E-6</v>
      </c>
      <c r="AA42" s="188">
        <f>opex_orig!AA42</f>
        <v>9.2900000000000002E-7</v>
      </c>
      <c r="AB42" s="188">
        <f>opex_orig!$AB42</f>
        <v>2.50788993246955E-5</v>
      </c>
      <c r="AC42" s="188">
        <f>opex_orig!$AB42</f>
        <v>2.50788993246955E-5</v>
      </c>
      <c r="AD42" s="188">
        <f>opex_orig!$AB42</f>
        <v>2.50788993246955E-5</v>
      </c>
      <c r="AE42" s="188">
        <f>opex_orig!$AC42</f>
        <v>1.6334375954098401E-6</v>
      </c>
      <c r="AF42" s="188">
        <f>opex_orig!$AD42</f>
        <v>4.1687488279428897E-7</v>
      </c>
      <c r="AG42" s="188">
        <f>opex_orig!$AD42</f>
        <v>4.1687488279428897E-7</v>
      </c>
      <c r="AH42" s="188">
        <f>opex_orig!$AD42</f>
        <v>4.1687488279428897E-7</v>
      </c>
      <c r="AI42" s="188">
        <f>opex_orig!AE42</f>
        <v>4.5699999999999998E-7</v>
      </c>
      <c r="AJ42" s="188">
        <f>opex_orig!AF42</f>
        <v>1.9300000000000002E-5</v>
      </c>
      <c r="AK42" s="188">
        <f>opex_orig!AG42</f>
        <v>5.5999999999999997E-6</v>
      </c>
      <c r="AL42" s="188">
        <f>opex_orig!AH42</f>
        <v>1.37E-6</v>
      </c>
      <c r="AM42" s="188">
        <f>opex_orig!AI42</f>
        <v>5.4499999999999997E-7</v>
      </c>
      <c r="AN42" s="188">
        <f>opex_orig!AJ42</f>
        <v>4.34E-7</v>
      </c>
      <c r="AO42" s="188">
        <f>opex_orig!AK42</f>
        <v>6.5199999999999996E-7</v>
      </c>
      <c r="AP42" s="188">
        <f>opex_orig!$AL42</f>
        <v>5.1650524376581595E-7</v>
      </c>
      <c r="AQ42" s="188">
        <f>opex_orig!$AL42</f>
        <v>5.1650524376581595E-7</v>
      </c>
      <c r="AR42" s="188">
        <f>opex_orig!$AL42</f>
        <v>5.1650524376581595E-7</v>
      </c>
      <c r="AS42" s="188">
        <f>opex_orig!$AM42</f>
        <v>4.0878955327236399E-7</v>
      </c>
      <c r="AT42" s="188">
        <f>opex_orig!AN42</f>
        <v>6.8899999999999999E-7</v>
      </c>
      <c r="AU42" s="188">
        <f>opex_orig!$AO42</f>
        <v>8.7437349574312195E-7</v>
      </c>
      <c r="AV42" s="188">
        <f>opex_orig!$AO42</f>
        <v>8.7437349574312195E-7</v>
      </c>
      <c r="AW42" s="188">
        <f>opex_orig!$AO42</f>
        <v>8.7437349574312195E-7</v>
      </c>
      <c r="AX42" s="188">
        <f>opex_orig!$AP42</f>
        <v>7.7091515802774301E-7</v>
      </c>
      <c r="AY42" s="188">
        <f>opex_orig!AQ42</f>
        <v>9.9999999999999995E-7</v>
      </c>
      <c r="AZ42" s="188">
        <f>opex_orig!AR42</f>
        <v>0</v>
      </c>
      <c r="BA42" s="188">
        <f>opex_orig!AS42</f>
        <v>1.7099999999999999E-6</v>
      </c>
      <c r="BB42" s="188">
        <f>opex_orig!AT42</f>
        <v>1.35E-6</v>
      </c>
      <c r="BC42" s="188">
        <f>opex_orig!AU42</f>
        <v>2.17E-7</v>
      </c>
      <c r="BD42" s="188">
        <f>opex_orig!AV42</f>
        <v>1.37E-7</v>
      </c>
      <c r="BE42" s="188">
        <f>opex_orig!AW42</f>
        <v>7.9299999999999997E-7</v>
      </c>
      <c r="BF42" s="188">
        <f>opex_orig!AX42</f>
        <v>0</v>
      </c>
      <c r="BG42" s="188">
        <f>opex_orig!AY42</f>
        <v>3.1099999999999999E-6</v>
      </c>
      <c r="BH42" s="188">
        <f>opex_orig!AZ42</f>
        <v>0</v>
      </c>
      <c r="BI42" s="188">
        <f>opex_orig!BA42</f>
        <v>5.8400000000000004E-7</v>
      </c>
      <c r="BJ42" s="188">
        <f>opex_orig!BB42</f>
        <v>8.3699999999999999E-7</v>
      </c>
      <c r="BK42" s="188">
        <f>opex_orig!BC42</f>
        <v>1.66E-6</v>
      </c>
      <c r="BL42" s="188">
        <f>opex_orig!BD42</f>
        <v>2.1500000000000002E-6</v>
      </c>
      <c r="BM42" s="188">
        <f>opex_orig!BE42</f>
        <v>2.04E-6</v>
      </c>
      <c r="BN42" s="188">
        <f>opex_orig!BF42</f>
        <v>1.13E-6</v>
      </c>
      <c r="BO42" s="188">
        <f>opex_orig!BG42</f>
        <v>4.3800000000000001E-5</v>
      </c>
      <c r="BP42" s="188">
        <f>opex_orig!$BH42</f>
        <v>1.53241572193619E-6</v>
      </c>
      <c r="BQ42" s="188">
        <f>opex_orig!$BH42</f>
        <v>1.53241572193619E-6</v>
      </c>
      <c r="BR42" s="188">
        <f>opex_orig!BI42</f>
        <v>1.44E-6</v>
      </c>
      <c r="BS42" s="188">
        <f>opex_orig!BJ42</f>
        <v>4.16E-6</v>
      </c>
      <c r="BT42" s="188">
        <f>opex_orig!BK42</f>
        <v>1.9999999999999999E-6</v>
      </c>
      <c r="BU42" s="188">
        <f>opex_orig!BL42</f>
        <v>0</v>
      </c>
      <c r="BV42" s="27">
        <f>opex_orig!BM42</f>
        <v>8.6917305098168E-7</v>
      </c>
      <c r="BW42" s="27">
        <f>opex_orig!BN42</f>
        <v>4.5104610627546901E-6</v>
      </c>
      <c r="BX42" s="27">
        <f>opex_orig!BO42</f>
        <v>3.2363257336780501E-7</v>
      </c>
      <c r="BY42" s="27">
        <f>opex_orig!BP42</f>
        <v>4.8669753512952297E-7</v>
      </c>
      <c r="BZ42" s="27">
        <f>opex_orig!BQ42</f>
        <v>5.2968353743399605E-7</v>
      </c>
      <c r="CA42" s="27">
        <f>opex_orig!BR42</f>
        <v>1.62037678778242E-7</v>
      </c>
      <c r="CB42" s="27">
        <f>opex_orig!BS42</f>
        <v>7.5261851836934203E-6</v>
      </c>
      <c r="CC42" s="27">
        <f>opex_orig!BT42</f>
        <v>3.72837031091361E-7</v>
      </c>
      <c r="CD42" s="27">
        <f>opex_orig!BU42</f>
        <v>1.9172663076015999E-7</v>
      </c>
      <c r="CE42" s="27">
        <f>opex_orig!BV42</f>
        <v>1.9172663076015999E-7</v>
      </c>
      <c r="CF42" s="27">
        <f>opex_orig!BW42</f>
        <v>4.3298511617304499E-6</v>
      </c>
      <c r="CG42" s="27">
        <f>opex_orig!BX42</f>
        <v>3.7581093396848601E-7</v>
      </c>
      <c r="CH42" s="27">
        <f>opex_orig!BY42</f>
        <v>3.5018550971023601E-6</v>
      </c>
      <c r="CI42" s="27">
        <f>opex_orig!BZ42</f>
        <v>6.9100000000000003E-7</v>
      </c>
      <c r="CJ42" s="27">
        <f>opex_orig!CA42</f>
        <v>4.1600000000000002E-7</v>
      </c>
      <c r="CK42" s="27">
        <f>opex_orig!CB42</f>
        <v>5.7800000000000001E-7</v>
      </c>
      <c r="CL42" s="27">
        <f>opex_orig!CC42</f>
        <v>5.2900000000000004E-7</v>
      </c>
      <c r="CM42" s="27">
        <f>opex_orig!CD42</f>
        <v>3.3799999999999998E-6</v>
      </c>
      <c r="CN42" s="27">
        <f>opex_orig!CE42</f>
        <v>3.46E-7</v>
      </c>
      <c r="CO42" s="27">
        <f>opex_orig!CF42</f>
        <v>6.75E-7</v>
      </c>
      <c r="CP42" s="27">
        <f>opex_orig!CG42</f>
        <v>2.0200000000000001E-7</v>
      </c>
    </row>
    <row r="43" spans="1:94" x14ac:dyDescent="0.25">
      <c r="A43" s="5" t="s">
        <v>105</v>
      </c>
      <c r="B43" s="2" t="s">
        <v>104</v>
      </c>
      <c r="C43" s="1" t="s">
        <v>327</v>
      </c>
      <c r="D43" s="188">
        <f>opex_orig!D43</f>
        <v>1.23316E-4</v>
      </c>
      <c r="E43" s="188">
        <f>opex_orig!E43</f>
        <v>2.7858400000000001E-4</v>
      </c>
      <c r="F43" s="188">
        <f>opex_orig!F43</f>
        <v>1.5179010000000001E-3</v>
      </c>
      <c r="G43" s="188">
        <f>opex_orig!G43</f>
        <v>1.95E-5</v>
      </c>
      <c r="H43" s="188">
        <f>opex_orig!H43</f>
        <v>3.5700000000000001E-6</v>
      </c>
      <c r="I43" s="188">
        <f>opex_orig!I43</f>
        <v>3.4058500000000002E-4</v>
      </c>
      <c r="J43" s="188">
        <f>opex_orig!J43</f>
        <v>7.1799999999999997E-5</v>
      </c>
      <c r="K43" s="188">
        <f>opex_orig!K43</f>
        <v>1.6399999999999999E-5</v>
      </c>
      <c r="L43" s="188">
        <f>opex_orig!L43</f>
        <v>2.3160490000000001E-3</v>
      </c>
      <c r="M43" s="188">
        <f>opex_orig!M43</f>
        <v>1.069717E-3</v>
      </c>
      <c r="N43" s="188">
        <f>opex_orig!N43</f>
        <v>7.0145099999999996E-4</v>
      </c>
      <c r="O43" s="188">
        <f>opex_orig!O43</f>
        <v>2.05668E-4</v>
      </c>
      <c r="P43" s="188">
        <f>opex_orig!P43</f>
        <v>5.8100000000000003E-5</v>
      </c>
      <c r="Q43" s="188">
        <f>opex_orig!Q43</f>
        <v>2.2900000000000001E-5</v>
      </c>
      <c r="R43" s="188">
        <f>opex_orig!R43</f>
        <v>2.8E-5</v>
      </c>
      <c r="S43" s="188">
        <f>opex_orig!S43</f>
        <v>1.0900000000000001E-5</v>
      </c>
      <c r="T43" s="188">
        <f>opex_orig!T43</f>
        <v>1.8300000000000001E-5</v>
      </c>
      <c r="U43" s="188">
        <f>opex_orig!U43</f>
        <v>1.2500000000000001E-5</v>
      </c>
      <c r="V43" s="188">
        <f>opex_orig!V43</f>
        <v>1.4800000000000001E-5</v>
      </c>
      <c r="W43" s="188">
        <f>opex_orig!W43</f>
        <v>8.7399999999999993E-6</v>
      </c>
      <c r="X43" s="188">
        <f>opex_orig!X43</f>
        <v>1.0200000000000001E-5</v>
      </c>
      <c r="Y43" s="188">
        <f>opex_orig!Y43</f>
        <v>8.14E-6</v>
      </c>
      <c r="Z43" s="188">
        <f>opex_orig!Z43</f>
        <v>9.3200000000000006E-6</v>
      </c>
      <c r="AA43" s="188">
        <f>opex_orig!AA43</f>
        <v>2.2200000000000001E-5</v>
      </c>
      <c r="AB43" s="188">
        <f>opex_orig!$AB43</f>
        <v>4.3235524219791499E-5</v>
      </c>
      <c r="AC43" s="188">
        <f>opex_orig!$AB43</f>
        <v>4.3235524219791499E-5</v>
      </c>
      <c r="AD43" s="188">
        <f>opex_orig!$AB43</f>
        <v>4.3235524219791499E-5</v>
      </c>
      <c r="AE43" s="188">
        <f>opex_orig!$AC43</f>
        <v>6.1802105681910396E-5</v>
      </c>
      <c r="AF43" s="188">
        <f>opex_orig!$AD43</f>
        <v>2.2628106915426501E-5</v>
      </c>
      <c r="AG43" s="188">
        <f>opex_orig!$AD43</f>
        <v>2.2628106915426501E-5</v>
      </c>
      <c r="AH43" s="188">
        <f>opex_orig!$AD43</f>
        <v>2.2628106915426501E-5</v>
      </c>
      <c r="AI43" s="188">
        <f>opex_orig!AE43</f>
        <v>1.98E-5</v>
      </c>
      <c r="AJ43" s="188">
        <f>opex_orig!AF43</f>
        <v>7.4400000000000006E-5</v>
      </c>
      <c r="AK43" s="188">
        <f>opex_orig!AG43</f>
        <v>2.6400000000000001E-5</v>
      </c>
      <c r="AL43" s="188">
        <f>opex_orig!AH43</f>
        <v>1.6200000000000001E-5</v>
      </c>
      <c r="AM43" s="188">
        <f>opex_orig!AI43</f>
        <v>1.2E-5</v>
      </c>
      <c r="AN43" s="188">
        <f>opex_orig!AJ43</f>
        <v>1.03E-5</v>
      </c>
      <c r="AO43" s="188">
        <f>opex_orig!AK43</f>
        <v>1.6799999999999998E-5</v>
      </c>
      <c r="AP43" s="188">
        <f>opex_orig!$AL43</f>
        <v>8.8324777328697697E-6</v>
      </c>
      <c r="AQ43" s="188">
        <f>opex_orig!$AL43</f>
        <v>8.8324777328697697E-6</v>
      </c>
      <c r="AR43" s="188">
        <f>opex_orig!$AL43</f>
        <v>8.8324777328697697E-6</v>
      </c>
      <c r="AS43" s="188">
        <f>opex_orig!$AM43</f>
        <v>1.11937355994483E-5</v>
      </c>
      <c r="AT43" s="188">
        <f>opex_orig!AN43</f>
        <v>1.42E-5</v>
      </c>
      <c r="AU43" s="188">
        <f>opex_orig!$AO43</f>
        <v>1.0988654687501399E-5</v>
      </c>
      <c r="AV43" s="188">
        <f>opex_orig!$AO43</f>
        <v>1.0988654687501399E-5</v>
      </c>
      <c r="AW43" s="188">
        <f>opex_orig!$AO43</f>
        <v>1.0988654687501399E-5</v>
      </c>
      <c r="AX43" s="188">
        <f>opex_orig!$AP43</f>
        <v>1.24509747716503E-5</v>
      </c>
      <c r="AY43" s="188">
        <f>opex_orig!AQ43</f>
        <v>1.3200000000000001E-5</v>
      </c>
      <c r="AZ43" s="188">
        <f>opex_orig!AR43</f>
        <v>0</v>
      </c>
      <c r="BA43" s="188">
        <f>opex_orig!AS43</f>
        <v>1.4399999999999999E-5</v>
      </c>
      <c r="BB43" s="188">
        <f>opex_orig!AT43</f>
        <v>1.24E-5</v>
      </c>
      <c r="BC43" s="188">
        <f>opex_orig!AU43</f>
        <v>6.1099999999999999E-6</v>
      </c>
      <c r="BD43" s="188">
        <f>opex_orig!AV43</f>
        <v>4.2599999999999999E-6</v>
      </c>
      <c r="BE43" s="188">
        <f>opex_orig!AW43</f>
        <v>4.0599999999999998E-5</v>
      </c>
      <c r="BF43" s="188">
        <f>opex_orig!AX43</f>
        <v>0</v>
      </c>
      <c r="BG43" s="188">
        <f>opex_orig!AY43</f>
        <v>2.9E-5</v>
      </c>
      <c r="BH43" s="188">
        <f>opex_orig!AZ43</f>
        <v>0</v>
      </c>
      <c r="BI43" s="188">
        <f>opex_orig!BA43</f>
        <v>9.1800000000000002E-6</v>
      </c>
      <c r="BJ43" s="188">
        <f>opex_orig!BB43</f>
        <v>8.0499999999999992E-6</v>
      </c>
      <c r="BK43" s="188">
        <f>opex_orig!BC43</f>
        <v>1.0200000000000001E-5</v>
      </c>
      <c r="BL43" s="188">
        <f>opex_orig!BD43</f>
        <v>2.16E-5</v>
      </c>
      <c r="BM43" s="188">
        <f>opex_orig!BE43</f>
        <v>8.6400000000000003E-6</v>
      </c>
      <c r="BN43" s="188">
        <f>opex_orig!BF43</f>
        <v>6.9800000000000001E-6</v>
      </c>
      <c r="BO43" s="188">
        <f>opex_orig!BG43</f>
        <v>1.56E-5</v>
      </c>
      <c r="BP43" s="188">
        <f>opex_orig!$BH43</f>
        <v>8.7466409082964107E-6</v>
      </c>
      <c r="BQ43" s="188">
        <f>opex_orig!$BH43</f>
        <v>8.7466409082964107E-6</v>
      </c>
      <c r="BR43" s="188">
        <f>opex_orig!BI43</f>
        <v>9.1500000000000005E-6</v>
      </c>
      <c r="BS43" s="188">
        <f>opex_orig!BJ43</f>
        <v>1.2799999999999999E-5</v>
      </c>
      <c r="BT43" s="188">
        <f>opex_orig!BK43</f>
        <v>3.3699999999999999E-5</v>
      </c>
      <c r="BU43" s="188">
        <f>opex_orig!BL43</f>
        <v>0</v>
      </c>
      <c r="BV43" s="27">
        <f>opex_orig!BM43</f>
        <v>8.5428240751972993E-6</v>
      </c>
      <c r="BW43" s="27">
        <f>opex_orig!BN43</f>
        <v>2.5006533804589701E-5</v>
      </c>
      <c r="BX43" s="27">
        <f>opex_orig!BO43</f>
        <v>3.31115380479307E-6</v>
      </c>
      <c r="BY43" s="27">
        <f>opex_orig!BP43</f>
        <v>1.1590891887562799E-5</v>
      </c>
      <c r="BZ43" s="27">
        <f>opex_orig!BQ43</f>
        <v>8.2143081086572006E-6</v>
      </c>
      <c r="CA43" s="27">
        <f>opex_orig!BR43</f>
        <v>8.63197207354356E-7</v>
      </c>
      <c r="CB43" s="27">
        <f>opex_orig!BS43</f>
        <v>3.50198373864013E-5</v>
      </c>
      <c r="CC43" s="27">
        <f>opex_orig!BT43</f>
        <v>5.2326166208617902E-6</v>
      </c>
      <c r="CD43" s="27">
        <f>opex_orig!BU43</f>
        <v>3.1927490520525999E-6</v>
      </c>
      <c r="CE43" s="27">
        <f>opex_orig!BV43</f>
        <v>3.1927490520525902E-6</v>
      </c>
      <c r="CF43" s="27">
        <f>opex_orig!BW43</f>
        <v>4.9330537853015198E-6</v>
      </c>
      <c r="CG43" s="27">
        <f>opex_orig!BX43</f>
        <v>1.14151853502777E-6</v>
      </c>
      <c r="CH43" s="27">
        <f>opex_orig!BY43</f>
        <v>8.6703238164700997E-6</v>
      </c>
      <c r="CI43" s="27">
        <f>opex_orig!BZ43</f>
        <v>1.11E-5</v>
      </c>
      <c r="CJ43" s="27">
        <f>opex_orig!CA43</f>
        <v>5.6500000000000001E-6</v>
      </c>
      <c r="CK43" s="27">
        <f>opex_orig!CB43</f>
        <v>5.8499999999999999E-6</v>
      </c>
      <c r="CL43" s="27">
        <f>opex_orig!CC43</f>
        <v>5.4E-6</v>
      </c>
      <c r="CM43" s="27">
        <f>opex_orig!CD43</f>
        <v>2.0800000000000001E-5</v>
      </c>
      <c r="CN43" s="27">
        <f>opex_orig!CE43</f>
        <v>8.4700000000000002E-6</v>
      </c>
      <c r="CO43" s="27">
        <f>opex_orig!CF43</f>
        <v>4.8400000000000002E-6</v>
      </c>
      <c r="CP43" s="27">
        <f>opex_orig!CG43</f>
        <v>6.5699999999999998E-6</v>
      </c>
    </row>
    <row r="44" spans="1:94" x14ac:dyDescent="0.25">
      <c r="A44" s="5" t="s">
        <v>107</v>
      </c>
      <c r="B44" s="2" t="s">
        <v>106</v>
      </c>
      <c r="C44" s="1" t="s">
        <v>327</v>
      </c>
      <c r="D44" s="188">
        <f>opex_orig!D44</f>
        <v>8.0256990000000007E-3</v>
      </c>
      <c r="E44" s="188">
        <f>opex_orig!E44</f>
        <v>1.9785009999999999E-2</v>
      </c>
      <c r="F44" s="188">
        <f>opex_orig!F44</f>
        <v>0.109782162</v>
      </c>
      <c r="G44" s="188">
        <f>opex_orig!G44</f>
        <v>1.0122300000000001E-2</v>
      </c>
      <c r="H44" s="188">
        <f>opex_orig!H44</f>
        <v>4.0099999999999999E-5</v>
      </c>
      <c r="I44" s="188">
        <f>opex_orig!I44</f>
        <v>3.5431526999999997E-2</v>
      </c>
      <c r="J44" s="188">
        <f>opex_orig!J44</f>
        <v>4.2870255000000003E-2</v>
      </c>
      <c r="K44" s="188">
        <f>opex_orig!K44</f>
        <v>1.5729399999999999E-4</v>
      </c>
      <c r="L44" s="188">
        <f>opex_orig!L44</f>
        <v>0.161484077</v>
      </c>
      <c r="M44" s="188">
        <f>opex_orig!M44</f>
        <v>2.7793314E-2</v>
      </c>
      <c r="N44" s="188">
        <f>opex_orig!N44</f>
        <v>3.1211928999999999E-2</v>
      </c>
      <c r="O44" s="188">
        <f>opex_orig!O44</f>
        <v>1.3545269999999999E-3</v>
      </c>
      <c r="P44" s="188">
        <f>opex_orig!P44</f>
        <v>4.2962399999999998E-4</v>
      </c>
      <c r="Q44" s="188">
        <f>opex_orig!Q44</f>
        <v>2.2720600000000001E-4</v>
      </c>
      <c r="R44" s="188">
        <f>opex_orig!R44</f>
        <v>7.1587899999999999E-4</v>
      </c>
      <c r="S44" s="188">
        <f>opex_orig!S44</f>
        <v>1.07475E-4</v>
      </c>
      <c r="T44" s="188">
        <f>opex_orig!T44</f>
        <v>1.8813900000000001E-4</v>
      </c>
      <c r="U44" s="188">
        <f>opex_orig!U44</f>
        <v>2.2156399999999999E-4</v>
      </c>
      <c r="V44" s="188">
        <f>opex_orig!V44</f>
        <v>2.39025E-4</v>
      </c>
      <c r="W44" s="188">
        <f>opex_orig!W44</f>
        <v>1.8782400000000001E-4</v>
      </c>
      <c r="X44" s="188">
        <f>opex_orig!X44</f>
        <v>4.4826300000000001E-4</v>
      </c>
      <c r="Y44" s="188">
        <f>opex_orig!Y44</f>
        <v>8.9699999999999998E-5</v>
      </c>
      <c r="Z44" s="188">
        <f>opex_orig!Z44</f>
        <v>1.3265299999999999E-4</v>
      </c>
      <c r="AA44" s="188">
        <f>opex_orig!AA44</f>
        <v>2.7860599999999998E-4</v>
      </c>
      <c r="AB44" s="188">
        <f>opex_orig!$AB44</f>
        <v>5.4931201256912601E-4</v>
      </c>
      <c r="AC44" s="188">
        <f>opex_orig!$AB44</f>
        <v>5.4931201256912601E-4</v>
      </c>
      <c r="AD44" s="188">
        <f>opex_orig!$AB44</f>
        <v>5.4931201256912601E-4</v>
      </c>
      <c r="AE44" s="188">
        <f>opex_orig!$AC44</f>
        <v>6.8883279066313903E-4</v>
      </c>
      <c r="AF44" s="188">
        <f>opex_orig!$AD44</f>
        <v>2.16133726746049E-4</v>
      </c>
      <c r="AG44" s="188">
        <f>opex_orig!$AD44</f>
        <v>2.16133726746049E-4</v>
      </c>
      <c r="AH44" s="188">
        <f>opex_orig!$AD44</f>
        <v>2.16133726746049E-4</v>
      </c>
      <c r="AI44" s="188">
        <f>opex_orig!AE44</f>
        <v>1.8882099999999999E-4</v>
      </c>
      <c r="AJ44" s="188">
        <f>opex_orig!AF44</f>
        <v>2.1562339999999999E-3</v>
      </c>
      <c r="AK44" s="188">
        <f>opex_orig!AG44</f>
        <v>3.7051299999999999E-4</v>
      </c>
      <c r="AL44" s="188">
        <f>opex_orig!AH44</f>
        <v>1.2026E-4</v>
      </c>
      <c r="AM44" s="188">
        <f>opex_orig!AI44</f>
        <v>1.6354499999999999E-4</v>
      </c>
      <c r="AN44" s="188">
        <f>opex_orig!AJ44</f>
        <v>1.6430000000000001E-4</v>
      </c>
      <c r="AO44" s="188">
        <f>opex_orig!AK44</f>
        <v>2.5861100000000001E-4</v>
      </c>
      <c r="AP44" s="188">
        <f>opex_orig!$AL44</f>
        <v>1.8575375675936999E-4</v>
      </c>
      <c r="AQ44" s="188">
        <f>opex_orig!$AL44</f>
        <v>1.8575375675936999E-4</v>
      </c>
      <c r="AR44" s="188">
        <f>opex_orig!$AL44</f>
        <v>1.8575375675936999E-4</v>
      </c>
      <c r="AS44" s="188">
        <f>opex_orig!$AM44</f>
        <v>2.18608532328113E-4</v>
      </c>
      <c r="AT44" s="188">
        <f>opex_orig!AN44</f>
        <v>2.2257399999999999E-4</v>
      </c>
      <c r="AU44" s="188">
        <f>opex_orig!$AO44</f>
        <v>8.3854560403720201E-5</v>
      </c>
      <c r="AV44" s="188">
        <f>opex_orig!$AO44</f>
        <v>8.3854560403720201E-5</v>
      </c>
      <c r="AW44" s="188">
        <f>opex_orig!$AO44</f>
        <v>8.3854560403720201E-5</v>
      </c>
      <c r="AX44" s="188">
        <f>opex_orig!$AP44</f>
        <v>1.13617993927235E-4</v>
      </c>
      <c r="AY44" s="188">
        <f>opex_orig!AQ44</f>
        <v>1.7784300000000001E-4</v>
      </c>
      <c r="AZ44" s="188">
        <f>opex_orig!AR44</f>
        <v>0</v>
      </c>
      <c r="BA44" s="188">
        <f>opex_orig!AS44</f>
        <v>1.7501600000000001E-4</v>
      </c>
      <c r="BB44" s="188">
        <f>opex_orig!AT44</f>
        <v>1.48364E-4</v>
      </c>
      <c r="BC44" s="188">
        <f>opex_orig!AU44</f>
        <v>6.3600000000000001E-5</v>
      </c>
      <c r="BD44" s="188">
        <f>opex_orig!AV44</f>
        <v>5.7500000000000002E-5</v>
      </c>
      <c r="BE44" s="188">
        <f>opex_orig!AW44</f>
        <v>1.6541200000000001E-4</v>
      </c>
      <c r="BF44" s="188">
        <f>opex_orig!AX44</f>
        <v>0</v>
      </c>
      <c r="BG44" s="188">
        <f>opex_orig!AY44</f>
        <v>3.1476200000000001E-4</v>
      </c>
      <c r="BH44" s="188">
        <f>opex_orig!AZ44</f>
        <v>0</v>
      </c>
      <c r="BI44" s="188">
        <f>opex_orig!BA44</f>
        <v>1.07361E-4</v>
      </c>
      <c r="BJ44" s="188">
        <f>opex_orig!BB44</f>
        <v>3.3301199999999999E-4</v>
      </c>
      <c r="BK44" s="188">
        <f>opex_orig!BC44</f>
        <v>1.2359E-4</v>
      </c>
      <c r="BL44" s="188">
        <f>opex_orig!BD44</f>
        <v>1.7128900000000001E-4</v>
      </c>
      <c r="BM44" s="188">
        <f>opex_orig!BE44</f>
        <v>7.5799999999999999E-5</v>
      </c>
      <c r="BN44" s="188">
        <f>opex_orig!BF44</f>
        <v>5.41E-5</v>
      </c>
      <c r="BO44" s="188">
        <f>opex_orig!BG44</f>
        <v>8.4106299999999997E-4</v>
      </c>
      <c r="BP44" s="188">
        <f>opex_orig!$BH44</f>
        <v>1.01331409118245E-4</v>
      </c>
      <c r="BQ44" s="188">
        <f>opex_orig!$BH44</f>
        <v>1.01331409118245E-4</v>
      </c>
      <c r="BR44" s="188">
        <f>opex_orig!BI44</f>
        <v>8.0099999999999995E-5</v>
      </c>
      <c r="BS44" s="188">
        <f>opex_orig!BJ44</f>
        <v>1.7908999999999999E-4</v>
      </c>
      <c r="BT44" s="188">
        <f>opex_orig!BK44</f>
        <v>2.4872639999999999E-3</v>
      </c>
      <c r="BU44" s="188">
        <f>opex_orig!BL44</f>
        <v>0</v>
      </c>
      <c r="BV44" s="27">
        <f>opex_orig!BM44</f>
        <v>3.2488835516578302E-4</v>
      </c>
      <c r="BW44" s="27">
        <f>opex_orig!BN44</f>
        <v>3.7744577211497099E-4</v>
      </c>
      <c r="BX44" s="27">
        <f>opex_orig!BO44</f>
        <v>1.57976033023162E-4</v>
      </c>
      <c r="BY44" s="27">
        <f>opex_orig!BP44</f>
        <v>1.3958039912495199E-4</v>
      </c>
      <c r="BZ44" s="27">
        <f>opex_orig!BQ44</f>
        <v>1.6985209600038699E-4</v>
      </c>
      <c r="CA44" s="27">
        <f>opex_orig!BR44</f>
        <v>1.2302907880213199E-5</v>
      </c>
      <c r="CB44" s="27">
        <f>opex_orig!BS44</f>
        <v>6.1884500758940201E-4</v>
      </c>
      <c r="CC44" s="27">
        <f>opex_orig!BT44</f>
        <v>6.3701674300512906E-5</v>
      </c>
      <c r="CD44" s="27">
        <f>opex_orig!BU44</f>
        <v>5.1545580031620901E-5</v>
      </c>
      <c r="CE44" s="27">
        <f>opex_orig!BV44</f>
        <v>5.1545580031620799E-5</v>
      </c>
      <c r="CF44" s="27">
        <f>opex_orig!BW44</f>
        <v>2.36204066609458E-4</v>
      </c>
      <c r="CG44" s="27">
        <f>opex_orig!BX44</f>
        <v>5.7077820250907299E-5</v>
      </c>
      <c r="CH44" s="27">
        <f>opex_orig!BY44</f>
        <v>3.22187466275605E-5</v>
      </c>
      <c r="CI44" s="27">
        <f>opex_orig!BZ44</f>
        <v>2.5594799999999998E-4</v>
      </c>
      <c r="CJ44" s="27">
        <f>opex_orig!CA44</f>
        <v>2.3649899999999999E-4</v>
      </c>
      <c r="CK44" s="27">
        <f>opex_orig!CB44</f>
        <v>3.3465300000000002E-4</v>
      </c>
      <c r="CL44" s="27">
        <f>opex_orig!CC44</f>
        <v>1.6463200000000001E-4</v>
      </c>
      <c r="CM44" s="27">
        <f>opex_orig!CD44</f>
        <v>1.08519E-3</v>
      </c>
      <c r="CN44" s="27">
        <f>opex_orig!CE44</f>
        <v>2.2729799999999999E-4</v>
      </c>
      <c r="CO44" s="27">
        <f>opex_orig!CF44</f>
        <v>1.6262000000000001E-4</v>
      </c>
      <c r="CP44" s="27">
        <f>opex_orig!CG44</f>
        <v>6.3999999999999997E-5</v>
      </c>
    </row>
    <row r="45" spans="1:94" x14ac:dyDescent="0.25">
      <c r="A45" s="5" t="s">
        <v>109</v>
      </c>
      <c r="B45" s="2" t="s">
        <v>108</v>
      </c>
      <c r="C45" s="1" t="s">
        <v>327</v>
      </c>
      <c r="D45" s="188">
        <f>opex_orig!D45</f>
        <v>2.5243459999999998E-3</v>
      </c>
      <c r="E45" s="188">
        <f>opex_orig!E45</f>
        <v>5.7192889999999998E-3</v>
      </c>
      <c r="F45" s="188">
        <f>opex_orig!F45</f>
        <v>3.6702515999999998E-2</v>
      </c>
      <c r="G45" s="188">
        <f>opex_orig!G45</f>
        <v>3.3268300000000001E-4</v>
      </c>
      <c r="H45" s="188">
        <f>opex_orig!H45</f>
        <v>2.19E-5</v>
      </c>
      <c r="I45" s="188">
        <f>opex_orig!I45</f>
        <v>3.051762E-3</v>
      </c>
      <c r="J45" s="188">
        <f>opex_orig!J45</f>
        <v>8.0949899999999998E-4</v>
      </c>
      <c r="K45" s="188">
        <f>opex_orig!K45</f>
        <v>4.6300000000000001E-5</v>
      </c>
      <c r="L45" s="188">
        <f>opex_orig!L45</f>
        <v>5.8803144000000002E-2</v>
      </c>
      <c r="M45" s="188">
        <f>opex_orig!M45</f>
        <v>2.50079E-2</v>
      </c>
      <c r="N45" s="188">
        <f>opex_orig!N45</f>
        <v>1.1650456999999999E-2</v>
      </c>
      <c r="O45" s="188">
        <f>opex_orig!O45</f>
        <v>4.0178460000000003E-3</v>
      </c>
      <c r="P45" s="188">
        <f>opex_orig!P45</f>
        <v>9.5461500000000002E-4</v>
      </c>
      <c r="Q45" s="188">
        <f>opex_orig!Q45</f>
        <v>1.2906699999999999E-4</v>
      </c>
      <c r="R45" s="188">
        <f>opex_orig!R45</f>
        <v>5.8862200000000002E-4</v>
      </c>
      <c r="S45" s="188">
        <f>opex_orig!S45</f>
        <v>5.9500000000000003E-5</v>
      </c>
      <c r="T45" s="188">
        <f>opex_orig!T45</f>
        <v>1.06184E-4</v>
      </c>
      <c r="U45" s="188">
        <f>opex_orig!U45</f>
        <v>1.6106200000000001E-4</v>
      </c>
      <c r="V45" s="188">
        <f>opex_orig!V45</f>
        <v>1.77307E-4</v>
      </c>
      <c r="W45" s="188">
        <f>opex_orig!W45</f>
        <v>1.4071999999999999E-4</v>
      </c>
      <c r="X45" s="188">
        <f>opex_orig!X45</f>
        <v>8.25E-5</v>
      </c>
      <c r="Y45" s="188">
        <f>opex_orig!Y45</f>
        <v>5.13E-5</v>
      </c>
      <c r="Z45" s="188">
        <f>opex_orig!Z45</f>
        <v>8.03E-5</v>
      </c>
      <c r="AA45" s="188">
        <f>opex_orig!AA45</f>
        <v>1.6537400000000001E-4</v>
      </c>
      <c r="AB45" s="188">
        <f>opex_orig!$AB45</f>
        <v>4.0549841286129199E-4</v>
      </c>
      <c r="AC45" s="188">
        <f>opex_orig!$AB45</f>
        <v>4.0549841286129199E-4</v>
      </c>
      <c r="AD45" s="188">
        <f>opex_orig!$AB45</f>
        <v>4.0549841286129199E-4</v>
      </c>
      <c r="AE45" s="188">
        <f>opex_orig!$AC45</f>
        <v>5.6970768009780601E-4</v>
      </c>
      <c r="AF45" s="188">
        <f>opex_orig!$AD45</f>
        <v>1.65984705481639E-4</v>
      </c>
      <c r="AG45" s="188">
        <f>opex_orig!$AD45</f>
        <v>1.65984705481639E-4</v>
      </c>
      <c r="AH45" s="188">
        <f>opex_orig!$AD45</f>
        <v>1.65984705481639E-4</v>
      </c>
      <c r="AI45" s="188">
        <f>opex_orig!AE45</f>
        <v>1.4840900000000001E-4</v>
      </c>
      <c r="AJ45" s="188">
        <f>opex_orig!AF45</f>
        <v>1.7883129999999999E-3</v>
      </c>
      <c r="AK45" s="188">
        <f>opex_orig!AG45</f>
        <v>2.4007299999999999E-4</v>
      </c>
      <c r="AL45" s="188">
        <f>opex_orig!AH45</f>
        <v>5.5000000000000002E-5</v>
      </c>
      <c r="AM45" s="188">
        <f>opex_orig!AI45</f>
        <v>9.7800000000000006E-5</v>
      </c>
      <c r="AN45" s="188">
        <f>opex_orig!AJ45</f>
        <v>7.1299999999999998E-5</v>
      </c>
      <c r="AO45" s="188">
        <f>opex_orig!AK45</f>
        <v>1.5101599999999999E-4</v>
      </c>
      <c r="AP45" s="188">
        <f>opex_orig!$AL45</f>
        <v>6.8138125223026803E-5</v>
      </c>
      <c r="AQ45" s="188">
        <f>opex_orig!$AL45</f>
        <v>6.8138125223026803E-5</v>
      </c>
      <c r="AR45" s="188">
        <f>opex_orig!$AL45</f>
        <v>6.8138125223026803E-5</v>
      </c>
      <c r="AS45" s="188">
        <f>opex_orig!$AM45</f>
        <v>8.8794775514604998E-5</v>
      </c>
      <c r="AT45" s="188">
        <f>opex_orig!AN45</f>
        <v>1.5438100000000001E-4</v>
      </c>
      <c r="AU45" s="188">
        <f>opex_orig!$AO45</f>
        <v>5.03635435534127E-5</v>
      </c>
      <c r="AV45" s="188">
        <f>opex_orig!$AO45</f>
        <v>5.03635435534127E-5</v>
      </c>
      <c r="AW45" s="188">
        <f>opex_orig!$AO45</f>
        <v>5.03635435534127E-5</v>
      </c>
      <c r="AX45" s="188">
        <f>opex_orig!$AP45</f>
        <v>6.8591698039085499E-5</v>
      </c>
      <c r="AY45" s="188">
        <f>opex_orig!AQ45</f>
        <v>1.20494E-4</v>
      </c>
      <c r="AZ45" s="188">
        <f>opex_orig!AR45</f>
        <v>0</v>
      </c>
      <c r="BA45" s="188">
        <f>opex_orig!AS45</f>
        <v>1.16502E-4</v>
      </c>
      <c r="BB45" s="188">
        <f>opex_orig!AT45</f>
        <v>9.7800000000000006E-5</v>
      </c>
      <c r="BC45" s="188">
        <f>opex_orig!AU45</f>
        <v>4.3900000000000003E-5</v>
      </c>
      <c r="BD45" s="188">
        <f>opex_orig!AV45</f>
        <v>3.6999999999999998E-5</v>
      </c>
      <c r="BE45" s="188">
        <f>opex_orig!AW45</f>
        <v>8.5000000000000006E-5</v>
      </c>
      <c r="BF45" s="188">
        <f>opex_orig!AX45</f>
        <v>0</v>
      </c>
      <c r="BG45" s="188">
        <f>opex_orig!AY45</f>
        <v>1.95687E-4</v>
      </c>
      <c r="BH45" s="188">
        <f>opex_orig!AZ45</f>
        <v>0</v>
      </c>
      <c r="BI45" s="188">
        <f>opex_orig!BA45</f>
        <v>5.9299999999999998E-5</v>
      </c>
      <c r="BJ45" s="188">
        <f>opex_orig!BB45</f>
        <v>2.8046499999999998E-4</v>
      </c>
      <c r="BK45" s="188">
        <f>opex_orig!BC45</f>
        <v>7.1799999999999997E-5</v>
      </c>
      <c r="BL45" s="188">
        <f>opex_orig!BD45</f>
        <v>7.8999999999999996E-5</v>
      </c>
      <c r="BM45" s="188">
        <f>opex_orig!BE45</f>
        <v>3.9499999999999998E-5</v>
      </c>
      <c r="BN45" s="188">
        <f>opex_orig!BF45</f>
        <v>2.9499999999999999E-5</v>
      </c>
      <c r="BO45" s="188">
        <f>opex_orig!BG45</f>
        <v>2.5577500000000002E-4</v>
      </c>
      <c r="BP45" s="188">
        <f>opex_orig!$BH45</f>
        <v>5.5391507880371601E-5</v>
      </c>
      <c r="BQ45" s="188">
        <f>opex_orig!$BH45</f>
        <v>5.5391507880371601E-5</v>
      </c>
      <c r="BR45" s="188">
        <f>opex_orig!BI45</f>
        <v>4.0399999999999999E-5</v>
      </c>
      <c r="BS45" s="188">
        <f>opex_orig!BJ45</f>
        <v>8.0099999999999995E-5</v>
      </c>
      <c r="BT45" s="188">
        <f>opex_orig!BK45</f>
        <v>2.3083489999999999E-3</v>
      </c>
      <c r="BU45" s="188">
        <f>opex_orig!BL45</f>
        <v>0</v>
      </c>
      <c r="BV45" s="27">
        <f>opex_orig!BM45</f>
        <v>2.7942718823773302E-4</v>
      </c>
      <c r="BW45" s="27">
        <f>opex_orig!BN45</f>
        <v>3.1964073953143099E-4</v>
      </c>
      <c r="BX45" s="27">
        <f>opex_orig!BO45</f>
        <v>1.4987546916463799E-4</v>
      </c>
      <c r="BY45" s="27">
        <f>opex_orig!BP45</f>
        <v>1.18320608089078E-4</v>
      </c>
      <c r="BZ45" s="27">
        <f>opex_orig!BQ45</f>
        <v>1.3528157218702E-4</v>
      </c>
      <c r="CA45" s="27">
        <f>opex_orig!BR45</f>
        <v>3.1010203662618899E-6</v>
      </c>
      <c r="CB45" s="27">
        <f>opex_orig!BS45</f>
        <v>4.5302675977604301E-4</v>
      </c>
      <c r="CC45" s="27">
        <f>opex_orig!BT45</f>
        <v>2.6195787292967699E-5</v>
      </c>
      <c r="CD45" s="27">
        <f>opex_orig!BU45</f>
        <v>3.3370221798256303E-5</v>
      </c>
      <c r="CE45" s="27">
        <f>opex_orig!BV45</f>
        <v>3.3370221798256201E-5</v>
      </c>
      <c r="CF45" s="27">
        <f>opex_orig!BW45</f>
        <v>9.2254820469869699E-5</v>
      </c>
      <c r="CG45" s="27">
        <f>opex_orig!BX45</f>
        <v>2.3973601904049601E-5</v>
      </c>
      <c r="CH45" s="27">
        <f>opex_orig!BY45</f>
        <v>2.1562214554855702E-5</v>
      </c>
      <c r="CI45" s="27">
        <f>opex_orig!BZ45</f>
        <v>2.3188199999999999E-4</v>
      </c>
      <c r="CJ45" s="27">
        <f>opex_orig!CA45</f>
        <v>2.1094899999999999E-4</v>
      </c>
      <c r="CK45" s="27">
        <f>opex_orig!CB45</f>
        <v>3.0454700000000001E-4</v>
      </c>
      <c r="CL45" s="27">
        <f>opex_orig!CC45</f>
        <v>9.9199999999999999E-5</v>
      </c>
      <c r="CM45" s="27">
        <f>opex_orig!CD45</f>
        <v>1.0565290000000001E-3</v>
      </c>
      <c r="CN45" s="27">
        <f>opex_orig!CE45</f>
        <v>1.3454999999999999E-4</v>
      </c>
      <c r="CO45" s="27">
        <f>opex_orig!CF45</f>
        <v>9.1899999999999998E-5</v>
      </c>
      <c r="CP45" s="27">
        <f>opex_orig!CG45</f>
        <v>4.1399999999999997E-5</v>
      </c>
    </row>
    <row r="46" spans="1:94" x14ac:dyDescent="0.25">
      <c r="A46" s="5" t="s">
        <v>111</v>
      </c>
      <c r="B46" s="2" t="s">
        <v>110</v>
      </c>
      <c r="C46" s="1" t="s">
        <v>327</v>
      </c>
      <c r="D46" s="188">
        <f>opex_orig!D46</f>
        <v>5.0306400000000001E-4</v>
      </c>
      <c r="E46" s="188">
        <f>opex_orig!E46</f>
        <v>1.0096040000000001E-3</v>
      </c>
      <c r="F46" s="188">
        <f>opex_orig!F46</f>
        <v>6.5053079999999996E-3</v>
      </c>
      <c r="G46" s="188">
        <f>opex_orig!G46</f>
        <v>5.7099999999999999E-5</v>
      </c>
      <c r="H46" s="188">
        <f>opex_orig!H46</f>
        <v>8.7199999999999995E-6</v>
      </c>
      <c r="I46" s="188">
        <f>opex_orig!I46</f>
        <v>5.6251300000000005E-4</v>
      </c>
      <c r="J46" s="188">
        <f>opex_orig!J46</f>
        <v>1.6019100000000001E-4</v>
      </c>
      <c r="K46" s="188">
        <f>opex_orig!K46</f>
        <v>1.6900000000000001E-5</v>
      </c>
      <c r="L46" s="188">
        <f>opex_orig!L46</f>
        <v>7.2986960000000004E-3</v>
      </c>
      <c r="M46" s="188">
        <f>opex_orig!M46</f>
        <v>8.9349600000000003E-4</v>
      </c>
      <c r="N46" s="188">
        <f>opex_orig!N46</f>
        <v>3.69632E-4</v>
      </c>
      <c r="O46" s="188">
        <f>opex_orig!O46</f>
        <v>7.7299999999999995E-5</v>
      </c>
      <c r="P46" s="188">
        <f>opex_orig!P46</f>
        <v>3.8399999999999998E-5</v>
      </c>
      <c r="Q46" s="188">
        <f>opex_orig!Q46</f>
        <v>3.5899999999999998E-5</v>
      </c>
      <c r="R46" s="188">
        <f>opex_orig!R46</f>
        <v>3.6199999999999999E-5</v>
      </c>
      <c r="S46" s="188">
        <f>opex_orig!S46</f>
        <v>2.2399999999999999E-5</v>
      </c>
      <c r="T46" s="188">
        <f>opex_orig!T46</f>
        <v>3.54E-5</v>
      </c>
      <c r="U46" s="188">
        <f>opex_orig!U46</f>
        <v>3.2799999999999998E-5</v>
      </c>
      <c r="V46" s="188">
        <f>opex_orig!V46</f>
        <v>3.7499999999999997E-5</v>
      </c>
      <c r="W46" s="188">
        <f>opex_orig!W46</f>
        <v>2.2500000000000001E-5</v>
      </c>
      <c r="X46" s="188">
        <f>opex_orig!X46</f>
        <v>2.9499999999999999E-5</v>
      </c>
      <c r="Y46" s="188">
        <f>opex_orig!Y46</f>
        <v>1.66E-5</v>
      </c>
      <c r="Z46" s="188">
        <f>opex_orig!Z46</f>
        <v>2.72E-5</v>
      </c>
      <c r="AA46" s="188">
        <f>opex_orig!AA46</f>
        <v>4.9499999999999997E-5</v>
      </c>
      <c r="AB46" s="188">
        <f>opex_orig!$AB46</f>
        <v>3.8211669910012998E-5</v>
      </c>
      <c r="AC46" s="188">
        <f>opex_orig!$AB46</f>
        <v>3.8211669910012998E-5</v>
      </c>
      <c r="AD46" s="188">
        <f>opex_orig!$AB46</f>
        <v>3.8211669910012998E-5</v>
      </c>
      <c r="AE46" s="188">
        <f>opex_orig!$AC46</f>
        <v>9.0413877773178297E-5</v>
      </c>
      <c r="AF46" s="188">
        <f>opex_orig!$AD46</f>
        <v>3.6593708435870602E-5</v>
      </c>
      <c r="AG46" s="188">
        <f>opex_orig!$AD46</f>
        <v>3.6593708435870602E-5</v>
      </c>
      <c r="AH46" s="188">
        <f>opex_orig!$AD46</f>
        <v>3.6593708435870602E-5</v>
      </c>
      <c r="AI46" s="188">
        <f>opex_orig!AE46</f>
        <v>3.04E-5</v>
      </c>
      <c r="AJ46" s="188">
        <f>opex_orig!AF46</f>
        <v>1.84339E-4</v>
      </c>
      <c r="AK46" s="188">
        <f>opex_orig!AG46</f>
        <v>5.38E-5</v>
      </c>
      <c r="AL46" s="188">
        <f>opex_orig!AH46</f>
        <v>2.3E-5</v>
      </c>
      <c r="AM46" s="188">
        <f>opex_orig!AI46</f>
        <v>3.1699999999999998E-5</v>
      </c>
      <c r="AN46" s="188">
        <f>opex_orig!AJ46</f>
        <v>2.87E-5</v>
      </c>
      <c r="AO46" s="188">
        <f>opex_orig!AK46</f>
        <v>3.9400000000000002E-5</v>
      </c>
      <c r="AP46" s="188">
        <f>opex_orig!$AL46</f>
        <v>3.68150573694861E-5</v>
      </c>
      <c r="AQ46" s="188">
        <f>opex_orig!$AL46</f>
        <v>3.68150573694861E-5</v>
      </c>
      <c r="AR46" s="188">
        <f>opex_orig!$AL46</f>
        <v>3.68150573694861E-5</v>
      </c>
      <c r="AS46" s="188">
        <f>opex_orig!$AM46</f>
        <v>4.1050379613539003E-5</v>
      </c>
      <c r="AT46" s="188">
        <f>opex_orig!AN46</f>
        <v>3.7400000000000001E-5</v>
      </c>
      <c r="AU46" s="188">
        <f>opex_orig!$AO46</f>
        <v>1.25973336067444E-5</v>
      </c>
      <c r="AV46" s="188">
        <f>opex_orig!$AO46</f>
        <v>1.25973336067444E-5</v>
      </c>
      <c r="AW46" s="188">
        <f>opex_orig!$AO46</f>
        <v>1.25973336067444E-5</v>
      </c>
      <c r="AX46" s="188">
        <f>opex_orig!$AP46</f>
        <v>1.89140173633174E-5</v>
      </c>
      <c r="AY46" s="188">
        <f>opex_orig!AQ46</f>
        <v>2.51E-5</v>
      </c>
      <c r="AZ46" s="188">
        <f>opex_orig!AR46</f>
        <v>0</v>
      </c>
      <c r="BA46" s="188">
        <f>opex_orig!AS46</f>
        <v>2.7699999999999999E-5</v>
      </c>
      <c r="BB46" s="188">
        <f>opex_orig!AT46</f>
        <v>2.4899999999999999E-5</v>
      </c>
      <c r="BC46" s="188">
        <f>opex_orig!AU46</f>
        <v>8.1699999999999997E-6</v>
      </c>
      <c r="BD46" s="188">
        <f>opex_orig!AV46</f>
        <v>7.7999999999999999E-6</v>
      </c>
      <c r="BE46" s="188">
        <f>opex_orig!AW46</f>
        <v>3.5299999999999997E-5</v>
      </c>
      <c r="BF46" s="188">
        <f>opex_orig!AX46</f>
        <v>0</v>
      </c>
      <c r="BG46" s="188">
        <f>opex_orig!AY46</f>
        <v>5.8100000000000003E-5</v>
      </c>
      <c r="BH46" s="188">
        <f>opex_orig!AZ46</f>
        <v>0</v>
      </c>
      <c r="BI46" s="188">
        <f>opex_orig!BA46</f>
        <v>1.8300000000000001E-5</v>
      </c>
      <c r="BJ46" s="188">
        <f>opex_orig!BB46</f>
        <v>1.66E-5</v>
      </c>
      <c r="BK46" s="188">
        <f>opex_orig!BC46</f>
        <v>2.8600000000000001E-5</v>
      </c>
      <c r="BL46" s="188">
        <f>opex_orig!BD46</f>
        <v>5.3900000000000002E-5</v>
      </c>
      <c r="BM46" s="188">
        <f>opex_orig!BE46</f>
        <v>1.84E-5</v>
      </c>
      <c r="BN46" s="188">
        <f>opex_orig!BF46</f>
        <v>1.0200000000000001E-5</v>
      </c>
      <c r="BO46" s="188">
        <f>opex_orig!BG46</f>
        <v>3.9100000000000002E-5</v>
      </c>
      <c r="BP46" s="188">
        <f>opex_orig!$BH46</f>
        <v>2.0794697934767002E-5</v>
      </c>
      <c r="BQ46" s="188">
        <f>opex_orig!$BH46</f>
        <v>2.0794697934767002E-5</v>
      </c>
      <c r="BR46" s="188">
        <f>opex_orig!BI46</f>
        <v>1.8499999999999999E-5</v>
      </c>
      <c r="BS46" s="188">
        <f>opex_orig!BJ46</f>
        <v>2.9899999999999998E-5</v>
      </c>
      <c r="BT46" s="188">
        <f>opex_orig!BK46</f>
        <v>2.2200000000000001E-5</v>
      </c>
      <c r="BU46" s="188">
        <f>opex_orig!BL46</f>
        <v>0</v>
      </c>
      <c r="BV46" s="27">
        <f>opex_orig!BM46</f>
        <v>1.9462654210510002E-5</v>
      </c>
      <c r="BW46" s="27">
        <f>opex_orig!BN46</f>
        <v>3.7332593720281002E-5</v>
      </c>
      <c r="BX46" s="27">
        <f>opex_orig!BO46</f>
        <v>8.8552972778669407E-6</v>
      </c>
      <c r="BY46" s="27">
        <f>opex_orig!BP46</f>
        <v>1.3648783738016299E-5</v>
      </c>
      <c r="BZ46" s="27">
        <f>opex_orig!BQ46</f>
        <v>2.0199756119538899E-5</v>
      </c>
      <c r="CA46" s="27">
        <f>opex_orig!BR46</f>
        <v>8.6929195801266402E-7</v>
      </c>
      <c r="CB46" s="27">
        <f>opex_orig!BS46</f>
        <v>5.1126068845515001E-5</v>
      </c>
      <c r="CC46" s="27">
        <f>opex_orig!BT46</f>
        <v>1.35877556598157E-5</v>
      </c>
      <c r="CD46" s="27">
        <f>opex_orig!BU46</f>
        <v>1.0364855568955E-5</v>
      </c>
      <c r="CE46" s="27">
        <f>opex_orig!BV46</f>
        <v>1.0364855568955E-5</v>
      </c>
      <c r="CF46" s="27">
        <f>opex_orig!BW46</f>
        <v>1.15501378916842E-4</v>
      </c>
      <c r="CG46" s="27">
        <f>opex_orig!BX46</f>
        <v>3.7200384558802801E-6</v>
      </c>
      <c r="CH46" s="27">
        <f>opex_orig!BY46</f>
        <v>4.25550595727578E-6</v>
      </c>
      <c r="CI46" s="27">
        <f>opex_orig!BZ46</f>
        <v>2.02E-5</v>
      </c>
      <c r="CJ46" s="27">
        <f>opex_orig!CA46</f>
        <v>2.2500000000000001E-5</v>
      </c>
      <c r="CK46" s="27">
        <f>opex_orig!CB46</f>
        <v>2.4899999999999999E-5</v>
      </c>
      <c r="CL46" s="27">
        <f>opex_orig!CC46</f>
        <v>4.5599999999999997E-5</v>
      </c>
      <c r="CM46" s="27">
        <f>opex_orig!CD46</f>
        <v>2.9499999999999999E-5</v>
      </c>
      <c r="CN46" s="27">
        <f>opex_orig!CE46</f>
        <v>5.2299999999999997E-5</v>
      </c>
      <c r="CO46" s="27">
        <f>opex_orig!CF46</f>
        <v>4.7200000000000002E-5</v>
      </c>
      <c r="CP46" s="27">
        <f>opex_orig!CG46</f>
        <v>1.6699999999999999E-5</v>
      </c>
    </row>
    <row r="47" spans="1:94" x14ac:dyDescent="0.25">
      <c r="A47" s="5" t="s">
        <v>113</v>
      </c>
      <c r="B47" s="2" t="s">
        <v>112</v>
      </c>
      <c r="C47" s="1" t="s">
        <v>327</v>
      </c>
      <c r="D47" s="188">
        <f>opex_orig!D47</f>
        <v>6.6599999999999998E-6</v>
      </c>
      <c r="E47" s="188">
        <f>opex_orig!E47</f>
        <v>2.1799999999999999E-6</v>
      </c>
      <c r="F47" s="188">
        <f>opex_orig!F47</f>
        <v>6.19E-6</v>
      </c>
      <c r="G47" s="188">
        <f>opex_orig!G47</f>
        <v>2.04E-6</v>
      </c>
      <c r="H47" s="188">
        <f>opex_orig!H47</f>
        <v>3.49E-6</v>
      </c>
      <c r="I47" s="188">
        <f>opex_orig!I47</f>
        <v>1.9899999999999999E-5</v>
      </c>
      <c r="J47" s="188">
        <f>opex_orig!J47</f>
        <v>1.22E-5</v>
      </c>
      <c r="K47" s="188">
        <f>opex_orig!K47</f>
        <v>3.2899999999999998E-6</v>
      </c>
      <c r="L47" s="188">
        <f>opex_orig!L47</f>
        <v>1.27E-5</v>
      </c>
      <c r="M47" s="188">
        <f>opex_orig!M47</f>
        <v>3.2399999999999999E-6</v>
      </c>
      <c r="N47" s="188">
        <f>opex_orig!N47</f>
        <v>1.4E-5</v>
      </c>
      <c r="O47" s="188">
        <f>opex_orig!O47</f>
        <v>1.03E-5</v>
      </c>
      <c r="P47" s="188">
        <f>opex_orig!P47</f>
        <v>2.34E-6</v>
      </c>
      <c r="Q47" s="188">
        <f>opex_orig!Q47</f>
        <v>3.4300000000000002E-6</v>
      </c>
      <c r="R47" s="188">
        <f>opex_orig!R47</f>
        <v>5.5600000000000003E-5</v>
      </c>
      <c r="S47" s="188">
        <f>opex_orig!S47</f>
        <v>2.12E-6</v>
      </c>
      <c r="T47" s="188">
        <f>opex_orig!T47</f>
        <v>2.7199999999999998E-6</v>
      </c>
      <c r="U47" s="188">
        <f>opex_orig!U47</f>
        <v>1.44E-6</v>
      </c>
      <c r="V47" s="188">
        <f>opex_orig!V47</f>
        <v>1.5999999999999999E-6</v>
      </c>
      <c r="W47" s="188">
        <f>opex_orig!W47</f>
        <v>9.9000000000000001E-6</v>
      </c>
      <c r="X47" s="188">
        <f>opex_orig!X47</f>
        <v>3.54E-6</v>
      </c>
      <c r="Y47" s="188">
        <f>opex_orig!Y47</f>
        <v>1.5200000000000001E-6</v>
      </c>
      <c r="Z47" s="188">
        <f>opex_orig!Z47</f>
        <v>2.9100000000000001E-6</v>
      </c>
      <c r="AA47" s="188">
        <f>opex_orig!AA47</f>
        <v>2.4499999999999998E-6</v>
      </c>
      <c r="AB47" s="188">
        <f>opex_orig!$AB47</f>
        <v>1.13344920768648E-4</v>
      </c>
      <c r="AC47" s="188">
        <f>opex_orig!$AB47</f>
        <v>1.13344920768648E-4</v>
      </c>
      <c r="AD47" s="188">
        <f>opex_orig!$AB47</f>
        <v>1.13344920768648E-4</v>
      </c>
      <c r="AE47" s="188">
        <f>opex_orig!$AC47</f>
        <v>4.77910742401214E-6</v>
      </c>
      <c r="AF47" s="188">
        <f>opex_orig!$AD47</f>
        <v>2.2042340832206098E-6</v>
      </c>
      <c r="AG47" s="188">
        <f>opex_orig!$AD47</f>
        <v>2.2042340832206098E-6</v>
      </c>
      <c r="AH47" s="188">
        <f>opex_orig!$AD47</f>
        <v>2.2042340832206098E-6</v>
      </c>
      <c r="AI47" s="188">
        <f>opex_orig!AE47</f>
        <v>2.8399999999999999E-6</v>
      </c>
      <c r="AJ47" s="188">
        <f>opex_orig!AF47</f>
        <v>5.66E-6</v>
      </c>
      <c r="AK47" s="188">
        <f>opex_orig!AG47</f>
        <v>3.3000000000000002E-6</v>
      </c>
      <c r="AL47" s="188">
        <f>opex_orig!AH47</f>
        <v>4.1999999999999996E-6</v>
      </c>
      <c r="AM47" s="188">
        <f>opex_orig!AI47</f>
        <v>7.0299999999999996E-6</v>
      </c>
      <c r="AN47" s="188">
        <f>opex_orig!AJ47</f>
        <v>5.4600000000000002E-6</v>
      </c>
      <c r="AO47" s="188">
        <f>opex_orig!AK47</f>
        <v>4.3900000000000003E-6</v>
      </c>
      <c r="AP47" s="188">
        <f>opex_orig!$AL47</f>
        <v>5.0631100298226E-6</v>
      </c>
      <c r="AQ47" s="188">
        <f>opex_orig!$AL47</f>
        <v>5.0631100298226E-6</v>
      </c>
      <c r="AR47" s="188">
        <f>opex_orig!$AL47</f>
        <v>5.0631100298226E-6</v>
      </c>
      <c r="AS47" s="188">
        <f>opex_orig!$AM47</f>
        <v>4.0040111445980797E-6</v>
      </c>
      <c r="AT47" s="188">
        <f>opex_orig!AN47</f>
        <v>6.7000000000000002E-6</v>
      </c>
      <c r="AU47" s="188">
        <f>opex_orig!$AO47</f>
        <v>2.4097891650215398E-6</v>
      </c>
      <c r="AV47" s="188">
        <f>opex_orig!$AO47</f>
        <v>2.4097891650215398E-6</v>
      </c>
      <c r="AW47" s="188">
        <f>opex_orig!$AO47</f>
        <v>2.4097891650215398E-6</v>
      </c>
      <c r="AX47" s="188">
        <f>opex_orig!$AP47</f>
        <v>1.9082168406456499E-6</v>
      </c>
      <c r="AY47" s="188">
        <f>opex_orig!AQ47</f>
        <v>1.7099999999999999E-6</v>
      </c>
      <c r="AZ47" s="188">
        <f>opex_orig!AR47</f>
        <v>0</v>
      </c>
      <c r="BA47" s="188">
        <f>opex_orig!AS47</f>
        <v>1.86E-6</v>
      </c>
      <c r="BB47" s="188">
        <f>opex_orig!AT47</f>
        <v>8.6700000000000002E-7</v>
      </c>
      <c r="BC47" s="188">
        <f>opex_orig!AU47</f>
        <v>3.6399999999999998E-7</v>
      </c>
      <c r="BD47" s="188">
        <f>opex_orig!AV47</f>
        <v>2.2999999999999999E-7</v>
      </c>
      <c r="BE47" s="188">
        <f>opex_orig!AW47</f>
        <v>1.53E-6</v>
      </c>
      <c r="BF47" s="188">
        <f>opex_orig!AX47</f>
        <v>0</v>
      </c>
      <c r="BG47" s="188">
        <f>opex_orig!AY47</f>
        <v>1.3499999999999999E-5</v>
      </c>
      <c r="BH47" s="188">
        <f>opex_orig!AZ47</f>
        <v>0</v>
      </c>
      <c r="BI47" s="188">
        <f>opex_orig!BA47</f>
        <v>1.1599999999999999E-6</v>
      </c>
      <c r="BJ47" s="188">
        <f>opex_orig!BB47</f>
        <v>1.8199999999999999E-6</v>
      </c>
      <c r="BK47" s="188">
        <f>opex_orig!BC47</f>
        <v>2.12E-6</v>
      </c>
      <c r="BL47" s="188">
        <f>opex_orig!BD47</f>
        <v>2.65E-6</v>
      </c>
      <c r="BM47" s="188">
        <f>opex_orig!BE47</f>
        <v>4.9899999999999997E-6</v>
      </c>
      <c r="BN47" s="188">
        <f>opex_orig!BF47</f>
        <v>2.0700000000000001E-6</v>
      </c>
      <c r="BO47" s="188">
        <f>opex_orig!BG47</f>
        <v>5.4E-6</v>
      </c>
      <c r="BP47" s="188">
        <f>opex_orig!$BH47</f>
        <v>1.79808715442443E-6</v>
      </c>
      <c r="BQ47" s="188">
        <f>opex_orig!$BH47</f>
        <v>1.79808715442443E-6</v>
      </c>
      <c r="BR47" s="188">
        <f>opex_orig!BI47</f>
        <v>6.8299999999999998E-6</v>
      </c>
      <c r="BS47" s="188">
        <f>opex_orig!BJ47</f>
        <v>3.3400000000000002E-6</v>
      </c>
      <c r="BT47" s="188">
        <f>opex_orig!BK47</f>
        <v>9.7999999999999993E-7</v>
      </c>
      <c r="BU47" s="188">
        <f>opex_orig!BL47</f>
        <v>0</v>
      </c>
      <c r="BV47" s="27">
        <f>opex_orig!BM47</f>
        <v>4.0958013506644099E-6</v>
      </c>
      <c r="BW47" s="27">
        <f>opex_orig!BN47</f>
        <v>1.3428775780685999E-5</v>
      </c>
      <c r="BX47" s="27">
        <f>opex_orig!BO47</f>
        <v>2.5833204463812001E-6</v>
      </c>
      <c r="BY47" s="27">
        <f>opex_orig!BP47</f>
        <v>1.4001113517628399E-6</v>
      </c>
      <c r="BZ47" s="27">
        <f>opex_orig!BQ47</f>
        <v>1.01189401874373E-6</v>
      </c>
      <c r="CA47" s="27">
        <f>opex_orig!BR47</f>
        <v>8.3797909319862598E-7</v>
      </c>
      <c r="CB47" s="27">
        <f>opex_orig!BS47</f>
        <v>2.9623258007171299E-5</v>
      </c>
      <c r="CC47" s="27">
        <f>opex_orig!BT47</f>
        <v>1.1020913201086699E-6</v>
      </c>
      <c r="CD47" s="27">
        <f>opex_orig!BU47</f>
        <v>9.8653631831941001E-7</v>
      </c>
      <c r="CE47" s="27">
        <f>opex_orig!BV47</f>
        <v>9.8653631831941404E-7</v>
      </c>
      <c r="CF47" s="27">
        <f>opex_orig!BW47</f>
        <v>1.2936454349340599E-6</v>
      </c>
      <c r="CG47" s="27">
        <f>opex_orig!BX47</f>
        <v>1.4847069464920001E-6</v>
      </c>
      <c r="CH47" s="27">
        <f>opex_orig!BY47</f>
        <v>3.9198102138365202E-6</v>
      </c>
      <c r="CI47" s="27">
        <f>opex_orig!BZ47</f>
        <v>1.8199999999999999E-6</v>
      </c>
      <c r="CJ47" s="27">
        <f>opex_orig!CA47</f>
        <v>1.8700000000000001E-6</v>
      </c>
      <c r="CK47" s="27">
        <f>opex_orig!CB47</f>
        <v>2.0200000000000001E-6</v>
      </c>
      <c r="CL47" s="27">
        <f>opex_orig!CC47</f>
        <v>9.1299999999999998E-7</v>
      </c>
      <c r="CM47" s="27">
        <f>opex_orig!CD47</f>
        <v>2.2199999999999999E-6</v>
      </c>
      <c r="CN47" s="27">
        <f>opex_orig!CE47</f>
        <v>6.7100000000000001E-6</v>
      </c>
      <c r="CO47" s="27">
        <f>opex_orig!CF47</f>
        <v>4.6800000000000001E-6</v>
      </c>
      <c r="CP47" s="27">
        <f>opex_orig!CG47</f>
        <v>7.6000000000000003E-7</v>
      </c>
    </row>
    <row r="48" spans="1:94" x14ac:dyDescent="0.25">
      <c r="A48" s="5" t="s">
        <v>115</v>
      </c>
      <c r="B48" s="2" t="s">
        <v>114</v>
      </c>
      <c r="C48" s="1" t="s">
        <v>327</v>
      </c>
      <c r="D48" s="188">
        <f>opex_orig!D48</f>
        <v>5.7544599999999997E-4</v>
      </c>
      <c r="E48" s="188">
        <f>opex_orig!E48</f>
        <v>1.3332700000000001E-4</v>
      </c>
      <c r="F48" s="188">
        <f>opex_orig!F48</f>
        <v>1.18505E-4</v>
      </c>
      <c r="G48" s="188">
        <f>opex_orig!G48</f>
        <v>2.16E-5</v>
      </c>
      <c r="H48" s="188">
        <f>opex_orig!H48</f>
        <v>4.2700000000000001E-5</v>
      </c>
      <c r="I48" s="188">
        <f>opex_orig!I48</f>
        <v>1.8196900000000001E-4</v>
      </c>
      <c r="J48" s="188">
        <f>opex_orig!J48</f>
        <v>2.2003100000000001E-4</v>
      </c>
      <c r="K48" s="188">
        <f>opex_orig!K48</f>
        <v>6.6799999999999997E-5</v>
      </c>
      <c r="L48" s="188">
        <f>opex_orig!L48</f>
        <v>2.5670700000000001E-4</v>
      </c>
      <c r="M48" s="188">
        <f>opex_orig!M48</f>
        <v>7.2568199999999995E-4</v>
      </c>
      <c r="N48" s="188">
        <f>opex_orig!N48</f>
        <v>3.78246E-4</v>
      </c>
      <c r="O48" s="188">
        <f>opex_orig!O48</f>
        <v>2.0686500000000001E-4</v>
      </c>
      <c r="P48" s="188">
        <f>opex_orig!P48</f>
        <v>0.28902177800000001</v>
      </c>
      <c r="Q48" s="188">
        <f>opex_orig!Q48</f>
        <v>0.134086603</v>
      </c>
      <c r="R48" s="188">
        <f>opex_orig!R48</f>
        <v>2.4775579999999998E-2</v>
      </c>
      <c r="S48" s="188">
        <f>opex_orig!S48</f>
        <v>2.8015400000000001E-4</v>
      </c>
      <c r="T48" s="188">
        <f>opex_orig!T48</f>
        <v>3.2693899999999999E-4</v>
      </c>
      <c r="U48" s="188">
        <f>opex_orig!U48</f>
        <v>1.6234800000000001E-4</v>
      </c>
      <c r="V48" s="188">
        <f>opex_orig!V48</f>
        <v>1.7958199999999999E-4</v>
      </c>
      <c r="W48" s="188">
        <f>opex_orig!W48</f>
        <v>4.7331100000000002E-4</v>
      </c>
      <c r="X48" s="188">
        <f>opex_orig!X48</f>
        <v>1.114652E-3</v>
      </c>
      <c r="Y48" s="188">
        <f>opex_orig!Y48</f>
        <v>8.0900000000000001E-5</v>
      </c>
      <c r="Z48" s="188">
        <f>opex_orig!Z48</f>
        <v>2.2828099999999999E-4</v>
      </c>
      <c r="AA48" s="188">
        <f>opex_orig!AA48</f>
        <v>2.41668E-4</v>
      </c>
      <c r="AB48" s="188">
        <f>opex_orig!$AB48</f>
        <v>2.9201428210030698E-4</v>
      </c>
      <c r="AC48" s="188">
        <f>opex_orig!$AB48</f>
        <v>2.9201428210030698E-4</v>
      </c>
      <c r="AD48" s="188">
        <f>opex_orig!$AB48</f>
        <v>2.9201428210030698E-4</v>
      </c>
      <c r="AE48" s="188">
        <f>opex_orig!$AC48</f>
        <v>5.6713575971489003E-4</v>
      </c>
      <c r="AF48" s="188">
        <f>opex_orig!$AD48</f>
        <v>2.8362569155539401E-3</v>
      </c>
      <c r="AG48" s="188">
        <f>opex_orig!$AD48</f>
        <v>2.8362569155539401E-3</v>
      </c>
      <c r="AH48" s="188">
        <f>opex_orig!$AD48</f>
        <v>2.8362569155539401E-3</v>
      </c>
      <c r="AI48" s="188">
        <f>opex_orig!AE48</f>
        <v>2.8052160000000001E-3</v>
      </c>
      <c r="AJ48" s="188">
        <f>opex_orig!AF48</f>
        <v>2.1331457000000002E-2</v>
      </c>
      <c r="AK48" s="188">
        <f>opex_orig!AG48</f>
        <v>2.4486754999999999E-2</v>
      </c>
      <c r="AL48" s="188">
        <f>opex_orig!AH48</f>
        <v>4.1191900000000001E-4</v>
      </c>
      <c r="AM48" s="188">
        <f>opex_orig!AI48</f>
        <v>6.9438599999999996E-4</v>
      </c>
      <c r="AN48" s="188">
        <f>opex_orig!AJ48</f>
        <v>1.29512E-4</v>
      </c>
      <c r="AO48" s="188">
        <f>opex_orig!AK48</f>
        <v>2.5562099999999998E-4</v>
      </c>
      <c r="AP48" s="188">
        <f>opex_orig!$AL48</f>
        <v>1.8433744161579799E-4</v>
      </c>
      <c r="AQ48" s="188">
        <f>opex_orig!$AL48</f>
        <v>1.8433744161579799E-4</v>
      </c>
      <c r="AR48" s="188">
        <f>opex_orig!$AL48</f>
        <v>1.8433744161579799E-4</v>
      </c>
      <c r="AS48" s="188">
        <f>opex_orig!$AM48</f>
        <v>1.85776325150465E-4</v>
      </c>
      <c r="AT48" s="188">
        <f>opex_orig!AN48</f>
        <v>4.2423200000000003E-4</v>
      </c>
      <c r="AU48" s="188">
        <f>opex_orig!$AO48</f>
        <v>1.0786573041797601E-4</v>
      </c>
      <c r="AV48" s="188">
        <f>opex_orig!$AO48</f>
        <v>1.0786573041797601E-4</v>
      </c>
      <c r="AW48" s="188">
        <f>opex_orig!$AO48</f>
        <v>1.0786573041797601E-4</v>
      </c>
      <c r="AX48" s="188">
        <f>opex_orig!$AP48</f>
        <v>1.3616449906715E-4</v>
      </c>
      <c r="AY48" s="188">
        <f>opex_orig!AQ48</f>
        <v>1.5169599999999999E-4</v>
      </c>
      <c r="AZ48" s="188">
        <f>opex_orig!AR48</f>
        <v>0</v>
      </c>
      <c r="BA48" s="188">
        <f>opex_orig!AS48</f>
        <v>2.10633E-4</v>
      </c>
      <c r="BB48" s="188">
        <f>opex_orig!AT48</f>
        <v>2.0980400000000001E-4</v>
      </c>
      <c r="BC48" s="188">
        <f>opex_orig!AU48</f>
        <v>4.0299999999999997E-5</v>
      </c>
      <c r="BD48" s="188">
        <f>opex_orig!AV48</f>
        <v>3.65E-5</v>
      </c>
      <c r="BE48" s="188">
        <f>opex_orig!AW48</f>
        <v>8.53E-5</v>
      </c>
      <c r="BF48" s="188">
        <f>opex_orig!AX48</f>
        <v>0</v>
      </c>
      <c r="BG48" s="188">
        <f>opex_orig!AY48</f>
        <v>2.1680500000000001E-4</v>
      </c>
      <c r="BH48" s="188">
        <f>opex_orig!AZ48</f>
        <v>0</v>
      </c>
      <c r="BI48" s="188">
        <f>opex_orig!BA48</f>
        <v>1.6483099999999999E-4</v>
      </c>
      <c r="BJ48" s="188">
        <f>opex_orig!BB48</f>
        <v>2.6999680000000001E-3</v>
      </c>
      <c r="BK48" s="188">
        <f>opex_orig!BC48</f>
        <v>3.7122230000000002E-3</v>
      </c>
      <c r="BL48" s="188">
        <f>opex_orig!BD48</f>
        <v>1.3244799999999999E-4</v>
      </c>
      <c r="BM48" s="188">
        <f>opex_orig!BE48</f>
        <v>5.82513E-4</v>
      </c>
      <c r="BN48" s="188">
        <f>opex_orig!BF48</f>
        <v>2.3818299999999999E-4</v>
      </c>
      <c r="BO48" s="188">
        <f>opex_orig!BG48</f>
        <v>1.764837E-3</v>
      </c>
      <c r="BP48" s="205">
        <f>opex_concordance!M85</f>
        <v>1.0469640981401207E-2</v>
      </c>
      <c r="BQ48" s="205">
        <f>opex_concordance!M128</f>
        <v>6.1900020107460794E-3</v>
      </c>
      <c r="BR48" s="188">
        <f>opex_orig!BI48</f>
        <v>7.6535780000000003E-3</v>
      </c>
      <c r="BS48" s="188">
        <f>opex_orig!BJ48</f>
        <v>3.2708350000000001E-3</v>
      </c>
      <c r="BT48" s="188">
        <f>opex_orig!BK48</f>
        <v>1.6992099999999999E-4</v>
      </c>
      <c r="BU48" s="188">
        <f>opex_orig!BL48</f>
        <v>0</v>
      </c>
      <c r="BV48" s="27">
        <f>opex_orig!BM48</f>
        <v>7.5386595053572402E-5</v>
      </c>
      <c r="BW48" s="27">
        <f>opex_orig!BN48</f>
        <v>1.6009560217675599E-4</v>
      </c>
      <c r="BX48" s="27">
        <f>opex_orig!BO48</f>
        <v>2.4948937339294001E-5</v>
      </c>
      <c r="BY48" s="27">
        <f>opex_orig!BP48</f>
        <v>4.3437775850279297E-5</v>
      </c>
      <c r="BZ48" s="27">
        <f>opex_orig!BQ48</f>
        <v>5.9937241418060997E-5</v>
      </c>
      <c r="CA48" s="27">
        <f>opex_orig!BR48</f>
        <v>1.8156337284715901E-5</v>
      </c>
      <c r="CB48" s="27">
        <f>opex_orig!BS48</f>
        <v>2.5064436787536798E-4</v>
      </c>
      <c r="CC48" s="27">
        <f>opex_orig!BT48</f>
        <v>3.5868802762891103E-5</v>
      </c>
      <c r="CD48" s="27">
        <f>opex_orig!BU48</f>
        <v>3.2030499721002402E-5</v>
      </c>
      <c r="CE48" s="27">
        <f>opex_orig!BV48</f>
        <v>3.20304997210023E-5</v>
      </c>
      <c r="CF48" s="27">
        <f>opex_orig!BW48</f>
        <v>5.12791448645609E-5</v>
      </c>
      <c r="CG48" s="27">
        <f>opex_orig!BX48</f>
        <v>3.5391015542429998E-6</v>
      </c>
      <c r="CH48" s="27">
        <f>opex_orig!BY48</f>
        <v>5.3010809467246002E-5</v>
      </c>
      <c r="CI48" s="27">
        <f>opex_orig!BZ48</f>
        <v>7.0400000000000004E-5</v>
      </c>
      <c r="CJ48" s="27">
        <f>opex_orig!CA48</f>
        <v>5.7599999999999997E-5</v>
      </c>
      <c r="CK48" s="27">
        <f>opex_orig!CB48</f>
        <v>5.0099999999999998E-5</v>
      </c>
      <c r="CL48" s="27">
        <f>opex_orig!CC48</f>
        <v>7.8100000000000001E-5</v>
      </c>
      <c r="CM48" s="27">
        <f>opex_orig!CD48</f>
        <v>1.6562900000000001E-4</v>
      </c>
      <c r="CN48" s="27">
        <f>opex_orig!CE48</f>
        <v>9.4300000000000002E-5</v>
      </c>
      <c r="CO48" s="27">
        <f>opex_orig!CF48</f>
        <v>2.6768700000000001E-4</v>
      </c>
      <c r="CP48" s="27">
        <f>opex_orig!CG48</f>
        <v>4.2299999999999998E-5</v>
      </c>
    </row>
    <row r="49" spans="1:94" x14ac:dyDescent="0.25">
      <c r="A49" s="5" t="s">
        <v>117</v>
      </c>
      <c r="B49" s="2" t="s">
        <v>116</v>
      </c>
      <c r="C49" s="1" t="s">
        <v>327</v>
      </c>
      <c r="D49" s="188">
        <f>opex_orig!D49</f>
        <v>7.9699999999999999E-6</v>
      </c>
      <c r="E49" s="188">
        <f>opex_orig!E49</f>
        <v>2.3700000000000002E-6</v>
      </c>
      <c r="F49" s="188">
        <f>opex_orig!F49</f>
        <v>5.8799999999999996E-6</v>
      </c>
      <c r="G49" s="188">
        <f>opex_orig!G49</f>
        <v>2.9400000000000001E-7</v>
      </c>
      <c r="H49" s="188">
        <f>opex_orig!H49</f>
        <v>1.08E-6</v>
      </c>
      <c r="I49" s="188">
        <f>opex_orig!I49</f>
        <v>2.7099999999999999E-6</v>
      </c>
      <c r="J49" s="188">
        <f>opex_orig!J49</f>
        <v>2.0999999999999998E-6</v>
      </c>
      <c r="K49" s="188">
        <f>opex_orig!K49</f>
        <v>4.63E-7</v>
      </c>
      <c r="L49" s="188">
        <f>opex_orig!L49</f>
        <v>5.2499999999999997E-6</v>
      </c>
      <c r="M49" s="188">
        <f>opex_orig!M49</f>
        <v>8.67E-6</v>
      </c>
      <c r="N49" s="188">
        <f>opex_orig!N49</f>
        <v>5.7200000000000003E-6</v>
      </c>
      <c r="O49" s="188">
        <f>opex_orig!O49</f>
        <v>7.0600000000000002E-6</v>
      </c>
      <c r="P49" s="188">
        <f>opex_orig!P49</f>
        <v>1.800362E-3</v>
      </c>
      <c r="Q49" s="188">
        <f>opex_orig!Q49</f>
        <v>0.278465617</v>
      </c>
      <c r="R49" s="188">
        <f>opex_orig!R49</f>
        <v>6.6711230000000002E-3</v>
      </c>
      <c r="S49" s="188">
        <f>opex_orig!S49</f>
        <v>5.0900000000000004E-6</v>
      </c>
      <c r="T49" s="188">
        <f>opex_orig!T49</f>
        <v>5.49E-6</v>
      </c>
      <c r="U49" s="188">
        <f>opex_orig!U49</f>
        <v>4.5700000000000003E-6</v>
      </c>
      <c r="V49" s="188">
        <f>opex_orig!V49</f>
        <v>5.1200000000000001E-6</v>
      </c>
      <c r="W49" s="188">
        <f>opex_orig!W49</f>
        <v>1.5500000000000001E-5</v>
      </c>
      <c r="X49" s="188">
        <f>opex_orig!X49</f>
        <v>1.0000000000000001E-5</v>
      </c>
      <c r="Y49" s="188">
        <f>opex_orig!Y49</f>
        <v>1.15E-6</v>
      </c>
      <c r="Z49" s="188">
        <f>opex_orig!Z49</f>
        <v>4.6E-6</v>
      </c>
      <c r="AA49" s="188">
        <f>opex_orig!AA49</f>
        <v>4.6199999999999998E-6</v>
      </c>
      <c r="AB49" s="188">
        <f>opex_orig!$AB49</f>
        <v>3.9937159948294E-6</v>
      </c>
      <c r="AC49" s="188">
        <f>opex_orig!$AB49</f>
        <v>3.9937159948294E-6</v>
      </c>
      <c r="AD49" s="188">
        <f>opex_orig!$AB49</f>
        <v>3.9937159948294E-6</v>
      </c>
      <c r="AE49" s="188">
        <f>opex_orig!$AC49</f>
        <v>3.74635817041086E-6</v>
      </c>
      <c r="AF49" s="188">
        <f>opex_orig!$AD49</f>
        <v>1.87546934869326E-5</v>
      </c>
      <c r="AG49" s="188">
        <f>opex_orig!$AD49</f>
        <v>1.87546934869326E-5</v>
      </c>
      <c r="AH49" s="188">
        <f>opex_orig!$AD49</f>
        <v>1.87546934869326E-5</v>
      </c>
      <c r="AI49" s="188">
        <f>opex_orig!AE49</f>
        <v>1.8899999999999999E-5</v>
      </c>
      <c r="AJ49" s="188">
        <f>opex_orig!AF49</f>
        <v>1.33497E-4</v>
      </c>
      <c r="AK49" s="188">
        <f>opex_orig!AG49</f>
        <v>1.6851400000000001E-4</v>
      </c>
      <c r="AL49" s="188">
        <f>opex_orig!AH49</f>
        <v>7.7700000000000001E-6</v>
      </c>
      <c r="AM49" s="188">
        <f>opex_orig!AI49</f>
        <v>8.8100000000000004E-6</v>
      </c>
      <c r="AN49" s="188">
        <f>opex_orig!AJ49</f>
        <v>4.4900000000000002E-6</v>
      </c>
      <c r="AO49" s="188">
        <f>opex_orig!AK49</f>
        <v>6.2999999999999998E-6</v>
      </c>
      <c r="AP49" s="188">
        <f>opex_orig!$AL49</f>
        <v>3.8488087742265197E-6</v>
      </c>
      <c r="AQ49" s="188">
        <f>opex_orig!$AL49</f>
        <v>3.8488087742265197E-6</v>
      </c>
      <c r="AR49" s="188">
        <f>opex_orig!$AL49</f>
        <v>3.8488087742265197E-6</v>
      </c>
      <c r="AS49" s="188">
        <f>opex_orig!$AM49</f>
        <v>3.7644988565453001E-6</v>
      </c>
      <c r="AT49" s="188">
        <f>opex_orig!AN49</f>
        <v>7.3499999999999999E-6</v>
      </c>
      <c r="AU49" s="188">
        <f>opex_orig!$AO49</f>
        <v>5.4997797144517398E-6</v>
      </c>
      <c r="AV49" s="188">
        <f>opex_orig!$AO49</f>
        <v>5.4997797144517398E-6</v>
      </c>
      <c r="AW49" s="188">
        <f>opex_orig!$AO49</f>
        <v>5.4997797144517398E-6</v>
      </c>
      <c r="AX49" s="188">
        <f>opex_orig!$AP49</f>
        <v>6.3418579603049303E-6</v>
      </c>
      <c r="AY49" s="188">
        <f>opex_orig!AQ49</f>
        <v>6.4899999999999997E-6</v>
      </c>
      <c r="AZ49" s="188">
        <f>opex_orig!AR49</f>
        <v>0</v>
      </c>
      <c r="BA49" s="188">
        <f>opex_orig!AS49</f>
        <v>5.8799999999999996E-6</v>
      </c>
      <c r="BB49" s="188">
        <f>opex_orig!AT49</f>
        <v>5.66E-6</v>
      </c>
      <c r="BC49" s="188">
        <f>opex_orig!AU49</f>
        <v>2.7300000000000001E-6</v>
      </c>
      <c r="BD49" s="188">
        <f>opex_orig!AV49</f>
        <v>2.52E-6</v>
      </c>
      <c r="BE49" s="188">
        <f>opex_orig!AW49</f>
        <v>3.3799999999999998E-6</v>
      </c>
      <c r="BF49" s="188">
        <f>opex_orig!AX49</f>
        <v>0</v>
      </c>
      <c r="BG49" s="188">
        <f>opex_orig!AY49</f>
        <v>3.8600000000000003E-6</v>
      </c>
      <c r="BH49" s="188">
        <f>opex_orig!AZ49</f>
        <v>0</v>
      </c>
      <c r="BI49" s="188">
        <f>opex_orig!BA49</f>
        <v>9.91E-6</v>
      </c>
      <c r="BJ49" s="188">
        <f>opex_orig!BB49</f>
        <v>3.5099999999999999E-5</v>
      </c>
      <c r="BK49" s="188">
        <f>opex_orig!BC49</f>
        <v>3.3200000000000001E-5</v>
      </c>
      <c r="BL49" s="188">
        <f>opex_orig!BD49</f>
        <v>5.0100000000000003E-6</v>
      </c>
      <c r="BM49" s="188">
        <f>opex_orig!BE49</f>
        <v>1.2099999999999999E-5</v>
      </c>
      <c r="BN49" s="188">
        <f>opex_orig!BF49</f>
        <v>1.19E-5</v>
      </c>
      <c r="BO49" s="188">
        <f>opex_orig!BG49</f>
        <v>1.8099999999999999E-5</v>
      </c>
      <c r="BP49" s="188">
        <f>opex_orig!$BH49</f>
        <v>7.7052965174381302E-5</v>
      </c>
      <c r="BQ49" s="188">
        <f>opex_orig!$BH49</f>
        <v>7.7052965174381302E-5</v>
      </c>
      <c r="BR49" s="188">
        <f>opex_orig!BI49</f>
        <v>5.7200000000000001E-5</v>
      </c>
      <c r="BS49" s="188">
        <f>opex_orig!BJ49</f>
        <v>4.7700000000000001E-5</v>
      </c>
      <c r="BT49" s="188">
        <f>opex_orig!BK49</f>
        <v>1.55E-6</v>
      </c>
      <c r="BU49" s="188">
        <f>opex_orig!BL49</f>
        <v>0</v>
      </c>
      <c r="BV49" s="27">
        <f>opex_orig!BM49</f>
        <v>1.6104253864852199E-6</v>
      </c>
      <c r="BW49" s="27">
        <f>opex_orig!BN49</f>
        <v>2.7196791191272901E-6</v>
      </c>
      <c r="BX49" s="27">
        <f>opex_orig!BO49</f>
        <v>8.6580073394470405E-7</v>
      </c>
      <c r="BY49" s="27">
        <f>opex_orig!BP49</f>
        <v>1.0664788019114999E-6</v>
      </c>
      <c r="BZ49" s="27">
        <f>opex_orig!BQ49</f>
        <v>1.4929371201816201E-6</v>
      </c>
      <c r="CA49" s="27">
        <f>opex_orig!BR49</f>
        <v>3.6647292462081003E-7</v>
      </c>
      <c r="CB49" s="27">
        <f>opex_orig!BS49</f>
        <v>2.48266787941098E-6</v>
      </c>
      <c r="CC49" s="27">
        <f>opex_orig!BT49</f>
        <v>8.0246882193531494E-6</v>
      </c>
      <c r="CD49" s="27">
        <f>opex_orig!BU49</f>
        <v>6.1016822465103305E-7</v>
      </c>
      <c r="CE49" s="27">
        <f>opex_orig!BV49</f>
        <v>6.1016822465103496E-7</v>
      </c>
      <c r="CF49" s="27">
        <f>opex_orig!BW49</f>
        <v>2.4480172394514001E-5</v>
      </c>
      <c r="CG49" s="27">
        <f>opex_orig!BX49</f>
        <v>7.21361392866545E-7</v>
      </c>
      <c r="CH49" s="27">
        <f>opex_orig!BY49</f>
        <v>6.01472999163291E-6</v>
      </c>
      <c r="CI49" s="27">
        <f>opex_orig!BZ49</f>
        <v>1.3599999999999999E-6</v>
      </c>
      <c r="CJ49" s="27">
        <f>opex_orig!CA49</f>
        <v>9.2900000000000002E-7</v>
      </c>
      <c r="CK49" s="27">
        <f>opex_orig!CB49</f>
        <v>9.9099999999999991E-7</v>
      </c>
      <c r="CL49" s="27">
        <f>opex_orig!CC49</f>
        <v>4.6699999999999999E-7</v>
      </c>
      <c r="CM49" s="27">
        <f>opex_orig!CD49</f>
        <v>2.5600000000000001E-6</v>
      </c>
      <c r="CN49" s="27">
        <f>opex_orig!CE49</f>
        <v>1.8300000000000001E-6</v>
      </c>
      <c r="CO49" s="27">
        <f>opex_orig!CF49</f>
        <v>3.0299999999999998E-6</v>
      </c>
      <c r="CP49" s="27">
        <f>opex_orig!CG49</f>
        <v>8.1699999999999997E-7</v>
      </c>
    </row>
    <row r="50" spans="1:94" x14ac:dyDescent="0.25">
      <c r="A50" s="5" t="s">
        <v>119</v>
      </c>
      <c r="B50" s="2" t="s">
        <v>118</v>
      </c>
      <c r="C50" s="1" t="s">
        <v>327</v>
      </c>
      <c r="D50" s="188">
        <f>opex_orig!D50</f>
        <v>1.5800000000000001E-5</v>
      </c>
      <c r="E50" s="188">
        <f>opex_orig!E50</f>
        <v>3.72E-6</v>
      </c>
      <c r="F50" s="188">
        <f>opex_orig!F50</f>
        <v>6.7100000000000001E-6</v>
      </c>
      <c r="G50" s="188">
        <f>opex_orig!G50</f>
        <v>2.84E-7</v>
      </c>
      <c r="H50" s="188">
        <f>opex_orig!H50</f>
        <v>4.27E-7</v>
      </c>
      <c r="I50" s="188">
        <f>opex_orig!I50</f>
        <v>4.25E-6</v>
      </c>
      <c r="J50" s="188">
        <f>opex_orig!J50</f>
        <v>8.5599999999999994E-6</v>
      </c>
      <c r="K50" s="188">
        <f>opex_orig!K50</f>
        <v>5.9100000000000004E-7</v>
      </c>
      <c r="L50" s="188">
        <f>opex_orig!L50</f>
        <v>1.5699999999999999E-5</v>
      </c>
      <c r="M50" s="188">
        <f>opex_orig!M50</f>
        <v>1.26E-5</v>
      </c>
      <c r="N50" s="188">
        <f>opex_orig!N50</f>
        <v>1.06E-5</v>
      </c>
      <c r="O50" s="188">
        <f>opex_orig!O50</f>
        <v>5.8900000000000004E-6</v>
      </c>
      <c r="P50" s="188">
        <f>opex_orig!P50</f>
        <v>6.2199999999999994E-5</v>
      </c>
      <c r="Q50" s="188">
        <f>opex_orig!Q50</f>
        <v>1.355754E-3</v>
      </c>
      <c r="R50" s="188">
        <f>opex_orig!R50</f>
        <v>0.47185125100000003</v>
      </c>
      <c r="S50" s="188">
        <f>opex_orig!S50</f>
        <v>7.4200000000000001E-6</v>
      </c>
      <c r="T50" s="188">
        <f>opex_orig!T50</f>
        <v>7.79E-6</v>
      </c>
      <c r="U50" s="188">
        <f>opex_orig!U50</f>
        <v>6.63E-6</v>
      </c>
      <c r="V50" s="188">
        <f>opex_orig!V50</f>
        <v>6.1800000000000001E-6</v>
      </c>
      <c r="W50" s="188">
        <f>opex_orig!W50</f>
        <v>2.0699999999999998E-5</v>
      </c>
      <c r="X50" s="188">
        <f>opex_orig!X50</f>
        <v>7.9300000000000003E-6</v>
      </c>
      <c r="Y50" s="188">
        <f>opex_orig!Y50</f>
        <v>4.3800000000000004E-6</v>
      </c>
      <c r="Z50" s="188">
        <f>opex_orig!Z50</f>
        <v>5.5500000000000002E-6</v>
      </c>
      <c r="AA50" s="188">
        <f>opex_orig!AA50</f>
        <v>3.0199999999999999E-6</v>
      </c>
      <c r="AB50" s="188">
        <f>opex_orig!$AB50</f>
        <v>4.6404280930667401E-6</v>
      </c>
      <c r="AC50" s="188">
        <f>opex_orig!$AB50</f>
        <v>4.6404280930667401E-6</v>
      </c>
      <c r="AD50" s="188">
        <f>opex_orig!$AB50</f>
        <v>4.6404280930667401E-6</v>
      </c>
      <c r="AE50" s="188">
        <f>opex_orig!$AC50</f>
        <v>2.0018004468520099E-6</v>
      </c>
      <c r="AF50" s="188">
        <f>opex_orig!$AD50</f>
        <v>3.59962801255467E-6</v>
      </c>
      <c r="AG50" s="188">
        <f>opex_orig!$AD50</f>
        <v>3.59962801255467E-6</v>
      </c>
      <c r="AH50" s="188">
        <f>opex_orig!$AD50</f>
        <v>3.59962801255467E-6</v>
      </c>
      <c r="AI50" s="188">
        <f>opex_orig!AE50</f>
        <v>3.7400000000000002E-6</v>
      </c>
      <c r="AJ50" s="188">
        <f>opex_orig!AF50</f>
        <v>1.7900000000000001E-5</v>
      </c>
      <c r="AK50" s="188">
        <f>opex_orig!AG50</f>
        <v>9.0799999999999998E-5</v>
      </c>
      <c r="AL50" s="188">
        <f>opex_orig!AH50</f>
        <v>7.96E-6</v>
      </c>
      <c r="AM50" s="188">
        <f>opex_orig!AI50</f>
        <v>1.03E-5</v>
      </c>
      <c r="AN50" s="188">
        <f>opex_orig!AJ50</f>
        <v>4.6700000000000002E-6</v>
      </c>
      <c r="AO50" s="188">
        <f>opex_orig!AK50</f>
        <v>4.95E-6</v>
      </c>
      <c r="AP50" s="188">
        <f>opex_orig!$AL50</f>
        <v>4.2862781362918497E-6</v>
      </c>
      <c r="AQ50" s="188">
        <f>opex_orig!$AL50</f>
        <v>4.2862781362918497E-6</v>
      </c>
      <c r="AR50" s="188">
        <f>opex_orig!$AL50</f>
        <v>4.2862781362918497E-6</v>
      </c>
      <c r="AS50" s="188">
        <f>opex_orig!$AM50</f>
        <v>4.0189952039578999E-6</v>
      </c>
      <c r="AT50" s="188">
        <f>opex_orig!AN50</f>
        <v>7.0899999999999999E-6</v>
      </c>
      <c r="AU50" s="188">
        <f>opex_orig!$AO50</f>
        <v>6.9958840076039602E-6</v>
      </c>
      <c r="AV50" s="188">
        <f>opex_orig!$AO50</f>
        <v>6.9958840076039602E-6</v>
      </c>
      <c r="AW50" s="188">
        <f>opex_orig!$AO50</f>
        <v>6.9958840076039602E-6</v>
      </c>
      <c r="AX50" s="188">
        <f>opex_orig!$AP50</f>
        <v>7.5282174288838004E-6</v>
      </c>
      <c r="AY50" s="188">
        <f>opex_orig!AQ50</f>
        <v>9.3400000000000004E-6</v>
      </c>
      <c r="AZ50" s="188">
        <f>opex_orig!AR50</f>
        <v>0</v>
      </c>
      <c r="BA50" s="188">
        <f>opex_orig!AS50</f>
        <v>8.1300000000000001E-6</v>
      </c>
      <c r="BB50" s="188">
        <f>opex_orig!AT50</f>
        <v>7.7800000000000001E-6</v>
      </c>
      <c r="BC50" s="188">
        <f>opex_orig!AU50</f>
        <v>1.6199999999999999E-6</v>
      </c>
      <c r="BD50" s="188">
        <f>opex_orig!AV50</f>
        <v>1.24E-6</v>
      </c>
      <c r="BE50" s="188">
        <f>opex_orig!AW50</f>
        <v>5.4399999999999996E-6</v>
      </c>
      <c r="BF50" s="188">
        <f>opex_orig!AX50</f>
        <v>0</v>
      </c>
      <c r="BG50" s="188">
        <f>opex_orig!AY50</f>
        <v>1.01E-5</v>
      </c>
      <c r="BH50" s="188">
        <f>opex_orig!AZ50</f>
        <v>0</v>
      </c>
      <c r="BI50" s="188">
        <f>opex_orig!BA50</f>
        <v>7.79E-6</v>
      </c>
      <c r="BJ50" s="188">
        <f>opex_orig!BB50</f>
        <v>1.7900000000000001E-5</v>
      </c>
      <c r="BK50" s="188">
        <f>opex_orig!BC50</f>
        <v>8.8599999999999999E-6</v>
      </c>
      <c r="BL50" s="188">
        <f>opex_orig!BD50</f>
        <v>1.7E-5</v>
      </c>
      <c r="BM50" s="188">
        <f>opex_orig!BE50</f>
        <v>2.7800000000000001E-5</v>
      </c>
      <c r="BN50" s="188">
        <f>opex_orig!BF50</f>
        <v>9.9699999999999998E-5</v>
      </c>
      <c r="BO50" s="188">
        <f>opex_orig!BG50</f>
        <v>2.9099999999999999E-5</v>
      </c>
      <c r="BP50" s="188">
        <f>opex_orig!$BH50</f>
        <v>6.7204607742409595E-5</v>
      </c>
      <c r="BQ50" s="188">
        <f>opex_orig!$BH50</f>
        <v>6.7204607742409595E-5</v>
      </c>
      <c r="BR50" s="188">
        <f>opex_orig!BI50</f>
        <v>4.18E-5</v>
      </c>
      <c r="BS50" s="188">
        <f>opex_orig!BJ50</f>
        <v>1.21033E-4</v>
      </c>
      <c r="BT50" s="188">
        <f>opex_orig!BK50</f>
        <v>5.7300000000000002E-6</v>
      </c>
      <c r="BU50" s="188">
        <f>opex_orig!BL50</f>
        <v>0</v>
      </c>
      <c r="BV50" s="27">
        <f>opex_orig!BM50</f>
        <v>1.7604852424847899E-6</v>
      </c>
      <c r="BW50" s="27">
        <f>opex_orig!BN50</f>
        <v>2.95970951753323E-6</v>
      </c>
      <c r="BX50" s="27">
        <f>opex_orig!BO50</f>
        <v>9.5815645015156594E-7</v>
      </c>
      <c r="BY50" s="27">
        <f>opex_orig!BP50</f>
        <v>7.14726786245756E-7</v>
      </c>
      <c r="BZ50" s="27">
        <f>opex_orig!BQ50</f>
        <v>6.2282904416479396E-7</v>
      </c>
      <c r="CA50" s="27">
        <f>opex_orig!BR50</f>
        <v>6.10649448776822E-7</v>
      </c>
      <c r="CB50" s="27">
        <f>opex_orig!BS50</f>
        <v>2.7664162520423698E-6</v>
      </c>
      <c r="CC50" s="27">
        <f>opex_orig!BT50</f>
        <v>6.6973429401645503E-6</v>
      </c>
      <c r="CD50" s="27">
        <f>opex_orig!BU50</f>
        <v>4.91613032114312E-7</v>
      </c>
      <c r="CE50" s="27">
        <f>opex_orig!BV50</f>
        <v>4.9161303211431295E-7</v>
      </c>
      <c r="CF50" s="27">
        <f>opex_orig!BW50</f>
        <v>4.1638127709147501E-6</v>
      </c>
      <c r="CG50" s="27">
        <f>opex_orig!BX50</f>
        <v>3.61659053187557E-7</v>
      </c>
      <c r="CH50" s="27">
        <f>opex_orig!BY50</f>
        <v>8.9242126458808296E-6</v>
      </c>
      <c r="CI50" s="27">
        <f>opex_orig!BZ50</f>
        <v>1.28E-6</v>
      </c>
      <c r="CJ50" s="27">
        <f>opex_orig!CA50</f>
        <v>9.2500000000000004E-7</v>
      </c>
      <c r="CK50" s="27">
        <f>opex_orig!CB50</f>
        <v>1.0499999999999999E-6</v>
      </c>
      <c r="CL50" s="27">
        <f>opex_orig!CC50</f>
        <v>7.1099999999999995E-7</v>
      </c>
      <c r="CM50" s="27">
        <f>opex_orig!CD50</f>
        <v>5.6200000000000004E-6</v>
      </c>
      <c r="CN50" s="27">
        <f>opex_orig!CE50</f>
        <v>3.1E-6</v>
      </c>
      <c r="CO50" s="27">
        <f>opex_orig!CF50</f>
        <v>2.9799999999999998E-6</v>
      </c>
      <c r="CP50" s="27">
        <f>opex_orig!CG50</f>
        <v>4.4799999999999999E-7</v>
      </c>
    </row>
    <row r="51" spans="1:94" x14ac:dyDescent="0.25">
      <c r="A51" s="5" t="s">
        <v>121</v>
      </c>
      <c r="B51" s="2" t="s">
        <v>120</v>
      </c>
      <c r="C51" s="1" t="s">
        <v>327</v>
      </c>
      <c r="D51" s="188">
        <f>opex_orig!D51</f>
        <v>4.1513299999999998E-4</v>
      </c>
      <c r="E51" s="188">
        <f>opex_orig!E51</f>
        <v>1.9435000000000001E-4</v>
      </c>
      <c r="F51" s="188">
        <f>opex_orig!F51</f>
        <v>1.64253E-4</v>
      </c>
      <c r="G51" s="188">
        <f>opex_orig!G51</f>
        <v>5.13E-5</v>
      </c>
      <c r="H51" s="188">
        <f>opex_orig!H51</f>
        <v>5.3499999999999999E-5</v>
      </c>
      <c r="I51" s="188">
        <f>opex_orig!I51</f>
        <v>3.6817799999999998E-4</v>
      </c>
      <c r="J51" s="188">
        <f>opex_orig!J51</f>
        <v>5.35882E-4</v>
      </c>
      <c r="K51" s="188">
        <f>opex_orig!K51</f>
        <v>1.0163200000000001E-4</v>
      </c>
      <c r="L51" s="188">
        <f>opex_orig!L51</f>
        <v>5.5251300000000003E-4</v>
      </c>
      <c r="M51" s="188">
        <f>opex_orig!M51</f>
        <v>1.163421E-3</v>
      </c>
      <c r="N51" s="188">
        <f>opex_orig!N51</f>
        <v>8.5625100000000004E-4</v>
      </c>
      <c r="O51" s="188">
        <f>opex_orig!O51</f>
        <v>3.9254140000000003E-3</v>
      </c>
      <c r="P51" s="188">
        <f>opex_orig!P51</f>
        <v>1.0979290000000001E-3</v>
      </c>
      <c r="Q51" s="188">
        <f>opex_orig!Q51</f>
        <v>4.5521400000000001E-4</v>
      </c>
      <c r="R51" s="188">
        <f>opex_orig!R51</f>
        <v>6.2751199999999999E-4</v>
      </c>
      <c r="S51" s="188">
        <f>opex_orig!S51</f>
        <v>0.19527950599999999</v>
      </c>
      <c r="T51" s="188">
        <f>opex_orig!T51</f>
        <v>0.201708093</v>
      </c>
      <c r="U51" s="188">
        <f>opex_orig!U51</f>
        <v>7.5990184000000002E-2</v>
      </c>
      <c r="V51" s="188">
        <f>opex_orig!V51</f>
        <v>1.2860549999999999E-3</v>
      </c>
      <c r="W51" s="188">
        <f>opex_orig!W51</f>
        <v>3.7197921000000002E-2</v>
      </c>
      <c r="X51" s="188">
        <f>opex_orig!X51</f>
        <v>1.0097839999999999E-3</v>
      </c>
      <c r="Y51" s="188">
        <f>opex_orig!Y51</f>
        <v>1.42211E-4</v>
      </c>
      <c r="Z51" s="188">
        <f>opex_orig!Z51</f>
        <v>3.4868399999999998E-4</v>
      </c>
      <c r="AA51" s="188">
        <f>opex_orig!AA51</f>
        <v>5.4027700000000003E-4</v>
      </c>
      <c r="AB51" s="188">
        <f>opex_orig!$AB51</f>
        <v>2.71673886211382E-4</v>
      </c>
      <c r="AC51" s="188">
        <f>opex_orig!$AB51</f>
        <v>2.71673886211382E-4</v>
      </c>
      <c r="AD51" s="188">
        <f>opex_orig!$AB51</f>
        <v>2.71673886211382E-4</v>
      </c>
      <c r="AE51" s="188">
        <f>opex_orig!$AC51</f>
        <v>2.3819806318764801E-3</v>
      </c>
      <c r="AF51" s="188">
        <f>opex_orig!$AD51</f>
        <v>7.4207903223627602E-4</v>
      </c>
      <c r="AG51" s="188">
        <f>opex_orig!$AD51</f>
        <v>7.4207903223627602E-4</v>
      </c>
      <c r="AH51" s="188">
        <f>opex_orig!$AD51</f>
        <v>7.4207903223627602E-4</v>
      </c>
      <c r="AI51" s="188">
        <f>opex_orig!AE51</f>
        <v>6.8092700000000001E-4</v>
      </c>
      <c r="AJ51" s="188">
        <f>opex_orig!AF51</f>
        <v>2.7066709999999999E-3</v>
      </c>
      <c r="AK51" s="188">
        <f>opex_orig!AG51</f>
        <v>8.3693589999999998E-3</v>
      </c>
      <c r="AL51" s="188">
        <f>opex_orig!AH51</f>
        <v>6.0603590000000004E-3</v>
      </c>
      <c r="AM51" s="188">
        <f>opex_orig!AI51</f>
        <v>1.1081094999999999E-2</v>
      </c>
      <c r="AN51" s="188">
        <f>opex_orig!AJ51</f>
        <v>1.3033045E-2</v>
      </c>
      <c r="AO51" s="188">
        <f>opex_orig!AK51</f>
        <v>5.1698040000000001E-3</v>
      </c>
      <c r="AP51" s="188">
        <f>opex_orig!$AL51</f>
        <v>1.2536370173504799E-3</v>
      </c>
      <c r="AQ51" s="188">
        <f>opex_orig!$AL51</f>
        <v>1.2536370173504799E-3</v>
      </c>
      <c r="AR51" s="188">
        <f>opex_orig!$AL51</f>
        <v>1.2536370173504799E-3</v>
      </c>
      <c r="AS51" s="188">
        <f>opex_orig!$AM51</f>
        <v>1.1594382829699899E-3</v>
      </c>
      <c r="AT51" s="188">
        <f>opex_orig!AN51</f>
        <v>4.4175550000000001E-3</v>
      </c>
      <c r="AU51" s="247">
        <f>opex_concordance!M597</f>
        <v>2.7790431304786499E-2</v>
      </c>
      <c r="AV51" s="247">
        <f>opex_concordance!M643</f>
        <v>3.7753202988794685E-2</v>
      </c>
      <c r="AW51" s="247">
        <f>opex_concordance!M689</f>
        <v>3.116612624229256E-2</v>
      </c>
      <c r="AX51" s="188">
        <f>opex_orig!$AP51</f>
        <v>3.1783979298286198E-2</v>
      </c>
      <c r="AY51" s="188">
        <f>opex_orig!AQ51</f>
        <v>6.2069394999999999E-2</v>
      </c>
      <c r="AZ51" s="188">
        <f>opex_orig!AR51</f>
        <v>0</v>
      </c>
      <c r="BA51" s="188">
        <f>opex_orig!AS51</f>
        <v>3.3793704000000001E-2</v>
      </c>
      <c r="BB51" s="188">
        <f>opex_orig!AT51</f>
        <v>3.3573730000000003E-2</v>
      </c>
      <c r="BC51" s="188">
        <f>opex_orig!AU51</f>
        <v>7.2049200000000001E-3</v>
      </c>
      <c r="BD51" s="188">
        <f>opex_orig!AV51</f>
        <v>5.3222779999999997E-3</v>
      </c>
      <c r="BE51" s="188">
        <f>opex_orig!AW51</f>
        <v>2.1147239000000002E-2</v>
      </c>
      <c r="BF51" s="188">
        <f>opex_orig!AX51</f>
        <v>0</v>
      </c>
      <c r="BG51" s="188">
        <f>opex_orig!AY51</f>
        <v>4.5336178999999997E-2</v>
      </c>
      <c r="BH51" s="188">
        <f>opex_orig!AZ51</f>
        <v>0</v>
      </c>
      <c r="BI51" s="188">
        <f>opex_orig!BA51</f>
        <v>5.4107453999999999E-2</v>
      </c>
      <c r="BJ51" s="188">
        <f>opex_orig!BB51</f>
        <v>1.8503219999999999E-3</v>
      </c>
      <c r="BK51" s="188">
        <f>opex_orig!BC51</f>
        <v>1.973631E-3</v>
      </c>
      <c r="BL51" s="188">
        <f>opex_orig!BD51</f>
        <v>9.0099999999999995E-5</v>
      </c>
      <c r="BM51" s="188">
        <f>opex_orig!BE51</f>
        <v>7.0293999999999999E-4</v>
      </c>
      <c r="BN51" s="188">
        <f>opex_orig!BF51</f>
        <v>9.2744699999999997E-4</v>
      </c>
      <c r="BO51" s="188">
        <f>opex_orig!BG51</f>
        <v>3.2789709999999999E-3</v>
      </c>
      <c r="BP51" s="310">
        <f>opex_concordance!M86</f>
        <v>1.3352290452847526E-2</v>
      </c>
      <c r="BQ51" s="310">
        <f>opex_concordance!M129</f>
        <v>7.8943208174966743E-3</v>
      </c>
      <c r="BR51" s="188">
        <f>opex_orig!BI51</f>
        <v>3.9353729999999998E-3</v>
      </c>
      <c r="BS51" s="188">
        <f>opex_orig!BJ51</f>
        <v>5.7714612999999998E-2</v>
      </c>
      <c r="BT51" s="188">
        <f>opex_orig!BK51</f>
        <v>2.9907689999999999E-3</v>
      </c>
      <c r="BU51" s="188">
        <f>opex_orig!BL51</f>
        <v>0</v>
      </c>
      <c r="BV51" s="27">
        <f>opex_orig!BM51</f>
        <v>4.4582490103133097E-4</v>
      </c>
      <c r="BW51" s="27">
        <f>opex_orig!BN51</f>
        <v>7.1196309553209398E-4</v>
      </c>
      <c r="BX51" s="27">
        <f>opex_orig!BO51</f>
        <v>2.13522569107786E-4</v>
      </c>
      <c r="BY51" s="27">
        <f>opex_orig!BP51</f>
        <v>2.3676825782057399E-4</v>
      </c>
      <c r="BZ51" s="27">
        <f>opex_orig!BQ51</f>
        <v>2.5193515424108801E-4</v>
      </c>
      <c r="CA51" s="27">
        <f>opex_orig!BR51</f>
        <v>1.85400503554303E-4</v>
      </c>
      <c r="CB51" s="27">
        <f>opex_orig!BS51</f>
        <v>6.5517888795054498E-4</v>
      </c>
      <c r="CC51" s="27">
        <f>opex_orig!BT51</f>
        <v>1.9985969887756001E-3</v>
      </c>
      <c r="CD51" s="27">
        <f>opex_orig!BU51</f>
        <v>1.20007986034433E-4</v>
      </c>
      <c r="CE51" s="27">
        <f>opex_orig!BV51</f>
        <v>1.20007986034433E-4</v>
      </c>
      <c r="CF51" s="27">
        <f>opex_orig!BW51</f>
        <v>1.00780297849118E-4</v>
      </c>
      <c r="CG51" s="27">
        <f>opex_orig!BX51</f>
        <v>1.28763982625229E-5</v>
      </c>
      <c r="CH51" s="27">
        <f>opex_orig!BY51</f>
        <v>2.43710791122305E-5</v>
      </c>
      <c r="CI51" s="27">
        <f>opex_orig!BZ51</f>
        <v>4.1317200000000001E-4</v>
      </c>
      <c r="CJ51" s="27">
        <f>opex_orig!CA51</f>
        <v>3.17399E-4</v>
      </c>
      <c r="CK51" s="27">
        <f>opex_orig!CB51</f>
        <v>3.4259600000000002E-4</v>
      </c>
      <c r="CL51" s="27">
        <f>opex_orig!CC51</f>
        <v>2.3593299999999999E-4</v>
      </c>
      <c r="CM51" s="27">
        <f>opex_orig!CD51</f>
        <v>1.1761950000000001E-3</v>
      </c>
      <c r="CN51" s="27">
        <f>opex_orig!CE51</f>
        <v>1.5661620000000001E-3</v>
      </c>
      <c r="CO51" s="27">
        <f>opex_orig!CF51</f>
        <v>9.4683099999999997E-4</v>
      </c>
      <c r="CP51" s="27">
        <f>opex_orig!CG51</f>
        <v>8.8999999999999995E-5</v>
      </c>
    </row>
    <row r="52" spans="1:94" x14ac:dyDescent="0.25">
      <c r="A52" s="5" t="s">
        <v>123</v>
      </c>
      <c r="B52" s="2" t="s">
        <v>122</v>
      </c>
      <c r="C52" s="1" t="s">
        <v>327</v>
      </c>
      <c r="D52" s="188">
        <f>opex_orig!D52</f>
        <v>4.5800000000000002E-5</v>
      </c>
      <c r="E52" s="188">
        <f>opex_orig!E52</f>
        <v>1.6699999999999999E-5</v>
      </c>
      <c r="F52" s="188">
        <f>opex_orig!F52</f>
        <v>1.31E-5</v>
      </c>
      <c r="G52" s="188">
        <f>opex_orig!G52</f>
        <v>2.83E-6</v>
      </c>
      <c r="H52" s="188">
        <f>opex_orig!H52</f>
        <v>3.54E-6</v>
      </c>
      <c r="I52" s="188">
        <f>opex_orig!I52</f>
        <v>3.4E-5</v>
      </c>
      <c r="J52" s="188">
        <f>opex_orig!J52</f>
        <v>3.5299999999999997E-5</v>
      </c>
      <c r="K52" s="188">
        <f>opex_orig!K52</f>
        <v>5.9100000000000002E-6</v>
      </c>
      <c r="L52" s="188">
        <f>opex_orig!L52</f>
        <v>3.7799999999999997E-5</v>
      </c>
      <c r="M52" s="188">
        <f>opex_orig!M52</f>
        <v>8.2100000000000003E-5</v>
      </c>
      <c r="N52" s="188">
        <f>opex_orig!N52</f>
        <v>5.4299999999999998E-5</v>
      </c>
      <c r="O52" s="188">
        <f>opex_orig!O52</f>
        <v>2.50578E-4</v>
      </c>
      <c r="P52" s="188">
        <f>opex_orig!P52</f>
        <v>9.3900000000000006E-5</v>
      </c>
      <c r="Q52" s="188">
        <f>opex_orig!Q52</f>
        <v>5.5600000000000003E-5</v>
      </c>
      <c r="R52" s="188">
        <f>opex_orig!R52</f>
        <v>1.6269900000000001E-4</v>
      </c>
      <c r="S52" s="188">
        <f>opex_orig!S52</f>
        <v>1.5677152E-2</v>
      </c>
      <c r="T52" s="188">
        <f>opex_orig!T52</f>
        <v>1.6236433000000002E-2</v>
      </c>
      <c r="U52" s="188">
        <f>opex_orig!U52</f>
        <v>6.1790389999999999E-3</v>
      </c>
      <c r="V52" s="188">
        <f>opex_orig!V52</f>
        <v>9.6299999999999996E-5</v>
      </c>
      <c r="W52" s="188">
        <f>opex_orig!W52</f>
        <v>3.0519050000000002E-3</v>
      </c>
      <c r="X52" s="188">
        <f>opex_orig!X52</f>
        <v>1.0691099999999999E-4</v>
      </c>
      <c r="Y52" s="188">
        <f>opex_orig!Y52</f>
        <v>1.11E-5</v>
      </c>
      <c r="Z52" s="188">
        <f>opex_orig!Z52</f>
        <v>1.8E-5</v>
      </c>
      <c r="AA52" s="188">
        <f>opex_orig!AA52</f>
        <v>3.3200000000000001E-5</v>
      </c>
      <c r="AB52" s="188">
        <f>opex_orig!$AB52</f>
        <v>1.4921851079568299E-5</v>
      </c>
      <c r="AC52" s="188">
        <f>opex_orig!$AB52</f>
        <v>1.4921851079568299E-5</v>
      </c>
      <c r="AD52" s="188">
        <f>opex_orig!$AB52</f>
        <v>1.4921851079568299E-5</v>
      </c>
      <c r="AE52" s="188">
        <f>opex_orig!$AC52</f>
        <v>1.6636903224247901E-4</v>
      </c>
      <c r="AF52" s="188">
        <f>opex_orig!$AD52</f>
        <v>3.8970665702097398E-5</v>
      </c>
      <c r="AG52" s="188">
        <f>opex_orig!$AD52</f>
        <v>3.8970665702097398E-5</v>
      </c>
      <c r="AH52" s="188">
        <f>opex_orig!$AD52</f>
        <v>3.8970665702097398E-5</v>
      </c>
      <c r="AI52" s="188">
        <f>opex_orig!AE52</f>
        <v>3.5099999999999999E-5</v>
      </c>
      <c r="AJ52" s="188">
        <f>opex_orig!AF52</f>
        <v>2.25443E-4</v>
      </c>
      <c r="AK52" s="188">
        <f>opex_orig!AG52</f>
        <v>7.6320399999999997E-4</v>
      </c>
      <c r="AL52" s="188">
        <f>opex_orig!AH52</f>
        <v>5.0725300000000004E-4</v>
      </c>
      <c r="AM52" s="188">
        <f>opex_orig!AI52</f>
        <v>9.2324499999999995E-4</v>
      </c>
      <c r="AN52" s="188">
        <f>opex_orig!AJ52</f>
        <v>1.1326109999999999E-3</v>
      </c>
      <c r="AO52" s="188">
        <f>opex_orig!AK52</f>
        <v>4.5953600000000003E-4</v>
      </c>
      <c r="AP52" s="188">
        <f>opex_orig!$AL52</f>
        <v>1.14687181839051E-4</v>
      </c>
      <c r="AQ52" s="188">
        <f>opex_orig!$AL52</f>
        <v>1.14687181839051E-4</v>
      </c>
      <c r="AR52" s="188">
        <f>opex_orig!$AL52</f>
        <v>1.14687181839051E-4</v>
      </c>
      <c r="AS52" s="188">
        <f>opex_orig!$AM52</f>
        <v>1.04715115315316E-4</v>
      </c>
      <c r="AT52" s="188">
        <f>opex_orig!AN52</f>
        <v>3.8776000000000001E-4</v>
      </c>
      <c r="AU52" s="188">
        <f>opex_orig!$AO52</f>
        <v>2.2033418442178E-3</v>
      </c>
      <c r="AV52" s="188">
        <f>opex_orig!$AO52</f>
        <v>2.2033418442178E-3</v>
      </c>
      <c r="AW52" s="188">
        <f>opex_orig!$AO52</f>
        <v>2.2033418442178E-3</v>
      </c>
      <c r="AX52" s="188">
        <f>opex_orig!$AP52</f>
        <v>2.5258836624246898E-3</v>
      </c>
      <c r="AY52" s="188">
        <f>opex_orig!AQ52</f>
        <v>4.9041459999999999E-3</v>
      </c>
      <c r="AZ52" s="188">
        <f>opex_orig!AR52</f>
        <v>0</v>
      </c>
      <c r="BA52" s="188">
        <f>opex_orig!AS52</f>
        <v>2.7033679999999998E-3</v>
      </c>
      <c r="BB52" s="188">
        <f>opex_orig!AT52</f>
        <v>2.6901099999999999E-3</v>
      </c>
      <c r="BC52" s="188">
        <f>opex_orig!AU52</f>
        <v>6.0913600000000003E-4</v>
      </c>
      <c r="BD52" s="188">
        <f>opex_orig!AV52</f>
        <v>4.57854E-4</v>
      </c>
      <c r="BE52" s="188">
        <f>opex_orig!AW52</f>
        <v>1.6829760000000001E-3</v>
      </c>
      <c r="BF52" s="188">
        <f>opex_orig!AX52</f>
        <v>0</v>
      </c>
      <c r="BG52" s="188">
        <f>opex_orig!AY52</f>
        <v>3.5788310000000002E-3</v>
      </c>
      <c r="BH52" s="188">
        <f>opex_orig!AZ52</f>
        <v>0</v>
      </c>
      <c r="BI52" s="188">
        <f>opex_orig!BA52</f>
        <v>4.3223070000000001E-3</v>
      </c>
      <c r="BJ52" s="188">
        <f>opex_orig!BB52</f>
        <v>1.6868800000000001E-4</v>
      </c>
      <c r="BK52" s="188">
        <f>opex_orig!BC52</f>
        <v>1.5980500000000001E-4</v>
      </c>
      <c r="BL52" s="188">
        <f>opex_orig!BD52</f>
        <v>1.9000000000000001E-5</v>
      </c>
      <c r="BM52" s="188">
        <f>opex_orig!BE52</f>
        <v>8.8599999999999999E-5</v>
      </c>
      <c r="BN52" s="188">
        <f>opex_orig!BF52</f>
        <v>8.4499999999999994E-5</v>
      </c>
      <c r="BO52" s="188">
        <f>opex_orig!BG52</f>
        <v>2.8655899999999998E-4</v>
      </c>
      <c r="BP52" s="188">
        <f>opex_orig!$BH52</f>
        <v>1.10474685340965E-3</v>
      </c>
      <c r="BQ52" s="188">
        <f>opex_orig!$BH52</f>
        <v>1.10474685340965E-3</v>
      </c>
      <c r="BR52" s="188">
        <f>opex_orig!BI52</f>
        <v>3.5939899999999999E-4</v>
      </c>
      <c r="BS52" s="188">
        <f>opex_orig!BJ52</f>
        <v>4.6720249999999998E-3</v>
      </c>
      <c r="BT52" s="188">
        <f>opex_orig!BK52</f>
        <v>2.38445E-4</v>
      </c>
      <c r="BU52" s="188">
        <f>opex_orig!BL52</f>
        <v>0</v>
      </c>
      <c r="BV52" s="27">
        <f>opex_orig!BM52</f>
        <v>3.91868585796407E-5</v>
      </c>
      <c r="BW52" s="27">
        <f>opex_orig!BN52</f>
        <v>6.1262471163063206E-5</v>
      </c>
      <c r="BX52" s="27">
        <f>opex_orig!BO52</f>
        <v>1.45313532052851E-5</v>
      </c>
      <c r="BY52" s="27">
        <f>opex_orig!BP52</f>
        <v>1.56109161959638E-5</v>
      </c>
      <c r="BZ52" s="27">
        <f>opex_orig!BQ52</f>
        <v>1.5372382026708598E-5</v>
      </c>
      <c r="CA52" s="27">
        <f>opex_orig!BR52</f>
        <v>3.78251001668909E-5</v>
      </c>
      <c r="CB52" s="27">
        <f>opex_orig!BS52</f>
        <v>5.5652337101294898E-5</v>
      </c>
      <c r="CC52" s="27">
        <f>opex_orig!BT52</f>
        <v>8.5436773294711302E-4</v>
      </c>
      <c r="CD52" s="27">
        <f>opex_orig!BU52</f>
        <v>7.13302500607803E-6</v>
      </c>
      <c r="CE52" s="27">
        <f>opex_orig!BV52</f>
        <v>7.1330250060780401E-6</v>
      </c>
      <c r="CF52" s="27">
        <f>opex_orig!BW52</f>
        <v>3.0961075404328401E-5</v>
      </c>
      <c r="CG52" s="27">
        <f>opex_orig!BX52</f>
        <v>2.9658343918853201E-6</v>
      </c>
      <c r="CH52" s="27">
        <f>opex_orig!BY52</f>
        <v>7.6488532706539203E-6</v>
      </c>
      <c r="CI52" s="27">
        <f>opex_orig!BZ52</f>
        <v>3.0599999999999998E-5</v>
      </c>
      <c r="CJ52" s="27">
        <f>opex_orig!CA52</f>
        <v>2.0299999999999999E-5</v>
      </c>
      <c r="CK52" s="27">
        <f>opex_orig!CB52</f>
        <v>2.41E-5</v>
      </c>
      <c r="CL52" s="27">
        <f>opex_orig!CC52</f>
        <v>1.2E-5</v>
      </c>
      <c r="CM52" s="27">
        <f>opex_orig!CD52</f>
        <v>1.11419E-4</v>
      </c>
      <c r="CN52" s="27">
        <f>opex_orig!CE52</f>
        <v>5.9599999999999999E-5</v>
      </c>
      <c r="CO52" s="27">
        <f>opex_orig!CF52</f>
        <v>6.1500000000000004E-5</v>
      </c>
      <c r="CP52" s="27">
        <f>opex_orig!CG52</f>
        <v>5.9399999999999999E-6</v>
      </c>
    </row>
    <row r="53" spans="1:94" x14ac:dyDescent="0.25">
      <c r="A53" s="5" t="s">
        <v>125</v>
      </c>
      <c r="B53" s="2" t="s">
        <v>124</v>
      </c>
      <c r="C53" s="1" t="s">
        <v>327</v>
      </c>
      <c r="D53" s="188">
        <f>opex_orig!D53</f>
        <v>1.2642400000000001E-4</v>
      </c>
      <c r="E53" s="188">
        <f>opex_orig!E53</f>
        <v>6.5400000000000004E-5</v>
      </c>
      <c r="F53" s="188">
        <f>opex_orig!F53</f>
        <v>6.5400000000000004E-5</v>
      </c>
      <c r="G53" s="188">
        <f>opex_orig!G53</f>
        <v>1.31E-5</v>
      </c>
      <c r="H53" s="188">
        <f>opex_orig!H53</f>
        <v>2.1800000000000001E-5</v>
      </c>
      <c r="I53" s="188">
        <f>opex_orig!I53</f>
        <v>1.4557099999999999E-4</v>
      </c>
      <c r="J53" s="188">
        <f>opex_orig!J53</f>
        <v>2.34773E-4</v>
      </c>
      <c r="K53" s="188">
        <f>opex_orig!K53</f>
        <v>4.2899999999999999E-5</v>
      </c>
      <c r="L53" s="188">
        <f>opex_orig!L53</f>
        <v>1.5632800000000001E-4</v>
      </c>
      <c r="M53" s="188">
        <f>opex_orig!M53</f>
        <v>3.0483300000000001E-4</v>
      </c>
      <c r="N53" s="188">
        <f>opex_orig!N53</f>
        <v>2.03511E-4</v>
      </c>
      <c r="O53" s="188">
        <f>opex_orig!O53</f>
        <v>3.5016520000000001E-3</v>
      </c>
      <c r="P53" s="188">
        <f>opex_orig!P53</f>
        <v>6.8702499999999996E-4</v>
      </c>
      <c r="Q53" s="188">
        <f>opex_orig!Q53</f>
        <v>2.54916E-4</v>
      </c>
      <c r="R53" s="188">
        <f>opex_orig!R53</f>
        <v>1.7496100000000001E-4</v>
      </c>
      <c r="S53" s="188">
        <f>opex_orig!S53</f>
        <v>4.5135500000000002E-4</v>
      </c>
      <c r="T53" s="188">
        <f>opex_orig!T53</f>
        <v>4.73509E-4</v>
      </c>
      <c r="U53" s="188">
        <f>opex_orig!U53</f>
        <v>2.3372900000000001E-4</v>
      </c>
      <c r="V53" s="188">
        <f>opex_orig!V53</f>
        <v>1.7550700000000001E-4</v>
      </c>
      <c r="W53" s="188">
        <f>opex_orig!W53</f>
        <v>0.13838592599999999</v>
      </c>
      <c r="X53" s="188">
        <f>opex_orig!X53</f>
        <v>2.5757459999999999E-3</v>
      </c>
      <c r="Y53" s="188">
        <f>opex_orig!Y53</f>
        <v>1.1126E-4</v>
      </c>
      <c r="Z53" s="188">
        <f>opex_orig!Z53</f>
        <v>1.92556E-4</v>
      </c>
      <c r="AA53" s="188">
        <f>opex_orig!AA53</f>
        <v>1.17046E-4</v>
      </c>
      <c r="AB53" s="188">
        <f>opex_orig!$AB53</f>
        <v>1.91856195678395E-4</v>
      </c>
      <c r="AC53" s="188">
        <f>opex_orig!$AB53</f>
        <v>1.91856195678395E-4</v>
      </c>
      <c r="AD53" s="188">
        <f>opex_orig!$AB53</f>
        <v>1.91856195678395E-4</v>
      </c>
      <c r="AE53" s="188">
        <f>opex_orig!$AC53</f>
        <v>1.9165035302409299E-3</v>
      </c>
      <c r="AF53" s="188">
        <f>opex_orig!$AD53</f>
        <v>1.4715459431608699E-4</v>
      </c>
      <c r="AG53" s="188">
        <f>opex_orig!$AD53</f>
        <v>1.4715459431608699E-4</v>
      </c>
      <c r="AH53" s="188">
        <f>opex_orig!$AD53</f>
        <v>1.4715459431608699E-4</v>
      </c>
      <c r="AI53" s="188">
        <f>opex_orig!AE53</f>
        <v>1.3720799999999999E-4</v>
      </c>
      <c r="AJ53" s="188">
        <f>opex_orig!AF53</f>
        <v>5.4650300000000005E-4</v>
      </c>
      <c r="AK53" s="188">
        <f>opex_orig!AG53</f>
        <v>6.5704200000000004E-4</v>
      </c>
      <c r="AL53" s="188">
        <f>opex_orig!AH53</f>
        <v>1.43277E-4</v>
      </c>
      <c r="AM53" s="188">
        <f>opex_orig!AI53</f>
        <v>1.3552099999999999E-4</v>
      </c>
      <c r="AN53" s="188">
        <f>opex_orig!AJ53</f>
        <v>8.0000000000000007E-5</v>
      </c>
      <c r="AO53" s="188">
        <f>opex_orig!AK53</f>
        <v>1.46456E-4</v>
      </c>
      <c r="AP53" s="188">
        <f>opex_orig!$AL53</f>
        <v>1.43799930374661E-4</v>
      </c>
      <c r="AQ53" s="188">
        <f>opex_orig!$AL53</f>
        <v>1.43799930374661E-4</v>
      </c>
      <c r="AR53" s="188">
        <f>opex_orig!$AL53</f>
        <v>1.43799930374661E-4</v>
      </c>
      <c r="AS53" s="188">
        <f>opex_orig!$AM53</f>
        <v>1.33007829531938E-4</v>
      </c>
      <c r="AT53" s="188">
        <f>opex_orig!AN53</f>
        <v>1.6545700000000001E-4</v>
      </c>
      <c r="AU53" s="188">
        <f>opex_orig!$AO53</f>
        <v>1.3280421789958199E-4</v>
      </c>
      <c r="AV53" s="188">
        <f>opex_orig!$AO53</f>
        <v>1.3280421789958199E-4</v>
      </c>
      <c r="AW53" s="188">
        <f>opex_orig!$AO53</f>
        <v>1.3280421789958199E-4</v>
      </c>
      <c r="AX53" s="188">
        <f>opex_orig!$AP53</f>
        <v>1.8704973243895801E-4</v>
      </c>
      <c r="AY53" s="188">
        <f>opex_orig!AQ53</f>
        <v>4.29271E-4</v>
      </c>
      <c r="AZ53" s="188">
        <f>opex_orig!AR53</f>
        <v>0</v>
      </c>
      <c r="BA53" s="188">
        <f>opex_orig!AS53</f>
        <v>3.48912E-4</v>
      </c>
      <c r="BB53" s="188">
        <f>opex_orig!AT53</f>
        <v>2.6781500000000002E-4</v>
      </c>
      <c r="BC53" s="188">
        <f>opex_orig!AU53</f>
        <v>1.0788799999999999E-4</v>
      </c>
      <c r="BD53" s="188">
        <f>opex_orig!AV53</f>
        <v>8.3100000000000001E-5</v>
      </c>
      <c r="BE53" s="188">
        <f>opex_orig!AW53</f>
        <v>1.9548600000000001E-4</v>
      </c>
      <c r="BF53" s="188">
        <f>opex_orig!AX53</f>
        <v>0</v>
      </c>
      <c r="BG53" s="188">
        <f>opex_orig!AY53</f>
        <v>3.03982E-4</v>
      </c>
      <c r="BH53" s="188">
        <f>opex_orig!AZ53</f>
        <v>0</v>
      </c>
      <c r="BI53" s="188">
        <f>opex_orig!BA53</f>
        <v>1.78402E-4</v>
      </c>
      <c r="BJ53" s="188">
        <f>opex_orig!BB53</f>
        <v>1.4549800000000001E-4</v>
      </c>
      <c r="BK53" s="188">
        <f>opex_orig!BC53</f>
        <v>1.3583000000000001E-4</v>
      </c>
      <c r="BL53" s="188">
        <f>opex_orig!BD53</f>
        <v>5.3699999999999997E-5</v>
      </c>
      <c r="BM53" s="188">
        <f>opex_orig!BE53</f>
        <v>1.4286799999999999E-4</v>
      </c>
      <c r="BN53" s="188">
        <f>opex_orig!BF53</f>
        <v>5.7000000000000003E-5</v>
      </c>
      <c r="BO53" s="188">
        <f>opex_orig!BG53</f>
        <v>2.46312E-4</v>
      </c>
      <c r="BP53" s="188">
        <f>opex_orig!$BH53</f>
        <v>2.1321799643723001E-4</v>
      </c>
      <c r="BQ53" s="188">
        <f>opex_orig!$BH53</f>
        <v>2.1321799643723001E-4</v>
      </c>
      <c r="BR53" s="188">
        <f>opex_orig!BI53</f>
        <v>2.44326E-4</v>
      </c>
      <c r="BS53" s="188">
        <f>opex_orig!BJ53</f>
        <v>1.345193E-3</v>
      </c>
      <c r="BT53" s="188">
        <f>opex_orig!BK53</f>
        <v>1.00895E-4</v>
      </c>
      <c r="BU53" s="188">
        <f>opex_orig!BL53</f>
        <v>0</v>
      </c>
      <c r="BV53" s="27">
        <f>opex_orig!BM53</f>
        <v>4.4811887902870397E-5</v>
      </c>
      <c r="BW53" s="27">
        <f>opex_orig!BN53</f>
        <v>9.1774381406172994E-5</v>
      </c>
      <c r="BX53" s="27">
        <f>opex_orig!BO53</f>
        <v>1.6129506381360899E-5</v>
      </c>
      <c r="BY53" s="27">
        <f>opex_orig!BP53</f>
        <v>3.3439644499435797E-5</v>
      </c>
      <c r="BZ53" s="27">
        <f>opex_orig!BQ53</f>
        <v>3.7243430998768998E-5</v>
      </c>
      <c r="CA53" s="27">
        <f>opex_orig!BR53</f>
        <v>8.0264369445104103E-6</v>
      </c>
      <c r="CB53" s="27">
        <f>opex_orig!BS53</f>
        <v>1.3805015258567001E-4</v>
      </c>
      <c r="CC53" s="27">
        <f>opex_orig!BT53</f>
        <v>1.5745532562181501E-5</v>
      </c>
      <c r="CD53" s="27">
        <f>opex_orig!BU53</f>
        <v>1.82384115380197E-5</v>
      </c>
      <c r="CE53" s="27">
        <f>opex_orig!BV53</f>
        <v>1.82384115380197E-5</v>
      </c>
      <c r="CF53" s="27">
        <f>opex_orig!BW53</f>
        <v>2.9859246771483198E-6</v>
      </c>
      <c r="CG53" s="27">
        <f>opex_orig!BX53</f>
        <v>5.2279470287234001E-7</v>
      </c>
      <c r="CH53" s="27">
        <f>opex_orig!BY53</f>
        <v>7.5563587766519703E-6</v>
      </c>
      <c r="CI53" s="27">
        <f>opex_orig!BZ53</f>
        <v>4.57E-5</v>
      </c>
      <c r="CJ53" s="27">
        <f>opex_orig!CA53</f>
        <v>2.6120800000000002E-4</v>
      </c>
      <c r="CK53" s="27">
        <f>opex_orig!CB53</f>
        <v>2.24348E-4</v>
      </c>
      <c r="CL53" s="27">
        <f>opex_orig!CC53</f>
        <v>9.1394499999999999E-4</v>
      </c>
      <c r="CM53" s="27">
        <f>opex_orig!CD53</f>
        <v>1.1670100000000001E-4</v>
      </c>
      <c r="CN53" s="27">
        <f>opex_orig!CE53</f>
        <v>6.4499999999999996E-5</v>
      </c>
      <c r="CO53" s="27">
        <f>opex_orig!CF53</f>
        <v>3.8899999999999997E-5</v>
      </c>
      <c r="CP53" s="27">
        <f>opex_orig!CG53</f>
        <v>3.2199999999999997E-5</v>
      </c>
    </row>
    <row r="54" spans="1:94" x14ac:dyDescent="0.25">
      <c r="A54" s="5" t="s">
        <v>127</v>
      </c>
      <c r="B54" s="2" t="s">
        <v>126</v>
      </c>
      <c r="C54" s="1" t="s">
        <v>327</v>
      </c>
      <c r="D54" s="188">
        <f>opex_orig!D54</f>
        <v>7.7700000000000005E-5</v>
      </c>
      <c r="E54" s="188">
        <f>opex_orig!E54</f>
        <v>3.26E-5</v>
      </c>
      <c r="F54" s="188">
        <f>opex_orig!F54</f>
        <v>3.0599999999999998E-5</v>
      </c>
      <c r="G54" s="188">
        <f>opex_orig!G54</f>
        <v>6.64E-6</v>
      </c>
      <c r="H54" s="188">
        <f>opex_orig!H54</f>
        <v>1.1199999999999999E-5</v>
      </c>
      <c r="I54" s="188">
        <f>opex_orig!I54</f>
        <v>6.8999999999999997E-5</v>
      </c>
      <c r="J54" s="188">
        <f>opex_orig!J54</f>
        <v>1.07854E-4</v>
      </c>
      <c r="K54" s="188">
        <f>opex_orig!K54</f>
        <v>2.1500000000000001E-5</v>
      </c>
      <c r="L54" s="188">
        <f>opex_orig!L54</f>
        <v>7.0699999999999997E-5</v>
      </c>
      <c r="M54" s="188">
        <f>opex_orig!M54</f>
        <v>1.3779600000000001E-4</v>
      </c>
      <c r="N54" s="188">
        <f>opex_orig!N54</f>
        <v>9.8400000000000007E-5</v>
      </c>
      <c r="O54" s="188">
        <f>opex_orig!O54</f>
        <v>1.711572E-3</v>
      </c>
      <c r="P54" s="188">
        <f>opex_orig!P54</f>
        <v>5.03883E-4</v>
      </c>
      <c r="Q54" s="188">
        <f>opex_orig!Q54</f>
        <v>2.00826E-4</v>
      </c>
      <c r="R54" s="188">
        <f>opex_orig!R54</f>
        <v>1.33743E-4</v>
      </c>
      <c r="S54" s="188">
        <f>opex_orig!S54</f>
        <v>2.3311499999999999E-4</v>
      </c>
      <c r="T54" s="188">
        <f>opex_orig!T54</f>
        <v>2.4591400000000002E-4</v>
      </c>
      <c r="U54" s="188">
        <f>opex_orig!U54</f>
        <v>1.0929099999999999E-4</v>
      </c>
      <c r="V54" s="188">
        <f>opex_orig!V54</f>
        <v>8.2799999999999993E-5</v>
      </c>
      <c r="W54" s="188">
        <f>opex_orig!W54</f>
        <v>6.8576827000000007E-2</v>
      </c>
      <c r="X54" s="188">
        <f>opex_orig!X54</f>
        <v>1.248557E-3</v>
      </c>
      <c r="Y54" s="188">
        <f>opex_orig!Y54</f>
        <v>4.7599999999999998E-5</v>
      </c>
      <c r="Z54" s="188">
        <f>opex_orig!Z54</f>
        <v>8.1699999999999994E-5</v>
      </c>
      <c r="AA54" s="188">
        <f>opex_orig!AA54</f>
        <v>5.41E-5</v>
      </c>
      <c r="AB54" s="188">
        <f>opex_orig!$AB54</f>
        <v>1.13132120627034E-4</v>
      </c>
      <c r="AC54" s="188">
        <f>opex_orig!$AB54</f>
        <v>1.13132120627034E-4</v>
      </c>
      <c r="AD54" s="188">
        <f>opex_orig!$AB54</f>
        <v>1.13132120627034E-4</v>
      </c>
      <c r="AE54" s="188">
        <f>opex_orig!$AC54</f>
        <v>9.5637447364410697E-4</v>
      </c>
      <c r="AF54" s="188">
        <f>opex_orig!$AD54</f>
        <v>7.5171887408994706E-5</v>
      </c>
      <c r="AG54" s="188">
        <f>opex_orig!$AD54</f>
        <v>7.5171887408994706E-5</v>
      </c>
      <c r="AH54" s="188">
        <f>opex_orig!$AD54</f>
        <v>7.5171887408994706E-5</v>
      </c>
      <c r="AI54" s="188">
        <f>opex_orig!AE54</f>
        <v>7.0400000000000004E-5</v>
      </c>
      <c r="AJ54" s="188">
        <f>opex_orig!AF54</f>
        <v>2.67414E-4</v>
      </c>
      <c r="AK54" s="188">
        <f>opex_orig!AG54</f>
        <v>4.0479999999999997E-4</v>
      </c>
      <c r="AL54" s="188">
        <f>opex_orig!AH54</f>
        <v>1.0217000000000001E-4</v>
      </c>
      <c r="AM54" s="188">
        <f>opex_orig!AI54</f>
        <v>8.2899999999999996E-5</v>
      </c>
      <c r="AN54" s="188">
        <f>opex_orig!AJ54</f>
        <v>5.8699999999999997E-5</v>
      </c>
      <c r="AO54" s="188">
        <f>opex_orig!AK54</f>
        <v>8.1500000000000002E-5</v>
      </c>
      <c r="AP54" s="188">
        <f>opex_orig!$AL54</f>
        <v>7.4400230804391894E-5</v>
      </c>
      <c r="AQ54" s="188">
        <f>opex_orig!$AL54</f>
        <v>7.4400230804391894E-5</v>
      </c>
      <c r="AR54" s="188">
        <f>opex_orig!$AL54</f>
        <v>7.4400230804391894E-5</v>
      </c>
      <c r="AS54" s="188">
        <f>opex_orig!$AM54</f>
        <v>6.9227760122968102E-5</v>
      </c>
      <c r="AT54" s="188">
        <f>opex_orig!AN54</f>
        <v>9.2E-5</v>
      </c>
      <c r="AU54" s="188">
        <f>opex_orig!$AO54</f>
        <v>6.6150494291556601E-5</v>
      </c>
      <c r="AV54" s="188">
        <f>opex_orig!$AO54</f>
        <v>6.6150494291556601E-5</v>
      </c>
      <c r="AW54" s="188">
        <f>opex_orig!$AO54</f>
        <v>6.6150494291556601E-5</v>
      </c>
      <c r="AX54" s="188">
        <f>opex_orig!$AP54</f>
        <v>9.0525698765446104E-5</v>
      </c>
      <c r="AY54" s="188">
        <f>opex_orig!AQ54</f>
        <v>2.0489299999999999E-4</v>
      </c>
      <c r="AZ54" s="188">
        <f>opex_orig!AR54</f>
        <v>0</v>
      </c>
      <c r="BA54" s="188">
        <f>opex_orig!AS54</f>
        <v>1.71354E-4</v>
      </c>
      <c r="BB54" s="188">
        <f>opex_orig!AT54</f>
        <v>1.3441000000000001E-4</v>
      </c>
      <c r="BC54" s="188">
        <f>opex_orig!AU54</f>
        <v>5.6900000000000001E-5</v>
      </c>
      <c r="BD54" s="188">
        <f>opex_orig!AV54</f>
        <v>4.3000000000000002E-5</v>
      </c>
      <c r="BE54" s="188">
        <f>opex_orig!AW54</f>
        <v>1.6339499999999999E-4</v>
      </c>
      <c r="BF54" s="188">
        <f>opex_orig!AX54</f>
        <v>0</v>
      </c>
      <c r="BG54" s="188">
        <f>opex_orig!AY54</f>
        <v>1.3953199999999999E-4</v>
      </c>
      <c r="BH54" s="188">
        <f>opex_orig!AZ54</f>
        <v>0</v>
      </c>
      <c r="BI54" s="188">
        <f>opex_orig!BA54</f>
        <v>9.2800000000000006E-5</v>
      </c>
      <c r="BJ54" s="188">
        <f>opex_orig!BB54</f>
        <v>8.9499999999999994E-5</v>
      </c>
      <c r="BK54" s="188">
        <f>opex_orig!BC54</f>
        <v>7.1799999999999997E-5</v>
      </c>
      <c r="BL54" s="188">
        <f>opex_orig!BD54</f>
        <v>4.0200000000000001E-5</v>
      </c>
      <c r="BM54" s="188">
        <f>opex_orig!BE54</f>
        <v>9.4500000000000007E-5</v>
      </c>
      <c r="BN54" s="188">
        <f>opex_orig!BF54</f>
        <v>3.6100000000000003E-5</v>
      </c>
      <c r="BO54" s="188">
        <f>opex_orig!BG54</f>
        <v>1.36637E-4</v>
      </c>
      <c r="BP54" s="188">
        <f>opex_orig!$BH54</f>
        <v>1.4783142276278701E-4</v>
      </c>
      <c r="BQ54" s="188">
        <f>opex_orig!$BH54</f>
        <v>1.4783142276278701E-4</v>
      </c>
      <c r="BR54" s="188">
        <f>opex_orig!BI54</f>
        <v>1.7133599999999999E-4</v>
      </c>
      <c r="BS54" s="188">
        <f>opex_orig!BJ54</f>
        <v>6.93287E-4</v>
      </c>
      <c r="BT54" s="188">
        <f>opex_orig!BK54</f>
        <v>5.1900000000000001E-5</v>
      </c>
      <c r="BU54" s="188">
        <f>opex_orig!BL54</f>
        <v>0</v>
      </c>
      <c r="BV54" s="27">
        <f>opex_orig!BM54</f>
        <v>2.6174065396390201E-5</v>
      </c>
      <c r="BW54" s="27">
        <f>opex_orig!BN54</f>
        <v>4.88283348866075E-5</v>
      </c>
      <c r="BX54" s="27">
        <f>opex_orig!BO54</f>
        <v>1.19902794369667E-5</v>
      </c>
      <c r="BY54" s="27">
        <f>opex_orig!BP54</f>
        <v>2.2773895760628101E-5</v>
      </c>
      <c r="BZ54" s="27">
        <f>opex_orig!BQ54</f>
        <v>1.7378604630291701E-5</v>
      </c>
      <c r="CA54" s="27">
        <f>opex_orig!BR54</f>
        <v>2.6990697742525501E-5</v>
      </c>
      <c r="CB54" s="27">
        <f>opex_orig!BS54</f>
        <v>6.1830289044614004E-5</v>
      </c>
      <c r="CC54" s="27">
        <f>opex_orig!BT54</f>
        <v>4.1860674657533197E-5</v>
      </c>
      <c r="CD54" s="27">
        <f>opex_orig!BU54</f>
        <v>9.4258242019203297E-6</v>
      </c>
      <c r="CE54" s="27">
        <f>opex_orig!BV54</f>
        <v>9.4258242019203399E-6</v>
      </c>
      <c r="CF54" s="27">
        <f>opex_orig!BW54</f>
        <v>9.0464968537233907E-6</v>
      </c>
      <c r="CG54" s="27">
        <f>opex_orig!BX54</f>
        <v>5.9210367708251404E-7</v>
      </c>
      <c r="CH54" s="27">
        <f>opex_orig!BY54</f>
        <v>9.2408347463680292E-6</v>
      </c>
      <c r="CI54" s="27">
        <f>opex_orig!BZ54</f>
        <v>2.6699999999999998E-5</v>
      </c>
      <c r="CJ54" s="27">
        <f>opex_orig!CA54</f>
        <v>1.12448E-4</v>
      </c>
      <c r="CK54" s="27">
        <f>opex_orig!CB54</f>
        <v>9.7200000000000004E-5</v>
      </c>
      <c r="CL54" s="27">
        <f>opex_orig!CC54</f>
        <v>3.7571399999999997E-4</v>
      </c>
      <c r="CM54" s="27">
        <f>opex_orig!CD54</f>
        <v>5.52E-5</v>
      </c>
      <c r="CN54" s="27">
        <f>opex_orig!CE54</f>
        <v>3.8000000000000002E-5</v>
      </c>
      <c r="CO54" s="27">
        <f>opex_orig!CF54</f>
        <v>2.2900000000000001E-5</v>
      </c>
      <c r="CP54" s="27">
        <f>opex_orig!CG54</f>
        <v>1.5699999999999999E-5</v>
      </c>
    </row>
    <row r="55" spans="1:94" x14ac:dyDescent="0.25">
      <c r="A55" s="5" t="s">
        <v>129</v>
      </c>
      <c r="B55" s="2" t="s">
        <v>128</v>
      </c>
      <c r="C55" s="1" t="s">
        <v>327</v>
      </c>
      <c r="D55" s="188">
        <f>opex_orig!D55</f>
        <v>2.1673740000000001E-3</v>
      </c>
      <c r="E55" s="188">
        <f>opex_orig!E55</f>
        <v>5.112704E-3</v>
      </c>
      <c r="F55" s="188">
        <f>opex_orig!F55</f>
        <v>2.953734E-3</v>
      </c>
      <c r="G55" s="188">
        <f>opex_orig!G55</f>
        <v>2.3380100000000001E-4</v>
      </c>
      <c r="H55" s="188">
        <f>opex_orig!H55</f>
        <v>6.7402900000000003E-4</v>
      </c>
      <c r="I55" s="188">
        <f>opex_orig!I55</f>
        <v>1.6475719999999999E-2</v>
      </c>
      <c r="J55" s="188">
        <f>opex_orig!J55</f>
        <v>7.4070560000000004E-3</v>
      </c>
      <c r="K55" s="188">
        <f>opex_orig!K55</f>
        <v>8.4546100000000004E-4</v>
      </c>
      <c r="L55" s="188">
        <f>opex_orig!L55</f>
        <v>5.2558489999999999E-3</v>
      </c>
      <c r="M55" s="188">
        <f>opex_orig!M55</f>
        <v>1.1081186999999999E-2</v>
      </c>
      <c r="N55" s="188">
        <f>opex_orig!N55</f>
        <v>6.8451429999999997E-3</v>
      </c>
      <c r="O55" s="188">
        <f>opex_orig!O55</f>
        <v>9.6288867E-2</v>
      </c>
      <c r="P55" s="188">
        <f>opex_orig!P55</f>
        <v>4.9477790000000002E-3</v>
      </c>
      <c r="Q55" s="188">
        <f>opex_orig!Q55</f>
        <v>6.0140300000000003E-4</v>
      </c>
      <c r="R55" s="188">
        <f>opex_orig!R55</f>
        <v>5.2171329999999997E-3</v>
      </c>
      <c r="S55" s="188">
        <f>opex_orig!S55</f>
        <v>2.0409535999999999E-2</v>
      </c>
      <c r="T55" s="188">
        <f>opex_orig!T55</f>
        <v>2.154267E-2</v>
      </c>
      <c r="U55" s="188">
        <f>opex_orig!U55</f>
        <v>3.253026E-3</v>
      </c>
      <c r="V55" s="188">
        <f>opex_orig!V55</f>
        <v>2.9244980000000002E-3</v>
      </c>
      <c r="W55" s="188">
        <f>opex_orig!W55</f>
        <v>0.236861338</v>
      </c>
      <c r="X55" s="188">
        <f>opex_orig!X55</f>
        <v>6.7228164000000007E-2</v>
      </c>
      <c r="Y55" s="188">
        <f>opex_orig!Y55</f>
        <v>1.3188800000000001E-4</v>
      </c>
      <c r="Z55" s="188">
        <f>opex_orig!Z55</f>
        <v>2.4368E-4</v>
      </c>
      <c r="AA55" s="188">
        <f>opex_orig!AA55</f>
        <v>1.0969899999999999E-4</v>
      </c>
      <c r="AB55" s="188">
        <f>opex_orig!$AB55</f>
        <v>1.00153927625416E-4</v>
      </c>
      <c r="AC55" s="188">
        <f>opex_orig!$AB55</f>
        <v>1.00153927625416E-4</v>
      </c>
      <c r="AD55" s="188">
        <f>opex_orig!$AB55</f>
        <v>1.00153927625416E-4</v>
      </c>
      <c r="AE55" s="188">
        <f>opex_orig!$AC55</f>
        <v>4.3632984896082097E-3</v>
      </c>
      <c r="AF55" s="305">
        <f>opex_concordance!M315</f>
        <v>7.2731977315082796E-3</v>
      </c>
      <c r="AG55" s="305">
        <f>opex_concordance!M351</f>
        <v>3.2230700011184384E-3</v>
      </c>
      <c r="AH55" s="305">
        <f>opex_concordance!M387</f>
        <v>2.5858552283577613E-3</v>
      </c>
      <c r="AI55" s="188">
        <f>opex_orig!AE55</f>
        <v>6.1088829999999998E-3</v>
      </c>
      <c r="AJ55" s="188">
        <f>opex_orig!AF55</f>
        <v>1.4372539E-2</v>
      </c>
      <c r="AK55" s="188">
        <f>opex_orig!AG55</f>
        <v>7.4194259999999998E-3</v>
      </c>
      <c r="AL55" s="188">
        <f>opex_orig!AH55</f>
        <v>1.5265319999999999E-3</v>
      </c>
      <c r="AM55" s="188">
        <f>opex_orig!AI55</f>
        <v>2.906456E-3</v>
      </c>
      <c r="AN55" s="188">
        <f>opex_orig!AJ55</f>
        <v>1.8244330000000001E-3</v>
      </c>
      <c r="AO55" s="188">
        <f>opex_orig!AK55</f>
        <v>2.3919100000000001E-3</v>
      </c>
      <c r="AP55" s="188">
        <f>opex_orig!$AL55</f>
        <v>5.2718157632158002E-4</v>
      </c>
      <c r="AQ55" s="188">
        <f>opex_orig!$AL55</f>
        <v>5.2718157632158002E-4</v>
      </c>
      <c r="AR55" s="188">
        <f>opex_orig!$AL55</f>
        <v>5.2718157632158002E-4</v>
      </c>
      <c r="AS55" s="188">
        <f>opex_orig!$AM55</f>
        <v>4.7081015463668399E-4</v>
      </c>
      <c r="AT55" s="188">
        <f>opex_orig!AN55</f>
        <v>1.271255E-3</v>
      </c>
      <c r="AU55" s="188">
        <f>opex_orig!$AO55</f>
        <v>4.2124148735269199E-4</v>
      </c>
      <c r="AV55" s="188">
        <f>opex_orig!$AO55</f>
        <v>4.2124148735269199E-4</v>
      </c>
      <c r="AW55" s="188">
        <f>opex_orig!$AO55</f>
        <v>4.2124148735269199E-4</v>
      </c>
      <c r="AX55" s="188">
        <f>opex_orig!$AP55</f>
        <v>4.9979892526106305E-4</v>
      </c>
      <c r="AY55" s="188">
        <f>opex_orig!AQ55</f>
        <v>8.0948700000000001E-4</v>
      </c>
      <c r="AZ55" s="188">
        <f>opex_orig!AR55</f>
        <v>0</v>
      </c>
      <c r="BA55" s="188">
        <f>opex_orig!AS55</f>
        <v>7.0358300000000003E-4</v>
      </c>
      <c r="BB55" s="188">
        <f>opex_orig!AT55</f>
        <v>5.4072699999999996E-4</v>
      </c>
      <c r="BC55" s="188">
        <f>opex_orig!AU55</f>
        <v>1.0217600000000001E-4</v>
      </c>
      <c r="BD55" s="188">
        <f>opex_orig!AV55</f>
        <v>6.19E-5</v>
      </c>
      <c r="BE55" s="188">
        <f>opex_orig!AW55</f>
        <v>8.3670700000000001E-4</v>
      </c>
      <c r="BF55" s="188">
        <f>opex_orig!AX55</f>
        <v>0</v>
      </c>
      <c r="BG55" s="188">
        <f>opex_orig!AY55</f>
        <v>4.3233600000000002E-4</v>
      </c>
      <c r="BH55" s="188">
        <f>opex_orig!AZ55</f>
        <v>0</v>
      </c>
      <c r="BI55" s="188">
        <f>opex_orig!BA55</f>
        <v>3.8265599999999999E-4</v>
      </c>
      <c r="BJ55" s="188">
        <f>opex_orig!BB55</f>
        <v>1.7950520000000001E-3</v>
      </c>
      <c r="BK55" s="188">
        <f>opex_orig!BC55</f>
        <v>3.1900689999999998E-3</v>
      </c>
      <c r="BL55" s="188">
        <f>opex_orig!BD55</f>
        <v>1.0205049999999999E-3</v>
      </c>
      <c r="BM55" s="188">
        <f>opex_orig!BE55</f>
        <v>2.5945650000000001E-3</v>
      </c>
      <c r="BN55" s="188">
        <f>opex_orig!BF55</f>
        <v>1.3415090000000001E-3</v>
      </c>
      <c r="BO55" s="188">
        <f>opex_orig!BG55</f>
        <v>5.8934019999999998E-3</v>
      </c>
      <c r="BP55" s="188">
        <f>opex_orig!$BH55</f>
        <v>2.7214075927317399E-3</v>
      </c>
      <c r="BQ55" s="188">
        <f>opex_orig!$BH55</f>
        <v>2.7214075927317399E-3</v>
      </c>
      <c r="BR55" s="188">
        <f>opex_orig!BI55</f>
        <v>1.0568159999999999E-3</v>
      </c>
      <c r="BS55" s="188">
        <f>opex_orig!BJ55</f>
        <v>2.3795191E-2</v>
      </c>
      <c r="BT55" s="188">
        <f>opex_orig!BK55</f>
        <v>2.0309700000000001E-4</v>
      </c>
      <c r="BU55" s="188">
        <f>opex_orig!BL55</f>
        <v>0</v>
      </c>
      <c r="BV55" s="27">
        <f>opex_orig!BM55</f>
        <v>1.77175401876181E-4</v>
      </c>
      <c r="BW55" s="27">
        <f>opex_orig!BN55</f>
        <v>1.53174562604501E-4</v>
      </c>
      <c r="BX55" s="27">
        <f>opex_orig!BO55</f>
        <v>1.00507656080528E-4</v>
      </c>
      <c r="BY55" s="27">
        <f>opex_orig!BP55</f>
        <v>9.7757930067770201E-5</v>
      </c>
      <c r="BZ55" s="27">
        <f>opex_orig!BQ55</f>
        <v>8.1596924353958294E-5</v>
      </c>
      <c r="CA55" s="27">
        <f>opex_orig!BR55</f>
        <v>2.3067429707749998E-5</v>
      </c>
      <c r="CB55" s="27">
        <f>opex_orig!BS55</f>
        <v>2.1003341621448E-4</v>
      </c>
      <c r="CC55" s="27">
        <f>opex_orig!BT55</f>
        <v>8.9543119101492401E-5</v>
      </c>
      <c r="CD55" s="27">
        <f>opex_orig!BU55</f>
        <v>1.70851207084729E-5</v>
      </c>
      <c r="CE55" s="27">
        <f>opex_orig!BV55</f>
        <v>1.7085120708472999E-5</v>
      </c>
      <c r="CF55" s="27">
        <f>opex_orig!BW55</f>
        <v>1.3422901131374899E-4</v>
      </c>
      <c r="CG55" s="27">
        <f>opex_orig!BX55</f>
        <v>3.7312706057674899E-6</v>
      </c>
      <c r="CH55" s="27">
        <f>opex_orig!BY55</f>
        <v>4.8083013652862302E-6</v>
      </c>
      <c r="CI55" s="27">
        <f>opex_orig!BZ55</f>
        <v>1.69049E-4</v>
      </c>
      <c r="CJ55" s="27">
        <f>opex_orig!CA55</f>
        <v>4.29047E-4</v>
      </c>
      <c r="CK55" s="27">
        <f>opex_orig!CB55</f>
        <v>4.1372000000000002E-4</v>
      </c>
      <c r="CL55" s="27">
        <f>opex_orig!CC55</f>
        <v>1.1779900000000001E-3</v>
      </c>
      <c r="CM55" s="27">
        <f>opex_orig!CD55</f>
        <v>9.9363199999999994E-4</v>
      </c>
      <c r="CN55" s="27">
        <f>opex_orig!CE55</f>
        <v>3.34727E-4</v>
      </c>
      <c r="CO55" s="27">
        <f>opex_orig!CF55</f>
        <v>1.5097099999999999E-4</v>
      </c>
      <c r="CP55" s="27">
        <f>opex_orig!CG55</f>
        <v>7.1400000000000001E-5</v>
      </c>
    </row>
    <row r="56" spans="1:94" x14ac:dyDescent="0.25">
      <c r="A56" s="6" t="s">
        <v>131</v>
      </c>
      <c r="B56" s="2" t="s">
        <v>130</v>
      </c>
      <c r="C56" s="1" t="s">
        <v>327</v>
      </c>
      <c r="D56" s="188">
        <f>opex_orig!D56</f>
        <v>2.971638E-3</v>
      </c>
      <c r="E56" s="188">
        <f>opex_orig!E56</f>
        <v>7.5874500000000001E-4</v>
      </c>
      <c r="F56" s="188">
        <f>opex_orig!F56</f>
        <v>4.9648900000000002E-4</v>
      </c>
      <c r="G56" s="188">
        <f>opex_orig!G56</f>
        <v>1.09955E-4</v>
      </c>
      <c r="H56" s="188">
        <f>opex_orig!H56</f>
        <v>2.0082499999999999E-4</v>
      </c>
      <c r="I56" s="188">
        <f>opex_orig!I56</f>
        <v>1.286466E-3</v>
      </c>
      <c r="J56" s="188">
        <f>opex_orig!J56</f>
        <v>2.0837920000000001E-3</v>
      </c>
      <c r="K56" s="188">
        <f>opex_orig!K56</f>
        <v>2.9955699999999999E-4</v>
      </c>
      <c r="L56" s="188">
        <f>opex_orig!L56</f>
        <v>1.617299E-3</v>
      </c>
      <c r="M56" s="188">
        <f>opex_orig!M56</f>
        <v>4.9544050000000003E-3</v>
      </c>
      <c r="N56" s="188">
        <f>opex_orig!N56</f>
        <v>2.522051E-3</v>
      </c>
      <c r="O56" s="188">
        <f>opex_orig!O56</f>
        <v>2.1774972E-2</v>
      </c>
      <c r="P56" s="188">
        <f>opex_orig!P56</f>
        <v>3.5185059999999998E-3</v>
      </c>
      <c r="Q56" s="188">
        <f>opex_orig!Q56</f>
        <v>5.1208600000000003E-4</v>
      </c>
      <c r="R56" s="188">
        <f>opex_orig!R56</f>
        <v>5.2010999999999995E-4</v>
      </c>
      <c r="S56" s="188">
        <f>opex_orig!S56</f>
        <v>1.0041029999999999E-3</v>
      </c>
      <c r="T56" s="188">
        <f>opex_orig!T56</f>
        <v>1.1882310000000001E-3</v>
      </c>
      <c r="U56" s="188">
        <f>opex_orig!U56</f>
        <v>1.1931175E-2</v>
      </c>
      <c r="V56" s="188">
        <f>opex_orig!V56</f>
        <v>1.3293472000000001E-2</v>
      </c>
      <c r="W56" s="188">
        <f>opex_orig!W56</f>
        <v>3.8119878000000003E-2</v>
      </c>
      <c r="X56" s="188">
        <f>opex_orig!X56</f>
        <v>0.282525146</v>
      </c>
      <c r="Y56" s="188">
        <f>opex_orig!Y56</f>
        <v>3.68224E-4</v>
      </c>
      <c r="Z56" s="188">
        <f>opex_orig!Z56</f>
        <v>4.8030499999999999E-4</v>
      </c>
      <c r="AA56" s="188">
        <f>opex_orig!AA56</f>
        <v>7.4832299999999996E-4</v>
      </c>
      <c r="AB56" s="188">
        <f>opex_orig!$AB56</f>
        <v>1.93731626552095E-3</v>
      </c>
      <c r="AC56" s="188">
        <f>opex_orig!$AB56</f>
        <v>1.93731626552095E-3</v>
      </c>
      <c r="AD56" s="188">
        <f>opex_orig!$AB56</f>
        <v>1.93731626552095E-3</v>
      </c>
      <c r="AE56" s="188">
        <f>opex_orig!$AC56</f>
        <v>1.57776281546787E-3</v>
      </c>
      <c r="AF56" s="188">
        <f>opex_orig!$AD56</f>
        <v>4.2245372374762596E-3</v>
      </c>
      <c r="AG56" s="188">
        <f>opex_orig!$AD56</f>
        <v>4.2245372374762596E-3</v>
      </c>
      <c r="AH56" s="188">
        <f>opex_orig!$AD56</f>
        <v>4.2245372374762596E-3</v>
      </c>
      <c r="AI56" s="188">
        <f>opex_orig!AE56</f>
        <v>3.9817430000000003E-3</v>
      </c>
      <c r="AJ56" s="188">
        <f>opex_orig!AF56</f>
        <v>7.4376019999999998E-3</v>
      </c>
      <c r="AK56" s="188">
        <f>opex_orig!AG56</f>
        <v>2.47555E-3</v>
      </c>
      <c r="AL56" s="188">
        <f>opex_orig!AH56</f>
        <v>1.1102639999999999E-3</v>
      </c>
      <c r="AM56" s="188">
        <f>opex_orig!AI56</f>
        <v>1.976467E-3</v>
      </c>
      <c r="AN56" s="188">
        <f>opex_orig!AJ56</f>
        <v>2.1404369999999998E-3</v>
      </c>
      <c r="AO56" s="188">
        <f>opex_orig!AK56</f>
        <v>2.0512030000000001E-3</v>
      </c>
      <c r="AP56" s="188">
        <f>opex_orig!$AL56</f>
        <v>1.5004181919881E-3</v>
      </c>
      <c r="AQ56" s="188">
        <f>opex_orig!$AL56</f>
        <v>1.5004181919881E-3</v>
      </c>
      <c r="AR56" s="188">
        <f>opex_orig!$AL56</f>
        <v>1.5004181919881E-3</v>
      </c>
      <c r="AS56" s="188">
        <f>opex_orig!$AM56</f>
        <v>1.4488492446693699E-3</v>
      </c>
      <c r="AT56" s="188">
        <f>opex_orig!AN56</f>
        <v>2.4486349999999998E-3</v>
      </c>
      <c r="AU56" s="188">
        <f>opex_orig!$AO56</f>
        <v>1.1406192299524001E-3</v>
      </c>
      <c r="AV56" s="188">
        <f>opex_orig!$AO56</f>
        <v>1.1406192299524001E-3</v>
      </c>
      <c r="AW56" s="188">
        <f>opex_orig!$AO56</f>
        <v>1.1406192299524001E-3</v>
      </c>
      <c r="AX56" s="188">
        <f>opex_orig!$AP56</f>
        <v>1.32123687535519E-3</v>
      </c>
      <c r="AY56" s="188">
        <f>opex_orig!AQ56</f>
        <v>1.4438669999999999E-3</v>
      </c>
      <c r="AZ56" s="188">
        <f>opex_orig!AR56</f>
        <v>0</v>
      </c>
      <c r="BA56" s="188">
        <f>opex_orig!AS56</f>
        <v>1.4150479999999999E-3</v>
      </c>
      <c r="BB56" s="188">
        <f>opex_orig!AT56</f>
        <v>1.465975E-3</v>
      </c>
      <c r="BC56" s="188">
        <f>opex_orig!AU56</f>
        <v>4.06516E-4</v>
      </c>
      <c r="BD56" s="188">
        <f>opex_orig!AV56</f>
        <v>3.5867199999999998E-4</v>
      </c>
      <c r="BE56" s="188">
        <f>opex_orig!AW56</f>
        <v>9.6610100000000003E-4</v>
      </c>
      <c r="BF56" s="188">
        <f>opex_orig!AX56</f>
        <v>0</v>
      </c>
      <c r="BG56" s="188">
        <f>opex_orig!AY56</f>
        <v>1.5443740000000001E-3</v>
      </c>
      <c r="BH56" s="188">
        <f>opex_orig!AZ56</f>
        <v>0</v>
      </c>
      <c r="BI56" s="188">
        <f>opex_orig!BA56</f>
        <v>1.7665910000000001E-3</v>
      </c>
      <c r="BJ56" s="188">
        <f>opex_orig!BB56</f>
        <v>1.03206E-3</v>
      </c>
      <c r="BK56" s="188">
        <f>opex_orig!BC56</f>
        <v>2.2967719999999999E-3</v>
      </c>
      <c r="BL56" s="188">
        <f>opex_orig!BD56</f>
        <v>2.5837149999999999E-3</v>
      </c>
      <c r="BM56" s="188">
        <f>opex_orig!BE56</f>
        <v>2.410653E-3</v>
      </c>
      <c r="BN56" s="188">
        <f>opex_orig!BF56</f>
        <v>1.7585229999999999E-3</v>
      </c>
      <c r="BO56" s="188">
        <f>opex_orig!BG56</f>
        <v>4.9676379999999999E-3</v>
      </c>
      <c r="BP56" s="188">
        <f>opex_orig!$BH56</f>
        <v>1.2278051479569299E-3</v>
      </c>
      <c r="BQ56" s="188">
        <f>opex_orig!$BH56</f>
        <v>1.2278051479569299E-3</v>
      </c>
      <c r="BR56" s="188">
        <f>opex_orig!BI56</f>
        <v>7.4141699999999997E-4</v>
      </c>
      <c r="BS56" s="188">
        <f>opex_orig!BJ56</f>
        <v>1.2380565E-2</v>
      </c>
      <c r="BT56" s="188">
        <f>opex_orig!BK56</f>
        <v>1.4737789999999999E-3</v>
      </c>
      <c r="BU56" s="188">
        <f>opex_orig!BL56</f>
        <v>0</v>
      </c>
      <c r="BV56" s="27">
        <f>opex_orig!BM56</f>
        <v>1.77737153820002E-3</v>
      </c>
      <c r="BW56" s="27">
        <f>opex_orig!BN56</f>
        <v>1.56590040507093E-3</v>
      </c>
      <c r="BX56" s="27">
        <f>opex_orig!BO56</f>
        <v>8.5320552888576505E-4</v>
      </c>
      <c r="BY56" s="27">
        <f>opex_orig!BP56</f>
        <v>7.9062707174762403E-4</v>
      </c>
      <c r="BZ56" s="27">
        <f>opex_orig!BQ56</f>
        <v>6.64544670857718E-4</v>
      </c>
      <c r="CA56" s="27">
        <f>opex_orig!BR56</f>
        <v>2.68784689972417E-3</v>
      </c>
      <c r="CB56" s="27">
        <f>opex_orig!BS56</f>
        <v>1.34635456941008E-3</v>
      </c>
      <c r="CC56" s="27">
        <f>opex_orig!BT56</f>
        <v>3.2191949564971901E-4</v>
      </c>
      <c r="CD56" s="27">
        <f>opex_orig!BU56</f>
        <v>1.68539275612633E-4</v>
      </c>
      <c r="CE56" s="27">
        <f>opex_orig!BV56</f>
        <v>1.68539275612633E-4</v>
      </c>
      <c r="CF56" s="27">
        <f>opex_orig!BW56</f>
        <v>2.5686237618824299E-3</v>
      </c>
      <c r="CG56" s="27">
        <f>opex_orig!BX56</f>
        <v>4.2497970496103697E-5</v>
      </c>
      <c r="CH56" s="27">
        <f>opex_orig!BY56</f>
        <v>3.2535819481201199E-5</v>
      </c>
      <c r="CI56" s="27">
        <f>opex_orig!BZ56</f>
        <v>1.300105E-3</v>
      </c>
      <c r="CJ56" s="27">
        <f>opex_orig!CA56</f>
        <v>1.220421E-3</v>
      </c>
      <c r="CK56" s="27">
        <f>opex_orig!CB56</f>
        <v>1.166923E-3</v>
      </c>
      <c r="CL56" s="27">
        <f>opex_orig!CC56</f>
        <v>1.8168599999999999E-4</v>
      </c>
      <c r="CM56" s="27">
        <f>opex_orig!CD56</f>
        <v>1.749015E-3</v>
      </c>
      <c r="CN56" s="27">
        <f>opex_orig!CE56</f>
        <v>1.5920419999999999E-3</v>
      </c>
      <c r="CO56" s="27">
        <f>opex_orig!CF56</f>
        <v>1.787949E-3</v>
      </c>
      <c r="CP56" s="27">
        <f>opex_orig!CG56</f>
        <v>6.4029799999999997E-4</v>
      </c>
    </row>
    <row r="57" spans="1:94" x14ac:dyDescent="0.25">
      <c r="A57" s="5" t="s">
        <v>133</v>
      </c>
      <c r="B57" s="2" t="s">
        <v>132</v>
      </c>
      <c r="C57" s="1" t="s">
        <v>328</v>
      </c>
      <c r="D57" s="188">
        <f>opex_orig!D57</f>
        <v>5.3399999999999997E-6</v>
      </c>
      <c r="E57" s="188">
        <f>opex_orig!E57</f>
        <v>7.2599999999999999E-6</v>
      </c>
      <c r="F57" s="188">
        <f>opex_orig!F57</f>
        <v>6.19E-6</v>
      </c>
      <c r="G57" s="188">
        <f>opex_orig!G57</f>
        <v>5.3000000000000001E-7</v>
      </c>
      <c r="H57" s="188">
        <f>opex_orig!H57</f>
        <v>1.3799999999999999E-6</v>
      </c>
      <c r="I57" s="188">
        <f>opex_orig!I57</f>
        <v>2.1999999999999999E-5</v>
      </c>
      <c r="J57" s="188">
        <f>opex_orig!J57</f>
        <v>7.6899999999999992E-6</v>
      </c>
      <c r="K57" s="188">
        <f>opex_orig!K57</f>
        <v>1.53E-6</v>
      </c>
      <c r="L57" s="188">
        <f>opex_orig!L57</f>
        <v>1.19E-5</v>
      </c>
      <c r="M57" s="188">
        <f>opex_orig!M57</f>
        <v>3.7100000000000001E-5</v>
      </c>
      <c r="N57" s="188">
        <f>opex_orig!N57</f>
        <v>2.7800000000000001E-5</v>
      </c>
      <c r="O57" s="188">
        <f>opex_orig!O57</f>
        <v>9.4399999999999994E-6</v>
      </c>
      <c r="P57" s="188">
        <f>opex_orig!P57</f>
        <v>1.0499999999999999E-5</v>
      </c>
      <c r="Q57" s="188">
        <f>opex_orig!Q57</f>
        <v>1.26E-5</v>
      </c>
      <c r="R57" s="188">
        <f>opex_orig!R57</f>
        <v>7.9000000000000006E-6</v>
      </c>
      <c r="S57" s="188">
        <f>opex_orig!S57</f>
        <v>6.1299999999999998E-6</v>
      </c>
      <c r="T57" s="188">
        <f>opex_orig!T57</f>
        <v>1.13E-5</v>
      </c>
      <c r="U57" s="188">
        <f>opex_orig!U57</f>
        <v>8.8899999999999996E-6</v>
      </c>
      <c r="V57" s="188">
        <f>opex_orig!V57</f>
        <v>7.5000000000000002E-6</v>
      </c>
      <c r="W57" s="188">
        <f>opex_orig!W57</f>
        <v>7.2300000000000002E-6</v>
      </c>
      <c r="X57" s="188">
        <f>opex_orig!X57</f>
        <v>2.4499999999999998E-6</v>
      </c>
      <c r="Y57" s="188">
        <f>opex_orig!Y57</f>
        <v>2.2730600000000001E-4</v>
      </c>
      <c r="Z57" s="188">
        <f>opex_orig!Z57</f>
        <v>7.625672E-3</v>
      </c>
      <c r="AA57" s="188">
        <f>opex_orig!AA57</f>
        <v>6.4400000000000002E-6</v>
      </c>
      <c r="AB57" s="188">
        <f>opex_orig!$AB57</f>
        <v>5.0701931124400803E-5</v>
      </c>
      <c r="AC57" s="188">
        <f>opex_orig!$AB57</f>
        <v>5.0701931124400803E-5</v>
      </c>
      <c r="AD57" s="188">
        <f>opex_orig!$AB57</f>
        <v>5.0701931124400803E-5</v>
      </c>
      <c r="AE57" s="188">
        <f>opex_orig!$AC57</f>
        <v>1.95315726400779E-5</v>
      </c>
      <c r="AF57" s="188">
        <f>opex_orig!$AD57</f>
        <v>1.5276177846295901E-4</v>
      </c>
      <c r="AG57" s="188">
        <f>opex_orig!$AD57</f>
        <v>1.5276177846295901E-4</v>
      </c>
      <c r="AH57" s="188">
        <f>opex_orig!$AD57</f>
        <v>1.5276177846295901E-4</v>
      </c>
      <c r="AI57" s="188">
        <f>opex_orig!AE57</f>
        <v>1.31738E-4</v>
      </c>
      <c r="AJ57" s="188">
        <f>opex_orig!AF57</f>
        <v>6.2934199999999997E-4</v>
      </c>
      <c r="AK57" s="188">
        <f>opex_orig!AG57</f>
        <v>8.5900000000000001E-5</v>
      </c>
      <c r="AL57" s="188">
        <f>opex_orig!AH57</f>
        <v>1.4107729999999999E-3</v>
      </c>
      <c r="AM57" s="188">
        <f>opex_orig!AI57</f>
        <v>7.5406799999999999E-4</v>
      </c>
      <c r="AN57" s="188">
        <f>opex_orig!AJ57</f>
        <v>7.2745100000000005E-4</v>
      </c>
      <c r="AO57" s="188">
        <f>opex_orig!AK57</f>
        <v>2.2471790000000002E-3</v>
      </c>
      <c r="AP57" s="188">
        <f>opex_orig!$AL57</f>
        <v>1.0606002360879199E-3</v>
      </c>
      <c r="AQ57" s="188">
        <f>opex_orig!$AL57</f>
        <v>1.0606002360879199E-3</v>
      </c>
      <c r="AR57" s="188">
        <f>opex_orig!$AL57</f>
        <v>1.0606002360879199E-3</v>
      </c>
      <c r="AS57" s="188">
        <f>opex_orig!$AM57</f>
        <v>8.3297622271098098E-4</v>
      </c>
      <c r="AT57" s="188">
        <f>opex_orig!AN57</f>
        <v>2.7836549999999999E-3</v>
      </c>
      <c r="AU57" s="188">
        <f>opex_orig!$AO57</f>
        <v>3.2442916560662398E-3</v>
      </c>
      <c r="AV57" s="188">
        <f>opex_orig!$AO57</f>
        <v>3.2442916560662398E-3</v>
      </c>
      <c r="AW57" s="188">
        <f>opex_orig!$AO57</f>
        <v>3.2442916560662398E-3</v>
      </c>
      <c r="AX57" s="188">
        <f>opex_orig!$AP57</f>
        <v>1.43517294715439E-3</v>
      </c>
      <c r="AY57" s="188">
        <f>opex_orig!AQ57</f>
        <v>1.474824E-3</v>
      </c>
      <c r="AZ57" s="188">
        <f>opex_orig!AR57</f>
        <v>0</v>
      </c>
      <c r="BA57" s="188">
        <f>opex_orig!AS57</f>
        <v>3.7386899999999998E-3</v>
      </c>
      <c r="BB57" s="188">
        <f>opex_orig!AT57</f>
        <v>1.9269650000000001E-3</v>
      </c>
      <c r="BC57" s="188">
        <f>opex_orig!AU57</f>
        <v>5.1413499999999998E-4</v>
      </c>
      <c r="BD57" s="188">
        <f>opex_orig!AV57</f>
        <v>2.1708299999999999E-4</v>
      </c>
      <c r="BE57" s="188">
        <f>opex_orig!AW57</f>
        <v>1.651656E-3</v>
      </c>
      <c r="BF57" s="188">
        <f>opex_orig!AX57</f>
        <v>0</v>
      </c>
      <c r="BG57" s="188">
        <f>opex_orig!AY57</f>
        <v>1.147054E-3</v>
      </c>
      <c r="BH57" s="188">
        <f>opex_orig!AZ57</f>
        <v>0</v>
      </c>
      <c r="BI57" s="188">
        <f>opex_orig!BA57</f>
        <v>3.328756E-3</v>
      </c>
      <c r="BJ57" s="188">
        <f>opex_orig!BB57</f>
        <v>2.9499999999999999E-5</v>
      </c>
      <c r="BK57" s="188">
        <f>opex_orig!BC57</f>
        <v>3.3200000000000001E-5</v>
      </c>
      <c r="BL57" s="188">
        <f>opex_orig!BD57</f>
        <v>8.1000000000000004E-6</v>
      </c>
      <c r="BM57" s="188">
        <f>opex_orig!BE57</f>
        <v>8.6400000000000003E-6</v>
      </c>
      <c r="BN57" s="188">
        <f>opex_orig!BF57</f>
        <v>8.9099999999999994E-6</v>
      </c>
      <c r="BO57" s="188">
        <f>opex_orig!BG57</f>
        <v>2.48E-5</v>
      </c>
      <c r="BP57" s="188">
        <f>opex_orig!$BH57</f>
        <v>4.3935461311936801E-6</v>
      </c>
      <c r="BQ57" s="188">
        <f>opex_orig!$BH57</f>
        <v>4.3935461311936801E-6</v>
      </c>
      <c r="BR57" s="188">
        <f>opex_orig!BI57</f>
        <v>9.7699999999999996E-6</v>
      </c>
      <c r="BS57" s="188">
        <f>opex_orig!BJ57</f>
        <v>1.98E-5</v>
      </c>
      <c r="BT57" s="188">
        <f>opex_orig!BK57</f>
        <v>2.0100000000000001E-5</v>
      </c>
      <c r="BU57" s="188">
        <f>opex_orig!BL57</f>
        <v>0</v>
      </c>
      <c r="BV57" s="27">
        <f>opex_orig!BM57</f>
        <v>2.70075722413804E-3</v>
      </c>
      <c r="BW57" s="27">
        <f>opex_orig!BN57</f>
        <v>1.8960648684333099E-3</v>
      </c>
      <c r="BX57" s="27">
        <f>opex_orig!BO57</f>
        <v>1.2118898410348E-4</v>
      </c>
      <c r="BY57" s="27">
        <f>opex_orig!BP57</f>
        <v>6.9546815582337602E-5</v>
      </c>
      <c r="BZ57" s="27">
        <f>opex_orig!BQ57</f>
        <v>4.3495916827221997E-6</v>
      </c>
      <c r="CA57" s="27">
        <f>opex_orig!BR57</f>
        <v>6.43354914927067E-6</v>
      </c>
      <c r="CB57" s="27">
        <f>opex_orig!BS57</f>
        <v>1.6715674035697501E-4</v>
      </c>
      <c r="CC57" s="27">
        <f>opex_orig!BT57</f>
        <v>5.0329970030745099E-5</v>
      </c>
      <c r="CD57" s="27">
        <f>opex_orig!BU57</f>
        <v>1.45266253107806E-6</v>
      </c>
      <c r="CE57" s="27">
        <f>opex_orig!BV57</f>
        <v>1.45266253107806E-6</v>
      </c>
      <c r="CF57" s="27">
        <f>opex_orig!BW57</f>
        <v>6.2696329912800401E-6</v>
      </c>
      <c r="CG57" s="27">
        <f>opex_orig!BX57</f>
        <v>2.0933709933875098E-6</v>
      </c>
      <c r="CH57" s="27">
        <f>opex_orig!BY57</f>
        <v>3.6397631607324497E-5</v>
      </c>
      <c r="CI57" s="27">
        <f>opex_orig!BZ57</f>
        <v>5.8152099999999999E-4</v>
      </c>
      <c r="CJ57" s="27">
        <f>opex_orig!CA57</f>
        <v>4.5800000000000002E-6</v>
      </c>
      <c r="CK57" s="27">
        <f>opex_orig!CB57</f>
        <v>4.4700000000000004E-6</v>
      </c>
      <c r="CL57" s="27">
        <f>opex_orig!CC57</f>
        <v>1.2371499999999999E-4</v>
      </c>
      <c r="CM57" s="27">
        <f>opex_orig!CD57</f>
        <v>9.5007000000000002E-4</v>
      </c>
      <c r="CN57" s="27">
        <f>opex_orig!CE57</f>
        <v>1.27E-5</v>
      </c>
      <c r="CO57" s="27">
        <f>opex_orig!CF57</f>
        <v>2.5600000000000001E-6</v>
      </c>
      <c r="CP57" s="27">
        <f>opex_orig!CG57</f>
        <v>1.5400000000000001E-6</v>
      </c>
    </row>
    <row r="58" spans="1:94" x14ac:dyDescent="0.25">
      <c r="A58" s="5" t="s">
        <v>135</v>
      </c>
      <c r="B58" s="2" t="s">
        <v>134</v>
      </c>
      <c r="C58" s="1" t="s">
        <v>328</v>
      </c>
      <c r="D58" s="188">
        <f>opex_orig!D58</f>
        <v>3.49639E-4</v>
      </c>
      <c r="E58" s="188">
        <f>opex_orig!E58</f>
        <v>8.5254700000000005E-4</v>
      </c>
      <c r="F58" s="188">
        <f>opex_orig!F58</f>
        <v>5.3366399999999999E-4</v>
      </c>
      <c r="G58" s="188">
        <f>opex_orig!G58</f>
        <v>4.0599999999999998E-5</v>
      </c>
      <c r="H58" s="188">
        <f>opex_orig!H58</f>
        <v>8.8900000000000006E-5</v>
      </c>
      <c r="I58" s="188">
        <f>opex_orig!I58</f>
        <v>2.9650900000000001E-3</v>
      </c>
      <c r="J58" s="188">
        <f>opex_orig!J58</f>
        <v>5.9709499999999996E-4</v>
      </c>
      <c r="K58" s="188">
        <f>opex_orig!K58</f>
        <v>1.3757299999999999E-4</v>
      </c>
      <c r="L58" s="188">
        <f>opex_orig!L58</f>
        <v>1.414715E-3</v>
      </c>
      <c r="M58" s="188">
        <f>opex_orig!M58</f>
        <v>5.3299200000000001E-3</v>
      </c>
      <c r="N58" s="188">
        <f>opex_orig!N58</f>
        <v>1.520354E-3</v>
      </c>
      <c r="O58" s="188">
        <f>opex_orig!O58</f>
        <v>1.1769630000000001E-3</v>
      </c>
      <c r="P58" s="188">
        <f>opex_orig!P58</f>
        <v>6.8948799999999999E-3</v>
      </c>
      <c r="Q58" s="188">
        <f>opex_orig!Q58</f>
        <v>2.5783099999999998E-4</v>
      </c>
      <c r="R58" s="188">
        <f>opex_orig!R58</f>
        <v>2.25539E-4</v>
      </c>
      <c r="S58" s="188">
        <f>opex_orig!S58</f>
        <v>1.7398180999999999E-2</v>
      </c>
      <c r="T58" s="188">
        <f>opex_orig!T58</f>
        <v>5.0012624999999998E-2</v>
      </c>
      <c r="U58" s="188">
        <f>opex_orig!U58</f>
        <v>1.3056167E-2</v>
      </c>
      <c r="V58" s="188">
        <f>opex_orig!V58</f>
        <v>2.5499939999999999E-3</v>
      </c>
      <c r="W58" s="188">
        <f>opex_orig!W58</f>
        <v>5.8057229999999996E-3</v>
      </c>
      <c r="X58" s="188">
        <f>opex_orig!X58</f>
        <v>1.6898659999999999E-3</v>
      </c>
      <c r="Y58" s="188">
        <f>opex_orig!Y58</f>
        <v>5.2560400000000005E-4</v>
      </c>
      <c r="Z58" s="188">
        <f>opex_orig!Z58</f>
        <v>3.0661302000000001E-2</v>
      </c>
      <c r="AA58" s="188">
        <f>opex_orig!AA58</f>
        <v>4.2551300000000002E-3</v>
      </c>
      <c r="AB58" s="275">
        <f>opex_concordance!M190</f>
        <v>1.8100147387346398E-2</v>
      </c>
      <c r="AC58" s="275">
        <f>opex_concordance!M235</f>
        <v>1.4376581818692953E-2</v>
      </c>
      <c r="AD58" s="275">
        <f>opex_concordance!M280</f>
        <v>0</v>
      </c>
      <c r="AE58" s="188">
        <f>opex_orig!$AC58</f>
        <v>7.0636463480509403E-4</v>
      </c>
      <c r="AF58" s="275">
        <f>opex_concordance!M313</f>
        <v>1.0076354723968201E-2</v>
      </c>
      <c r="AG58" s="275">
        <f>opex_concordance!M349</f>
        <v>0</v>
      </c>
      <c r="AH58" s="275">
        <f>opex_concordance!M385</f>
        <v>0</v>
      </c>
      <c r="AI58" s="188">
        <f>opex_orig!AE58</f>
        <v>8.353727E-3</v>
      </c>
      <c r="AJ58" s="188">
        <f>opex_orig!AF58</f>
        <v>3.0411033000000001E-2</v>
      </c>
      <c r="AK58" s="188">
        <f>opex_orig!AG58</f>
        <v>9.4488660000000002E-3</v>
      </c>
      <c r="AL58" s="188">
        <f>opex_orig!AH58</f>
        <v>2.7358199999999999E-3</v>
      </c>
      <c r="AM58" s="188">
        <f>opex_orig!AI58</f>
        <v>1.558739E-3</v>
      </c>
      <c r="AN58" s="188">
        <f>opex_orig!AJ58</f>
        <v>5.2255599999999998E-3</v>
      </c>
      <c r="AO58" s="188">
        <f>opex_orig!AK58</f>
        <v>2.8095210000000002E-3</v>
      </c>
      <c r="AP58" s="275">
        <f>opex_concordance!M425</f>
        <v>2.34426915369322E-3</v>
      </c>
      <c r="AQ58" s="275">
        <f>opex_concordance!M479</f>
        <v>1.5585334029448075E-3</v>
      </c>
      <c r="AR58" s="275">
        <f>opex_concordance!M533</f>
        <v>0</v>
      </c>
      <c r="AS58" s="188">
        <f>opex_orig!$AM58</f>
        <v>1.73896747510856E-3</v>
      </c>
      <c r="AT58" s="188">
        <f>opex_orig!AN58</f>
        <v>4.3709270000000001E-3</v>
      </c>
      <c r="AU58" s="263">
        <f>opex_concordance!$M$596</f>
        <v>7.5174037116861403E-3</v>
      </c>
      <c r="AV58" s="263">
        <f>opex_concordance!M642</f>
        <v>0</v>
      </c>
      <c r="AW58" s="263">
        <f>opex_concordance!M688</f>
        <v>2.8630154732560264E-3</v>
      </c>
      <c r="AX58" s="188">
        <f>opex_orig!$AP58</f>
        <v>3.0526107830822001E-3</v>
      </c>
      <c r="AY58" s="188">
        <f>opex_orig!AQ58</f>
        <v>8.6572609999999994E-3</v>
      </c>
      <c r="AZ58" s="188">
        <f>opex_orig!AR58</f>
        <v>0</v>
      </c>
      <c r="BA58" s="188">
        <f>opex_orig!AS58</f>
        <v>1.1072871E-2</v>
      </c>
      <c r="BB58" s="188">
        <f>opex_orig!AT58</f>
        <v>6.9431509999999998E-3</v>
      </c>
      <c r="BC58" s="188">
        <f>opex_orig!AU58</f>
        <v>3.1468220000000001E-3</v>
      </c>
      <c r="BD58" s="188">
        <f>opex_orig!AV58</f>
        <v>1.704119E-3</v>
      </c>
      <c r="BE58" s="188">
        <f>opex_orig!AW58</f>
        <v>7.5060190000000001E-3</v>
      </c>
      <c r="BF58" s="188">
        <f>opex_orig!AX58</f>
        <v>0</v>
      </c>
      <c r="BG58" s="188">
        <f>opex_orig!AY58</f>
        <v>4.0831940000000001E-3</v>
      </c>
      <c r="BH58" s="188">
        <f>opex_orig!AZ58</f>
        <v>0</v>
      </c>
      <c r="BI58" s="188">
        <f>opex_orig!BA58</f>
        <v>1.211258E-2</v>
      </c>
      <c r="BJ58" s="188">
        <f>opex_orig!BB58</f>
        <v>2.2453310000000001E-3</v>
      </c>
      <c r="BK58" s="188">
        <f>opex_orig!BC58</f>
        <v>2.655171E-3</v>
      </c>
      <c r="BL58" s="188">
        <f>opex_orig!BD58</f>
        <v>1.7289399999999999E-4</v>
      </c>
      <c r="BM58" s="188">
        <f>opex_orig!BE58</f>
        <v>4.8999999999999998E-5</v>
      </c>
      <c r="BN58" s="188">
        <f>opex_orig!BF58</f>
        <v>1.22397E-4</v>
      </c>
      <c r="BO58" s="188">
        <f>opex_orig!BG58</f>
        <v>1.3471259999999999E-3</v>
      </c>
      <c r="BP58" s="188">
        <f>opex_orig!$BH58</f>
        <v>4.9263064104649599E-3</v>
      </c>
      <c r="BQ58" s="188">
        <f>opex_orig!$BH58</f>
        <v>4.9263064104649599E-3</v>
      </c>
      <c r="BR58" s="188">
        <f>opex_orig!BI58</f>
        <v>1.0026329E-2</v>
      </c>
      <c r="BS58" s="188">
        <f>opex_orig!BJ58</f>
        <v>3.2166629999999998E-3</v>
      </c>
      <c r="BT58" s="188">
        <f>opex_orig!BK58</f>
        <v>3.352907E-3</v>
      </c>
      <c r="BU58" s="188">
        <f>opex_orig!BL58</f>
        <v>0</v>
      </c>
      <c r="BV58" s="27">
        <f>opex_orig!BM58</f>
        <v>2.1319106098944201E-2</v>
      </c>
      <c r="BW58" s="27">
        <f>opex_orig!BN58</f>
        <v>3.5737450313644802E-2</v>
      </c>
      <c r="BX58" s="27">
        <f>opex_orig!BO58</f>
        <v>1.61822773333319E-3</v>
      </c>
      <c r="BY58" s="27">
        <f>opex_orig!BP58</f>
        <v>3.62246427933385E-3</v>
      </c>
      <c r="BZ58" s="27">
        <f>opex_orig!BQ58</f>
        <v>4.66218174970602E-3</v>
      </c>
      <c r="CA58" s="27">
        <f>opex_orig!BR58</f>
        <v>2.3189251722962401E-3</v>
      </c>
      <c r="CB58" s="27">
        <f>opex_orig!BS58</f>
        <v>4.7973679957663398E-2</v>
      </c>
      <c r="CC58" s="27">
        <f>opex_orig!BT58</f>
        <v>1.52463947982011E-3</v>
      </c>
      <c r="CD58" s="27">
        <f>opex_orig!BU58</f>
        <v>3.6656889237918803E-5</v>
      </c>
      <c r="CE58" s="27">
        <f>opex_orig!BV58</f>
        <v>3.6656889237918803E-5</v>
      </c>
      <c r="CF58" s="27">
        <f>opex_orig!BW58</f>
        <v>1.37992280312749E-2</v>
      </c>
      <c r="CG58" s="27">
        <f>opex_orig!BX58</f>
        <v>5.5253008553262E-3</v>
      </c>
      <c r="CH58" s="27">
        <f>opex_orig!BY58</f>
        <v>4.0935277219958204E-3</v>
      </c>
      <c r="CI58" s="27">
        <f>opex_orig!BZ58</f>
        <v>1.319413E-2</v>
      </c>
      <c r="CJ58" s="27">
        <f>opex_orig!CA58</f>
        <v>1.360773E-3</v>
      </c>
      <c r="CK58" s="27">
        <f>opex_orig!CB58</f>
        <v>2.1776360000000002E-3</v>
      </c>
      <c r="CL58" s="27">
        <f>opex_orig!CC58</f>
        <v>8.0398299999999998E-4</v>
      </c>
      <c r="CM58" s="27">
        <f>opex_orig!CD58</f>
        <v>2.5888161E-2</v>
      </c>
      <c r="CN58" s="27">
        <f>opex_orig!CE58</f>
        <v>2.9844250000000002E-3</v>
      </c>
      <c r="CO58" s="27">
        <f>opex_orig!CF58</f>
        <v>4.3984749999999998E-3</v>
      </c>
      <c r="CP58" s="27">
        <f>opex_orig!CG58</f>
        <v>6.4300000000000004E-5</v>
      </c>
    </row>
    <row r="59" spans="1:94" x14ac:dyDescent="0.25">
      <c r="A59" s="6" t="s">
        <v>137</v>
      </c>
      <c r="B59" s="2" t="s">
        <v>136</v>
      </c>
      <c r="C59" s="1" t="s">
        <v>328</v>
      </c>
      <c r="D59" s="188">
        <f>opex_orig!D59</f>
        <v>2.6299999999999998E-6</v>
      </c>
      <c r="E59" s="188">
        <f>opex_orig!E59</f>
        <v>1.0100000000000001E-6</v>
      </c>
      <c r="F59" s="188">
        <f>opex_orig!F59</f>
        <v>1.5099999999999999E-6</v>
      </c>
      <c r="G59" s="188">
        <f>opex_orig!G59</f>
        <v>4.0400000000000002E-7</v>
      </c>
      <c r="H59" s="188">
        <f>opex_orig!H59</f>
        <v>6.5300000000000004E-7</v>
      </c>
      <c r="I59" s="188">
        <f>opex_orig!I59</f>
        <v>1.75E-6</v>
      </c>
      <c r="J59" s="188">
        <f>opex_orig!J59</f>
        <v>3.4699999999999998E-6</v>
      </c>
      <c r="K59" s="188">
        <f>opex_orig!K59</f>
        <v>9.1800000000000004E-7</v>
      </c>
      <c r="L59" s="188">
        <f>opex_orig!L59</f>
        <v>1.55E-6</v>
      </c>
      <c r="M59" s="188">
        <f>opex_orig!M59</f>
        <v>2.2699999999999999E-6</v>
      </c>
      <c r="N59" s="188">
        <f>opex_orig!N59</f>
        <v>4.1200000000000004E-6</v>
      </c>
      <c r="O59" s="188">
        <f>opex_orig!O59</f>
        <v>4.0099999999999997E-6</v>
      </c>
      <c r="P59" s="188">
        <f>opex_orig!P59</f>
        <v>4.1999999999999996E-6</v>
      </c>
      <c r="Q59" s="188">
        <f>opex_orig!Q59</f>
        <v>1.7099999999999999E-5</v>
      </c>
      <c r="R59" s="188">
        <f>opex_orig!R59</f>
        <v>3.9700000000000001E-6</v>
      </c>
      <c r="S59" s="188">
        <f>opex_orig!S59</f>
        <v>2.04E-6</v>
      </c>
      <c r="T59" s="188">
        <f>opex_orig!T59</f>
        <v>2.5000000000000002E-6</v>
      </c>
      <c r="U59" s="188">
        <f>opex_orig!U59</f>
        <v>3.0800000000000002E-6</v>
      </c>
      <c r="V59" s="188">
        <f>opex_orig!V59</f>
        <v>3.6399999999999999E-6</v>
      </c>
      <c r="W59" s="188">
        <f>opex_orig!W59</f>
        <v>8.6600000000000001E-6</v>
      </c>
      <c r="X59" s="188">
        <f>opex_orig!X59</f>
        <v>2.6900000000000001E-6</v>
      </c>
      <c r="Y59" s="188">
        <f>opex_orig!Y59</f>
        <v>1.9700000000000002E-6</v>
      </c>
      <c r="Z59" s="188">
        <f>opex_orig!Z59</f>
        <v>9.2899999999999995E-5</v>
      </c>
      <c r="AA59" s="188">
        <f>opex_orig!AA59</f>
        <v>2.9000000000000002E-6</v>
      </c>
      <c r="AB59" s="188">
        <f>opex_orig!$AB59</f>
        <v>2.3035570974855401E-5</v>
      </c>
      <c r="AC59" s="188">
        <f>opex_orig!$AB59</f>
        <v>2.3035570974855401E-5</v>
      </c>
      <c r="AD59" s="188">
        <f>opex_orig!$AB59</f>
        <v>2.3035570974855401E-5</v>
      </c>
      <c r="AE59" s="188">
        <f>opex_orig!$AC59</f>
        <v>5.3815745927251699E-6</v>
      </c>
      <c r="AF59" s="188">
        <f>opex_orig!$AD59</f>
        <v>4.2886752799363398E-6</v>
      </c>
      <c r="AG59" s="188">
        <f>opex_orig!$AD59</f>
        <v>4.2886752799363398E-6</v>
      </c>
      <c r="AH59" s="188">
        <f>opex_orig!$AD59</f>
        <v>4.2886752799363398E-6</v>
      </c>
      <c r="AI59" s="188">
        <f>opex_orig!AE59</f>
        <v>4.5499999999999996E-6</v>
      </c>
      <c r="AJ59" s="188">
        <f>opex_orig!AF59</f>
        <v>7.1400000000000001E-5</v>
      </c>
      <c r="AK59" s="188">
        <f>opex_orig!AG59</f>
        <v>2.9300000000000001E-5</v>
      </c>
      <c r="AL59" s="188">
        <f>opex_orig!AH59</f>
        <v>8.2400000000000007E-6</v>
      </c>
      <c r="AM59" s="188">
        <f>opex_orig!AI59</f>
        <v>3.3000000000000002E-6</v>
      </c>
      <c r="AN59" s="188">
        <f>opex_orig!AJ59</f>
        <v>3.0800000000000002E-6</v>
      </c>
      <c r="AO59" s="188">
        <f>opex_orig!AK59</f>
        <v>6.4400000000000002E-6</v>
      </c>
      <c r="AP59" s="188">
        <f>opex_orig!$AL59</f>
        <v>2.7468684002348399E-6</v>
      </c>
      <c r="AQ59" s="188">
        <f>opex_orig!$AL59</f>
        <v>2.7468684002348399E-6</v>
      </c>
      <c r="AR59" s="188">
        <f>opex_orig!$AL59</f>
        <v>2.7468684002348399E-6</v>
      </c>
      <c r="AS59" s="188">
        <f>opex_orig!$AM59</f>
        <v>2.7919358181402801E-6</v>
      </c>
      <c r="AT59" s="188">
        <f>opex_orig!AN59</f>
        <v>4.87E-6</v>
      </c>
      <c r="AU59" s="188">
        <f>opex_orig!$AO59</f>
        <v>2.7871509702314501E-6</v>
      </c>
      <c r="AV59" s="188">
        <f>opex_orig!$AO59</f>
        <v>2.7871509702314501E-6</v>
      </c>
      <c r="AW59" s="188">
        <f>opex_orig!$AO59</f>
        <v>2.7871509702314501E-6</v>
      </c>
      <c r="AX59" s="188">
        <f>opex_orig!$AP59</f>
        <v>3.2329102138211998E-6</v>
      </c>
      <c r="AY59" s="188">
        <f>opex_orig!AQ59</f>
        <v>2.48E-6</v>
      </c>
      <c r="AZ59" s="188">
        <f>opex_orig!AR59</f>
        <v>0</v>
      </c>
      <c r="BA59" s="188">
        <f>opex_orig!AS59</f>
        <v>6.8800000000000002E-6</v>
      </c>
      <c r="BB59" s="188">
        <f>opex_orig!AT59</f>
        <v>6.0700000000000003E-6</v>
      </c>
      <c r="BC59" s="188">
        <f>opex_orig!AU59</f>
        <v>6.5700000000000002E-7</v>
      </c>
      <c r="BD59" s="188">
        <f>opex_orig!AV59</f>
        <v>6.7100000000000001E-7</v>
      </c>
      <c r="BE59" s="188">
        <f>opex_orig!AW59</f>
        <v>1.11E-6</v>
      </c>
      <c r="BF59" s="188">
        <f>opex_orig!AX59</f>
        <v>0</v>
      </c>
      <c r="BG59" s="188">
        <f>opex_orig!AY59</f>
        <v>3.4300000000000002E-6</v>
      </c>
      <c r="BH59" s="188">
        <f>opex_orig!AZ59</f>
        <v>0</v>
      </c>
      <c r="BI59" s="188">
        <f>opex_orig!BA59</f>
        <v>1.9400000000000001E-6</v>
      </c>
      <c r="BJ59" s="188">
        <f>opex_orig!BB59</f>
        <v>2.0700000000000001E-6</v>
      </c>
      <c r="BK59" s="188">
        <f>opex_orig!BC59</f>
        <v>2.9799999999999998E-6</v>
      </c>
      <c r="BL59" s="188">
        <f>opex_orig!BD59</f>
        <v>4.3800000000000004E-6</v>
      </c>
      <c r="BM59" s="188">
        <f>opex_orig!BE59</f>
        <v>2.2800000000000002E-6</v>
      </c>
      <c r="BN59" s="188">
        <f>opex_orig!BF59</f>
        <v>1.79E-6</v>
      </c>
      <c r="BO59" s="188">
        <f>opex_orig!BG59</f>
        <v>9.4199999999999996E-6</v>
      </c>
      <c r="BP59" s="188">
        <f>opex_orig!$BH59</f>
        <v>3.1546004251581402E-6</v>
      </c>
      <c r="BQ59" s="188">
        <f>opex_orig!$BH59</f>
        <v>3.1546004251581402E-6</v>
      </c>
      <c r="BR59" s="188">
        <f>opex_orig!BI59</f>
        <v>5.6099999999999997E-6</v>
      </c>
      <c r="BS59" s="188">
        <f>opex_orig!BJ59</f>
        <v>3.2499999999999997E-5</v>
      </c>
      <c r="BT59" s="188">
        <f>opex_orig!BK59</f>
        <v>2.0999999999999998E-6</v>
      </c>
      <c r="BU59" s="188">
        <f>opex_orig!BL59</f>
        <v>0</v>
      </c>
      <c r="BV59" s="27">
        <f>opex_orig!BM59</f>
        <v>1.78881674279671E-6</v>
      </c>
      <c r="BW59" s="27">
        <f>opex_orig!BN59</f>
        <v>6.6871543100827701E-6</v>
      </c>
      <c r="BX59" s="27">
        <f>opex_orig!BO59</f>
        <v>5.9338267020359997E-7</v>
      </c>
      <c r="BY59" s="27">
        <f>opex_orig!BP59</f>
        <v>1.3757917746518099E-6</v>
      </c>
      <c r="BZ59" s="27">
        <f>opex_orig!BQ59</f>
        <v>2.0291544844026702E-6</v>
      </c>
      <c r="CA59" s="27">
        <f>opex_orig!BR59</f>
        <v>9.1168662518813795E-7</v>
      </c>
      <c r="CB59" s="27">
        <f>opex_orig!BS59</f>
        <v>7.7918217865726194E-6</v>
      </c>
      <c r="CC59" s="27">
        <f>opex_orig!BT59</f>
        <v>1.0818872342521899E-6</v>
      </c>
      <c r="CD59" s="27">
        <f>opex_orig!BU59</f>
        <v>7.0030807706871403E-7</v>
      </c>
      <c r="CE59" s="27">
        <f>opex_orig!BV59</f>
        <v>7.0030807706871604E-7</v>
      </c>
      <c r="CF59" s="27">
        <f>opex_orig!BW59</f>
        <v>1.9143971331686598E-5</v>
      </c>
      <c r="CG59" s="27">
        <f>opex_orig!BX59</f>
        <v>5.2627984442992702E-7</v>
      </c>
      <c r="CH59" s="27">
        <f>opex_orig!BY59</f>
        <v>1.9640144319646601E-5</v>
      </c>
      <c r="CI59" s="27">
        <f>opex_orig!BZ59</f>
        <v>1.3400000000000001E-6</v>
      </c>
      <c r="CJ59" s="27">
        <f>opex_orig!CA59</f>
        <v>2.5799999999999999E-6</v>
      </c>
      <c r="CK59" s="27">
        <f>opex_orig!CB59</f>
        <v>2.3700000000000002E-6</v>
      </c>
      <c r="CL59" s="27">
        <f>opex_orig!CC59</f>
        <v>8.67E-6</v>
      </c>
      <c r="CM59" s="27">
        <f>opex_orig!CD59</f>
        <v>6.55E-6</v>
      </c>
      <c r="CN59" s="27">
        <f>opex_orig!CE59</f>
        <v>1.08E-6</v>
      </c>
      <c r="CO59" s="27">
        <f>opex_orig!CF59</f>
        <v>1.2899999999999999E-6</v>
      </c>
      <c r="CP59" s="27">
        <f>opex_orig!CG59</f>
        <v>7.1900000000000002E-7</v>
      </c>
    </row>
    <row r="60" spans="1:94" x14ac:dyDescent="0.25">
      <c r="A60" s="5" t="s">
        <v>139</v>
      </c>
      <c r="B60" s="2" t="s">
        <v>138</v>
      </c>
      <c r="C60" s="1" t="s">
        <v>328</v>
      </c>
      <c r="D60" s="188">
        <f>opex_orig!D60</f>
        <v>6.67933E-4</v>
      </c>
      <c r="E60" s="188">
        <f>opex_orig!E60</f>
        <v>1.7340000000000001E-4</v>
      </c>
      <c r="F60" s="188">
        <f>opex_orig!F60</f>
        <v>2.8112299999999998E-4</v>
      </c>
      <c r="G60" s="188">
        <f>opex_orig!G60</f>
        <v>1.8199999999999999E-5</v>
      </c>
      <c r="H60" s="188">
        <f>opex_orig!H60</f>
        <v>2.8500000000000002E-5</v>
      </c>
      <c r="I60" s="188">
        <f>opex_orig!I60</f>
        <v>4.1183600000000001E-4</v>
      </c>
      <c r="J60" s="188">
        <f>opex_orig!J60</f>
        <v>2.4793200000000002E-4</v>
      </c>
      <c r="K60" s="188">
        <f>opex_orig!K60</f>
        <v>3.96E-5</v>
      </c>
      <c r="L60" s="188">
        <f>opex_orig!L60</f>
        <v>7.8949200000000004E-4</v>
      </c>
      <c r="M60" s="188">
        <f>opex_orig!M60</f>
        <v>5.5116799999999999E-4</v>
      </c>
      <c r="N60" s="188">
        <f>opex_orig!N60</f>
        <v>3.5533500000000003E-4</v>
      </c>
      <c r="O60" s="188">
        <f>opex_orig!O60</f>
        <v>1.51571E-4</v>
      </c>
      <c r="P60" s="188">
        <f>opex_orig!P60</f>
        <v>1.1043579999999999E-3</v>
      </c>
      <c r="Q60" s="188">
        <f>opex_orig!Q60</f>
        <v>3.1487600000000001E-4</v>
      </c>
      <c r="R60" s="188">
        <f>opex_orig!R60</f>
        <v>1.7837350000000001E-3</v>
      </c>
      <c r="S60" s="188">
        <f>opex_orig!S60</f>
        <v>7.4991999999999995E-4</v>
      </c>
      <c r="T60" s="188">
        <f>opex_orig!T60</f>
        <v>1.975493E-3</v>
      </c>
      <c r="U60" s="188">
        <f>opex_orig!U60</f>
        <v>6.3739999999999999E-4</v>
      </c>
      <c r="V60" s="188">
        <f>opex_orig!V60</f>
        <v>2.5824000000000002E-4</v>
      </c>
      <c r="W60" s="188">
        <f>opex_orig!W60</f>
        <v>5.4050699999999997E-4</v>
      </c>
      <c r="X60" s="188">
        <f>opex_orig!X60</f>
        <v>1.5813399999999999E-4</v>
      </c>
      <c r="Y60" s="188">
        <f>opex_orig!Y60</f>
        <v>1.15771E-4</v>
      </c>
      <c r="Z60" s="188">
        <f>opex_orig!Z60</f>
        <v>8.2948600000000005E-4</v>
      </c>
      <c r="AA60" s="188">
        <f>opex_orig!AA60</f>
        <v>3.0122900000000003E-4</v>
      </c>
      <c r="AB60" s="188">
        <f>opex_orig!$AB60</f>
        <v>2.74641458508856E-3</v>
      </c>
      <c r="AC60" s="188">
        <f>opex_orig!$AB60</f>
        <v>2.74641458508856E-3</v>
      </c>
      <c r="AD60" s="188">
        <f>opex_orig!$AB60</f>
        <v>2.74641458508856E-3</v>
      </c>
      <c r="AE60" s="188">
        <f>opex_orig!$AC60</f>
        <v>1.8051052786372299E-4</v>
      </c>
      <c r="AF60" s="188">
        <f>opex_orig!$AD60</f>
        <v>2.3318204953814601E-4</v>
      </c>
      <c r="AG60" s="188">
        <f>opex_orig!$AD60</f>
        <v>2.3318204953814601E-4</v>
      </c>
      <c r="AH60" s="188">
        <f>opex_orig!$AD60</f>
        <v>2.3318204953814601E-4</v>
      </c>
      <c r="AI60" s="188">
        <f>opex_orig!AE60</f>
        <v>2.2604E-4</v>
      </c>
      <c r="AJ60" s="188">
        <f>opex_orig!AF60</f>
        <v>1.371061E-3</v>
      </c>
      <c r="AK60" s="188">
        <f>opex_orig!AG60</f>
        <v>3.4494359000000002E-2</v>
      </c>
      <c r="AL60" s="188">
        <f>opex_orig!AH60</f>
        <v>1.3918240000000001E-3</v>
      </c>
      <c r="AM60" s="188">
        <f>opex_orig!AI60</f>
        <v>5.1977299999999996E-4</v>
      </c>
      <c r="AN60" s="188">
        <f>opex_orig!AJ60</f>
        <v>8.9079299999999997E-4</v>
      </c>
      <c r="AO60" s="188">
        <f>opex_orig!AK60</f>
        <v>6.9748200000000003E-4</v>
      </c>
      <c r="AP60" s="188">
        <f>opex_orig!$AL60</f>
        <v>4.5322454034917102E-4</v>
      </c>
      <c r="AQ60" s="188">
        <f>opex_orig!$AL60</f>
        <v>4.5322454034917102E-4</v>
      </c>
      <c r="AR60" s="188">
        <f>opex_orig!$AL60</f>
        <v>4.5322454034917102E-4</v>
      </c>
      <c r="AS60" s="188">
        <f>opex_orig!$AM60</f>
        <v>3.9307995506851598E-4</v>
      </c>
      <c r="AT60" s="188">
        <f>opex_orig!AN60</f>
        <v>6.8642799999999999E-4</v>
      </c>
      <c r="AU60" s="188">
        <f>opex_orig!$AO60</f>
        <v>1.05313432756342E-3</v>
      </c>
      <c r="AV60" s="188">
        <f>opex_orig!$AO60</f>
        <v>1.05313432756342E-3</v>
      </c>
      <c r="AW60" s="188">
        <f>opex_orig!$AO60</f>
        <v>1.05313432756342E-3</v>
      </c>
      <c r="AX60" s="188">
        <f>opex_orig!$AP60</f>
        <v>1.0170372084702601E-3</v>
      </c>
      <c r="AY60" s="188">
        <f>opex_orig!AQ60</f>
        <v>6.1701900000000001E-4</v>
      </c>
      <c r="AZ60" s="188">
        <f>opex_orig!AR60</f>
        <v>0</v>
      </c>
      <c r="BA60" s="188">
        <f>opex_orig!AS60</f>
        <v>1.0619099999999999E-3</v>
      </c>
      <c r="BB60" s="188">
        <f>opex_orig!AT60</f>
        <v>9.7941400000000007E-4</v>
      </c>
      <c r="BC60" s="188">
        <f>opex_orig!AU60</f>
        <v>5.7246900000000004E-4</v>
      </c>
      <c r="BD60" s="188">
        <f>opex_orig!AV60</f>
        <v>5.0809499999999997E-4</v>
      </c>
      <c r="BE60" s="188">
        <f>opex_orig!AW60</f>
        <v>2.3883820000000001E-3</v>
      </c>
      <c r="BF60" s="188">
        <f>opex_orig!AX60</f>
        <v>0</v>
      </c>
      <c r="BG60" s="188">
        <f>opex_orig!AY60</f>
        <v>7.8992999999999999E-4</v>
      </c>
      <c r="BH60" s="188">
        <f>opex_orig!AZ60</f>
        <v>0</v>
      </c>
      <c r="BI60" s="188">
        <f>opex_orig!BA60</f>
        <v>1.199206E-3</v>
      </c>
      <c r="BJ60" s="188">
        <f>opex_orig!BB60</f>
        <v>8.8826900000000002E-4</v>
      </c>
      <c r="BK60" s="188">
        <f>opex_orig!BC60</f>
        <v>7.3857800000000004E-4</v>
      </c>
      <c r="BL60" s="188">
        <f>opex_orig!BD60</f>
        <v>2.43537E-4</v>
      </c>
      <c r="BM60" s="188">
        <f>opex_orig!BE60</f>
        <v>8.9051099999999997E-4</v>
      </c>
      <c r="BN60" s="188">
        <f>opex_orig!BF60</f>
        <v>2.744E-4</v>
      </c>
      <c r="BO60" s="188">
        <f>opex_orig!BG60</f>
        <v>6.032417E-3</v>
      </c>
      <c r="BP60" s="188">
        <f>opex_orig!$BH60</f>
        <v>1.39496795408732E-3</v>
      </c>
      <c r="BQ60" s="188">
        <f>opex_orig!$BH60</f>
        <v>1.39496795408732E-3</v>
      </c>
      <c r="BR60" s="188">
        <f>opex_orig!BI60</f>
        <v>1.867182E-3</v>
      </c>
      <c r="BS60" s="188">
        <f>opex_orig!BJ60</f>
        <v>1.1144670000000001E-3</v>
      </c>
      <c r="BT60" s="188">
        <f>opex_orig!BK60</f>
        <v>1.181252E-3</v>
      </c>
      <c r="BU60" s="188">
        <f>opex_orig!BL60</f>
        <v>0</v>
      </c>
      <c r="BV60" s="27">
        <f>opex_orig!BM60</f>
        <v>6.6060886988295302E-4</v>
      </c>
      <c r="BW60" s="27">
        <f>opex_orig!BN60</f>
        <v>7.9640599616999505E-4</v>
      </c>
      <c r="BX60" s="27">
        <f>opex_orig!BO60</f>
        <v>1.16114906208781E-4</v>
      </c>
      <c r="BY60" s="27">
        <f>opex_orig!BP60</f>
        <v>1.2234258444525101E-4</v>
      </c>
      <c r="BZ60" s="27">
        <f>opex_orig!BQ60</f>
        <v>1.5401264134124999E-4</v>
      </c>
      <c r="CA60" s="27">
        <f>opex_orig!BR60</f>
        <v>6.1845153533328704E-4</v>
      </c>
      <c r="CB60" s="27">
        <f>opex_orig!BS60</f>
        <v>1.00108131127593E-3</v>
      </c>
      <c r="CC60" s="27">
        <f>opex_orig!BT60</f>
        <v>5.6756898382202099E-4</v>
      </c>
      <c r="CD60" s="27">
        <f>opex_orig!BU60</f>
        <v>4.2670321915005601E-5</v>
      </c>
      <c r="CE60" s="27">
        <f>opex_orig!BV60</f>
        <v>4.2670321915005601E-5</v>
      </c>
      <c r="CF60" s="27">
        <f>opex_orig!BW60</f>
        <v>9.6576122534843998E-4</v>
      </c>
      <c r="CG60" s="27">
        <f>opex_orig!BX60</f>
        <v>7.5078872819267194E-5</v>
      </c>
      <c r="CH60" s="27">
        <f>opex_orig!BY60</f>
        <v>1.5632259048804201E-4</v>
      </c>
      <c r="CI60" s="27">
        <f>opex_orig!BZ60</f>
        <v>2.94734E-4</v>
      </c>
      <c r="CJ60" s="27">
        <f>opex_orig!CA60</f>
        <v>1.1054599999999999E-4</v>
      </c>
      <c r="CK60" s="27">
        <f>opex_orig!CB60</f>
        <v>1.6118299999999999E-4</v>
      </c>
      <c r="CL60" s="27">
        <f>opex_orig!CC60</f>
        <v>5.6799999999999998E-5</v>
      </c>
      <c r="CM60" s="27">
        <f>opex_orig!CD60</f>
        <v>1.0945830000000001E-3</v>
      </c>
      <c r="CN60" s="27">
        <f>opex_orig!CE60</f>
        <v>2.1751100000000001E-4</v>
      </c>
      <c r="CO60" s="27">
        <f>opex_orig!CF60</f>
        <v>3.4065799999999998E-4</v>
      </c>
      <c r="CP60" s="27">
        <f>opex_orig!CG60</f>
        <v>4.2299999999999998E-5</v>
      </c>
    </row>
    <row r="61" spans="1:94" x14ac:dyDescent="0.25">
      <c r="A61" s="5" t="s">
        <v>141</v>
      </c>
      <c r="B61" s="2" t="s">
        <v>140</v>
      </c>
      <c r="C61" s="1" t="s">
        <v>328</v>
      </c>
      <c r="D61" s="188">
        <f>opex_orig!D61</f>
        <v>1.69424E-4</v>
      </c>
      <c r="E61" s="188">
        <f>opex_orig!E61</f>
        <v>4.3000000000000002E-5</v>
      </c>
      <c r="F61" s="188">
        <f>opex_orig!F61</f>
        <v>7.7799999999999994E-5</v>
      </c>
      <c r="G61" s="188">
        <f>opex_orig!G61</f>
        <v>8.0399999999999993E-6</v>
      </c>
      <c r="H61" s="188">
        <f>opex_orig!H61</f>
        <v>1.2799999999999999E-5</v>
      </c>
      <c r="I61" s="188">
        <f>opex_orig!I61</f>
        <v>1.05481E-4</v>
      </c>
      <c r="J61" s="188">
        <f>opex_orig!J61</f>
        <v>1.02363E-4</v>
      </c>
      <c r="K61" s="188">
        <f>opex_orig!K61</f>
        <v>1.5E-5</v>
      </c>
      <c r="L61" s="188">
        <f>opex_orig!L61</f>
        <v>2.3843599999999999E-4</v>
      </c>
      <c r="M61" s="188">
        <f>opex_orig!M61</f>
        <v>1.4183699999999999E-4</v>
      </c>
      <c r="N61" s="188">
        <f>opex_orig!N61</f>
        <v>1.1726300000000001E-4</v>
      </c>
      <c r="O61" s="188">
        <f>opex_orig!O61</f>
        <v>5.2800000000000003E-5</v>
      </c>
      <c r="P61" s="188">
        <f>opex_orig!P61</f>
        <v>2.9399899999999997E-4</v>
      </c>
      <c r="Q61" s="188">
        <f>opex_orig!Q61</f>
        <v>8.53E-5</v>
      </c>
      <c r="R61" s="188">
        <f>opex_orig!R61</f>
        <v>4.5355699999999999E-4</v>
      </c>
      <c r="S61" s="188">
        <f>opex_orig!S61</f>
        <v>1.3631900000000001E-4</v>
      </c>
      <c r="T61" s="188">
        <f>opex_orig!T61</f>
        <v>3.5237700000000002E-4</v>
      </c>
      <c r="U61" s="188">
        <f>opex_orig!U61</f>
        <v>1.05369E-4</v>
      </c>
      <c r="V61" s="188">
        <f>opex_orig!V61</f>
        <v>3.9799999999999998E-5</v>
      </c>
      <c r="W61" s="188">
        <f>opex_orig!W61</f>
        <v>1.0970400000000001E-4</v>
      </c>
      <c r="X61" s="188">
        <f>opex_orig!X61</f>
        <v>4.1499999999999999E-5</v>
      </c>
      <c r="Y61" s="188">
        <f>opex_orig!Y61</f>
        <v>3.4199999999999998E-5</v>
      </c>
      <c r="Z61" s="188">
        <f>opex_orig!Z61</f>
        <v>1.6936300000000001E-4</v>
      </c>
      <c r="AA61" s="188">
        <f>opex_orig!AA61</f>
        <v>6.3399999999999996E-5</v>
      </c>
      <c r="AB61" s="188">
        <f>opex_orig!$AB61</f>
        <v>9.6366873017324E-4</v>
      </c>
      <c r="AC61" s="188">
        <f>opex_orig!$AB61</f>
        <v>9.6366873017324E-4</v>
      </c>
      <c r="AD61" s="188">
        <f>opex_orig!$AB61</f>
        <v>9.6366873017324E-4</v>
      </c>
      <c r="AE61" s="188">
        <f>opex_orig!$AC61</f>
        <v>4.5551682436794403E-5</v>
      </c>
      <c r="AF61" s="188">
        <f>opex_orig!$AD61</f>
        <v>1.00997476064826E-4</v>
      </c>
      <c r="AG61" s="188">
        <f>opex_orig!$AD61</f>
        <v>1.00997476064826E-4</v>
      </c>
      <c r="AH61" s="188">
        <f>opex_orig!$AD61</f>
        <v>1.00997476064826E-4</v>
      </c>
      <c r="AI61" s="188">
        <f>opex_orig!AE61</f>
        <v>1.06333E-4</v>
      </c>
      <c r="AJ61" s="188">
        <f>opex_orig!AF61</f>
        <v>3.5700400000000001E-4</v>
      </c>
      <c r="AK61" s="188">
        <f>opex_orig!AG61</f>
        <v>8.4426650000000002E-3</v>
      </c>
      <c r="AL61" s="188">
        <f>opex_orig!AH61</f>
        <v>3.1271499999999998E-4</v>
      </c>
      <c r="AM61" s="188">
        <f>opex_orig!AI61</f>
        <v>1.1425399999999999E-4</v>
      </c>
      <c r="AN61" s="188">
        <f>opex_orig!AJ61</f>
        <v>3.02081E-4</v>
      </c>
      <c r="AO61" s="188">
        <f>opex_orig!AK61</f>
        <v>1.74067E-4</v>
      </c>
      <c r="AP61" s="188">
        <f>opex_orig!$AL61</f>
        <v>1.2532868247595099E-4</v>
      </c>
      <c r="AQ61" s="188">
        <f>opex_orig!$AL61</f>
        <v>1.2532868247595099E-4</v>
      </c>
      <c r="AR61" s="188">
        <f>opex_orig!$AL61</f>
        <v>1.2532868247595099E-4</v>
      </c>
      <c r="AS61" s="188">
        <f>opex_orig!$AM61</f>
        <v>1.08183551452827E-4</v>
      </c>
      <c r="AT61" s="188">
        <f>opex_orig!AN61</f>
        <v>1.6002200000000001E-4</v>
      </c>
      <c r="AU61" s="188">
        <f>opex_orig!$AO61</f>
        <v>2.1179003477712899E-4</v>
      </c>
      <c r="AV61" s="188">
        <f>opex_orig!$AO61</f>
        <v>2.1179003477712899E-4</v>
      </c>
      <c r="AW61" s="188">
        <f>opex_orig!$AO61</f>
        <v>2.1179003477712899E-4</v>
      </c>
      <c r="AX61" s="188">
        <f>opex_orig!$AP61</f>
        <v>1.61569698691782E-4</v>
      </c>
      <c r="AY61" s="188">
        <f>opex_orig!AQ61</f>
        <v>1.1877100000000001E-4</v>
      </c>
      <c r="AZ61" s="188">
        <f>opex_orig!AR61</f>
        <v>0</v>
      </c>
      <c r="BA61" s="188">
        <f>opex_orig!AS61</f>
        <v>2.10664E-4</v>
      </c>
      <c r="BB61" s="188">
        <f>opex_orig!AT61</f>
        <v>1.9118499999999999E-4</v>
      </c>
      <c r="BC61" s="188">
        <f>opex_orig!AU61</f>
        <v>9.7700000000000003E-5</v>
      </c>
      <c r="BD61" s="188">
        <f>opex_orig!AV61</f>
        <v>7.3800000000000005E-5</v>
      </c>
      <c r="BE61" s="188">
        <f>opex_orig!AW61</f>
        <v>3.5235099999999999E-4</v>
      </c>
      <c r="BF61" s="188">
        <f>opex_orig!AX61</f>
        <v>0</v>
      </c>
      <c r="BG61" s="188">
        <f>opex_orig!AY61</f>
        <v>1.4966099999999999E-4</v>
      </c>
      <c r="BH61" s="188">
        <f>opex_orig!AZ61</f>
        <v>0</v>
      </c>
      <c r="BI61" s="188">
        <f>opex_orig!BA61</f>
        <v>2.7674600000000002E-4</v>
      </c>
      <c r="BJ61" s="188">
        <f>opex_orig!BB61</f>
        <v>1.5855900000000001E-4</v>
      </c>
      <c r="BK61" s="188">
        <f>opex_orig!BC61</f>
        <v>1.51688E-4</v>
      </c>
      <c r="BL61" s="188">
        <f>opex_orig!BD61</f>
        <v>8.3800000000000004E-5</v>
      </c>
      <c r="BM61" s="188">
        <f>opex_orig!BE61</f>
        <v>1.6090700000000001E-4</v>
      </c>
      <c r="BN61" s="188">
        <f>opex_orig!BF61</f>
        <v>5.2099999999999999E-5</v>
      </c>
      <c r="BO61" s="188">
        <f>opex_orig!BG61</f>
        <v>1.461831E-3</v>
      </c>
      <c r="BP61" s="188">
        <f>opex_orig!$BH61</f>
        <v>2.6728887936949098E-4</v>
      </c>
      <c r="BQ61" s="188">
        <f>opex_orig!$BH61</f>
        <v>2.6728887936949098E-4</v>
      </c>
      <c r="BR61" s="188">
        <f>opex_orig!BI61</f>
        <v>3.2693799999999998E-4</v>
      </c>
      <c r="BS61" s="188">
        <f>opex_orig!BJ61</f>
        <v>2.2493799999999999E-4</v>
      </c>
      <c r="BT61" s="188">
        <f>opex_orig!BK61</f>
        <v>1.8333100000000001E-4</v>
      </c>
      <c r="BU61" s="188">
        <f>opex_orig!BL61</f>
        <v>0</v>
      </c>
      <c r="BV61" s="27">
        <f>opex_orig!BM61</f>
        <v>1.1450592559892401E-4</v>
      </c>
      <c r="BW61" s="27">
        <f>opex_orig!BN61</f>
        <v>1.6527118723265501E-4</v>
      </c>
      <c r="BX61" s="27">
        <f>opex_orig!BO61</f>
        <v>1.9854795981337398E-5</v>
      </c>
      <c r="BY61" s="27">
        <f>opex_orig!BP61</f>
        <v>2.16297228246114E-5</v>
      </c>
      <c r="BZ61" s="27">
        <f>opex_orig!BQ61</f>
        <v>2.8575484122851399E-5</v>
      </c>
      <c r="CA61" s="27">
        <f>opex_orig!BR61</f>
        <v>1.2335228716961599E-4</v>
      </c>
      <c r="CB61" s="27">
        <f>opex_orig!BS61</f>
        <v>2.4776177915542197E-4</v>
      </c>
      <c r="CC61" s="27">
        <f>opex_orig!BT61</f>
        <v>2.07028831622179E-4</v>
      </c>
      <c r="CD61" s="27">
        <f>opex_orig!BU61</f>
        <v>7.110562456741E-6</v>
      </c>
      <c r="CE61" s="27">
        <f>opex_orig!BV61</f>
        <v>7.1105624567410203E-6</v>
      </c>
      <c r="CF61" s="27">
        <f>opex_orig!BW61</f>
        <v>2.21880660668432E-4</v>
      </c>
      <c r="CG61" s="27">
        <f>opex_orig!BX61</f>
        <v>3.03301508235472E-5</v>
      </c>
      <c r="CH61" s="27">
        <f>opex_orig!BY61</f>
        <v>9.3823046656833507E-5</v>
      </c>
      <c r="CI61" s="27">
        <f>opex_orig!BZ61</f>
        <v>5.27E-5</v>
      </c>
      <c r="CJ61" s="27">
        <f>opex_orig!CA61</f>
        <v>2.6999999999999999E-5</v>
      </c>
      <c r="CK61" s="27">
        <f>opex_orig!CB61</f>
        <v>3.3800000000000002E-5</v>
      </c>
      <c r="CL61" s="27">
        <f>opex_orig!CC61</f>
        <v>4.2400000000000001E-5</v>
      </c>
      <c r="CM61" s="27">
        <f>opex_orig!CD61</f>
        <v>2.0374299999999999E-4</v>
      </c>
      <c r="CN61" s="27">
        <f>opex_orig!CE61</f>
        <v>5.5500000000000001E-5</v>
      </c>
      <c r="CO61" s="27">
        <f>opex_orig!CF61</f>
        <v>1.0197E-4</v>
      </c>
      <c r="CP61" s="27">
        <f>opex_orig!CG61</f>
        <v>1.7799999999999999E-5</v>
      </c>
    </row>
    <row r="62" spans="1:94" x14ac:dyDescent="0.25">
      <c r="A62" s="5" t="s">
        <v>143</v>
      </c>
      <c r="B62" s="2" t="s">
        <v>142</v>
      </c>
      <c r="C62" s="1" t="s">
        <v>328</v>
      </c>
      <c r="D62" s="188">
        <f>opex_orig!D62</f>
        <v>5.1600000000000001E-5</v>
      </c>
      <c r="E62" s="188">
        <f>opex_orig!E62</f>
        <v>2.87E-5</v>
      </c>
      <c r="F62" s="188">
        <f>opex_orig!F62</f>
        <v>3.01E-5</v>
      </c>
      <c r="G62" s="188">
        <f>opex_orig!G62</f>
        <v>6.6100000000000002E-6</v>
      </c>
      <c r="H62" s="188">
        <f>opex_orig!H62</f>
        <v>9.9499999999999996E-6</v>
      </c>
      <c r="I62" s="188">
        <f>opex_orig!I62</f>
        <v>5.5500000000000001E-5</v>
      </c>
      <c r="J62" s="188">
        <f>opex_orig!J62</f>
        <v>1.2097200000000001E-4</v>
      </c>
      <c r="K62" s="188">
        <f>opex_orig!K62</f>
        <v>2.16E-5</v>
      </c>
      <c r="L62" s="188">
        <f>opex_orig!L62</f>
        <v>5.5699999999999999E-5</v>
      </c>
      <c r="M62" s="188">
        <f>opex_orig!M62</f>
        <v>1.3172699999999999E-4</v>
      </c>
      <c r="N62" s="188">
        <f>opex_orig!N62</f>
        <v>9.1299999999999997E-5</v>
      </c>
      <c r="O62" s="188">
        <f>opex_orig!O62</f>
        <v>6.2399999999999999E-5</v>
      </c>
      <c r="P62" s="188">
        <f>opex_orig!P62</f>
        <v>1.6399399999999999E-4</v>
      </c>
      <c r="Q62" s="188">
        <f>opex_orig!Q62</f>
        <v>1.02242E-4</v>
      </c>
      <c r="R62" s="188">
        <f>opex_orig!R62</f>
        <v>7.7200000000000006E-5</v>
      </c>
      <c r="S62" s="188">
        <f>opex_orig!S62</f>
        <v>1.08891E-4</v>
      </c>
      <c r="T62" s="188">
        <f>opex_orig!T62</f>
        <v>1.66902E-4</v>
      </c>
      <c r="U62" s="188">
        <f>opex_orig!U62</f>
        <v>1.14096E-4</v>
      </c>
      <c r="V62" s="188">
        <f>opex_orig!V62</f>
        <v>1.03101E-4</v>
      </c>
      <c r="W62" s="188">
        <f>opex_orig!W62</f>
        <v>5.7500000000000002E-5</v>
      </c>
      <c r="X62" s="188">
        <f>opex_orig!X62</f>
        <v>3.9499999999999998E-5</v>
      </c>
      <c r="Y62" s="188">
        <f>opex_orig!Y62</f>
        <v>5.8100000000000003E-5</v>
      </c>
      <c r="Z62" s="188">
        <f>opex_orig!Z62</f>
        <v>2.2184E-4</v>
      </c>
      <c r="AA62" s="188">
        <f>opex_orig!AA62</f>
        <v>8.4099999999999998E-5</v>
      </c>
      <c r="AB62" s="188">
        <f>opex_orig!$AB62</f>
        <v>6.1390243049706006E-5</v>
      </c>
      <c r="AC62" s="188">
        <f>opex_orig!$AB62</f>
        <v>6.1390243049706006E-5</v>
      </c>
      <c r="AD62" s="188">
        <f>opex_orig!$AB62</f>
        <v>6.1390243049706006E-5</v>
      </c>
      <c r="AE62" s="188">
        <f>opex_orig!$AC62</f>
        <v>1.3443519230375001E-3</v>
      </c>
      <c r="AF62" s="188">
        <f>opex_orig!$AD62</f>
        <v>7.0135231819952806E-5</v>
      </c>
      <c r="AG62" s="188">
        <f>opex_orig!$AD62</f>
        <v>7.0135231819952806E-5</v>
      </c>
      <c r="AH62" s="188">
        <f>opex_orig!$AD62</f>
        <v>7.0135231819952806E-5</v>
      </c>
      <c r="AI62" s="188">
        <f>opex_orig!AE62</f>
        <v>5.6199999999999997E-5</v>
      </c>
      <c r="AJ62" s="188">
        <f>opex_orig!AF62</f>
        <v>7.2746900000000001E-4</v>
      </c>
      <c r="AK62" s="188">
        <f>opex_orig!AG62</f>
        <v>1.07522E-4</v>
      </c>
      <c r="AL62" s="188">
        <f>opex_orig!AH62</f>
        <v>4.7899999999999999E-5</v>
      </c>
      <c r="AM62" s="188">
        <f>opex_orig!AI62</f>
        <v>7.5799999999999999E-5</v>
      </c>
      <c r="AN62" s="188">
        <f>opex_orig!AJ62</f>
        <v>2.9899999999999998E-5</v>
      </c>
      <c r="AO62" s="188">
        <f>opex_orig!AK62</f>
        <v>5.41E-5</v>
      </c>
      <c r="AP62" s="188">
        <f>opex_orig!$AL62</f>
        <v>4.6043226735265301E-5</v>
      </c>
      <c r="AQ62" s="188">
        <f>opex_orig!$AL62</f>
        <v>4.6043226735265301E-5</v>
      </c>
      <c r="AR62" s="188">
        <f>opex_orig!$AL62</f>
        <v>4.6043226735265301E-5</v>
      </c>
      <c r="AS62" s="188">
        <f>opex_orig!$AM62</f>
        <v>4.4150210703221502E-5</v>
      </c>
      <c r="AT62" s="188">
        <f>opex_orig!AN62</f>
        <v>2.02442E-4</v>
      </c>
      <c r="AU62" s="188">
        <f>opex_orig!$AO62</f>
        <v>1.5491978302724501E-4</v>
      </c>
      <c r="AV62" s="188">
        <f>opex_orig!$AO62</f>
        <v>1.5491978302724501E-4</v>
      </c>
      <c r="AW62" s="188">
        <f>opex_orig!$AO62</f>
        <v>1.5491978302724501E-4</v>
      </c>
      <c r="AX62" s="188">
        <f>opex_orig!$AP62</f>
        <v>8.5891404787344101E-5</v>
      </c>
      <c r="AY62" s="188">
        <f>opex_orig!AQ62</f>
        <v>1.16259E-4</v>
      </c>
      <c r="AZ62" s="188">
        <f>opex_orig!AR62</f>
        <v>0</v>
      </c>
      <c r="BA62" s="188">
        <f>opex_orig!AS62</f>
        <v>1.09953E-4</v>
      </c>
      <c r="BB62" s="188">
        <f>opex_orig!AT62</f>
        <v>8.3700000000000002E-5</v>
      </c>
      <c r="BC62" s="188">
        <f>opex_orig!AU62</f>
        <v>3.2700000000000002E-5</v>
      </c>
      <c r="BD62" s="188">
        <f>opex_orig!AV62</f>
        <v>3.15E-5</v>
      </c>
      <c r="BE62" s="188">
        <f>opex_orig!AW62</f>
        <v>1.4433E-4</v>
      </c>
      <c r="BF62" s="188">
        <f>opex_orig!AX62</f>
        <v>0</v>
      </c>
      <c r="BG62" s="188">
        <f>opex_orig!AY62</f>
        <v>2.6991500000000002E-4</v>
      </c>
      <c r="BH62" s="188">
        <f>opex_orig!AZ62</f>
        <v>0</v>
      </c>
      <c r="BI62" s="188">
        <f>opex_orig!BA62</f>
        <v>9.8499999999999995E-5</v>
      </c>
      <c r="BJ62" s="188">
        <f>opex_orig!BB62</f>
        <v>5.4599999999999999E-5</v>
      </c>
      <c r="BK62" s="188">
        <f>opex_orig!BC62</f>
        <v>7.7100000000000004E-5</v>
      </c>
      <c r="BL62" s="188">
        <f>opex_orig!BD62</f>
        <v>1.2999999999999999E-5</v>
      </c>
      <c r="BM62" s="188">
        <f>opex_orig!BE62</f>
        <v>7.6899999999999999E-5</v>
      </c>
      <c r="BN62" s="188">
        <f>opex_orig!BF62</f>
        <v>1.7E-5</v>
      </c>
      <c r="BO62" s="188">
        <f>opex_orig!BG62</f>
        <v>8.0099999999999995E-5</v>
      </c>
      <c r="BP62" s="188">
        <f>opex_orig!$BH62</f>
        <v>5.0749767740199598E-5</v>
      </c>
      <c r="BQ62" s="188">
        <f>opex_orig!$BH62</f>
        <v>5.0749767740199598E-5</v>
      </c>
      <c r="BR62" s="188">
        <f>opex_orig!BI62</f>
        <v>5.9899999999999999E-5</v>
      </c>
      <c r="BS62" s="188">
        <f>opex_orig!BJ62</f>
        <v>6.1199999999999997E-5</v>
      </c>
      <c r="BT62" s="188">
        <f>opex_orig!BK62</f>
        <v>8.5699999999999996E-5</v>
      </c>
      <c r="BU62" s="188">
        <f>opex_orig!BL62</f>
        <v>0</v>
      </c>
      <c r="BV62" s="27">
        <f>opex_orig!BM62</f>
        <v>2.3337663351528999E-4</v>
      </c>
      <c r="BW62" s="27">
        <f>opex_orig!BN62</f>
        <v>1.1780288048634E-4</v>
      </c>
      <c r="BX62" s="27">
        <f>opex_orig!BO62</f>
        <v>1.6770861874597201E-5</v>
      </c>
      <c r="BY62" s="27">
        <f>opex_orig!BP62</f>
        <v>6.05768823091545E-5</v>
      </c>
      <c r="BZ62" s="27">
        <f>opex_orig!BQ62</f>
        <v>2.9777238673887301E-5</v>
      </c>
      <c r="CA62" s="27">
        <f>opex_orig!BR62</f>
        <v>6.8074357841054999E-7</v>
      </c>
      <c r="CB62" s="27">
        <f>opex_orig!BS62</f>
        <v>2.6170445699917101E-4</v>
      </c>
      <c r="CC62" s="27">
        <f>opex_orig!BT62</f>
        <v>2.3385776199689101E-6</v>
      </c>
      <c r="CD62" s="27">
        <f>opex_orig!BU62</f>
        <v>1.7231308360165301E-5</v>
      </c>
      <c r="CE62" s="27">
        <f>opex_orig!BV62</f>
        <v>1.72313083601654E-5</v>
      </c>
      <c r="CF62" s="27">
        <f>opex_orig!BW62</f>
        <v>1.8184810332272801E-6</v>
      </c>
      <c r="CG62" s="27">
        <f>opex_orig!BX62</f>
        <v>3.1793314961076499E-6</v>
      </c>
      <c r="CH62" s="27">
        <f>opex_orig!BY62</f>
        <v>4.6769670057435E-6</v>
      </c>
      <c r="CI62" s="27">
        <f>opex_orig!BZ62</f>
        <v>9.9300000000000001E-5</v>
      </c>
      <c r="CJ62" s="27">
        <f>opex_orig!CA62</f>
        <v>2.0438800000000001E-4</v>
      </c>
      <c r="CK62" s="27">
        <f>opex_orig!CB62</f>
        <v>1.88662E-4</v>
      </c>
      <c r="CL62" s="27">
        <f>opex_orig!CC62</f>
        <v>3.9898899999999998E-4</v>
      </c>
      <c r="CM62" s="27">
        <f>opex_orig!CD62</f>
        <v>2.0018400000000001E-4</v>
      </c>
      <c r="CN62" s="27">
        <f>opex_orig!CE62</f>
        <v>5.5999999999999999E-5</v>
      </c>
      <c r="CO62" s="27">
        <f>opex_orig!CF62</f>
        <v>4.8099999999999997E-5</v>
      </c>
      <c r="CP62" s="27">
        <f>opex_orig!CG62</f>
        <v>2.8099999999999999E-5</v>
      </c>
    </row>
    <row r="63" spans="1:94" x14ac:dyDescent="0.25">
      <c r="A63" s="5" t="s">
        <v>145</v>
      </c>
      <c r="B63" s="2" t="s">
        <v>144</v>
      </c>
      <c r="C63" s="1" t="s">
        <v>328</v>
      </c>
      <c r="D63" s="188">
        <f>opex_orig!D63</f>
        <v>1.3810100000000001E-4</v>
      </c>
      <c r="E63" s="188">
        <f>opex_orig!E63</f>
        <v>8.0400000000000003E-5</v>
      </c>
      <c r="F63" s="188">
        <f>opex_orig!F63</f>
        <v>9.1399999999999999E-5</v>
      </c>
      <c r="G63" s="188">
        <f>opex_orig!G63</f>
        <v>2.1399999999999998E-5</v>
      </c>
      <c r="H63" s="188">
        <f>opex_orig!H63</f>
        <v>2.6999999999999999E-5</v>
      </c>
      <c r="I63" s="188">
        <f>opex_orig!I63</f>
        <v>1.62855E-4</v>
      </c>
      <c r="J63" s="188">
        <f>opex_orig!J63</f>
        <v>3.1242599999999998E-4</v>
      </c>
      <c r="K63" s="188">
        <f>opex_orig!K63</f>
        <v>6.8899999999999994E-5</v>
      </c>
      <c r="L63" s="188">
        <f>opex_orig!L63</f>
        <v>1.6027200000000001E-4</v>
      </c>
      <c r="M63" s="188">
        <f>opex_orig!M63</f>
        <v>3.6304700000000002E-4</v>
      </c>
      <c r="N63" s="188">
        <f>opex_orig!N63</f>
        <v>2.72506E-4</v>
      </c>
      <c r="O63" s="188">
        <f>opex_orig!O63</f>
        <v>1.6671000000000001E-4</v>
      </c>
      <c r="P63" s="188">
        <f>opex_orig!P63</f>
        <v>4.12197E-4</v>
      </c>
      <c r="Q63" s="188">
        <f>opex_orig!Q63</f>
        <v>3.5530099999999998E-4</v>
      </c>
      <c r="R63" s="188">
        <f>opex_orig!R63</f>
        <v>2.0201999999999999E-4</v>
      </c>
      <c r="S63" s="188">
        <f>opex_orig!S63</f>
        <v>1.8314500000000001E-4</v>
      </c>
      <c r="T63" s="188">
        <f>opex_orig!T63</f>
        <v>3.4367000000000002E-4</v>
      </c>
      <c r="U63" s="188">
        <f>opex_orig!U63</f>
        <v>2.7417899999999999E-4</v>
      </c>
      <c r="V63" s="188">
        <f>opex_orig!V63</f>
        <v>2.3948200000000001E-4</v>
      </c>
      <c r="W63" s="188">
        <f>opex_orig!W63</f>
        <v>1.67956E-4</v>
      </c>
      <c r="X63" s="188">
        <f>opex_orig!X63</f>
        <v>1.0389499999999999E-4</v>
      </c>
      <c r="Y63" s="188">
        <f>opex_orig!Y63</f>
        <v>1.5019400000000001E-4</v>
      </c>
      <c r="Z63" s="188">
        <f>opex_orig!Z63</f>
        <v>5.3480300000000004E-4</v>
      </c>
      <c r="AA63" s="188">
        <f>opex_orig!AA63</f>
        <v>2.23928E-4</v>
      </c>
      <c r="AB63" s="188">
        <f>opex_orig!$AB63</f>
        <v>3.6056081440099098E-4</v>
      </c>
      <c r="AC63" s="188">
        <f>opex_orig!$AB63</f>
        <v>3.6056081440099098E-4</v>
      </c>
      <c r="AD63" s="188">
        <f>opex_orig!$AB63</f>
        <v>3.6056081440099098E-4</v>
      </c>
      <c r="AE63" s="188">
        <f>opex_orig!$AC63</f>
        <v>2.2259339230789798E-3</v>
      </c>
      <c r="AF63" s="188">
        <f>opex_orig!$AD63</f>
        <v>1.8265005762136801E-4</v>
      </c>
      <c r="AG63" s="188">
        <f>opex_orig!$AD63</f>
        <v>1.8265005762136801E-4</v>
      </c>
      <c r="AH63" s="188">
        <f>opex_orig!$AD63</f>
        <v>1.8265005762136801E-4</v>
      </c>
      <c r="AI63" s="188">
        <f>opex_orig!AE63</f>
        <v>1.4615900000000001E-4</v>
      </c>
      <c r="AJ63" s="188">
        <f>opex_orig!AF63</f>
        <v>1.481413E-3</v>
      </c>
      <c r="AK63" s="188">
        <f>opex_orig!AG63</f>
        <v>3.1667000000000002E-4</v>
      </c>
      <c r="AL63" s="188">
        <f>opex_orig!AH63</f>
        <v>1.2094799999999999E-4</v>
      </c>
      <c r="AM63" s="188">
        <f>opex_orig!AI63</f>
        <v>1.7768699999999999E-4</v>
      </c>
      <c r="AN63" s="188">
        <f>opex_orig!AJ63</f>
        <v>9.6799999999999995E-5</v>
      </c>
      <c r="AO63" s="188">
        <f>opex_orig!AK63</f>
        <v>1.67863E-4</v>
      </c>
      <c r="AP63" s="188">
        <f>opex_orig!$AL63</f>
        <v>1.2466601208034001E-4</v>
      </c>
      <c r="AQ63" s="188">
        <f>opex_orig!$AL63</f>
        <v>1.2466601208034001E-4</v>
      </c>
      <c r="AR63" s="188">
        <f>opex_orig!$AL63</f>
        <v>1.2466601208034001E-4</v>
      </c>
      <c r="AS63" s="188">
        <f>opex_orig!$AM63</f>
        <v>1.2242188859480101E-4</v>
      </c>
      <c r="AT63" s="188">
        <f>opex_orig!AN63</f>
        <v>3.8483099999999998E-4</v>
      </c>
      <c r="AU63" s="188">
        <f>opex_orig!$AO63</f>
        <v>3.83324242177097E-4</v>
      </c>
      <c r="AV63" s="188">
        <f>opex_orig!$AO63</f>
        <v>3.83324242177097E-4</v>
      </c>
      <c r="AW63" s="188">
        <f>opex_orig!$AO63</f>
        <v>3.83324242177097E-4</v>
      </c>
      <c r="AX63" s="188">
        <f>opex_orig!$AP63</f>
        <v>2.1956015862261999E-4</v>
      </c>
      <c r="AY63" s="188">
        <f>opex_orig!AQ63</f>
        <v>2.74228E-4</v>
      </c>
      <c r="AZ63" s="188">
        <f>opex_orig!AR63</f>
        <v>0</v>
      </c>
      <c r="BA63" s="188">
        <f>opex_orig!AS63</f>
        <v>2.9941199999999999E-4</v>
      </c>
      <c r="BB63" s="188">
        <f>opex_orig!AT63</f>
        <v>2.31874E-4</v>
      </c>
      <c r="BC63" s="188">
        <f>opex_orig!AU63</f>
        <v>9.87E-5</v>
      </c>
      <c r="BD63" s="188">
        <f>opex_orig!AV63</f>
        <v>9.2999999999999997E-5</v>
      </c>
      <c r="BE63" s="188">
        <f>opex_orig!AW63</f>
        <v>2.4434599999999999E-4</v>
      </c>
      <c r="BF63" s="188">
        <f>opex_orig!AX63</f>
        <v>0</v>
      </c>
      <c r="BG63" s="188">
        <f>opex_orig!AY63</f>
        <v>7.5863799999999996E-4</v>
      </c>
      <c r="BH63" s="188">
        <f>opex_orig!AZ63</f>
        <v>0</v>
      </c>
      <c r="BI63" s="188">
        <f>opex_orig!BA63</f>
        <v>2.4843100000000002E-4</v>
      </c>
      <c r="BJ63" s="188">
        <f>opex_orig!BB63</f>
        <v>1.3762299999999999E-4</v>
      </c>
      <c r="BK63" s="188">
        <f>opex_orig!BC63</f>
        <v>1.8881099999999999E-4</v>
      </c>
      <c r="BL63" s="188">
        <f>opex_orig!BD63</f>
        <v>3.4999999999999997E-5</v>
      </c>
      <c r="BM63" s="188">
        <f>opex_orig!BE63</f>
        <v>1.62619E-4</v>
      </c>
      <c r="BN63" s="188">
        <f>opex_orig!BF63</f>
        <v>4.74E-5</v>
      </c>
      <c r="BO63" s="188">
        <f>opex_orig!BG63</f>
        <v>2.1181999999999999E-4</v>
      </c>
      <c r="BP63" s="188">
        <f>opex_orig!$BH63</f>
        <v>1.3084015086350901E-4</v>
      </c>
      <c r="BQ63" s="188">
        <f>opex_orig!$BH63</f>
        <v>1.3084015086350901E-4</v>
      </c>
      <c r="BR63" s="188">
        <f>opex_orig!BI63</f>
        <v>1.58682E-4</v>
      </c>
      <c r="BS63" s="188">
        <f>opex_orig!BJ63</f>
        <v>3.36872E-4</v>
      </c>
      <c r="BT63" s="188">
        <f>opex_orig!BK63</f>
        <v>2.14589E-4</v>
      </c>
      <c r="BU63" s="188">
        <f>opex_orig!BL63</f>
        <v>0</v>
      </c>
      <c r="BV63" s="27">
        <f>opex_orig!BM63</f>
        <v>4.0378078212081599E-4</v>
      </c>
      <c r="BW63" s="27">
        <f>opex_orig!BN63</f>
        <v>2.7017151332727499E-4</v>
      </c>
      <c r="BX63" s="27">
        <f>opex_orig!BO63</f>
        <v>3.71295650137469E-5</v>
      </c>
      <c r="BY63" s="27">
        <f>opex_orig!BP63</f>
        <v>1.20007215329256E-4</v>
      </c>
      <c r="BZ63" s="27">
        <f>opex_orig!BQ63</f>
        <v>7.9920267836684005E-5</v>
      </c>
      <c r="CA63" s="27">
        <f>opex_orig!BR63</f>
        <v>1.5638140723716502E-5</v>
      </c>
      <c r="CB63" s="27">
        <f>opex_orig!BS63</f>
        <v>6.3187416468800004E-4</v>
      </c>
      <c r="CC63" s="27">
        <f>opex_orig!BT63</f>
        <v>5.7497216674023298E-6</v>
      </c>
      <c r="CD63" s="27">
        <f>opex_orig!BU63</f>
        <v>4.0646480043490402E-5</v>
      </c>
      <c r="CE63" s="27">
        <f>opex_orig!BV63</f>
        <v>4.0646480043490503E-5</v>
      </c>
      <c r="CF63" s="27">
        <f>opex_orig!BW63</f>
        <v>8.8242294701234498E-5</v>
      </c>
      <c r="CG63" s="27">
        <f>opex_orig!BX63</f>
        <v>4.0447940430053398E-5</v>
      </c>
      <c r="CH63" s="27">
        <f>opex_orig!BY63</f>
        <v>4.8634088933673199E-5</v>
      </c>
      <c r="CI63" s="27">
        <f>opex_orig!BZ63</f>
        <v>1.93826E-4</v>
      </c>
      <c r="CJ63" s="27">
        <f>opex_orig!CA63</f>
        <v>4.2622500000000002E-4</v>
      </c>
      <c r="CK63" s="27">
        <f>opex_orig!CB63</f>
        <v>3.969E-4</v>
      </c>
      <c r="CL63" s="27">
        <f>opex_orig!CC63</f>
        <v>9.5744600000000003E-4</v>
      </c>
      <c r="CM63" s="27">
        <f>opex_orig!CD63</f>
        <v>4.5836299999999999E-4</v>
      </c>
      <c r="CN63" s="27">
        <f>opex_orig!CE63</f>
        <v>1.40593E-4</v>
      </c>
      <c r="CO63" s="27">
        <f>opex_orig!CF63</f>
        <v>1.14057E-4</v>
      </c>
      <c r="CP63" s="27">
        <f>opex_orig!CG63</f>
        <v>5.8E-5</v>
      </c>
    </row>
    <row r="64" spans="1:94" x14ac:dyDescent="0.25">
      <c r="A64" s="5" t="s">
        <v>147</v>
      </c>
      <c r="B64" s="2" t="s">
        <v>146</v>
      </c>
      <c r="C64" s="1" t="s">
        <v>328</v>
      </c>
      <c r="D64" s="188">
        <f>opex_orig!D64</f>
        <v>5.7996399999999998E-4</v>
      </c>
      <c r="E64" s="188">
        <f>opex_orig!E64</f>
        <v>5.1218699999999999E-4</v>
      </c>
      <c r="F64" s="188">
        <f>opex_orig!F64</f>
        <v>8.8487899999999998E-4</v>
      </c>
      <c r="G64" s="188">
        <f>opex_orig!G64</f>
        <v>2.3E-5</v>
      </c>
      <c r="H64" s="188">
        <f>opex_orig!H64</f>
        <v>7.5900000000000002E-5</v>
      </c>
      <c r="I64" s="188">
        <f>opex_orig!I64</f>
        <v>1.4608710000000001E-3</v>
      </c>
      <c r="J64" s="188">
        <f>opex_orig!J64</f>
        <v>6.7525799999999998E-4</v>
      </c>
      <c r="K64" s="188">
        <f>opex_orig!K64</f>
        <v>8.1000000000000004E-5</v>
      </c>
      <c r="L64" s="188">
        <f>opex_orig!L64</f>
        <v>8.8037399999999996E-4</v>
      </c>
      <c r="M64" s="188">
        <f>opex_orig!M64</f>
        <v>2.570985E-3</v>
      </c>
      <c r="N64" s="188">
        <f>opex_orig!N64</f>
        <v>1.600064E-3</v>
      </c>
      <c r="O64" s="188">
        <f>opex_orig!O64</f>
        <v>3.1153799999999998E-4</v>
      </c>
      <c r="P64" s="188">
        <f>opex_orig!P64</f>
        <v>1.1217902E-2</v>
      </c>
      <c r="Q64" s="188">
        <f>opex_orig!Q64</f>
        <v>1.24603E-3</v>
      </c>
      <c r="R64" s="188">
        <f>opex_orig!R64</f>
        <v>2.4639660000000002E-3</v>
      </c>
      <c r="S64" s="188">
        <f>opex_orig!S64</f>
        <v>8.275559E-3</v>
      </c>
      <c r="T64" s="188">
        <f>opex_orig!T64</f>
        <v>9.0175150000000003E-3</v>
      </c>
      <c r="U64" s="188">
        <f>opex_orig!U64</f>
        <v>7.7545369999999997E-3</v>
      </c>
      <c r="V64" s="188">
        <f>opex_orig!V64</f>
        <v>7.9067459999999992E-3</v>
      </c>
      <c r="W64" s="188">
        <f>opex_orig!W64</f>
        <v>4.5253100000000003E-3</v>
      </c>
      <c r="X64" s="188">
        <f>opex_orig!X64</f>
        <v>1.361098E-3</v>
      </c>
      <c r="Y64" s="188">
        <f>opex_orig!Y64</f>
        <v>5.9655299999999999E-4</v>
      </c>
      <c r="Z64" s="188">
        <f>opex_orig!Z64</f>
        <v>2.4648679999999998E-3</v>
      </c>
      <c r="AA64" s="188">
        <f>opex_orig!AA64</f>
        <v>3.9579399999999999E-4</v>
      </c>
      <c r="AB64" s="188">
        <f>opex_orig!$AB64</f>
        <v>2.2042257166381102E-3</v>
      </c>
      <c r="AC64" s="188">
        <f>opex_orig!$AB64</f>
        <v>2.2042257166381102E-3</v>
      </c>
      <c r="AD64" s="188">
        <f>opex_orig!$AB64</f>
        <v>2.2042257166381102E-3</v>
      </c>
      <c r="AE64" s="188">
        <f>opex_orig!$AC64</f>
        <v>4.4570586660270299E-2</v>
      </c>
      <c r="AF64" s="310">
        <f>opex_concordance!$M$316</f>
        <v>1.1406303800218899E-2</v>
      </c>
      <c r="AG64" s="310">
        <f>opex_concordance!$M$350</f>
        <v>0.42749152900157211</v>
      </c>
      <c r="AH64" s="310">
        <f>opex_concordance!$M$386</f>
        <v>0.47900843110465946</v>
      </c>
      <c r="AI64" s="188">
        <f>opex_orig!AE64</f>
        <v>8.7155059999999996E-3</v>
      </c>
      <c r="AJ64" s="188">
        <f>opex_orig!AF64</f>
        <v>0.14975327999999999</v>
      </c>
      <c r="AK64" s="188">
        <f>opex_orig!AG64</f>
        <v>4.4154410999999998E-2</v>
      </c>
      <c r="AL64" s="188">
        <f>opex_orig!AH64</f>
        <v>3.2357000000000002E-3</v>
      </c>
      <c r="AM64" s="188">
        <f>opex_orig!AI64</f>
        <v>5.2092900000000001E-3</v>
      </c>
      <c r="AN64" s="188">
        <f>opex_orig!AJ64</f>
        <v>4.2058200000000002E-4</v>
      </c>
      <c r="AO64" s="188">
        <f>opex_orig!AK64</f>
        <v>1.762118E-3</v>
      </c>
      <c r="AP64" s="188">
        <f>opex_orig!$AL64</f>
        <v>1.4316934057775001E-3</v>
      </c>
      <c r="AQ64" s="188">
        <f>opex_orig!$AL64</f>
        <v>1.4316934057775001E-3</v>
      </c>
      <c r="AR64" s="188">
        <f>opex_orig!$AL64</f>
        <v>1.4316934057775001E-3</v>
      </c>
      <c r="AS64" s="188">
        <f>opex_orig!$AM64</f>
        <v>1.12922705101354E-3</v>
      </c>
      <c r="AT64" s="188">
        <f>opex_orig!AN64</f>
        <v>1.2114911000000001E-2</v>
      </c>
      <c r="AU64" s="188">
        <f>opex_orig!$AO64</f>
        <v>3.39187735266391E-3</v>
      </c>
      <c r="AV64" s="188">
        <f>opex_orig!$AO64</f>
        <v>3.39187735266391E-3</v>
      </c>
      <c r="AW64" s="188">
        <f>opex_orig!$AO64</f>
        <v>3.39187735266391E-3</v>
      </c>
      <c r="AX64" s="188">
        <f>opex_orig!$AP64</f>
        <v>2.47931653747941E-3</v>
      </c>
      <c r="AY64" s="188">
        <f>opex_orig!AQ64</f>
        <v>3.817955E-3</v>
      </c>
      <c r="AZ64" s="188">
        <f>opex_orig!AR64</f>
        <v>0</v>
      </c>
      <c r="BA64" s="188">
        <f>opex_orig!AS64</f>
        <v>1.5668912E-2</v>
      </c>
      <c r="BB64" s="188">
        <f>opex_orig!AT64</f>
        <v>1.6649884E-2</v>
      </c>
      <c r="BC64" s="188">
        <f>opex_orig!AU64</f>
        <v>5.6799999999999998E-5</v>
      </c>
      <c r="BD64" s="188">
        <f>opex_orig!AV64</f>
        <v>3.4700000000000003E-5</v>
      </c>
      <c r="BE64" s="188">
        <f>opex_orig!AW64</f>
        <v>1.66336E-3</v>
      </c>
      <c r="BF64" s="188">
        <f>opex_orig!AX64</f>
        <v>0</v>
      </c>
      <c r="BG64" s="188">
        <f>opex_orig!AY64</f>
        <v>3.1114010000000002E-3</v>
      </c>
      <c r="BH64" s="188">
        <f>opex_orig!AZ64</f>
        <v>0</v>
      </c>
      <c r="BI64" s="188">
        <f>opex_orig!BA64</f>
        <v>1.9494860000000001E-3</v>
      </c>
      <c r="BJ64" s="188">
        <f>opex_orig!BB64</f>
        <v>2.1752130000000001E-3</v>
      </c>
      <c r="BK64" s="188">
        <f>opex_orig!BC64</f>
        <v>4.667671E-3</v>
      </c>
      <c r="BL64" s="188">
        <f>opex_orig!BD64</f>
        <v>1.212606E-3</v>
      </c>
      <c r="BM64" s="188">
        <f>opex_orig!BE64</f>
        <v>1.9972779999999999E-3</v>
      </c>
      <c r="BN64" s="188">
        <f>opex_orig!BF64</f>
        <v>2.58342E-4</v>
      </c>
      <c r="BO64" s="188">
        <f>opex_orig!BG64</f>
        <v>1.1760915E-2</v>
      </c>
      <c r="BP64" s="188">
        <f>opex_orig!$BH64</f>
        <v>2.0342040691661602E-3</v>
      </c>
      <c r="BQ64" s="188">
        <f>opex_orig!$BH64</f>
        <v>2.0342040691661602E-3</v>
      </c>
      <c r="BR64" s="188">
        <f>opex_orig!BI64</f>
        <v>4.5168079999999998E-3</v>
      </c>
      <c r="BS64" s="188">
        <f>opex_orig!BJ64</f>
        <v>1.4423195999999999E-2</v>
      </c>
      <c r="BT64" s="188">
        <f>opex_orig!BK64</f>
        <v>8.0183000000000001E-4</v>
      </c>
      <c r="BU64" s="188">
        <f>opex_orig!BL64</f>
        <v>0</v>
      </c>
      <c r="BV64" s="27">
        <f>opex_orig!BM64</f>
        <v>2.7765967472823802E-3</v>
      </c>
      <c r="BW64" s="27">
        <f>opex_orig!BN64</f>
        <v>7.0667204203045198E-3</v>
      </c>
      <c r="BX64" s="27">
        <f>opex_orig!BO64</f>
        <v>3.0400986403840598E-4</v>
      </c>
      <c r="BY64" s="27">
        <f>opex_orig!BP64</f>
        <v>6.4582055732463996E-4</v>
      </c>
      <c r="BZ64" s="27">
        <f>opex_orig!BQ64</f>
        <v>3.5160664653442801E-4</v>
      </c>
      <c r="CA64" s="27">
        <f>opex_orig!BR64</f>
        <v>4.28686849520238E-5</v>
      </c>
      <c r="CB64" s="27">
        <f>opex_orig!BS64</f>
        <v>3.41189186834187E-3</v>
      </c>
      <c r="CC64" s="27">
        <f>opex_orig!BT64</f>
        <v>9.0550874091126105E-5</v>
      </c>
      <c r="CD64" s="27">
        <f>opex_orig!BU64</f>
        <v>3.9854906591850902E-5</v>
      </c>
      <c r="CE64" s="27">
        <f>opex_orig!BV64</f>
        <v>3.9854906591850997E-5</v>
      </c>
      <c r="CF64" s="27">
        <f>opex_orig!BW64</f>
        <v>2.1433848738768201E-4</v>
      </c>
      <c r="CG64" s="27">
        <f>opex_orig!BX64</f>
        <v>1.3941962730929999E-4</v>
      </c>
      <c r="CH64" s="27">
        <f>opex_orig!BY64</f>
        <v>2.1502274434193099E-4</v>
      </c>
      <c r="CI64" s="27">
        <f>opex_orig!BZ64</f>
        <v>1.604671E-3</v>
      </c>
      <c r="CJ64" s="27">
        <f>opex_orig!CA64</f>
        <v>2.3156660000000001E-3</v>
      </c>
      <c r="CK64" s="27">
        <f>opex_orig!CB64</f>
        <v>1.572007E-3</v>
      </c>
      <c r="CL64" s="27">
        <f>opex_orig!CC64</f>
        <v>5.4015410000000002E-3</v>
      </c>
      <c r="CM64" s="27">
        <f>opex_orig!CD64</f>
        <v>1.1908609000000001E-2</v>
      </c>
      <c r="CN64" s="27">
        <f>opex_orig!CE64</f>
        <v>2.4617480000000001E-3</v>
      </c>
      <c r="CO64" s="27">
        <f>opex_orig!CF64</f>
        <v>6.5441800000000004E-4</v>
      </c>
      <c r="CP64" s="27">
        <f>opex_orig!CG64</f>
        <v>1.8134800000000001E-4</v>
      </c>
    </row>
    <row r="65" spans="1:94" x14ac:dyDescent="0.25">
      <c r="A65" s="5" t="s">
        <v>149</v>
      </c>
      <c r="B65" s="2" t="s">
        <v>148</v>
      </c>
      <c r="C65" s="1" t="s">
        <v>328</v>
      </c>
      <c r="D65" s="188">
        <f>opex_orig!D65</f>
        <v>5.3262561999999999E-2</v>
      </c>
      <c r="E65" s="188">
        <f>opex_orig!E65</f>
        <v>5.7573879999999996E-3</v>
      </c>
      <c r="F65" s="188">
        <f>opex_orig!F65</f>
        <v>3.306668E-3</v>
      </c>
      <c r="G65" s="188">
        <f>opex_orig!G65</f>
        <v>3.7293200000000003E-4</v>
      </c>
      <c r="H65" s="188">
        <f>opex_orig!H65</f>
        <v>9.0833099999999996E-4</v>
      </c>
      <c r="I65" s="188">
        <f>opex_orig!I65</f>
        <v>5.4413309999999998E-3</v>
      </c>
      <c r="J65" s="188">
        <f>opex_orig!J65</f>
        <v>2.2994270000000002E-3</v>
      </c>
      <c r="K65" s="188">
        <f>opex_orig!K65</f>
        <v>1.3048929999999999E-3</v>
      </c>
      <c r="L65" s="188">
        <f>opex_orig!L65</f>
        <v>4.4665399999999997E-3</v>
      </c>
      <c r="M65" s="188">
        <f>opex_orig!M65</f>
        <v>8.4307879999999998E-3</v>
      </c>
      <c r="N65" s="188">
        <f>opex_orig!N65</f>
        <v>5.1798620000000004E-3</v>
      </c>
      <c r="O65" s="188">
        <f>opex_orig!O65</f>
        <v>1.197601E-3</v>
      </c>
      <c r="P65" s="188">
        <f>opex_orig!P65</f>
        <v>1.8145343000000001E-2</v>
      </c>
      <c r="Q65" s="188">
        <f>opex_orig!Q65</f>
        <v>4.7844510000000003E-3</v>
      </c>
      <c r="R65" s="188">
        <f>opex_orig!R65</f>
        <v>7.0141659999999996E-3</v>
      </c>
      <c r="S65" s="188">
        <f>opex_orig!S65</f>
        <v>2.670838E-3</v>
      </c>
      <c r="T65" s="188">
        <f>opex_orig!T65</f>
        <v>2.9346939999999998E-3</v>
      </c>
      <c r="U65" s="188">
        <f>opex_orig!U65</f>
        <v>1.9943890000000001E-3</v>
      </c>
      <c r="V65" s="188">
        <f>opex_orig!V65</f>
        <v>1.597355E-3</v>
      </c>
      <c r="W65" s="188">
        <f>opex_orig!W65</f>
        <v>5.5031999999999998E-3</v>
      </c>
      <c r="X65" s="188">
        <f>opex_orig!X65</f>
        <v>3.522889E-3</v>
      </c>
      <c r="Y65" s="188">
        <f>opex_orig!Y65</f>
        <v>6.1660899999999995E-4</v>
      </c>
      <c r="Z65" s="188">
        <f>opex_orig!Z65</f>
        <v>1.1095479999999999E-3</v>
      </c>
      <c r="AA65" s="188">
        <f>opex_orig!AA65</f>
        <v>6.2511620000000002E-3</v>
      </c>
      <c r="AB65" s="188">
        <f>opex_orig!$AB65</f>
        <v>4.6992534331772001E-4</v>
      </c>
      <c r="AC65" s="188">
        <f>opex_orig!$AB65</f>
        <v>4.6992534331772001E-4</v>
      </c>
      <c r="AD65" s="188">
        <f>opex_orig!$AB65</f>
        <v>4.6992534331772001E-4</v>
      </c>
      <c r="AE65" s="188">
        <f>opex_orig!$AC65</f>
        <v>1.1287589183924601E-3</v>
      </c>
      <c r="AF65" s="188">
        <f>opex_orig!$AD65</f>
        <v>9.6401302934476902E-4</v>
      </c>
      <c r="AG65" s="188">
        <f>opex_orig!$AD65</f>
        <v>9.6401302934476902E-4</v>
      </c>
      <c r="AH65" s="188">
        <f>opex_orig!$AD65</f>
        <v>9.6401302934476902E-4</v>
      </c>
      <c r="AI65" s="188">
        <f>opex_orig!AE65</f>
        <v>8.3403800000000005E-4</v>
      </c>
      <c r="AJ65" s="188">
        <f>opex_orig!AF65</f>
        <v>5.1474240000000003E-3</v>
      </c>
      <c r="AK65" s="188">
        <f>opex_orig!AG65</f>
        <v>0.24498441800000001</v>
      </c>
      <c r="AL65" s="188">
        <f>opex_orig!AH65</f>
        <v>1.1956222000000001E-2</v>
      </c>
      <c r="AM65" s="188">
        <f>opex_orig!AI65</f>
        <v>2.2098737E-2</v>
      </c>
      <c r="AN65" s="188">
        <f>opex_orig!AJ65</f>
        <v>3.0897519999999999E-3</v>
      </c>
      <c r="AO65" s="188">
        <f>opex_orig!AK65</f>
        <v>5.9614000000000004E-3</v>
      </c>
      <c r="AP65" s="188">
        <f>opex_orig!$AL65</f>
        <v>4.6055889891371601E-3</v>
      </c>
      <c r="AQ65" s="188">
        <f>opex_orig!$AL65</f>
        <v>4.6055889891371601E-3</v>
      </c>
      <c r="AR65" s="188">
        <f>opex_orig!$AL65</f>
        <v>4.6055889891371601E-3</v>
      </c>
      <c r="AS65" s="188">
        <f>opex_orig!$AM65</f>
        <v>4.22950635125585E-3</v>
      </c>
      <c r="AT65" s="188">
        <f>opex_orig!AN65</f>
        <v>1.0032671999999999E-2</v>
      </c>
      <c r="AU65" s="188">
        <f>opex_orig!$AO65</f>
        <v>3.76500652309861E-3</v>
      </c>
      <c r="AV65" s="188">
        <f>opex_orig!$AO65</f>
        <v>3.76500652309861E-3</v>
      </c>
      <c r="AW65" s="188">
        <f>opex_orig!$AO65</f>
        <v>3.76500652309861E-3</v>
      </c>
      <c r="AX65" s="188">
        <f>opex_orig!$AP65</f>
        <v>4.30433151244357E-3</v>
      </c>
      <c r="AY65" s="188">
        <f>opex_orig!AQ65</f>
        <v>4.8301209999999997E-3</v>
      </c>
      <c r="AZ65" s="188">
        <f>opex_orig!AR65</f>
        <v>0</v>
      </c>
      <c r="BA65" s="188">
        <f>opex_orig!AS65</f>
        <v>4.1085569999999997E-3</v>
      </c>
      <c r="BB65" s="188">
        <f>opex_orig!AT65</f>
        <v>3.9688500000000003E-3</v>
      </c>
      <c r="BC65" s="188">
        <f>opex_orig!AU65</f>
        <v>8.09934E-4</v>
      </c>
      <c r="BD65" s="188">
        <f>opex_orig!AV65</f>
        <v>5.9336199999999995E-4</v>
      </c>
      <c r="BE65" s="188">
        <f>opex_orig!AW65</f>
        <v>2.5711380000000002E-3</v>
      </c>
      <c r="BF65" s="188">
        <f>opex_orig!AX65</f>
        <v>0</v>
      </c>
      <c r="BG65" s="188">
        <f>opex_orig!AY65</f>
        <v>3.119915E-3</v>
      </c>
      <c r="BH65" s="188">
        <f>opex_orig!AZ65</f>
        <v>0</v>
      </c>
      <c r="BI65" s="188">
        <f>opex_orig!BA65</f>
        <v>7.3311310000000003E-3</v>
      </c>
      <c r="BJ65" s="188">
        <f>opex_orig!BB65</f>
        <v>5.089921E-2</v>
      </c>
      <c r="BK65" s="188">
        <f>opex_orig!BC65</f>
        <v>1.2255271999999999E-2</v>
      </c>
      <c r="BL65" s="188">
        <f>opex_orig!BD65</f>
        <v>2.5856920000000001E-3</v>
      </c>
      <c r="BM65" s="188">
        <f>opex_orig!BE65</f>
        <v>4.7650495000000001E-2</v>
      </c>
      <c r="BN65" s="188">
        <f>opex_orig!BF65</f>
        <v>2.0899226999999999E-2</v>
      </c>
      <c r="BO65" s="188">
        <f>opex_orig!BG65</f>
        <v>5.6369130000000003E-2</v>
      </c>
      <c r="BP65" s="207">
        <f>opex_concordance!M81</f>
        <v>0.10771830391873523</v>
      </c>
      <c r="BQ65" s="207">
        <f>opex_concordance!M124</f>
        <v>7.0182951702667834E-2</v>
      </c>
      <c r="BR65" s="188">
        <f>opex_orig!BI65</f>
        <v>0.12839708599999999</v>
      </c>
      <c r="BS65" s="188">
        <f>opex_orig!BJ65</f>
        <v>5.3317679E-2</v>
      </c>
      <c r="BT65" s="188">
        <f>opex_orig!BK65</f>
        <v>3.1668310000000002E-3</v>
      </c>
      <c r="BU65" s="188">
        <f>opex_orig!BL65</f>
        <v>0</v>
      </c>
      <c r="BV65" s="27">
        <f>opex_orig!BM65</f>
        <v>5.5924871132915198E-4</v>
      </c>
      <c r="BW65" s="27">
        <f>opex_orig!BN65</f>
        <v>1.1175155931112701E-3</v>
      </c>
      <c r="BX65" s="27">
        <f>opex_orig!BO65</f>
        <v>2.4858751394540998E-4</v>
      </c>
      <c r="BY65" s="27">
        <f>opex_orig!BP65</f>
        <v>2.6862867780571003E-4</v>
      </c>
      <c r="BZ65" s="27">
        <f>opex_orig!BQ65</f>
        <v>2.6930313068557503E-4</v>
      </c>
      <c r="CA65" s="27">
        <f>opex_orig!BR65</f>
        <v>1.30894473031693E-3</v>
      </c>
      <c r="CB65" s="27">
        <f>opex_orig!BS65</f>
        <v>8.9016511857446204E-4</v>
      </c>
      <c r="CC65" s="27">
        <f>opex_orig!BT65</f>
        <v>2.3038990170977299E-4</v>
      </c>
      <c r="CD65" s="27">
        <f>opex_orig!BU65</f>
        <v>1.2965019129684E-4</v>
      </c>
      <c r="CE65" s="27">
        <f>opex_orig!BV65</f>
        <v>1.2965019129684E-4</v>
      </c>
      <c r="CF65" s="27">
        <f>opex_orig!BW65</f>
        <v>2.0969729293529899E-4</v>
      </c>
      <c r="CG65" s="27">
        <f>opex_orig!BX65</f>
        <v>5.4567809563830702E-4</v>
      </c>
      <c r="CH65" s="27">
        <f>opex_orig!BY65</f>
        <v>6.11900375810515E-5</v>
      </c>
      <c r="CI65" s="27">
        <f>opex_orig!BZ65</f>
        <v>5.0048400000000004E-4</v>
      </c>
      <c r="CJ65" s="27">
        <f>opex_orig!CA65</f>
        <v>3.23049E-4</v>
      </c>
      <c r="CK65" s="27">
        <f>opex_orig!CB65</f>
        <v>3.5768799999999999E-4</v>
      </c>
      <c r="CL65" s="27">
        <f>opex_orig!CC65</f>
        <v>1.8170099999999999E-4</v>
      </c>
      <c r="CM65" s="27">
        <f>opex_orig!CD65</f>
        <v>1.679701E-3</v>
      </c>
      <c r="CN65" s="27">
        <f>opex_orig!CE65</f>
        <v>8.0326599999999996E-4</v>
      </c>
      <c r="CO65" s="27">
        <f>opex_orig!CF65</f>
        <v>5.0401070000000003E-3</v>
      </c>
      <c r="CP65" s="27">
        <f>opex_orig!CG65</f>
        <v>7.7054000000000001E-4</v>
      </c>
    </row>
    <row r="66" spans="1:94" x14ac:dyDescent="0.25">
      <c r="A66" s="5" t="s">
        <v>151</v>
      </c>
      <c r="B66" s="2" t="s">
        <v>150</v>
      </c>
      <c r="C66" s="1" t="s">
        <v>329</v>
      </c>
      <c r="D66" s="188">
        <f>opex_orig!D66</f>
        <v>1.1131590000000001E-3</v>
      </c>
      <c r="E66" s="188">
        <f>opex_orig!E66</f>
        <v>1.9931340000000001E-3</v>
      </c>
      <c r="F66" s="188">
        <f>opex_orig!F66</f>
        <v>9.6612800000000002E-4</v>
      </c>
      <c r="G66" s="188">
        <f>opex_orig!G66</f>
        <v>1.58858E-4</v>
      </c>
      <c r="H66" s="188">
        <f>opex_orig!H66</f>
        <v>2.8246E-4</v>
      </c>
      <c r="I66" s="188">
        <f>opex_orig!I66</f>
        <v>6.9450140000000002E-3</v>
      </c>
      <c r="J66" s="188">
        <f>opex_orig!J66</f>
        <v>5.5066299999999996E-4</v>
      </c>
      <c r="K66" s="188">
        <f>opex_orig!K66</f>
        <v>4.6344300000000001E-4</v>
      </c>
      <c r="L66" s="188">
        <f>opex_orig!L66</f>
        <v>3.6880900000000002E-3</v>
      </c>
      <c r="M66" s="188">
        <f>opex_orig!M66</f>
        <v>8.7687640000000001E-3</v>
      </c>
      <c r="N66" s="188">
        <f>opex_orig!N66</f>
        <v>4.5349379999999996E-3</v>
      </c>
      <c r="O66" s="188">
        <f>opex_orig!O66</f>
        <v>4.2832100000000001E-4</v>
      </c>
      <c r="P66" s="188">
        <f>opex_orig!P66</f>
        <v>2.1539584000000001E-2</v>
      </c>
      <c r="Q66" s="188">
        <f>opex_orig!Q66</f>
        <v>1.030675E-3</v>
      </c>
      <c r="R66" s="188">
        <f>opex_orig!R66</f>
        <v>9.69701E-4</v>
      </c>
      <c r="S66" s="188">
        <f>opex_orig!S66</f>
        <v>8.4226200000000005E-3</v>
      </c>
      <c r="T66" s="188">
        <f>opex_orig!T66</f>
        <v>8.9722110000000008E-3</v>
      </c>
      <c r="U66" s="188">
        <f>opex_orig!U66</f>
        <v>3.80336E-4</v>
      </c>
      <c r="V66" s="188">
        <f>opex_orig!V66</f>
        <v>4.5101700000000001E-4</v>
      </c>
      <c r="W66" s="188">
        <f>opex_orig!W66</f>
        <v>2.9436399999999998E-4</v>
      </c>
      <c r="X66" s="188">
        <f>opex_orig!X66</f>
        <v>2.30442E-4</v>
      </c>
      <c r="Y66" s="188">
        <f>opex_orig!Y66</f>
        <v>2.0903499999999999E-4</v>
      </c>
      <c r="Z66" s="188">
        <f>opex_orig!Z66</f>
        <v>2.0092740000000001E-3</v>
      </c>
      <c r="AA66" s="188">
        <f>opex_orig!AA66</f>
        <v>7.3797499999999998E-4</v>
      </c>
      <c r="AB66" s="188">
        <f>opex_orig!$AB66</f>
        <v>4.1560928907110998E-4</v>
      </c>
      <c r="AC66" s="188">
        <f>opex_orig!$AB66</f>
        <v>4.1560928907110998E-4</v>
      </c>
      <c r="AD66" s="188">
        <f>opex_orig!$AB66</f>
        <v>4.1560928907110998E-4</v>
      </c>
      <c r="AE66" s="188">
        <f>opex_orig!$AC66</f>
        <v>1.3185645507289799E-3</v>
      </c>
      <c r="AF66" s="188">
        <f>opex_orig!$AD66</f>
        <v>4.2238793687378399E-4</v>
      </c>
      <c r="AG66" s="188">
        <f>opex_orig!$AD66</f>
        <v>4.2238793687378399E-4</v>
      </c>
      <c r="AH66" s="188">
        <f>opex_orig!$AD66</f>
        <v>4.2238793687378399E-4</v>
      </c>
      <c r="AI66" s="188">
        <f>opex_orig!AE66</f>
        <v>3.6867200000000001E-4</v>
      </c>
      <c r="AJ66" s="188">
        <f>opex_orig!AF66</f>
        <v>8.0632389999999998E-3</v>
      </c>
      <c r="AK66" s="188">
        <f>opex_orig!AG66</f>
        <v>1.276959E-3</v>
      </c>
      <c r="AL66" s="188">
        <f>opex_orig!AH66</f>
        <v>0.36272555400000001</v>
      </c>
      <c r="AM66" s="188">
        <f>opex_orig!AI66</f>
        <v>1.210453E-3</v>
      </c>
      <c r="AN66" s="188">
        <f>opex_orig!AJ66</f>
        <v>1.375315E-3</v>
      </c>
      <c r="AO66" s="188">
        <f>opex_orig!AK66</f>
        <v>2.6382710000000002E-3</v>
      </c>
      <c r="AP66" s="188">
        <f>opex_orig!$AL66</f>
        <v>2.5791858495999801E-3</v>
      </c>
      <c r="AQ66" s="188">
        <f>opex_orig!$AL66</f>
        <v>2.5791858495999801E-3</v>
      </c>
      <c r="AR66" s="188">
        <f>opex_orig!$AL66</f>
        <v>2.5791858495999801E-3</v>
      </c>
      <c r="AS66" s="188">
        <f>opex_orig!$AM66</f>
        <v>2.4088449482827E-3</v>
      </c>
      <c r="AT66" s="188">
        <f>opex_orig!AN66</f>
        <v>1.6485584000000001E-2</v>
      </c>
      <c r="AU66" s="188">
        <f>opex_orig!$AO66</f>
        <v>4.5868093885071602E-4</v>
      </c>
      <c r="AV66" s="188">
        <f>opex_orig!$AO66</f>
        <v>4.5868093885071602E-4</v>
      </c>
      <c r="AW66" s="188">
        <f>opex_orig!$AO66</f>
        <v>4.5868093885071602E-4</v>
      </c>
      <c r="AX66" s="188">
        <f>opex_orig!$AP66</f>
        <v>4.8855275370873405E-4</v>
      </c>
      <c r="AY66" s="188">
        <f>opex_orig!AQ66</f>
        <v>6.2733400000000001E-4</v>
      </c>
      <c r="AZ66" s="188">
        <f>opex_orig!AR66</f>
        <v>0</v>
      </c>
      <c r="BA66" s="188">
        <f>opex_orig!AS66</f>
        <v>5.6981299999999996E-4</v>
      </c>
      <c r="BB66" s="188">
        <f>opex_orig!AT66</f>
        <v>5.1449999999999998E-4</v>
      </c>
      <c r="BC66" s="188">
        <f>opex_orig!AU66</f>
        <v>1.9860400000000001E-4</v>
      </c>
      <c r="BD66" s="188">
        <f>opex_orig!AV66</f>
        <v>1.72659E-4</v>
      </c>
      <c r="BE66" s="188">
        <f>opex_orig!AW66</f>
        <v>3.4730200000000002E-4</v>
      </c>
      <c r="BF66" s="188">
        <f>opex_orig!AX66</f>
        <v>0</v>
      </c>
      <c r="BG66" s="188">
        <f>opex_orig!AY66</f>
        <v>8.6067999999999995E-4</v>
      </c>
      <c r="BH66" s="188">
        <f>opex_orig!AZ66</f>
        <v>0</v>
      </c>
      <c r="BI66" s="188">
        <f>opex_orig!BA66</f>
        <v>5.91864E-4</v>
      </c>
      <c r="BJ66" s="188">
        <f>opex_orig!BB66</f>
        <v>4.7521610000000004E-3</v>
      </c>
      <c r="BK66" s="188">
        <f>opex_orig!BC66</f>
        <v>2.4566919999999999E-3</v>
      </c>
      <c r="BL66" s="188">
        <f>opex_orig!BD66</f>
        <v>2.8680999999999997E-4</v>
      </c>
      <c r="BM66" s="188">
        <f>opex_orig!BE66</f>
        <v>5.0556489999999997E-3</v>
      </c>
      <c r="BN66" s="188">
        <f>opex_orig!BF66</f>
        <v>4.8198099999999998E-4</v>
      </c>
      <c r="BO66" s="188">
        <f>opex_orig!BG66</f>
        <v>1.8943930000000001E-3</v>
      </c>
      <c r="BP66" s="188">
        <f>opex_orig!$BH66</f>
        <v>1.45188643206604E-3</v>
      </c>
      <c r="BQ66" s="188">
        <f>opex_orig!$BH66</f>
        <v>1.45188643206604E-3</v>
      </c>
      <c r="BR66" s="188">
        <f>opex_orig!BI66</f>
        <v>5.4568289999999998E-3</v>
      </c>
      <c r="BS66" s="188">
        <f>opex_orig!BJ66</f>
        <v>7.8891699999999998E-4</v>
      </c>
      <c r="BT66" s="188">
        <f>opex_orig!BK66</f>
        <v>2.2188400000000001E-3</v>
      </c>
      <c r="BU66" s="188">
        <f>opex_orig!BL66</f>
        <v>0</v>
      </c>
      <c r="BV66" s="27">
        <f>opex_orig!BM66</f>
        <v>2.62868139358329E-4</v>
      </c>
      <c r="BW66" s="27">
        <f>opex_orig!BN66</f>
        <v>3.5803182564101798E-4</v>
      </c>
      <c r="BX66" s="27">
        <f>opex_orig!BO66</f>
        <v>1.1051343880352299E-4</v>
      </c>
      <c r="BY66" s="27">
        <f>opex_orig!BP66</f>
        <v>1.60881152947943E-4</v>
      </c>
      <c r="BZ66" s="27">
        <f>opex_orig!BQ66</f>
        <v>2.23369339827643E-4</v>
      </c>
      <c r="CA66" s="27">
        <f>opex_orig!BR66</f>
        <v>1.3922943420973299E-4</v>
      </c>
      <c r="CB66" s="27">
        <f>opex_orig!BS66</f>
        <v>7.7051574170377201E-4</v>
      </c>
      <c r="CC66" s="27">
        <f>opex_orig!BT66</f>
        <v>4.13705596051194E-6</v>
      </c>
      <c r="CD66" s="27">
        <f>opex_orig!BU66</f>
        <v>1.11331097744129E-4</v>
      </c>
      <c r="CE66" s="27">
        <f>opex_orig!BV66</f>
        <v>1.11331097744129E-4</v>
      </c>
      <c r="CF66" s="27">
        <f>opex_orig!BW66</f>
        <v>2.1506333903644599E-5</v>
      </c>
      <c r="CG66" s="27">
        <f>opex_orig!BX66</f>
        <v>3.8072718869367899E-6</v>
      </c>
      <c r="CH66" s="27">
        <f>opex_orig!BY66</f>
        <v>5.0628325175984399E-6</v>
      </c>
      <c r="CI66" s="27">
        <f>opex_orig!BZ66</f>
        <v>2.4065800000000001E-4</v>
      </c>
      <c r="CJ66" s="27">
        <f>opex_orig!CA66</f>
        <v>1.97166E-4</v>
      </c>
      <c r="CK66" s="27">
        <f>opex_orig!CB66</f>
        <v>2.0719600000000001E-4</v>
      </c>
      <c r="CL66" s="27">
        <f>opex_orig!CC66</f>
        <v>1.52044E-4</v>
      </c>
      <c r="CM66" s="27">
        <f>opex_orig!CD66</f>
        <v>7.4373899999999999E-4</v>
      </c>
      <c r="CN66" s="27">
        <f>opex_orig!CE66</f>
        <v>3.96315E-4</v>
      </c>
      <c r="CO66" s="27">
        <f>opex_orig!CF66</f>
        <v>2.8015520000000001E-3</v>
      </c>
      <c r="CP66" s="27">
        <f>opex_orig!CG66</f>
        <v>2.4336900000000001E-4</v>
      </c>
    </row>
    <row r="67" spans="1:94" x14ac:dyDescent="0.25">
      <c r="A67" s="5" t="s">
        <v>153</v>
      </c>
      <c r="B67" s="2" t="s">
        <v>152</v>
      </c>
      <c r="C67" s="1" t="s">
        <v>329</v>
      </c>
      <c r="D67" s="188">
        <f>opex_orig!D67</f>
        <v>1.3011399999999999E-4</v>
      </c>
      <c r="E67" s="188">
        <f>opex_orig!E67</f>
        <v>2.4769100000000002E-4</v>
      </c>
      <c r="F67" s="188">
        <f>opex_orig!F67</f>
        <v>1.1056300000000001E-4</v>
      </c>
      <c r="G67" s="188">
        <f>opex_orig!G67</f>
        <v>1.8899999999999999E-5</v>
      </c>
      <c r="H67" s="188">
        <f>opex_orig!H67</f>
        <v>3.3000000000000003E-5</v>
      </c>
      <c r="I67" s="188">
        <f>opex_orig!I67</f>
        <v>8.8240599999999997E-4</v>
      </c>
      <c r="J67" s="188">
        <f>opex_orig!J67</f>
        <v>5.0399999999999999E-5</v>
      </c>
      <c r="K67" s="188">
        <f>opex_orig!K67</f>
        <v>5.38E-5</v>
      </c>
      <c r="L67" s="188">
        <f>opex_orig!L67</f>
        <v>4.5881200000000001E-4</v>
      </c>
      <c r="M67" s="188">
        <f>opex_orig!M67</f>
        <v>1.0828999999999999E-3</v>
      </c>
      <c r="N67" s="188">
        <f>opex_orig!N67</f>
        <v>5.44379E-4</v>
      </c>
      <c r="O67" s="188">
        <f>opex_orig!O67</f>
        <v>3.7499999999999997E-5</v>
      </c>
      <c r="P67" s="188">
        <f>opex_orig!P67</f>
        <v>2.642967E-3</v>
      </c>
      <c r="Q67" s="188">
        <f>opex_orig!Q67</f>
        <v>9.7E-5</v>
      </c>
      <c r="R67" s="188">
        <f>opex_orig!R67</f>
        <v>1.01E-4</v>
      </c>
      <c r="S67" s="188">
        <f>opex_orig!S67</f>
        <v>1.055814E-3</v>
      </c>
      <c r="T67" s="188">
        <f>opex_orig!T67</f>
        <v>1.120642E-3</v>
      </c>
      <c r="U67" s="188">
        <f>opex_orig!U67</f>
        <v>3.6399999999999997E-5</v>
      </c>
      <c r="V67" s="188">
        <f>opex_orig!V67</f>
        <v>4.2899999999999999E-5</v>
      </c>
      <c r="W67" s="188">
        <f>opex_orig!W67</f>
        <v>2.83E-5</v>
      </c>
      <c r="X67" s="188">
        <f>opex_orig!X67</f>
        <v>2.1100000000000001E-5</v>
      </c>
      <c r="Y67" s="188">
        <f>opex_orig!Y67</f>
        <v>2.34E-5</v>
      </c>
      <c r="Z67" s="188">
        <f>opex_orig!Z67</f>
        <v>1.7585699999999999E-4</v>
      </c>
      <c r="AA67" s="188">
        <f>opex_orig!AA67</f>
        <v>7.2100000000000004E-5</v>
      </c>
      <c r="AB67" s="188">
        <f>opex_orig!$AB67</f>
        <v>4.9587168488963299E-5</v>
      </c>
      <c r="AC67" s="188">
        <f>opex_orig!$AB67</f>
        <v>4.9587168488963299E-5</v>
      </c>
      <c r="AD67" s="188">
        <f>opex_orig!$AB67</f>
        <v>4.9587168488963299E-5</v>
      </c>
      <c r="AE67" s="188">
        <f>opex_orig!$AC67</f>
        <v>1.39257945647667E-4</v>
      </c>
      <c r="AF67" s="188">
        <f>opex_orig!$AD67</f>
        <v>4.1872903356080798E-5</v>
      </c>
      <c r="AG67" s="188">
        <f>opex_orig!$AD67</f>
        <v>4.1872903356080798E-5</v>
      </c>
      <c r="AH67" s="188">
        <f>opex_orig!$AD67</f>
        <v>4.1872903356080798E-5</v>
      </c>
      <c r="AI67" s="188">
        <f>opex_orig!AE67</f>
        <v>3.7700000000000002E-5</v>
      </c>
      <c r="AJ67" s="188">
        <f>opex_orig!AF67</f>
        <v>9.7210999999999999E-4</v>
      </c>
      <c r="AK67" s="188">
        <f>opex_orig!AG67</f>
        <v>1.4866200000000001E-4</v>
      </c>
      <c r="AL67" s="188">
        <f>opex_orig!AH67</f>
        <v>4.6716127000000003E-2</v>
      </c>
      <c r="AM67" s="188">
        <f>opex_orig!AI67</f>
        <v>1.46606E-4</v>
      </c>
      <c r="AN67" s="188">
        <f>opex_orig!AJ67</f>
        <v>1.5524899999999999E-4</v>
      </c>
      <c r="AO67" s="188">
        <f>opex_orig!AK67</f>
        <v>3.0996399999999998E-4</v>
      </c>
      <c r="AP67" s="188">
        <f>opex_orig!$AL67</f>
        <v>2.9090678961120401E-4</v>
      </c>
      <c r="AQ67" s="188">
        <f>opex_orig!$AL67</f>
        <v>2.9090678961120401E-4</v>
      </c>
      <c r="AR67" s="188">
        <f>opex_orig!$AL67</f>
        <v>2.9090678961120401E-4</v>
      </c>
      <c r="AS67" s="188">
        <f>opex_orig!$AM67</f>
        <v>2.68037201078195E-4</v>
      </c>
      <c r="AT67" s="188">
        <f>opex_orig!AN67</f>
        <v>2.064481E-3</v>
      </c>
      <c r="AU67" s="188">
        <f>opex_orig!$AO67</f>
        <v>4.8612219986296298E-5</v>
      </c>
      <c r="AV67" s="188">
        <f>opex_orig!$AO67</f>
        <v>4.8612219986296298E-5</v>
      </c>
      <c r="AW67" s="188">
        <f>opex_orig!$AO67</f>
        <v>4.8612219986296298E-5</v>
      </c>
      <c r="AX67" s="188">
        <f>opex_orig!$AP67</f>
        <v>5.5191340886276198E-5</v>
      </c>
      <c r="AY67" s="188">
        <f>opex_orig!AQ67</f>
        <v>7.2000000000000002E-5</v>
      </c>
      <c r="AZ67" s="188">
        <f>opex_orig!AR67</f>
        <v>0</v>
      </c>
      <c r="BA67" s="188">
        <f>opex_orig!AS67</f>
        <v>6.19E-5</v>
      </c>
      <c r="BB67" s="188">
        <f>opex_orig!AT67</f>
        <v>5.7399999999999999E-5</v>
      </c>
      <c r="BC67" s="188">
        <f>opex_orig!AU67</f>
        <v>2.0800000000000001E-5</v>
      </c>
      <c r="BD67" s="188">
        <f>opex_orig!AV67</f>
        <v>1.77E-5</v>
      </c>
      <c r="BE67" s="188">
        <f>opex_orig!AW67</f>
        <v>4.5899999999999998E-5</v>
      </c>
      <c r="BF67" s="188">
        <f>opex_orig!AX67</f>
        <v>0</v>
      </c>
      <c r="BG67" s="188">
        <f>opex_orig!AY67</f>
        <v>6.4800000000000003E-5</v>
      </c>
      <c r="BH67" s="188">
        <f>opex_orig!AZ67</f>
        <v>0</v>
      </c>
      <c r="BI67" s="188">
        <f>opex_orig!BA67</f>
        <v>6.0699999999999998E-5</v>
      </c>
      <c r="BJ67" s="188">
        <f>opex_orig!BB67</f>
        <v>5.8849200000000003E-4</v>
      </c>
      <c r="BK67" s="188">
        <f>opex_orig!BC67</f>
        <v>2.9938399999999998E-4</v>
      </c>
      <c r="BL67" s="188">
        <f>opex_orig!BD67</f>
        <v>3.0899999999999999E-5</v>
      </c>
      <c r="BM67" s="188">
        <f>opex_orig!BE67</f>
        <v>6.3537100000000003E-4</v>
      </c>
      <c r="BN67" s="188">
        <f>opex_orig!BF67</f>
        <v>6.2299999999999996E-5</v>
      </c>
      <c r="BO67" s="188">
        <f>opex_orig!BG67</f>
        <v>2.27054E-4</v>
      </c>
      <c r="BP67" s="188">
        <f>opex_orig!$BH67</f>
        <v>1.8028895627444401E-4</v>
      </c>
      <c r="BQ67" s="188">
        <f>opex_orig!$BH67</f>
        <v>1.8028895627444401E-4</v>
      </c>
      <c r="BR67" s="188">
        <f>opex_orig!BI67</f>
        <v>6.7223599999999999E-4</v>
      </c>
      <c r="BS67" s="188">
        <f>opex_orig!BJ67</f>
        <v>9.1399999999999999E-5</v>
      </c>
      <c r="BT67" s="188">
        <f>opex_orig!BK67</f>
        <v>2.7114000000000001E-4</v>
      </c>
      <c r="BU67" s="188">
        <f>opex_orig!BL67</f>
        <v>0</v>
      </c>
      <c r="BV67" s="27">
        <f>opex_orig!BM67</f>
        <v>2.93918791289906E-5</v>
      </c>
      <c r="BW67" s="27">
        <f>opex_orig!BN67</f>
        <v>3.6747038252134098E-5</v>
      </c>
      <c r="BX67" s="27">
        <f>opex_orig!BO67</f>
        <v>1.20368084117539E-5</v>
      </c>
      <c r="BY67" s="27">
        <f>opex_orig!BP67</f>
        <v>1.54125391637209E-5</v>
      </c>
      <c r="BZ67" s="27">
        <f>opex_orig!BQ67</f>
        <v>2.38875828180428E-5</v>
      </c>
      <c r="CA67" s="27">
        <f>opex_orig!BR67</f>
        <v>4.7219224402150897E-5</v>
      </c>
      <c r="CB67" s="27">
        <f>opex_orig!BS67</f>
        <v>9.0045975803021905E-5</v>
      </c>
      <c r="CC67" s="27">
        <f>opex_orig!BT67</f>
        <v>1.1611015932341201E-6</v>
      </c>
      <c r="CD67" s="27">
        <f>opex_orig!BU67</f>
        <v>1.0020855023198301E-5</v>
      </c>
      <c r="CE67" s="27">
        <f>opex_orig!BV67</f>
        <v>1.0020855023198401E-5</v>
      </c>
      <c r="CF67" s="27">
        <f>opex_orig!BW67</f>
        <v>9.9148774962773502E-6</v>
      </c>
      <c r="CG67" s="27">
        <f>opex_orig!BX67</f>
        <v>1.4515240675213599E-6</v>
      </c>
      <c r="CH67" s="27">
        <f>opex_orig!BY67</f>
        <v>9.9568773244286209E-7</v>
      </c>
      <c r="CI67" s="27">
        <f>opex_orig!BZ67</f>
        <v>2.3799999999999999E-5</v>
      </c>
      <c r="CJ67" s="27">
        <f>opex_orig!CA67</f>
        <v>1.98E-5</v>
      </c>
      <c r="CK67" s="27">
        <f>opex_orig!CB67</f>
        <v>2.2099999999999998E-5</v>
      </c>
      <c r="CL67" s="27">
        <f>opex_orig!CC67</f>
        <v>1.47E-5</v>
      </c>
      <c r="CM67" s="27">
        <f>opex_orig!CD67</f>
        <v>7.9599999999999997E-5</v>
      </c>
      <c r="CN67" s="27">
        <f>opex_orig!CE67</f>
        <v>4.0899999999999998E-5</v>
      </c>
      <c r="CO67" s="27">
        <f>opex_orig!CF67</f>
        <v>3.3000500000000002E-4</v>
      </c>
      <c r="CP67" s="27">
        <f>opex_orig!CG67</f>
        <v>2.76E-5</v>
      </c>
    </row>
    <row r="68" spans="1:94" x14ac:dyDescent="0.25">
      <c r="A68" s="5" t="s">
        <v>155</v>
      </c>
      <c r="B68" s="2" t="s">
        <v>154</v>
      </c>
      <c r="C68" s="1" t="s">
        <v>329</v>
      </c>
      <c r="D68" s="188">
        <f>opex_orig!D68</f>
        <v>2.4141200000000001E-4</v>
      </c>
      <c r="E68" s="188">
        <f>opex_orig!E68</f>
        <v>1.2349099999999999E-4</v>
      </c>
      <c r="F68" s="188">
        <f>opex_orig!F68</f>
        <v>1.4065400000000001E-4</v>
      </c>
      <c r="G68" s="188">
        <f>opex_orig!G68</f>
        <v>4.8600000000000002E-5</v>
      </c>
      <c r="H68" s="188">
        <f>opex_orig!H68</f>
        <v>7.0199999999999999E-5</v>
      </c>
      <c r="I68" s="188">
        <f>opex_orig!I68</f>
        <v>2.0379E-4</v>
      </c>
      <c r="J68" s="188">
        <f>opex_orig!J68</f>
        <v>3.5726399999999999E-4</v>
      </c>
      <c r="K68" s="188">
        <f>opex_orig!K68</f>
        <v>1.5487899999999999E-4</v>
      </c>
      <c r="L68" s="188">
        <f>opex_orig!L68</f>
        <v>1.9305E-4</v>
      </c>
      <c r="M68" s="188">
        <f>opex_orig!M68</f>
        <v>4.8546400000000001E-4</v>
      </c>
      <c r="N68" s="188">
        <f>opex_orig!N68</f>
        <v>4.1146500000000002E-4</v>
      </c>
      <c r="O68" s="188">
        <f>opex_orig!O68</f>
        <v>2.7822600000000002E-4</v>
      </c>
      <c r="P68" s="188">
        <f>opex_orig!P68</f>
        <v>2.4828459999999999E-3</v>
      </c>
      <c r="Q68" s="188">
        <f>opex_orig!Q68</f>
        <v>6.2215800000000004E-4</v>
      </c>
      <c r="R68" s="188">
        <f>opex_orig!R68</f>
        <v>3.5282899999999998E-4</v>
      </c>
      <c r="S68" s="188">
        <f>opex_orig!S68</f>
        <v>4.3548300000000002E-4</v>
      </c>
      <c r="T68" s="188">
        <f>opex_orig!T68</f>
        <v>5.5206799999999996E-4</v>
      </c>
      <c r="U68" s="188">
        <f>opex_orig!U68</f>
        <v>2.2428500000000001E-4</v>
      </c>
      <c r="V68" s="188">
        <f>opex_orig!V68</f>
        <v>2.77557E-4</v>
      </c>
      <c r="W68" s="188">
        <f>opex_orig!W68</f>
        <v>1.7858899999999999E-4</v>
      </c>
      <c r="X68" s="188">
        <f>opex_orig!X68</f>
        <v>1.4574799999999999E-4</v>
      </c>
      <c r="Y68" s="188">
        <f>opex_orig!Y68</f>
        <v>4.4593500000000001E-4</v>
      </c>
      <c r="Z68" s="188">
        <f>opex_orig!Z68</f>
        <v>3.03541E-4</v>
      </c>
      <c r="AA68" s="188">
        <f>opex_orig!AA68</f>
        <v>5.8098299999999998E-4</v>
      </c>
      <c r="AB68" s="188">
        <f>opex_orig!$AB68</f>
        <v>2.7002800195090202E-4</v>
      </c>
      <c r="AC68" s="188">
        <f>opex_orig!$AB68</f>
        <v>2.7002800195090202E-4</v>
      </c>
      <c r="AD68" s="188">
        <f>opex_orig!$AB68</f>
        <v>2.7002800195090202E-4</v>
      </c>
      <c r="AE68" s="188">
        <f>opex_orig!$AC68</f>
        <v>4.38679350905948E-4</v>
      </c>
      <c r="AF68" s="188">
        <f>opex_orig!$AD68</f>
        <v>2.3473292372275299E-4</v>
      </c>
      <c r="AG68" s="188">
        <f>opex_orig!$AD68</f>
        <v>2.3473292372275299E-4</v>
      </c>
      <c r="AH68" s="188">
        <f>opex_orig!$AD68</f>
        <v>2.3473292372275299E-4</v>
      </c>
      <c r="AI68" s="188">
        <f>opex_orig!AE68</f>
        <v>1.8924E-4</v>
      </c>
      <c r="AJ68" s="188">
        <f>opex_orig!AF68</f>
        <v>6.1029599999999997E-4</v>
      </c>
      <c r="AK68" s="188">
        <f>opex_orig!AG68</f>
        <v>4.4357199999999999E-4</v>
      </c>
      <c r="AL68" s="188">
        <f>opex_orig!AH68</f>
        <v>6.2332000000000002E-4</v>
      </c>
      <c r="AM68" s="188">
        <f>opex_orig!AI68</f>
        <v>4.9574099999999996E-4</v>
      </c>
      <c r="AN68" s="188">
        <f>opex_orig!AJ68</f>
        <v>0.1496681</v>
      </c>
      <c r="AO68" s="188">
        <f>opex_orig!AK68</f>
        <v>9.6754800000000004E-4</v>
      </c>
      <c r="AP68" s="188">
        <f>opex_orig!$AL68</f>
        <v>2.7816299237983502E-3</v>
      </c>
      <c r="AQ68" s="188">
        <f>opex_orig!$AL68</f>
        <v>2.7816299237983502E-3</v>
      </c>
      <c r="AR68" s="188">
        <f>opex_orig!$AL68</f>
        <v>2.7816299237983502E-3</v>
      </c>
      <c r="AS68" s="188">
        <f>opex_orig!$AM68</f>
        <v>2.6045948843853501E-3</v>
      </c>
      <c r="AT68" s="188">
        <f>opex_orig!AN68</f>
        <v>6.7626299999999997E-4</v>
      </c>
      <c r="AU68" s="188">
        <f>opex_orig!$AO68</f>
        <v>2.6785417875991598E-4</v>
      </c>
      <c r="AV68" s="188">
        <f>opex_orig!$AO68</f>
        <v>2.6785417875991598E-4</v>
      </c>
      <c r="AW68" s="188">
        <f>opex_orig!$AO68</f>
        <v>2.6785417875991598E-4</v>
      </c>
      <c r="AX68" s="188">
        <f>opex_orig!$AP68</f>
        <v>2.7838314207795199E-4</v>
      </c>
      <c r="AY68" s="188">
        <f>opex_orig!AQ68</f>
        <v>3.2107099999999998E-4</v>
      </c>
      <c r="AZ68" s="188">
        <f>opex_orig!AR68</f>
        <v>0</v>
      </c>
      <c r="BA68" s="188">
        <f>opex_orig!AS68</f>
        <v>2.7960600000000001E-4</v>
      </c>
      <c r="BB68" s="188">
        <f>opex_orig!AT68</f>
        <v>2.4913600000000001E-4</v>
      </c>
      <c r="BC68" s="188">
        <f>opex_orig!AU68</f>
        <v>1.1937E-4</v>
      </c>
      <c r="BD68" s="188">
        <f>opex_orig!AV68</f>
        <v>1.15103E-4</v>
      </c>
      <c r="BE68" s="188">
        <f>opex_orig!AW68</f>
        <v>2.62966E-4</v>
      </c>
      <c r="BF68" s="188">
        <f>opex_orig!AX68</f>
        <v>0</v>
      </c>
      <c r="BG68" s="188">
        <f>opex_orig!AY68</f>
        <v>6.1372599999999999E-4</v>
      </c>
      <c r="BH68" s="188">
        <f>opex_orig!AZ68</f>
        <v>0</v>
      </c>
      <c r="BI68" s="188">
        <f>opex_orig!BA68</f>
        <v>5.0520700000000003E-4</v>
      </c>
      <c r="BJ68" s="188">
        <f>opex_orig!BB68</f>
        <v>3.8246599999999998E-4</v>
      </c>
      <c r="BK68" s="188">
        <f>opex_orig!BC68</f>
        <v>3.7231500000000002E-4</v>
      </c>
      <c r="BL68" s="188">
        <f>opex_orig!BD68</f>
        <v>1.7833500000000001E-4</v>
      </c>
      <c r="BM68" s="188">
        <f>opex_orig!BE68</f>
        <v>2.4063840000000001E-3</v>
      </c>
      <c r="BN68" s="188">
        <f>opex_orig!BF68</f>
        <v>1.4025909999999999E-3</v>
      </c>
      <c r="BO68" s="188">
        <f>opex_orig!BG68</f>
        <v>3.6791999999999999E-4</v>
      </c>
      <c r="BP68" s="188">
        <f>opex_orig!$BH68</f>
        <v>2.8713709075298501E-4</v>
      </c>
      <c r="BQ68" s="188">
        <f>opex_orig!$BH68</f>
        <v>2.8713709075298501E-4</v>
      </c>
      <c r="BR68" s="188">
        <f>opex_orig!BI68</f>
        <v>2.7674999999999998E-4</v>
      </c>
      <c r="BS68" s="188">
        <f>opex_orig!BJ68</f>
        <v>2.86054E-4</v>
      </c>
      <c r="BT68" s="188">
        <f>opex_orig!BK68</f>
        <v>2.83138E-4</v>
      </c>
      <c r="BU68" s="188">
        <f>opex_orig!BL68</f>
        <v>0</v>
      </c>
      <c r="BV68" s="27">
        <f>opex_orig!BM68</f>
        <v>1.5859129823255901E-4</v>
      </c>
      <c r="BW68" s="27">
        <f>opex_orig!BN68</f>
        <v>2.8951997555392499E-4</v>
      </c>
      <c r="BX68" s="27">
        <f>opex_orig!BO68</f>
        <v>6.0438981032274798E-5</v>
      </c>
      <c r="BY68" s="27">
        <f>opex_orig!BP68</f>
        <v>1.3556516840418199E-4</v>
      </c>
      <c r="BZ68" s="27">
        <f>opex_orig!BQ68</f>
        <v>1.2644078500462501E-4</v>
      </c>
      <c r="CA68" s="27">
        <f>opex_orig!BR68</f>
        <v>3.1199143356136998E-4</v>
      </c>
      <c r="CB68" s="27">
        <f>opex_orig!BS68</f>
        <v>3.9449805786612402E-4</v>
      </c>
      <c r="CC68" s="27">
        <f>opex_orig!BT68</f>
        <v>7.5125109366559003E-6</v>
      </c>
      <c r="CD68" s="27">
        <f>opex_orig!BU68</f>
        <v>7.6075696372770801E-5</v>
      </c>
      <c r="CE68" s="27">
        <f>opex_orig!BV68</f>
        <v>7.6075696372771099E-5</v>
      </c>
      <c r="CF68" s="27">
        <f>opex_orig!BW68</f>
        <v>8.4723365634402795E-5</v>
      </c>
      <c r="CG68" s="27">
        <f>opex_orig!BX68</f>
        <v>9.6014431516426791E-7</v>
      </c>
      <c r="CH68" s="27">
        <f>opex_orig!BY68</f>
        <v>5.5584798922545001E-6</v>
      </c>
      <c r="CI68" s="27">
        <f>opex_orig!BZ68</f>
        <v>1.61022E-4</v>
      </c>
      <c r="CJ68" s="27">
        <f>opex_orig!CA68</f>
        <v>1.1086699999999999E-4</v>
      </c>
      <c r="CK68" s="27">
        <f>opex_orig!CB68</f>
        <v>1.10246E-4</v>
      </c>
      <c r="CL68" s="27">
        <f>opex_orig!CC68</f>
        <v>9.6899999999999997E-5</v>
      </c>
      <c r="CM68" s="27">
        <f>opex_orig!CD68</f>
        <v>3.5511100000000002E-4</v>
      </c>
      <c r="CN68" s="27">
        <f>opex_orig!CE68</f>
        <v>3.7241299999999999E-4</v>
      </c>
      <c r="CO68" s="27">
        <f>opex_orig!CF68</f>
        <v>7.0744110000000001E-3</v>
      </c>
      <c r="CP68" s="27">
        <f>opex_orig!CG68</f>
        <v>1.7266800000000001E-4</v>
      </c>
    </row>
    <row r="69" spans="1:94" x14ac:dyDescent="0.25">
      <c r="A69" s="5" t="s">
        <v>157</v>
      </c>
      <c r="B69" s="2" t="s">
        <v>156</v>
      </c>
      <c r="C69" s="1" t="s">
        <v>329</v>
      </c>
      <c r="D69" s="188">
        <f>opex_orig!D69</f>
        <v>3.5099999999999999E-5</v>
      </c>
      <c r="E69" s="188">
        <f>opex_orig!E69</f>
        <v>1.42E-5</v>
      </c>
      <c r="F69" s="188">
        <f>opex_orig!F69</f>
        <v>1.8300000000000001E-5</v>
      </c>
      <c r="G69" s="188">
        <f>opex_orig!G69</f>
        <v>3.7100000000000001E-6</v>
      </c>
      <c r="H69" s="188">
        <f>opex_orig!H69</f>
        <v>5.2399999999999998E-6</v>
      </c>
      <c r="I69" s="188">
        <f>opex_orig!I69</f>
        <v>2.0400000000000001E-5</v>
      </c>
      <c r="J69" s="188">
        <f>opex_orig!J69</f>
        <v>4.2500000000000003E-5</v>
      </c>
      <c r="K69" s="188">
        <f>opex_orig!K69</f>
        <v>1.19E-5</v>
      </c>
      <c r="L69" s="188">
        <f>opex_orig!L69</f>
        <v>2.2399999999999999E-5</v>
      </c>
      <c r="M69" s="188">
        <f>opex_orig!M69</f>
        <v>5.3499999999999999E-5</v>
      </c>
      <c r="N69" s="188">
        <f>opex_orig!N69</f>
        <v>4.8099999999999997E-5</v>
      </c>
      <c r="O69" s="188">
        <f>opex_orig!O69</f>
        <v>3.4600000000000001E-5</v>
      </c>
      <c r="P69" s="188">
        <f>opex_orig!P69</f>
        <v>3.4047599999999998E-4</v>
      </c>
      <c r="Q69" s="188">
        <f>opex_orig!Q69</f>
        <v>9.0400000000000002E-5</v>
      </c>
      <c r="R69" s="188">
        <f>opex_orig!R69</f>
        <v>4.8399999999999997E-5</v>
      </c>
      <c r="S69" s="188">
        <f>opex_orig!S69</f>
        <v>3.8999999999999999E-5</v>
      </c>
      <c r="T69" s="188">
        <f>opex_orig!T69</f>
        <v>5.1199999999999998E-5</v>
      </c>
      <c r="U69" s="188">
        <f>opex_orig!U69</f>
        <v>2.94E-5</v>
      </c>
      <c r="V69" s="188">
        <f>opex_orig!V69</f>
        <v>3.4499999999999998E-5</v>
      </c>
      <c r="W69" s="188">
        <f>opex_orig!W69</f>
        <v>2.6599999999999999E-5</v>
      </c>
      <c r="X69" s="188">
        <f>opex_orig!X69</f>
        <v>2.0000000000000002E-5</v>
      </c>
      <c r="Y69" s="188">
        <f>opex_orig!Y69</f>
        <v>2.19E-5</v>
      </c>
      <c r="Z69" s="188">
        <f>opex_orig!Z69</f>
        <v>1.01121E-4</v>
      </c>
      <c r="AA69" s="188">
        <f>opex_orig!AA69</f>
        <v>5.6100000000000002E-5</v>
      </c>
      <c r="AB69" s="188">
        <f>opex_orig!$AB69</f>
        <v>4.6167778606495799E-5</v>
      </c>
      <c r="AC69" s="188">
        <f>opex_orig!$AB69</f>
        <v>4.6167778606495799E-5</v>
      </c>
      <c r="AD69" s="188">
        <f>opex_orig!$AB69</f>
        <v>4.6167778606495799E-5</v>
      </c>
      <c r="AE69" s="188">
        <f>opex_orig!$AC69</f>
        <v>6.0461827037096301E-5</v>
      </c>
      <c r="AF69" s="188">
        <f>opex_orig!$AD69</f>
        <v>3.2447749983003601E-5</v>
      </c>
      <c r="AG69" s="188">
        <f>opex_orig!$AD69</f>
        <v>3.2447749983003601E-5</v>
      </c>
      <c r="AH69" s="188">
        <f>opex_orig!$AD69</f>
        <v>3.2447749983003601E-5</v>
      </c>
      <c r="AI69" s="188">
        <f>opex_orig!AE69</f>
        <v>2.8E-5</v>
      </c>
      <c r="AJ69" s="188">
        <f>opex_orig!AF69</f>
        <v>1.06005E-4</v>
      </c>
      <c r="AK69" s="188">
        <f>opex_orig!AG69</f>
        <v>9.1700000000000006E-5</v>
      </c>
      <c r="AL69" s="188">
        <f>opex_orig!AH69</f>
        <v>7.4099999999999999E-5</v>
      </c>
      <c r="AM69" s="188">
        <f>opex_orig!AI69</f>
        <v>7.8499999999999997E-5</v>
      </c>
      <c r="AN69" s="188">
        <f>opex_orig!AJ69</f>
        <v>4.636093E-3</v>
      </c>
      <c r="AO69" s="188">
        <f>opex_orig!AK69</f>
        <v>3.6350436999999999E-2</v>
      </c>
      <c r="AP69" s="188">
        <f>opex_orig!$AL69</f>
        <v>2.48639746040368E-3</v>
      </c>
      <c r="AQ69" s="188">
        <f>opex_orig!$AL69</f>
        <v>2.48639746040368E-3</v>
      </c>
      <c r="AR69" s="188">
        <f>opex_orig!$AL69</f>
        <v>2.48639746040368E-3</v>
      </c>
      <c r="AS69" s="188">
        <f>opex_orig!$AM69</f>
        <v>2.24748956443609E-3</v>
      </c>
      <c r="AT69" s="188">
        <f>opex_orig!AN69</f>
        <v>2.517119E-3</v>
      </c>
      <c r="AU69" s="188">
        <f>opex_orig!$AO69</f>
        <v>6.1908153570682894E-5</v>
      </c>
      <c r="AV69" s="188">
        <f>opex_orig!$AO69</f>
        <v>6.1908153570682894E-5</v>
      </c>
      <c r="AW69" s="188">
        <f>opex_orig!$AO69</f>
        <v>6.1908153570682894E-5</v>
      </c>
      <c r="AX69" s="188">
        <f>opex_orig!$AP69</f>
        <v>5.5719863602808799E-5</v>
      </c>
      <c r="AY69" s="188">
        <f>opex_orig!AQ69</f>
        <v>5.6700000000000003E-5</v>
      </c>
      <c r="AZ69" s="188">
        <f>opex_orig!AR69</f>
        <v>0</v>
      </c>
      <c r="BA69" s="188">
        <f>opex_orig!AS69</f>
        <v>6.2700000000000006E-5</v>
      </c>
      <c r="BB69" s="188">
        <f>opex_orig!AT69</f>
        <v>5.5899999999999997E-5</v>
      </c>
      <c r="BC69" s="188">
        <f>opex_orig!AU69</f>
        <v>1.59E-5</v>
      </c>
      <c r="BD69" s="188">
        <f>opex_orig!AV69</f>
        <v>1.4399999999999999E-5</v>
      </c>
      <c r="BE69" s="188">
        <f>opex_orig!AW69</f>
        <v>7.6199999999999995E-5</v>
      </c>
      <c r="BF69" s="188">
        <f>opex_orig!AX69</f>
        <v>0</v>
      </c>
      <c r="BG69" s="188">
        <f>opex_orig!AY69</f>
        <v>3.0818099999999998E-4</v>
      </c>
      <c r="BH69" s="188">
        <f>opex_orig!AZ69</f>
        <v>0</v>
      </c>
      <c r="BI69" s="188">
        <f>opex_orig!BA69</f>
        <v>7.36E-5</v>
      </c>
      <c r="BJ69" s="188">
        <f>opex_orig!BB69</f>
        <v>7.6000000000000004E-5</v>
      </c>
      <c r="BK69" s="188">
        <f>opex_orig!BC69</f>
        <v>2.97936E-4</v>
      </c>
      <c r="BL69" s="188">
        <f>opex_orig!BD69</f>
        <v>3.5200000000000002E-5</v>
      </c>
      <c r="BM69" s="188">
        <f>opex_orig!BE69</f>
        <v>8.81E-5</v>
      </c>
      <c r="BN69" s="188">
        <f>opex_orig!BF69</f>
        <v>2.9E-5</v>
      </c>
      <c r="BO69" s="188">
        <f>opex_orig!BG69</f>
        <v>7.7999999999999999E-5</v>
      </c>
      <c r="BP69" s="188">
        <f>opex_orig!$BH69</f>
        <v>4.6372021335316898E-5</v>
      </c>
      <c r="BQ69" s="188">
        <f>opex_orig!$BH69</f>
        <v>4.6372021335316898E-5</v>
      </c>
      <c r="BR69" s="188">
        <f>opex_orig!BI69</f>
        <v>5.2299999999999997E-5</v>
      </c>
      <c r="BS69" s="188">
        <f>opex_orig!BJ69</f>
        <v>5.0399999999999999E-5</v>
      </c>
      <c r="BT69" s="188">
        <f>opex_orig!BK69</f>
        <v>4.7500000000000003E-5</v>
      </c>
      <c r="BU69" s="188">
        <f>opex_orig!BL69</f>
        <v>0</v>
      </c>
      <c r="BV69" s="27">
        <f>opex_orig!BM69</f>
        <v>3.3252450419189E-5</v>
      </c>
      <c r="BW69" s="27">
        <f>opex_orig!BN69</f>
        <v>4.5405914345776003E-5</v>
      </c>
      <c r="BX69" s="27">
        <f>opex_orig!BO69</f>
        <v>9.2128079662930992E-6</v>
      </c>
      <c r="BY69" s="27">
        <f>opex_orig!BP69</f>
        <v>1.53221722935336E-5</v>
      </c>
      <c r="BZ69" s="27">
        <f>opex_orig!BQ69</f>
        <v>1.59509399322893E-5</v>
      </c>
      <c r="CA69" s="27">
        <f>opex_orig!BR69</f>
        <v>2.7013221465125301E-4</v>
      </c>
      <c r="CB69" s="27">
        <f>opex_orig!BS69</f>
        <v>4.9608938215236699E-5</v>
      </c>
      <c r="CC69" s="27">
        <f>opex_orig!BT69</f>
        <v>1.2475355140408701E-5</v>
      </c>
      <c r="CD69" s="27">
        <f>opex_orig!BU69</f>
        <v>9.8615925969017297E-6</v>
      </c>
      <c r="CE69" s="27">
        <f>opex_orig!BV69</f>
        <v>9.86159259690175E-6</v>
      </c>
      <c r="CF69" s="27">
        <f>opex_orig!BW69</f>
        <v>3.2061318155037299E-5</v>
      </c>
      <c r="CG69" s="27">
        <f>opex_orig!BX69</f>
        <v>5.1216800048968299E-7</v>
      </c>
      <c r="CH69" s="27">
        <f>opex_orig!BY69</f>
        <v>4.8684043004723799E-6</v>
      </c>
      <c r="CI69" s="27">
        <f>opex_orig!BZ69</f>
        <v>2.1699999999999999E-5</v>
      </c>
      <c r="CJ69" s="27">
        <f>opex_orig!CA69</f>
        <v>1.5400000000000002E-5</v>
      </c>
      <c r="CK69" s="27">
        <f>opex_orig!CB69</f>
        <v>1.49E-5</v>
      </c>
      <c r="CL69" s="27">
        <f>opex_orig!CC69</f>
        <v>1.6099999999999998E-5</v>
      </c>
      <c r="CM69" s="27">
        <f>opex_orig!CD69</f>
        <v>6.1199999999999997E-5</v>
      </c>
      <c r="CN69" s="27">
        <f>opex_orig!CE69</f>
        <v>4.9299999999999999E-5</v>
      </c>
      <c r="CO69" s="27">
        <f>opex_orig!CF69</f>
        <v>1.62576E-3</v>
      </c>
      <c r="CP69" s="27">
        <f>opex_orig!CG69</f>
        <v>1.1600000000000001E-5</v>
      </c>
    </row>
    <row r="70" spans="1:94" x14ac:dyDescent="0.25">
      <c r="A70" s="5" t="s">
        <v>159</v>
      </c>
      <c r="B70" s="2" t="s">
        <v>158</v>
      </c>
      <c r="C70" s="1" t="s">
        <v>329</v>
      </c>
      <c r="D70" s="188">
        <f>opex_orig!D70</f>
        <v>1.6134600000000001E-4</v>
      </c>
      <c r="E70" s="188">
        <f>opex_orig!E70</f>
        <v>5.77E-5</v>
      </c>
      <c r="F70" s="188">
        <f>opex_orig!F70</f>
        <v>6.4499999999999996E-5</v>
      </c>
      <c r="G70" s="188">
        <f>opex_orig!G70</f>
        <v>1.4399999999999999E-5</v>
      </c>
      <c r="H70" s="188">
        <f>opex_orig!H70</f>
        <v>2.1500000000000001E-5</v>
      </c>
      <c r="I70" s="188">
        <f>opex_orig!I70</f>
        <v>8.2899999999999996E-5</v>
      </c>
      <c r="J70" s="188">
        <f>opex_orig!J70</f>
        <v>1.7626499999999999E-4</v>
      </c>
      <c r="K70" s="188">
        <f>opex_orig!K70</f>
        <v>4.6499999999999999E-5</v>
      </c>
      <c r="L70" s="188">
        <f>opex_orig!L70</f>
        <v>8.7800000000000006E-5</v>
      </c>
      <c r="M70" s="188">
        <f>opex_orig!M70</f>
        <v>2.14556E-4</v>
      </c>
      <c r="N70" s="188">
        <f>opex_orig!N70</f>
        <v>1.7452799999999999E-4</v>
      </c>
      <c r="O70" s="188">
        <f>opex_orig!O70</f>
        <v>1.41669E-4</v>
      </c>
      <c r="P70" s="188">
        <f>opex_orig!P70</f>
        <v>2.312372E-3</v>
      </c>
      <c r="Q70" s="188">
        <f>opex_orig!Q70</f>
        <v>3.8814200000000001E-4</v>
      </c>
      <c r="R70" s="188">
        <f>opex_orig!R70</f>
        <v>1.8998800000000001E-4</v>
      </c>
      <c r="S70" s="188">
        <f>opex_orig!S70</f>
        <v>1.56372E-4</v>
      </c>
      <c r="T70" s="188">
        <f>opex_orig!T70</f>
        <v>2.06622E-4</v>
      </c>
      <c r="U70" s="188">
        <f>opex_orig!U70</f>
        <v>1.3721299999999999E-4</v>
      </c>
      <c r="V70" s="188">
        <f>opex_orig!V70</f>
        <v>1.5726100000000001E-4</v>
      </c>
      <c r="W70" s="188">
        <f>opex_orig!W70</f>
        <v>1.14368E-4</v>
      </c>
      <c r="X70" s="188">
        <f>opex_orig!X70</f>
        <v>7.9800000000000002E-5</v>
      </c>
      <c r="Y70" s="188">
        <f>opex_orig!Y70</f>
        <v>9.3700000000000001E-5</v>
      </c>
      <c r="Z70" s="188">
        <f>opex_orig!Z70</f>
        <v>3.5540399999999997E-4</v>
      </c>
      <c r="AA70" s="188">
        <f>opex_orig!AA70</f>
        <v>2.20728E-4</v>
      </c>
      <c r="AB70" s="188">
        <f>opex_orig!$AB70</f>
        <v>1.5875549024868901E-4</v>
      </c>
      <c r="AC70" s="188">
        <f>opex_orig!$AB70</f>
        <v>1.5875549024868901E-4</v>
      </c>
      <c r="AD70" s="188">
        <f>opex_orig!$AB70</f>
        <v>1.5875549024868901E-4</v>
      </c>
      <c r="AE70" s="188">
        <f>opex_orig!$AC70</f>
        <v>2.22041289113036E-4</v>
      </c>
      <c r="AF70" s="188">
        <f>opex_orig!$AD70</f>
        <v>1.2725787037740701E-4</v>
      </c>
      <c r="AG70" s="188">
        <f>opex_orig!$AD70</f>
        <v>1.2725787037740701E-4</v>
      </c>
      <c r="AH70" s="188">
        <f>opex_orig!$AD70</f>
        <v>1.2725787037740701E-4</v>
      </c>
      <c r="AI70" s="188">
        <f>opex_orig!AE70</f>
        <v>1.0794300000000001E-4</v>
      </c>
      <c r="AJ70" s="188">
        <f>opex_orig!AF70</f>
        <v>4.6803399999999998E-4</v>
      </c>
      <c r="AK70" s="188">
        <f>opex_orig!AG70</f>
        <v>4.6371200000000002E-4</v>
      </c>
      <c r="AL70" s="188">
        <f>opex_orig!AH70</f>
        <v>3.6824299999999998E-4</v>
      </c>
      <c r="AM70" s="188">
        <f>opex_orig!AI70</f>
        <v>4.1712699999999999E-4</v>
      </c>
      <c r="AN70" s="188">
        <f>opex_orig!AJ70</f>
        <v>4.8771699999999998E-4</v>
      </c>
      <c r="AO70" s="188">
        <f>opex_orig!AK70</f>
        <v>2.2621120000000002E-3</v>
      </c>
      <c r="AP70" s="305">
        <f>opex_concordance!M403</f>
        <v>0.14937267828621301</v>
      </c>
      <c r="AQ70" s="305">
        <f>opex_concordance!M457</f>
        <v>0.1751818586147437</v>
      </c>
      <c r="AR70" s="305">
        <f>opex_concordance!M511</f>
        <v>0.15685206704023794</v>
      </c>
      <c r="AS70" s="188">
        <f>opex_orig!$AM70</f>
        <v>0.134461538742562</v>
      </c>
      <c r="AT70" s="188">
        <f>opex_orig!AN70</f>
        <v>2.2892210000000001E-3</v>
      </c>
      <c r="AU70" s="188">
        <f>opex_orig!$AO70</f>
        <v>4.2253605473737701E-4</v>
      </c>
      <c r="AV70" s="188">
        <f>opex_orig!$AO70</f>
        <v>4.2253605473737701E-4</v>
      </c>
      <c r="AW70" s="188">
        <f>opex_orig!$AO70</f>
        <v>4.2253605473737701E-4</v>
      </c>
      <c r="AX70" s="188">
        <f>opex_orig!$AP70</f>
        <v>2.5298500185425601E-4</v>
      </c>
      <c r="AY70" s="188">
        <f>opex_orig!AQ70</f>
        <v>2.5632699999999999E-4</v>
      </c>
      <c r="AZ70" s="188">
        <f>opex_orig!AR70</f>
        <v>0</v>
      </c>
      <c r="BA70" s="188">
        <f>opex_orig!AS70</f>
        <v>2.47548E-4</v>
      </c>
      <c r="BB70" s="188">
        <f>opex_orig!AT70</f>
        <v>2.40201E-4</v>
      </c>
      <c r="BC70" s="188">
        <f>opex_orig!AU70</f>
        <v>5.8900000000000002E-5</v>
      </c>
      <c r="BD70" s="188">
        <f>opex_orig!AV70</f>
        <v>5.3900000000000002E-5</v>
      </c>
      <c r="BE70" s="188">
        <f>opex_orig!AW70</f>
        <v>2.4711699999999999E-4</v>
      </c>
      <c r="BF70" s="188">
        <f>opex_orig!AX70</f>
        <v>0</v>
      </c>
      <c r="BG70" s="188">
        <f>opex_orig!AY70</f>
        <v>4.8231700000000001E-4</v>
      </c>
      <c r="BH70" s="188">
        <f>opex_orig!AZ70</f>
        <v>0</v>
      </c>
      <c r="BI70" s="188">
        <f>opex_orig!BA70</f>
        <v>3.6243199999999999E-4</v>
      </c>
      <c r="BJ70" s="188">
        <f>opex_orig!BB70</f>
        <v>3.3336699999999999E-4</v>
      </c>
      <c r="BK70" s="188">
        <f>opex_orig!BC70</f>
        <v>3.19585E-4</v>
      </c>
      <c r="BL70" s="188">
        <f>opex_orig!BD70</f>
        <v>1.5713899999999999E-4</v>
      </c>
      <c r="BM70" s="188">
        <f>opex_orig!BE70</f>
        <v>2.6170499999999999E-4</v>
      </c>
      <c r="BN70" s="188">
        <f>opex_orig!BF70</f>
        <v>1.62912E-4</v>
      </c>
      <c r="BO70" s="188">
        <f>opex_orig!BG70</f>
        <v>1.96033E-4</v>
      </c>
      <c r="BP70" s="188">
        <f>opex_orig!$BH70</f>
        <v>2.4482752742497103E-4</v>
      </c>
      <c r="BQ70" s="188">
        <f>opex_orig!$BH70</f>
        <v>2.4482752742497103E-4</v>
      </c>
      <c r="BR70" s="188">
        <f>opex_orig!BI70</f>
        <v>2.59103E-4</v>
      </c>
      <c r="BS70" s="188">
        <f>opex_orig!BJ70</f>
        <v>2.4106799999999999E-4</v>
      </c>
      <c r="BT70" s="188">
        <f>opex_orig!BK70</f>
        <v>2.2896099999999999E-4</v>
      </c>
      <c r="BU70" s="188">
        <f>opex_orig!BL70</f>
        <v>0</v>
      </c>
      <c r="BV70" s="27">
        <f>opex_orig!BM70</f>
        <v>1.5168639457913599E-4</v>
      </c>
      <c r="BW70" s="27">
        <f>opex_orig!BN70</f>
        <v>1.7490380223197799E-4</v>
      </c>
      <c r="BX70" s="27">
        <f>opex_orig!BO70</f>
        <v>4.6749185306530302E-5</v>
      </c>
      <c r="BY70" s="27">
        <f>opex_orig!BP70</f>
        <v>6.2126918091481997E-5</v>
      </c>
      <c r="BZ70" s="27">
        <f>opex_orig!BQ70</f>
        <v>7.6970061505044401E-5</v>
      </c>
      <c r="CA70" s="27">
        <f>opex_orig!BR70</f>
        <v>1.8245150444857099E-3</v>
      </c>
      <c r="CB70" s="27">
        <f>opex_orig!BS70</f>
        <v>3.05573509777863E-4</v>
      </c>
      <c r="CC70" s="27">
        <f>opex_orig!BT70</f>
        <v>1.6745894111931301E-4</v>
      </c>
      <c r="CD70" s="27">
        <f>opex_orig!BU70</f>
        <v>4.6471645855372197E-5</v>
      </c>
      <c r="CE70" s="27">
        <f>opex_orig!BV70</f>
        <v>4.6471645855372299E-5</v>
      </c>
      <c r="CF70" s="27">
        <f>opex_orig!BW70</f>
        <v>6.5836435406445596E-4</v>
      </c>
      <c r="CG70" s="27">
        <f>opex_orig!BX70</f>
        <v>4.95166396899552E-5</v>
      </c>
      <c r="CH70" s="27">
        <f>opex_orig!BY70</f>
        <v>2.1815954152625901E-5</v>
      </c>
      <c r="CI70" s="27">
        <f>opex_orig!BZ70</f>
        <v>9.7200000000000004E-5</v>
      </c>
      <c r="CJ70" s="27">
        <f>opex_orig!CA70</f>
        <v>7.2399999999999998E-5</v>
      </c>
      <c r="CK70" s="27">
        <f>opex_orig!CB70</f>
        <v>7.36E-5</v>
      </c>
      <c r="CL70" s="27">
        <f>opex_orig!CC70</f>
        <v>5.5399999999999998E-5</v>
      </c>
      <c r="CM70" s="27">
        <f>opex_orig!CD70</f>
        <v>2.7227099999999998E-4</v>
      </c>
      <c r="CN70" s="27">
        <f>opex_orig!CE70</f>
        <v>2.9516699999999999E-4</v>
      </c>
      <c r="CO70" s="27">
        <f>opex_orig!CF70</f>
        <v>1.16311E-2</v>
      </c>
      <c r="CP70" s="27">
        <f>opex_orig!CG70</f>
        <v>5.0300000000000003E-5</v>
      </c>
    </row>
    <row r="71" spans="1:94" x14ac:dyDescent="0.25">
      <c r="A71" s="5" t="s">
        <v>161</v>
      </c>
      <c r="B71" s="2" t="s">
        <v>160</v>
      </c>
      <c r="C71" s="1" t="s">
        <v>329</v>
      </c>
      <c r="D71" s="188">
        <f>opex_orig!D71</f>
        <v>3.4499999999999998E-5</v>
      </c>
      <c r="E71" s="188">
        <f>opex_orig!E71</f>
        <v>1.1600000000000001E-5</v>
      </c>
      <c r="F71" s="188">
        <f>opex_orig!F71</f>
        <v>1.2799999999999999E-5</v>
      </c>
      <c r="G71" s="188">
        <f>opex_orig!G71</f>
        <v>2.9399999999999998E-6</v>
      </c>
      <c r="H71" s="188">
        <f>opex_orig!H71</f>
        <v>4.3000000000000003E-6</v>
      </c>
      <c r="I71" s="188">
        <f>opex_orig!I71</f>
        <v>1.6399999999999999E-5</v>
      </c>
      <c r="J71" s="188">
        <f>opex_orig!J71</f>
        <v>3.5800000000000003E-5</v>
      </c>
      <c r="K71" s="188">
        <f>opex_orig!K71</f>
        <v>9.2599999999999994E-6</v>
      </c>
      <c r="L71" s="188">
        <f>opex_orig!L71</f>
        <v>1.7399999999999999E-5</v>
      </c>
      <c r="M71" s="188">
        <f>opex_orig!M71</f>
        <v>4.32E-5</v>
      </c>
      <c r="N71" s="188">
        <f>opex_orig!N71</f>
        <v>3.4900000000000001E-5</v>
      </c>
      <c r="O71" s="188">
        <f>opex_orig!O71</f>
        <v>2.8200000000000001E-5</v>
      </c>
      <c r="P71" s="188">
        <f>opex_orig!P71</f>
        <v>4.3473999999999997E-4</v>
      </c>
      <c r="Q71" s="188">
        <f>opex_orig!Q71</f>
        <v>7.2899999999999997E-5</v>
      </c>
      <c r="R71" s="188">
        <f>opex_orig!R71</f>
        <v>3.4999999999999997E-5</v>
      </c>
      <c r="S71" s="188">
        <f>opex_orig!S71</f>
        <v>2.83E-5</v>
      </c>
      <c r="T71" s="188">
        <f>opex_orig!T71</f>
        <v>3.7799999999999997E-5</v>
      </c>
      <c r="U71" s="188">
        <f>opex_orig!U71</f>
        <v>2.55E-5</v>
      </c>
      <c r="V71" s="188">
        <f>opex_orig!V71</f>
        <v>3.0199999999999999E-5</v>
      </c>
      <c r="W71" s="188">
        <f>opex_orig!W71</f>
        <v>2.1299999999999999E-5</v>
      </c>
      <c r="X71" s="188">
        <f>opex_orig!X71</f>
        <v>1.5500000000000001E-5</v>
      </c>
      <c r="Y71" s="188">
        <f>opex_orig!Y71</f>
        <v>1.5699999999999999E-5</v>
      </c>
      <c r="Z71" s="188">
        <f>opex_orig!Z71</f>
        <v>6.69E-5</v>
      </c>
      <c r="AA71" s="188">
        <f>opex_orig!AA71</f>
        <v>4.3999999999999999E-5</v>
      </c>
      <c r="AB71" s="188">
        <f>opex_orig!$AB71</f>
        <v>3.5252904607789799E-5</v>
      </c>
      <c r="AC71" s="188">
        <f>opex_orig!$AB71</f>
        <v>3.5252904607789799E-5</v>
      </c>
      <c r="AD71" s="188">
        <f>opex_orig!$AB71</f>
        <v>3.5252904607789799E-5</v>
      </c>
      <c r="AE71" s="188">
        <f>opex_orig!$AC71</f>
        <v>4.3026698432445299E-5</v>
      </c>
      <c r="AF71" s="188">
        <f>opex_orig!$AD71</f>
        <v>2.40244189461584E-5</v>
      </c>
      <c r="AG71" s="188">
        <f>opex_orig!$AD71</f>
        <v>2.40244189461584E-5</v>
      </c>
      <c r="AH71" s="188">
        <f>opex_orig!$AD71</f>
        <v>2.40244189461584E-5</v>
      </c>
      <c r="AI71" s="188">
        <f>opex_orig!AE71</f>
        <v>2.0299999999999999E-5</v>
      </c>
      <c r="AJ71" s="188">
        <f>opex_orig!AF71</f>
        <v>8.4599999999999996E-5</v>
      </c>
      <c r="AK71" s="188">
        <f>opex_orig!AG71</f>
        <v>9.5799999999999998E-5</v>
      </c>
      <c r="AL71" s="188">
        <f>opex_orig!AH71</f>
        <v>6.9400000000000006E-5</v>
      </c>
      <c r="AM71" s="188">
        <f>opex_orig!AI71</f>
        <v>8.2799999999999993E-5</v>
      </c>
      <c r="AN71" s="188">
        <f>opex_orig!AJ71</f>
        <v>9.1299999999999997E-5</v>
      </c>
      <c r="AO71" s="188">
        <f>opex_orig!AK71</f>
        <v>4.3712999999999998E-4</v>
      </c>
      <c r="AP71" s="254">
        <f>opex_concordance!M440</f>
        <v>2.8877782298888398E-2</v>
      </c>
      <c r="AQ71" s="254">
        <f>opex_concordance!M494</f>
        <v>2.3240566751840597E-2</v>
      </c>
      <c r="AR71" s="254">
        <f>opex_concordance!M548</f>
        <v>2.5504491024580817E-2</v>
      </c>
      <c r="AS71" s="188">
        <f>opex_orig!$AM71</f>
        <v>2.6086773455175499E-2</v>
      </c>
      <c r="AT71" s="188">
        <f>opex_orig!AN71</f>
        <v>4.3364400000000001E-4</v>
      </c>
      <c r="AU71" s="188">
        <f>opex_orig!$AO71</f>
        <v>4.5050856448853403E-5</v>
      </c>
      <c r="AV71" s="188">
        <f>opex_orig!$AO71</f>
        <v>4.5050856448853403E-5</v>
      </c>
      <c r="AW71" s="188">
        <f>opex_orig!$AO71</f>
        <v>4.5050856448853403E-5</v>
      </c>
      <c r="AX71" s="188">
        <f>opex_orig!$AP71</f>
        <v>5.0966293030572598E-5</v>
      </c>
      <c r="AY71" s="188">
        <f>opex_orig!AQ71</f>
        <v>5.2099999999999999E-5</v>
      </c>
      <c r="AZ71" s="188">
        <f>opex_orig!AR71</f>
        <v>0</v>
      </c>
      <c r="BA71" s="188">
        <f>opex_orig!AS71</f>
        <v>4.9200000000000003E-5</v>
      </c>
      <c r="BB71" s="188">
        <f>opex_orig!AT71</f>
        <v>5.0599999999999997E-5</v>
      </c>
      <c r="BC71" s="188">
        <f>opex_orig!AU71</f>
        <v>1.2E-5</v>
      </c>
      <c r="BD71" s="188">
        <f>opex_orig!AV71</f>
        <v>1.1E-5</v>
      </c>
      <c r="BE71" s="188">
        <f>opex_orig!AW71</f>
        <v>5.0899999999999997E-5</v>
      </c>
      <c r="BF71" s="188">
        <f>opex_orig!AX71</f>
        <v>0</v>
      </c>
      <c r="BG71" s="188">
        <f>opex_orig!AY71</f>
        <v>5.0399999999999999E-5</v>
      </c>
      <c r="BH71" s="188">
        <f>opex_orig!AZ71</f>
        <v>0</v>
      </c>
      <c r="BI71" s="188">
        <f>opex_orig!BA71</f>
        <v>7.1500000000000003E-5</v>
      </c>
      <c r="BJ71" s="188">
        <f>opex_orig!BB71</f>
        <v>7.0900000000000002E-5</v>
      </c>
      <c r="BK71" s="188">
        <f>opex_orig!BC71</f>
        <v>6.5199999999999999E-5</v>
      </c>
      <c r="BL71" s="188">
        <f>opex_orig!BD71</f>
        <v>3.2799999999999998E-5</v>
      </c>
      <c r="BM71" s="188">
        <f>opex_orig!BE71</f>
        <v>5.3999999999999998E-5</v>
      </c>
      <c r="BN71" s="188">
        <f>opex_orig!BF71</f>
        <v>4.1699999999999997E-5</v>
      </c>
      <c r="BO71" s="188">
        <f>opex_orig!BG71</f>
        <v>4.0500000000000002E-5</v>
      </c>
      <c r="BP71" s="188">
        <f>opex_orig!$BH71</f>
        <v>4.9948192686310203E-5</v>
      </c>
      <c r="BQ71" s="188">
        <f>opex_orig!$BH71</f>
        <v>4.9948192686310203E-5</v>
      </c>
      <c r="BR71" s="188">
        <f>opex_orig!BI71</f>
        <v>5.5300000000000002E-5</v>
      </c>
      <c r="BS71" s="188">
        <f>opex_orig!BJ71</f>
        <v>5.0800000000000002E-5</v>
      </c>
      <c r="BT71" s="188">
        <f>opex_orig!BK71</f>
        <v>4.74E-5</v>
      </c>
      <c r="BU71" s="188">
        <f>opex_orig!BL71</f>
        <v>0</v>
      </c>
      <c r="BV71" s="27">
        <f>opex_orig!BM71</f>
        <v>2.4939628197935798E-5</v>
      </c>
      <c r="BW71" s="27">
        <f>opex_orig!BN71</f>
        <v>3.3132655114363501E-5</v>
      </c>
      <c r="BX71" s="27">
        <f>opex_orig!BO71</f>
        <v>9.5220649883658898E-6</v>
      </c>
      <c r="BY71" s="27">
        <f>opex_orig!BP71</f>
        <v>1.1735954883976199E-5</v>
      </c>
      <c r="BZ71" s="27">
        <f>opex_orig!BQ71</f>
        <v>1.51295674489489E-5</v>
      </c>
      <c r="CA71" s="27">
        <f>opex_orig!BR71</f>
        <v>3.1520299985845303E-4</v>
      </c>
      <c r="CB71" s="27">
        <f>opex_orig!BS71</f>
        <v>5.83078778595066E-5</v>
      </c>
      <c r="CC71" s="27">
        <f>opex_orig!BT71</f>
        <v>4.4649560895554902E-5</v>
      </c>
      <c r="CD71" s="27">
        <f>opex_orig!BU71</f>
        <v>9.0765493347816995E-6</v>
      </c>
      <c r="CE71" s="27">
        <f>opex_orig!BV71</f>
        <v>9.0765493347817096E-6</v>
      </c>
      <c r="CF71" s="27">
        <f>opex_orig!BW71</f>
        <v>4.4911275736089502E-4</v>
      </c>
      <c r="CG71" s="27">
        <f>opex_orig!BX71</f>
        <v>1.52866298093599E-5</v>
      </c>
      <c r="CH71" s="27">
        <f>opex_orig!BY71</f>
        <v>1.3290809066799101E-6</v>
      </c>
      <c r="CI71" s="27">
        <f>opex_orig!BZ71</f>
        <v>1.8499999999999999E-5</v>
      </c>
      <c r="CJ71" s="27">
        <f>opex_orig!CA71</f>
        <v>1.42E-5</v>
      </c>
      <c r="CK71" s="27">
        <f>opex_orig!CB71</f>
        <v>1.4399999999999999E-5</v>
      </c>
      <c r="CL71" s="27">
        <f>opex_orig!CC71</f>
        <v>1.1399999999999999E-5</v>
      </c>
      <c r="CM71" s="27">
        <f>opex_orig!CD71</f>
        <v>5.1400000000000003E-5</v>
      </c>
      <c r="CN71" s="27">
        <f>opex_orig!CE71</f>
        <v>5.8600000000000001E-5</v>
      </c>
      <c r="CO71" s="27">
        <f>opex_orig!CF71</f>
        <v>2.185439E-3</v>
      </c>
      <c r="CP71" s="27">
        <f>opex_orig!CG71</f>
        <v>9.8200000000000008E-6</v>
      </c>
    </row>
    <row r="72" spans="1:94" x14ac:dyDescent="0.25">
      <c r="A72" s="5" t="s">
        <v>163</v>
      </c>
      <c r="B72" s="2" t="s">
        <v>162</v>
      </c>
      <c r="C72" s="1" t="s">
        <v>329</v>
      </c>
      <c r="D72" s="188">
        <f>opex_orig!D72</f>
        <v>2.13179E-4</v>
      </c>
      <c r="E72" s="188">
        <f>opex_orig!E72</f>
        <v>2.7685900000000001E-4</v>
      </c>
      <c r="F72" s="188">
        <f>opex_orig!F72</f>
        <v>1.5843199999999999E-4</v>
      </c>
      <c r="G72" s="188">
        <f>opex_orig!G72</f>
        <v>2.5599999999999999E-5</v>
      </c>
      <c r="H72" s="188">
        <f>opex_orig!H72</f>
        <v>4.6100000000000002E-5</v>
      </c>
      <c r="I72" s="188">
        <f>opex_orig!I72</f>
        <v>9.0241900000000001E-4</v>
      </c>
      <c r="J72" s="188">
        <f>opex_orig!J72</f>
        <v>1.3756799999999999E-4</v>
      </c>
      <c r="K72" s="188">
        <f>opex_orig!K72</f>
        <v>7.7600000000000002E-5</v>
      </c>
      <c r="L72" s="188">
        <f>opex_orig!L72</f>
        <v>5.0655700000000004E-4</v>
      </c>
      <c r="M72" s="188">
        <f>opex_orig!M72</f>
        <v>1.2224359999999999E-3</v>
      </c>
      <c r="N72" s="188">
        <f>opex_orig!N72</f>
        <v>6.89775E-4</v>
      </c>
      <c r="O72" s="188">
        <f>opex_orig!O72</f>
        <v>1.16474E-4</v>
      </c>
      <c r="P72" s="188">
        <f>opex_orig!P72</f>
        <v>5.1242700000000002E-3</v>
      </c>
      <c r="Q72" s="188">
        <f>opex_orig!Q72</f>
        <v>3.3827199999999998E-4</v>
      </c>
      <c r="R72" s="188">
        <f>opex_orig!R72</f>
        <v>3.1942899999999998E-4</v>
      </c>
      <c r="S72" s="188">
        <f>opex_orig!S72</f>
        <v>6.3533999999999997E-4</v>
      </c>
      <c r="T72" s="188">
        <f>opex_orig!T72</f>
        <v>7.0017899999999999E-4</v>
      </c>
      <c r="U72" s="188">
        <f>opex_orig!U72</f>
        <v>1.0173799999999999E-4</v>
      </c>
      <c r="V72" s="188">
        <f>opex_orig!V72</f>
        <v>1.17037E-4</v>
      </c>
      <c r="W72" s="188">
        <f>opex_orig!W72</f>
        <v>9.0099999999999995E-5</v>
      </c>
      <c r="X72" s="188">
        <f>opex_orig!X72</f>
        <v>6.3499999999999999E-5</v>
      </c>
      <c r="Y72" s="188">
        <f>opex_orig!Y72</f>
        <v>6.9575870000000003E-3</v>
      </c>
      <c r="Z72" s="188">
        <f>opex_orig!Z72</f>
        <v>3.2061749999999999E-3</v>
      </c>
      <c r="AA72" s="188">
        <f>opex_orig!AA72</f>
        <v>2.1936199999999999E-4</v>
      </c>
      <c r="AB72" s="188">
        <f>opex_orig!$AB72</f>
        <v>2.2817784509342699E-4</v>
      </c>
      <c r="AC72" s="188">
        <f>opex_orig!$AB72</f>
        <v>2.2817784509342699E-4</v>
      </c>
      <c r="AD72" s="188">
        <f>opex_orig!$AB72</f>
        <v>2.2817784509342699E-4</v>
      </c>
      <c r="AE72" s="188">
        <f>opex_orig!$AC72</f>
        <v>3.82147073953366E-4</v>
      </c>
      <c r="AF72" s="188">
        <f>opex_orig!$AD72</f>
        <v>4.0669151236746398E-4</v>
      </c>
      <c r="AG72" s="188">
        <f>opex_orig!$AD72</f>
        <v>4.0669151236746398E-4</v>
      </c>
      <c r="AH72" s="188">
        <f>opex_orig!$AD72</f>
        <v>4.0669151236746398E-4</v>
      </c>
      <c r="AI72" s="188">
        <f>opex_orig!AE72</f>
        <v>3.8175600000000002E-4</v>
      </c>
      <c r="AJ72" s="188">
        <f>opex_orig!AF72</f>
        <v>8.9276899999999996E-4</v>
      </c>
      <c r="AK72" s="188">
        <f>opex_orig!AG72</f>
        <v>3.0346399999999998E-4</v>
      </c>
      <c r="AL72" s="188">
        <f>opex_orig!AH72</f>
        <v>3.5247427999999997E-2</v>
      </c>
      <c r="AM72" s="188">
        <f>opex_orig!AI72</f>
        <v>6.5973340000000005E-2</v>
      </c>
      <c r="AN72" s="188">
        <f>opex_orig!AJ72</f>
        <v>6.5254968999999996E-2</v>
      </c>
      <c r="AO72" s="188">
        <f>opex_orig!AK72</f>
        <v>0.20061304799999999</v>
      </c>
      <c r="AP72" s="219">
        <f>opex_concordance!M441</f>
        <v>6.7832194266020995E-2</v>
      </c>
      <c r="AQ72" s="219">
        <f>opex_concordance!M495</f>
        <v>5.4590709994512397E-2</v>
      </c>
      <c r="AR72" s="219">
        <f>opex_concordance!M549</f>
        <v>5.9908533554598797E-2</v>
      </c>
      <c r="AS72" s="188">
        <f>opex_orig!$AM72</f>
        <v>6.1446348995724799E-2</v>
      </c>
      <c r="AT72" s="188">
        <f>opex_orig!AN72</f>
        <v>0.15219761500000001</v>
      </c>
      <c r="AU72" s="188">
        <f>opex_orig!$AO72</f>
        <v>9.9677363842564596E-4</v>
      </c>
      <c r="AV72" s="188">
        <f>opex_orig!$AO72</f>
        <v>9.9677363842564596E-4</v>
      </c>
      <c r="AW72" s="188">
        <f>opex_orig!$AO72</f>
        <v>9.9677363842564596E-4</v>
      </c>
      <c r="AX72" s="188">
        <f>opex_orig!$AP72</f>
        <v>1.1359719222405599E-3</v>
      </c>
      <c r="AY72" s="188">
        <f>opex_orig!AQ72</f>
        <v>2.7996599999999998E-4</v>
      </c>
      <c r="AZ72" s="188">
        <f>opex_orig!AR72</f>
        <v>0</v>
      </c>
      <c r="BA72" s="188">
        <f>opex_orig!AS72</f>
        <v>1.9449968000000002E-2</v>
      </c>
      <c r="BB72" s="188">
        <f>opex_orig!AT72</f>
        <v>2.3760784E-2</v>
      </c>
      <c r="BC72" s="188">
        <f>opex_orig!AU72</f>
        <v>4.74E-5</v>
      </c>
      <c r="BD72" s="188">
        <f>opex_orig!AV72</f>
        <v>4.1999999999999998E-5</v>
      </c>
      <c r="BE72" s="188">
        <f>opex_orig!AW72</f>
        <v>1.59994E-4</v>
      </c>
      <c r="BF72" s="188">
        <f>opex_orig!AX72</f>
        <v>0</v>
      </c>
      <c r="BG72" s="188">
        <f>opex_orig!AY72</f>
        <v>4.2492799999999998E-4</v>
      </c>
      <c r="BH72" s="188">
        <f>opex_orig!AZ72</f>
        <v>0</v>
      </c>
      <c r="BI72" s="188">
        <f>opex_orig!BA72</f>
        <v>9.9276599999999996E-4</v>
      </c>
      <c r="BJ72" s="188">
        <f>opex_orig!BB72</f>
        <v>1.240955E-3</v>
      </c>
      <c r="BK72" s="188">
        <f>opex_orig!BC72</f>
        <v>1.7159E-3</v>
      </c>
      <c r="BL72" s="188">
        <f>opex_orig!BD72</f>
        <v>1.14181E-4</v>
      </c>
      <c r="BM72" s="188">
        <f>opex_orig!BE72</f>
        <v>2.7861230000000002E-3</v>
      </c>
      <c r="BN72" s="188">
        <f>opex_orig!BF72</f>
        <v>2.1523199999999999E-4</v>
      </c>
      <c r="BO72" s="188">
        <f>opex_orig!BG72</f>
        <v>7.7439700000000002E-4</v>
      </c>
      <c r="BP72" s="188">
        <f>opex_orig!$BH72</f>
        <v>3.7001503794827399E-4</v>
      </c>
      <c r="BQ72" s="188">
        <f>opex_orig!$BH72</f>
        <v>3.7001503794827399E-4</v>
      </c>
      <c r="BR72" s="188">
        <f>opex_orig!BI72</f>
        <v>1.0312749999999999E-3</v>
      </c>
      <c r="BS72" s="188">
        <f>opex_orig!BJ72</f>
        <v>2.15851E-4</v>
      </c>
      <c r="BT72" s="188">
        <f>opex_orig!BK72</f>
        <v>6.7172200000000003E-4</v>
      </c>
      <c r="BU72" s="188">
        <f>opex_orig!BL72</f>
        <v>0</v>
      </c>
      <c r="BV72" s="27">
        <f>opex_orig!BM72</f>
        <v>1.07517037399245E-4</v>
      </c>
      <c r="BW72" s="27">
        <f>opex_orig!BN72</f>
        <v>1.28061120760397E-4</v>
      </c>
      <c r="BX72" s="27">
        <f>opex_orig!BO72</f>
        <v>3.7359507441653502E-5</v>
      </c>
      <c r="BY72" s="27">
        <f>opex_orig!BP72</f>
        <v>6.5008470155944895E-5</v>
      </c>
      <c r="BZ72" s="27">
        <f>opex_orig!BQ72</f>
        <v>9.2947818615565501E-5</v>
      </c>
      <c r="CA72" s="27">
        <f>opex_orig!BR72</f>
        <v>4.7811713463229703E-4</v>
      </c>
      <c r="CB72" s="27">
        <f>opex_orig!BS72</f>
        <v>3.8160624199342702E-4</v>
      </c>
      <c r="CC72" s="27">
        <f>opex_orig!BT72</f>
        <v>1.7744483794178999E-5</v>
      </c>
      <c r="CD72" s="27">
        <f>opex_orig!BU72</f>
        <v>3.0641345521258198E-5</v>
      </c>
      <c r="CE72" s="27">
        <f>opex_orig!BV72</f>
        <v>3.06413455212583E-5</v>
      </c>
      <c r="CF72" s="27">
        <f>opex_orig!BW72</f>
        <v>6.9488299515219304E-5</v>
      </c>
      <c r="CG72" s="27">
        <f>opex_orig!BX72</f>
        <v>7.5323351436103702E-6</v>
      </c>
      <c r="CH72" s="27">
        <f>opex_orig!BY72</f>
        <v>6.4692264151334903E-6</v>
      </c>
      <c r="CI72" s="27">
        <f>opex_orig!BZ72</f>
        <v>1.0089E-4</v>
      </c>
      <c r="CJ72" s="27">
        <f>opex_orig!CA72</f>
        <v>9.5000000000000005E-5</v>
      </c>
      <c r="CK72" s="27">
        <f>opex_orig!CB72</f>
        <v>9.6000000000000002E-5</v>
      </c>
      <c r="CL72" s="27">
        <f>opex_orig!CC72</f>
        <v>4.88E-5</v>
      </c>
      <c r="CM72" s="27">
        <f>opex_orig!CD72</f>
        <v>2.6744099999999999E-4</v>
      </c>
      <c r="CN72" s="27">
        <f>opex_orig!CE72</f>
        <v>9.6909399999999999E-4</v>
      </c>
      <c r="CO72" s="27">
        <f>opex_orig!CF72</f>
        <v>2.9705080000000002E-3</v>
      </c>
      <c r="CP72" s="27">
        <f>opex_orig!CG72</f>
        <v>8.0000000000000007E-5</v>
      </c>
    </row>
    <row r="73" spans="1:94" x14ac:dyDescent="0.25">
      <c r="A73" s="5" t="s">
        <v>165</v>
      </c>
      <c r="B73" s="2" t="s">
        <v>164</v>
      </c>
      <c r="C73" s="1" t="s">
        <v>329</v>
      </c>
      <c r="D73" s="188">
        <f>opex_orig!D73</f>
        <v>6.9800000000000003E-5</v>
      </c>
      <c r="E73" s="188">
        <f>opex_orig!E73</f>
        <v>4.3900000000000003E-5</v>
      </c>
      <c r="F73" s="188">
        <f>opex_orig!F73</f>
        <v>3.7400000000000001E-5</v>
      </c>
      <c r="G73" s="188">
        <f>opex_orig!G73</f>
        <v>8.3499999999999997E-6</v>
      </c>
      <c r="H73" s="188">
        <f>opex_orig!H73</f>
        <v>5.6200000000000004E-6</v>
      </c>
      <c r="I73" s="188">
        <f>opex_orig!I73</f>
        <v>1.0922299999999999E-4</v>
      </c>
      <c r="J73" s="188">
        <f>opex_orig!J73</f>
        <v>3.3403799999999999E-4</v>
      </c>
      <c r="K73" s="188">
        <f>opex_orig!K73</f>
        <v>8.4800000000000001E-6</v>
      </c>
      <c r="L73" s="188">
        <f>opex_orig!L73</f>
        <v>8.5699999999999996E-5</v>
      </c>
      <c r="M73" s="188">
        <f>opex_orig!M73</f>
        <v>2.46202E-4</v>
      </c>
      <c r="N73" s="188">
        <f>opex_orig!N73</f>
        <v>1.2403699999999999E-4</v>
      </c>
      <c r="O73" s="188">
        <f>opex_orig!O73</f>
        <v>4.3558699999999998E-4</v>
      </c>
      <c r="P73" s="188">
        <f>opex_orig!P73</f>
        <v>2.10168E-4</v>
      </c>
      <c r="Q73" s="188">
        <f>opex_orig!Q73</f>
        <v>5.5300000000000002E-5</v>
      </c>
      <c r="R73" s="188">
        <f>opex_orig!R73</f>
        <v>9.1700000000000006E-5</v>
      </c>
      <c r="S73" s="188">
        <f>opex_orig!S73</f>
        <v>4.3849200000000002E-4</v>
      </c>
      <c r="T73" s="188">
        <f>opex_orig!T73</f>
        <v>9.0171900000000004E-4</v>
      </c>
      <c r="U73" s="188">
        <f>opex_orig!U73</f>
        <v>4.45167E-4</v>
      </c>
      <c r="V73" s="188">
        <f>opex_orig!V73</f>
        <v>2.2815499999999999E-4</v>
      </c>
      <c r="W73" s="188">
        <f>opex_orig!W73</f>
        <v>3.61617E-4</v>
      </c>
      <c r="X73" s="188">
        <f>opex_orig!X73</f>
        <v>7.2299999999999996E-5</v>
      </c>
      <c r="Y73" s="188">
        <f>opex_orig!Y73</f>
        <v>1.4157899999999999E-4</v>
      </c>
      <c r="Z73" s="188">
        <f>opex_orig!Z73</f>
        <v>5.8212800000000001E-4</v>
      </c>
      <c r="AA73" s="188">
        <f>opex_orig!AA73</f>
        <v>1.380392E-3</v>
      </c>
      <c r="AB73" s="188">
        <f>opex_orig!$AB73</f>
        <v>8.2209885105279906E-5</v>
      </c>
      <c r="AC73" s="188">
        <f>opex_orig!$AB73</f>
        <v>8.2209885105279906E-5</v>
      </c>
      <c r="AD73" s="188">
        <f>opex_orig!$AB73</f>
        <v>8.2209885105279906E-5</v>
      </c>
      <c r="AE73" s="188">
        <f>opex_orig!$AC73</f>
        <v>2.3040490317185501E-4</v>
      </c>
      <c r="AF73" s="188">
        <f>opex_orig!$AD73</f>
        <v>2.1033868188510599E-4</v>
      </c>
      <c r="AG73" s="188">
        <f>opex_orig!$AD73</f>
        <v>2.1033868188510599E-4</v>
      </c>
      <c r="AH73" s="188">
        <f>opex_orig!$AD73</f>
        <v>2.1033868188510599E-4</v>
      </c>
      <c r="AI73" s="188">
        <f>opex_orig!AE73</f>
        <v>1.81039E-4</v>
      </c>
      <c r="AJ73" s="188">
        <f>opex_orig!AF73</f>
        <v>7.8177800000000001E-4</v>
      </c>
      <c r="AK73" s="188">
        <f>opex_orig!AG73</f>
        <v>1.641287E-3</v>
      </c>
      <c r="AL73" s="188">
        <f>opex_orig!AH73</f>
        <v>2.43821E-4</v>
      </c>
      <c r="AM73" s="188">
        <f>opex_orig!AI73</f>
        <v>3.3080199999999999E-4</v>
      </c>
      <c r="AN73" s="188">
        <f>opex_orig!AJ73</f>
        <v>2.4259300000000001E-4</v>
      </c>
      <c r="AO73" s="188">
        <f>opex_orig!AK73</f>
        <v>3.7314100000000001E-4</v>
      </c>
      <c r="AP73" s="188">
        <f>opex_orig!$AL73</f>
        <v>1.3711388812176E-3</v>
      </c>
      <c r="AQ73" s="188">
        <f>opex_orig!$AL73</f>
        <v>1.3711388812176E-3</v>
      </c>
      <c r="AR73" s="188">
        <f>opex_orig!$AL73</f>
        <v>1.3711388812176E-3</v>
      </c>
      <c r="AS73" s="188">
        <f>opex_orig!$AM73</f>
        <v>1.22205286226133E-3</v>
      </c>
      <c r="AT73" s="188">
        <f>opex_orig!AN73</f>
        <v>1.067681E-3</v>
      </c>
      <c r="AU73" s="293">
        <f>opex_concordance!$M$598</f>
        <v>8.0744457062183E-2</v>
      </c>
      <c r="AV73" s="293">
        <f>opex_concordance!$M$644</f>
        <v>0.10969106036017423</v>
      </c>
      <c r="AW73" s="293">
        <f>opex_concordance!$M$690</f>
        <v>8.6866267403110223E-2</v>
      </c>
      <c r="AX73" s="188">
        <f>opex_orig!$AP73</f>
        <v>9.1472464956099994E-2</v>
      </c>
      <c r="AY73" s="188">
        <f>opex_orig!AQ73</f>
        <v>1.1246446E-2</v>
      </c>
      <c r="AZ73" s="188">
        <f>opex_orig!AR73</f>
        <v>0</v>
      </c>
      <c r="BA73" s="188">
        <f>opex_orig!AS73</f>
        <v>8.1897580000000001E-3</v>
      </c>
      <c r="BB73" s="188">
        <f>opex_orig!AT73</f>
        <v>6.3239589999999997E-3</v>
      </c>
      <c r="BC73" s="188">
        <f>opex_orig!AU73</f>
        <v>1.8705100000000001E-4</v>
      </c>
      <c r="BD73" s="188">
        <f>opex_orig!AV73</f>
        <v>1.35656E-4</v>
      </c>
      <c r="BE73" s="188">
        <f>opex_orig!AW73</f>
        <v>3.229581E-3</v>
      </c>
      <c r="BF73" s="188">
        <f>opex_orig!AX73</f>
        <v>0</v>
      </c>
      <c r="BG73" s="188">
        <f>opex_orig!AY73</f>
        <v>3.712187E-3</v>
      </c>
      <c r="BH73" s="188">
        <f>opex_orig!AZ73</f>
        <v>0</v>
      </c>
      <c r="BI73" s="188">
        <f>opex_orig!BA73</f>
        <v>5.5974673000000003E-2</v>
      </c>
      <c r="BJ73" s="188">
        <f>opex_orig!BB73</f>
        <v>2.4749489999999999E-2</v>
      </c>
      <c r="BK73" s="188">
        <f>opex_orig!BC73</f>
        <v>2.5519822000000001E-2</v>
      </c>
      <c r="BL73" s="188">
        <f>opex_orig!BD73</f>
        <v>2.5674200000000002E-4</v>
      </c>
      <c r="BM73" s="188">
        <f>opex_orig!BE73</f>
        <v>1.6142452000000002E-2</v>
      </c>
      <c r="BN73" s="188">
        <f>opex_orig!BF73</f>
        <v>2.3090299999999999E-4</v>
      </c>
      <c r="BO73" s="188">
        <f>opex_orig!BG73</f>
        <v>2.114758E-3</v>
      </c>
      <c r="BP73" s="325">
        <f>opex_concordance!M96</f>
        <v>6.2569182009794399E-3</v>
      </c>
      <c r="BQ73" s="325">
        <f>opex_concordance!M139</f>
        <v>4.0075743132071632E-3</v>
      </c>
      <c r="BR73" s="188">
        <f>opex_orig!BI73</f>
        <v>1.9938232E-2</v>
      </c>
      <c r="BS73" s="188">
        <f>opex_orig!BJ73</f>
        <v>7.3013380000000001E-3</v>
      </c>
      <c r="BT73" s="188">
        <f>opex_orig!BK73</f>
        <v>8.1315428999999995E-2</v>
      </c>
      <c r="BU73" s="188">
        <f>opex_orig!BL73</f>
        <v>0</v>
      </c>
      <c r="BV73" s="27">
        <f>opex_orig!BM73</f>
        <v>5.1633938331711599E-4</v>
      </c>
      <c r="BW73" s="27">
        <f>opex_orig!BN73</f>
        <v>9.0181707925569398E-4</v>
      </c>
      <c r="BX73" s="27">
        <f>opex_orig!BO73</f>
        <v>6.72890672352809E-5</v>
      </c>
      <c r="BY73" s="27">
        <f>opex_orig!BP73</f>
        <v>1.11595263486389E-4</v>
      </c>
      <c r="BZ73" s="27">
        <f>opex_orig!BQ73</f>
        <v>1.06460225429765E-4</v>
      </c>
      <c r="CA73" s="27">
        <f>opex_orig!BR73</f>
        <v>1.2278883803686E-3</v>
      </c>
      <c r="CB73" s="27">
        <f>opex_orig!BS73</f>
        <v>9.5417962627337202E-4</v>
      </c>
      <c r="CC73" s="27">
        <f>opex_orig!BT73</f>
        <v>6.3920031629681104E-4</v>
      </c>
      <c r="CD73" s="27">
        <f>opex_orig!BU73</f>
        <v>1.7095589690078399E-5</v>
      </c>
      <c r="CE73" s="27">
        <f>opex_orig!BV73</f>
        <v>1.7095589690078399E-5</v>
      </c>
      <c r="CF73" s="27">
        <f>opex_orig!BW73</f>
        <v>9.3440510585250606E-5</v>
      </c>
      <c r="CG73" s="27">
        <f>opex_orig!BX73</f>
        <v>1.40087304032452E-5</v>
      </c>
      <c r="CH73" s="27">
        <f>opex_orig!BY73</f>
        <v>3.8266351879052598E-5</v>
      </c>
      <c r="CI73" s="27">
        <f>opex_orig!BZ73</f>
        <v>3.3632399999999999E-4</v>
      </c>
      <c r="CJ73" s="27">
        <f>opex_orig!CA73</f>
        <v>1.07314E-4</v>
      </c>
      <c r="CK73" s="27">
        <f>opex_orig!CB73</f>
        <v>1.04843E-4</v>
      </c>
      <c r="CL73" s="27">
        <f>opex_orig!CC73</f>
        <v>3.45397E-4</v>
      </c>
      <c r="CM73" s="27">
        <f>opex_orig!CD73</f>
        <v>6.5161699999999995E-4</v>
      </c>
      <c r="CN73" s="27">
        <f>opex_orig!CE73</f>
        <v>5.4437799999999998E-4</v>
      </c>
      <c r="CO73" s="27">
        <f>opex_orig!CF73</f>
        <v>1.4200339999999999E-3</v>
      </c>
      <c r="CP73" s="27">
        <f>opex_orig!CG73</f>
        <v>1.0857300000000001E-4</v>
      </c>
    </row>
    <row r="74" spans="1:94" x14ac:dyDescent="0.25">
      <c r="A74" s="5" t="s">
        <v>167</v>
      </c>
      <c r="B74" s="2" t="s">
        <v>166</v>
      </c>
      <c r="C74" s="1" t="s">
        <v>329</v>
      </c>
      <c r="D74" s="188">
        <f>opex_orig!D74</f>
        <v>7.1000000000000005E-5</v>
      </c>
      <c r="E74" s="188">
        <f>opex_orig!E74</f>
        <v>2.5599999999999999E-5</v>
      </c>
      <c r="F74" s="188">
        <f>opex_orig!F74</f>
        <v>1.56E-5</v>
      </c>
      <c r="G74" s="188">
        <f>opex_orig!G74</f>
        <v>1.44E-6</v>
      </c>
      <c r="H74" s="188">
        <f>opex_orig!H74</f>
        <v>3.4800000000000001E-6</v>
      </c>
      <c r="I74" s="188">
        <f>opex_orig!I74</f>
        <v>6.4599999999999998E-5</v>
      </c>
      <c r="J74" s="188">
        <f>opex_orig!J74</f>
        <v>4.9200000000000003E-5</v>
      </c>
      <c r="K74" s="188">
        <f>opex_orig!K74</f>
        <v>4.5499999999999996E-6</v>
      </c>
      <c r="L74" s="188">
        <f>opex_orig!L74</f>
        <v>4.3000000000000002E-5</v>
      </c>
      <c r="M74" s="188">
        <f>opex_orig!M74</f>
        <v>1.37472E-4</v>
      </c>
      <c r="N74" s="188">
        <f>opex_orig!N74</f>
        <v>6.3899999999999995E-5</v>
      </c>
      <c r="O74" s="188">
        <f>opex_orig!O74</f>
        <v>2.26827E-4</v>
      </c>
      <c r="P74" s="188">
        <f>opex_orig!P74</f>
        <v>1.18941E-4</v>
      </c>
      <c r="Q74" s="188">
        <f>opex_orig!Q74</f>
        <v>2.55E-5</v>
      </c>
      <c r="R74" s="188">
        <f>opex_orig!R74</f>
        <v>4.21E-5</v>
      </c>
      <c r="S74" s="188">
        <f>opex_orig!S74</f>
        <v>2.4388400000000001E-4</v>
      </c>
      <c r="T74" s="188">
        <f>opex_orig!T74</f>
        <v>5.55865E-4</v>
      </c>
      <c r="U74" s="188">
        <f>opex_orig!U74</f>
        <v>2.60766E-4</v>
      </c>
      <c r="V74" s="188">
        <f>opex_orig!V74</f>
        <v>9.8999999999999994E-5</v>
      </c>
      <c r="W74" s="188">
        <f>opex_orig!W74</f>
        <v>1.9688799999999999E-4</v>
      </c>
      <c r="X74" s="188">
        <f>opex_orig!X74</f>
        <v>4.4299999999999999E-5</v>
      </c>
      <c r="Y74" s="188">
        <f>opex_orig!Y74</f>
        <v>6.3800000000000006E-5</v>
      </c>
      <c r="Z74" s="188">
        <f>opex_orig!Z74</f>
        <v>3.6772399999999999E-4</v>
      </c>
      <c r="AA74" s="188">
        <f>opex_orig!AA74</f>
        <v>6.4627900000000004E-4</v>
      </c>
      <c r="AB74" s="188">
        <f>opex_orig!$AB74</f>
        <v>2.3434888237944002E-5</v>
      </c>
      <c r="AC74" s="188">
        <f>opex_orig!$AB74</f>
        <v>2.3434888237944002E-5</v>
      </c>
      <c r="AD74" s="188">
        <f>opex_orig!$AB74</f>
        <v>2.3434888237944002E-5</v>
      </c>
      <c r="AE74" s="188">
        <f>opex_orig!$AC74</f>
        <v>6.12612839228334E-5</v>
      </c>
      <c r="AF74" s="188">
        <f>opex_orig!$AD74</f>
        <v>7.8473932878503997E-5</v>
      </c>
      <c r="AG74" s="188">
        <f>opex_orig!$AD74</f>
        <v>7.8473932878503997E-5</v>
      </c>
      <c r="AH74" s="188">
        <f>opex_orig!$AD74</f>
        <v>7.8473932878503997E-5</v>
      </c>
      <c r="AI74" s="188">
        <f>opex_orig!AE74</f>
        <v>7.5699999999999997E-5</v>
      </c>
      <c r="AJ74" s="188">
        <f>opex_orig!AF74</f>
        <v>3.8081500000000001E-4</v>
      </c>
      <c r="AK74" s="188">
        <f>opex_orig!AG74</f>
        <v>7.7777499999999997E-4</v>
      </c>
      <c r="AL74" s="188">
        <f>opex_orig!AH74</f>
        <v>1.2599700000000001E-4</v>
      </c>
      <c r="AM74" s="188">
        <f>opex_orig!AI74</f>
        <v>1.6508500000000001E-4</v>
      </c>
      <c r="AN74" s="188">
        <f>opex_orig!AJ74</f>
        <v>1.24015E-4</v>
      </c>
      <c r="AO74" s="188">
        <f>opex_orig!AK74</f>
        <v>1.89865E-4</v>
      </c>
      <c r="AP74" s="188">
        <f>opex_orig!$AL74</f>
        <v>6.5942450289757995E-4</v>
      </c>
      <c r="AQ74" s="188">
        <f>opex_orig!$AL74</f>
        <v>6.5942450289757995E-4</v>
      </c>
      <c r="AR74" s="188">
        <f>opex_orig!$AL74</f>
        <v>6.5942450289757995E-4</v>
      </c>
      <c r="AS74" s="188">
        <f>opex_orig!$AM74</f>
        <v>5.8811940732029599E-4</v>
      </c>
      <c r="AT74" s="188">
        <f>opex_orig!AN74</f>
        <v>5.1941599999999997E-4</v>
      </c>
      <c r="AU74" s="310">
        <f>opex_concordance!M592</f>
        <v>3.8264487147094399E-2</v>
      </c>
      <c r="AV74" s="310">
        <f>opex_concordance!M638</f>
        <v>0</v>
      </c>
      <c r="AW74" s="310">
        <f>opex_concordance!M684</f>
        <v>3.1717906953443897E-2</v>
      </c>
      <c r="AX74" s="188">
        <f>opex_orig!$AP74</f>
        <v>4.3348898814086698E-2</v>
      </c>
      <c r="AY74" s="188">
        <f>opex_orig!AQ74</f>
        <v>5.3217890000000004E-3</v>
      </c>
      <c r="AZ74" s="188">
        <f>opex_orig!AR74</f>
        <v>0</v>
      </c>
      <c r="BA74" s="188">
        <f>opex_orig!AS74</f>
        <v>3.9084599999999999E-3</v>
      </c>
      <c r="BB74" s="188">
        <f>opex_orig!AT74</f>
        <v>3.0096480000000002E-3</v>
      </c>
      <c r="BC74" s="188">
        <f>opex_orig!AU74</f>
        <v>9.2100000000000003E-5</v>
      </c>
      <c r="BD74" s="188">
        <f>opex_orig!AV74</f>
        <v>6.2399999999999999E-5</v>
      </c>
      <c r="BE74" s="188">
        <f>opex_orig!AW74</f>
        <v>1.554136E-3</v>
      </c>
      <c r="BF74" s="188">
        <f>opex_orig!AX74</f>
        <v>0</v>
      </c>
      <c r="BG74" s="188">
        <f>opex_orig!AY74</f>
        <v>1.7116430000000001E-3</v>
      </c>
      <c r="BH74" s="188">
        <f>opex_orig!AZ74</f>
        <v>0</v>
      </c>
      <c r="BI74" s="188">
        <f>opex_orig!BA74</f>
        <v>2.6564634E-2</v>
      </c>
      <c r="BJ74" s="188">
        <f>opex_orig!BB74</f>
        <v>1.168133E-2</v>
      </c>
      <c r="BK74" s="188">
        <f>opex_orig!BC74</f>
        <v>1.2074550999999999E-2</v>
      </c>
      <c r="BL74" s="188">
        <f>opex_orig!BD74</f>
        <v>1.19852E-4</v>
      </c>
      <c r="BM74" s="188">
        <f>opex_orig!BE74</f>
        <v>7.6618449999999996E-3</v>
      </c>
      <c r="BN74" s="188">
        <f>opex_orig!BF74</f>
        <v>1.02138E-4</v>
      </c>
      <c r="BO74" s="188">
        <f>opex_orig!BG74</f>
        <v>9.9728399999999997E-4</v>
      </c>
      <c r="BP74" s="188">
        <f>opex_orig!$BH74</f>
        <v>2.9570541983872101E-3</v>
      </c>
      <c r="BQ74" s="188">
        <f>opex_orig!$BH74</f>
        <v>2.9570541983872101E-3</v>
      </c>
      <c r="BR74" s="188">
        <f>opex_orig!BI74</f>
        <v>9.4803969999999998E-3</v>
      </c>
      <c r="BS74" s="188">
        <f>opex_orig!BJ74</f>
        <v>3.4514609999999999E-3</v>
      </c>
      <c r="BT74" s="188">
        <f>opex_orig!BK74</f>
        <v>3.8569724E-2</v>
      </c>
      <c r="BU74" s="188">
        <f>opex_orig!BL74</f>
        <v>0</v>
      </c>
      <c r="BV74" s="27">
        <f>opex_orig!BM74</f>
        <v>3.7153578291141E-4</v>
      </c>
      <c r="BW74" s="27">
        <f>opex_orig!BN74</f>
        <v>6.5106237413209498E-4</v>
      </c>
      <c r="BX74" s="27">
        <f>opex_orig!BO74</f>
        <v>4.1330898842490603E-5</v>
      </c>
      <c r="BY74" s="27">
        <f>opex_orig!BP74</f>
        <v>7.4063263186285901E-5</v>
      </c>
      <c r="BZ74" s="27">
        <f>opex_orig!BQ74</f>
        <v>7.0347684173982601E-5</v>
      </c>
      <c r="CA74" s="27">
        <f>opex_orig!BR74</f>
        <v>4.9547859264665705E-4</v>
      </c>
      <c r="CB74" s="27">
        <f>opex_orig!BS74</f>
        <v>7.0971671469784202E-4</v>
      </c>
      <c r="CC74" s="27">
        <f>opex_orig!BT74</f>
        <v>1.40891249272068E-4</v>
      </c>
      <c r="CD74" s="27">
        <f>opex_orig!BU74</f>
        <v>1.0439632655583901E-5</v>
      </c>
      <c r="CE74" s="27">
        <f>opex_orig!BV74</f>
        <v>1.0439632655583901E-5</v>
      </c>
      <c r="CF74" s="27">
        <f>opex_orig!BW74</f>
        <v>2.12510103323914E-4</v>
      </c>
      <c r="CG74" s="27">
        <f>opex_orig!BX74</f>
        <v>1.03027707416684E-5</v>
      </c>
      <c r="CH74" s="27">
        <f>opex_orig!BY74</f>
        <v>2.1122474607704302E-5</v>
      </c>
      <c r="CI74" s="27">
        <f>opex_orig!BZ74</f>
        <v>2.4526000000000002E-4</v>
      </c>
      <c r="CJ74" s="27">
        <f>opex_orig!CA74</f>
        <v>4.6699999999999997E-5</v>
      </c>
      <c r="CK74" s="27">
        <f>opex_orig!CB74</f>
        <v>4.7700000000000001E-5</v>
      </c>
      <c r="CL74" s="27">
        <f>opex_orig!CC74</f>
        <v>1.02583E-4</v>
      </c>
      <c r="CM74" s="27">
        <f>opex_orig!CD74</f>
        <v>4.1886199999999999E-4</v>
      </c>
      <c r="CN74" s="27">
        <f>opex_orig!CE74</f>
        <v>2.8723799999999999E-4</v>
      </c>
      <c r="CO74" s="27">
        <f>opex_orig!CF74</f>
        <v>6.9038499999999996E-4</v>
      </c>
      <c r="CP74" s="27">
        <f>opex_orig!CG74</f>
        <v>5.2099999999999999E-5</v>
      </c>
    </row>
    <row r="75" spans="1:94" x14ac:dyDescent="0.25">
      <c r="A75" s="5" t="s">
        <v>169</v>
      </c>
      <c r="B75" s="2" t="s">
        <v>168</v>
      </c>
      <c r="C75" s="1" t="s">
        <v>329</v>
      </c>
      <c r="D75" s="188">
        <f>opex_orig!D75</f>
        <v>3.3000000000000003E-5</v>
      </c>
      <c r="E75" s="188">
        <f>opex_orig!E75</f>
        <v>1.2099999999999999E-5</v>
      </c>
      <c r="F75" s="188">
        <f>opex_orig!F75</f>
        <v>1.08E-5</v>
      </c>
      <c r="G75" s="188">
        <f>opex_orig!G75</f>
        <v>1.48E-6</v>
      </c>
      <c r="H75" s="188">
        <f>opex_orig!H75</f>
        <v>2.6900000000000001E-6</v>
      </c>
      <c r="I75" s="188">
        <f>opex_orig!I75</f>
        <v>2.05E-5</v>
      </c>
      <c r="J75" s="188">
        <f>opex_orig!J75</f>
        <v>2.0699999999999998E-5</v>
      </c>
      <c r="K75" s="188">
        <f>opex_orig!K75</f>
        <v>3.2100000000000002E-6</v>
      </c>
      <c r="L75" s="188">
        <f>opex_orig!L75</f>
        <v>1.4800000000000001E-5</v>
      </c>
      <c r="M75" s="188">
        <f>opex_orig!M75</f>
        <v>3.4100000000000002E-5</v>
      </c>
      <c r="N75" s="188">
        <f>opex_orig!N75</f>
        <v>5.1900000000000001E-5</v>
      </c>
      <c r="O75" s="188">
        <f>opex_orig!O75</f>
        <v>2.3900000000000002E-5</v>
      </c>
      <c r="P75" s="188">
        <f>opex_orig!P75</f>
        <v>4.4400000000000002E-5</v>
      </c>
      <c r="Q75" s="188">
        <f>opex_orig!Q75</f>
        <v>2.0000000000000002E-5</v>
      </c>
      <c r="R75" s="188">
        <f>opex_orig!R75</f>
        <v>1.9000000000000001E-5</v>
      </c>
      <c r="S75" s="188">
        <f>opex_orig!S75</f>
        <v>6.41E-5</v>
      </c>
      <c r="T75" s="188">
        <f>opex_orig!T75</f>
        <v>1.56057E-4</v>
      </c>
      <c r="U75" s="188">
        <f>opex_orig!U75</f>
        <v>8.1899999999999999E-5</v>
      </c>
      <c r="V75" s="188">
        <f>opex_orig!V75</f>
        <v>4.2500000000000003E-5</v>
      </c>
      <c r="W75" s="188">
        <f>opex_orig!W75</f>
        <v>5.4700000000000001E-5</v>
      </c>
      <c r="X75" s="188">
        <f>opex_orig!X75</f>
        <v>1.8700000000000001E-5</v>
      </c>
      <c r="Y75" s="188">
        <f>opex_orig!Y75</f>
        <v>1.3499999999999999E-5</v>
      </c>
      <c r="Z75" s="188">
        <f>opex_orig!Z75</f>
        <v>1.2746599999999999E-4</v>
      </c>
      <c r="AA75" s="188">
        <f>opex_orig!AA75</f>
        <v>5.7899999999999998E-5</v>
      </c>
      <c r="AB75" s="188">
        <f>opex_orig!$AB75</f>
        <v>7.9378699999555104E-5</v>
      </c>
      <c r="AC75" s="188">
        <f>opex_orig!$AB75</f>
        <v>7.9378699999555104E-5</v>
      </c>
      <c r="AD75" s="188">
        <f>opex_orig!$AB75</f>
        <v>7.9378699999555104E-5</v>
      </c>
      <c r="AE75" s="188">
        <f>opex_orig!$AC75</f>
        <v>1.3264968348479099E-4</v>
      </c>
      <c r="AF75" s="188">
        <f>opex_orig!$AD75</f>
        <v>4.2160929128266E-5</v>
      </c>
      <c r="AG75" s="188">
        <f>opex_orig!$AD75</f>
        <v>4.2160929128266E-5</v>
      </c>
      <c r="AH75" s="188">
        <f>opex_orig!$AD75</f>
        <v>4.2160929128266E-5</v>
      </c>
      <c r="AI75" s="188">
        <f>opex_orig!AE75</f>
        <v>3.3300000000000003E-5</v>
      </c>
      <c r="AJ75" s="188">
        <f>opex_orig!AF75</f>
        <v>3.3915799999999999E-4</v>
      </c>
      <c r="AK75" s="188">
        <f>opex_orig!AG75</f>
        <v>9.2399999999999996E-5</v>
      </c>
      <c r="AL75" s="188">
        <f>opex_orig!AH75</f>
        <v>5.4299999999999998E-5</v>
      </c>
      <c r="AM75" s="188">
        <f>opex_orig!AI75</f>
        <v>5.4599999999999999E-5</v>
      </c>
      <c r="AN75" s="188">
        <f>opex_orig!AJ75</f>
        <v>5.2599999999999998E-5</v>
      </c>
      <c r="AO75" s="188">
        <f>opex_orig!AK75</f>
        <v>6.5199999999999999E-5</v>
      </c>
      <c r="AP75" s="188">
        <f>opex_orig!$AL75</f>
        <v>3.8111883365890102E-5</v>
      </c>
      <c r="AQ75" s="188">
        <f>opex_orig!$AL75</f>
        <v>3.8111883365890102E-5</v>
      </c>
      <c r="AR75" s="188">
        <f>opex_orig!$AL75</f>
        <v>3.8111883365890102E-5</v>
      </c>
      <c r="AS75" s="188">
        <f>opex_orig!$AM75</f>
        <v>4.6658506987569601E-5</v>
      </c>
      <c r="AT75" s="188">
        <f>opex_orig!AN75</f>
        <v>7.1099999999999994E-5</v>
      </c>
      <c r="AU75" s="188">
        <f>opex_orig!$AO75</f>
        <v>1.4137271464666399E-4</v>
      </c>
      <c r="AV75" s="188">
        <f>opex_orig!$AO75</f>
        <v>1.4137271464666399E-4</v>
      </c>
      <c r="AW75" s="188">
        <f>opex_orig!$AO75</f>
        <v>1.4137271464666399E-4</v>
      </c>
      <c r="AX75" s="188">
        <f>opex_orig!$AP75</f>
        <v>1.37746433714706E-4</v>
      </c>
      <c r="AY75" s="188">
        <f>opex_orig!AQ75</f>
        <v>0.17711449900000001</v>
      </c>
      <c r="AZ75" s="188">
        <f>opex_orig!AR75</f>
        <v>0</v>
      </c>
      <c r="BA75" s="188">
        <f>opex_orig!AS75</f>
        <v>1.49433E-4</v>
      </c>
      <c r="BB75" s="188">
        <f>opex_orig!AT75</f>
        <v>1.09885E-4</v>
      </c>
      <c r="BC75" s="188">
        <f>opex_orig!AU75</f>
        <v>3.7499999999999997E-5</v>
      </c>
      <c r="BD75" s="188">
        <f>opex_orig!AV75</f>
        <v>2.8900000000000001E-5</v>
      </c>
      <c r="BE75" s="188">
        <f>opex_orig!AW75</f>
        <v>1.02692E-4</v>
      </c>
      <c r="BF75" s="188">
        <f>opex_orig!AX75</f>
        <v>0</v>
      </c>
      <c r="BG75" s="188">
        <f>opex_orig!AY75</f>
        <v>1.56809E-4</v>
      </c>
      <c r="BH75" s="188">
        <f>opex_orig!AZ75</f>
        <v>0</v>
      </c>
      <c r="BI75" s="188">
        <f>opex_orig!BA75</f>
        <v>2.8521689999999999E-2</v>
      </c>
      <c r="BJ75" s="188">
        <f>opex_orig!BB75</f>
        <v>3.7446700000000002E-4</v>
      </c>
      <c r="BK75" s="188">
        <f>opex_orig!BC75</f>
        <v>4.8566599999999999E-4</v>
      </c>
      <c r="BL75" s="188">
        <f>opex_orig!BD75</f>
        <v>3.2400000000000001E-5</v>
      </c>
      <c r="BM75" s="188">
        <f>opex_orig!BE75</f>
        <v>2.3217499999999999E-4</v>
      </c>
      <c r="BN75" s="188">
        <f>opex_orig!BF75</f>
        <v>3.1900000000000003E-5</v>
      </c>
      <c r="BO75" s="188">
        <f>opex_orig!BG75</f>
        <v>6.1727500000000003E-4</v>
      </c>
      <c r="BP75" s="188">
        <f>opex_orig!$BH75</f>
        <v>5.85338013947898E-5</v>
      </c>
      <c r="BQ75" s="188">
        <f>opex_orig!$BH75</f>
        <v>5.85338013947898E-5</v>
      </c>
      <c r="BR75" s="188">
        <f>opex_orig!BI75</f>
        <v>1.8202100000000001E-4</v>
      </c>
      <c r="BS75" s="188">
        <f>opex_orig!BJ75</f>
        <v>3.4224540000000001E-3</v>
      </c>
      <c r="BT75" s="188">
        <f>opex_orig!BK75</f>
        <v>3.0333249999999999E-3</v>
      </c>
      <c r="BU75" s="188">
        <f>opex_orig!BL75</f>
        <v>0</v>
      </c>
      <c r="BV75" s="27">
        <f>opex_orig!BM75</f>
        <v>1.11174648293529E-4</v>
      </c>
      <c r="BW75" s="27">
        <f>opex_orig!BN75</f>
        <v>2.2449300693183101E-4</v>
      </c>
      <c r="BX75" s="27">
        <f>opex_orig!BO75</f>
        <v>1.46862184936399E-5</v>
      </c>
      <c r="BY75" s="27">
        <f>opex_orig!BP75</f>
        <v>4.8980379473657597E-5</v>
      </c>
      <c r="BZ75" s="27">
        <f>opex_orig!BQ75</f>
        <v>6.5432675878094505E-5</v>
      </c>
      <c r="CA75" s="27">
        <f>opex_orig!BR75</f>
        <v>1.4883156345243201E-5</v>
      </c>
      <c r="CB75" s="27">
        <f>opex_orig!BS75</f>
        <v>2.23083075881263E-4</v>
      </c>
      <c r="CC75" s="27">
        <f>opex_orig!BT75</f>
        <v>1.8879571229497399E-5</v>
      </c>
      <c r="CD75" s="27">
        <f>opex_orig!BU75</f>
        <v>3.89755449213673E-6</v>
      </c>
      <c r="CE75" s="27">
        <f>opex_orig!BV75</f>
        <v>3.8975544921367402E-6</v>
      </c>
      <c r="CF75" s="27">
        <f>opex_orig!BW75</f>
        <v>3.0121470694630501E-5</v>
      </c>
      <c r="CG75" s="27">
        <f>opex_orig!BX75</f>
        <v>4.7132545535384597E-6</v>
      </c>
      <c r="CH75" s="27">
        <f>opex_orig!BY75</f>
        <v>2.3819706953741099E-5</v>
      </c>
      <c r="CI75" s="27">
        <f>opex_orig!BZ75</f>
        <v>8.6100000000000006E-5</v>
      </c>
      <c r="CJ75" s="27">
        <f>opex_orig!CA75</f>
        <v>2.0100000000000001E-5</v>
      </c>
      <c r="CK75" s="27">
        <f>opex_orig!CB75</f>
        <v>1.77E-5</v>
      </c>
      <c r="CL75" s="27">
        <f>opex_orig!CC75</f>
        <v>7.0599999999999995E-5</v>
      </c>
      <c r="CM75" s="27">
        <f>opex_orig!CD75</f>
        <v>1.31741E-4</v>
      </c>
      <c r="CN75" s="27">
        <f>opex_orig!CE75</f>
        <v>3.1999999999999999E-5</v>
      </c>
      <c r="CO75" s="27">
        <f>opex_orig!CF75</f>
        <v>3.9400000000000002E-5</v>
      </c>
      <c r="CP75" s="27">
        <f>opex_orig!CG75</f>
        <v>2.9499999999999999E-5</v>
      </c>
    </row>
    <row r="76" spans="1:94" x14ac:dyDescent="0.25">
      <c r="A76" s="5" t="s">
        <v>171</v>
      </c>
      <c r="B76" s="2" t="s">
        <v>170</v>
      </c>
      <c r="C76" s="1" t="s">
        <v>329</v>
      </c>
      <c r="D76" s="188">
        <f>opex_orig!D76</f>
        <v>6.96E-9</v>
      </c>
      <c r="E76" s="188">
        <f>opex_orig!E76</f>
        <v>1.7800000000000001E-9</v>
      </c>
      <c r="F76" s="188">
        <f>opex_orig!F76</f>
        <v>4.5299999999999999E-9</v>
      </c>
      <c r="G76" s="188">
        <f>opex_orig!G76</f>
        <v>1.8400000000000001E-10</v>
      </c>
      <c r="H76" s="188">
        <f>opex_orig!H76</f>
        <v>3.58E-10</v>
      </c>
      <c r="I76" s="188">
        <f>opex_orig!I76</f>
        <v>3.46E-9</v>
      </c>
      <c r="J76" s="188">
        <f>opex_orig!J76</f>
        <v>1.5400000000000001E-9</v>
      </c>
      <c r="K76" s="188">
        <f>opex_orig!K76</f>
        <v>4.64E-10</v>
      </c>
      <c r="L76" s="188">
        <f>opex_orig!L76</f>
        <v>3.5699999999999999E-9</v>
      </c>
      <c r="M76" s="188">
        <f>opex_orig!M76</f>
        <v>1.04E-8</v>
      </c>
      <c r="N76" s="188">
        <f>opex_orig!N76</f>
        <v>7.7900000000000006E-9</v>
      </c>
      <c r="O76" s="188">
        <f>opex_orig!O76</f>
        <v>2.0799999999999998E-9</v>
      </c>
      <c r="P76" s="188">
        <f>opex_orig!P76</f>
        <v>2.4599999999999999E-8</v>
      </c>
      <c r="Q76" s="188">
        <f>opex_orig!Q76</f>
        <v>3.3000000000000002E-9</v>
      </c>
      <c r="R76" s="188">
        <f>opex_orig!R76</f>
        <v>1.8299999999999998E-8</v>
      </c>
      <c r="S76" s="188">
        <f>opex_orig!S76</f>
        <v>1.13E-8</v>
      </c>
      <c r="T76" s="188">
        <f>opex_orig!T76</f>
        <v>1.2100000000000001E-8</v>
      </c>
      <c r="U76" s="188">
        <f>opex_orig!U76</f>
        <v>9.4899999999999993E-9</v>
      </c>
      <c r="V76" s="188">
        <f>opex_orig!V76</f>
        <v>1.03E-8</v>
      </c>
      <c r="W76" s="188">
        <f>opex_orig!W76</f>
        <v>1.55E-8</v>
      </c>
      <c r="X76" s="188">
        <f>opex_orig!X76</f>
        <v>1.1700000000000001E-9</v>
      </c>
      <c r="Y76" s="188">
        <f>opex_orig!Y76</f>
        <v>4.0499999999999999E-9</v>
      </c>
      <c r="Z76" s="188">
        <f>opex_orig!Z76</f>
        <v>8.7299999999999994E-9</v>
      </c>
      <c r="AA76" s="188">
        <f>opex_orig!AA76</f>
        <v>2.5200000000000001E-8</v>
      </c>
      <c r="AB76" s="188">
        <f>opex_orig!$AB76</f>
        <v>4.1058205390244502E-9</v>
      </c>
      <c r="AC76" s="188">
        <f>opex_orig!$AB76</f>
        <v>4.1058205390244502E-9</v>
      </c>
      <c r="AD76" s="188">
        <f>opex_orig!$AB76</f>
        <v>4.1058205390244502E-9</v>
      </c>
      <c r="AE76" s="188">
        <f>opex_orig!$AC76</f>
        <v>6.2561078037399999E-9</v>
      </c>
      <c r="AF76" s="188">
        <f>opex_orig!$AD76</f>
        <v>1.0163879830782401E-9</v>
      </c>
      <c r="AG76" s="188">
        <f>opex_orig!$AD76</f>
        <v>1.0163879830782401E-9</v>
      </c>
      <c r="AH76" s="188">
        <f>opex_orig!$AD76</f>
        <v>1.0163879830782401E-9</v>
      </c>
      <c r="AI76" s="188">
        <f>opex_orig!AE76</f>
        <v>9.4800000000000004E-10</v>
      </c>
      <c r="AJ76" s="188">
        <f>opex_orig!AF76</f>
        <v>5.5199999999999997E-7</v>
      </c>
      <c r="AK76" s="188">
        <f>opex_orig!AG76</f>
        <v>1.5900000000000001E-7</v>
      </c>
      <c r="AL76" s="188">
        <f>opex_orig!AH76</f>
        <v>1.24E-8</v>
      </c>
      <c r="AM76" s="188">
        <f>opex_orig!AI76</f>
        <v>1.7100000000000001E-8</v>
      </c>
      <c r="AN76" s="188">
        <f>opex_orig!AJ76</f>
        <v>1.1700000000000001E-8</v>
      </c>
      <c r="AO76" s="188">
        <f>opex_orig!AK76</f>
        <v>1.7900000000000001E-8</v>
      </c>
      <c r="AP76" s="188">
        <f>opex_orig!$AL76</f>
        <v>1.11923180324565E-8</v>
      </c>
      <c r="AQ76" s="188">
        <f>opex_orig!$AL76</f>
        <v>1.11923180324565E-8</v>
      </c>
      <c r="AR76" s="188">
        <f>opex_orig!$AL76</f>
        <v>1.11923180324565E-8</v>
      </c>
      <c r="AS76" s="188">
        <f>opex_orig!$AM76</f>
        <v>1.02703159432469E-8</v>
      </c>
      <c r="AT76" s="188">
        <f>opex_orig!AN76</f>
        <v>2.4E-8</v>
      </c>
      <c r="AU76" s="188">
        <f>opex_orig!$AO76</f>
        <v>1.2819430444289101E-7</v>
      </c>
      <c r="AV76" s="188">
        <f>opex_orig!$AO76</f>
        <v>1.2819430444289101E-7</v>
      </c>
      <c r="AW76" s="188">
        <f>opex_orig!$AO76</f>
        <v>1.2819430444289101E-7</v>
      </c>
      <c r="AX76" s="188">
        <f>opex_orig!$AP76</f>
        <v>1.4335559861317099E-7</v>
      </c>
      <c r="AY76" s="188">
        <f>opex_orig!AQ76</f>
        <v>6.8700000000000003E-5</v>
      </c>
      <c r="AZ76" s="188">
        <f>opex_orig!AR76</f>
        <v>0</v>
      </c>
      <c r="BA76" s="188">
        <f>opex_orig!AS76</f>
        <v>7.6799999999999999E-8</v>
      </c>
      <c r="BB76" s="188">
        <f>opex_orig!AT76</f>
        <v>6.87E-8</v>
      </c>
      <c r="BC76" s="188">
        <f>opex_orig!AU76</f>
        <v>7.1099999999999996E-9</v>
      </c>
      <c r="BD76" s="188">
        <f>opex_orig!AV76</f>
        <v>5.2199999999999998E-9</v>
      </c>
      <c r="BE76" s="188">
        <f>opex_orig!AW76</f>
        <v>3.1E-7</v>
      </c>
      <c r="BF76" s="188">
        <f>opex_orig!AX76</f>
        <v>0</v>
      </c>
      <c r="BG76" s="188">
        <f>opex_orig!AY76</f>
        <v>2.9399999999999999E-8</v>
      </c>
      <c r="BH76" s="188">
        <f>opex_orig!AZ76</f>
        <v>0</v>
      </c>
      <c r="BI76" s="188">
        <f>opex_orig!BA76</f>
        <v>1.1800000000000001E-5</v>
      </c>
      <c r="BJ76" s="188">
        <f>opex_orig!BB76</f>
        <v>1.98E-7</v>
      </c>
      <c r="BK76" s="188">
        <f>opex_orig!BC76</f>
        <v>2.9999999999999999E-7</v>
      </c>
      <c r="BL76" s="188">
        <f>opex_orig!BD76</f>
        <v>9.8000000000000004E-8</v>
      </c>
      <c r="BM76" s="188">
        <f>opex_orig!BE76</f>
        <v>2.34E-7</v>
      </c>
      <c r="BN76" s="188">
        <f>opex_orig!BF76</f>
        <v>1.7999999999999999E-8</v>
      </c>
      <c r="BO76" s="188">
        <f>opex_orig!BG76</f>
        <v>2.84E-7</v>
      </c>
      <c r="BP76" s="188">
        <f>opex_orig!$BH76</f>
        <v>6.8361550023615102E-8</v>
      </c>
      <c r="BQ76" s="188">
        <f>opex_orig!$BH76</f>
        <v>6.8361550023615102E-8</v>
      </c>
      <c r="BR76" s="188">
        <f>opex_orig!BI76</f>
        <v>1.1000000000000001E-7</v>
      </c>
      <c r="BS76" s="188">
        <f>opex_orig!BJ76</f>
        <v>1.42E-6</v>
      </c>
      <c r="BT76" s="188">
        <f>opex_orig!BK76</f>
        <v>1.33E-6</v>
      </c>
      <c r="BU76" s="188">
        <f>opex_orig!BL76</f>
        <v>0</v>
      </c>
      <c r="BV76" s="27">
        <f>opex_orig!BM76</f>
        <v>2.07859513478479E-8</v>
      </c>
      <c r="BW76" s="27">
        <f>opex_orig!BN76</f>
        <v>8.8969252311283994E-8</v>
      </c>
      <c r="BX76" s="27">
        <f>opex_orig!BO76</f>
        <v>6.0681300395174001E-9</v>
      </c>
      <c r="BY76" s="27">
        <f>opex_orig!BP76</f>
        <v>5.6311606193216504E-9</v>
      </c>
      <c r="BZ76" s="27">
        <f>opex_orig!BQ76</f>
        <v>4.9508541018179401E-9</v>
      </c>
      <c r="CA76" s="27">
        <f>opex_orig!BR76</f>
        <v>2.1920086720617099E-8</v>
      </c>
      <c r="CB76" s="27">
        <f>opex_orig!BS76</f>
        <v>4.2737167297405098E-8</v>
      </c>
      <c r="CC76" s="27">
        <f>opex_orig!BT76</f>
        <v>1.9273581136442601E-8</v>
      </c>
      <c r="CD76" s="27">
        <f>opex_orig!BU76</f>
        <v>6.1553884813391E-9</v>
      </c>
      <c r="CE76" s="27">
        <f>opex_orig!BV76</f>
        <v>6.1553884813391099E-9</v>
      </c>
      <c r="CF76" s="27">
        <f>opex_orig!BW76</f>
        <v>5.8057426845275601E-9</v>
      </c>
      <c r="CG76" s="27">
        <f>opex_orig!BX76</f>
        <v>7.8476683035078202E-9</v>
      </c>
      <c r="CH76" s="27">
        <f>opex_orig!BY76</f>
        <v>4.1362687779706201E-10</v>
      </c>
      <c r="CI76" s="27">
        <f>opex_orig!BZ76</f>
        <v>2.1200000000000001E-8</v>
      </c>
      <c r="CJ76" s="27">
        <f>opex_orig!CA76</f>
        <v>8.5199999999999995E-9</v>
      </c>
      <c r="CK76" s="27">
        <f>opex_orig!CB76</f>
        <v>1.0999999999999999E-8</v>
      </c>
      <c r="CL76" s="27">
        <f>opex_orig!CC76</f>
        <v>1.1900000000000001E-8</v>
      </c>
      <c r="CM76" s="27">
        <f>opex_orig!CD76</f>
        <v>1.2100000000000001E-7</v>
      </c>
      <c r="CN76" s="27">
        <f>opex_orig!CE76</f>
        <v>1.67E-9</v>
      </c>
      <c r="CO76" s="27">
        <f>opex_orig!CF76</f>
        <v>2.3899999999999999E-8</v>
      </c>
      <c r="CP76" s="27">
        <f>opex_orig!CG76</f>
        <v>3.9E-10</v>
      </c>
    </row>
    <row r="77" spans="1:94" x14ac:dyDescent="0.25">
      <c r="A77" s="5" t="s">
        <v>173</v>
      </c>
      <c r="B77" s="2" t="s">
        <v>172</v>
      </c>
      <c r="C77" s="1" t="s">
        <v>329</v>
      </c>
      <c r="D77" s="188">
        <f>opex_orig!D77</f>
        <v>6.7399999999999998E-5</v>
      </c>
      <c r="E77" s="188">
        <f>opex_orig!E77</f>
        <v>6.41E-5</v>
      </c>
      <c r="F77" s="188">
        <f>opex_orig!F77</f>
        <v>3.9700000000000003E-5</v>
      </c>
      <c r="G77" s="188">
        <f>opex_orig!G77</f>
        <v>6.1600000000000003E-6</v>
      </c>
      <c r="H77" s="188">
        <f>opex_orig!H77</f>
        <v>1.08E-5</v>
      </c>
      <c r="I77" s="188">
        <f>opex_orig!I77</f>
        <v>1.44912E-4</v>
      </c>
      <c r="J77" s="188">
        <f>opex_orig!J77</f>
        <v>1.1421600000000001E-4</v>
      </c>
      <c r="K77" s="188">
        <f>opex_orig!K77</f>
        <v>1.5699999999999999E-5</v>
      </c>
      <c r="L77" s="188">
        <f>opex_orig!L77</f>
        <v>1.9137200000000001E-4</v>
      </c>
      <c r="M77" s="188">
        <f>opex_orig!M77</f>
        <v>5.8238699999999997E-4</v>
      </c>
      <c r="N77" s="188">
        <f>opex_orig!N77</f>
        <v>2.8387900000000001E-4</v>
      </c>
      <c r="O77" s="188">
        <f>opex_orig!O77</f>
        <v>2.0083829999999999E-3</v>
      </c>
      <c r="P77" s="188">
        <f>opex_orig!P77</f>
        <v>1.1548399999999999E-4</v>
      </c>
      <c r="Q77" s="188">
        <f>opex_orig!Q77</f>
        <v>6.3800000000000006E-5</v>
      </c>
      <c r="R77" s="188">
        <f>opex_orig!R77</f>
        <v>5.1100000000000002E-5</v>
      </c>
      <c r="S77" s="188">
        <f>opex_orig!S77</f>
        <v>1.49359E-4</v>
      </c>
      <c r="T77" s="188">
        <f>opex_orig!T77</f>
        <v>2.7839100000000001E-4</v>
      </c>
      <c r="U77" s="188">
        <f>opex_orig!U77</f>
        <v>1.9020500000000001E-4</v>
      </c>
      <c r="V77" s="188">
        <f>opex_orig!V77</f>
        <v>1.3852999999999999E-4</v>
      </c>
      <c r="W77" s="188">
        <f>opex_orig!W77</f>
        <v>3.1268399999999998E-4</v>
      </c>
      <c r="X77" s="188">
        <f>opex_orig!X77</f>
        <v>1.19824E-4</v>
      </c>
      <c r="Y77" s="188">
        <f>opex_orig!Y77</f>
        <v>4.8600000000000002E-5</v>
      </c>
      <c r="Z77" s="188">
        <f>opex_orig!Z77</f>
        <v>2.2031899999999999E-4</v>
      </c>
      <c r="AA77" s="188">
        <f>opex_orig!AA77</f>
        <v>2.1609099999999999E-4</v>
      </c>
      <c r="AB77" s="188">
        <f>opex_orig!$AB77</f>
        <v>7.1840442553387006E-5</v>
      </c>
      <c r="AC77" s="188">
        <f>opex_orig!$AB77</f>
        <v>7.1840442553387006E-5</v>
      </c>
      <c r="AD77" s="188">
        <f>opex_orig!$AB77</f>
        <v>7.1840442553387006E-5</v>
      </c>
      <c r="AE77" s="188">
        <f>opex_orig!$AC77</f>
        <v>1.9555467397853901E-4</v>
      </c>
      <c r="AF77" s="188">
        <f>opex_orig!$AD77</f>
        <v>1.0976584279770699E-4</v>
      </c>
      <c r="AG77" s="188">
        <f>opex_orig!$AD77</f>
        <v>1.0976584279770699E-4</v>
      </c>
      <c r="AH77" s="188">
        <f>opex_orig!$AD77</f>
        <v>1.0976584279770699E-4</v>
      </c>
      <c r="AI77" s="188">
        <f>opex_orig!AE77</f>
        <v>9.8999999999999994E-5</v>
      </c>
      <c r="AJ77" s="188">
        <f>opex_orig!AF77</f>
        <v>1.006552E-3</v>
      </c>
      <c r="AK77" s="188">
        <f>opex_orig!AG77</f>
        <v>7.5382499999999996E-4</v>
      </c>
      <c r="AL77" s="188">
        <f>opex_orig!AH77</f>
        <v>5.2459000000000002E-4</v>
      </c>
      <c r="AM77" s="188">
        <f>opex_orig!AI77</f>
        <v>9.7577099999999995E-4</v>
      </c>
      <c r="AN77" s="188">
        <f>opex_orig!AJ77</f>
        <v>3.4863299999999999E-4</v>
      </c>
      <c r="AO77" s="188">
        <f>opex_orig!AK77</f>
        <v>8.3686299999999997E-4</v>
      </c>
      <c r="AP77" s="188">
        <f>opex_orig!$AL77</f>
        <v>1.89002458218134E-4</v>
      </c>
      <c r="AQ77" s="188">
        <f>opex_orig!$AL77</f>
        <v>1.89002458218134E-4</v>
      </c>
      <c r="AR77" s="188">
        <f>opex_orig!$AL77</f>
        <v>1.89002458218134E-4</v>
      </c>
      <c r="AS77" s="188">
        <f>opex_orig!$AM77</f>
        <v>1.6634010706843001E-4</v>
      </c>
      <c r="AT77" s="188">
        <f>opex_orig!AN77</f>
        <v>5.9740900000000003E-4</v>
      </c>
      <c r="AU77" s="188">
        <f>opex_orig!$AO77</f>
        <v>4.3544202078188102E-3</v>
      </c>
      <c r="AV77" s="188">
        <f>opex_orig!$AO77</f>
        <v>4.3544202078188102E-3</v>
      </c>
      <c r="AW77" s="188">
        <f>opex_orig!$AO77</f>
        <v>4.3544202078188102E-3</v>
      </c>
      <c r="AX77" s="188">
        <f>opex_orig!$AP77</f>
        <v>5.05462976425385E-3</v>
      </c>
      <c r="AY77" s="188">
        <f>opex_orig!AQ77</f>
        <v>3.45597E-3</v>
      </c>
      <c r="AZ77" s="188">
        <f>opex_orig!AR77</f>
        <v>0</v>
      </c>
      <c r="BA77" s="188">
        <f>opex_orig!AS77</f>
        <v>8.2638920000000005E-2</v>
      </c>
      <c r="BB77" s="188">
        <f>opex_orig!AT77</f>
        <v>9.7851641000000003E-2</v>
      </c>
      <c r="BC77" s="188">
        <f>opex_orig!AU77</f>
        <v>7.4512099999999996E-4</v>
      </c>
      <c r="BD77" s="188">
        <f>opex_orig!AV77</f>
        <v>4.8771099999999999E-4</v>
      </c>
      <c r="BE77" s="188">
        <f>opex_orig!AW77</f>
        <v>1.149415E-3</v>
      </c>
      <c r="BF77" s="188">
        <f>opex_orig!AX77</f>
        <v>0</v>
      </c>
      <c r="BG77" s="188">
        <f>opex_orig!AY77</f>
        <v>1.346014E-3</v>
      </c>
      <c r="BH77" s="188">
        <f>opex_orig!AZ77</f>
        <v>0</v>
      </c>
      <c r="BI77" s="188">
        <f>opex_orig!BA77</f>
        <v>4.1056751000000002E-2</v>
      </c>
      <c r="BJ77" s="188">
        <f>opex_orig!BB77</f>
        <v>8.7278760000000007E-3</v>
      </c>
      <c r="BK77" s="188">
        <f>opex_orig!BC77</f>
        <v>1.6092460999999999E-2</v>
      </c>
      <c r="BL77" s="188">
        <f>opex_orig!BD77</f>
        <v>1.2283800000000001E-4</v>
      </c>
      <c r="BM77" s="188">
        <f>opex_orig!BE77</f>
        <v>8.0528600000000002E-3</v>
      </c>
      <c r="BN77" s="188">
        <f>opex_orig!BF77</f>
        <v>1.1304800000000001E-4</v>
      </c>
      <c r="BO77" s="188">
        <f>opex_orig!BG77</f>
        <v>3.4843740000000002E-3</v>
      </c>
      <c r="BP77" s="188">
        <f>opex_orig!$BH77</f>
        <v>1.7835398262608399E-3</v>
      </c>
      <c r="BQ77" s="188">
        <f>opex_orig!$BH77</f>
        <v>1.7835398262608399E-3</v>
      </c>
      <c r="BR77" s="188">
        <f>opex_orig!BI77</f>
        <v>4.7480839999999996E-3</v>
      </c>
      <c r="BS77" s="188">
        <f>opex_orig!BJ77</f>
        <v>1.2756293E-2</v>
      </c>
      <c r="BT77" s="188">
        <f>opex_orig!BK77</f>
        <v>3.3236101999999997E-2</v>
      </c>
      <c r="BU77" s="188">
        <f>opex_orig!BL77</f>
        <v>0</v>
      </c>
      <c r="BV77" s="27">
        <f>opex_orig!BM77</f>
        <v>1.4243791121795E-4</v>
      </c>
      <c r="BW77" s="27">
        <f>opex_orig!BN77</f>
        <v>2.3650074140173401E-4</v>
      </c>
      <c r="BX77" s="27">
        <f>opex_orig!BO77</f>
        <v>3.2622250174201403E-5</v>
      </c>
      <c r="BY77" s="27">
        <f>opex_orig!BP77</f>
        <v>3.8004313303021897E-5</v>
      </c>
      <c r="BZ77" s="27">
        <f>opex_orig!BQ77</f>
        <v>3.8154800832515903E-5</v>
      </c>
      <c r="CA77" s="27">
        <f>opex_orig!BR77</f>
        <v>8.5298501706019105E-5</v>
      </c>
      <c r="CB77" s="27">
        <f>opex_orig!BS77</f>
        <v>2.8541910461253399E-4</v>
      </c>
      <c r="CC77" s="27">
        <f>opex_orig!BT77</f>
        <v>7.3376846695518503E-5</v>
      </c>
      <c r="CD77" s="27">
        <f>opex_orig!BU77</f>
        <v>1.1898215258792599E-5</v>
      </c>
      <c r="CE77" s="27">
        <f>opex_orig!BV77</f>
        <v>1.1898215258792599E-5</v>
      </c>
      <c r="CF77" s="27">
        <f>opex_orig!BW77</f>
        <v>3.7439903108715102E-5</v>
      </c>
      <c r="CG77" s="27">
        <f>opex_orig!BX77</f>
        <v>1.84991610626626E-6</v>
      </c>
      <c r="CH77" s="27">
        <f>opex_orig!BY77</f>
        <v>9.6592753034695594E-6</v>
      </c>
      <c r="CI77" s="27">
        <f>opex_orig!BZ77</f>
        <v>9.5099999999999994E-5</v>
      </c>
      <c r="CJ77" s="27">
        <f>opex_orig!CA77</f>
        <v>1.00905E-4</v>
      </c>
      <c r="CK77" s="27">
        <f>opex_orig!CB77</f>
        <v>9.31E-5</v>
      </c>
      <c r="CL77" s="27">
        <f>opex_orig!CC77</f>
        <v>3.15285E-4</v>
      </c>
      <c r="CM77" s="27">
        <f>opex_orig!CD77</f>
        <v>2.1473799999999999E-4</v>
      </c>
      <c r="CN77" s="27">
        <f>opex_orig!CE77</f>
        <v>1.7646099999999999E-4</v>
      </c>
      <c r="CO77" s="27">
        <f>opex_orig!CF77</f>
        <v>2.26858E-4</v>
      </c>
      <c r="CP77" s="27">
        <f>opex_orig!CG77</f>
        <v>4.5200000000000001E-5</v>
      </c>
    </row>
    <row r="78" spans="1:94" x14ac:dyDescent="0.25">
      <c r="A78" s="5" t="s">
        <v>175</v>
      </c>
      <c r="B78" s="2" t="s">
        <v>174</v>
      </c>
      <c r="C78" s="1" t="s">
        <v>329</v>
      </c>
      <c r="D78" s="188">
        <f>opex_orig!D78</f>
        <v>1.0075E-4</v>
      </c>
      <c r="E78" s="188">
        <f>opex_orig!E78</f>
        <v>8.6899999999999998E-5</v>
      </c>
      <c r="F78" s="188">
        <f>opex_orig!F78</f>
        <v>5.52E-5</v>
      </c>
      <c r="G78" s="188">
        <f>opex_orig!G78</f>
        <v>8.4999999999999999E-6</v>
      </c>
      <c r="H78" s="188">
        <f>opex_orig!H78</f>
        <v>1.6500000000000001E-5</v>
      </c>
      <c r="I78" s="188">
        <f>opex_orig!I78</f>
        <v>1.97462E-4</v>
      </c>
      <c r="J78" s="188">
        <f>opex_orig!J78</f>
        <v>1.5677000000000001E-4</v>
      </c>
      <c r="K78" s="188">
        <f>opex_orig!K78</f>
        <v>2.4700000000000001E-5</v>
      </c>
      <c r="L78" s="188">
        <f>opex_orig!L78</f>
        <v>2.4319000000000001E-4</v>
      </c>
      <c r="M78" s="188">
        <f>opex_orig!M78</f>
        <v>7.4351699999999996E-4</v>
      </c>
      <c r="N78" s="188">
        <f>opex_orig!N78</f>
        <v>3.6689399999999999E-4</v>
      </c>
      <c r="O78" s="188">
        <f>opex_orig!O78</f>
        <v>2.5964859999999998E-3</v>
      </c>
      <c r="P78" s="188">
        <f>opex_orig!P78</f>
        <v>1.7580100000000001E-4</v>
      </c>
      <c r="Q78" s="188">
        <f>opex_orig!Q78</f>
        <v>9.5099999999999994E-5</v>
      </c>
      <c r="R78" s="188">
        <f>opex_orig!R78</f>
        <v>7.64E-5</v>
      </c>
      <c r="S78" s="188">
        <f>opex_orig!S78</f>
        <v>2.1938599999999999E-4</v>
      </c>
      <c r="T78" s="188">
        <f>opex_orig!T78</f>
        <v>3.3162900000000001E-4</v>
      </c>
      <c r="U78" s="188">
        <f>opex_orig!U78</f>
        <v>2.6411099999999998E-4</v>
      </c>
      <c r="V78" s="188">
        <f>opex_orig!V78</f>
        <v>2.14236E-4</v>
      </c>
      <c r="W78" s="188">
        <f>opex_orig!W78</f>
        <v>4.4176799999999999E-4</v>
      </c>
      <c r="X78" s="188">
        <f>opex_orig!X78</f>
        <v>1.61714E-4</v>
      </c>
      <c r="Y78" s="188">
        <f>opex_orig!Y78</f>
        <v>9.8400000000000007E-5</v>
      </c>
      <c r="Z78" s="188">
        <f>opex_orig!Z78</f>
        <v>3.21706E-4</v>
      </c>
      <c r="AA78" s="188">
        <f>opex_orig!AA78</f>
        <v>4.2290699999999998E-4</v>
      </c>
      <c r="AB78" s="188">
        <f>opex_orig!$AB78</f>
        <v>4.6883454352378798E-5</v>
      </c>
      <c r="AC78" s="188">
        <f>opex_orig!$AB78</f>
        <v>4.6883454352378798E-5</v>
      </c>
      <c r="AD78" s="188">
        <f>opex_orig!$AB78</f>
        <v>4.6883454352378798E-5</v>
      </c>
      <c r="AE78" s="188">
        <f>opex_orig!$AC78</f>
        <v>2.1837761203076801E-4</v>
      </c>
      <c r="AF78" s="188">
        <f>opex_orig!$AD78</f>
        <v>1.06994863769973E-4</v>
      </c>
      <c r="AG78" s="188">
        <f>opex_orig!$AD78</f>
        <v>1.06994863769973E-4</v>
      </c>
      <c r="AH78" s="188">
        <f>opex_orig!$AD78</f>
        <v>1.06994863769973E-4</v>
      </c>
      <c r="AI78" s="188">
        <f>opex_orig!AE78</f>
        <v>8.9800000000000001E-5</v>
      </c>
      <c r="AJ78" s="188">
        <f>opex_orig!AF78</f>
        <v>1.352041E-3</v>
      </c>
      <c r="AK78" s="188">
        <f>opex_orig!AG78</f>
        <v>1.08599E-3</v>
      </c>
      <c r="AL78" s="188">
        <f>opex_orig!AH78</f>
        <v>6.6395699999999996E-4</v>
      </c>
      <c r="AM78" s="188">
        <f>opex_orig!AI78</f>
        <v>1.263243E-3</v>
      </c>
      <c r="AN78" s="188">
        <f>opex_orig!AJ78</f>
        <v>4.17145E-4</v>
      </c>
      <c r="AO78" s="188">
        <f>opex_orig!AK78</f>
        <v>1.04608E-3</v>
      </c>
      <c r="AP78" s="188">
        <f>opex_orig!$AL78</f>
        <v>2.6319321876983802E-4</v>
      </c>
      <c r="AQ78" s="188">
        <f>opex_orig!$AL78</f>
        <v>2.6319321876983802E-4</v>
      </c>
      <c r="AR78" s="188">
        <f>opex_orig!$AL78</f>
        <v>2.6319321876983802E-4</v>
      </c>
      <c r="AS78" s="188">
        <f>opex_orig!$AM78</f>
        <v>2.2733316540903299E-4</v>
      </c>
      <c r="AT78" s="188">
        <f>opex_orig!AN78</f>
        <v>8.0525799999999999E-4</v>
      </c>
      <c r="AU78" s="310">
        <f>opex_concordance!M593</f>
        <v>5.7449224905340296E-3</v>
      </c>
      <c r="AV78" s="310">
        <f>opex_concordance!M639</f>
        <v>0</v>
      </c>
      <c r="AW78" s="310">
        <f>opex_concordance!M685</f>
        <v>4.7620373509525034E-3</v>
      </c>
      <c r="AX78" s="188">
        <f>opex_orig!$AP78</f>
        <v>6.6715844984741304E-3</v>
      </c>
      <c r="AY78" s="188">
        <f>opex_orig!AQ78</f>
        <v>4.6338309999999997E-3</v>
      </c>
      <c r="AZ78" s="188">
        <f>opex_orig!AR78</f>
        <v>0</v>
      </c>
      <c r="BA78" s="188">
        <f>opex_orig!AS78</f>
        <v>0.10497445499999999</v>
      </c>
      <c r="BB78" s="188">
        <f>opex_orig!AT78</f>
        <v>0.124098192</v>
      </c>
      <c r="BC78" s="188">
        <f>opex_orig!AU78</f>
        <v>9.1090699999999997E-4</v>
      </c>
      <c r="BD78" s="188">
        <f>opex_orig!AV78</f>
        <v>5.8687699999999997E-4</v>
      </c>
      <c r="BE78" s="188">
        <f>opex_orig!AW78</f>
        <v>1.5427240000000001E-3</v>
      </c>
      <c r="BF78" s="188">
        <f>opex_orig!AX78</f>
        <v>0</v>
      </c>
      <c r="BG78" s="188">
        <f>opex_orig!AY78</f>
        <v>1.6803650000000001E-3</v>
      </c>
      <c r="BH78" s="188">
        <f>opex_orig!AZ78</f>
        <v>0</v>
      </c>
      <c r="BI78" s="188">
        <f>opex_orig!BA78</f>
        <v>5.2435713000000002E-2</v>
      </c>
      <c r="BJ78" s="188">
        <f>opex_orig!BB78</f>
        <v>1.1848195000000001E-2</v>
      </c>
      <c r="BK78" s="188">
        <f>opex_orig!BC78</f>
        <v>2.0836396E-2</v>
      </c>
      <c r="BL78" s="188">
        <f>opex_orig!BD78</f>
        <v>1.7822199999999999E-4</v>
      </c>
      <c r="BM78" s="188">
        <f>opex_orig!BE78</f>
        <v>1.032428E-2</v>
      </c>
      <c r="BN78" s="188">
        <f>opex_orig!BF78</f>
        <v>1.7012900000000001E-4</v>
      </c>
      <c r="BO78" s="188">
        <f>opex_orig!BG78</f>
        <v>4.5390589999999998E-3</v>
      </c>
      <c r="BP78" s="188">
        <f>opex_orig!$BH78</f>
        <v>2.3332228366655999E-3</v>
      </c>
      <c r="BQ78" s="188">
        <f>opex_orig!$BH78</f>
        <v>2.3332228366655999E-3</v>
      </c>
      <c r="BR78" s="188">
        <f>opex_orig!BI78</f>
        <v>6.1191550000000003E-3</v>
      </c>
      <c r="BS78" s="188">
        <f>opex_orig!BJ78</f>
        <v>1.6368809000000002E-2</v>
      </c>
      <c r="BT78" s="188">
        <f>opex_orig!BK78</f>
        <v>4.2205342999999999E-2</v>
      </c>
      <c r="BU78" s="188">
        <f>opex_orig!BL78</f>
        <v>0</v>
      </c>
      <c r="BV78" s="27">
        <f>opex_orig!BM78</f>
        <v>1.31076685045941E-4</v>
      </c>
      <c r="BW78" s="27">
        <f>opex_orig!BN78</f>
        <v>2.1543816985725899E-4</v>
      </c>
      <c r="BX78" s="27">
        <f>opex_orig!BO78</f>
        <v>3.4486779160754398E-5</v>
      </c>
      <c r="BY78" s="27">
        <f>opex_orig!BP78</f>
        <v>3.3406082484702003E-5</v>
      </c>
      <c r="BZ78" s="27">
        <f>opex_orig!BQ78</f>
        <v>3.60681710188841E-5</v>
      </c>
      <c r="CA78" s="27">
        <f>opex_orig!BR78</f>
        <v>1.10430995356662E-4</v>
      </c>
      <c r="CB78" s="27">
        <f>opex_orig!BS78</f>
        <v>2.5828479621855599E-4</v>
      </c>
      <c r="CC78" s="27">
        <f>opex_orig!BT78</f>
        <v>5.5545453700424797E-4</v>
      </c>
      <c r="CD78" s="27">
        <f>opex_orig!BU78</f>
        <v>2.21245850549177E-5</v>
      </c>
      <c r="CE78" s="27">
        <f>opex_orig!BV78</f>
        <v>2.2124585054917798E-5</v>
      </c>
      <c r="CF78" s="27">
        <f>opex_orig!BW78</f>
        <v>2.46168307462694E-5</v>
      </c>
      <c r="CG78" s="27">
        <f>opex_orig!BX78</f>
        <v>2.0570476699673501E-6</v>
      </c>
      <c r="CH78" s="27">
        <f>opex_orig!BY78</f>
        <v>8.0939602856385694E-6</v>
      </c>
      <c r="CI78" s="27">
        <f>opex_orig!BZ78</f>
        <v>8.5699999999999996E-5</v>
      </c>
      <c r="CJ78" s="27">
        <f>opex_orig!CA78</f>
        <v>2.0445000000000001E-4</v>
      </c>
      <c r="CK78" s="27">
        <f>opex_orig!CB78</f>
        <v>1.8194700000000001E-4</v>
      </c>
      <c r="CL78" s="27">
        <f>opex_orig!CC78</f>
        <v>7.1236499999999996E-4</v>
      </c>
      <c r="CM78" s="27">
        <f>opex_orig!CD78</f>
        <v>2.56242E-4</v>
      </c>
      <c r="CN78" s="27">
        <f>opex_orig!CE78</f>
        <v>1.21044E-4</v>
      </c>
      <c r="CO78" s="27">
        <f>opex_orig!CF78</f>
        <v>3.1449800000000002E-4</v>
      </c>
      <c r="CP78" s="27">
        <f>opex_orig!CG78</f>
        <v>5.8999999999999998E-5</v>
      </c>
    </row>
    <row r="79" spans="1:94" x14ac:dyDescent="0.25">
      <c r="A79" s="5" t="s">
        <v>177</v>
      </c>
      <c r="B79" s="2" t="s">
        <v>176</v>
      </c>
      <c r="C79" s="1" t="s">
        <v>329</v>
      </c>
      <c r="D79" s="188">
        <f>opex_orig!D79</f>
        <v>3.79E-5</v>
      </c>
      <c r="E79" s="188">
        <f>opex_orig!E79</f>
        <v>2.3099999999999999E-5</v>
      </c>
      <c r="F79" s="188">
        <f>opex_orig!F79</f>
        <v>2.16E-5</v>
      </c>
      <c r="G79" s="188">
        <f>opex_orig!G79</f>
        <v>3.3299999999999999E-6</v>
      </c>
      <c r="H79" s="188">
        <f>opex_orig!H79</f>
        <v>5.0000000000000004E-6</v>
      </c>
      <c r="I79" s="188">
        <f>opex_orig!I79</f>
        <v>4.32E-5</v>
      </c>
      <c r="J79" s="188">
        <f>opex_orig!J79</f>
        <v>7.1099999999999994E-5</v>
      </c>
      <c r="K79" s="188">
        <f>opex_orig!K79</f>
        <v>3.1199999999999999E-5</v>
      </c>
      <c r="L79" s="188">
        <f>opex_orig!L79</f>
        <v>3.3200000000000001E-5</v>
      </c>
      <c r="M79" s="188">
        <f>opex_orig!M79</f>
        <v>8.8599999999999999E-5</v>
      </c>
      <c r="N79" s="188">
        <f>opex_orig!N79</f>
        <v>8.7600000000000002E-5</v>
      </c>
      <c r="O79" s="188">
        <f>opex_orig!O79</f>
        <v>3.8699999999999999E-5</v>
      </c>
      <c r="P79" s="188">
        <f>opex_orig!P79</f>
        <v>7.5400000000000003E-5</v>
      </c>
      <c r="Q79" s="188">
        <f>opex_orig!Q79</f>
        <v>5.8900000000000002E-5</v>
      </c>
      <c r="R79" s="188">
        <f>opex_orig!R79</f>
        <v>2.8E-5</v>
      </c>
      <c r="S79" s="188">
        <f>opex_orig!S79</f>
        <v>1.01222E-4</v>
      </c>
      <c r="T79" s="188">
        <f>opex_orig!T79</f>
        <v>2.12625E-4</v>
      </c>
      <c r="U79" s="188">
        <f>opex_orig!U79</f>
        <v>1.3374799999999999E-4</v>
      </c>
      <c r="V79" s="188">
        <f>opex_orig!V79</f>
        <v>1.05803E-4</v>
      </c>
      <c r="W79" s="188">
        <f>opex_orig!W79</f>
        <v>1.04108E-4</v>
      </c>
      <c r="X79" s="188">
        <f>opex_orig!X79</f>
        <v>3.4400000000000003E-5</v>
      </c>
      <c r="Y79" s="188">
        <f>opex_orig!Y79</f>
        <v>4.1300000000000001E-5</v>
      </c>
      <c r="Z79" s="188">
        <f>opex_orig!Z79</f>
        <v>1.5356899999999999E-4</v>
      </c>
      <c r="AA79" s="188">
        <f>opex_orig!AA79</f>
        <v>1.5507499999999999E-4</v>
      </c>
      <c r="AB79" s="188">
        <f>opex_orig!$AB79</f>
        <v>6.6707824353124203E-4</v>
      </c>
      <c r="AC79" s="188">
        <f>opex_orig!$AB79</f>
        <v>6.6707824353124203E-4</v>
      </c>
      <c r="AD79" s="188">
        <f>opex_orig!$AB79</f>
        <v>6.6707824353124203E-4</v>
      </c>
      <c r="AE79" s="188">
        <f>opex_orig!$AC79</f>
        <v>1.38811681335564E-4</v>
      </c>
      <c r="AF79" s="188">
        <f>opex_orig!$AD79</f>
        <v>9.2405559290406299E-5</v>
      </c>
      <c r="AG79" s="188">
        <f>opex_orig!$AD79</f>
        <v>9.2405559290406299E-5</v>
      </c>
      <c r="AH79" s="188">
        <f>opex_orig!$AD79</f>
        <v>9.2405559290406299E-5</v>
      </c>
      <c r="AI79" s="188">
        <f>opex_orig!AE79</f>
        <v>7.5400000000000003E-5</v>
      </c>
      <c r="AJ79" s="188">
        <f>opex_orig!AF79</f>
        <v>3.8850000000000001E-4</v>
      </c>
      <c r="AK79" s="188">
        <f>opex_orig!AG79</f>
        <v>1.7281299999999999E-4</v>
      </c>
      <c r="AL79" s="188">
        <f>opex_orig!AH79</f>
        <v>8.6399999999999999E-5</v>
      </c>
      <c r="AM79" s="188">
        <f>opex_orig!AI79</f>
        <v>1.05846E-4</v>
      </c>
      <c r="AN79" s="188">
        <f>opex_orig!AJ79</f>
        <v>2.8508E-4</v>
      </c>
      <c r="AO79" s="188">
        <f>opex_orig!AK79</f>
        <v>1.17805E-4</v>
      </c>
      <c r="AP79" s="188">
        <f>opex_orig!$AL79</f>
        <v>1.10688398525569E-4</v>
      </c>
      <c r="AQ79" s="188">
        <f>opex_orig!$AL79</f>
        <v>1.10688398525569E-4</v>
      </c>
      <c r="AR79" s="188">
        <f>opex_orig!$AL79</f>
        <v>1.10688398525569E-4</v>
      </c>
      <c r="AS79" s="188">
        <f>opex_orig!$AM79</f>
        <v>1.05332564962938E-4</v>
      </c>
      <c r="AT79" s="188">
        <f>opex_orig!AN79</f>
        <v>2.06672E-4</v>
      </c>
      <c r="AU79" s="188">
        <f>opex_orig!$AO79</f>
        <v>1.32975585764888E-3</v>
      </c>
      <c r="AV79" s="188">
        <f>opex_orig!$AO79</f>
        <v>1.32975585764888E-3</v>
      </c>
      <c r="AW79" s="188">
        <f>opex_orig!$AO79</f>
        <v>1.32975585764888E-3</v>
      </c>
      <c r="AX79" s="188">
        <f>opex_orig!$AP79</f>
        <v>1.6628931409732701E-3</v>
      </c>
      <c r="AY79" s="188">
        <f>opex_orig!AQ79</f>
        <v>2.6066099999999998E-4</v>
      </c>
      <c r="AZ79" s="188">
        <f>opex_orig!AR79</f>
        <v>0</v>
      </c>
      <c r="BA79" s="188">
        <f>opex_orig!AS79</f>
        <v>2.71721E-4</v>
      </c>
      <c r="BB79" s="188">
        <f>opex_orig!AT79</f>
        <v>2.2547600000000001E-4</v>
      </c>
      <c r="BC79" s="188">
        <f>opex_orig!AU79</f>
        <v>0.34302748399999999</v>
      </c>
      <c r="BD79" s="188">
        <f>opex_orig!AV79</f>
        <v>0.35510819399999999</v>
      </c>
      <c r="BE79" s="188">
        <f>opex_orig!AW79</f>
        <v>1.59023E-4</v>
      </c>
      <c r="BF79" s="188">
        <f>opex_orig!AX79</f>
        <v>0</v>
      </c>
      <c r="BG79" s="188">
        <f>opex_orig!AY79</f>
        <v>2.8741500000000001E-4</v>
      </c>
      <c r="BH79" s="188">
        <f>opex_orig!AZ79</f>
        <v>0</v>
      </c>
      <c r="BI79" s="188">
        <f>opex_orig!BA79</f>
        <v>2.1030760000000002E-3</v>
      </c>
      <c r="BJ79" s="188">
        <f>opex_orig!BB79</f>
        <v>1.2542020000000001E-3</v>
      </c>
      <c r="BK79" s="188">
        <f>opex_orig!BC79</f>
        <v>1.564621E-3</v>
      </c>
      <c r="BL79" s="188">
        <f>opex_orig!BD79</f>
        <v>4.88E-5</v>
      </c>
      <c r="BM79" s="188">
        <f>opex_orig!BE79</f>
        <v>7.09007E-4</v>
      </c>
      <c r="BN79" s="188">
        <f>opex_orig!BF79</f>
        <v>4.1699999999999997E-5</v>
      </c>
      <c r="BO79" s="188">
        <f>opex_orig!BG79</f>
        <v>3.24171E-4</v>
      </c>
      <c r="BP79" s="188">
        <f>opex_orig!$BH79</f>
        <v>1.5347428986770201E-4</v>
      </c>
      <c r="BQ79" s="188">
        <f>opex_orig!$BH79</f>
        <v>1.5347428986770201E-4</v>
      </c>
      <c r="BR79" s="188">
        <f>opex_orig!BI79</f>
        <v>3.8565099999999998E-4</v>
      </c>
      <c r="BS79" s="188">
        <f>opex_orig!BJ79</f>
        <v>2.5500499999999999E-4</v>
      </c>
      <c r="BT79" s="188">
        <f>opex_orig!BK79</f>
        <v>5.8904309999999998E-3</v>
      </c>
      <c r="BU79" s="188">
        <f>opex_orig!BL79</f>
        <v>0</v>
      </c>
      <c r="BV79" s="27">
        <f>opex_orig!BM79</f>
        <v>1.12038313332212E-4</v>
      </c>
      <c r="BW79" s="27">
        <f>opex_orig!BN79</f>
        <v>2.2206715993926401E-4</v>
      </c>
      <c r="BX79" s="27">
        <f>opex_orig!BO79</f>
        <v>2.73919537474368E-5</v>
      </c>
      <c r="BY79" s="27">
        <f>opex_orig!BP79</f>
        <v>6.0723741115526398E-5</v>
      </c>
      <c r="BZ79" s="27">
        <f>opex_orig!BQ79</f>
        <v>5.1102090322221402E-5</v>
      </c>
      <c r="CA79" s="27">
        <f>opex_orig!BR79</f>
        <v>1.4698050002193199E-4</v>
      </c>
      <c r="CB79" s="27">
        <f>opex_orig!BS79</f>
        <v>5.1429926478649803E-4</v>
      </c>
      <c r="CC79" s="27">
        <f>opex_orig!BT79</f>
        <v>3.7500954841145201E-5</v>
      </c>
      <c r="CD79" s="27">
        <f>opex_orig!BU79</f>
        <v>1.1257975608851001E-5</v>
      </c>
      <c r="CE79" s="27">
        <f>opex_orig!BV79</f>
        <v>1.1257975608851001E-5</v>
      </c>
      <c r="CF79" s="27">
        <f>opex_orig!BW79</f>
        <v>2.7710362954976299E-5</v>
      </c>
      <c r="CG79" s="27">
        <f>opex_orig!BX79</f>
        <v>2.3887445002438601E-6</v>
      </c>
      <c r="CH79" s="27">
        <f>opex_orig!BY79</f>
        <v>1.7424716262445301E-5</v>
      </c>
      <c r="CI79" s="27">
        <f>opex_orig!BZ79</f>
        <v>9.0600000000000007E-5</v>
      </c>
      <c r="CJ79" s="27">
        <f>opex_orig!CA79</f>
        <v>7.9200000000000001E-5</v>
      </c>
      <c r="CK79" s="27">
        <f>opex_orig!CB79</f>
        <v>7.08E-5</v>
      </c>
      <c r="CL79" s="27">
        <f>opex_orig!CC79</f>
        <v>2.03501E-4</v>
      </c>
      <c r="CM79" s="27">
        <f>opex_orig!CD79</f>
        <v>1.55296E-4</v>
      </c>
      <c r="CN79" s="27">
        <f>opex_orig!CE79</f>
        <v>1.4724599999999999E-4</v>
      </c>
      <c r="CO79" s="27">
        <f>opex_orig!CF79</f>
        <v>4.0945599999999999E-4</v>
      </c>
      <c r="CP79" s="27">
        <f>opex_orig!CG79</f>
        <v>4.32E-5</v>
      </c>
    </row>
    <row r="80" spans="1:94" x14ac:dyDescent="0.25">
      <c r="A80" s="5" t="s">
        <v>179</v>
      </c>
      <c r="B80" s="2" t="s">
        <v>178</v>
      </c>
      <c r="C80" s="1" t="s">
        <v>329</v>
      </c>
      <c r="D80" s="188">
        <f>opex_orig!D80</f>
        <v>2.0000000000000002E-5</v>
      </c>
      <c r="E80" s="188">
        <f>opex_orig!E80</f>
        <v>1.2099999999999999E-5</v>
      </c>
      <c r="F80" s="188">
        <f>opex_orig!F80</f>
        <v>1.22E-5</v>
      </c>
      <c r="G80" s="188">
        <f>opex_orig!G80</f>
        <v>1.84E-6</v>
      </c>
      <c r="H80" s="188">
        <f>opex_orig!H80</f>
        <v>3.0599999999999999E-6</v>
      </c>
      <c r="I80" s="188">
        <f>opex_orig!I80</f>
        <v>2.5199999999999999E-5</v>
      </c>
      <c r="J80" s="188">
        <f>opex_orig!J80</f>
        <v>4.0899999999999998E-5</v>
      </c>
      <c r="K80" s="188">
        <f>opex_orig!K80</f>
        <v>1.47E-5</v>
      </c>
      <c r="L80" s="188">
        <f>opex_orig!L80</f>
        <v>1.6799999999999998E-5</v>
      </c>
      <c r="M80" s="188">
        <f>opex_orig!M80</f>
        <v>4.5899999999999998E-5</v>
      </c>
      <c r="N80" s="188">
        <f>opex_orig!N80</f>
        <v>3.82E-5</v>
      </c>
      <c r="O80" s="188">
        <f>opex_orig!O80</f>
        <v>2.34E-5</v>
      </c>
      <c r="P80" s="188">
        <f>opex_orig!P80</f>
        <v>4.2799999999999997E-5</v>
      </c>
      <c r="Q80" s="188">
        <f>opex_orig!Q80</f>
        <v>2.9099999999999999E-5</v>
      </c>
      <c r="R80" s="188">
        <f>opex_orig!R80</f>
        <v>1.8600000000000001E-5</v>
      </c>
      <c r="S80" s="188">
        <f>opex_orig!S80</f>
        <v>5.41E-5</v>
      </c>
      <c r="T80" s="188">
        <f>opex_orig!T80</f>
        <v>9.2499999999999999E-5</v>
      </c>
      <c r="U80" s="188">
        <f>opex_orig!U80</f>
        <v>7.0699999999999997E-5</v>
      </c>
      <c r="V80" s="188">
        <f>opex_orig!V80</f>
        <v>5.9500000000000003E-5</v>
      </c>
      <c r="W80" s="188">
        <f>opex_orig!W80</f>
        <v>6.2199999999999994E-5</v>
      </c>
      <c r="X80" s="188">
        <f>opex_orig!X80</f>
        <v>2.05E-5</v>
      </c>
      <c r="Y80" s="188">
        <f>opex_orig!Y80</f>
        <v>2.97E-5</v>
      </c>
      <c r="Z80" s="188">
        <f>opex_orig!Z80</f>
        <v>8.3499999999999997E-5</v>
      </c>
      <c r="AA80" s="188">
        <f>opex_orig!AA80</f>
        <v>1.11668E-4</v>
      </c>
      <c r="AB80" s="188">
        <f>opex_orig!$AB80</f>
        <v>2.02632353177162E-4</v>
      </c>
      <c r="AC80" s="188">
        <f>opex_orig!$AB80</f>
        <v>2.02632353177162E-4</v>
      </c>
      <c r="AD80" s="188">
        <f>opex_orig!$AB80</f>
        <v>2.02632353177162E-4</v>
      </c>
      <c r="AE80" s="188">
        <f>opex_orig!$AC80</f>
        <v>3.8060453314709099E-5</v>
      </c>
      <c r="AF80" s="188">
        <f>opex_orig!$AD80</f>
        <v>3.1749141964156797E-5</v>
      </c>
      <c r="AG80" s="188">
        <f>opex_orig!$AD80</f>
        <v>3.1749141964156797E-5</v>
      </c>
      <c r="AH80" s="188">
        <f>opex_orig!$AD80</f>
        <v>3.1749141964156797E-5</v>
      </c>
      <c r="AI80" s="188">
        <f>opex_orig!AE80</f>
        <v>2.4899999999999999E-5</v>
      </c>
      <c r="AJ80" s="188">
        <f>opex_orig!AF80</f>
        <v>2.0687E-4</v>
      </c>
      <c r="AK80" s="188">
        <f>opex_orig!AG80</f>
        <v>1.05363E-4</v>
      </c>
      <c r="AL80" s="188">
        <f>opex_orig!AH80</f>
        <v>4.1699999999999997E-5</v>
      </c>
      <c r="AM80" s="188">
        <f>opex_orig!AI80</f>
        <v>5.7299999999999997E-5</v>
      </c>
      <c r="AN80" s="188">
        <f>opex_orig!AJ80</f>
        <v>1.3747799999999999E-4</v>
      </c>
      <c r="AO80" s="188">
        <f>opex_orig!AK80</f>
        <v>5.4599999999999999E-5</v>
      </c>
      <c r="AP80" s="188">
        <f>opex_orig!$AL80</f>
        <v>5.99056327879187E-5</v>
      </c>
      <c r="AQ80" s="188">
        <f>opex_orig!$AL80</f>
        <v>5.99056327879187E-5</v>
      </c>
      <c r="AR80" s="188">
        <f>opex_orig!$AL80</f>
        <v>5.99056327879187E-5</v>
      </c>
      <c r="AS80" s="188">
        <f>opex_orig!$AM80</f>
        <v>5.3617834842718798E-5</v>
      </c>
      <c r="AT80" s="188">
        <f>opex_orig!AN80</f>
        <v>1.15915E-4</v>
      </c>
      <c r="AU80" s="188">
        <f>opex_orig!$AO80</f>
        <v>7.7134573911632402E-4</v>
      </c>
      <c r="AV80" s="188">
        <f>opex_orig!$AO80</f>
        <v>7.7134573911632402E-4</v>
      </c>
      <c r="AW80" s="188">
        <f>opex_orig!$AO80</f>
        <v>7.7134573911632402E-4</v>
      </c>
      <c r="AX80" s="188">
        <f>opex_orig!$AP80</f>
        <v>9.5988244200042195E-4</v>
      </c>
      <c r="AY80" s="188">
        <f>opex_orig!AQ80</f>
        <v>1.7325199999999999E-4</v>
      </c>
      <c r="AZ80" s="188">
        <f>opex_orig!AR80</f>
        <v>0</v>
      </c>
      <c r="BA80" s="188">
        <f>opex_orig!AS80</f>
        <v>1.69195E-4</v>
      </c>
      <c r="BB80" s="188">
        <f>opex_orig!AT80</f>
        <v>1.48381E-4</v>
      </c>
      <c r="BC80" s="188">
        <f>opex_orig!AU80</f>
        <v>0.17282090999999999</v>
      </c>
      <c r="BD80" s="188">
        <f>opex_orig!AV80</f>
        <v>0.17683897500000001</v>
      </c>
      <c r="BE80" s="188">
        <f>opex_orig!AW80</f>
        <v>8.8900000000000006E-5</v>
      </c>
      <c r="BF80" s="188">
        <f>opex_orig!AX80</f>
        <v>0</v>
      </c>
      <c r="BG80" s="188">
        <f>opex_orig!AY80</f>
        <v>1.3512999999999999E-4</v>
      </c>
      <c r="BH80" s="188">
        <f>opex_orig!AZ80</f>
        <v>0</v>
      </c>
      <c r="BI80" s="188">
        <f>opex_orig!BA80</f>
        <v>1.2053859999999999E-3</v>
      </c>
      <c r="BJ80" s="188">
        <f>opex_orig!BB80</f>
        <v>8.1915799999999995E-4</v>
      </c>
      <c r="BK80" s="188">
        <f>opex_orig!BC80</f>
        <v>9.2586000000000003E-4</v>
      </c>
      <c r="BL80" s="188">
        <f>opex_orig!BD80</f>
        <v>2.9300000000000001E-5</v>
      </c>
      <c r="BM80" s="188">
        <f>opex_orig!BE80</f>
        <v>4.0591299999999999E-4</v>
      </c>
      <c r="BN80" s="188">
        <f>opex_orig!BF80</f>
        <v>2.5000000000000001E-5</v>
      </c>
      <c r="BO80" s="188">
        <f>opex_orig!BG80</f>
        <v>1.9224800000000001E-4</v>
      </c>
      <c r="BP80" s="188">
        <f>opex_orig!$BH80</f>
        <v>8.9683780166885605E-5</v>
      </c>
      <c r="BQ80" s="188">
        <f>opex_orig!$BH80</f>
        <v>8.9683780166885605E-5</v>
      </c>
      <c r="BR80" s="188">
        <f>opex_orig!BI80</f>
        <v>2.1573E-4</v>
      </c>
      <c r="BS80" s="188">
        <f>opex_orig!BJ80</f>
        <v>1.46773E-4</v>
      </c>
      <c r="BT80" s="188">
        <f>opex_orig!BK80</f>
        <v>3.2475310000000001E-3</v>
      </c>
      <c r="BU80" s="188">
        <f>opex_orig!BL80</f>
        <v>0</v>
      </c>
      <c r="BV80" s="27">
        <f>opex_orig!BM80</f>
        <v>3.96634452463612E-5</v>
      </c>
      <c r="BW80" s="27">
        <f>opex_orig!BN80</f>
        <v>7.7119029646661893E-5</v>
      </c>
      <c r="BX80" s="27">
        <f>opex_orig!BO80</f>
        <v>9.5196854592560195E-6</v>
      </c>
      <c r="BY80" s="27">
        <f>opex_orig!BP80</f>
        <v>1.8792608708883699E-5</v>
      </c>
      <c r="BZ80" s="27">
        <f>opex_orig!BQ80</f>
        <v>1.3087224760444701E-5</v>
      </c>
      <c r="CA80" s="27">
        <f>opex_orig!BR80</f>
        <v>5.7253850920473801E-5</v>
      </c>
      <c r="CB80" s="27">
        <f>opex_orig!BS80</f>
        <v>2.1913789620190601E-4</v>
      </c>
      <c r="CC80" s="27">
        <f>opex_orig!BT80</f>
        <v>2.82482191229469E-5</v>
      </c>
      <c r="CD80" s="27">
        <f>opex_orig!BU80</f>
        <v>7.7272316256915602E-6</v>
      </c>
      <c r="CE80" s="27">
        <f>opex_orig!BV80</f>
        <v>7.7272316256915704E-6</v>
      </c>
      <c r="CF80" s="27">
        <f>opex_orig!BW80</f>
        <v>8.2186970516571902E-6</v>
      </c>
      <c r="CG80" s="27">
        <f>opex_orig!BX80</f>
        <v>7.472065792786E-7</v>
      </c>
      <c r="CH80" s="27">
        <f>opex_orig!BY80</f>
        <v>3.7351784684731298E-6</v>
      </c>
      <c r="CI80" s="27">
        <f>opex_orig!BZ80</f>
        <v>3.1199999999999999E-5</v>
      </c>
      <c r="CJ80" s="27">
        <f>opex_orig!CA80</f>
        <v>5.8400000000000003E-5</v>
      </c>
      <c r="CK80" s="27">
        <f>opex_orig!CB80</f>
        <v>5.1199999999999998E-5</v>
      </c>
      <c r="CL80" s="27">
        <f>opex_orig!CC80</f>
        <v>1.7399700000000001E-4</v>
      </c>
      <c r="CM80" s="27">
        <f>opex_orig!CD80</f>
        <v>6.6400000000000001E-5</v>
      </c>
      <c r="CN80" s="27">
        <f>opex_orig!CE80</f>
        <v>3.3699999999999999E-5</v>
      </c>
      <c r="CO80" s="27">
        <f>opex_orig!CF80</f>
        <v>2.2579300000000001E-4</v>
      </c>
      <c r="CP80" s="27">
        <f>opex_orig!CG80</f>
        <v>1.5500000000000001E-5</v>
      </c>
    </row>
    <row r="81" spans="1:94" x14ac:dyDescent="0.25">
      <c r="A81" s="5" t="s">
        <v>181</v>
      </c>
      <c r="B81" s="2" t="s">
        <v>180</v>
      </c>
      <c r="C81" s="1" t="s">
        <v>329</v>
      </c>
      <c r="D81" s="188">
        <f>opex_orig!D81</f>
        <v>4.0200000000000001E-5</v>
      </c>
      <c r="E81" s="188">
        <f>opex_orig!E81</f>
        <v>2.2500000000000001E-5</v>
      </c>
      <c r="F81" s="188">
        <f>opex_orig!F81</f>
        <v>1.77E-5</v>
      </c>
      <c r="G81" s="188">
        <f>opex_orig!G81</f>
        <v>4.2599999999999999E-6</v>
      </c>
      <c r="H81" s="188">
        <f>opex_orig!H81</f>
        <v>5.0699999999999997E-6</v>
      </c>
      <c r="I81" s="188">
        <f>opex_orig!I81</f>
        <v>3.8800000000000001E-5</v>
      </c>
      <c r="J81" s="188">
        <f>opex_orig!J81</f>
        <v>9.5199999999999997E-5</v>
      </c>
      <c r="K81" s="188">
        <f>opex_orig!K81</f>
        <v>6.6000000000000003E-6</v>
      </c>
      <c r="L81" s="188">
        <f>opex_orig!L81</f>
        <v>3.04E-5</v>
      </c>
      <c r="M81" s="188">
        <f>opex_orig!M81</f>
        <v>8.1799999999999996E-5</v>
      </c>
      <c r="N81" s="188">
        <f>opex_orig!N81</f>
        <v>9.9300000000000001E-5</v>
      </c>
      <c r="O81" s="188">
        <f>opex_orig!O81</f>
        <v>4.1300000000000001E-5</v>
      </c>
      <c r="P81" s="188">
        <f>opex_orig!P81</f>
        <v>7.9499999999999994E-5</v>
      </c>
      <c r="Q81" s="188">
        <f>opex_orig!Q81</f>
        <v>3.6300000000000001E-5</v>
      </c>
      <c r="R81" s="188">
        <f>opex_orig!R81</f>
        <v>3.18E-5</v>
      </c>
      <c r="S81" s="188">
        <f>opex_orig!S81</f>
        <v>1.18484E-4</v>
      </c>
      <c r="T81" s="188">
        <f>opex_orig!T81</f>
        <v>2.5923899999999998E-4</v>
      </c>
      <c r="U81" s="188">
        <f>opex_orig!U81</f>
        <v>1.4888100000000001E-4</v>
      </c>
      <c r="V81" s="188">
        <f>opex_orig!V81</f>
        <v>1.08712E-4</v>
      </c>
      <c r="W81" s="188">
        <f>opex_orig!W81</f>
        <v>9.9900000000000002E-5</v>
      </c>
      <c r="X81" s="188">
        <f>opex_orig!X81</f>
        <v>3.6300000000000001E-5</v>
      </c>
      <c r="Y81" s="188">
        <f>opex_orig!Y81</f>
        <v>2.65E-5</v>
      </c>
      <c r="Z81" s="188">
        <f>opex_orig!Z81</f>
        <v>1.7192600000000001E-4</v>
      </c>
      <c r="AA81" s="188">
        <f>opex_orig!AA81</f>
        <v>1.41633E-4</v>
      </c>
      <c r="AB81" s="188">
        <f>opex_orig!$AB81</f>
        <v>1.70865505160655E-4</v>
      </c>
      <c r="AC81" s="188">
        <f>opex_orig!$AB81</f>
        <v>1.70865505160655E-4</v>
      </c>
      <c r="AD81" s="188">
        <f>opex_orig!$AB81</f>
        <v>1.70865505160655E-4</v>
      </c>
      <c r="AE81" s="188">
        <f>opex_orig!$AC81</f>
        <v>2.9650870049547701E-4</v>
      </c>
      <c r="AF81" s="188">
        <f>opex_orig!$AD81</f>
        <v>9.2161331207673403E-5</v>
      </c>
      <c r="AG81" s="188">
        <f>opex_orig!$AD81</f>
        <v>9.2161331207673403E-5</v>
      </c>
      <c r="AH81" s="188">
        <f>opex_orig!$AD81</f>
        <v>9.2161331207673403E-5</v>
      </c>
      <c r="AI81" s="188">
        <f>opex_orig!AE81</f>
        <v>7.0199999999999999E-5</v>
      </c>
      <c r="AJ81" s="188">
        <f>opex_orig!AF81</f>
        <v>6.8580699999999997E-4</v>
      </c>
      <c r="AK81" s="188">
        <f>opex_orig!AG81</f>
        <v>2.1477900000000001E-4</v>
      </c>
      <c r="AL81" s="188">
        <f>opex_orig!AH81</f>
        <v>1.0944E-4</v>
      </c>
      <c r="AM81" s="188">
        <f>opex_orig!AI81</f>
        <v>1.3946E-4</v>
      </c>
      <c r="AN81" s="188">
        <f>opex_orig!AJ81</f>
        <v>1.16051E-4</v>
      </c>
      <c r="AO81" s="188">
        <f>opex_orig!AK81</f>
        <v>1.5812000000000001E-4</v>
      </c>
      <c r="AP81" s="188">
        <f>opex_orig!$AL81</f>
        <v>1.27248029846097E-4</v>
      </c>
      <c r="AQ81" s="188">
        <f>opex_orig!$AL81</f>
        <v>1.27248029846097E-4</v>
      </c>
      <c r="AR81" s="188">
        <f>opex_orig!$AL81</f>
        <v>1.27248029846097E-4</v>
      </c>
      <c r="AS81" s="188">
        <f>opex_orig!$AM81</f>
        <v>1.2949897074048E-4</v>
      </c>
      <c r="AT81" s="188">
        <f>opex_orig!AN81</f>
        <v>1.8248299999999999E-4</v>
      </c>
      <c r="AU81" s="188">
        <f>opex_orig!$AO81</f>
        <v>2.8194570115600199E-3</v>
      </c>
      <c r="AV81" s="188">
        <f>opex_orig!$AO81</f>
        <v>2.8194570115600199E-3</v>
      </c>
      <c r="AW81" s="188">
        <f>opex_orig!$AO81</f>
        <v>2.8194570115600199E-3</v>
      </c>
      <c r="AX81" s="188">
        <f>opex_orig!$AP81</f>
        <v>3.1359811455271701E-3</v>
      </c>
      <c r="AY81" s="188">
        <f>opex_orig!AQ81</f>
        <v>1.9563879999999999E-3</v>
      </c>
      <c r="AZ81" s="188">
        <f>opex_orig!AR81</f>
        <v>0</v>
      </c>
      <c r="BA81" s="188">
        <f>opex_orig!AS81</f>
        <v>1.6135030000000001E-3</v>
      </c>
      <c r="BB81" s="188">
        <f>opex_orig!AT81</f>
        <v>1.278602E-3</v>
      </c>
      <c r="BC81" s="188">
        <f>opex_orig!AU81</f>
        <v>9.7E-5</v>
      </c>
      <c r="BD81" s="188">
        <f>opex_orig!AV81</f>
        <v>6.0699999999999998E-5</v>
      </c>
      <c r="BE81" s="188">
        <f>opex_orig!AW81</f>
        <v>0.371808472</v>
      </c>
      <c r="BF81" s="188">
        <f>opex_orig!AX81</f>
        <v>0</v>
      </c>
      <c r="BG81" s="188">
        <f>opex_orig!AY81</f>
        <v>1.2875160000000001E-3</v>
      </c>
      <c r="BH81" s="188">
        <f>opex_orig!AZ81</f>
        <v>0</v>
      </c>
      <c r="BI81" s="188">
        <f>opex_orig!BA81</f>
        <v>4.1399660000000001E-3</v>
      </c>
      <c r="BJ81" s="188">
        <f>opex_orig!BB81</f>
        <v>4.5915069999999999E-3</v>
      </c>
      <c r="BK81" s="188">
        <f>opex_orig!BC81</f>
        <v>5.6218450000000003E-3</v>
      </c>
      <c r="BL81" s="188">
        <f>opex_orig!BD81</f>
        <v>8.9499999999999994E-5</v>
      </c>
      <c r="BM81" s="188">
        <f>opex_orig!BE81</f>
        <v>1.3625646999999999E-2</v>
      </c>
      <c r="BN81" s="188">
        <f>opex_orig!BF81</f>
        <v>1.44673E-4</v>
      </c>
      <c r="BO81" s="188">
        <f>opex_orig!BG81</f>
        <v>3.3774429999999999E-3</v>
      </c>
      <c r="BP81" s="188">
        <f>opex_orig!$BH81</f>
        <v>2.66629744245051E-4</v>
      </c>
      <c r="BQ81" s="188">
        <f>opex_orig!$BH81</f>
        <v>2.66629744245051E-4</v>
      </c>
      <c r="BR81" s="188">
        <f>opex_orig!BI81</f>
        <v>1.4130989999999999E-3</v>
      </c>
      <c r="BS81" s="188">
        <f>opex_orig!BJ81</f>
        <v>6.1457500000000002E-4</v>
      </c>
      <c r="BT81" s="188">
        <f>opex_orig!BK81</f>
        <v>2.7936697999999999E-2</v>
      </c>
      <c r="BU81" s="188">
        <f>opex_orig!BL81</f>
        <v>0</v>
      </c>
      <c r="BV81" s="27">
        <f>opex_orig!BM81</f>
        <v>1.5187950887589401E-4</v>
      </c>
      <c r="BW81" s="27">
        <f>opex_orig!BN81</f>
        <v>3.0415012623066898E-4</v>
      </c>
      <c r="BX81" s="27">
        <f>opex_orig!BO81</f>
        <v>3.40307977815541E-5</v>
      </c>
      <c r="BY81" s="27">
        <f>opex_orig!BP81</f>
        <v>8.2195983414110597E-5</v>
      </c>
      <c r="BZ81" s="27">
        <f>opex_orig!BQ81</f>
        <v>9.2782515768875898E-5</v>
      </c>
      <c r="CA81" s="27">
        <f>opex_orig!BR81</f>
        <v>4.8007642632627698E-4</v>
      </c>
      <c r="CB81" s="27">
        <f>opex_orig!BS81</f>
        <v>3.1227448488731902E-4</v>
      </c>
      <c r="CC81" s="27">
        <f>opex_orig!BT81</f>
        <v>1.47466077870211E-4</v>
      </c>
      <c r="CD81" s="27">
        <f>opex_orig!BU81</f>
        <v>1.0326482894561E-5</v>
      </c>
      <c r="CE81" s="27">
        <f>opex_orig!BV81</f>
        <v>1.0326482894561E-5</v>
      </c>
      <c r="CF81" s="27">
        <f>opex_orig!BW81</f>
        <v>9.2710739926508395E-5</v>
      </c>
      <c r="CG81" s="27">
        <f>opex_orig!BX81</f>
        <v>9.1494115368673706E-6</v>
      </c>
      <c r="CH81" s="27">
        <f>opex_orig!BY81</f>
        <v>3.5629356396544201E-5</v>
      </c>
      <c r="CI81" s="27">
        <f>opex_orig!BZ81</f>
        <v>1.19268E-4</v>
      </c>
      <c r="CJ81" s="27">
        <f>opex_orig!CA81</f>
        <v>5.1900000000000001E-5</v>
      </c>
      <c r="CK81" s="27">
        <f>opex_orig!CB81</f>
        <v>4.99E-5</v>
      </c>
      <c r="CL81" s="27">
        <f>opex_orig!CC81</f>
        <v>1.11377E-4</v>
      </c>
      <c r="CM81" s="27">
        <f>opex_orig!CD81</f>
        <v>2.2299599999999999E-4</v>
      </c>
      <c r="CN81" s="27">
        <f>opex_orig!CE81</f>
        <v>1.15586E-4</v>
      </c>
      <c r="CO81" s="27">
        <f>opex_orig!CF81</f>
        <v>7.5789E-4</v>
      </c>
      <c r="CP81" s="27">
        <f>opex_orig!CG81</f>
        <v>6.3200000000000005E-5</v>
      </c>
    </row>
    <row r="82" spans="1:94" x14ac:dyDescent="0.25">
      <c r="A82" s="5" t="s">
        <v>183</v>
      </c>
      <c r="B82" s="2" t="s">
        <v>182</v>
      </c>
      <c r="C82" s="1" t="s">
        <v>329</v>
      </c>
      <c r="D82" s="188">
        <f>opex_orig!D82</f>
        <v>1.1199999999999999E-5</v>
      </c>
      <c r="E82" s="188">
        <f>opex_orig!E82</f>
        <v>1.9599999999999999E-6</v>
      </c>
      <c r="F82" s="188">
        <f>opex_orig!F82</f>
        <v>1.15E-6</v>
      </c>
      <c r="G82" s="188">
        <f>opex_orig!G82</f>
        <v>1.5599999999999999E-7</v>
      </c>
      <c r="H82" s="188">
        <f>opex_orig!H82</f>
        <v>3.0899999999999997E-7</v>
      </c>
      <c r="I82" s="188">
        <f>opex_orig!I82</f>
        <v>3.3000000000000002E-6</v>
      </c>
      <c r="J82" s="188">
        <f>opex_orig!J82</f>
        <v>5.5400000000000003E-6</v>
      </c>
      <c r="K82" s="188">
        <f>opex_orig!K82</f>
        <v>4.3599999999999999E-7</v>
      </c>
      <c r="L82" s="188">
        <f>opex_orig!L82</f>
        <v>2.5799999999999999E-6</v>
      </c>
      <c r="M82" s="188">
        <f>opex_orig!M82</f>
        <v>6.7800000000000003E-6</v>
      </c>
      <c r="N82" s="188">
        <f>opex_orig!N82</f>
        <v>4.33E-6</v>
      </c>
      <c r="O82" s="188">
        <f>opex_orig!O82</f>
        <v>4.7600000000000002E-6</v>
      </c>
      <c r="P82" s="188">
        <f>opex_orig!P82</f>
        <v>8.32E-6</v>
      </c>
      <c r="Q82" s="188">
        <f>opex_orig!Q82</f>
        <v>2.43E-6</v>
      </c>
      <c r="R82" s="188">
        <f>opex_orig!R82</f>
        <v>2.8600000000000001E-6</v>
      </c>
      <c r="S82" s="188">
        <f>opex_orig!S82</f>
        <v>8.5299999999999996E-6</v>
      </c>
      <c r="T82" s="188">
        <f>opex_orig!T82</f>
        <v>1.7200000000000001E-5</v>
      </c>
      <c r="U82" s="188">
        <f>opex_orig!U82</f>
        <v>9.9199999999999999E-6</v>
      </c>
      <c r="V82" s="188">
        <f>opex_orig!V82</f>
        <v>6.8900000000000001E-6</v>
      </c>
      <c r="W82" s="188">
        <f>opex_orig!W82</f>
        <v>6.8199999999999999E-6</v>
      </c>
      <c r="X82" s="188">
        <f>opex_orig!X82</f>
        <v>2.4899999999999999E-6</v>
      </c>
      <c r="Y82" s="188">
        <f>opex_orig!Y82</f>
        <v>1.33E-6</v>
      </c>
      <c r="Z82" s="188">
        <f>opex_orig!Z82</f>
        <v>9.7899999999999994E-6</v>
      </c>
      <c r="AA82" s="188">
        <f>opex_orig!AA82</f>
        <v>1.2799999999999999E-5</v>
      </c>
      <c r="AB82" s="188">
        <f>opex_orig!$AB82</f>
        <v>1.5951605619348199E-5</v>
      </c>
      <c r="AC82" s="188">
        <f>opex_orig!$AB82</f>
        <v>1.5951605619348199E-5</v>
      </c>
      <c r="AD82" s="188">
        <f>opex_orig!$AB82</f>
        <v>1.5951605619348199E-5</v>
      </c>
      <c r="AE82" s="188">
        <f>opex_orig!$AC82</f>
        <v>9.1110088622434701E-6</v>
      </c>
      <c r="AF82" s="188">
        <f>opex_orig!$AD82</f>
        <v>3.96898461778239E-6</v>
      </c>
      <c r="AG82" s="188">
        <f>opex_orig!$AD82</f>
        <v>3.96898461778239E-6</v>
      </c>
      <c r="AH82" s="188">
        <f>opex_orig!$AD82</f>
        <v>3.96898461778239E-6</v>
      </c>
      <c r="AI82" s="188">
        <f>opex_orig!AE82</f>
        <v>3.5499999999999999E-6</v>
      </c>
      <c r="AJ82" s="188">
        <f>opex_orig!AF82</f>
        <v>5.8499999999999999E-5</v>
      </c>
      <c r="AK82" s="188">
        <f>opex_orig!AG82</f>
        <v>2.1800000000000001E-5</v>
      </c>
      <c r="AL82" s="188">
        <f>opex_orig!AH82</f>
        <v>9.8400000000000007E-6</v>
      </c>
      <c r="AM82" s="188">
        <f>opex_orig!AI82</f>
        <v>1.22E-5</v>
      </c>
      <c r="AN82" s="188">
        <f>opex_orig!AJ82</f>
        <v>1.2500000000000001E-5</v>
      </c>
      <c r="AO82" s="188">
        <f>opex_orig!AK82</f>
        <v>1.26E-5</v>
      </c>
      <c r="AP82" s="188">
        <f>opex_orig!$AL82</f>
        <v>1.31872783137378E-5</v>
      </c>
      <c r="AQ82" s="188">
        <f>opex_orig!$AL82</f>
        <v>1.31872783137378E-5</v>
      </c>
      <c r="AR82" s="188">
        <f>opex_orig!$AL82</f>
        <v>1.31872783137378E-5</v>
      </c>
      <c r="AS82" s="188">
        <f>opex_orig!$AM82</f>
        <v>1.2041321898687E-5</v>
      </c>
      <c r="AT82" s="188">
        <f>opex_orig!AN82</f>
        <v>1.56E-5</v>
      </c>
      <c r="AU82" s="188">
        <f>opex_orig!$AO82</f>
        <v>2.03969700218559E-4</v>
      </c>
      <c r="AV82" s="188">
        <f>opex_orig!$AO82</f>
        <v>2.03969700218559E-4</v>
      </c>
      <c r="AW82" s="188">
        <f>opex_orig!$AO82</f>
        <v>2.03969700218559E-4</v>
      </c>
      <c r="AX82" s="188">
        <f>opex_orig!$AP82</f>
        <v>2.2493989954695701E-4</v>
      </c>
      <c r="AY82" s="188">
        <f>opex_orig!AQ82</f>
        <v>1.41526E-4</v>
      </c>
      <c r="AZ82" s="188">
        <f>opex_orig!AR82</f>
        <v>0</v>
      </c>
      <c r="BA82" s="188">
        <f>opex_orig!AS82</f>
        <v>1.1764000000000001E-4</v>
      </c>
      <c r="BB82" s="188">
        <f>opex_orig!AT82</f>
        <v>9.6199999999999994E-5</v>
      </c>
      <c r="BC82" s="188">
        <f>opex_orig!AU82</f>
        <v>5.4700000000000001E-6</v>
      </c>
      <c r="BD82" s="188">
        <f>opex_orig!AV82</f>
        <v>3.6600000000000001E-6</v>
      </c>
      <c r="BE82" s="188">
        <f>opex_orig!AW82</f>
        <v>2.6050659E-2</v>
      </c>
      <c r="BF82" s="188">
        <f>opex_orig!AX82</f>
        <v>0</v>
      </c>
      <c r="BG82" s="188">
        <f>opex_orig!AY82</f>
        <v>8.7499999999999999E-5</v>
      </c>
      <c r="BH82" s="188">
        <f>opex_orig!AZ82</f>
        <v>0</v>
      </c>
      <c r="BI82" s="188">
        <f>opex_orig!BA82</f>
        <v>3.00869E-4</v>
      </c>
      <c r="BJ82" s="188">
        <f>opex_orig!BB82</f>
        <v>3.4092999999999998E-4</v>
      </c>
      <c r="BK82" s="188">
        <f>opex_orig!BC82</f>
        <v>4.0989299999999999E-4</v>
      </c>
      <c r="BL82" s="188">
        <f>opex_orig!BD82</f>
        <v>1.4100000000000001E-5</v>
      </c>
      <c r="BM82" s="188">
        <f>opex_orig!BE82</f>
        <v>9.6010500000000005E-4</v>
      </c>
      <c r="BN82" s="188">
        <f>opex_orig!BF82</f>
        <v>1.0200000000000001E-5</v>
      </c>
      <c r="BO82" s="188">
        <f>opex_orig!BG82</f>
        <v>2.4042200000000001E-4</v>
      </c>
      <c r="BP82" s="188">
        <f>opex_orig!$BH82</f>
        <v>2.48179044551278E-5</v>
      </c>
      <c r="BQ82" s="188">
        <f>opex_orig!$BH82</f>
        <v>2.48179044551278E-5</v>
      </c>
      <c r="BR82" s="188">
        <f>opex_orig!BI82</f>
        <v>1.0446300000000001E-4</v>
      </c>
      <c r="BS82" s="188">
        <f>opex_orig!BJ82</f>
        <v>5.0399999999999999E-5</v>
      </c>
      <c r="BT82" s="188">
        <f>opex_orig!BK82</f>
        <v>1.9534349999999999E-3</v>
      </c>
      <c r="BU82" s="188">
        <f>opex_orig!BL82</f>
        <v>0</v>
      </c>
      <c r="BV82" s="27">
        <f>opex_orig!BM82</f>
        <v>1.36295854817307E-5</v>
      </c>
      <c r="BW82" s="27">
        <f>opex_orig!BN82</f>
        <v>2.6338478337909901E-5</v>
      </c>
      <c r="BX82" s="27">
        <f>opex_orig!BO82</f>
        <v>3.5428383741703301E-6</v>
      </c>
      <c r="BY82" s="27">
        <f>opex_orig!BP82</f>
        <v>4.0436116726382602E-6</v>
      </c>
      <c r="BZ82" s="27">
        <f>opex_orig!BQ82</f>
        <v>2.9551499129921099E-6</v>
      </c>
      <c r="CA82" s="27">
        <f>opex_orig!BR82</f>
        <v>1.99242351468759E-5</v>
      </c>
      <c r="CB82" s="27">
        <f>opex_orig!BS82</f>
        <v>2.4530358770158598E-5</v>
      </c>
      <c r="CC82" s="27">
        <f>opex_orig!BT82</f>
        <v>3.12264420219156E-4</v>
      </c>
      <c r="CD82" s="27">
        <f>opex_orig!BU82</f>
        <v>1.7149777832530399E-6</v>
      </c>
      <c r="CE82" s="27">
        <f>opex_orig!BV82</f>
        <v>1.7149777832530399E-6</v>
      </c>
      <c r="CF82" s="27">
        <f>opex_orig!BW82</f>
        <v>2.8220396785200401E-6</v>
      </c>
      <c r="CG82" s="27">
        <f>opex_orig!BX82</f>
        <v>9.7047520431913693E-7</v>
      </c>
      <c r="CH82" s="27">
        <f>opex_orig!BY82</f>
        <v>3.9839556271831899E-6</v>
      </c>
      <c r="CI82" s="27">
        <f>opex_orig!BZ82</f>
        <v>1.0000000000000001E-5</v>
      </c>
      <c r="CJ82" s="27">
        <f>opex_orig!CA82</f>
        <v>3.1599999999999998E-6</v>
      </c>
      <c r="CK82" s="27">
        <f>opex_orig!CB82</f>
        <v>3.67E-6</v>
      </c>
      <c r="CL82" s="27">
        <f>opex_orig!CC82</f>
        <v>1.4300000000000001E-6</v>
      </c>
      <c r="CM82" s="27">
        <f>opex_orig!CD82</f>
        <v>2.4499999999999999E-5</v>
      </c>
      <c r="CN82" s="27">
        <f>opex_orig!CE82</f>
        <v>1.03E-5</v>
      </c>
      <c r="CO82" s="27">
        <f>opex_orig!CF82</f>
        <v>5.8699999999999997E-5</v>
      </c>
      <c r="CP82" s="27">
        <f>opex_orig!CG82</f>
        <v>2.5100000000000001E-6</v>
      </c>
    </row>
    <row r="83" spans="1:94" x14ac:dyDescent="0.25">
      <c r="A83" s="5" t="s">
        <v>185</v>
      </c>
      <c r="B83" s="2" t="s">
        <v>184</v>
      </c>
      <c r="C83" s="1" t="s">
        <v>329</v>
      </c>
      <c r="D83" s="188">
        <f>opex_orig!D83</f>
        <v>8.9600000000000006E-6</v>
      </c>
      <c r="E83" s="188">
        <f>opex_orig!E83</f>
        <v>2.6199999999999999E-6</v>
      </c>
      <c r="F83" s="188">
        <f>opex_orig!F83</f>
        <v>3.05E-6</v>
      </c>
      <c r="G83" s="188">
        <f>opex_orig!G83</f>
        <v>1.37E-7</v>
      </c>
      <c r="H83" s="188">
        <f>opex_orig!H83</f>
        <v>2.16E-7</v>
      </c>
      <c r="I83" s="188">
        <f>opex_orig!I83</f>
        <v>2.8100000000000002E-6</v>
      </c>
      <c r="J83" s="188">
        <f>opex_orig!J83</f>
        <v>3.5099999999999999E-6</v>
      </c>
      <c r="K83" s="188">
        <f>opex_orig!K83</f>
        <v>4.0499999999999999E-7</v>
      </c>
      <c r="L83" s="188">
        <f>opex_orig!L83</f>
        <v>3.49E-6</v>
      </c>
      <c r="M83" s="188">
        <f>opex_orig!M83</f>
        <v>6.2099999999999998E-6</v>
      </c>
      <c r="N83" s="188">
        <f>opex_orig!N83</f>
        <v>1.0499999999999999E-5</v>
      </c>
      <c r="O83" s="188">
        <f>opex_orig!O83</f>
        <v>4.7999999999999998E-6</v>
      </c>
      <c r="P83" s="188">
        <f>opex_orig!P83</f>
        <v>9.5699999999999999E-6</v>
      </c>
      <c r="Q83" s="188">
        <f>opex_orig!Q83</f>
        <v>6.1600000000000003E-6</v>
      </c>
      <c r="R83" s="188">
        <f>opex_orig!R83</f>
        <v>1.4600000000000001E-5</v>
      </c>
      <c r="S83" s="188">
        <f>opex_orig!S83</f>
        <v>8.4700000000000002E-6</v>
      </c>
      <c r="T83" s="188">
        <f>opex_orig!T83</f>
        <v>1.19E-5</v>
      </c>
      <c r="U83" s="188">
        <f>opex_orig!U83</f>
        <v>7.5800000000000003E-6</v>
      </c>
      <c r="V83" s="188">
        <f>opex_orig!V83</f>
        <v>9.5100000000000004E-6</v>
      </c>
      <c r="W83" s="188">
        <f>opex_orig!W83</f>
        <v>1.0200000000000001E-5</v>
      </c>
      <c r="X83" s="188">
        <f>opex_orig!X83</f>
        <v>3.9999999999999998E-6</v>
      </c>
      <c r="Y83" s="188">
        <f>opex_orig!Y83</f>
        <v>2.5799999999999999E-6</v>
      </c>
      <c r="Z83" s="188">
        <f>opex_orig!Z83</f>
        <v>1.43E-5</v>
      </c>
      <c r="AA83" s="188">
        <f>opex_orig!AA83</f>
        <v>1.15E-5</v>
      </c>
      <c r="AB83" s="188">
        <f>opex_orig!$AB83</f>
        <v>9.0366496289934003E-6</v>
      </c>
      <c r="AC83" s="188">
        <f>opex_orig!$AB83</f>
        <v>9.0366496289934003E-6</v>
      </c>
      <c r="AD83" s="188">
        <f>opex_orig!$AB83</f>
        <v>9.0366496289934003E-6</v>
      </c>
      <c r="AE83" s="188">
        <f>opex_orig!$AC83</f>
        <v>3.34515584742981E-5</v>
      </c>
      <c r="AF83" s="188">
        <f>opex_orig!$AD83</f>
        <v>8.6431424388801692E-6</v>
      </c>
      <c r="AG83" s="188">
        <f>opex_orig!$AD83</f>
        <v>8.6431424388801692E-6</v>
      </c>
      <c r="AH83" s="188">
        <f>opex_orig!$AD83</f>
        <v>8.6431424388801692E-6</v>
      </c>
      <c r="AI83" s="188">
        <f>opex_orig!AE83</f>
        <v>5.6799999999999998E-6</v>
      </c>
      <c r="AJ83" s="188">
        <f>opex_orig!AF83</f>
        <v>5.77E-5</v>
      </c>
      <c r="AK83" s="188">
        <f>opex_orig!AG83</f>
        <v>3.8699999999999999E-5</v>
      </c>
      <c r="AL83" s="188">
        <f>opex_orig!AH83</f>
        <v>2.0000000000000002E-5</v>
      </c>
      <c r="AM83" s="188">
        <f>opex_orig!AI83</f>
        <v>2.1999999999999999E-5</v>
      </c>
      <c r="AN83" s="188">
        <f>opex_orig!AJ83</f>
        <v>1.8499999999999999E-5</v>
      </c>
      <c r="AO83" s="188">
        <f>opex_orig!AK83</f>
        <v>2.27E-5</v>
      </c>
      <c r="AP83" s="188">
        <f>opex_orig!$AL83</f>
        <v>1.3348433603170399E-5</v>
      </c>
      <c r="AQ83" s="188">
        <f>opex_orig!$AL83</f>
        <v>1.3348433603170399E-5</v>
      </c>
      <c r="AR83" s="188">
        <f>opex_orig!$AL83</f>
        <v>1.3348433603170399E-5</v>
      </c>
      <c r="AS83" s="188">
        <f>opex_orig!$AM83</f>
        <v>1.59591542313412E-5</v>
      </c>
      <c r="AT83" s="188">
        <f>opex_orig!AN83</f>
        <v>1.68469E-4</v>
      </c>
      <c r="AU83" s="188">
        <f>opex_orig!$AO83</f>
        <v>4.2062223061010602E-3</v>
      </c>
      <c r="AV83" s="188">
        <f>opex_orig!$AO83</f>
        <v>4.2062223061010602E-3</v>
      </c>
      <c r="AW83" s="188">
        <f>opex_orig!$AO83</f>
        <v>4.2062223061010602E-3</v>
      </c>
      <c r="AX83" s="188">
        <f>opex_orig!$AP83</f>
        <v>4.2852975296679002E-3</v>
      </c>
      <c r="AY83" s="188">
        <f>opex_orig!AQ83</f>
        <v>1.5211000000000001E-3</v>
      </c>
      <c r="AZ83" s="188">
        <f>opex_orig!AR83</f>
        <v>0</v>
      </c>
      <c r="BA83" s="188">
        <f>opex_orig!AS83</f>
        <v>2.5445157999999999E-2</v>
      </c>
      <c r="BB83" s="188">
        <f>opex_orig!AT83</f>
        <v>2.7390742999999999E-2</v>
      </c>
      <c r="BC83" s="188">
        <f>opex_orig!AU83</f>
        <v>7.7100000000000007E-6</v>
      </c>
      <c r="BD83" s="188">
        <f>opex_orig!AV83</f>
        <v>6.8600000000000004E-6</v>
      </c>
      <c r="BE83" s="188">
        <f>opex_orig!AW83</f>
        <v>2.1092763E-2</v>
      </c>
      <c r="BF83" s="188">
        <f>opex_orig!AX83</f>
        <v>0</v>
      </c>
      <c r="BG83" s="188">
        <f>opex_orig!AY83</f>
        <v>9.6640989999999996E-2</v>
      </c>
      <c r="BH83" s="188">
        <f>opex_orig!AZ83</f>
        <v>0</v>
      </c>
      <c r="BI83" s="188">
        <f>opex_orig!BA83</f>
        <v>8.9968289999999996E-3</v>
      </c>
      <c r="BJ83" s="188">
        <f>opex_orig!BB83</f>
        <v>1.3782390000000001E-3</v>
      </c>
      <c r="BK83" s="188">
        <f>opex_orig!BC83</f>
        <v>1.223191E-3</v>
      </c>
      <c r="BL83" s="188">
        <f>opex_orig!BD83</f>
        <v>2.9899999999999998E-5</v>
      </c>
      <c r="BM83" s="188">
        <f>opex_orig!BE83</f>
        <v>1.047805E-3</v>
      </c>
      <c r="BN83" s="188">
        <f>opex_orig!BF83</f>
        <v>1.9199999999999999E-5</v>
      </c>
      <c r="BO83" s="188">
        <f>opex_orig!BG83</f>
        <v>6.9811899999999997E-4</v>
      </c>
      <c r="BP83" s="188">
        <f>opex_orig!$BH83</f>
        <v>9.3596404351459206E-5</v>
      </c>
      <c r="BQ83" s="188">
        <f>opex_orig!$BH83</f>
        <v>9.3596404351459206E-5</v>
      </c>
      <c r="BR83" s="188">
        <f>opex_orig!BI83</f>
        <v>9.7292899999999998E-4</v>
      </c>
      <c r="BS83" s="188">
        <f>opex_orig!BJ83</f>
        <v>3.8625529999999999E-3</v>
      </c>
      <c r="BT83" s="188">
        <f>opex_orig!BK83</f>
        <v>5.7057210000000004E-3</v>
      </c>
      <c r="BU83" s="188">
        <f>opex_orig!BL83</f>
        <v>0</v>
      </c>
      <c r="BV83" s="27">
        <f>opex_orig!BM83</f>
        <v>1.0837874321367199E-5</v>
      </c>
      <c r="BW83" s="27">
        <f>opex_orig!BN83</f>
        <v>1.8869888058554199E-5</v>
      </c>
      <c r="BX83" s="27">
        <f>opex_orig!BO83</f>
        <v>5.4660033261106397E-6</v>
      </c>
      <c r="BY83" s="27">
        <f>opex_orig!BP83</f>
        <v>1.05423626010099E-5</v>
      </c>
      <c r="BZ83" s="27">
        <f>opex_orig!BQ83</f>
        <v>1.46290812918585E-5</v>
      </c>
      <c r="CA83" s="27">
        <f>opex_orig!BR83</f>
        <v>2.4682630383344401E-6</v>
      </c>
      <c r="CB83" s="27">
        <f>opex_orig!BS83</f>
        <v>8.8651488098675392E-6</v>
      </c>
      <c r="CC83" s="27">
        <f>opex_orig!BT83</f>
        <v>2.4601197121680698E-4</v>
      </c>
      <c r="CD83" s="27">
        <f>opex_orig!BU83</f>
        <v>2.0783453776497499E-6</v>
      </c>
      <c r="CE83" s="27">
        <f>opex_orig!BV83</f>
        <v>2.0783453776497499E-6</v>
      </c>
      <c r="CF83" s="27">
        <f>opex_orig!BW83</f>
        <v>2.9373928187649601E-6</v>
      </c>
      <c r="CG83" s="27">
        <f>opex_orig!BX83</f>
        <v>2.6151007337408199E-6</v>
      </c>
      <c r="CH83" s="27">
        <f>opex_orig!BY83</f>
        <v>4.9438736703605402E-6</v>
      </c>
      <c r="CI83" s="27">
        <f>opex_orig!BZ83</f>
        <v>1.06E-5</v>
      </c>
      <c r="CJ83" s="27">
        <f>opex_orig!CA83</f>
        <v>6.0100000000000001E-6</v>
      </c>
      <c r="CK83" s="27">
        <f>opex_orig!CB83</f>
        <v>4.8600000000000001E-6</v>
      </c>
      <c r="CL83" s="27">
        <f>opex_orig!CC83</f>
        <v>4.2200000000000003E-6</v>
      </c>
      <c r="CM83" s="27">
        <f>opex_orig!CD83</f>
        <v>1.6699999999999999E-5</v>
      </c>
      <c r="CN83" s="27">
        <f>opex_orig!CE83</f>
        <v>1.3200000000000001E-5</v>
      </c>
      <c r="CO83" s="27">
        <f>opex_orig!CF83</f>
        <v>7.8200000000000003E-5</v>
      </c>
      <c r="CP83" s="27">
        <f>opex_orig!CG83</f>
        <v>1.5299999999999999E-5</v>
      </c>
    </row>
    <row r="84" spans="1:94" x14ac:dyDescent="0.25">
      <c r="A84" s="5" t="s">
        <v>187</v>
      </c>
      <c r="B84" s="2" t="s">
        <v>186</v>
      </c>
      <c r="C84" s="1" t="s">
        <v>329</v>
      </c>
      <c r="D84" s="188">
        <f>opex_orig!D84</f>
        <v>1.0800000000000001E-8</v>
      </c>
      <c r="E84" s="188">
        <f>opex_orig!E84</f>
        <v>6.6400000000000002E-9</v>
      </c>
      <c r="F84" s="188">
        <f>opex_orig!F84</f>
        <v>6.5400000000000003E-8</v>
      </c>
      <c r="G84" s="188">
        <f>opex_orig!G84</f>
        <v>1.37E-9</v>
      </c>
      <c r="H84" s="188">
        <f>opex_orig!H84</f>
        <v>6.3799999999999997E-10</v>
      </c>
      <c r="I84" s="188">
        <f>opex_orig!I84</f>
        <v>1.29E-8</v>
      </c>
      <c r="J84" s="188">
        <f>opex_orig!J84</f>
        <v>3.3499999999999998E-9</v>
      </c>
      <c r="K84" s="188">
        <f>opex_orig!K84</f>
        <v>4.25E-9</v>
      </c>
      <c r="L84" s="188">
        <f>opex_orig!L84</f>
        <v>3.7100000000000001E-8</v>
      </c>
      <c r="M84" s="188">
        <f>opex_orig!M84</f>
        <v>1.6899999999999999E-7</v>
      </c>
      <c r="N84" s="188">
        <f>opex_orig!N84</f>
        <v>3.7E-8</v>
      </c>
      <c r="O84" s="188">
        <f>opex_orig!O84</f>
        <v>3.3000000000000002E-9</v>
      </c>
      <c r="P84" s="188">
        <f>opex_orig!P84</f>
        <v>1.8199999999999999E-7</v>
      </c>
      <c r="Q84" s="188">
        <f>opex_orig!Q84</f>
        <v>1.01E-7</v>
      </c>
      <c r="R84" s="188">
        <f>opex_orig!R84</f>
        <v>1.1000000000000001E-6</v>
      </c>
      <c r="S84" s="188">
        <f>opex_orig!S84</f>
        <v>1.68E-7</v>
      </c>
      <c r="T84" s="188">
        <f>opex_orig!T84</f>
        <v>1.7700000000000001E-7</v>
      </c>
      <c r="U84" s="188">
        <f>opex_orig!U84</f>
        <v>3.8299999999999999E-8</v>
      </c>
      <c r="V84" s="188">
        <f>opex_orig!V84</f>
        <v>4.7500000000000002E-8</v>
      </c>
      <c r="W84" s="188">
        <f>opex_orig!W84</f>
        <v>2.22E-7</v>
      </c>
      <c r="X84" s="188">
        <f>opex_orig!X84</f>
        <v>2.0100000000000001E-8</v>
      </c>
      <c r="Y84" s="188">
        <f>opex_orig!Y84</f>
        <v>2.4100000000000001E-8</v>
      </c>
      <c r="Z84" s="188">
        <f>opex_orig!Z84</f>
        <v>4.03E-7</v>
      </c>
      <c r="AA84" s="188">
        <f>opex_orig!AA84</f>
        <v>8.5199999999999995E-8</v>
      </c>
      <c r="AB84" s="188">
        <f>opex_orig!$AB84</f>
        <v>8.6035397783405394E-8</v>
      </c>
      <c r="AC84" s="188">
        <f>opex_orig!$AB84</f>
        <v>8.6035397783405394E-8</v>
      </c>
      <c r="AD84" s="188">
        <f>opex_orig!$AB84</f>
        <v>8.6035397783405394E-8</v>
      </c>
      <c r="AE84" s="188">
        <f>opex_orig!$AC84</f>
        <v>8.4765890244920008E-9</v>
      </c>
      <c r="AF84" s="188">
        <f>opex_orig!$AD84</f>
        <v>7.1281056474228395E-8</v>
      </c>
      <c r="AG84" s="188">
        <f>opex_orig!$AD84</f>
        <v>7.1281056474228395E-8</v>
      </c>
      <c r="AH84" s="188">
        <f>opex_orig!$AD84</f>
        <v>7.1281056474228395E-8</v>
      </c>
      <c r="AI84" s="188">
        <f>opex_orig!AE84</f>
        <v>1.35E-8</v>
      </c>
      <c r="AJ84" s="188">
        <f>opex_orig!AF84</f>
        <v>4.4399999999999998E-6</v>
      </c>
      <c r="AK84" s="188">
        <f>opex_orig!AG84</f>
        <v>2.3099999999999999E-6</v>
      </c>
      <c r="AL84" s="188">
        <f>opex_orig!AH84</f>
        <v>5.5099999999999997E-8</v>
      </c>
      <c r="AM84" s="188">
        <f>opex_orig!AI84</f>
        <v>2.1799999999999999E-7</v>
      </c>
      <c r="AN84" s="188">
        <f>opex_orig!AJ84</f>
        <v>6.6100000000000003E-8</v>
      </c>
      <c r="AO84" s="188">
        <f>opex_orig!AK84</f>
        <v>1.2800000000000001E-7</v>
      </c>
      <c r="AP84" s="188">
        <f>opex_orig!$AL84</f>
        <v>7.8836990771720995E-8</v>
      </c>
      <c r="AQ84" s="188">
        <f>opex_orig!$AL84</f>
        <v>7.8836990771720995E-8</v>
      </c>
      <c r="AR84" s="188">
        <f>opex_orig!$AL84</f>
        <v>7.8836990771720995E-8</v>
      </c>
      <c r="AS84" s="188">
        <f>opex_orig!$AM84</f>
        <v>9.2304704422628905E-8</v>
      </c>
      <c r="AT84" s="188">
        <f>opex_orig!AN84</f>
        <v>1.34E-5</v>
      </c>
      <c r="AU84" s="188">
        <f>opex_orig!$AO84</f>
        <v>3.6702367043394698E-4</v>
      </c>
      <c r="AV84" s="188">
        <f>opex_orig!$AO84</f>
        <v>3.6702367043394698E-4</v>
      </c>
      <c r="AW84" s="188">
        <f>opex_orig!$AO84</f>
        <v>3.6702367043394698E-4</v>
      </c>
      <c r="AX84" s="188">
        <f>opex_orig!$AP84</f>
        <v>3.7492763881250398E-4</v>
      </c>
      <c r="AY84" s="188">
        <f>opex_orig!AQ84</f>
        <v>1.3159700000000001E-4</v>
      </c>
      <c r="AZ84" s="188">
        <f>opex_orig!AR84</f>
        <v>0</v>
      </c>
      <c r="BA84" s="188">
        <f>opex_orig!AS84</f>
        <v>2.2452610000000001E-3</v>
      </c>
      <c r="BB84" s="188">
        <f>opex_orig!AT84</f>
        <v>2.4236399999999999E-3</v>
      </c>
      <c r="BC84" s="188">
        <f>opex_orig!AU84</f>
        <v>3.1300000000000002E-8</v>
      </c>
      <c r="BD84" s="188">
        <f>opex_orig!AV84</f>
        <v>2.4900000000000001E-8</v>
      </c>
      <c r="BE84" s="188">
        <f>opex_orig!AW84</f>
        <v>1.8552099999999999E-3</v>
      </c>
      <c r="BF84" s="188">
        <f>opex_orig!AX84</f>
        <v>0</v>
      </c>
      <c r="BG84" s="188">
        <f>opex_orig!AY84</f>
        <v>8.4431990000000002E-3</v>
      </c>
      <c r="BH84" s="188">
        <f>opex_orig!AZ84</f>
        <v>0</v>
      </c>
      <c r="BI84" s="188">
        <f>opex_orig!BA84</f>
        <v>7.9186000000000002E-4</v>
      </c>
      <c r="BJ84" s="188">
        <f>opex_orig!BB84</f>
        <v>1.17924E-4</v>
      </c>
      <c r="BK84" s="188">
        <f>opex_orig!BC84</f>
        <v>1.05295E-4</v>
      </c>
      <c r="BL84" s="188">
        <f>opex_orig!BD84</f>
        <v>1.53E-6</v>
      </c>
      <c r="BM84" s="188">
        <f>opex_orig!BE84</f>
        <v>9.1500000000000001E-5</v>
      </c>
      <c r="BN84" s="188">
        <f>opex_orig!BF84</f>
        <v>1.0100000000000001E-6</v>
      </c>
      <c r="BO84" s="188">
        <f>opex_orig!BG84</f>
        <v>6.0000000000000002E-5</v>
      </c>
      <c r="BP84" s="188">
        <f>opex_orig!$BH84</f>
        <v>7.0829288802974696E-6</v>
      </c>
      <c r="BQ84" s="188">
        <f>opex_orig!$BH84</f>
        <v>7.0829288802974696E-6</v>
      </c>
      <c r="BR84" s="188">
        <f>opex_orig!BI84</f>
        <v>8.3999999999999995E-5</v>
      </c>
      <c r="BS84" s="188">
        <f>opex_orig!BJ84</f>
        <v>3.38628E-4</v>
      </c>
      <c r="BT84" s="188">
        <f>opex_orig!BK84</f>
        <v>5.0250999999999996E-4</v>
      </c>
      <c r="BU84" s="188">
        <f>opex_orig!BL84</f>
        <v>0</v>
      </c>
      <c r="BV84" s="27">
        <f>opex_orig!BM84</f>
        <v>2.0712417064868401E-7</v>
      </c>
      <c r="BW84" s="27">
        <f>opex_orig!BN84</f>
        <v>2.8328601953452798E-7</v>
      </c>
      <c r="BX84" s="27">
        <f>opex_orig!BO84</f>
        <v>3.89805725116517E-8</v>
      </c>
      <c r="BY84" s="27">
        <f>opex_orig!BP84</f>
        <v>4.6851485057264701E-8</v>
      </c>
      <c r="BZ84" s="27">
        <f>opex_orig!BQ84</f>
        <v>3.3206537214747597E-8</v>
      </c>
      <c r="CA84" s="27">
        <f>opex_orig!BR84</f>
        <v>7.8604909072974002E-8</v>
      </c>
      <c r="CB84" s="27">
        <f>opex_orig!BS84</f>
        <v>2.4697540768162898E-7</v>
      </c>
      <c r="CC84" s="27">
        <f>opex_orig!BT84</f>
        <v>9.53467422533602E-7</v>
      </c>
      <c r="CD84" s="27">
        <f>opex_orig!BU84</f>
        <v>2.1324305506285199E-8</v>
      </c>
      <c r="CE84" s="27">
        <f>opex_orig!BV84</f>
        <v>2.1324305506285199E-8</v>
      </c>
      <c r="CF84" s="27">
        <f>opex_orig!BW84</f>
        <v>1.71849031988797E-8</v>
      </c>
      <c r="CG84" s="27">
        <f>opex_orig!BX84</f>
        <v>3.08678492730288E-7</v>
      </c>
      <c r="CH84" s="27">
        <f>opex_orig!BY84</f>
        <v>2.05415151076479E-9</v>
      </c>
      <c r="CI84" s="27">
        <f>opex_orig!BZ84</f>
        <v>1.8300000000000001E-7</v>
      </c>
      <c r="CJ84" s="27">
        <f>opex_orig!CA84</f>
        <v>1.3899999999999999E-7</v>
      </c>
      <c r="CK84" s="27">
        <f>opex_orig!CB84</f>
        <v>4.3299999999999997E-8</v>
      </c>
      <c r="CL84" s="27">
        <f>opex_orig!CC84</f>
        <v>4.2699999999999999E-8</v>
      </c>
      <c r="CM84" s="27">
        <f>opex_orig!CD84</f>
        <v>6.1799999999999995E-7</v>
      </c>
      <c r="CN84" s="27">
        <f>opex_orig!CE84</f>
        <v>1.6299999999999999E-7</v>
      </c>
      <c r="CO84" s="27">
        <f>opex_orig!CF84</f>
        <v>6.3199999999999996E-6</v>
      </c>
      <c r="CP84" s="27">
        <f>opex_orig!CG84</f>
        <v>6.4300000000000003E-7</v>
      </c>
    </row>
    <row r="85" spans="1:94" x14ac:dyDescent="0.25">
      <c r="A85" s="5" t="s">
        <v>189</v>
      </c>
      <c r="B85" s="2" t="s">
        <v>188</v>
      </c>
      <c r="C85" s="1" t="s">
        <v>329</v>
      </c>
      <c r="D85" s="188">
        <f>opex_orig!D85</f>
        <v>8.5400000000000002E-5</v>
      </c>
      <c r="E85" s="188">
        <f>opex_orig!E85</f>
        <v>4.8099999999999997E-5</v>
      </c>
      <c r="F85" s="188">
        <f>opex_orig!F85</f>
        <v>3.3699999999999999E-5</v>
      </c>
      <c r="G85" s="188">
        <f>opex_orig!G85</f>
        <v>4.9200000000000003E-6</v>
      </c>
      <c r="H85" s="188">
        <f>opex_orig!H85</f>
        <v>8.8300000000000002E-6</v>
      </c>
      <c r="I85" s="188">
        <f>opex_orig!I85</f>
        <v>1.14082E-4</v>
      </c>
      <c r="J85" s="188">
        <f>opex_orig!J85</f>
        <v>1.33392E-4</v>
      </c>
      <c r="K85" s="188">
        <f>opex_orig!K85</f>
        <v>1.5500000000000001E-5</v>
      </c>
      <c r="L85" s="188">
        <f>opex_orig!L85</f>
        <v>9.4400000000000004E-5</v>
      </c>
      <c r="M85" s="188">
        <f>opex_orig!M85</f>
        <v>2.7483500000000002E-4</v>
      </c>
      <c r="N85" s="188">
        <f>opex_orig!N85</f>
        <v>1.483E-4</v>
      </c>
      <c r="O85" s="188">
        <f>opex_orig!O85</f>
        <v>1.194227E-3</v>
      </c>
      <c r="P85" s="188">
        <f>opex_orig!P85</f>
        <v>1.98679E-4</v>
      </c>
      <c r="Q85" s="188">
        <f>opex_orig!Q85</f>
        <v>9.59E-5</v>
      </c>
      <c r="R85" s="188">
        <f>opex_orig!R85</f>
        <v>9.8200000000000002E-5</v>
      </c>
      <c r="S85" s="188">
        <f>opex_orig!S85</f>
        <v>2.9986699999999999E-4</v>
      </c>
      <c r="T85" s="188">
        <f>opex_orig!T85</f>
        <v>5.1825000000000005E-4</v>
      </c>
      <c r="U85" s="188">
        <f>opex_orig!U85</f>
        <v>3.3523E-4</v>
      </c>
      <c r="V85" s="188">
        <f>opex_orig!V85</f>
        <v>3.4419600000000001E-4</v>
      </c>
      <c r="W85" s="188">
        <f>opex_orig!W85</f>
        <v>3.59489E-4</v>
      </c>
      <c r="X85" s="188">
        <f>opex_orig!X85</f>
        <v>7.0500000000000006E-5</v>
      </c>
      <c r="Y85" s="188">
        <f>opex_orig!Y85</f>
        <v>6.4455899999999995E-4</v>
      </c>
      <c r="Z85" s="188">
        <f>opex_orig!Z85</f>
        <v>6.1211900000000005E-4</v>
      </c>
      <c r="AA85" s="188">
        <f>opex_orig!AA85</f>
        <v>8.9073199999999998E-4</v>
      </c>
      <c r="AB85" s="188">
        <f>opex_orig!$AB85</f>
        <v>7.5522760802157696E-5</v>
      </c>
      <c r="AC85" s="188">
        <f>opex_orig!$AB85</f>
        <v>7.5522760802157696E-5</v>
      </c>
      <c r="AD85" s="188">
        <f>opex_orig!$AB85</f>
        <v>7.5522760802157696E-5</v>
      </c>
      <c r="AE85" s="188">
        <f>opex_orig!$AC85</f>
        <v>1.92548061627304E-4</v>
      </c>
      <c r="AF85" s="188">
        <f>opex_orig!$AD85</f>
        <v>2.21789908323414E-4</v>
      </c>
      <c r="AG85" s="188">
        <f>opex_orig!$AD85</f>
        <v>2.21789908323414E-4</v>
      </c>
      <c r="AH85" s="188">
        <f>opex_orig!$AD85</f>
        <v>2.21789908323414E-4</v>
      </c>
      <c r="AI85" s="188">
        <f>opex_orig!AE85</f>
        <v>1.82282E-4</v>
      </c>
      <c r="AJ85" s="188">
        <f>opex_orig!AF85</f>
        <v>5.9412899999999999E-4</v>
      </c>
      <c r="AK85" s="188">
        <f>opex_orig!AG85</f>
        <v>1.005064E-3</v>
      </c>
      <c r="AL85" s="188">
        <f>opex_orig!AH85</f>
        <v>2.8414299999999999E-4</v>
      </c>
      <c r="AM85" s="188">
        <f>opex_orig!AI85</f>
        <v>4.54473E-4</v>
      </c>
      <c r="AN85" s="188">
        <f>opex_orig!AJ85</f>
        <v>4.0474400000000001E-4</v>
      </c>
      <c r="AO85" s="188">
        <f>opex_orig!AK85</f>
        <v>4.4417700000000003E-4</v>
      </c>
      <c r="AP85" s="188">
        <f>opex_orig!$AL85</f>
        <v>1.43372700206412E-3</v>
      </c>
      <c r="AQ85" s="188">
        <f>opex_orig!$AL85</f>
        <v>1.43372700206412E-3</v>
      </c>
      <c r="AR85" s="188">
        <f>opex_orig!$AL85</f>
        <v>1.43372700206412E-3</v>
      </c>
      <c r="AS85" s="188">
        <f>opex_orig!$AM85</f>
        <v>1.3148948221556099E-3</v>
      </c>
      <c r="AT85" s="188">
        <f>opex_orig!AN85</f>
        <v>1.335288E-3</v>
      </c>
      <c r="AU85" s="244">
        <f>opex_concordance!M591</f>
        <v>6.1665820241484093E-2</v>
      </c>
      <c r="AV85" s="244">
        <f>opex_concordance!M637</f>
        <v>6.4670378368284154E-2</v>
      </c>
      <c r="AW85" s="244">
        <f>opex_concordance!M683</f>
        <v>5.5483330915377597E-2</v>
      </c>
      <c r="AX85" s="188">
        <f>opex_orig!$AP85</f>
        <v>7.2741771567330402E-2</v>
      </c>
      <c r="AY85" s="188">
        <f>opex_orig!AQ85</f>
        <v>1.2459138999999999E-2</v>
      </c>
      <c r="AZ85" s="188">
        <f>opex_orig!AR85</f>
        <v>0</v>
      </c>
      <c r="BA85" s="188">
        <f>opex_orig!AS85</f>
        <v>8.3381050000000002E-3</v>
      </c>
      <c r="BB85" s="188">
        <f>opex_orig!AT85</f>
        <v>6.876269E-3</v>
      </c>
      <c r="BC85" s="188">
        <f>opex_orig!AU85</f>
        <v>1.9055020000000001E-3</v>
      </c>
      <c r="BD85" s="188">
        <f>opex_orig!AV85</f>
        <v>1.2186230000000001E-3</v>
      </c>
      <c r="BE85" s="188">
        <f>opex_orig!AW85</f>
        <v>3.7425190000000001E-3</v>
      </c>
      <c r="BF85" s="188">
        <f>opex_orig!AX85</f>
        <v>0</v>
      </c>
      <c r="BG85" s="188">
        <f>opex_orig!AY85</f>
        <v>4.5298500000000002E-3</v>
      </c>
      <c r="BH85" s="188">
        <f>opex_orig!AZ85</f>
        <v>0</v>
      </c>
      <c r="BI85" s="188">
        <f>opex_orig!BA85</f>
        <v>7.3945383000000003E-2</v>
      </c>
      <c r="BJ85" s="188">
        <f>opex_orig!BB85</f>
        <v>2.0617785E-2</v>
      </c>
      <c r="BK85" s="188">
        <f>opex_orig!BC85</f>
        <v>4.2783024000000003E-2</v>
      </c>
      <c r="BL85" s="188">
        <f>opex_orig!BD85</f>
        <v>3.9954900000000002E-4</v>
      </c>
      <c r="BM85" s="188">
        <f>opex_orig!BE85</f>
        <v>5.3924523000000002E-2</v>
      </c>
      <c r="BN85" s="188">
        <f>opex_orig!BF85</f>
        <v>3.6065700000000001E-4</v>
      </c>
      <c r="BO85" s="188">
        <f>opex_orig!BG85</f>
        <v>7.310782E-3</v>
      </c>
      <c r="BP85" s="244">
        <f>opex_concordance!M89</f>
        <v>1.4769130736804663E-2</v>
      </c>
      <c r="BQ85" s="244">
        <f>opex_concordance!M132</f>
        <v>1.0275869979605595E-2</v>
      </c>
      <c r="BR85" s="188">
        <f>opex_orig!BI85</f>
        <v>1.9334611000000002E-2</v>
      </c>
      <c r="BS85" s="188">
        <f>opex_orig!BJ85</f>
        <v>4.2557769999999997E-3</v>
      </c>
      <c r="BT85" s="188">
        <f>opex_orig!BK85</f>
        <v>2.1621950000000001E-2</v>
      </c>
      <c r="BU85" s="188">
        <f>opex_orig!BL85</f>
        <v>0</v>
      </c>
      <c r="BV85" s="27">
        <f>opex_orig!BM85</f>
        <v>1.9249048856374699E-4</v>
      </c>
      <c r="BW85" s="27">
        <f>opex_orig!BN85</f>
        <v>3.7767319476146398E-4</v>
      </c>
      <c r="BX85" s="27">
        <f>opex_orig!BO85</f>
        <v>6.3179812383657103E-5</v>
      </c>
      <c r="BY85" s="27">
        <f>opex_orig!BP85</f>
        <v>5.8495442033825303E-5</v>
      </c>
      <c r="BZ85" s="27">
        <f>opex_orig!BQ85</f>
        <v>4.9104388573427899E-5</v>
      </c>
      <c r="CA85" s="27">
        <f>opex_orig!BR85</f>
        <v>7.1996741179571999E-4</v>
      </c>
      <c r="CB85" s="27">
        <f>opex_orig!BS85</f>
        <v>3.04596919345065E-4</v>
      </c>
      <c r="CC85" s="27">
        <f>opex_orig!BT85</f>
        <v>6.7430035739826297E-4</v>
      </c>
      <c r="CD85" s="27">
        <f>opex_orig!BU85</f>
        <v>2.34081359267076E-5</v>
      </c>
      <c r="CE85" s="27">
        <f>opex_orig!BV85</f>
        <v>2.3408135926707702E-5</v>
      </c>
      <c r="CF85" s="27">
        <f>opex_orig!BW85</f>
        <v>6.0319627475132003E-5</v>
      </c>
      <c r="CG85" s="27">
        <f>opex_orig!BX85</f>
        <v>1.1007546865164701E-5</v>
      </c>
      <c r="CH85" s="27">
        <f>opex_orig!BY85</f>
        <v>1.7059101685800998E-5</v>
      </c>
      <c r="CI85" s="27">
        <f>opex_orig!BZ85</f>
        <v>1.4079000000000001E-4</v>
      </c>
      <c r="CJ85" s="27">
        <f>opex_orig!CA85</f>
        <v>2.3855799999999999E-4</v>
      </c>
      <c r="CK85" s="27">
        <f>opex_orig!CB85</f>
        <v>2.1511600000000001E-4</v>
      </c>
      <c r="CL85" s="27">
        <f>opex_orig!CC85</f>
        <v>7.7679300000000001E-4</v>
      </c>
      <c r="CM85" s="27">
        <f>opex_orig!CD85</f>
        <v>4.2489399999999999E-4</v>
      </c>
      <c r="CN85" s="27">
        <f>opex_orig!CE85</f>
        <v>1.282369E-3</v>
      </c>
      <c r="CO85" s="27">
        <f>opex_orig!CF85</f>
        <v>3.767065E-3</v>
      </c>
      <c r="CP85" s="27">
        <f>opex_orig!CG85</f>
        <v>9.9699999999999998E-5</v>
      </c>
    </row>
    <row r="86" spans="1:94" x14ac:dyDescent="0.25">
      <c r="A86" s="5" t="s">
        <v>191</v>
      </c>
      <c r="B86" s="2" t="s">
        <v>190</v>
      </c>
      <c r="C86" s="1" t="s">
        <v>329</v>
      </c>
      <c r="D86" s="188">
        <f>opex_orig!D86</f>
        <v>3.8593569999999999E-3</v>
      </c>
      <c r="E86" s="188">
        <f>opex_orig!E86</f>
        <v>1.912307E-3</v>
      </c>
      <c r="F86" s="188">
        <f>opex_orig!F86</f>
        <v>1.1821150000000001E-3</v>
      </c>
      <c r="G86" s="188">
        <f>opex_orig!G86</f>
        <v>1.9836800000000001E-4</v>
      </c>
      <c r="H86" s="188">
        <f>opex_orig!H86</f>
        <v>3.6166600000000002E-4</v>
      </c>
      <c r="I86" s="188">
        <f>opex_orig!I86</f>
        <v>5.0774749999999997E-3</v>
      </c>
      <c r="J86" s="188">
        <f>opex_orig!J86</f>
        <v>3.993618E-3</v>
      </c>
      <c r="K86" s="188">
        <f>opex_orig!K86</f>
        <v>6.0698999999999996E-4</v>
      </c>
      <c r="L86" s="188">
        <f>opex_orig!L86</f>
        <v>2.6696020000000001E-3</v>
      </c>
      <c r="M86" s="188">
        <f>opex_orig!M86</f>
        <v>6.2216260000000001E-3</v>
      </c>
      <c r="N86" s="188">
        <f>opex_orig!N86</f>
        <v>3.8385379999999998E-3</v>
      </c>
      <c r="O86" s="188">
        <f>opex_orig!O86</f>
        <v>3.181087E-3</v>
      </c>
      <c r="P86" s="188">
        <f>opex_orig!P86</f>
        <v>1.0545827000000001E-2</v>
      </c>
      <c r="Q86" s="188">
        <f>opex_orig!Q86</f>
        <v>3.9442119999999999E-3</v>
      </c>
      <c r="R86" s="188">
        <f>opex_orig!R86</f>
        <v>3.3537440000000001E-3</v>
      </c>
      <c r="S86" s="188">
        <f>opex_orig!S86</f>
        <v>1.3905735000000001E-2</v>
      </c>
      <c r="T86" s="188">
        <f>opex_orig!T86</f>
        <v>1.4978831E-2</v>
      </c>
      <c r="U86" s="188">
        <f>opex_orig!U86</f>
        <v>1.090173E-2</v>
      </c>
      <c r="V86" s="188">
        <f>opex_orig!V86</f>
        <v>1.2988553999999999E-2</v>
      </c>
      <c r="W86" s="188">
        <f>opex_orig!W86</f>
        <v>9.2983479999999997E-3</v>
      </c>
      <c r="X86" s="188">
        <f>opex_orig!X86</f>
        <v>1.116304E-3</v>
      </c>
      <c r="Y86" s="188">
        <f>opex_orig!Y86</f>
        <v>3.5476290000000001E-3</v>
      </c>
      <c r="Z86" s="188">
        <f>opex_orig!Z86</f>
        <v>5.1053720000000004E-3</v>
      </c>
      <c r="AA86" s="188">
        <f>opex_orig!AA86</f>
        <v>5.3654151999999997E-2</v>
      </c>
      <c r="AB86" s="188">
        <f>opex_orig!$AB86</f>
        <v>8.8062495485758297E-4</v>
      </c>
      <c r="AC86" s="188">
        <f>opex_orig!$AB86</f>
        <v>8.8062495485758297E-4</v>
      </c>
      <c r="AD86" s="188">
        <f>opex_orig!$AB86</f>
        <v>8.8062495485758297E-4</v>
      </c>
      <c r="AE86" s="188">
        <f>opex_orig!$AC86</f>
        <v>3.62569614846181E-3</v>
      </c>
      <c r="AF86" s="188">
        <f>opex_orig!$AD86</f>
        <v>1.4774513054240199E-3</v>
      </c>
      <c r="AG86" s="188">
        <f>opex_orig!$AD86</f>
        <v>1.4774513054240199E-3</v>
      </c>
      <c r="AH86" s="188">
        <f>opex_orig!$AD86</f>
        <v>1.4774513054240199E-3</v>
      </c>
      <c r="AI86" s="188">
        <f>opex_orig!AE86</f>
        <v>1.318261E-3</v>
      </c>
      <c r="AJ86" s="188">
        <f>opex_orig!AF86</f>
        <v>2.1080324000000001E-2</v>
      </c>
      <c r="AK86" s="188">
        <f>opex_orig!AG86</f>
        <v>1.8742182E-2</v>
      </c>
      <c r="AL86" s="188">
        <f>opex_orig!AH86</f>
        <v>8.2674250000000001E-3</v>
      </c>
      <c r="AM86" s="188">
        <f>opex_orig!AI86</f>
        <v>1.2092543000000001E-2</v>
      </c>
      <c r="AN86" s="188">
        <f>opex_orig!AJ86</f>
        <v>9.9806730000000007E-3</v>
      </c>
      <c r="AO86" s="188">
        <f>opex_orig!AK86</f>
        <v>6.9467640000000002E-3</v>
      </c>
      <c r="AP86" s="341">
        <f>opex_concordance!M442</f>
        <v>1.06613766790528E-2</v>
      </c>
      <c r="AQ86" s="341">
        <f>opex_concordance!M496</f>
        <v>8.5801753684382129E-3</v>
      </c>
      <c r="AR86" s="341">
        <f>opex_concordance!M550</f>
        <v>9.4159926481281134E-3</v>
      </c>
      <c r="AS86" s="188">
        <f>opex_orig!$AM86</f>
        <v>9.8672428912474491E-3</v>
      </c>
      <c r="AT86" s="188">
        <f>opex_orig!AN86</f>
        <v>1.5378938E-2</v>
      </c>
      <c r="AU86" s="341">
        <f>opex_concordance!M565</f>
        <v>8.6184981834572197E-2</v>
      </c>
      <c r="AV86" s="341">
        <f>opex_concordance!M611</f>
        <v>8.6861715379470905E-2</v>
      </c>
      <c r="AW86" s="341">
        <f>opex_concordance!M657</f>
        <v>7.6687970607205544E-2</v>
      </c>
      <c r="AX86" s="188">
        <f>opex_orig!$AP86</f>
        <v>9.8934798526672196E-2</v>
      </c>
      <c r="AY86" s="188">
        <f>opex_orig!AQ86</f>
        <v>9.6366254999999998E-2</v>
      </c>
      <c r="AZ86" s="188">
        <f>opex_orig!AR86</f>
        <v>0</v>
      </c>
      <c r="BA86" s="188">
        <f>opex_orig!AS86</f>
        <v>8.5758824999999997E-2</v>
      </c>
      <c r="BB86" s="188">
        <f>opex_orig!AT86</f>
        <v>8.3580156000000003E-2</v>
      </c>
      <c r="BC86" s="188">
        <f>opex_orig!AU86</f>
        <v>1.9340386000000001E-2</v>
      </c>
      <c r="BD86" s="188">
        <f>opex_orig!AV86</f>
        <v>1.4899427E-2</v>
      </c>
      <c r="BE86" s="188">
        <f>opex_orig!AW86</f>
        <v>5.2399528000000001E-2</v>
      </c>
      <c r="BF86" s="188">
        <f>opex_orig!AX86</f>
        <v>0</v>
      </c>
      <c r="BG86" s="188">
        <f>opex_orig!AY86</f>
        <v>5.1945009E-2</v>
      </c>
      <c r="BH86" s="188">
        <f>opex_orig!AZ86</f>
        <v>0</v>
      </c>
      <c r="BI86" s="188">
        <f>opex_orig!BA86</f>
        <v>0.16032344600000001</v>
      </c>
      <c r="BJ86" s="188">
        <f>opex_orig!BB86</f>
        <v>0.32645389200000002</v>
      </c>
      <c r="BK86" s="188">
        <f>opex_orig!BC86</f>
        <v>0.183599815</v>
      </c>
      <c r="BL86" s="188">
        <f>opex_orig!BD86</f>
        <v>5.8480720000000002E-3</v>
      </c>
      <c r="BM86" s="188">
        <f>opex_orig!BE86</f>
        <v>5.7247841000000001E-2</v>
      </c>
      <c r="BN86" s="188">
        <f>opex_orig!BF86</f>
        <v>6.9208070000000002E-3</v>
      </c>
      <c r="BO86" s="188">
        <f>opex_orig!BG86</f>
        <v>2.1999399999999999E-2</v>
      </c>
      <c r="BP86" s="243">
        <f>opex_concordance!M90</f>
        <v>2.2467585089829233E-2</v>
      </c>
      <c r="BQ86" s="243">
        <f>opex_concordance!M133</f>
        <v>1.5632198485688302E-2</v>
      </c>
      <c r="BR86" s="188">
        <f>opex_orig!BI86</f>
        <v>1.8108604E-2</v>
      </c>
      <c r="BS86" s="188">
        <f>opex_orig!BJ86</f>
        <v>6.0179692E-2</v>
      </c>
      <c r="BT86" s="188">
        <f>opex_orig!BK86</f>
        <v>1.0796735999999999E-2</v>
      </c>
      <c r="BU86" s="188">
        <f>opex_orig!BL86</f>
        <v>0</v>
      </c>
      <c r="BV86" s="27">
        <f>opex_orig!BM86</f>
        <v>2.87680237992269E-3</v>
      </c>
      <c r="BW86" s="27">
        <f>opex_orig!BN86</f>
        <v>5.4951852727337701E-3</v>
      </c>
      <c r="BX86" s="27">
        <f>opex_orig!BO86</f>
        <v>1.4139459840396701E-3</v>
      </c>
      <c r="BY86" s="27">
        <f>opex_orig!BP86</f>
        <v>1.03662810863545E-3</v>
      </c>
      <c r="BZ86" s="27">
        <f>opex_orig!BQ86</f>
        <v>9.9895795080199895E-4</v>
      </c>
      <c r="CA86" s="27">
        <f>opex_orig!BR86</f>
        <v>3.1294821900973899E-3</v>
      </c>
      <c r="CB86" s="27">
        <f>opex_orig!BS86</f>
        <v>3.23948168443902E-3</v>
      </c>
      <c r="CC86" s="27">
        <f>opex_orig!BT86</f>
        <v>4.6281821114931498E-4</v>
      </c>
      <c r="CD86" s="27">
        <f>opex_orig!BU86</f>
        <v>9.6843697588147202E-4</v>
      </c>
      <c r="CE86" s="27">
        <f>opex_orig!BV86</f>
        <v>9.6843697588147495E-4</v>
      </c>
      <c r="CF86" s="27">
        <f>opex_orig!BW86</f>
        <v>5.9066432768137504E-3</v>
      </c>
      <c r="CG86" s="27">
        <f>opex_orig!BX86</f>
        <v>1.2295645877325901E-4</v>
      </c>
      <c r="CH86" s="27">
        <f>opex_orig!BY86</f>
        <v>8.25421684622216E-5</v>
      </c>
      <c r="CI86" s="27">
        <f>opex_orig!BZ86</f>
        <v>2.440472E-3</v>
      </c>
      <c r="CJ86" s="27">
        <f>opex_orig!CA86</f>
        <v>1.620256E-3</v>
      </c>
      <c r="CK86" s="27">
        <f>opex_orig!CB86</f>
        <v>1.765352E-3</v>
      </c>
      <c r="CL86" s="27">
        <f>opex_orig!CC86</f>
        <v>7.1565400000000003E-4</v>
      </c>
      <c r="CM86" s="27">
        <f>opex_orig!CD86</f>
        <v>7.107744E-3</v>
      </c>
      <c r="CN86" s="27">
        <f>opex_orig!CE86</f>
        <v>4.0076549999999997E-3</v>
      </c>
      <c r="CO86" s="27">
        <f>opex_orig!CF86</f>
        <v>7.63622E-3</v>
      </c>
      <c r="CP86" s="27">
        <f>opex_orig!CG86</f>
        <v>5.1541399999999995E-4</v>
      </c>
    </row>
    <row r="87" spans="1:94" x14ac:dyDescent="0.25">
      <c r="A87" s="5" t="s">
        <v>193</v>
      </c>
      <c r="B87" s="2" t="s">
        <v>192</v>
      </c>
      <c r="C87" s="1" t="s">
        <v>329</v>
      </c>
      <c r="D87" s="188">
        <f>opex_orig!D87</f>
        <v>1.8340940000000001E-3</v>
      </c>
      <c r="E87" s="188">
        <f>opex_orig!E87</f>
        <v>5.6154100000000004E-4</v>
      </c>
      <c r="F87" s="188">
        <f>opex_orig!F87</f>
        <v>4.5557799999999999E-4</v>
      </c>
      <c r="G87" s="188">
        <f>opex_orig!G87</f>
        <v>9.2399999999999996E-5</v>
      </c>
      <c r="H87" s="188">
        <f>opex_orig!H87</f>
        <v>1.47539E-4</v>
      </c>
      <c r="I87" s="188">
        <f>opex_orig!I87</f>
        <v>1.0723830000000001E-3</v>
      </c>
      <c r="J87" s="188">
        <f>opex_orig!J87</f>
        <v>1.545804E-3</v>
      </c>
      <c r="K87" s="188">
        <f>opex_orig!K87</f>
        <v>2.9250100000000002E-4</v>
      </c>
      <c r="L87" s="188">
        <f>opex_orig!L87</f>
        <v>9.2884700000000001E-4</v>
      </c>
      <c r="M87" s="188">
        <f>opex_orig!M87</f>
        <v>2.8490189999999999E-3</v>
      </c>
      <c r="N87" s="188">
        <f>opex_orig!N87</f>
        <v>1.45874E-3</v>
      </c>
      <c r="O87" s="188">
        <f>opex_orig!O87</f>
        <v>1.525656E-3</v>
      </c>
      <c r="P87" s="188">
        <f>opex_orig!P87</f>
        <v>3.6125739999999999E-3</v>
      </c>
      <c r="Q87" s="188">
        <f>opex_orig!Q87</f>
        <v>1.1219800000000001E-3</v>
      </c>
      <c r="R87" s="188">
        <f>opex_orig!R87</f>
        <v>1.33091E-3</v>
      </c>
      <c r="S87" s="188">
        <f>opex_orig!S87</f>
        <v>8.5429080000000001E-3</v>
      </c>
      <c r="T87" s="188">
        <f>opex_orig!T87</f>
        <v>8.9727379999999992E-3</v>
      </c>
      <c r="U87" s="188">
        <f>opex_orig!U87</f>
        <v>7.0094370000000003E-3</v>
      </c>
      <c r="V87" s="188">
        <f>opex_orig!V87</f>
        <v>9.2423190000000006E-3</v>
      </c>
      <c r="W87" s="188">
        <f>opex_orig!W87</f>
        <v>4.6881240000000001E-3</v>
      </c>
      <c r="X87" s="188">
        <f>opex_orig!X87</f>
        <v>3.060185E-3</v>
      </c>
      <c r="Y87" s="188">
        <f>opex_orig!Y87</f>
        <v>1.089788E-3</v>
      </c>
      <c r="Z87" s="188">
        <f>opex_orig!Z87</f>
        <v>4.5378809999999997E-3</v>
      </c>
      <c r="AA87" s="188">
        <f>opex_orig!AA87</f>
        <v>7.0657080000000004E-3</v>
      </c>
      <c r="AB87" s="188">
        <f>opex_orig!$AB87</f>
        <v>1.2975767643744101E-3</v>
      </c>
      <c r="AC87" s="188">
        <f>opex_orig!$AB87</f>
        <v>1.2975767643744101E-3</v>
      </c>
      <c r="AD87" s="188">
        <f>opex_orig!$AB87</f>
        <v>1.2975767643744101E-3</v>
      </c>
      <c r="AE87" s="188">
        <f>opex_orig!$AC87</f>
        <v>2.8694198441743301E-3</v>
      </c>
      <c r="AF87" s="188">
        <f>opex_orig!$AD87</f>
        <v>4.3430533472242801E-3</v>
      </c>
      <c r="AG87" s="188">
        <f>opex_orig!$AD87</f>
        <v>4.3430533472242801E-3</v>
      </c>
      <c r="AH87" s="188">
        <f>opex_orig!$AD87</f>
        <v>4.3430533472242801E-3</v>
      </c>
      <c r="AI87" s="188">
        <f>opex_orig!AE87</f>
        <v>4.5659400000000001E-3</v>
      </c>
      <c r="AJ87" s="188">
        <f>opex_orig!AF87</f>
        <v>1.6535828999999998E-2</v>
      </c>
      <c r="AK87" s="188">
        <f>opex_orig!AG87</f>
        <v>1.7712272000000001E-2</v>
      </c>
      <c r="AL87" s="188">
        <f>opex_orig!AH87</f>
        <v>4.3649193000000003E-2</v>
      </c>
      <c r="AM87" s="188">
        <f>opex_orig!AI87</f>
        <v>7.2297543000000006E-2</v>
      </c>
      <c r="AN87" s="188">
        <f>opex_orig!AJ87</f>
        <v>5.2838354999999997E-2</v>
      </c>
      <c r="AO87" s="188">
        <f>opex_orig!AK87</f>
        <v>3.6037536000000002E-2</v>
      </c>
      <c r="AP87" s="342">
        <f>opex_concordance!M443</f>
        <v>4.42024715405148E-2</v>
      </c>
      <c r="AQ87" s="342">
        <f>opex_concordance!M497</f>
        <v>3.557373207544446E-2</v>
      </c>
      <c r="AR87" s="342">
        <f>opex_concordance!M551</f>
        <v>3.9039062175932553E-2</v>
      </c>
      <c r="AS87" s="188">
        <f>opex_orig!$AM87</f>
        <v>3.9192696964078302E-2</v>
      </c>
      <c r="AT87" s="188">
        <f>opex_orig!AN87</f>
        <v>6.5991039000000001E-2</v>
      </c>
      <c r="AU87" s="342">
        <f>opex_concordance!M601</f>
        <v>7.6912936999679804E-3</v>
      </c>
      <c r="AV87" s="342">
        <f>opex_concordance!M647</f>
        <v>1.0448595385826801E-2</v>
      </c>
      <c r="AW87" s="342">
        <f>opex_concordance!M693</f>
        <v>8.625552723194525E-3</v>
      </c>
      <c r="AX87" s="188">
        <f>opex_orig!$AP87</f>
        <v>8.9259323874253896E-3</v>
      </c>
      <c r="AY87" s="188">
        <f>opex_orig!AQ87</f>
        <v>1.3345499E-2</v>
      </c>
      <c r="AZ87" s="188">
        <f>opex_orig!AR87</f>
        <v>0</v>
      </c>
      <c r="BA87" s="188">
        <f>opex_orig!AS87</f>
        <v>1.1442384E-2</v>
      </c>
      <c r="BB87" s="188">
        <f>opex_orig!AT87</f>
        <v>1.2340429E-2</v>
      </c>
      <c r="BC87" s="188">
        <f>opex_orig!AU87</f>
        <v>2.5579180000000002E-3</v>
      </c>
      <c r="BD87" s="188">
        <f>opex_orig!AV87</f>
        <v>2.2077799999999999E-3</v>
      </c>
      <c r="BE87" s="188">
        <f>opex_orig!AW87</f>
        <v>7.9606320000000005E-3</v>
      </c>
      <c r="BF87" s="188">
        <f>opex_orig!AX87</f>
        <v>0</v>
      </c>
      <c r="BG87" s="188">
        <f>opex_orig!AY87</f>
        <v>5.3330740000000001E-3</v>
      </c>
      <c r="BH87" s="188">
        <f>opex_orig!AZ87</f>
        <v>0</v>
      </c>
      <c r="BI87" s="188">
        <f>opex_orig!BA87</f>
        <v>1.5688856000000001E-2</v>
      </c>
      <c r="BJ87" s="188">
        <f>opex_orig!BB87</f>
        <v>1.5969051000000001E-2</v>
      </c>
      <c r="BK87" s="188">
        <f>opex_orig!BC87</f>
        <v>1.3543713000000001E-2</v>
      </c>
      <c r="BL87" s="188">
        <f>opex_orig!BD87</f>
        <v>1.499615E-2</v>
      </c>
      <c r="BM87" s="188">
        <f>opex_orig!BE87</f>
        <v>5.5663517000000003E-2</v>
      </c>
      <c r="BN87" s="188">
        <f>opex_orig!BF87</f>
        <v>1.9001767999999999E-2</v>
      </c>
      <c r="BO87" s="188">
        <f>opex_orig!BG87</f>
        <v>4.8795264999999997E-2</v>
      </c>
      <c r="BP87" s="204">
        <f>opex_concordance!M74</f>
        <v>1.8174287759905285E-2</v>
      </c>
      <c r="BQ87" s="204">
        <f>opex_concordance!M117</f>
        <v>2.1027945039963334E-2</v>
      </c>
      <c r="BR87" s="188">
        <f>opex_orig!BI87</f>
        <v>7.6243725999999998E-2</v>
      </c>
      <c r="BS87" s="188">
        <f>opex_orig!BJ87</f>
        <v>1.365336E-2</v>
      </c>
      <c r="BT87" s="188">
        <f>opex_orig!BK87</f>
        <v>1.027521E-2</v>
      </c>
      <c r="BU87" s="188">
        <f>opex_orig!BL87</f>
        <v>0</v>
      </c>
      <c r="BV87" s="27">
        <f>opex_orig!BM87</f>
        <v>4.0390177797142497E-2</v>
      </c>
      <c r="BW87" s="27">
        <f>opex_orig!BN87</f>
        <v>1.81783029365724E-2</v>
      </c>
      <c r="BX87" s="27">
        <f>opex_orig!BO87</f>
        <v>2.7404594834053799E-2</v>
      </c>
      <c r="BY87" s="27">
        <f>opex_orig!BP87</f>
        <v>9.4115646099642899E-3</v>
      </c>
      <c r="BZ87" s="27">
        <f>opex_orig!BQ87</f>
        <v>6.73647933714119E-3</v>
      </c>
      <c r="CA87" s="27">
        <f>opex_orig!BR87</f>
        <v>9.9748182522043098E-4</v>
      </c>
      <c r="CB87" s="27">
        <f>opex_orig!BS87</f>
        <v>7.8799748357054403E-3</v>
      </c>
      <c r="CC87" s="27">
        <f>opex_orig!BT87</f>
        <v>1.24271921909558E-3</v>
      </c>
      <c r="CD87" s="27">
        <f>opex_orig!BU87</f>
        <v>8.3894151196640798E-3</v>
      </c>
      <c r="CE87" s="27">
        <f>opex_orig!BV87</f>
        <v>8.3894151196640902E-3</v>
      </c>
      <c r="CF87" s="27">
        <f>opex_orig!BW87</f>
        <v>1.3828060495321699E-3</v>
      </c>
      <c r="CG87" s="27">
        <f>opex_orig!BX87</f>
        <v>1.7155975225413599E-5</v>
      </c>
      <c r="CH87" s="27">
        <f>opex_orig!BY87</f>
        <v>5.6627615860247197E-5</v>
      </c>
      <c r="CI87" s="27">
        <f>opex_orig!BZ87</f>
        <v>1.6200198999999998E-2</v>
      </c>
      <c r="CJ87" s="27">
        <f>opex_orig!CA87</f>
        <v>1.7317949999999999E-2</v>
      </c>
      <c r="CK87" s="27">
        <f>opex_orig!CB87</f>
        <v>1.9184198999999999E-2</v>
      </c>
      <c r="CL87" s="27">
        <f>opex_orig!CC87</f>
        <v>9.0143600000000003E-4</v>
      </c>
      <c r="CM87" s="27">
        <f>opex_orig!CD87</f>
        <v>1.6661525E-2</v>
      </c>
      <c r="CN87" s="27">
        <f>opex_orig!CE87</f>
        <v>5.9550275999999999E-2</v>
      </c>
      <c r="CO87" s="27">
        <f>opex_orig!CF87</f>
        <v>1.9113374999999998E-2</v>
      </c>
      <c r="CP87" s="27">
        <f>opex_orig!CG87</f>
        <v>1.343487E-3</v>
      </c>
    </row>
    <row r="88" spans="1:94" x14ac:dyDescent="0.25">
      <c r="A88" s="5" t="s">
        <v>195</v>
      </c>
      <c r="B88" s="2" t="s">
        <v>194</v>
      </c>
      <c r="C88" s="1" t="s">
        <v>329</v>
      </c>
      <c r="D88" s="188">
        <f>opex_orig!D88</f>
        <v>1.04855E-4</v>
      </c>
      <c r="E88" s="188">
        <f>opex_orig!E88</f>
        <v>2.5439100000000002E-4</v>
      </c>
      <c r="F88" s="188">
        <f>opex_orig!F88</f>
        <v>2.0888159999999998E-3</v>
      </c>
      <c r="G88" s="188">
        <f>opex_orig!G88</f>
        <v>2.48E-6</v>
      </c>
      <c r="H88" s="188">
        <f>opex_orig!H88</f>
        <v>9.0199999999999997E-5</v>
      </c>
      <c r="I88" s="188">
        <f>opex_orig!I88</f>
        <v>8.0500000000000005E-5</v>
      </c>
      <c r="J88" s="188">
        <f>opex_orig!J88</f>
        <v>1.4201099999999999E-4</v>
      </c>
      <c r="K88" s="188">
        <f>opex_orig!K88</f>
        <v>5.3900000000000001E-6</v>
      </c>
      <c r="L88" s="188">
        <f>opex_orig!L88</f>
        <v>1.4445500000000001E-4</v>
      </c>
      <c r="M88" s="188">
        <f>opex_orig!M88</f>
        <v>1.5738199999999999E-4</v>
      </c>
      <c r="N88" s="188">
        <f>opex_orig!N88</f>
        <v>1.2258169999999999E-3</v>
      </c>
      <c r="O88" s="188">
        <f>opex_orig!O88</f>
        <v>1.355347E-3</v>
      </c>
      <c r="P88" s="188">
        <f>opex_orig!P88</f>
        <v>4.8000000000000001E-5</v>
      </c>
      <c r="Q88" s="188">
        <f>opex_orig!Q88</f>
        <v>5.7299999999999997E-5</v>
      </c>
      <c r="R88" s="188">
        <f>opex_orig!R88</f>
        <v>4.5068300000000001E-4</v>
      </c>
      <c r="S88" s="188">
        <f>opex_orig!S88</f>
        <v>7.4800000000000002E-5</v>
      </c>
      <c r="T88" s="188">
        <f>opex_orig!T88</f>
        <v>7.5799999999999999E-5</v>
      </c>
      <c r="U88" s="188">
        <f>opex_orig!U88</f>
        <v>2.2061699999999999E-4</v>
      </c>
      <c r="V88" s="188">
        <f>opex_orig!V88</f>
        <v>1.2287499999999999E-4</v>
      </c>
      <c r="W88" s="188">
        <f>opex_orig!W88</f>
        <v>9.2042399999999998E-4</v>
      </c>
      <c r="X88" s="188">
        <f>opex_orig!X88</f>
        <v>1.81578E-4</v>
      </c>
      <c r="Y88" s="188">
        <f>opex_orig!Y88</f>
        <v>2.9200000000000002E-5</v>
      </c>
      <c r="Z88" s="188">
        <f>opex_orig!Z88</f>
        <v>1.8251199999999999E-4</v>
      </c>
      <c r="AA88" s="188">
        <f>opex_orig!AA88</f>
        <v>8.7100000000000003E-5</v>
      </c>
      <c r="AB88" s="188">
        <f>opex_orig!$AB88</f>
        <v>7.5614508124041103E-6</v>
      </c>
      <c r="AC88" s="188">
        <f>opex_orig!$AB88</f>
        <v>7.5614508124041103E-6</v>
      </c>
      <c r="AD88" s="188">
        <f>opex_orig!$AB88</f>
        <v>7.5614508124041103E-6</v>
      </c>
      <c r="AE88" s="188">
        <f>opex_orig!$AC88</f>
        <v>2.2493855822139301E-5</v>
      </c>
      <c r="AF88" s="188">
        <f>opex_orig!$AD88</f>
        <v>1.6820958732086499E-5</v>
      </c>
      <c r="AG88" s="188">
        <f>opex_orig!$AD88</f>
        <v>1.6820958732086499E-5</v>
      </c>
      <c r="AH88" s="188">
        <f>opex_orig!$AD88</f>
        <v>1.6820958732086499E-5</v>
      </c>
      <c r="AI88" s="188">
        <f>opex_orig!AE88</f>
        <v>1.4600000000000001E-5</v>
      </c>
      <c r="AJ88" s="188">
        <f>opex_orig!AF88</f>
        <v>7.9594400000000004E-4</v>
      </c>
      <c r="AK88" s="188">
        <f>opex_orig!AG88</f>
        <v>1.99469E-4</v>
      </c>
      <c r="AL88" s="188">
        <f>opex_orig!AH88</f>
        <v>9.5299999999999999E-5</v>
      </c>
      <c r="AM88" s="188">
        <f>opex_orig!AI88</f>
        <v>1.8139400000000001E-4</v>
      </c>
      <c r="AN88" s="188">
        <f>opex_orig!AJ88</f>
        <v>8.9099999999999997E-5</v>
      </c>
      <c r="AO88" s="188">
        <f>opex_orig!AK88</f>
        <v>7.7899999999999996E-5</v>
      </c>
      <c r="AP88" s="188">
        <f>opex_orig!$AL88</f>
        <v>9.4509892795263499E-5</v>
      </c>
      <c r="AQ88" s="188">
        <f>opex_orig!$AL88</f>
        <v>9.4509892795263499E-5</v>
      </c>
      <c r="AR88" s="188">
        <f>opex_orig!$AL88</f>
        <v>9.4509892795263499E-5</v>
      </c>
      <c r="AS88" s="188">
        <f>opex_orig!$AM88</f>
        <v>8.2399891970097604E-5</v>
      </c>
      <c r="AT88" s="188">
        <f>opex_orig!AN88</f>
        <v>1.7588900000000001E-4</v>
      </c>
      <c r="AU88" s="188">
        <f>opex_orig!$AO88</f>
        <v>8.3593065225505699E-5</v>
      </c>
      <c r="AV88" s="188">
        <f>opex_orig!$AO88</f>
        <v>8.3593065225505699E-5</v>
      </c>
      <c r="AW88" s="188">
        <f>opex_orig!$AO88</f>
        <v>8.3593065225505699E-5</v>
      </c>
      <c r="AX88" s="188">
        <f>opex_orig!$AP88</f>
        <v>9.4590759494364197E-5</v>
      </c>
      <c r="AY88" s="188">
        <f>opex_orig!AQ88</f>
        <v>1.14364E-4</v>
      </c>
      <c r="AZ88" s="188">
        <f>opex_orig!AR88</f>
        <v>0</v>
      </c>
      <c r="BA88" s="188">
        <f>opex_orig!AS88</f>
        <v>1.13632E-4</v>
      </c>
      <c r="BB88" s="188">
        <f>opex_orig!AT88</f>
        <v>1.10231E-4</v>
      </c>
      <c r="BC88" s="188">
        <f>opex_orig!AU88</f>
        <v>1.98E-5</v>
      </c>
      <c r="BD88" s="188">
        <f>opex_orig!AV88</f>
        <v>1.4800000000000001E-5</v>
      </c>
      <c r="BE88" s="188">
        <f>opex_orig!AW88</f>
        <v>8.14E-5</v>
      </c>
      <c r="BF88" s="188">
        <f>opex_orig!AX88</f>
        <v>0</v>
      </c>
      <c r="BG88" s="188">
        <f>opex_orig!AY88</f>
        <v>1.1592800000000001E-4</v>
      </c>
      <c r="BH88" s="188">
        <f>opex_orig!AZ88</f>
        <v>0</v>
      </c>
      <c r="BI88" s="188">
        <f>opex_orig!BA88</f>
        <v>1.20452E-4</v>
      </c>
      <c r="BJ88" s="188">
        <f>opex_orig!BB88</f>
        <v>3.6033000000000001E-4</v>
      </c>
      <c r="BK88" s="188">
        <f>opex_orig!BC88</f>
        <v>3.4961600000000002E-4</v>
      </c>
      <c r="BL88" s="188">
        <f>opex_orig!BD88</f>
        <v>0.467517132</v>
      </c>
      <c r="BM88" s="188">
        <f>opex_orig!BE88</f>
        <v>7.6389899999999996E-4</v>
      </c>
      <c r="BN88" s="188">
        <f>opex_orig!BF88</f>
        <v>5.0205220000000004E-3</v>
      </c>
      <c r="BO88" s="188">
        <f>opex_orig!BG88</f>
        <v>3.6282399999999998E-4</v>
      </c>
      <c r="BP88" s="188">
        <f>opex_orig!$BH88</f>
        <v>4.3737759252145098E-4</v>
      </c>
      <c r="BQ88" s="188">
        <f>opex_orig!$BH88</f>
        <v>4.3737759252145098E-4</v>
      </c>
      <c r="BR88" s="188">
        <f>opex_orig!BI88</f>
        <v>8.9902793999999994E-2</v>
      </c>
      <c r="BS88" s="188">
        <f>opex_orig!BJ88</f>
        <v>1.4654830000000001E-3</v>
      </c>
      <c r="BT88" s="188">
        <f>opex_orig!BK88</f>
        <v>4.0899999999999998E-5</v>
      </c>
      <c r="BU88" s="188">
        <f>opex_orig!BL88</f>
        <v>0</v>
      </c>
      <c r="BV88" s="27">
        <f>opex_orig!BM88</f>
        <v>1.0242525711619601E-4</v>
      </c>
      <c r="BW88" s="27">
        <f>opex_orig!BN88</f>
        <v>1.91551138842451E-4</v>
      </c>
      <c r="BX88" s="27">
        <f>opex_orig!BO88</f>
        <v>5.4982201417902603E-5</v>
      </c>
      <c r="BY88" s="27">
        <f>opex_orig!BP88</f>
        <v>3.0457715570212601E-5</v>
      </c>
      <c r="BZ88" s="27">
        <f>opex_orig!BQ88</f>
        <v>2.4097425888759599E-5</v>
      </c>
      <c r="CA88" s="27">
        <f>opex_orig!BR88</f>
        <v>5.6999348196475702E-5</v>
      </c>
      <c r="CB88" s="27">
        <f>opex_orig!BS88</f>
        <v>9.3845950430850497E-5</v>
      </c>
      <c r="CC88" s="27">
        <f>opex_orig!BT88</f>
        <v>3.7123204524345E-5</v>
      </c>
      <c r="CD88" s="27">
        <f>opex_orig!BU88</f>
        <v>2.6097762713719999E-5</v>
      </c>
      <c r="CE88" s="27">
        <f>opex_orig!BV88</f>
        <v>2.6097762713720101E-5</v>
      </c>
      <c r="CF88" s="27">
        <f>opex_orig!BW88</f>
        <v>6.0078773407806402E-5</v>
      </c>
      <c r="CG88" s="27">
        <f>opex_orig!BX88</f>
        <v>7.1763326980455795E-7</v>
      </c>
      <c r="CH88" s="27">
        <f>opex_orig!BY88</f>
        <v>2.6414559386483101E-7</v>
      </c>
      <c r="CI88" s="27">
        <f>opex_orig!BZ88</f>
        <v>7.6500000000000003E-5</v>
      </c>
      <c r="CJ88" s="27">
        <f>opex_orig!CA88</f>
        <v>5.0000000000000002E-5</v>
      </c>
      <c r="CK88" s="27">
        <f>opex_orig!CB88</f>
        <v>5.6900000000000001E-5</v>
      </c>
      <c r="CL88" s="27">
        <f>opex_orig!CC88</f>
        <v>2.94E-5</v>
      </c>
      <c r="CM88" s="27">
        <f>opex_orig!CD88</f>
        <v>2.5420999999999999E-4</v>
      </c>
      <c r="CN88" s="27">
        <f>opex_orig!CE88</f>
        <v>1.1315E-4</v>
      </c>
      <c r="CO88" s="27">
        <f>opex_orig!CF88</f>
        <v>1.52867E-4</v>
      </c>
      <c r="CP88" s="27">
        <f>opex_orig!CG88</f>
        <v>1.21048E-4</v>
      </c>
    </row>
    <row r="89" spans="1:94" x14ac:dyDescent="0.25">
      <c r="A89" s="5" t="s">
        <v>197</v>
      </c>
      <c r="B89" s="2" t="s">
        <v>196</v>
      </c>
      <c r="C89" s="1" t="s">
        <v>329</v>
      </c>
      <c r="D89" s="188">
        <f>opex_orig!D89</f>
        <v>1.128549E-3</v>
      </c>
      <c r="E89" s="188">
        <f>opex_orig!E89</f>
        <v>1.078133E-3</v>
      </c>
      <c r="F89" s="188">
        <f>opex_orig!F89</f>
        <v>7.8495500000000005E-4</v>
      </c>
      <c r="G89" s="188">
        <f>opex_orig!G89</f>
        <v>1.5206099999999999E-4</v>
      </c>
      <c r="H89" s="188">
        <f>opex_orig!H89</f>
        <v>2.6043600000000001E-4</v>
      </c>
      <c r="I89" s="188">
        <f>opex_orig!I89</f>
        <v>1.701344E-3</v>
      </c>
      <c r="J89" s="188">
        <f>opex_orig!J89</f>
        <v>1.0503629999999999E-3</v>
      </c>
      <c r="K89" s="188">
        <f>opex_orig!K89</f>
        <v>4.3672600000000002E-4</v>
      </c>
      <c r="L89" s="188">
        <f>opex_orig!L89</f>
        <v>3.0767680000000001E-3</v>
      </c>
      <c r="M89" s="188">
        <f>opex_orig!M89</f>
        <v>1.1933209E-2</v>
      </c>
      <c r="N89" s="188">
        <f>opex_orig!N89</f>
        <v>5.1459009999999996E-3</v>
      </c>
      <c r="O89" s="188">
        <f>opex_orig!O89</f>
        <v>7.3237599999999997E-4</v>
      </c>
      <c r="P89" s="188">
        <f>opex_orig!P89</f>
        <v>1.3988667999999999E-2</v>
      </c>
      <c r="Q89" s="188">
        <f>opex_orig!Q89</f>
        <v>1.396135E-3</v>
      </c>
      <c r="R89" s="188">
        <f>opex_orig!R89</f>
        <v>1.1112353E-2</v>
      </c>
      <c r="S89" s="188">
        <f>opex_orig!S89</f>
        <v>4.2147130000000001E-3</v>
      </c>
      <c r="T89" s="188">
        <f>opex_orig!T89</f>
        <v>4.8643599999999999E-3</v>
      </c>
      <c r="U89" s="188">
        <f>opex_orig!U89</f>
        <v>6.8417080000000002E-3</v>
      </c>
      <c r="V89" s="188">
        <f>opex_orig!V89</f>
        <v>8.7072E-3</v>
      </c>
      <c r="W89" s="188">
        <f>opex_orig!W89</f>
        <v>4.8783000000000003E-3</v>
      </c>
      <c r="X89" s="188">
        <f>opex_orig!X89</f>
        <v>6.0657799999999998E-4</v>
      </c>
      <c r="Y89" s="188">
        <f>opex_orig!Y89</f>
        <v>1.0904420000000001E-3</v>
      </c>
      <c r="Z89" s="188">
        <f>opex_orig!Z89</f>
        <v>4.5355600000000001E-3</v>
      </c>
      <c r="AA89" s="188">
        <f>opex_orig!AA89</f>
        <v>6.5075569999999998E-3</v>
      </c>
      <c r="AB89" s="188">
        <f>opex_orig!$AB89</f>
        <v>7.8532628743868801E-4</v>
      </c>
      <c r="AC89" s="188">
        <f>opex_orig!$AB89</f>
        <v>7.8532628743868801E-4</v>
      </c>
      <c r="AD89" s="188">
        <f>opex_orig!$AB89</f>
        <v>7.8532628743868801E-4</v>
      </c>
      <c r="AE89" s="188">
        <f>opex_orig!$AC89</f>
        <v>3.6879611765475201E-3</v>
      </c>
      <c r="AF89" s="188">
        <f>opex_orig!$AD89</f>
        <v>1.2178518924449099E-3</v>
      </c>
      <c r="AG89" s="188">
        <f>opex_orig!$AD89</f>
        <v>1.2178518924449099E-3</v>
      </c>
      <c r="AH89" s="188">
        <f>opex_orig!$AD89</f>
        <v>1.2178518924449099E-3</v>
      </c>
      <c r="AI89" s="188">
        <f>opex_orig!AE89</f>
        <v>1.0602090000000001E-3</v>
      </c>
      <c r="AJ89" s="188">
        <f>opex_orig!AF89</f>
        <v>1.9021327000000001E-2</v>
      </c>
      <c r="AK89" s="188">
        <f>opex_orig!AG89</f>
        <v>1.8424020999999999E-2</v>
      </c>
      <c r="AL89" s="188">
        <f>opex_orig!AH89</f>
        <v>6.4428699999999998E-3</v>
      </c>
      <c r="AM89" s="188">
        <f>opex_orig!AI89</f>
        <v>1.1757705E-2</v>
      </c>
      <c r="AN89" s="188">
        <f>opex_orig!AJ89</f>
        <v>3.2792229999999999E-3</v>
      </c>
      <c r="AO89" s="188">
        <f>opex_orig!AK89</f>
        <v>5.7614670000000002E-3</v>
      </c>
      <c r="AP89" s="188">
        <f>opex_orig!$AL89</f>
        <v>4.2573499307659701E-3</v>
      </c>
      <c r="AQ89" s="188">
        <f>opex_orig!$AL89</f>
        <v>4.2573499307659701E-3</v>
      </c>
      <c r="AR89" s="188">
        <f>opex_orig!$AL89</f>
        <v>4.2573499307659701E-3</v>
      </c>
      <c r="AS89" s="188">
        <f>opex_orig!$AM89</f>
        <v>3.9916679034434199E-3</v>
      </c>
      <c r="AT89" s="188">
        <f>opex_orig!AN89</f>
        <v>5.6612140000000004E-3</v>
      </c>
      <c r="AU89" s="188">
        <f>opex_orig!$AO89</f>
        <v>2.6088480296050302E-3</v>
      </c>
      <c r="AV89" s="188">
        <f>opex_orig!$AO89</f>
        <v>2.6088480296050302E-3</v>
      </c>
      <c r="AW89" s="188">
        <f>opex_orig!$AO89</f>
        <v>2.6088480296050302E-3</v>
      </c>
      <c r="AX89" s="188">
        <f>opex_orig!$AP89</f>
        <v>3.11527345818479E-3</v>
      </c>
      <c r="AY89" s="188">
        <f>opex_orig!AQ89</f>
        <v>4.3564950000000002E-3</v>
      </c>
      <c r="AZ89" s="188">
        <f>opex_orig!AR89</f>
        <v>0</v>
      </c>
      <c r="BA89" s="188">
        <f>opex_orig!AS89</f>
        <v>3.6184500000000001E-3</v>
      </c>
      <c r="BB89" s="188">
        <f>opex_orig!AT89</f>
        <v>3.7740059999999999E-3</v>
      </c>
      <c r="BC89" s="188">
        <f>opex_orig!AU89</f>
        <v>1.0591540000000001E-3</v>
      </c>
      <c r="BD89" s="188">
        <f>opex_orig!AV89</f>
        <v>9.7671999999999993E-4</v>
      </c>
      <c r="BE89" s="188">
        <f>opex_orig!AW89</f>
        <v>2.709384E-3</v>
      </c>
      <c r="BF89" s="188">
        <f>opex_orig!AX89</f>
        <v>0</v>
      </c>
      <c r="BG89" s="188">
        <f>opex_orig!AY89</f>
        <v>2.5065840000000001E-3</v>
      </c>
      <c r="BH89" s="188">
        <f>opex_orig!AZ89</f>
        <v>0</v>
      </c>
      <c r="BI89" s="188">
        <f>opex_orig!BA89</f>
        <v>4.7211409999999999E-3</v>
      </c>
      <c r="BJ89" s="188">
        <f>opex_orig!BB89</f>
        <v>1.6798960000000002E-2</v>
      </c>
      <c r="BK89" s="188">
        <f>opex_orig!BC89</f>
        <v>0.108074543</v>
      </c>
      <c r="BL89" s="188">
        <f>opex_orig!BD89</f>
        <v>0.146828135</v>
      </c>
      <c r="BM89" s="188">
        <f>opex_orig!BE89</f>
        <v>0.17218772600000001</v>
      </c>
      <c r="BN89" s="188">
        <f>opex_orig!BF89</f>
        <v>2.8476556E-2</v>
      </c>
      <c r="BO89" s="188">
        <f>opex_orig!BG89</f>
        <v>1.6993042E-2</v>
      </c>
      <c r="BP89" s="206">
        <f>opex_concordance!M75</f>
        <v>6.7467561780167468E-2</v>
      </c>
      <c r="BQ89" s="206">
        <f>opex_concordance!M118</f>
        <v>0.24250492831679413</v>
      </c>
      <c r="BR89" s="188">
        <f>opex_orig!BI89</f>
        <v>3.8586090000000003E-2</v>
      </c>
      <c r="BS89" s="188">
        <f>opex_orig!BJ89</f>
        <v>4.8085419999999999E-3</v>
      </c>
      <c r="BT89" s="188">
        <f>opex_orig!BK89</f>
        <v>2.1735220000000002E-3</v>
      </c>
      <c r="BU89" s="188">
        <f>opex_orig!BL89</f>
        <v>0</v>
      </c>
      <c r="BV89" s="27">
        <f>opex_orig!BM89</f>
        <v>2.7141427142226199E-2</v>
      </c>
      <c r="BW89" s="27">
        <f>opex_orig!BN89</f>
        <v>0.101462028600419</v>
      </c>
      <c r="BX89" s="27">
        <f>opex_orig!BO89</f>
        <v>9.4148792560986398E-3</v>
      </c>
      <c r="BY89" s="27">
        <f>opex_orig!BP89</f>
        <v>8.6942218381764504E-3</v>
      </c>
      <c r="BZ89" s="27">
        <f>opex_orig!BQ89</f>
        <v>7.6593221269091703E-3</v>
      </c>
      <c r="CA89" s="27">
        <f>opex_orig!BR89</f>
        <v>1.5307896591996399E-2</v>
      </c>
      <c r="CB89" s="27">
        <f>opex_orig!BS89</f>
        <v>4.9099797830625097E-2</v>
      </c>
      <c r="CC89" s="27">
        <f>opex_orig!BT89</f>
        <v>2.4777830276884499E-2</v>
      </c>
      <c r="CD89" s="27">
        <f>opex_orig!BU89</f>
        <v>9.5716004342947907E-3</v>
      </c>
      <c r="CE89" s="27">
        <f>opex_orig!BV89</f>
        <v>9.5716004342947993E-3</v>
      </c>
      <c r="CF89" s="27">
        <f>opex_orig!BW89</f>
        <v>9.1104983702187704E-3</v>
      </c>
      <c r="CG89" s="27">
        <f>opex_orig!BX89</f>
        <v>1.3164929783584701E-4</v>
      </c>
      <c r="CH89" s="27">
        <f>opex_orig!BY89</f>
        <v>6.1764162920422203E-5</v>
      </c>
      <c r="CI89" s="27">
        <f>opex_orig!BZ89</f>
        <v>3.2123629000000001E-2</v>
      </c>
      <c r="CJ89" s="27">
        <f>opex_orig!CA89</f>
        <v>1.333987E-2</v>
      </c>
      <c r="CK89" s="27">
        <f>opex_orig!CB89</f>
        <v>1.7033981E-2</v>
      </c>
      <c r="CL89" s="27">
        <f>opex_orig!CC89</f>
        <v>1.1116302999999999E-2</v>
      </c>
      <c r="CM89" s="27">
        <f>opex_orig!CD89</f>
        <v>0.13360408600000001</v>
      </c>
      <c r="CN89" s="27">
        <f>opex_orig!CE89</f>
        <v>1.82569E-3</v>
      </c>
      <c r="CO89" s="27">
        <f>opex_orig!CF89</f>
        <v>2.5264401999999998E-2</v>
      </c>
      <c r="CP89" s="27">
        <f>opex_orig!CG89</f>
        <v>2.98907E-4</v>
      </c>
    </row>
    <row r="90" spans="1:94" x14ac:dyDescent="0.25">
      <c r="A90" s="5" t="s">
        <v>199</v>
      </c>
      <c r="B90" s="2" t="s">
        <v>198</v>
      </c>
      <c r="C90" s="1" t="s">
        <v>329</v>
      </c>
      <c r="D90" s="188">
        <f>opex_orig!D90</f>
        <v>3.0586099999999999E-4</v>
      </c>
      <c r="E90" s="188">
        <f>opex_orig!E90</f>
        <v>2.22556E-4</v>
      </c>
      <c r="F90" s="188">
        <f>opex_orig!F90</f>
        <v>3.1013999999999998E-4</v>
      </c>
      <c r="G90" s="188">
        <f>opex_orig!G90</f>
        <v>5.7800000000000002E-5</v>
      </c>
      <c r="H90" s="188">
        <f>opex_orig!H90</f>
        <v>8.7700000000000004E-5</v>
      </c>
      <c r="I90" s="188">
        <f>opex_orig!I90</f>
        <v>2.9829699999999999E-4</v>
      </c>
      <c r="J90" s="188">
        <f>opex_orig!J90</f>
        <v>6.0303500000000003E-4</v>
      </c>
      <c r="K90" s="188">
        <f>opex_orig!K90</f>
        <v>1.86248E-4</v>
      </c>
      <c r="L90" s="188">
        <f>opex_orig!L90</f>
        <v>4.3433399999999998E-4</v>
      </c>
      <c r="M90" s="188">
        <f>opex_orig!M90</f>
        <v>1.333875E-3</v>
      </c>
      <c r="N90" s="188">
        <f>opex_orig!N90</f>
        <v>9.0684399999999997E-4</v>
      </c>
      <c r="O90" s="188">
        <f>opex_orig!O90</f>
        <v>6.4591099999999999E-4</v>
      </c>
      <c r="P90" s="188">
        <f>opex_orig!P90</f>
        <v>4.0205599999999997E-4</v>
      </c>
      <c r="Q90" s="188">
        <f>opex_orig!Q90</f>
        <v>5.7406299999999998E-4</v>
      </c>
      <c r="R90" s="188">
        <f>opex_orig!R90</f>
        <v>6.9974000000000002E-4</v>
      </c>
      <c r="S90" s="188">
        <f>opex_orig!S90</f>
        <v>2.2626699999999999E-4</v>
      </c>
      <c r="T90" s="188">
        <f>opex_orig!T90</f>
        <v>4.21366E-4</v>
      </c>
      <c r="U90" s="188">
        <f>opex_orig!U90</f>
        <v>2.9232500000000002E-4</v>
      </c>
      <c r="V90" s="188">
        <f>opex_orig!V90</f>
        <v>3.7047300000000002E-4</v>
      </c>
      <c r="W90" s="188">
        <f>opex_orig!W90</f>
        <v>3.0394100000000001E-4</v>
      </c>
      <c r="X90" s="188">
        <f>opex_orig!X90</f>
        <v>8.9713919999999999E-3</v>
      </c>
      <c r="Y90" s="188">
        <f>opex_orig!Y90</f>
        <v>7.99323E-4</v>
      </c>
      <c r="Z90" s="188">
        <f>opex_orig!Z90</f>
        <v>4.2775809999999999E-3</v>
      </c>
      <c r="AA90" s="188">
        <f>opex_orig!AA90</f>
        <v>1.847294E-3</v>
      </c>
      <c r="AB90" s="188">
        <f>opex_orig!$AB90</f>
        <v>4.8992156042393896E-4</v>
      </c>
      <c r="AC90" s="188">
        <f>opex_orig!$AB90</f>
        <v>4.8992156042393896E-4</v>
      </c>
      <c r="AD90" s="188">
        <f>opex_orig!$AB90</f>
        <v>4.8992156042393896E-4</v>
      </c>
      <c r="AE90" s="188">
        <f>opex_orig!$AC90</f>
        <v>6.8609769655439304E-4</v>
      </c>
      <c r="AF90" s="188">
        <f>opex_orig!$AD90</f>
        <v>2.3422591411693001E-4</v>
      </c>
      <c r="AG90" s="188">
        <f>opex_orig!$AD90</f>
        <v>2.3422591411693001E-4</v>
      </c>
      <c r="AH90" s="188">
        <f>opex_orig!$AD90</f>
        <v>2.3422591411693001E-4</v>
      </c>
      <c r="AI90" s="188">
        <f>opex_orig!AE90</f>
        <v>1.78424E-4</v>
      </c>
      <c r="AJ90" s="188">
        <f>opex_orig!AF90</f>
        <v>7.5884399999999995E-4</v>
      </c>
      <c r="AK90" s="188">
        <f>opex_orig!AG90</f>
        <v>2.468357E-3</v>
      </c>
      <c r="AL90" s="188">
        <f>opex_orig!AH90</f>
        <v>4.0725899999999998E-4</v>
      </c>
      <c r="AM90" s="188">
        <f>opex_orig!AI90</f>
        <v>7.5946E-4</v>
      </c>
      <c r="AN90" s="188">
        <f>opex_orig!AJ90</f>
        <v>3.3198199999999998E-4</v>
      </c>
      <c r="AO90" s="188">
        <f>opex_orig!AK90</f>
        <v>5.2713599999999999E-4</v>
      </c>
      <c r="AP90" s="188">
        <f>opex_orig!$AL90</f>
        <v>3.9549845016022099E-4</v>
      </c>
      <c r="AQ90" s="188">
        <f>opex_orig!$AL90</f>
        <v>3.9549845016022099E-4</v>
      </c>
      <c r="AR90" s="188">
        <f>opex_orig!$AL90</f>
        <v>3.9549845016022099E-4</v>
      </c>
      <c r="AS90" s="188">
        <f>opex_orig!$AM90</f>
        <v>4.6074700822858498E-4</v>
      </c>
      <c r="AT90" s="188">
        <f>opex_orig!AN90</f>
        <v>5.3210599999999996E-4</v>
      </c>
      <c r="AU90" s="188">
        <f>opex_orig!$AO90</f>
        <v>4.3646691329505101E-4</v>
      </c>
      <c r="AV90" s="188">
        <f>opex_orig!$AO90</f>
        <v>4.3646691329505101E-4</v>
      </c>
      <c r="AW90" s="188">
        <f>opex_orig!$AO90</f>
        <v>4.3646691329505101E-4</v>
      </c>
      <c r="AX90" s="188">
        <f>opex_orig!$AP90</f>
        <v>5.1058841977657296E-4</v>
      </c>
      <c r="AY90" s="188">
        <f>opex_orig!AQ90</f>
        <v>6.91221E-4</v>
      </c>
      <c r="AZ90" s="188">
        <f>opex_orig!AR90</f>
        <v>0</v>
      </c>
      <c r="BA90" s="188">
        <f>opex_orig!AS90</f>
        <v>6.11303E-4</v>
      </c>
      <c r="BB90" s="188">
        <f>opex_orig!AT90</f>
        <v>5.87953E-4</v>
      </c>
      <c r="BC90" s="188">
        <f>opex_orig!AU90</f>
        <v>1.6494799999999999E-4</v>
      </c>
      <c r="BD90" s="188">
        <f>opex_orig!AV90</f>
        <v>1.4725200000000001E-4</v>
      </c>
      <c r="BE90" s="188">
        <f>opex_orig!AW90</f>
        <v>3.95055E-4</v>
      </c>
      <c r="BF90" s="188">
        <f>opex_orig!AX90</f>
        <v>0</v>
      </c>
      <c r="BG90" s="188">
        <f>opex_orig!AY90</f>
        <v>8.1426600000000001E-4</v>
      </c>
      <c r="BH90" s="188">
        <f>opex_orig!AZ90</f>
        <v>0</v>
      </c>
      <c r="BI90" s="188">
        <f>opex_orig!BA90</f>
        <v>5.6248099999999998E-4</v>
      </c>
      <c r="BJ90" s="188">
        <f>opex_orig!BB90</f>
        <v>1.2067989999999999E-3</v>
      </c>
      <c r="BK90" s="188">
        <f>opex_orig!BC90</f>
        <v>5.7190169999999999E-3</v>
      </c>
      <c r="BL90" s="188">
        <f>opex_orig!BD90</f>
        <v>9.3920017999999994E-2</v>
      </c>
      <c r="BM90" s="188">
        <f>opex_orig!BE90</f>
        <v>3.437402E-3</v>
      </c>
      <c r="BN90" s="188">
        <f>opex_orig!BF90</f>
        <v>0.64078042800000001</v>
      </c>
      <c r="BO90" s="188">
        <f>opex_orig!BG90</f>
        <v>1.7215098000000002E-2</v>
      </c>
      <c r="BP90" s="273">
        <f>opex_concordance!M87</f>
        <v>7.116280351192098E-3</v>
      </c>
      <c r="BQ90" s="273">
        <f>opex_concordance!M130</f>
        <v>4.2073830192615146E-3</v>
      </c>
      <c r="BR90" s="188">
        <f>opex_orig!BI90</f>
        <v>3.681218E-3</v>
      </c>
      <c r="BS90" s="188">
        <f>opex_orig!BJ90</f>
        <v>5.9434889999999997E-3</v>
      </c>
      <c r="BT90" s="188">
        <f>opex_orig!BK90</f>
        <v>3.9567699999999999E-4</v>
      </c>
      <c r="BU90" s="188">
        <f>opex_orig!BL90</f>
        <v>0</v>
      </c>
      <c r="BV90" s="27">
        <f>opex_orig!BM90</f>
        <v>5.3485012168703601E-4</v>
      </c>
      <c r="BW90" s="27">
        <f>opex_orig!BN90</f>
        <v>1.3758313237966001E-3</v>
      </c>
      <c r="BX90" s="27">
        <f>opex_orig!BO90</f>
        <v>2.3179092224845401E-4</v>
      </c>
      <c r="BY90" s="27">
        <f>opex_orig!BP90</f>
        <v>2.4354424817162E-4</v>
      </c>
      <c r="BZ90" s="27">
        <f>opex_orig!BQ90</f>
        <v>2.7231612021225599E-4</v>
      </c>
      <c r="CA90" s="27">
        <f>opex_orig!BR90</f>
        <v>2.4262638000980199E-4</v>
      </c>
      <c r="CB90" s="27">
        <f>opex_orig!BS90</f>
        <v>1.2412945495646401E-3</v>
      </c>
      <c r="CC90" s="27">
        <f>opex_orig!BT90</f>
        <v>3.0046773286326802E-4</v>
      </c>
      <c r="CD90" s="27">
        <f>opex_orig!BU90</f>
        <v>1.9118957291166101E-4</v>
      </c>
      <c r="CE90" s="27">
        <f>opex_orig!BV90</f>
        <v>1.9118957291166101E-4</v>
      </c>
      <c r="CF90" s="27">
        <f>opex_orig!BW90</f>
        <v>1.03492004736503E-4</v>
      </c>
      <c r="CG90" s="27">
        <f>opex_orig!BX90</f>
        <v>1.1865586741825801E-5</v>
      </c>
      <c r="CH90" s="27">
        <f>opex_orig!BY90</f>
        <v>5.7442026160210103E-5</v>
      </c>
      <c r="CI90" s="27">
        <f>opex_orig!BZ90</f>
        <v>5.4726299999999998E-4</v>
      </c>
      <c r="CJ90" s="27">
        <f>opex_orig!CA90</f>
        <v>2.9331700000000002E-4</v>
      </c>
      <c r="CK90" s="27">
        <f>opex_orig!CB90</f>
        <v>3.2914100000000003E-4</v>
      </c>
      <c r="CL90" s="27">
        <f>opex_orig!CC90</f>
        <v>1.5919900000000001E-4</v>
      </c>
      <c r="CM90" s="27">
        <f>opex_orig!CD90</f>
        <v>1.8328019999999999E-3</v>
      </c>
      <c r="CN90" s="27">
        <f>opex_orig!CE90</f>
        <v>6.9103000000000003E-4</v>
      </c>
      <c r="CO90" s="27">
        <f>opex_orig!CF90</f>
        <v>1.2994009999999999E-3</v>
      </c>
      <c r="CP90" s="27">
        <f>opex_orig!CG90</f>
        <v>9.2299999999999994E-5</v>
      </c>
    </row>
    <row r="91" spans="1:94" x14ac:dyDescent="0.25">
      <c r="A91" s="5" t="s">
        <v>201</v>
      </c>
      <c r="B91" s="2" t="s">
        <v>200</v>
      </c>
      <c r="C91" s="1" t="s">
        <v>329</v>
      </c>
      <c r="D91" s="188">
        <f>opex_orig!D91</f>
        <v>8.2328800000000004E-4</v>
      </c>
      <c r="E91" s="188">
        <f>opex_orig!E91</f>
        <v>1.02174E-4</v>
      </c>
      <c r="F91" s="188">
        <f>opex_orig!F91</f>
        <v>1.3365299999999999E-4</v>
      </c>
      <c r="G91" s="188">
        <f>opex_orig!G91</f>
        <v>8.1499999999999999E-6</v>
      </c>
      <c r="H91" s="188">
        <f>opex_orig!H91</f>
        <v>1.9599999999999999E-5</v>
      </c>
      <c r="I91" s="188">
        <f>opex_orig!I91</f>
        <v>1.0770200000000001E-4</v>
      </c>
      <c r="J91" s="188">
        <f>opex_orig!J91</f>
        <v>3.7364499999999998E-4</v>
      </c>
      <c r="K91" s="188">
        <f>opex_orig!K91</f>
        <v>2.55E-5</v>
      </c>
      <c r="L91" s="188">
        <f>opex_orig!L91</f>
        <v>1.62261E-4</v>
      </c>
      <c r="M91" s="188">
        <f>opex_orig!M91</f>
        <v>5.6403400000000004E-4</v>
      </c>
      <c r="N91" s="188">
        <f>opex_orig!N91</f>
        <v>4.4955499999999997E-4</v>
      </c>
      <c r="O91" s="188">
        <f>opex_orig!O91</f>
        <v>3.2459200000000001E-4</v>
      </c>
      <c r="P91" s="188">
        <f>opex_orig!P91</f>
        <v>3.4864599999999998E-4</v>
      </c>
      <c r="Q91" s="188">
        <f>opex_orig!Q91</f>
        <v>9.5562800000000003E-4</v>
      </c>
      <c r="R91" s="188">
        <f>opex_orig!R91</f>
        <v>4.4587099999999997E-4</v>
      </c>
      <c r="S91" s="188">
        <f>opex_orig!S91</f>
        <v>2.41287E-4</v>
      </c>
      <c r="T91" s="188">
        <f>opex_orig!T91</f>
        <v>2.48488E-4</v>
      </c>
      <c r="U91" s="188">
        <f>opex_orig!U91</f>
        <v>1.9560199999999999E-4</v>
      </c>
      <c r="V91" s="188">
        <f>opex_orig!V91</f>
        <v>2.40511E-4</v>
      </c>
      <c r="W91" s="188">
        <f>opex_orig!W91</f>
        <v>4.9520399999999996E-4</v>
      </c>
      <c r="X91" s="188">
        <f>opex_orig!X91</f>
        <v>1.8511100000000001E-4</v>
      </c>
      <c r="Y91" s="188">
        <f>opex_orig!Y91</f>
        <v>8.5516080000000005E-3</v>
      </c>
      <c r="Z91" s="188">
        <f>opex_orig!Z91</f>
        <v>6.0902356999999997E-2</v>
      </c>
      <c r="AA91" s="188">
        <f>opex_orig!AA91</f>
        <v>6.7477320000000002E-3</v>
      </c>
      <c r="AB91" s="188">
        <f>opex_orig!$AB91</f>
        <v>6.87240465499072E-5</v>
      </c>
      <c r="AC91" s="188">
        <f>opex_orig!$AB91</f>
        <v>6.87240465499072E-5</v>
      </c>
      <c r="AD91" s="188">
        <f>opex_orig!$AB91</f>
        <v>6.87240465499072E-5</v>
      </c>
      <c r="AE91" s="188">
        <f>opex_orig!$AC91</f>
        <v>2.4542061682552798E-4</v>
      </c>
      <c r="AF91" s="188">
        <f>opex_orig!$AD91</f>
        <v>2.01363432015958E-4</v>
      </c>
      <c r="AG91" s="188">
        <f>opex_orig!$AD91</f>
        <v>2.01363432015958E-4</v>
      </c>
      <c r="AH91" s="188">
        <f>opex_orig!$AD91</f>
        <v>2.01363432015958E-4</v>
      </c>
      <c r="AI91" s="188">
        <f>opex_orig!AE91</f>
        <v>1.8459800000000001E-4</v>
      </c>
      <c r="AJ91" s="188">
        <f>opex_orig!AF91</f>
        <v>2.4883129999999998E-3</v>
      </c>
      <c r="AK91" s="188">
        <f>opex_orig!AG91</f>
        <v>1.762734E-3</v>
      </c>
      <c r="AL91" s="188">
        <f>opex_orig!AH91</f>
        <v>6.5667999999999998E-4</v>
      </c>
      <c r="AM91" s="188">
        <f>opex_orig!AI91</f>
        <v>9.5029900000000004E-4</v>
      </c>
      <c r="AN91" s="188">
        <f>opex_orig!AJ91</f>
        <v>6.6475200000000001E-4</v>
      </c>
      <c r="AO91" s="188">
        <f>opex_orig!AK91</f>
        <v>5.0540199999999996E-4</v>
      </c>
      <c r="AP91" s="188">
        <f>opex_orig!$AL91</f>
        <v>5.7269915865769199E-4</v>
      </c>
      <c r="AQ91" s="188">
        <f>opex_orig!$AL91</f>
        <v>5.7269915865769199E-4</v>
      </c>
      <c r="AR91" s="188">
        <f>opex_orig!$AL91</f>
        <v>5.7269915865769199E-4</v>
      </c>
      <c r="AS91" s="188">
        <f>opex_orig!$AM91</f>
        <v>5.1089410714743005E-4</v>
      </c>
      <c r="AT91" s="188">
        <f>opex_orig!AN91</f>
        <v>9.4533099999999999E-4</v>
      </c>
      <c r="AU91" s="188">
        <f>opex_orig!$AO91</f>
        <v>3.7305482228500099E-4</v>
      </c>
      <c r="AV91" s="188">
        <f>opex_orig!$AO91</f>
        <v>3.7305482228500099E-4</v>
      </c>
      <c r="AW91" s="188">
        <f>opex_orig!$AO91</f>
        <v>3.7305482228500099E-4</v>
      </c>
      <c r="AX91" s="188">
        <f>opex_orig!$AP91</f>
        <v>4.0868688183574999E-4</v>
      </c>
      <c r="AY91" s="188">
        <f>opex_orig!AQ91</f>
        <v>7.3037999999999998E-4</v>
      </c>
      <c r="AZ91" s="188">
        <f>opex_orig!AR91</f>
        <v>0</v>
      </c>
      <c r="BA91" s="188">
        <f>opex_orig!AS91</f>
        <v>5.1946499999999999E-4</v>
      </c>
      <c r="BB91" s="188">
        <f>opex_orig!AT91</f>
        <v>5.5951899999999997E-4</v>
      </c>
      <c r="BC91" s="188">
        <f>opex_orig!AU91</f>
        <v>4.9499999999999997E-5</v>
      </c>
      <c r="BD91" s="188">
        <f>opex_orig!AV91</f>
        <v>3.7799999999999997E-5</v>
      </c>
      <c r="BE91" s="188">
        <f>opex_orig!AW91</f>
        <v>3.24567E-4</v>
      </c>
      <c r="BF91" s="188">
        <f>opex_orig!AX91</f>
        <v>0</v>
      </c>
      <c r="BG91" s="188">
        <f>opex_orig!AY91</f>
        <v>2.42768E-4</v>
      </c>
      <c r="BH91" s="188">
        <f>opex_orig!AZ91</f>
        <v>0</v>
      </c>
      <c r="BI91" s="188">
        <f>opex_orig!BA91</f>
        <v>7.1486E-4</v>
      </c>
      <c r="BJ91" s="188">
        <f>opex_orig!BB91</f>
        <v>9.4546699999999997E-4</v>
      </c>
      <c r="BK91" s="188">
        <f>opex_orig!BC91</f>
        <v>1.888998E-3</v>
      </c>
      <c r="BL91" s="188">
        <f>opex_orig!BD91</f>
        <v>2.227611E-3</v>
      </c>
      <c r="BM91" s="188">
        <f>opex_orig!BE91</f>
        <v>2.089526E-3</v>
      </c>
      <c r="BN91" s="188">
        <f>opex_orig!BF91</f>
        <v>3.4133499999999999E-3</v>
      </c>
      <c r="BO91" s="188">
        <f>opex_orig!BG91</f>
        <v>4.4791539999999998E-2</v>
      </c>
      <c r="BP91" s="188">
        <f>opex_orig!$BH91</f>
        <v>1.0570080160432699E-3</v>
      </c>
      <c r="BQ91" s="188">
        <f>opex_orig!$BH91</f>
        <v>1.0570080160432699E-3</v>
      </c>
      <c r="BR91" s="188">
        <f>opex_orig!BI91</f>
        <v>4.6904770000000002E-3</v>
      </c>
      <c r="BS91" s="188">
        <f>opex_orig!BJ91</f>
        <v>7.9890600000000005E-4</v>
      </c>
      <c r="BT91" s="188">
        <f>opex_orig!BK91</f>
        <v>2.8317099999999998E-4</v>
      </c>
      <c r="BU91" s="188">
        <f>opex_orig!BL91</f>
        <v>0</v>
      </c>
      <c r="BV91" s="27">
        <f>opex_orig!BM91</f>
        <v>6.3043084386420103E-4</v>
      </c>
      <c r="BW91" s="27">
        <f>opex_orig!BN91</f>
        <v>9.4077403005206502E-4</v>
      </c>
      <c r="BX91" s="27">
        <f>opex_orig!BO91</f>
        <v>3.6901047670596698E-4</v>
      </c>
      <c r="BY91" s="27">
        <f>opex_orig!BP91</f>
        <v>1.8202258459692401E-4</v>
      </c>
      <c r="BZ91" s="27">
        <f>opex_orig!BQ91</f>
        <v>1.4759518338021901E-4</v>
      </c>
      <c r="CA91" s="27">
        <f>opex_orig!BR91</f>
        <v>3.9968045626878699E-4</v>
      </c>
      <c r="CB91" s="27">
        <f>opex_orig!BS91</f>
        <v>4.4819146138886902E-4</v>
      </c>
      <c r="CC91" s="27">
        <f>opex_orig!BT91</f>
        <v>4.0574251908634401E-4</v>
      </c>
      <c r="CD91" s="27">
        <f>opex_orig!BU91</f>
        <v>1.79034854606857E-4</v>
      </c>
      <c r="CE91" s="27">
        <f>opex_orig!BV91</f>
        <v>1.79034854606857E-4</v>
      </c>
      <c r="CF91" s="27">
        <f>opex_orig!BW91</f>
        <v>1.64735017263028E-4</v>
      </c>
      <c r="CG91" s="27">
        <f>opex_orig!BX91</f>
        <v>3.9783008440760201E-6</v>
      </c>
      <c r="CH91" s="27">
        <f>opex_orig!BY91</f>
        <v>2.0219449033516401E-5</v>
      </c>
      <c r="CI91" s="27">
        <f>opex_orig!BZ91</f>
        <v>4.2539999999999999E-4</v>
      </c>
      <c r="CJ91" s="27">
        <f>opex_orig!CA91</f>
        <v>3.1577299999999999E-4</v>
      </c>
      <c r="CK91" s="27">
        <f>opex_orig!CB91</f>
        <v>3.5266300000000002E-4</v>
      </c>
      <c r="CL91" s="27">
        <f>opex_orig!CC91</f>
        <v>2.8161800000000003E-4</v>
      </c>
      <c r="CM91" s="27">
        <f>opex_orig!CD91</f>
        <v>1.173641E-3</v>
      </c>
      <c r="CN91" s="27">
        <f>opex_orig!CE91</f>
        <v>9.5211899999999997E-4</v>
      </c>
      <c r="CO91" s="27">
        <f>opex_orig!CF91</f>
        <v>1.044737E-3</v>
      </c>
      <c r="CP91" s="27">
        <f>opex_orig!CG91</f>
        <v>8.92E-5</v>
      </c>
    </row>
    <row r="92" spans="1:94" x14ac:dyDescent="0.25">
      <c r="A92" s="5" t="s">
        <v>203</v>
      </c>
      <c r="B92" s="2" t="s">
        <v>202</v>
      </c>
      <c r="C92" s="1" t="s">
        <v>329</v>
      </c>
      <c r="D92" s="188">
        <f>opex_orig!D92</f>
        <v>1.741701E-3</v>
      </c>
      <c r="E92" s="188">
        <f>opex_orig!E92</f>
        <v>7.5720500000000005E-4</v>
      </c>
      <c r="F92" s="188">
        <f>opex_orig!F92</f>
        <v>1.0221760000000001E-3</v>
      </c>
      <c r="G92" s="188">
        <f>opex_orig!G92</f>
        <v>2.1970299999999999E-4</v>
      </c>
      <c r="H92" s="188">
        <f>opex_orig!H92</f>
        <v>3.3743500000000002E-4</v>
      </c>
      <c r="I92" s="188">
        <f>opex_orig!I92</f>
        <v>8.3733799999999997E-4</v>
      </c>
      <c r="J92" s="188">
        <f>opex_orig!J92</f>
        <v>2.5698880000000002E-3</v>
      </c>
      <c r="K92" s="188">
        <f>opex_orig!K92</f>
        <v>7.2321600000000005E-4</v>
      </c>
      <c r="L92" s="188">
        <f>opex_orig!L92</f>
        <v>9.64502E-4</v>
      </c>
      <c r="M92" s="188">
        <f>opex_orig!M92</f>
        <v>2.657581E-3</v>
      </c>
      <c r="N92" s="188">
        <f>opex_orig!N92</f>
        <v>2.268132E-3</v>
      </c>
      <c r="O92" s="188">
        <f>opex_orig!O92</f>
        <v>1.9993250000000001E-3</v>
      </c>
      <c r="P92" s="188">
        <f>opex_orig!P92</f>
        <v>4.8612179999999996E-3</v>
      </c>
      <c r="Q92" s="188">
        <f>opex_orig!Q92</f>
        <v>2.8642350000000001E-3</v>
      </c>
      <c r="R92" s="188">
        <f>opex_orig!R92</f>
        <v>3.596892E-3</v>
      </c>
      <c r="S92" s="188">
        <f>opex_orig!S92</f>
        <v>1.6764080000000001E-3</v>
      </c>
      <c r="T92" s="188">
        <f>opex_orig!T92</f>
        <v>2.4970679999999999E-3</v>
      </c>
      <c r="U92" s="188">
        <f>opex_orig!U92</f>
        <v>1.610785E-3</v>
      </c>
      <c r="V92" s="188">
        <f>opex_orig!V92</f>
        <v>1.938756E-3</v>
      </c>
      <c r="W92" s="188">
        <f>opex_orig!W92</f>
        <v>1.213593E-3</v>
      </c>
      <c r="X92" s="188">
        <f>opex_orig!X92</f>
        <v>6.0171300000000003E-4</v>
      </c>
      <c r="Y92" s="188">
        <f>opex_orig!Y92</f>
        <v>2.1032189999999999E-3</v>
      </c>
      <c r="Z92" s="188">
        <f>opex_orig!Z92</f>
        <v>5.2078080000000004E-3</v>
      </c>
      <c r="AA92" s="188">
        <f>opex_orig!AA92</f>
        <v>8.781222E-3</v>
      </c>
      <c r="AB92" s="188">
        <f>opex_orig!$AB92</f>
        <v>2.1764730515531901E-3</v>
      </c>
      <c r="AC92" s="188">
        <f>opex_orig!$AB92</f>
        <v>2.1764730515531901E-3</v>
      </c>
      <c r="AD92" s="188">
        <f>opex_orig!$AB92</f>
        <v>2.1764730515531901E-3</v>
      </c>
      <c r="AE92" s="188">
        <f>opex_orig!$AC92</f>
        <v>2.8485414516050602E-3</v>
      </c>
      <c r="AF92" s="188">
        <f>opex_orig!$AD92</f>
        <v>1.2137852969441099E-3</v>
      </c>
      <c r="AG92" s="188">
        <f>opex_orig!$AD92</f>
        <v>1.2137852969441099E-3</v>
      </c>
      <c r="AH92" s="188">
        <f>opex_orig!$AD92</f>
        <v>1.2137852969441099E-3</v>
      </c>
      <c r="AI92" s="188">
        <f>opex_orig!AE92</f>
        <v>9.8069600000000009E-4</v>
      </c>
      <c r="AJ92" s="188">
        <f>opex_orig!AF92</f>
        <v>3.6959670000000001E-3</v>
      </c>
      <c r="AK92" s="188">
        <f>opex_orig!AG92</f>
        <v>2.3542285E-2</v>
      </c>
      <c r="AL92" s="188">
        <f>opex_orig!AH92</f>
        <v>1.1673964E-2</v>
      </c>
      <c r="AM92" s="188">
        <f>opex_orig!AI92</f>
        <v>1.4452326999999999E-2</v>
      </c>
      <c r="AN92" s="188">
        <f>opex_orig!AJ92</f>
        <v>5.203867E-3</v>
      </c>
      <c r="AO92" s="188">
        <f>opex_orig!AK92</f>
        <v>9.5487120000000009E-3</v>
      </c>
      <c r="AP92" s="211">
        <f>opex_concordance!M444</f>
        <v>1.4551002917508601E-2</v>
      </c>
      <c r="AQ92" s="211">
        <f>opex_concordance!M498</f>
        <v>1.1710509869159979E-2</v>
      </c>
      <c r="AR92" s="211">
        <f>opex_concordance!M552</f>
        <v>1.2851261203757078E-2</v>
      </c>
      <c r="AS92" s="188">
        <f>opex_orig!$AM92</f>
        <v>1.35512083126471E-2</v>
      </c>
      <c r="AT92" s="188">
        <f>opex_orig!AN92</f>
        <v>1.1282766E-2</v>
      </c>
      <c r="AU92" s="211">
        <f>opex_concordance!M602</f>
        <v>2.89704417220501E-2</v>
      </c>
      <c r="AV92" s="211">
        <f>opex_concordance!M648</f>
        <v>3.9356242982066476E-2</v>
      </c>
      <c r="AW92" s="211">
        <f>opex_concordance!M694</f>
        <v>3.2489472153276085E-2</v>
      </c>
      <c r="AX92" s="188">
        <f>opex_orig!$AP92</f>
        <v>3.2922441731574E-2</v>
      </c>
      <c r="AY92" s="188">
        <f>opex_orig!AQ92</f>
        <v>5.5802243000000001E-2</v>
      </c>
      <c r="AZ92" s="188">
        <f>opex_orig!AR92</f>
        <v>0</v>
      </c>
      <c r="BA92" s="188">
        <f>opex_orig!AS92</f>
        <v>3.6774895000000002E-2</v>
      </c>
      <c r="BB92" s="188">
        <f>opex_orig!AT92</f>
        <v>3.4043014000000003E-2</v>
      </c>
      <c r="BC92" s="188">
        <f>opex_orig!AU92</f>
        <v>9.0162850000000006E-3</v>
      </c>
      <c r="BD92" s="188">
        <f>opex_orig!AV92</f>
        <v>6.6224450000000002E-3</v>
      </c>
      <c r="BE92" s="188">
        <f>opex_orig!AW92</f>
        <v>1.9614573999999999E-2</v>
      </c>
      <c r="BF92" s="188">
        <f>opex_orig!AX92</f>
        <v>0</v>
      </c>
      <c r="BG92" s="188">
        <f>opex_orig!AY92</f>
        <v>3.3842417E-2</v>
      </c>
      <c r="BH92" s="188">
        <f>opex_orig!AZ92</f>
        <v>0</v>
      </c>
      <c r="BI92" s="188">
        <f>opex_orig!BA92</f>
        <v>1.3206450999999999E-2</v>
      </c>
      <c r="BJ92" s="188">
        <f>opex_orig!BB92</f>
        <v>1.5937873000000002E-2</v>
      </c>
      <c r="BK92" s="188">
        <f>opex_orig!BC92</f>
        <v>2.1572692000000001E-2</v>
      </c>
      <c r="BL92" s="188">
        <f>opex_orig!BD92</f>
        <v>1.7117316E-2</v>
      </c>
      <c r="BM92" s="188">
        <f>opex_orig!BE92</f>
        <v>0.110583705</v>
      </c>
      <c r="BN92" s="188">
        <f>opex_orig!BF92</f>
        <v>1.2100609E-2</v>
      </c>
      <c r="BO92" s="188">
        <f>opex_orig!BG92</f>
        <v>1.5891821E-2</v>
      </c>
      <c r="BP92" s="211">
        <f>opex_concordance!M76</f>
        <v>0.31519432208918574</v>
      </c>
      <c r="BQ92" s="211">
        <f>opex_concordance!M119</f>
        <v>0.29953142633326785</v>
      </c>
      <c r="BR92" s="188">
        <f>opex_orig!BI92</f>
        <v>3.9095446999999998E-2</v>
      </c>
      <c r="BS92" s="188">
        <f>opex_orig!BJ92</f>
        <v>5.4868243999999997E-2</v>
      </c>
      <c r="BT92" s="188">
        <f>opex_orig!BK92</f>
        <v>1.4120834000000001E-2</v>
      </c>
      <c r="BU92" s="188">
        <f>opex_orig!BL92</f>
        <v>0</v>
      </c>
      <c r="BV92" s="27">
        <f>opex_orig!BM92</f>
        <v>4.5359919658695498E-3</v>
      </c>
      <c r="BW92" s="27">
        <f>opex_orig!BN92</f>
        <v>9.3690310085893496E-3</v>
      </c>
      <c r="BX92" s="27">
        <f>opex_orig!BO92</f>
        <v>2.3091575718866201E-3</v>
      </c>
      <c r="BY92" s="27">
        <f>opex_orig!BP92</f>
        <v>1.6592660594785E-3</v>
      </c>
      <c r="BZ92" s="27">
        <f>opex_orig!BQ92</f>
        <v>1.73303965885086E-3</v>
      </c>
      <c r="CA92" s="27">
        <f>opex_orig!BR92</f>
        <v>4.63890111589212E-4</v>
      </c>
      <c r="CB92" s="27">
        <f>opex_orig!BS92</f>
        <v>6.8581466798074402E-3</v>
      </c>
      <c r="CC92" s="27">
        <f>opex_orig!BT92</f>
        <v>3.6680353116297598E-4</v>
      </c>
      <c r="CD92" s="27">
        <f>opex_orig!BU92</f>
        <v>1.29605818453029E-3</v>
      </c>
      <c r="CE92" s="27">
        <f>opex_orig!BV92</f>
        <v>1.2960581845303E-3</v>
      </c>
      <c r="CF92" s="27">
        <f>opex_orig!BW92</f>
        <v>9.7613359583853597E-4</v>
      </c>
      <c r="CG92" s="27">
        <f>opex_orig!BX92</f>
        <v>1.1080326310732399E-5</v>
      </c>
      <c r="CH92" s="27">
        <f>opex_orig!BY92</f>
        <v>1.52996485826194E-4</v>
      </c>
      <c r="CI92" s="27">
        <f>opex_orig!BZ92</f>
        <v>4.0420789999999996E-3</v>
      </c>
      <c r="CJ92" s="27">
        <f>opex_orig!CA92</f>
        <v>2.3697919999999999E-3</v>
      </c>
      <c r="CK92" s="27">
        <f>opex_orig!CB92</f>
        <v>2.8175349999999999E-3</v>
      </c>
      <c r="CL92" s="27">
        <f>opex_orig!CC92</f>
        <v>1.1205099999999999E-3</v>
      </c>
      <c r="CM92" s="27">
        <f>opex_orig!CD92</f>
        <v>1.3110711000000001E-2</v>
      </c>
      <c r="CN92" s="27">
        <f>opex_orig!CE92</f>
        <v>5.6012800000000001E-3</v>
      </c>
      <c r="CO92" s="27">
        <f>opex_orig!CF92</f>
        <v>7.8769110000000003E-3</v>
      </c>
      <c r="CP92" s="27">
        <f>opex_orig!CG92</f>
        <v>1.0112809999999999E-3</v>
      </c>
    </row>
    <row r="93" spans="1:94" x14ac:dyDescent="0.25">
      <c r="A93" s="5" t="s">
        <v>205</v>
      </c>
      <c r="B93" s="2" t="s">
        <v>204</v>
      </c>
      <c r="C93" s="1" t="s">
        <v>329</v>
      </c>
      <c r="D93" s="188">
        <f>opex_orig!D93</f>
        <v>4.99E-5</v>
      </c>
      <c r="E93" s="188">
        <f>opex_orig!E93</f>
        <v>3.0599999999999998E-5</v>
      </c>
      <c r="F93" s="188">
        <f>opex_orig!F93</f>
        <v>3.3399999999999999E-5</v>
      </c>
      <c r="G93" s="188">
        <f>opex_orig!G93</f>
        <v>3.1200000000000002E-6</v>
      </c>
      <c r="H93" s="188">
        <f>opex_orig!H93</f>
        <v>7.9300000000000003E-6</v>
      </c>
      <c r="I93" s="188">
        <f>opex_orig!I93</f>
        <v>6.3200000000000005E-5</v>
      </c>
      <c r="J93" s="188">
        <f>opex_orig!J93</f>
        <v>4.9400000000000001E-5</v>
      </c>
      <c r="K93" s="188">
        <f>opex_orig!K93</f>
        <v>9.2599999999999994E-6</v>
      </c>
      <c r="L93" s="188">
        <f>opex_orig!L93</f>
        <v>6.7600000000000003E-5</v>
      </c>
      <c r="M93" s="188">
        <f>opex_orig!M93</f>
        <v>2.1018E-4</v>
      </c>
      <c r="N93" s="188">
        <f>opex_orig!N93</f>
        <v>1.2524500000000001E-4</v>
      </c>
      <c r="O93" s="188">
        <f>opex_orig!O93</f>
        <v>1.21684E-4</v>
      </c>
      <c r="P93" s="188">
        <f>opex_orig!P93</f>
        <v>2.40714E-4</v>
      </c>
      <c r="Q93" s="188">
        <f>opex_orig!Q93</f>
        <v>1.8363200000000001E-4</v>
      </c>
      <c r="R93" s="188">
        <f>opex_orig!R93</f>
        <v>2.0789100000000001E-4</v>
      </c>
      <c r="S93" s="188">
        <f>opex_orig!S93</f>
        <v>2.0619599999999999E-4</v>
      </c>
      <c r="T93" s="188">
        <f>opex_orig!T93</f>
        <v>1.8983100000000001E-4</v>
      </c>
      <c r="U93" s="188">
        <f>opex_orig!U93</f>
        <v>3.20384E-4</v>
      </c>
      <c r="V93" s="188">
        <f>opex_orig!V93</f>
        <v>3.7481800000000002E-4</v>
      </c>
      <c r="W93" s="188">
        <f>opex_orig!W93</f>
        <v>2.8939100000000001E-4</v>
      </c>
      <c r="X93" s="188">
        <f>opex_orig!X93</f>
        <v>9.2600000000000001E-5</v>
      </c>
      <c r="Y93" s="188">
        <f>opex_orig!Y93</f>
        <v>1.8894699999999999E-4</v>
      </c>
      <c r="Z93" s="188">
        <f>opex_orig!Z93</f>
        <v>1.135643E-3</v>
      </c>
      <c r="AA93" s="188">
        <f>opex_orig!AA93</f>
        <v>5.2434599999999997E-4</v>
      </c>
      <c r="AB93" s="188">
        <f>opex_orig!$AB93</f>
        <v>2.7002094192828799E-5</v>
      </c>
      <c r="AC93" s="188">
        <f>opex_orig!$AB93</f>
        <v>2.7002094192828799E-5</v>
      </c>
      <c r="AD93" s="188">
        <f>opex_orig!$AB93</f>
        <v>2.7002094192828799E-5</v>
      </c>
      <c r="AE93" s="188">
        <f>opex_orig!$AC93</f>
        <v>7.3438046268200206E-5</v>
      </c>
      <c r="AF93" s="188">
        <f>opex_orig!$AD93</f>
        <v>4.9975098923418402E-5</v>
      </c>
      <c r="AG93" s="188">
        <f>opex_orig!$AD93</f>
        <v>4.9975098923418402E-5</v>
      </c>
      <c r="AH93" s="188">
        <f>opex_orig!$AD93</f>
        <v>4.9975098923418402E-5</v>
      </c>
      <c r="AI93" s="188">
        <f>opex_orig!AE93</f>
        <v>4.88E-5</v>
      </c>
      <c r="AJ93" s="188">
        <f>opex_orig!AF93</f>
        <v>4.2540999999999998E-4</v>
      </c>
      <c r="AK93" s="188">
        <f>opex_orig!AG93</f>
        <v>4.3155999999999999E-4</v>
      </c>
      <c r="AL93" s="188">
        <f>opex_orig!AH93</f>
        <v>3.8915599999999999E-4</v>
      </c>
      <c r="AM93" s="188">
        <f>opex_orig!AI93</f>
        <v>6.6952600000000004E-4</v>
      </c>
      <c r="AN93" s="188">
        <f>opex_orig!AJ93</f>
        <v>4.1888800000000002E-4</v>
      </c>
      <c r="AO93" s="188">
        <f>opex_orig!AK93</f>
        <v>3.4016199999999997E-4</v>
      </c>
      <c r="AP93" s="188">
        <f>opex_orig!$AL93</f>
        <v>3.9013580316701201E-4</v>
      </c>
      <c r="AQ93" s="188">
        <f>opex_orig!$AL93</f>
        <v>3.9013580316701201E-4</v>
      </c>
      <c r="AR93" s="188">
        <f>opex_orig!$AL93</f>
        <v>3.9013580316701201E-4</v>
      </c>
      <c r="AS93" s="188">
        <f>opex_orig!$AM93</f>
        <v>3.5011238520042697E-4</v>
      </c>
      <c r="AT93" s="188">
        <f>opex_orig!AN93</f>
        <v>5.7171399999999997E-4</v>
      </c>
      <c r="AU93" s="188">
        <f>opex_orig!$AO93</f>
        <v>7.29802075624112E-4</v>
      </c>
      <c r="AV93" s="188">
        <f>opex_orig!$AO93</f>
        <v>7.29802075624112E-4</v>
      </c>
      <c r="AW93" s="188">
        <f>opex_orig!$AO93</f>
        <v>7.29802075624112E-4</v>
      </c>
      <c r="AX93" s="188">
        <f>opex_orig!$AP93</f>
        <v>8.4341223701442196E-4</v>
      </c>
      <c r="AY93" s="188">
        <f>opex_orig!AQ93</f>
        <v>1.0430350000000001E-3</v>
      </c>
      <c r="AZ93" s="188">
        <f>opex_orig!AR93</f>
        <v>0</v>
      </c>
      <c r="BA93" s="188">
        <f>opex_orig!AS93</f>
        <v>8.6028999999999999E-4</v>
      </c>
      <c r="BB93" s="188">
        <f>opex_orig!AT93</f>
        <v>8.7996600000000004E-4</v>
      </c>
      <c r="BC93" s="188">
        <f>opex_orig!AU93</f>
        <v>1.283E-4</v>
      </c>
      <c r="BD93" s="188">
        <f>opex_orig!AV93</f>
        <v>9.5000000000000005E-5</v>
      </c>
      <c r="BE93" s="188">
        <f>opex_orig!AW93</f>
        <v>6.2026699999999998E-4</v>
      </c>
      <c r="BF93" s="188">
        <f>opex_orig!AX93</f>
        <v>0</v>
      </c>
      <c r="BG93" s="188">
        <f>opex_orig!AY93</f>
        <v>5.1228500000000002E-4</v>
      </c>
      <c r="BH93" s="188">
        <f>opex_orig!AZ93</f>
        <v>0</v>
      </c>
      <c r="BI93" s="188">
        <f>opex_orig!BA93</f>
        <v>1.28987E-3</v>
      </c>
      <c r="BJ93" s="188">
        <f>opex_orig!BB93</f>
        <v>2.0588030000000001E-3</v>
      </c>
      <c r="BK93" s="188">
        <f>opex_orig!BC93</f>
        <v>1.345096E-2</v>
      </c>
      <c r="BL93" s="188">
        <f>opex_orig!BD93</f>
        <v>3.5273750000000001E-3</v>
      </c>
      <c r="BM93" s="188">
        <f>opex_orig!BE93</f>
        <v>4.9312799999999997E-3</v>
      </c>
      <c r="BN93" s="188">
        <f>opex_orig!BF93</f>
        <v>3.1614239999999999E-3</v>
      </c>
      <c r="BO93" s="188">
        <f>opex_orig!BG93</f>
        <v>1.3746089999999999E-3</v>
      </c>
      <c r="BP93" s="188">
        <f>opex_orig!$BH93</f>
        <v>1.37392451559817E-3</v>
      </c>
      <c r="BQ93" s="188">
        <f>opex_orig!$BH93</f>
        <v>1.37392451559817E-3</v>
      </c>
      <c r="BR93" s="188">
        <f>opex_orig!BI93</f>
        <v>4.2098351999999999E-2</v>
      </c>
      <c r="BS93" s="188">
        <f>opex_orig!BJ93</f>
        <v>2.2842690999999998E-2</v>
      </c>
      <c r="BT93" s="188">
        <f>opex_orig!BK93</f>
        <v>3.4603800000000001E-4</v>
      </c>
      <c r="BU93" s="188">
        <f>opex_orig!BL93</f>
        <v>0</v>
      </c>
      <c r="BV93" s="27">
        <f>opex_orig!BM93</f>
        <v>4.58947194473336E-4</v>
      </c>
      <c r="BW93" s="27">
        <f>opex_orig!BN93</f>
        <v>8.8599733737021696E-4</v>
      </c>
      <c r="BX93" s="27">
        <f>opex_orig!BO93</f>
        <v>2.4537747498524403E-4</v>
      </c>
      <c r="BY93" s="27">
        <f>opex_orig!BP93</f>
        <v>1.3022073236869901E-4</v>
      </c>
      <c r="BZ93" s="27">
        <f>opex_orig!BQ93</f>
        <v>1.06849828260614E-4</v>
      </c>
      <c r="CA93" s="27">
        <f>opex_orig!BR93</f>
        <v>7.5817431794916496E-5</v>
      </c>
      <c r="CB93" s="27">
        <f>opex_orig!BS93</f>
        <v>4.8941347213886995E-4</v>
      </c>
      <c r="CC93" s="27">
        <f>opex_orig!BT93</f>
        <v>9.1640739648459596E-5</v>
      </c>
      <c r="CD93" s="27">
        <f>opex_orig!BU93</f>
        <v>1.24132558900916E-4</v>
      </c>
      <c r="CE93" s="27">
        <f>opex_orig!BV93</f>
        <v>1.24132558900916E-4</v>
      </c>
      <c r="CF93" s="27">
        <f>opex_orig!BW93</f>
        <v>2.1887386302202401E-4</v>
      </c>
      <c r="CG93" s="27">
        <f>opex_orig!BX93</f>
        <v>4.4364884252703903E-6</v>
      </c>
      <c r="CH93" s="27">
        <f>opex_orig!BY93</f>
        <v>2.0596282527033301E-6</v>
      </c>
      <c r="CI93" s="27">
        <f>opex_orig!BZ93</f>
        <v>3.5381799999999999E-4</v>
      </c>
      <c r="CJ93" s="27">
        <f>opex_orig!CA93</f>
        <v>2.3420200000000001E-4</v>
      </c>
      <c r="CK93" s="27">
        <f>opex_orig!CB93</f>
        <v>2.7224299999999998E-4</v>
      </c>
      <c r="CL93" s="27">
        <f>opex_orig!CC93</f>
        <v>1.7132200000000001E-4</v>
      </c>
      <c r="CM93" s="27">
        <f>opex_orig!CD93</f>
        <v>1.1574440000000001E-3</v>
      </c>
      <c r="CN93" s="27">
        <f>opex_orig!CE93</f>
        <v>3.9942100000000001E-4</v>
      </c>
      <c r="CO93" s="27">
        <f>opex_orig!CF93</f>
        <v>3.6661499999999999E-4</v>
      </c>
      <c r="CP93" s="27">
        <f>opex_orig!CG93</f>
        <v>1.98E-5</v>
      </c>
    </row>
    <row r="94" spans="1:94" x14ac:dyDescent="0.25">
      <c r="A94" s="5" t="s">
        <v>207</v>
      </c>
      <c r="B94" s="2" t="s">
        <v>206</v>
      </c>
      <c r="C94" s="1" t="s">
        <v>329</v>
      </c>
      <c r="D94" s="188">
        <f>opex_orig!D94</f>
        <v>4.95923E-4</v>
      </c>
      <c r="E94" s="188">
        <f>opex_orig!E94</f>
        <v>7.9889499999999999E-4</v>
      </c>
      <c r="F94" s="188">
        <f>opex_orig!F94</f>
        <v>6.19029E-4</v>
      </c>
      <c r="G94" s="188">
        <f>opex_orig!G94</f>
        <v>3.6600000000000002E-5</v>
      </c>
      <c r="H94" s="188">
        <f>opex_orig!H94</f>
        <v>9.5199999999999997E-5</v>
      </c>
      <c r="I94" s="188">
        <f>opex_orig!I94</f>
        <v>1.6236449999999999E-3</v>
      </c>
      <c r="J94" s="188">
        <f>opex_orig!J94</f>
        <v>1.8011200000000001E-4</v>
      </c>
      <c r="K94" s="188">
        <f>opex_orig!K94</f>
        <v>1.03229E-4</v>
      </c>
      <c r="L94" s="188">
        <f>opex_orig!L94</f>
        <v>3.1980699999999999E-3</v>
      </c>
      <c r="M94" s="188">
        <f>opex_orig!M94</f>
        <v>1.0735144E-2</v>
      </c>
      <c r="N94" s="188">
        <f>opex_orig!N94</f>
        <v>4.3213440000000004E-3</v>
      </c>
      <c r="O94" s="188">
        <f>opex_orig!O94</f>
        <v>1.4912899999999999E-4</v>
      </c>
      <c r="P94" s="188">
        <f>opex_orig!P94</f>
        <v>5.083522E-3</v>
      </c>
      <c r="Q94" s="188">
        <f>opex_orig!Q94</f>
        <v>2.4399123000000002E-2</v>
      </c>
      <c r="R94" s="188">
        <f>opex_orig!R94</f>
        <v>9.6237189999999993E-3</v>
      </c>
      <c r="S94" s="188">
        <f>opex_orig!S94</f>
        <v>6.1297959999999999E-3</v>
      </c>
      <c r="T94" s="188">
        <f>opex_orig!T94</f>
        <v>5.779668E-3</v>
      </c>
      <c r="U94" s="188">
        <f>opex_orig!U94</f>
        <v>7.5377899999999999E-3</v>
      </c>
      <c r="V94" s="188">
        <f>opex_orig!V94</f>
        <v>7.3897060000000002E-3</v>
      </c>
      <c r="W94" s="188">
        <f>opex_orig!W94</f>
        <v>1.1480185E-2</v>
      </c>
      <c r="X94" s="188">
        <f>opex_orig!X94</f>
        <v>4.3962599999999998E-4</v>
      </c>
      <c r="Y94" s="188">
        <f>opex_orig!Y94</f>
        <v>9.0199999999999997E-5</v>
      </c>
      <c r="Z94" s="188">
        <f>opex_orig!Z94</f>
        <v>2.98559E-4</v>
      </c>
      <c r="AA94" s="188">
        <f>opex_orig!AA94</f>
        <v>5.2665199999999996E-4</v>
      </c>
      <c r="AB94" s="188">
        <f>opex_orig!$AB94</f>
        <v>1.23264937575068E-4</v>
      </c>
      <c r="AC94" s="188">
        <f>opex_orig!$AB94</f>
        <v>1.23264937575068E-4</v>
      </c>
      <c r="AD94" s="188">
        <f>opex_orig!$AB94</f>
        <v>1.23264937575068E-4</v>
      </c>
      <c r="AE94" s="188">
        <f>opex_orig!$AC94</f>
        <v>5.8664611997044603E-4</v>
      </c>
      <c r="AF94" s="188">
        <f>opex_orig!$AD94</f>
        <v>4.2323247920165102E-4</v>
      </c>
      <c r="AG94" s="188">
        <f>opex_orig!$AD94</f>
        <v>4.2323247920165102E-4</v>
      </c>
      <c r="AH94" s="188">
        <f>opex_orig!$AD94</f>
        <v>4.2323247920165102E-4</v>
      </c>
      <c r="AI94" s="188">
        <f>opex_orig!AE94</f>
        <v>3.5366299999999999E-4</v>
      </c>
      <c r="AJ94" s="188">
        <f>opex_orig!AF94</f>
        <v>4.8116369999999997E-3</v>
      </c>
      <c r="AK94" s="188">
        <f>opex_orig!AG94</f>
        <v>5.1385700000000003E-3</v>
      </c>
      <c r="AL94" s="188">
        <f>opex_orig!AH94</f>
        <v>9.0603199999999997E-4</v>
      </c>
      <c r="AM94" s="188">
        <f>opex_orig!AI94</f>
        <v>1.4065200000000001E-3</v>
      </c>
      <c r="AN94" s="188">
        <f>opex_orig!AJ94</f>
        <v>1.0631729999999999E-3</v>
      </c>
      <c r="AO94" s="188">
        <f>opex_orig!AK94</f>
        <v>6.0861900000000002E-4</v>
      </c>
      <c r="AP94" s="188">
        <f>opex_orig!$AL94</f>
        <v>6.6370374998748604E-4</v>
      </c>
      <c r="AQ94" s="188">
        <f>opex_orig!$AL94</f>
        <v>6.6370374998748604E-4</v>
      </c>
      <c r="AR94" s="188">
        <f>opex_orig!$AL94</f>
        <v>6.6370374998748604E-4</v>
      </c>
      <c r="AS94" s="188">
        <f>opex_orig!$AM94</f>
        <v>5.7061805323427002E-4</v>
      </c>
      <c r="AT94" s="188">
        <f>opex_orig!AN94</f>
        <v>2.5844330000000001E-3</v>
      </c>
      <c r="AU94" s="188">
        <f>opex_orig!$AO94</f>
        <v>3.11043436662274E-3</v>
      </c>
      <c r="AV94" s="188">
        <f>opex_orig!$AO94</f>
        <v>3.11043436662274E-3</v>
      </c>
      <c r="AW94" s="188">
        <f>opex_orig!$AO94</f>
        <v>3.11043436662274E-3</v>
      </c>
      <c r="AX94" s="188">
        <f>opex_orig!$AP94</f>
        <v>3.3856155683121502E-3</v>
      </c>
      <c r="AY94" s="188">
        <f>opex_orig!AQ94</f>
        <v>3.7252980000000002E-3</v>
      </c>
      <c r="AZ94" s="188">
        <f>opex_orig!AR94</f>
        <v>0</v>
      </c>
      <c r="BA94" s="188">
        <f>opex_orig!AS94</f>
        <v>2.2423510000000001E-3</v>
      </c>
      <c r="BB94" s="188">
        <f>opex_orig!AT94</f>
        <v>2.2694820000000002E-3</v>
      </c>
      <c r="BC94" s="188">
        <f>opex_orig!AU94</f>
        <v>2.6129300000000001E-4</v>
      </c>
      <c r="BD94" s="188">
        <f>opex_orig!AV94</f>
        <v>1.9319500000000001E-4</v>
      </c>
      <c r="BE94" s="188">
        <f>opex_orig!AW94</f>
        <v>1.7338239999999999E-3</v>
      </c>
      <c r="BF94" s="188">
        <f>opex_orig!AX94</f>
        <v>0</v>
      </c>
      <c r="BG94" s="188">
        <f>opex_orig!AY94</f>
        <v>1.5048069999999999E-3</v>
      </c>
      <c r="BH94" s="188">
        <f>opex_orig!AZ94</f>
        <v>0</v>
      </c>
      <c r="BI94" s="188">
        <f>opex_orig!BA94</f>
        <v>6.5629310000000001E-3</v>
      </c>
      <c r="BJ94" s="188">
        <f>opex_orig!BB94</f>
        <v>3.3829369999999999E-3</v>
      </c>
      <c r="BK94" s="188">
        <f>opex_orig!BC94</f>
        <v>2.0164879999999999E-3</v>
      </c>
      <c r="BL94" s="188">
        <f>opex_orig!BD94</f>
        <v>7.3815899999999995E-4</v>
      </c>
      <c r="BM94" s="188">
        <f>opex_orig!BE94</f>
        <v>2.4918760000000001E-3</v>
      </c>
      <c r="BN94" s="188">
        <f>opex_orig!BF94</f>
        <v>1.0071399999999999E-3</v>
      </c>
      <c r="BO94" s="188">
        <f>opex_orig!BG94</f>
        <v>1.8146359999999999E-3</v>
      </c>
      <c r="BP94" s="188">
        <f>opex_orig!$BH94</f>
        <v>1.27436700766495E-3</v>
      </c>
      <c r="BQ94" s="188">
        <f>opex_orig!$BH94</f>
        <v>1.27436700766495E-3</v>
      </c>
      <c r="BR94" s="188">
        <f>opex_orig!BI94</f>
        <v>1.6188960000000001E-3</v>
      </c>
      <c r="BS94" s="188">
        <f>opex_orig!BJ94</f>
        <v>7.3146218999999998E-2</v>
      </c>
      <c r="BT94" s="188">
        <f>opex_orig!BK94</f>
        <v>1.133399E-3</v>
      </c>
      <c r="BU94" s="188">
        <f>opex_orig!BL94</f>
        <v>0</v>
      </c>
      <c r="BV94" s="27">
        <f>opex_orig!BM94</f>
        <v>3.3714839416411899E-4</v>
      </c>
      <c r="BW94" s="27">
        <f>opex_orig!BN94</f>
        <v>4.48386335750305E-4</v>
      </c>
      <c r="BX94" s="27">
        <f>opex_orig!BO94</f>
        <v>1.5707957642028801E-4</v>
      </c>
      <c r="BY94" s="27">
        <f>opex_orig!BP94</f>
        <v>1.10597392919944E-4</v>
      </c>
      <c r="BZ94" s="27">
        <f>opex_orig!BQ94</f>
        <v>8.8305544445632203E-5</v>
      </c>
      <c r="CA94" s="27">
        <f>opex_orig!BR94</f>
        <v>6.4641441257008397E-5</v>
      </c>
      <c r="CB94" s="27">
        <f>opex_orig!BS94</f>
        <v>3.2435886235003899E-4</v>
      </c>
      <c r="CC94" s="27">
        <f>opex_orig!BT94</f>
        <v>2.2979877715031301E-4</v>
      </c>
      <c r="CD94" s="27">
        <f>opex_orig!BU94</f>
        <v>8.2335771885369305E-5</v>
      </c>
      <c r="CE94" s="27">
        <f>opex_orig!BV94</f>
        <v>8.2335771885369604E-5</v>
      </c>
      <c r="CF94" s="27">
        <f>opex_orig!BW94</f>
        <v>7.7590769598448797E-4</v>
      </c>
      <c r="CG94" s="27">
        <f>opex_orig!BX94</f>
        <v>4.5693350800034599E-6</v>
      </c>
      <c r="CH94" s="27">
        <f>opex_orig!BY94</f>
        <v>9.8986665829497905E-5</v>
      </c>
      <c r="CI94" s="27">
        <f>opex_orig!BZ94</f>
        <v>2.3206600000000001E-4</v>
      </c>
      <c r="CJ94" s="27">
        <f>opex_orig!CA94</f>
        <v>1.8802900000000001E-4</v>
      </c>
      <c r="CK94" s="27">
        <f>opex_orig!CB94</f>
        <v>1.8552799999999999E-4</v>
      </c>
      <c r="CL94" s="27">
        <f>opex_orig!CC94</f>
        <v>7.4599999999999997E-5</v>
      </c>
      <c r="CM94" s="27">
        <f>opex_orig!CD94</f>
        <v>5.4856999999999996E-4</v>
      </c>
      <c r="CN94" s="27">
        <f>opex_orig!CE94</f>
        <v>4.60526E-4</v>
      </c>
      <c r="CO94" s="27">
        <f>opex_orig!CF94</f>
        <v>7.8408899999999997E-4</v>
      </c>
      <c r="CP94" s="27">
        <f>opex_orig!CG94</f>
        <v>1.00047E-4</v>
      </c>
    </row>
    <row r="95" spans="1:94" x14ac:dyDescent="0.25">
      <c r="A95" s="6" t="s">
        <v>209</v>
      </c>
      <c r="B95" s="2" t="s">
        <v>208</v>
      </c>
      <c r="C95" s="1" t="s">
        <v>330</v>
      </c>
      <c r="D95" s="188">
        <f>opex_orig!D95</f>
        <v>5.7599999999999997E-5</v>
      </c>
      <c r="E95" s="188">
        <f>opex_orig!E95</f>
        <v>5.5399999999999998E-5</v>
      </c>
      <c r="F95" s="188">
        <f>opex_orig!F95</f>
        <v>7.2999999999999999E-5</v>
      </c>
      <c r="G95" s="188">
        <f>opex_orig!G95</f>
        <v>2.72E-5</v>
      </c>
      <c r="H95" s="188">
        <f>opex_orig!H95</f>
        <v>2.0400000000000001E-5</v>
      </c>
      <c r="I95" s="188">
        <f>opex_orig!I95</f>
        <v>7.0300000000000001E-5</v>
      </c>
      <c r="J95" s="188">
        <f>opex_orig!J95</f>
        <v>2.4562500000000002E-4</v>
      </c>
      <c r="K95" s="188">
        <f>opex_orig!K95</f>
        <v>4.49E-5</v>
      </c>
      <c r="L95" s="188">
        <f>opex_orig!L95</f>
        <v>1.72072E-4</v>
      </c>
      <c r="M95" s="188">
        <f>opex_orig!M95</f>
        <v>2.1534700000000001E-4</v>
      </c>
      <c r="N95" s="188">
        <f>opex_orig!N95</f>
        <v>2.5254999999999999E-4</v>
      </c>
      <c r="O95" s="188">
        <f>opex_orig!O95</f>
        <v>1.16005E-4</v>
      </c>
      <c r="P95" s="188">
        <f>opex_orig!P95</f>
        <v>1.18867E-4</v>
      </c>
      <c r="Q95" s="188">
        <f>opex_orig!Q95</f>
        <v>1.07963E-4</v>
      </c>
      <c r="R95" s="188">
        <f>opex_orig!R95</f>
        <v>1.2162700000000001E-4</v>
      </c>
      <c r="S95" s="188">
        <f>opex_orig!S95</f>
        <v>4.6E-5</v>
      </c>
      <c r="T95" s="188">
        <f>opex_orig!T95</f>
        <v>9.0799999999999998E-5</v>
      </c>
      <c r="U95" s="188">
        <f>opex_orig!U95</f>
        <v>7.1299999999999998E-5</v>
      </c>
      <c r="V95" s="188">
        <f>opex_orig!V95</f>
        <v>8.9300000000000002E-5</v>
      </c>
      <c r="W95" s="188">
        <f>opex_orig!W95</f>
        <v>4.4400000000000002E-5</v>
      </c>
      <c r="X95" s="188">
        <f>opex_orig!X95</f>
        <v>5.3600000000000002E-5</v>
      </c>
      <c r="Y95" s="188">
        <f>opex_orig!Y95</f>
        <v>6.1199999999999997E-5</v>
      </c>
      <c r="Z95" s="188">
        <f>opex_orig!Z95</f>
        <v>7.7600000000000002E-5</v>
      </c>
      <c r="AA95" s="188">
        <f>opex_orig!AA95</f>
        <v>1.4605099999999999E-4</v>
      </c>
      <c r="AB95" s="188">
        <f>opex_orig!$AB95</f>
        <v>1.2976488083071499E-4</v>
      </c>
      <c r="AC95" s="188">
        <f>opex_orig!$AB95</f>
        <v>1.2976488083071499E-4</v>
      </c>
      <c r="AD95" s="188">
        <f>opex_orig!$AB95</f>
        <v>1.2976488083071499E-4</v>
      </c>
      <c r="AE95" s="188">
        <f>opex_orig!$AC95</f>
        <v>3.6315192537078302E-4</v>
      </c>
      <c r="AF95" s="188">
        <f>opex_orig!$AD95</f>
        <v>1.12732231398091E-4</v>
      </c>
      <c r="AG95" s="188">
        <f>opex_orig!$AD95</f>
        <v>1.12732231398091E-4</v>
      </c>
      <c r="AH95" s="188">
        <f>opex_orig!$AD95</f>
        <v>1.12732231398091E-4</v>
      </c>
      <c r="AI95" s="188">
        <f>opex_orig!AE95</f>
        <v>8.1600000000000005E-5</v>
      </c>
      <c r="AJ95" s="188">
        <f>opex_orig!AF95</f>
        <v>4.5013200000000001E-4</v>
      </c>
      <c r="AK95" s="188">
        <f>opex_orig!AG95</f>
        <v>1.91812E-4</v>
      </c>
      <c r="AL95" s="188">
        <f>opex_orig!AH95</f>
        <v>9.6500000000000001E-5</v>
      </c>
      <c r="AM95" s="188">
        <f>opex_orig!AI95</f>
        <v>1.4170400000000001E-4</v>
      </c>
      <c r="AN95" s="188">
        <f>opex_orig!AJ95</f>
        <v>7.2299999999999996E-5</v>
      </c>
      <c r="AO95" s="188">
        <f>opex_orig!AK95</f>
        <v>1.42607E-4</v>
      </c>
      <c r="AP95" s="188">
        <f>opex_orig!$AL95</f>
        <v>9.2644119956756404E-5</v>
      </c>
      <c r="AQ95" s="188">
        <f>opex_orig!$AL95</f>
        <v>9.2644119956756404E-5</v>
      </c>
      <c r="AR95" s="188">
        <f>opex_orig!$AL95</f>
        <v>9.2644119956756404E-5</v>
      </c>
      <c r="AS95" s="188">
        <f>opex_orig!$AM95</f>
        <v>1.05646760220718E-4</v>
      </c>
      <c r="AT95" s="188">
        <f>opex_orig!AN95</f>
        <v>1.10845E-4</v>
      </c>
      <c r="AU95" s="310">
        <f>opex_concordance!M594</f>
        <v>0.12297476016742501</v>
      </c>
      <c r="AV95" s="310">
        <f>opex_concordance!M640</f>
        <v>0</v>
      </c>
      <c r="AW95" s="310">
        <f>opex_concordance!M686</f>
        <v>0.10193530062531227</v>
      </c>
      <c r="AX95" s="188">
        <f>opex_orig!$AP95</f>
        <v>0.136364807713034</v>
      </c>
      <c r="AY95" s="188">
        <f>opex_orig!AQ95</f>
        <v>0.12237052900000001</v>
      </c>
      <c r="AZ95" s="188">
        <f>opex_orig!AR95</f>
        <v>0</v>
      </c>
      <c r="BA95" s="188">
        <f>opex_orig!AS95</f>
        <v>0.11727006700000001</v>
      </c>
      <c r="BB95" s="188">
        <f>opex_orig!AT95</f>
        <v>0.14173768</v>
      </c>
      <c r="BC95" s="188">
        <f>opex_orig!AU95</f>
        <v>3.8638969999999998E-3</v>
      </c>
      <c r="BD95" s="188">
        <f>opex_orig!AV95</f>
        <v>6.2118500000000001E-4</v>
      </c>
      <c r="BE95" s="188">
        <f>opex_orig!AW95</f>
        <v>9.8234679000000005E-2</v>
      </c>
      <c r="BF95" s="188">
        <f>opex_orig!AX95</f>
        <v>0</v>
      </c>
      <c r="BG95" s="188">
        <f>opex_orig!AY95</f>
        <v>0.106040537</v>
      </c>
      <c r="BH95" s="188">
        <f>opex_orig!AZ95</f>
        <v>0</v>
      </c>
      <c r="BI95" s="188">
        <f>opex_orig!BA95</f>
        <v>5.1296332E-2</v>
      </c>
      <c r="BJ95" s="188">
        <f>opex_orig!BB95</f>
        <v>2.5658400000000002E-4</v>
      </c>
      <c r="BK95" s="188">
        <f>opex_orig!BC95</f>
        <v>5.74539E-4</v>
      </c>
      <c r="BL95" s="188">
        <f>opex_orig!BD95</f>
        <v>4.57E-5</v>
      </c>
      <c r="BM95" s="188">
        <f>opex_orig!BE95</f>
        <v>3.5849599999999998E-4</v>
      </c>
      <c r="BN95" s="188">
        <f>opex_orig!BF95</f>
        <v>1.4747600000000001E-4</v>
      </c>
      <c r="BO95" s="188">
        <f>opex_orig!BG95</f>
        <v>1.80082E-4</v>
      </c>
      <c r="BP95" s="188">
        <f>opex_orig!$BH95</f>
        <v>1.58470330732762E-4</v>
      </c>
      <c r="BQ95" s="188">
        <f>opex_orig!$BH95</f>
        <v>1.58470330732762E-4</v>
      </c>
      <c r="BR95" s="188">
        <f>opex_orig!BI95</f>
        <v>2.7923100000000001E-4</v>
      </c>
      <c r="BS95" s="188">
        <f>opex_orig!BJ95</f>
        <v>2.1723900000000001E-4</v>
      </c>
      <c r="BT95" s="188">
        <f>opex_orig!BK95</f>
        <v>0.24740000000000001</v>
      </c>
      <c r="BU95" s="188">
        <f>opex_orig!BL95</f>
        <v>0</v>
      </c>
      <c r="BV95" s="27">
        <f>opex_orig!BM95</f>
        <v>3.2527713362672402E-5</v>
      </c>
      <c r="BW95" s="27">
        <f>opex_orig!BN95</f>
        <v>1.1960310775241401E-4</v>
      </c>
      <c r="BX95" s="27">
        <f>opex_orig!BO95</f>
        <v>1.6657657361941699E-5</v>
      </c>
      <c r="BY95" s="27">
        <f>opex_orig!BP95</f>
        <v>7.6344187058682603E-5</v>
      </c>
      <c r="BZ95" s="27">
        <f>opex_orig!BQ95</f>
        <v>5.0120977387598997E-5</v>
      </c>
      <c r="CA95" s="27">
        <f>opex_orig!BR95</f>
        <v>1.40430433945579E-4</v>
      </c>
      <c r="CB95" s="27">
        <f>opex_orig!BS95</f>
        <v>1.65614104721719E-4</v>
      </c>
      <c r="CC95" s="27">
        <f>opex_orig!BT95</f>
        <v>1.9447323019069899E-4</v>
      </c>
      <c r="CD95" s="27">
        <f>opex_orig!BU95</f>
        <v>1.7321434691212701E-5</v>
      </c>
      <c r="CE95" s="27">
        <f>opex_orig!BV95</f>
        <v>1.7321434691212701E-5</v>
      </c>
      <c r="CF95" s="27">
        <f>opex_orig!BW95</f>
        <v>2.8398620266961299E-5</v>
      </c>
      <c r="CG95" s="27">
        <f>opex_orig!BX95</f>
        <v>4.5170987136897202E-7</v>
      </c>
      <c r="CH95" s="27">
        <f>opex_orig!BY95</f>
        <v>2.5835854846045901E-6</v>
      </c>
      <c r="CI95" s="27">
        <f>opex_orig!BZ95</f>
        <v>5.9799999999999997E-5</v>
      </c>
      <c r="CJ95" s="27">
        <f>opex_orig!CA95</f>
        <v>4.6E-5</v>
      </c>
      <c r="CK95" s="27">
        <f>opex_orig!CB95</f>
        <v>3.6399999999999997E-5</v>
      </c>
      <c r="CL95" s="27">
        <f>opex_orig!CC95</f>
        <v>1.111E-4</v>
      </c>
      <c r="CM95" s="27">
        <f>opex_orig!CD95</f>
        <v>5.8999999999999998E-5</v>
      </c>
      <c r="CN95" s="27">
        <f>opex_orig!CE95</f>
        <v>9.7999999999999997E-5</v>
      </c>
      <c r="CO95" s="27">
        <f>opex_orig!CF95</f>
        <v>4.2299999999999998E-5</v>
      </c>
      <c r="CP95" s="27">
        <f>opex_orig!CG95</f>
        <v>3.8300000000000003E-5</v>
      </c>
    </row>
    <row r="96" spans="1:94" x14ac:dyDescent="0.25">
      <c r="A96" s="6" t="s">
        <v>211</v>
      </c>
      <c r="B96" s="2" t="s">
        <v>210</v>
      </c>
      <c r="C96" s="1" t="s">
        <v>330</v>
      </c>
      <c r="D96" s="188">
        <f>opex_orig!D96</f>
        <v>4.21E-5</v>
      </c>
      <c r="E96" s="188">
        <f>opex_orig!E96</f>
        <v>1.47E-5</v>
      </c>
      <c r="F96" s="188">
        <f>opex_orig!F96</f>
        <v>2.2200000000000001E-5</v>
      </c>
      <c r="G96" s="188">
        <f>opex_orig!G96</f>
        <v>1.9899999999999999E-5</v>
      </c>
      <c r="H96" s="188">
        <f>opex_orig!H96</f>
        <v>3.3399999999999999E-5</v>
      </c>
      <c r="I96" s="188">
        <f>opex_orig!I96</f>
        <v>2.3499999999999999E-5</v>
      </c>
      <c r="J96" s="188">
        <f>opex_orig!J96</f>
        <v>7.6299999999999998E-5</v>
      </c>
      <c r="K96" s="188">
        <f>opex_orig!K96</f>
        <v>3.3000000000000003E-5</v>
      </c>
      <c r="L96" s="188">
        <f>opex_orig!L96</f>
        <v>3.4100000000000002E-5</v>
      </c>
      <c r="M96" s="188">
        <f>opex_orig!M96</f>
        <v>4.4400000000000002E-5</v>
      </c>
      <c r="N96" s="188">
        <f>opex_orig!N96</f>
        <v>1.28577E-4</v>
      </c>
      <c r="O96" s="188">
        <f>opex_orig!O96</f>
        <v>4.88E-5</v>
      </c>
      <c r="P96" s="188">
        <f>opex_orig!P96</f>
        <v>1.9005899999999999E-4</v>
      </c>
      <c r="Q96" s="188">
        <f>opex_orig!Q96</f>
        <v>9.3499999999999996E-5</v>
      </c>
      <c r="R96" s="188">
        <f>opex_orig!R96</f>
        <v>7.7000000000000001E-5</v>
      </c>
      <c r="S96" s="188">
        <f>opex_orig!S96</f>
        <v>1.48942E-4</v>
      </c>
      <c r="T96" s="188">
        <f>opex_orig!T96</f>
        <v>1.62631E-4</v>
      </c>
      <c r="U96" s="188">
        <f>opex_orig!U96</f>
        <v>8.0599999999999994E-5</v>
      </c>
      <c r="V96" s="188">
        <f>opex_orig!V96</f>
        <v>4.4100000000000001E-5</v>
      </c>
      <c r="W96" s="188">
        <f>opex_orig!W96</f>
        <v>1.03158E-4</v>
      </c>
      <c r="X96" s="188">
        <f>opex_orig!X96</f>
        <v>2.87E-5</v>
      </c>
      <c r="Y96" s="188">
        <f>opex_orig!Y96</f>
        <v>2.9E-5</v>
      </c>
      <c r="Z96" s="188">
        <f>opex_orig!Z96</f>
        <v>9.8599999999999998E-5</v>
      </c>
      <c r="AA96" s="188">
        <f>opex_orig!AA96</f>
        <v>1.2539300000000001E-4</v>
      </c>
      <c r="AB96" s="188">
        <f>opex_orig!$AB96</f>
        <v>1.0765062339575799E-3</v>
      </c>
      <c r="AC96" s="188">
        <f>opex_orig!$AB96</f>
        <v>1.0765062339575799E-3</v>
      </c>
      <c r="AD96" s="188">
        <f>opex_orig!$AB96</f>
        <v>1.0765062339575799E-3</v>
      </c>
      <c r="AE96" s="188">
        <f>opex_orig!$AC96</f>
        <v>4.94856892725176E-5</v>
      </c>
      <c r="AF96" s="188">
        <f>opex_orig!$AD96</f>
        <v>1.12809939112791E-5</v>
      </c>
      <c r="AG96" s="188">
        <f>opex_orig!$AD96</f>
        <v>1.12809939112791E-5</v>
      </c>
      <c r="AH96" s="188">
        <f>opex_orig!$AD96</f>
        <v>1.12809939112791E-5</v>
      </c>
      <c r="AI96" s="188">
        <f>opex_orig!AE96</f>
        <v>1.5800000000000001E-5</v>
      </c>
      <c r="AJ96" s="188">
        <f>opex_orig!AF96</f>
        <v>9.6100000000000005E-5</v>
      </c>
      <c r="AK96" s="188">
        <f>opex_orig!AG96</f>
        <v>8.5905300000000003E-4</v>
      </c>
      <c r="AL96" s="188">
        <f>opex_orig!AH96</f>
        <v>6.0099999999999997E-5</v>
      </c>
      <c r="AM96" s="188">
        <f>opex_orig!AI96</f>
        <v>5.8E-5</v>
      </c>
      <c r="AN96" s="188">
        <f>opex_orig!AJ96</f>
        <v>7.1299999999999998E-5</v>
      </c>
      <c r="AO96" s="188">
        <f>opex_orig!AK96</f>
        <v>9.4599999999999996E-5</v>
      </c>
      <c r="AP96" s="188">
        <f>opex_orig!$AL96</f>
        <v>6.2103714690626001E-5</v>
      </c>
      <c r="AQ96" s="188">
        <f>opex_orig!$AL96</f>
        <v>6.2103714690626001E-5</v>
      </c>
      <c r="AR96" s="188">
        <f>opex_orig!$AL96</f>
        <v>6.2103714690626001E-5</v>
      </c>
      <c r="AS96" s="188">
        <f>opex_orig!$AM96</f>
        <v>5.20202641766741E-5</v>
      </c>
      <c r="AT96" s="188">
        <f>opex_orig!AN96</f>
        <v>8.8599999999999999E-5</v>
      </c>
      <c r="AU96" s="188">
        <f>opex_orig!$AO96</f>
        <v>6.7495591055406203E-4</v>
      </c>
      <c r="AV96" s="188">
        <f>opex_orig!$AO96</f>
        <v>6.7495591055406203E-4</v>
      </c>
      <c r="AW96" s="188">
        <f>opex_orig!$AO96</f>
        <v>6.7495591055406203E-4</v>
      </c>
      <c r="AX96" s="188">
        <f>opex_orig!$AP96</f>
        <v>7.6090137713652895E-4</v>
      </c>
      <c r="AY96" s="188">
        <f>opex_orig!AQ96</f>
        <v>2.232992E-3</v>
      </c>
      <c r="AZ96" s="188">
        <f>opex_orig!AR96</f>
        <v>0</v>
      </c>
      <c r="BA96" s="188">
        <f>opex_orig!AS96</f>
        <v>4.5549000000000002E-4</v>
      </c>
      <c r="BB96" s="188">
        <f>opex_orig!AT96</f>
        <v>4.6203200000000002E-4</v>
      </c>
      <c r="BC96" s="188">
        <f>opex_orig!AU96</f>
        <v>4.2567700000000001E-4</v>
      </c>
      <c r="BD96" s="188">
        <f>opex_orig!AV96</f>
        <v>4.3495200000000001E-4</v>
      </c>
      <c r="BE96" s="188">
        <f>opex_orig!AW96</f>
        <v>7.4190250000000001E-3</v>
      </c>
      <c r="BF96" s="188">
        <f>opex_orig!AX96</f>
        <v>0</v>
      </c>
      <c r="BG96" s="188">
        <f>opex_orig!AY96</f>
        <v>5.1216E-4</v>
      </c>
      <c r="BH96" s="188">
        <f>opex_orig!AZ96</f>
        <v>0</v>
      </c>
      <c r="BI96" s="188">
        <f>opex_orig!BA96</f>
        <v>1.0888829999999999E-3</v>
      </c>
      <c r="BJ96" s="188">
        <f>opex_orig!BB96</f>
        <v>7.6319799999999998E-4</v>
      </c>
      <c r="BK96" s="188">
        <f>opex_orig!BC96</f>
        <v>5.7866999999999999E-4</v>
      </c>
      <c r="BL96" s="188">
        <f>opex_orig!BD96</f>
        <v>3.4400000000000003E-5</v>
      </c>
      <c r="BM96" s="188">
        <f>opex_orig!BE96</f>
        <v>4.6558100000000001E-4</v>
      </c>
      <c r="BN96" s="188">
        <f>opex_orig!BF96</f>
        <v>2.0400000000000001E-5</v>
      </c>
      <c r="BO96" s="188">
        <f>opex_orig!BG96</f>
        <v>2.6883199999999999E-4</v>
      </c>
      <c r="BP96" s="188">
        <f>opex_orig!$BH96</f>
        <v>1.12892214175054E-4</v>
      </c>
      <c r="BQ96" s="188">
        <f>opex_orig!$BH96</f>
        <v>1.12892214175054E-4</v>
      </c>
      <c r="BR96" s="188">
        <f>opex_orig!BI96</f>
        <v>2.0505799999999999E-4</v>
      </c>
      <c r="BS96" s="188">
        <f>opex_orig!BJ96</f>
        <v>2.7518200000000001E-4</v>
      </c>
      <c r="BT96" s="188">
        <f>opex_orig!BK96</f>
        <v>1.1263180000000001E-3</v>
      </c>
      <c r="BU96" s="188">
        <f>opex_orig!BL96</f>
        <v>0</v>
      </c>
      <c r="BV96" s="27">
        <f>opex_orig!BM96</f>
        <v>1.58975362030599E-5</v>
      </c>
      <c r="BW96" s="27">
        <f>opex_orig!BN96</f>
        <v>1.2355511858528801E-4</v>
      </c>
      <c r="BX96" s="27">
        <f>opex_orig!BO96</f>
        <v>5.3944695680493603E-6</v>
      </c>
      <c r="BY96" s="27">
        <f>opex_orig!BP96</f>
        <v>1.03434838803883E-5</v>
      </c>
      <c r="BZ96" s="27">
        <f>opex_orig!BQ96</f>
        <v>9.6352110114722606E-6</v>
      </c>
      <c r="CA96" s="27">
        <f>opex_orig!BR96</f>
        <v>6.21818087418901E-4</v>
      </c>
      <c r="CB96" s="27">
        <f>opex_orig!BS96</f>
        <v>2.8572184755178799E-4</v>
      </c>
      <c r="CC96" s="27">
        <f>opex_orig!BT96</f>
        <v>1.6571756397194999E-3</v>
      </c>
      <c r="CD96" s="27">
        <f>opex_orig!BU96</f>
        <v>5.31056529141152E-6</v>
      </c>
      <c r="CE96" s="27">
        <f>opex_orig!BV96</f>
        <v>5.3105652914115301E-6</v>
      </c>
      <c r="CF96" s="27">
        <f>opex_orig!BW96</f>
        <v>8.6382214202418298E-4</v>
      </c>
      <c r="CG96" s="27">
        <f>opex_orig!BX96</f>
        <v>1.9538283965824601E-5</v>
      </c>
      <c r="CH96" s="27">
        <f>opex_orig!BY96</f>
        <v>1.5246008765371601E-4</v>
      </c>
      <c r="CI96" s="27">
        <f>opex_orig!BZ96</f>
        <v>1.19E-5</v>
      </c>
      <c r="CJ96" s="27">
        <f>opex_orig!CA96</f>
        <v>8.8999999999999995E-6</v>
      </c>
      <c r="CK96" s="27">
        <f>opex_orig!CB96</f>
        <v>9.7999999999999993E-6</v>
      </c>
      <c r="CL96" s="27">
        <f>opex_orig!CC96</f>
        <v>1.1399999999999999E-5</v>
      </c>
      <c r="CM96" s="27">
        <f>opex_orig!CD96</f>
        <v>2.3600000000000001E-5</v>
      </c>
      <c r="CN96" s="27">
        <f>opex_orig!CE96</f>
        <v>1.2099999999999999E-5</v>
      </c>
      <c r="CO96" s="27">
        <f>opex_orig!CF96</f>
        <v>4.8099999999999997E-5</v>
      </c>
      <c r="CP96" s="27">
        <f>opex_orig!CG96</f>
        <v>6.4799999999999998E-6</v>
      </c>
    </row>
    <row r="97" spans="1:94" x14ac:dyDescent="0.25">
      <c r="A97" s="5" t="s">
        <v>2</v>
      </c>
      <c r="B97" s="2" t="s">
        <v>3</v>
      </c>
      <c r="C97" s="1" t="s">
        <v>330</v>
      </c>
      <c r="D97" s="188">
        <f>opex_orig!D97</f>
        <v>9.9430400000000011E-4</v>
      </c>
      <c r="E97" s="188">
        <f>opex_orig!E97</f>
        <v>1.697648E-3</v>
      </c>
      <c r="F97" s="188">
        <f>opex_orig!F97</f>
        <v>9.9679499999999997E-4</v>
      </c>
      <c r="G97" s="188">
        <f>opex_orig!G97</f>
        <v>1.17791E-4</v>
      </c>
      <c r="H97" s="188">
        <f>opex_orig!H97</f>
        <v>2.9655099999999999E-4</v>
      </c>
      <c r="I97" s="188">
        <f>opex_orig!I97</f>
        <v>5.3586049999999998E-3</v>
      </c>
      <c r="J97" s="188">
        <f>opex_orig!J97</f>
        <v>2.1951368999999998E-2</v>
      </c>
      <c r="K97" s="188">
        <f>opex_orig!K97</f>
        <v>3.80594E-4</v>
      </c>
      <c r="L97" s="188">
        <f>opex_orig!L97</f>
        <v>2.0490220000000002E-3</v>
      </c>
      <c r="M97" s="188">
        <f>opex_orig!M97</f>
        <v>7.3513340000000002E-3</v>
      </c>
      <c r="N97" s="188">
        <f>opex_orig!N97</f>
        <v>3.116808E-3</v>
      </c>
      <c r="O97" s="188">
        <f>opex_orig!O97</f>
        <v>2.0783759999999998E-3</v>
      </c>
      <c r="P97" s="188">
        <f>opex_orig!P97</f>
        <v>1.6125877E-2</v>
      </c>
      <c r="Q97" s="188">
        <f>opex_orig!Q97</f>
        <v>1.6864697000000001E-2</v>
      </c>
      <c r="R97" s="188">
        <f>opex_orig!R97</f>
        <v>7.2617299999999999E-4</v>
      </c>
      <c r="S97" s="188">
        <f>opex_orig!S97</f>
        <v>7.9774549999999996E-3</v>
      </c>
      <c r="T97" s="188">
        <f>opex_orig!T97</f>
        <v>8.1236309999999992E-3</v>
      </c>
      <c r="U97" s="188">
        <f>opex_orig!U97</f>
        <v>2.7546643999999999E-2</v>
      </c>
      <c r="V97" s="188">
        <f>opex_orig!V97</f>
        <v>1.3299770000000001E-2</v>
      </c>
      <c r="W97" s="188">
        <f>opex_orig!W97</f>
        <v>6.4762099999999996E-3</v>
      </c>
      <c r="X97" s="188">
        <f>opex_orig!X97</f>
        <v>3.917785E-3</v>
      </c>
      <c r="Y97" s="188">
        <f>opex_orig!Y97</f>
        <v>1.6750148999999999E-2</v>
      </c>
      <c r="Z97" s="188">
        <f>opex_orig!Z97</f>
        <v>3.6012158000000002E-2</v>
      </c>
      <c r="AA97" s="188">
        <f>opex_orig!AA97</f>
        <v>3.5943500000000002E-4</v>
      </c>
      <c r="AB97" s="273">
        <f>opex_concordance!M163</f>
        <v>2.4474877346843799E-4</v>
      </c>
      <c r="AC97" s="273">
        <f>opex_concordance!M208</f>
        <v>7.3951129641367831E-3</v>
      </c>
      <c r="AD97" s="273">
        <f>opex_concordance!M253</f>
        <v>6.5967413845289006E-3</v>
      </c>
      <c r="AE97" s="188">
        <f>opex_orig!$AC97</f>
        <v>2.5889863919273102E-3</v>
      </c>
      <c r="AF97" s="273">
        <f>opex_concordance!M295</f>
        <v>4.5176509017278103E-3</v>
      </c>
      <c r="AG97" s="273">
        <f>opex_concordance!M331</f>
        <v>1.1139980150779451E-3</v>
      </c>
      <c r="AH97" s="273">
        <f>opex_concordance!M367</f>
        <v>1.3471102307565242E-3</v>
      </c>
      <c r="AI97" s="188">
        <f>opex_orig!AE97</f>
        <v>4.5805129999999996E-3</v>
      </c>
      <c r="AJ97" s="188">
        <f>opex_orig!AF97</f>
        <v>1.5491984E-2</v>
      </c>
      <c r="AK97" s="188">
        <f>opex_orig!AG97</f>
        <v>4.0929260000000002E-3</v>
      </c>
      <c r="AL97" s="188">
        <f>opex_orig!AH97</f>
        <v>2.6119060000000002E-3</v>
      </c>
      <c r="AM97" s="188">
        <f>opex_orig!AI97</f>
        <v>6.793688E-3</v>
      </c>
      <c r="AN97" s="188">
        <f>opex_orig!AJ97</f>
        <v>2.1401620000000001E-3</v>
      </c>
      <c r="AO97" s="188">
        <f>opex_orig!AK97</f>
        <v>3.3156510000000002E-3</v>
      </c>
      <c r="AP97" s="273">
        <f>opex_concordance!M405</f>
        <v>8.51974436228768E-3</v>
      </c>
      <c r="AQ97" s="273">
        <f>opex_concordance!M459</f>
        <v>1.1328311983508451E-2</v>
      </c>
      <c r="AR97" s="273">
        <f>opex_concordance!M513</f>
        <v>2.3298174839807766E-2</v>
      </c>
      <c r="AS97" s="188">
        <f>opex_orig!$AM97</f>
        <v>3.7324439747756901E-3</v>
      </c>
      <c r="AT97" s="188">
        <f>opex_orig!AN97</f>
        <v>1.2414853999999999E-2</v>
      </c>
      <c r="AU97" s="273">
        <f>opex_concordance!M572</f>
        <v>2.61380390360051E-3</v>
      </c>
      <c r="AV97" s="273">
        <f>opex_concordance!M618</f>
        <v>3.5677521695546943E-2</v>
      </c>
      <c r="AW97" s="273">
        <f>opex_concordance!M664</f>
        <v>3.0951634340759646E-3</v>
      </c>
      <c r="AX97" s="188">
        <f>opex_orig!$AP97</f>
        <v>1.11759578541454E-2</v>
      </c>
      <c r="AY97" s="188">
        <f>opex_orig!AQ97</f>
        <v>1.507043E-3</v>
      </c>
      <c r="AZ97" s="188">
        <f>opex_orig!AR97</f>
        <v>0</v>
      </c>
      <c r="BA97" s="188">
        <f>opex_orig!AS97</f>
        <v>9.3702620000000007E-3</v>
      </c>
      <c r="BB97" s="188">
        <f>opex_orig!AT97</f>
        <v>7.6860100000000005E-4</v>
      </c>
      <c r="BC97" s="188">
        <f>opex_orig!AU97</f>
        <v>2.6032600000000001E-4</v>
      </c>
      <c r="BD97" s="188">
        <f>opex_orig!AV97</f>
        <v>1.4449299999999999E-4</v>
      </c>
      <c r="BE97" s="188">
        <f>opex_orig!AW97</f>
        <v>1.312798E-3</v>
      </c>
      <c r="BF97" s="188">
        <f>opex_orig!AX97</f>
        <v>0</v>
      </c>
      <c r="BG97" s="188">
        <f>opex_orig!AY97</f>
        <v>2.589329E-3</v>
      </c>
      <c r="BH97" s="188">
        <f>opex_orig!AZ97</f>
        <v>0</v>
      </c>
      <c r="BI97" s="188">
        <f>opex_orig!BA97</f>
        <v>8.14348E-4</v>
      </c>
      <c r="BJ97" s="188">
        <f>opex_orig!BB97</f>
        <v>4.9775569999999996E-3</v>
      </c>
      <c r="BK97" s="188">
        <f>opex_orig!BC97</f>
        <v>8.6544859999999994E-3</v>
      </c>
      <c r="BL97" s="188">
        <f>opex_orig!BD97</f>
        <v>3.3020100000000002E-4</v>
      </c>
      <c r="BM97" s="188">
        <f>opex_orig!BE97</f>
        <v>5.0410489999999997E-3</v>
      </c>
      <c r="BN97" s="188">
        <f>opex_orig!BF97</f>
        <v>1.251327E-3</v>
      </c>
      <c r="BO97" s="188">
        <f>opex_orig!BG97</f>
        <v>1.2624358E-2</v>
      </c>
      <c r="BP97" s="188">
        <f>opex_orig!$BH97</f>
        <v>1.6045727041877E-3</v>
      </c>
      <c r="BQ97" s="188">
        <f>opex_orig!$BH97</f>
        <v>1.6045727041877E-3</v>
      </c>
      <c r="BR97" s="188">
        <f>opex_orig!BI97</f>
        <v>3.055557E-3</v>
      </c>
      <c r="BS97" s="188">
        <f>opex_orig!BJ97</f>
        <v>6.1397159999999999E-3</v>
      </c>
      <c r="BT97" s="188">
        <f>opex_orig!BK97</f>
        <v>1.787961E-3</v>
      </c>
      <c r="BU97" s="188">
        <f>opex_orig!BL97</f>
        <v>0</v>
      </c>
      <c r="BV97" s="27">
        <f>opex_orig!BM97</f>
        <v>1.8991982309404101E-4</v>
      </c>
      <c r="BW97" s="27">
        <f>opex_orig!BN97</f>
        <v>2.7073148132958802E-4</v>
      </c>
      <c r="BX97" s="27">
        <f>opex_orig!BO97</f>
        <v>6.4513514082323298E-5</v>
      </c>
      <c r="BY97" s="27">
        <f>opex_orig!BP97</f>
        <v>1.1142013391870899E-4</v>
      </c>
      <c r="BZ97" s="27">
        <f>opex_orig!BQ97</f>
        <v>1.3144560234639799E-4</v>
      </c>
      <c r="CA97" s="27">
        <f>opex_orig!BR97</f>
        <v>2.16865250690182E-4</v>
      </c>
      <c r="CB97" s="27">
        <f>opex_orig!BS97</f>
        <v>2.7800594975965201E-4</v>
      </c>
      <c r="CC97" s="27">
        <f>opex_orig!BT97</f>
        <v>1.33986353189564E-5</v>
      </c>
      <c r="CD97" s="27">
        <f>opex_orig!BU97</f>
        <v>1.09293291087792E-4</v>
      </c>
      <c r="CE97" s="27">
        <f>opex_orig!BV97</f>
        <v>1.09293291087792E-4</v>
      </c>
      <c r="CF97" s="27">
        <f>opex_orig!BW97</f>
        <v>2.9421101607451899E-5</v>
      </c>
      <c r="CG97" s="27">
        <f>opex_orig!BX97</f>
        <v>4.9118954075536801E-7</v>
      </c>
      <c r="CH97" s="27">
        <f>opex_orig!BY97</f>
        <v>8.7838194362857807E-6</v>
      </c>
      <c r="CI97" s="27">
        <f>opex_orig!BZ97</f>
        <v>1.6810499999999999E-4</v>
      </c>
      <c r="CJ97" s="27">
        <f>opex_orig!CA97</f>
        <v>3.7049047000000002E-2</v>
      </c>
      <c r="CK97" s="27">
        <f>opex_orig!CB97</f>
        <v>2.9574082000000002E-2</v>
      </c>
      <c r="CL97" s="27">
        <f>opex_orig!CC97</f>
        <v>0.238724349</v>
      </c>
      <c r="CM97" s="27">
        <f>opex_orig!CD97</f>
        <v>8.0696870000000007E-3</v>
      </c>
      <c r="CN97" s="27">
        <f>opex_orig!CE97</f>
        <v>3.2371140000000001E-3</v>
      </c>
      <c r="CO97" s="27">
        <f>opex_orig!CF97</f>
        <v>1.3114159999999999E-3</v>
      </c>
      <c r="CP97" s="27">
        <f>opex_orig!CG97</f>
        <v>3.8721680000000001E-3</v>
      </c>
    </row>
    <row r="98" spans="1:94" x14ac:dyDescent="0.25">
      <c r="A98" s="5" t="s">
        <v>4</v>
      </c>
      <c r="B98" s="2" t="s">
        <v>5</v>
      </c>
      <c r="C98" s="1" t="s">
        <v>330</v>
      </c>
      <c r="D98" s="188">
        <f>opex_orig!D98</f>
        <v>4.8099999999999997E-5</v>
      </c>
      <c r="E98" s="188">
        <f>opex_orig!E98</f>
        <v>3.0800000000000003E-5</v>
      </c>
      <c r="F98" s="188">
        <f>opex_orig!F98</f>
        <v>3.6100000000000003E-5</v>
      </c>
      <c r="G98" s="188">
        <f>opex_orig!G98</f>
        <v>1.13E-6</v>
      </c>
      <c r="H98" s="188">
        <f>opex_orig!H98</f>
        <v>6.5200000000000003E-6</v>
      </c>
      <c r="I98" s="188">
        <f>opex_orig!I98</f>
        <v>6.5099999999999997E-5</v>
      </c>
      <c r="J98" s="188">
        <f>opex_orig!J98</f>
        <v>2.2781599999999999E-4</v>
      </c>
      <c r="K98" s="188">
        <f>opex_orig!K98</f>
        <v>4.5199999999999999E-6</v>
      </c>
      <c r="L98" s="188">
        <f>opex_orig!L98</f>
        <v>4.1499999999999999E-5</v>
      </c>
      <c r="M98" s="188">
        <f>opex_orig!M98</f>
        <v>1.53213E-4</v>
      </c>
      <c r="N98" s="188">
        <f>opex_orig!N98</f>
        <v>9.2499999999999999E-5</v>
      </c>
      <c r="O98" s="188">
        <f>opex_orig!O98</f>
        <v>8.1699999999999994E-5</v>
      </c>
      <c r="P98" s="188">
        <f>opex_orig!P98</f>
        <v>2.12065E-4</v>
      </c>
      <c r="Q98" s="188">
        <f>opex_orig!Q98</f>
        <v>3.75072E-4</v>
      </c>
      <c r="R98" s="188">
        <f>opex_orig!R98</f>
        <v>2.34E-5</v>
      </c>
      <c r="S98" s="188">
        <f>opex_orig!S98</f>
        <v>9.2800000000000006E-5</v>
      </c>
      <c r="T98" s="188">
        <f>opex_orig!T98</f>
        <v>9.1600000000000004E-5</v>
      </c>
      <c r="U98" s="188">
        <f>opex_orig!U98</f>
        <v>1.0644E-4</v>
      </c>
      <c r="V98" s="188">
        <f>opex_orig!V98</f>
        <v>3.8099999999999998E-5</v>
      </c>
      <c r="W98" s="188">
        <f>opex_orig!W98</f>
        <v>8.8900000000000006E-5</v>
      </c>
      <c r="X98" s="188">
        <f>opex_orig!X98</f>
        <v>3.6399999999999997E-5</v>
      </c>
      <c r="Y98" s="188">
        <f>opex_orig!Y98</f>
        <v>1.204501E-3</v>
      </c>
      <c r="Z98" s="188">
        <f>opex_orig!Z98</f>
        <v>2.7642370000000001E-3</v>
      </c>
      <c r="AA98" s="188">
        <f>opex_orig!AA98</f>
        <v>1.56E-5</v>
      </c>
      <c r="AB98" s="273">
        <f>opex_concordance!M164</f>
        <v>2.2462004639810701E-5</v>
      </c>
      <c r="AC98" s="273">
        <f>opex_concordance!M209</f>
        <v>6.7869211092812926E-4</v>
      </c>
      <c r="AD98" s="273">
        <f>opex_concordance!M254</f>
        <v>6.0542095262441724E-4</v>
      </c>
      <c r="AE98" s="188">
        <f>opex_orig!$AC98</f>
        <v>8.1662075691264595E-5</v>
      </c>
      <c r="AF98" s="273">
        <f>opex_concordance!M296</f>
        <v>7.0137183206178306E-5</v>
      </c>
      <c r="AG98" s="273">
        <f>opex_concordance!M332</f>
        <v>1.7294980195339657E-5</v>
      </c>
      <c r="AH98" s="273">
        <f>opex_concordance!M368</f>
        <v>2.0914081036529829E-5</v>
      </c>
      <c r="AI98" s="188">
        <f>opex_orig!AE98</f>
        <v>3.3399999999999999E-5</v>
      </c>
      <c r="AJ98" s="188">
        <f>opex_orig!AF98</f>
        <v>4.1412799999999999E-4</v>
      </c>
      <c r="AK98" s="188">
        <f>opex_orig!AG98</f>
        <v>6.3499999999999999E-5</v>
      </c>
      <c r="AL98" s="188">
        <f>opex_orig!AH98</f>
        <v>3.15E-5</v>
      </c>
      <c r="AM98" s="188">
        <f>opex_orig!AI98</f>
        <v>4.8199999999999999E-5</v>
      </c>
      <c r="AN98" s="188">
        <f>opex_orig!AJ98</f>
        <v>1.1600000000000001E-5</v>
      </c>
      <c r="AO98" s="188">
        <f>opex_orig!AK98</f>
        <v>2.5700000000000001E-5</v>
      </c>
      <c r="AP98" s="273">
        <f>opex_concordance!M406</f>
        <v>5.0144068549209901E-5</v>
      </c>
      <c r="AQ98" s="273">
        <f>opex_concordance!M460</f>
        <v>6.6674260223384716E-5</v>
      </c>
      <c r="AR98" s="273">
        <f>opex_concordance!M514</f>
        <v>1.3712445192722909E-4</v>
      </c>
      <c r="AS98" s="188">
        <f>opex_orig!$AM98</f>
        <v>2.37528491962638E-5</v>
      </c>
      <c r="AT98" s="188">
        <f>opex_orig!AN98</f>
        <v>1.39787E-4</v>
      </c>
      <c r="AU98" s="273">
        <f>opex_concordance!M573</f>
        <v>4.9562343982420399E-5</v>
      </c>
      <c r="AV98" s="273">
        <f>opex_concordance!M619</f>
        <v>6.7650889964590967E-4</v>
      </c>
      <c r="AW98" s="273">
        <f>opex_concordance!M665</f>
        <v>5.8689771864740668E-5</v>
      </c>
      <c r="AX98" s="188">
        <f>opex_orig!$AP98</f>
        <v>1.80554883626878E-4</v>
      </c>
      <c r="AY98" s="188">
        <f>opex_orig!AQ98</f>
        <v>3.1699999999999998E-5</v>
      </c>
      <c r="AZ98" s="188">
        <f>opex_orig!AR98</f>
        <v>0</v>
      </c>
      <c r="BA98" s="188">
        <f>opex_orig!AS98</f>
        <v>1.22328E-4</v>
      </c>
      <c r="BB98" s="188">
        <f>opex_orig!AT98</f>
        <v>1.7200000000000001E-5</v>
      </c>
      <c r="BC98" s="188">
        <f>opex_orig!AU98</f>
        <v>4.7700000000000001E-6</v>
      </c>
      <c r="BD98" s="188">
        <f>opex_orig!AV98</f>
        <v>2.96E-6</v>
      </c>
      <c r="BE98" s="188">
        <f>opex_orig!AW98</f>
        <v>4.1900000000000002E-5</v>
      </c>
      <c r="BF98" s="188">
        <f>opex_orig!AX98</f>
        <v>0</v>
      </c>
      <c r="BG98" s="188">
        <f>opex_orig!AY98</f>
        <v>5.2899999999999998E-5</v>
      </c>
      <c r="BH98" s="188">
        <f>opex_orig!AZ98</f>
        <v>0</v>
      </c>
      <c r="BI98" s="188">
        <f>opex_orig!BA98</f>
        <v>1.9300000000000002E-5</v>
      </c>
      <c r="BJ98" s="188">
        <f>opex_orig!BB98</f>
        <v>7.7100000000000004E-5</v>
      </c>
      <c r="BK98" s="188">
        <f>opex_orig!BC98</f>
        <v>1.7424000000000001E-4</v>
      </c>
      <c r="BL98" s="188">
        <f>opex_orig!BD98</f>
        <v>7.7399999999999998E-5</v>
      </c>
      <c r="BM98" s="188">
        <f>opex_orig!BE98</f>
        <v>1.3097599999999999E-4</v>
      </c>
      <c r="BN98" s="188">
        <f>opex_orig!BF98</f>
        <v>3.4499999999999998E-5</v>
      </c>
      <c r="BO98" s="188">
        <f>opex_orig!BG98</f>
        <v>1.7616999999999999E-4</v>
      </c>
      <c r="BP98" s="188">
        <f>opex_orig!$BH98</f>
        <v>5.1804932393656702E-5</v>
      </c>
      <c r="BQ98" s="188">
        <f>opex_orig!$BH98</f>
        <v>5.1804932393656702E-5</v>
      </c>
      <c r="BR98" s="188">
        <f>opex_orig!BI98</f>
        <v>7.2799999999999994E-5</v>
      </c>
      <c r="BS98" s="188">
        <f>opex_orig!BJ98</f>
        <v>8.4099999999999998E-5</v>
      </c>
      <c r="BT98" s="188">
        <f>opex_orig!BK98</f>
        <v>2.5299999999999998E-5</v>
      </c>
      <c r="BU98" s="188">
        <f>opex_orig!BL98</f>
        <v>0</v>
      </c>
      <c r="BV98" s="27">
        <f>opex_orig!BM98</f>
        <v>2.3579645993773599E-5</v>
      </c>
      <c r="BW98" s="27">
        <f>opex_orig!BN98</f>
        <v>6.05139389176341E-5</v>
      </c>
      <c r="BX98" s="27">
        <f>opex_orig!BO98</f>
        <v>9.2080171365813103E-6</v>
      </c>
      <c r="BY98" s="27">
        <f>opex_orig!BP98</f>
        <v>1.9212620331360002E-5</v>
      </c>
      <c r="BZ98" s="27">
        <f>opex_orig!BQ98</f>
        <v>1.3964880589648299E-5</v>
      </c>
      <c r="CA98" s="27">
        <f>opex_orig!BR98</f>
        <v>1.13947611275732E-4</v>
      </c>
      <c r="CB98" s="27">
        <f>opex_orig!BS98</f>
        <v>2.97040786233609E-5</v>
      </c>
      <c r="CC98" s="27">
        <f>opex_orig!BT98</f>
        <v>4.0520545377474001E-5</v>
      </c>
      <c r="CD98" s="27">
        <f>opex_orig!BU98</f>
        <v>9.8995838179648392E-6</v>
      </c>
      <c r="CE98" s="27">
        <f>opex_orig!BV98</f>
        <v>9.8995838179648596E-6</v>
      </c>
      <c r="CF98" s="27">
        <f>opex_orig!BW98</f>
        <v>8.5998822282437506E-5</v>
      </c>
      <c r="CG98" s="27">
        <f>opex_orig!BX98</f>
        <v>1.2577426912922799E-6</v>
      </c>
      <c r="CH98" s="27">
        <f>opex_orig!BY98</f>
        <v>2.9430564572967001E-5</v>
      </c>
      <c r="CI98" s="27">
        <f>opex_orig!BZ98</f>
        <v>2.6299999999999999E-5</v>
      </c>
      <c r="CJ98" s="27">
        <f>opex_orig!CA98</f>
        <v>5.0142999999999997E-4</v>
      </c>
      <c r="CK98" s="27">
        <f>opex_orig!CB98</f>
        <v>1.4883100000000001E-4</v>
      </c>
      <c r="CL98" s="27">
        <f>opex_orig!CC98</f>
        <v>2.0473834E-2</v>
      </c>
      <c r="CM98" s="27">
        <f>opex_orig!CD98</f>
        <v>1.2354449999999999E-3</v>
      </c>
      <c r="CN98" s="27">
        <f>opex_orig!CE98</f>
        <v>4.99E-5</v>
      </c>
      <c r="CO98" s="27">
        <f>opex_orig!CF98</f>
        <v>5.5899999999999997E-5</v>
      </c>
      <c r="CP98" s="27">
        <f>opex_orig!CG98</f>
        <v>8.8300000000000005E-5</v>
      </c>
    </row>
    <row r="99" spans="1:94" x14ac:dyDescent="0.25">
      <c r="A99" s="5" t="s">
        <v>6</v>
      </c>
      <c r="B99" s="2" t="s">
        <v>7</v>
      </c>
      <c r="C99" s="1" t="s">
        <v>330</v>
      </c>
      <c r="D99" s="188">
        <f>opex_orig!D99</f>
        <v>7.2493500000000001E-4</v>
      </c>
      <c r="E99" s="188">
        <f>opex_orig!E99</f>
        <v>1.2331530000000001E-3</v>
      </c>
      <c r="F99" s="188">
        <f>opex_orig!F99</f>
        <v>6.17087E-4</v>
      </c>
      <c r="G99" s="188">
        <f>opex_orig!G99</f>
        <v>1.00021E-4</v>
      </c>
      <c r="H99" s="188">
        <f>opex_orig!H99</f>
        <v>2.1207100000000001E-4</v>
      </c>
      <c r="I99" s="188">
        <f>opex_orig!I99</f>
        <v>3.9983010000000001E-3</v>
      </c>
      <c r="J99" s="188">
        <f>opex_orig!J99</f>
        <v>1.6506237999999999E-2</v>
      </c>
      <c r="K99" s="188">
        <f>opex_orig!K99</f>
        <v>3.1130699999999998E-4</v>
      </c>
      <c r="L99" s="188">
        <f>opex_orig!L99</f>
        <v>1.4629700000000001E-3</v>
      </c>
      <c r="M99" s="188">
        <f>opex_orig!M99</f>
        <v>5.1071179999999999E-3</v>
      </c>
      <c r="N99" s="188">
        <f>opex_orig!N99</f>
        <v>2.0849330000000002E-3</v>
      </c>
      <c r="O99" s="188">
        <f>opex_orig!O99</f>
        <v>1.2842960000000001E-3</v>
      </c>
      <c r="P99" s="188">
        <f>opex_orig!P99</f>
        <v>1.1523181E-2</v>
      </c>
      <c r="Q99" s="188">
        <f>opex_orig!Q99</f>
        <v>1.0838975000000001E-2</v>
      </c>
      <c r="R99" s="188">
        <f>opex_orig!R99</f>
        <v>5.0633500000000001E-4</v>
      </c>
      <c r="S99" s="188">
        <f>opex_orig!S99</f>
        <v>5.8293470000000003E-3</v>
      </c>
      <c r="T99" s="188">
        <f>opex_orig!T99</f>
        <v>5.9762060000000004E-3</v>
      </c>
      <c r="U99" s="188">
        <f>opex_orig!U99</f>
        <v>2.1646003E-2</v>
      </c>
      <c r="V99" s="188">
        <f>opex_orig!V99</f>
        <v>1.0784795999999999E-2</v>
      </c>
      <c r="W99" s="188">
        <f>opex_orig!W99</f>
        <v>4.6246949999999998E-3</v>
      </c>
      <c r="X99" s="188">
        <f>opex_orig!X99</f>
        <v>2.9604309999999999E-3</v>
      </c>
      <c r="Y99" s="188">
        <f>opex_orig!Y99</f>
        <v>7.1044300000000001E-3</v>
      </c>
      <c r="Z99" s="188">
        <f>opex_orig!Z99</f>
        <v>1.4454524999999999E-2</v>
      </c>
      <c r="AA99" s="188">
        <f>opex_orig!AA99</f>
        <v>3.2325000000000002E-4</v>
      </c>
      <c r="AB99" s="273">
        <f>opex_concordance!M165</f>
        <v>2.9041342622646802E-4</v>
      </c>
      <c r="AC99" s="273">
        <f>opex_concordance!M210</f>
        <v>8.7748758157666033E-3</v>
      </c>
      <c r="AD99" s="273">
        <f>opex_concordance!M255</f>
        <v>7.8275459372548206E-3</v>
      </c>
      <c r="AE99" s="188">
        <f>opex_orig!$AC99</f>
        <v>1.8950531346734001E-3</v>
      </c>
      <c r="AF99" s="273">
        <f>opex_concordance!M297</f>
        <v>3.3409401562030502E-3</v>
      </c>
      <c r="AG99" s="273">
        <f>opex_concordance!M333</f>
        <v>8.2383539221256947E-4</v>
      </c>
      <c r="AH99" s="273">
        <f>opex_concordance!M369</f>
        <v>9.9622896117208511E-4</v>
      </c>
      <c r="AI99" s="188">
        <f>opex_orig!AE99</f>
        <v>3.6213999999999999E-3</v>
      </c>
      <c r="AJ99" s="188">
        <f>opex_orig!AF99</f>
        <v>1.0070653000000001E-2</v>
      </c>
      <c r="AK99" s="188">
        <f>opex_orig!AG99</f>
        <v>2.91647E-3</v>
      </c>
      <c r="AL99" s="188">
        <f>opex_orig!AH99</f>
        <v>2.0390690000000001E-3</v>
      </c>
      <c r="AM99" s="188">
        <f>opex_orig!AI99</f>
        <v>5.2215760000000003E-3</v>
      </c>
      <c r="AN99" s="188">
        <f>opex_orig!AJ99</f>
        <v>2.10034E-3</v>
      </c>
      <c r="AO99" s="188">
        <f>opex_orig!AK99</f>
        <v>2.5886189999999999E-3</v>
      </c>
      <c r="AP99" s="273">
        <f>opex_concordance!M407</f>
        <v>6.5666744549239204E-3</v>
      </c>
      <c r="AQ99" s="273">
        <f>opex_concordance!M461</f>
        <v>8.7314048117212283E-3</v>
      </c>
      <c r="AR99" s="273">
        <f>opex_concordance!M515</f>
        <v>1.7957291094804203E-2</v>
      </c>
      <c r="AS99" s="188">
        <f>opex_orig!$AM99</f>
        <v>2.9144996357411898E-3</v>
      </c>
      <c r="AT99" s="188">
        <f>opex_orig!AN99</f>
        <v>9.0411150000000006E-3</v>
      </c>
      <c r="AU99" s="273">
        <f>opex_concordance!M574</f>
        <v>1.77290468245335E-3</v>
      </c>
      <c r="AV99" s="273">
        <f>opex_concordance!M620</f>
        <v>2.4199537381222627E-2</v>
      </c>
      <c r="AW99" s="273">
        <f>opex_concordance!M666</f>
        <v>2.0994037608072836E-3</v>
      </c>
      <c r="AX99" s="188">
        <f>opex_orig!$AP99</f>
        <v>7.6997117953459598E-3</v>
      </c>
      <c r="AY99" s="188">
        <f>opex_orig!AQ99</f>
        <v>1.030621E-3</v>
      </c>
      <c r="AZ99" s="188">
        <f>opex_orig!AR99</f>
        <v>0</v>
      </c>
      <c r="BA99" s="188">
        <f>opex_orig!AS99</f>
        <v>6.6655100000000004E-3</v>
      </c>
      <c r="BB99" s="188">
        <f>opex_orig!AT99</f>
        <v>5.4628200000000004E-4</v>
      </c>
      <c r="BC99" s="188">
        <f>opex_orig!AU99</f>
        <v>2.67893E-4</v>
      </c>
      <c r="BD99" s="188">
        <f>opex_orig!AV99</f>
        <v>1.6584799999999999E-4</v>
      </c>
      <c r="BE99" s="188">
        <f>opex_orig!AW99</f>
        <v>9.1505199999999997E-4</v>
      </c>
      <c r="BF99" s="188">
        <f>opex_orig!AX99</f>
        <v>0</v>
      </c>
      <c r="BG99" s="188">
        <f>opex_orig!AY99</f>
        <v>1.7937809999999999E-3</v>
      </c>
      <c r="BH99" s="188">
        <f>opex_orig!AZ99</f>
        <v>0</v>
      </c>
      <c r="BI99" s="188">
        <f>opex_orig!BA99</f>
        <v>5.7350399999999996E-4</v>
      </c>
      <c r="BJ99" s="188">
        <f>opex_orig!BB99</f>
        <v>3.5535749999999998E-3</v>
      </c>
      <c r="BK99" s="188">
        <f>opex_orig!BC99</f>
        <v>6.0788209999999999E-3</v>
      </c>
      <c r="BL99" s="188">
        <f>opex_orig!BD99</f>
        <v>2.1502399999999999E-4</v>
      </c>
      <c r="BM99" s="188">
        <f>opex_orig!BE99</f>
        <v>3.6137650000000001E-3</v>
      </c>
      <c r="BN99" s="188">
        <f>opex_orig!BF99</f>
        <v>8.7796700000000001E-4</v>
      </c>
      <c r="BO99" s="188">
        <f>opex_orig!BG99</f>
        <v>8.8443949999999997E-3</v>
      </c>
      <c r="BP99" s="188">
        <f>opex_orig!$BH99</f>
        <v>1.1561089349864601E-3</v>
      </c>
      <c r="BQ99" s="188">
        <f>opex_orig!$BH99</f>
        <v>1.1561089349864601E-3</v>
      </c>
      <c r="BR99" s="188">
        <f>opex_orig!BI99</f>
        <v>2.091472E-3</v>
      </c>
      <c r="BS99" s="188">
        <f>opex_orig!BJ99</f>
        <v>4.3644820000000003E-3</v>
      </c>
      <c r="BT99" s="188">
        <f>opex_orig!BK99</f>
        <v>1.266774E-3</v>
      </c>
      <c r="BU99" s="188">
        <f>opex_orig!BL99</f>
        <v>0</v>
      </c>
      <c r="BV99" s="27">
        <f>opex_orig!BM99</f>
        <v>1.8746122812531799E-4</v>
      </c>
      <c r="BW99" s="27">
        <f>opex_orig!BN99</f>
        <v>2.5056600662024198E-4</v>
      </c>
      <c r="BX99" s="27">
        <f>opex_orig!BO99</f>
        <v>6.2092507854592298E-5</v>
      </c>
      <c r="BY99" s="27">
        <f>opex_orig!BP99</f>
        <v>1.15353801384932E-4</v>
      </c>
      <c r="BZ99" s="27">
        <f>opex_orig!BQ99</f>
        <v>1.29981245048177E-4</v>
      </c>
      <c r="CA99" s="27">
        <f>opex_orig!BR99</f>
        <v>1.0165320550290701E-4</v>
      </c>
      <c r="CB99" s="27">
        <f>opex_orig!BS99</f>
        <v>2.69205840586952E-4</v>
      </c>
      <c r="CC99" s="27">
        <f>opex_orig!BT99</f>
        <v>3.9264082380793804E-6</v>
      </c>
      <c r="CD99" s="27">
        <f>opex_orig!BU99</f>
        <v>1.08138825132048E-4</v>
      </c>
      <c r="CE99" s="27">
        <f>opex_orig!BV99</f>
        <v>1.08138825132048E-4</v>
      </c>
      <c r="CF99" s="27">
        <f>opex_orig!BW99</f>
        <v>3.5987338402436403E-5</v>
      </c>
      <c r="CG99" s="27">
        <f>opex_orig!BX99</f>
        <v>6.9119741922349399E-7</v>
      </c>
      <c r="CH99" s="27">
        <f>opex_orig!BY99</f>
        <v>7.5109562984773999E-6</v>
      </c>
      <c r="CI99" s="27">
        <f>opex_orig!BZ99</f>
        <v>1.6269099999999999E-4</v>
      </c>
      <c r="CJ99" s="27">
        <f>opex_orig!CA99</f>
        <v>2.6629666E-2</v>
      </c>
      <c r="CK99" s="27">
        <f>opex_orig!CB99</f>
        <v>2.3018197000000001E-2</v>
      </c>
      <c r="CL99" s="27">
        <f>opex_orig!CC99</f>
        <v>8.5357296999999999E-2</v>
      </c>
      <c r="CM99" s="27">
        <f>opex_orig!CD99</f>
        <v>6.3294399999999998E-4</v>
      </c>
      <c r="CN99" s="27">
        <f>opex_orig!CE99</f>
        <v>2.3737570000000002E-3</v>
      </c>
      <c r="CO99" s="27">
        <f>opex_orig!CF99</f>
        <v>8.8236100000000002E-4</v>
      </c>
      <c r="CP99" s="27">
        <f>opex_orig!CG99</f>
        <v>2.6269420000000002E-3</v>
      </c>
    </row>
    <row r="100" spans="1:94" x14ac:dyDescent="0.25">
      <c r="A100" s="5" t="s">
        <v>8</v>
      </c>
      <c r="B100" s="2" t="s">
        <v>9</v>
      </c>
      <c r="C100" s="1" t="s">
        <v>330</v>
      </c>
      <c r="D100" s="188">
        <f>opex_orig!D100</f>
        <v>4.8199999999999999E-5</v>
      </c>
      <c r="E100" s="188">
        <f>opex_orig!E100</f>
        <v>7.7700000000000005E-5</v>
      </c>
      <c r="F100" s="188">
        <f>opex_orig!F100</f>
        <v>4.2200000000000003E-5</v>
      </c>
      <c r="G100" s="188">
        <f>opex_orig!G100</f>
        <v>6.1800000000000001E-6</v>
      </c>
      <c r="H100" s="188">
        <f>opex_orig!H100</f>
        <v>1.3499999999999999E-5</v>
      </c>
      <c r="I100" s="188">
        <f>opex_orig!I100</f>
        <v>2.4537799999999998E-4</v>
      </c>
      <c r="J100" s="188">
        <f>opex_orig!J100</f>
        <v>1.002743E-3</v>
      </c>
      <c r="K100" s="188">
        <f>opex_orig!K100</f>
        <v>1.9400000000000001E-5</v>
      </c>
      <c r="L100" s="188">
        <f>opex_orig!L100</f>
        <v>9.5299999999999999E-5</v>
      </c>
      <c r="M100" s="188">
        <f>opex_orig!M100</f>
        <v>3.24154E-4</v>
      </c>
      <c r="N100" s="188">
        <f>opex_orig!N100</f>
        <v>1.4013200000000001E-4</v>
      </c>
      <c r="O100" s="188">
        <f>opex_orig!O100</f>
        <v>8.5000000000000006E-5</v>
      </c>
      <c r="P100" s="188">
        <f>opex_orig!P100</f>
        <v>7.2398099999999995E-4</v>
      </c>
      <c r="Q100" s="188">
        <f>opex_orig!Q100</f>
        <v>7.1124100000000004E-4</v>
      </c>
      <c r="R100" s="188">
        <f>opex_orig!R100</f>
        <v>3.5899999999999998E-5</v>
      </c>
      <c r="S100" s="188">
        <f>opex_orig!S100</f>
        <v>3.65683E-4</v>
      </c>
      <c r="T100" s="188">
        <f>opex_orig!T100</f>
        <v>3.7456300000000001E-4</v>
      </c>
      <c r="U100" s="188">
        <f>opex_orig!U100</f>
        <v>1.3076839999999999E-3</v>
      </c>
      <c r="V100" s="188">
        <f>opex_orig!V100</f>
        <v>6.4959000000000002E-4</v>
      </c>
      <c r="W100" s="188">
        <f>opex_orig!W100</f>
        <v>2.9200999999999999E-4</v>
      </c>
      <c r="X100" s="188">
        <f>opex_orig!X100</f>
        <v>1.8412999999999999E-4</v>
      </c>
      <c r="Y100" s="188">
        <f>opex_orig!Y100</f>
        <v>4.5204099999999998E-4</v>
      </c>
      <c r="Z100" s="188">
        <f>opex_orig!Z100</f>
        <v>9.2654E-4</v>
      </c>
      <c r="AA100" s="188">
        <f>opex_orig!AA100</f>
        <v>2.4000000000000001E-5</v>
      </c>
      <c r="AB100" s="273">
        <f>opex_concordance!M166</f>
        <v>2.0023637119714199E-5</v>
      </c>
      <c r="AC100" s="273">
        <f>opex_concordance!M211</f>
        <v>6.0501654964274841E-4</v>
      </c>
      <c r="AD100" s="273">
        <f>opex_concordance!M256</f>
        <v>5.3969935695486436E-4</v>
      </c>
      <c r="AE100" s="188">
        <f>opex_orig!$AC100</f>
        <v>1.3524637682202099E-4</v>
      </c>
      <c r="AF100" s="273">
        <f>opex_concordance!M298</f>
        <v>2.12120146280756E-4</v>
      </c>
      <c r="AG100" s="273">
        <f>opex_concordance!M334</f>
        <v>5.2306259836152964E-5</v>
      </c>
      <c r="AH100" s="273">
        <f>opex_concordance!M370</f>
        <v>6.325172648800507E-5</v>
      </c>
      <c r="AI100" s="188">
        <f>opex_orig!AE100</f>
        <v>2.2357E-4</v>
      </c>
      <c r="AJ100" s="188">
        <f>opex_orig!AF100</f>
        <v>6.5277499999999997E-4</v>
      </c>
      <c r="AK100" s="188">
        <f>opex_orig!AG100</f>
        <v>1.88223E-4</v>
      </c>
      <c r="AL100" s="188">
        <f>opex_orig!AH100</f>
        <v>1.29682E-4</v>
      </c>
      <c r="AM100" s="188">
        <f>opex_orig!AI100</f>
        <v>3.20515E-4</v>
      </c>
      <c r="AN100" s="188">
        <f>opex_orig!AJ100</f>
        <v>1.17834E-4</v>
      </c>
      <c r="AO100" s="188">
        <f>opex_orig!AK100</f>
        <v>1.6039599999999999E-4</v>
      </c>
      <c r="AP100" s="273">
        <f>opex_concordance!M408</f>
        <v>4.0098674309218797E-4</v>
      </c>
      <c r="AQ100" s="273">
        <f>opex_concordance!M462</f>
        <v>5.3317361810836382E-4</v>
      </c>
      <c r="AR100" s="273">
        <f>opex_concordance!M516</f>
        <v>1.0965422026463639E-3</v>
      </c>
      <c r="AS100" s="188">
        <f>opex_orig!$AM100</f>
        <v>1.7875135940595299E-4</v>
      </c>
      <c r="AT100" s="188">
        <f>opex_orig!AN100</f>
        <v>5.6571900000000001E-4</v>
      </c>
      <c r="AU100" s="273">
        <f>opex_concordance!M575</f>
        <v>1.14901289678793E-4</v>
      </c>
      <c r="AV100" s="273">
        <f>opex_concordance!M621</f>
        <v>1.5683629708083899E-3</v>
      </c>
      <c r="AW100" s="273">
        <f>opex_concordance!M667</f>
        <v>1.3606157288696336E-4</v>
      </c>
      <c r="AX100" s="188">
        <f>opex_orig!$AP100</f>
        <v>4.9161600000427095E-4</v>
      </c>
      <c r="AY100" s="188">
        <f>opex_orig!AQ100</f>
        <v>7.0199999999999999E-5</v>
      </c>
      <c r="AZ100" s="188">
        <f>opex_orig!AR100</f>
        <v>0</v>
      </c>
      <c r="BA100" s="188">
        <f>opex_orig!AS100</f>
        <v>4.2334600000000001E-4</v>
      </c>
      <c r="BB100" s="188">
        <f>opex_orig!AT100</f>
        <v>3.7799999999999997E-5</v>
      </c>
      <c r="BC100" s="188">
        <f>opex_orig!AU100</f>
        <v>1.6799999999999998E-5</v>
      </c>
      <c r="BD100" s="188">
        <f>opex_orig!AV100</f>
        <v>1.0000000000000001E-5</v>
      </c>
      <c r="BE100" s="188">
        <f>opex_orig!AW100</f>
        <v>6.3499999999999999E-5</v>
      </c>
      <c r="BF100" s="188">
        <f>opex_orig!AX100</f>
        <v>0</v>
      </c>
      <c r="BG100" s="188">
        <f>opex_orig!AY100</f>
        <v>1.21752E-4</v>
      </c>
      <c r="BH100" s="188">
        <f>opex_orig!AZ100</f>
        <v>0</v>
      </c>
      <c r="BI100" s="188">
        <f>opex_orig!BA100</f>
        <v>3.8699999999999999E-5</v>
      </c>
      <c r="BJ100" s="188">
        <f>opex_orig!BB100</f>
        <v>2.2399799999999999E-4</v>
      </c>
      <c r="BK100" s="188">
        <f>opex_orig!BC100</f>
        <v>3.95003E-4</v>
      </c>
      <c r="BL100" s="188">
        <f>opex_orig!BD100</f>
        <v>3.1399999999999998E-5</v>
      </c>
      <c r="BM100" s="188">
        <f>opex_orig!BE100</f>
        <v>2.41778E-4</v>
      </c>
      <c r="BN100" s="188">
        <f>opex_orig!BF100</f>
        <v>6.05E-5</v>
      </c>
      <c r="BO100" s="188">
        <f>opex_orig!BG100</f>
        <v>5.7001199999999995E-4</v>
      </c>
      <c r="BP100" s="188">
        <f>opex_orig!$BH100</f>
        <v>8.0033938129402298E-5</v>
      </c>
      <c r="BQ100" s="188">
        <f>opex_orig!$BH100</f>
        <v>8.0033938129402298E-5</v>
      </c>
      <c r="BR100" s="188">
        <f>opex_orig!BI100</f>
        <v>1.38035E-4</v>
      </c>
      <c r="BS100" s="188">
        <f>opex_orig!BJ100</f>
        <v>2.8047499999999997E-4</v>
      </c>
      <c r="BT100" s="188">
        <f>opex_orig!BK100</f>
        <v>8.3599999999999999E-5</v>
      </c>
      <c r="BU100" s="188">
        <f>opex_orig!BL100</f>
        <v>0</v>
      </c>
      <c r="BV100" s="27">
        <f>opex_orig!BM100</f>
        <v>1.6033133331581301E-5</v>
      </c>
      <c r="BW100" s="27">
        <f>opex_orig!BN100</f>
        <v>3.0847902754961799E-5</v>
      </c>
      <c r="BX100" s="27">
        <f>opex_orig!BO100</f>
        <v>5.8578971003157802E-6</v>
      </c>
      <c r="BY100" s="27">
        <f>opex_orig!BP100</f>
        <v>1.3349235421173399E-5</v>
      </c>
      <c r="BZ100" s="27">
        <f>opex_orig!BQ100</f>
        <v>1.07625233550481E-5</v>
      </c>
      <c r="CA100" s="27">
        <f>opex_orig!BR100</f>
        <v>1.6363267123522601E-5</v>
      </c>
      <c r="CB100" s="27">
        <f>opex_orig!BS100</f>
        <v>2.4355034982207401E-5</v>
      </c>
      <c r="CC100" s="27">
        <f>opex_orig!BT100</f>
        <v>2.4009505349464399E-5</v>
      </c>
      <c r="CD100" s="27">
        <f>opex_orig!BU100</f>
        <v>8.7588035791569004E-6</v>
      </c>
      <c r="CE100" s="27">
        <f>opex_orig!BV100</f>
        <v>8.7588035791569004E-6</v>
      </c>
      <c r="CF100" s="27">
        <f>opex_orig!BW100</f>
        <v>1.5349405288377001E-5</v>
      </c>
      <c r="CG100" s="27">
        <f>opex_orig!BX100</f>
        <v>2.2912547658778201E-7</v>
      </c>
      <c r="CH100" s="27">
        <f>opex_orig!BY100</f>
        <v>2.7661046274818299E-5</v>
      </c>
      <c r="CI100" s="27">
        <f>opex_orig!BZ100</f>
        <v>1.6900000000000001E-5</v>
      </c>
      <c r="CJ100" s="27">
        <f>opex_orig!CA100</f>
        <v>1.6458320000000001E-3</v>
      </c>
      <c r="CK100" s="27">
        <f>opex_orig!CB100</f>
        <v>1.385746E-3</v>
      </c>
      <c r="CL100" s="27">
        <f>opex_orig!CC100</f>
        <v>5.4077989999999996E-3</v>
      </c>
      <c r="CM100" s="27">
        <f>opex_orig!CD100</f>
        <v>4.7599999999999998E-5</v>
      </c>
      <c r="CN100" s="27">
        <f>opex_orig!CE100</f>
        <v>1.4878800000000001E-4</v>
      </c>
      <c r="CO100" s="27">
        <f>opex_orig!CF100</f>
        <v>6.3E-5</v>
      </c>
      <c r="CP100" s="27">
        <f>opex_orig!CG100</f>
        <v>1.6973100000000001E-4</v>
      </c>
    </row>
    <row r="101" spans="1:94" x14ac:dyDescent="0.25">
      <c r="A101" s="1" t="s">
        <v>342</v>
      </c>
      <c r="B101" s="2" t="s">
        <v>336</v>
      </c>
      <c r="C101" s="1" t="s">
        <v>330</v>
      </c>
      <c r="D101" s="188">
        <f>opex_orig!D101</f>
        <v>1.1E-5</v>
      </c>
      <c r="E101" s="188">
        <f>opex_orig!E101</f>
        <v>1.49E-5</v>
      </c>
      <c r="F101" s="188">
        <f>opex_orig!F101</f>
        <v>8.5599999999999994E-6</v>
      </c>
      <c r="G101" s="188">
        <f>opex_orig!G101</f>
        <v>5.9599999999999999E-7</v>
      </c>
      <c r="H101" s="188">
        <f>opex_orig!H101</f>
        <v>2.4600000000000002E-6</v>
      </c>
      <c r="I101" s="188">
        <f>opex_orig!I101</f>
        <v>4.5200000000000001E-5</v>
      </c>
      <c r="J101" s="188">
        <f>opex_orig!J101</f>
        <v>1.8327400000000001E-4</v>
      </c>
      <c r="K101" s="188">
        <f>opex_orig!K101</f>
        <v>1.9599999999999999E-6</v>
      </c>
      <c r="L101" s="188">
        <f>opex_orig!L101</f>
        <v>1.77E-5</v>
      </c>
      <c r="M101" s="188">
        <f>opex_orig!M101</f>
        <v>6.2299999999999996E-5</v>
      </c>
      <c r="N101" s="188">
        <f>opex_orig!N101</f>
        <v>2.8900000000000001E-5</v>
      </c>
      <c r="O101" s="188">
        <f>opex_orig!O101</f>
        <v>1.8300000000000001E-5</v>
      </c>
      <c r="P101" s="188">
        <f>opex_orig!P101</f>
        <v>1.4081200000000001E-4</v>
      </c>
      <c r="Q101" s="188">
        <f>opex_orig!Q101</f>
        <v>1.4733500000000001E-4</v>
      </c>
      <c r="R101" s="188">
        <f>opex_orig!R101</f>
        <v>8.3000000000000002E-6</v>
      </c>
      <c r="S101" s="188">
        <f>opex_orig!S101</f>
        <v>7.0099999999999996E-5</v>
      </c>
      <c r="T101" s="188">
        <f>opex_orig!T101</f>
        <v>7.2299999999999996E-5</v>
      </c>
      <c r="U101" s="188">
        <f>opex_orig!U101</f>
        <v>2.3645E-4</v>
      </c>
      <c r="V101" s="188">
        <f>opex_orig!V101</f>
        <v>1.17173E-4</v>
      </c>
      <c r="W101" s="188">
        <f>opex_orig!W101</f>
        <v>5.7099999999999999E-5</v>
      </c>
      <c r="X101" s="188">
        <f>opex_orig!X101</f>
        <v>3.43E-5</v>
      </c>
      <c r="Y101" s="188">
        <f>opex_orig!Y101</f>
        <v>9.1500000000000001E-5</v>
      </c>
      <c r="Z101" s="188">
        <f>opex_orig!Z101</f>
        <v>1.9926300000000001E-4</v>
      </c>
      <c r="AA101" s="188">
        <f>opex_orig!AA101</f>
        <v>7.4499999999999998E-6</v>
      </c>
      <c r="AB101" s="273">
        <f>opex_concordance!M167</f>
        <v>1.3729815519649202E-5</v>
      </c>
      <c r="AC101" s="273">
        <f>opex_concordance!M212</f>
        <v>4.1484799006626138E-4</v>
      </c>
      <c r="AD101" s="273">
        <f>opex_concordance!M257</f>
        <v>3.7006127122470316E-4</v>
      </c>
      <c r="AE101" s="188">
        <f>opex_orig!$AC101</f>
        <v>2.9736475108600101E-5</v>
      </c>
      <c r="AF101" s="273">
        <f>opex_concordance!M299</f>
        <v>4.0171547932160302E-5</v>
      </c>
      <c r="AG101" s="273">
        <f>opex_concordance!M335</f>
        <v>9.905817344567227E-6</v>
      </c>
      <c r="AH101" s="273">
        <f>opex_concordance!M371</f>
        <v>1.1978681926051955E-5</v>
      </c>
      <c r="AI101" s="188">
        <f>opex_orig!AE101</f>
        <v>4.0200000000000001E-5</v>
      </c>
      <c r="AJ101" s="188">
        <f>opex_orig!AF101</f>
        <v>1.3089899999999999E-4</v>
      </c>
      <c r="AK101" s="188">
        <f>opex_orig!AG101</f>
        <v>3.8399999999999998E-5</v>
      </c>
      <c r="AL101" s="188">
        <f>opex_orig!AH101</f>
        <v>2.8E-5</v>
      </c>
      <c r="AM101" s="188">
        <f>opex_orig!AI101</f>
        <v>6.1299999999999999E-5</v>
      </c>
      <c r="AN101" s="188">
        <f>opex_orig!AJ101</f>
        <v>1.9199999999999999E-5</v>
      </c>
      <c r="AO101" s="188">
        <f>opex_orig!AK101</f>
        <v>3.15E-5</v>
      </c>
      <c r="AP101" s="273">
        <f>opex_concordance!M409</f>
        <v>7.4378301385586503E-5</v>
      </c>
      <c r="AQ101" s="273">
        <f>opex_concordance!M463</f>
        <v>9.8897404319898768E-5</v>
      </c>
      <c r="AR101" s="273">
        <f>opex_concordance!M517</f>
        <v>2.0339561802345044E-4</v>
      </c>
      <c r="AS101" s="188">
        <f>opex_orig!$AM101</f>
        <v>3.4168970306975598E-5</v>
      </c>
      <c r="AT101" s="188">
        <f>opex_orig!AN101</f>
        <v>1.0964E-4</v>
      </c>
      <c r="AU101" s="273">
        <f>opex_concordance!M576</f>
        <v>2.3859152415101702E-5</v>
      </c>
      <c r="AV101" s="273">
        <f>opex_concordance!M622</f>
        <v>3.2566920064453847E-4</v>
      </c>
      <c r="AW101" s="273">
        <f>opex_concordance!M668</f>
        <v>2.825306673600976E-5</v>
      </c>
      <c r="AX101" s="188">
        <f>opex_orig!$AP101</f>
        <v>9.7940968819567703E-5</v>
      </c>
      <c r="AY101" s="188">
        <f>opex_orig!AQ101</f>
        <v>1.43E-5</v>
      </c>
      <c r="AZ101" s="188">
        <f>opex_orig!AR101</f>
        <v>0</v>
      </c>
      <c r="BA101" s="188">
        <f>opex_orig!AS101</f>
        <v>8.2799999999999993E-5</v>
      </c>
      <c r="BB101" s="188">
        <f>opex_orig!AT101</f>
        <v>7.7400000000000004E-6</v>
      </c>
      <c r="BC101" s="188">
        <f>opex_orig!AU101</f>
        <v>3.2799999999999999E-6</v>
      </c>
      <c r="BD101" s="188">
        <f>opex_orig!AV101</f>
        <v>2.1799999999999999E-6</v>
      </c>
      <c r="BE101" s="188">
        <f>opex_orig!AW101</f>
        <v>1.22E-5</v>
      </c>
      <c r="BF101" s="188">
        <f>opex_orig!AX101</f>
        <v>0</v>
      </c>
      <c r="BG101" s="188">
        <f>opex_orig!AY101</f>
        <v>3.0000000000000001E-5</v>
      </c>
      <c r="BH101" s="188">
        <f>opex_orig!AZ101</f>
        <v>0</v>
      </c>
      <c r="BI101" s="188">
        <f>opex_orig!BA101</f>
        <v>8.7700000000000007E-6</v>
      </c>
      <c r="BJ101" s="188">
        <f>opex_orig!BB101</f>
        <v>4.6100000000000002E-5</v>
      </c>
      <c r="BK101" s="188">
        <f>opex_orig!BC101</f>
        <v>8.7800000000000006E-5</v>
      </c>
      <c r="BL101" s="188">
        <f>opex_orig!BD101</f>
        <v>2.1100000000000001E-5</v>
      </c>
      <c r="BM101" s="188">
        <f>opex_orig!BE101</f>
        <v>6.3800000000000006E-5</v>
      </c>
      <c r="BN101" s="188">
        <f>opex_orig!BF101</f>
        <v>1.5099999999999999E-5</v>
      </c>
      <c r="BO101" s="188">
        <f>opex_orig!BG101</f>
        <v>1.14746E-4</v>
      </c>
      <c r="BP101" s="188">
        <f>opex_orig!$BH101</f>
        <v>2.21581955974504E-5</v>
      </c>
      <c r="BQ101" s="188">
        <f>opex_orig!$BH101</f>
        <v>2.21581955974504E-5</v>
      </c>
      <c r="BR101" s="188">
        <f>opex_orig!BI101</f>
        <v>3.1300000000000002E-5</v>
      </c>
      <c r="BS101" s="188">
        <f>opex_orig!BJ101</f>
        <v>5.5399999999999998E-5</v>
      </c>
      <c r="BT101" s="188">
        <f>opex_orig!BK101</f>
        <v>1.6200000000000001E-5</v>
      </c>
      <c r="BU101" s="188">
        <f>opex_orig!BL101</f>
        <v>0</v>
      </c>
      <c r="BV101" s="27">
        <f>opex_orig!BM101</f>
        <v>7.8445408799459797E-6</v>
      </c>
      <c r="BW101" s="27">
        <f>opex_orig!BN101</f>
        <v>1.9045928145342499E-5</v>
      </c>
      <c r="BX101" s="27">
        <f>opex_orig!BO101</f>
        <v>2.89913625340271E-6</v>
      </c>
      <c r="BY101" s="27">
        <f>opex_orig!BP101</f>
        <v>5.0857510227404399E-6</v>
      </c>
      <c r="BZ101" s="27">
        <f>opex_orig!BQ101</f>
        <v>4.9125021418168396E-6</v>
      </c>
      <c r="CA101" s="27">
        <f>opex_orig!BR101</f>
        <v>3.9616562900569101E-5</v>
      </c>
      <c r="CB101" s="27">
        <f>opex_orig!BS101</f>
        <v>1.28844128304467E-5</v>
      </c>
      <c r="CC101" s="27">
        <f>opex_orig!BT101</f>
        <v>5.3451246604056898E-6</v>
      </c>
      <c r="CD101" s="27">
        <f>opex_orig!BU101</f>
        <v>3.0581003649247699E-6</v>
      </c>
      <c r="CE101" s="27">
        <f>opex_orig!BV101</f>
        <v>3.05810036492478E-6</v>
      </c>
      <c r="CF101" s="27">
        <f>opex_orig!BW101</f>
        <v>2.2265101869356799E-5</v>
      </c>
      <c r="CG101" s="27">
        <f>opex_orig!BX101</f>
        <v>5.9707827764642605E-7</v>
      </c>
      <c r="CH101" s="27">
        <f>opex_orig!BY101</f>
        <v>2.03537873231578E-5</v>
      </c>
      <c r="CI101" s="27">
        <f>opex_orig!BZ101</f>
        <v>8.1100000000000003E-6</v>
      </c>
      <c r="CJ101" s="27">
        <f>opex_orig!CA101</f>
        <v>3.1093499999999998E-4</v>
      </c>
      <c r="CK101" s="27">
        <f>opex_orig!CB101</f>
        <v>2.49948E-4</v>
      </c>
      <c r="CL101" s="27">
        <f>opex_orig!CC101</f>
        <v>1.097546E-3</v>
      </c>
      <c r="CM101" s="27">
        <f>opex_orig!CD101</f>
        <v>2.4899999999999999E-5</v>
      </c>
      <c r="CN101" s="27">
        <f>opex_orig!CE101</f>
        <v>2.9200000000000002E-5</v>
      </c>
      <c r="CO101" s="27">
        <f>opex_orig!CF101</f>
        <v>1.52E-5</v>
      </c>
      <c r="CP101" s="27">
        <f>opex_orig!CG101</f>
        <v>3.3500000000000001E-5</v>
      </c>
    </row>
    <row r="102" spans="1:94" x14ac:dyDescent="0.25">
      <c r="A102" s="1" t="s">
        <v>343</v>
      </c>
      <c r="B102" s="2" t="s">
        <v>337</v>
      </c>
      <c r="C102" s="1" t="s">
        <v>330</v>
      </c>
      <c r="D102" s="188">
        <f>opex_orig!D102</f>
        <v>1.8699999999999999E-7</v>
      </c>
      <c r="E102" s="188">
        <f>opex_orig!E102</f>
        <v>3.9500000000000003E-8</v>
      </c>
      <c r="F102" s="188">
        <f>opex_orig!F102</f>
        <v>2.1299999999999999E-8</v>
      </c>
      <c r="G102" s="188">
        <f>opex_orig!G102</f>
        <v>4.9200000000000004E-9</v>
      </c>
      <c r="H102" s="188">
        <f>opex_orig!H102</f>
        <v>7.5200000000000005E-9</v>
      </c>
      <c r="I102" s="188">
        <f>opex_orig!I102</f>
        <v>5.4100000000000001E-8</v>
      </c>
      <c r="J102" s="188">
        <f>opex_orig!J102</f>
        <v>1.3E-7</v>
      </c>
      <c r="K102" s="188">
        <f>opex_orig!K102</f>
        <v>1.52E-8</v>
      </c>
      <c r="L102" s="188">
        <f>opex_orig!L102</f>
        <v>3.5299999999999998E-8</v>
      </c>
      <c r="M102" s="188">
        <f>opex_orig!M102</f>
        <v>8.9599999999999995E-8</v>
      </c>
      <c r="N102" s="188">
        <f>opex_orig!N102</f>
        <v>1.09E-7</v>
      </c>
      <c r="O102" s="188">
        <f>opex_orig!O102</f>
        <v>9.1300000000000004E-8</v>
      </c>
      <c r="P102" s="188">
        <f>opex_orig!P102</f>
        <v>8.1899999999999999E-8</v>
      </c>
      <c r="Q102" s="188">
        <f>opex_orig!Q102</f>
        <v>1.11E-8</v>
      </c>
      <c r="R102" s="188">
        <f>opex_orig!R102</f>
        <v>4.8200000000000001E-8</v>
      </c>
      <c r="S102" s="188">
        <f>opex_orig!S102</f>
        <v>4.7899999999999999E-8</v>
      </c>
      <c r="T102" s="188">
        <f>opex_orig!T102</f>
        <v>5.8799999999999997E-8</v>
      </c>
      <c r="U102" s="188">
        <f>opex_orig!U102</f>
        <v>1.6E-7</v>
      </c>
      <c r="V102" s="188">
        <f>opex_orig!V102</f>
        <v>2.3999999999999998E-7</v>
      </c>
      <c r="W102" s="188">
        <f>opex_orig!W102</f>
        <v>4.8E-8</v>
      </c>
      <c r="X102" s="188">
        <f>opex_orig!X102</f>
        <v>4.1899999999999998E-8</v>
      </c>
      <c r="Y102" s="188">
        <f>opex_orig!Y102</f>
        <v>2.14E-8</v>
      </c>
      <c r="Z102" s="188">
        <f>opex_orig!Z102</f>
        <v>1.08E-7</v>
      </c>
      <c r="AA102" s="188">
        <f>opex_orig!AA102</f>
        <v>1.14E-7</v>
      </c>
      <c r="AB102" s="273">
        <f>opex_concordance!M168</f>
        <v>5.3072151691515196E-8</v>
      </c>
      <c r="AC102" s="273">
        <f>opex_concordance!M213</f>
        <v>1.6035813027646092E-6</v>
      </c>
      <c r="AD102" s="273">
        <f>opex_concordance!M258</f>
        <v>1.4304597096359383E-6</v>
      </c>
      <c r="AE102" s="188">
        <f>opex_orig!$AC102</f>
        <v>2.9506289366623298E-7</v>
      </c>
      <c r="AF102" s="273">
        <f>opex_concordance!M300</f>
        <v>9.4850640097901204E-8</v>
      </c>
      <c r="AG102" s="273">
        <f>opex_concordance!M336</f>
        <v>2.3389019447590055E-8</v>
      </c>
      <c r="AH102" s="273">
        <f>opex_concordance!M372</f>
        <v>2.8283342482443582E-8</v>
      </c>
      <c r="AI102" s="188">
        <f>opex_orig!AE102</f>
        <v>7.4299999999999997E-8</v>
      </c>
      <c r="AJ102" s="188">
        <f>opex_orig!AF102</f>
        <v>1.36E-7</v>
      </c>
      <c r="AK102" s="188">
        <f>opex_orig!AG102</f>
        <v>7.4999999999999997E-8</v>
      </c>
      <c r="AL102" s="188">
        <f>opex_orig!AH102</f>
        <v>5.9499999999999997E-8</v>
      </c>
      <c r="AM102" s="188">
        <f>opex_orig!AI102</f>
        <v>1.1999999999999999E-7</v>
      </c>
      <c r="AN102" s="188">
        <f>opex_orig!AJ102</f>
        <v>6.4599999999999996E-8</v>
      </c>
      <c r="AO102" s="188">
        <f>opex_orig!AK102</f>
        <v>8.4299999999999994E-8</v>
      </c>
      <c r="AP102" s="273">
        <f>opex_concordance!M410</f>
        <v>6.4999995235635296E-8</v>
      </c>
      <c r="AQ102" s="273">
        <f>opex_concordance!M464</f>
        <v>8.6427502239999246E-8</v>
      </c>
      <c r="AR102" s="273">
        <f>opex_concordance!M518</f>
        <v>1.7774961186509929E-7</v>
      </c>
      <c r="AS102" s="188">
        <f>opex_orig!$AM102</f>
        <v>7.4591819959577701E-8</v>
      </c>
      <c r="AT102" s="188">
        <f>opex_orig!AN102</f>
        <v>8.3000000000000002E-8</v>
      </c>
      <c r="AU102" s="273">
        <f>opex_concordance!M577</f>
        <v>2.20018358998826E-8</v>
      </c>
      <c r="AV102" s="273">
        <f>opex_concordance!M623</f>
        <v>3.0031747086253451E-7</v>
      </c>
      <c r="AW102" s="273">
        <f>opex_concordance!M669</f>
        <v>2.6053705813986213E-8</v>
      </c>
      <c r="AX102" s="188">
        <f>opex_orig!$AP102</f>
        <v>3.53731854988277E-8</v>
      </c>
      <c r="AY102" s="188">
        <f>opex_orig!AQ102</f>
        <v>3.8199999999999998E-8</v>
      </c>
      <c r="AZ102" s="188">
        <f>opex_orig!AR102</f>
        <v>0</v>
      </c>
      <c r="BA102" s="188">
        <f>opex_orig!AS102</f>
        <v>3.5000000000000002E-8</v>
      </c>
      <c r="BB102" s="188">
        <f>opex_orig!AT102</f>
        <v>2.8200000000000001E-8</v>
      </c>
      <c r="BC102" s="188">
        <f>opex_orig!AU102</f>
        <v>3.6400000000000002E-8</v>
      </c>
      <c r="BD102" s="188">
        <f>opex_orig!AV102</f>
        <v>2.6700000000000001E-8</v>
      </c>
      <c r="BE102" s="188">
        <f>opex_orig!AW102</f>
        <v>2.7599999999999999E-8</v>
      </c>
      <c r="BF102" s="188">
        <f>opex_orig!AX102</f>
        <v>0</v>
      </c>
      <c r="BG102" s="188">
        <f>opex_orig!AY102</f>
        <v>2.7199999999999999E-8</v>
      </c>
      <c r="BH102" s="188">
        <f>opex_orig!AZ102</f>
        <v>0</v>
      </c>
      <c r="BI102" s="188">
        <f>opex_orig!BA102</f>
        <v>3.3699999999999997E-8</v>
      </c>
      <c r="BJ102" s="188">
        <f>opex_orig!BB102</f>
        <v>1.04E-7</v>
      </c>
      <c r="BK102" s="188">
        <f>opex_orig!BC102</f>
        <v>4.2100000000000002E-7</v>
      </c>
      <c r="BL102" s="188">
        <f>opex_orig!BD102</f>
        <v>6.2799999999999996E-7</v>
      </c>
      <c r="BM102" s="188">
        <f>opex_orig!BE102</f>
        <v>6.3300000000000002E-7</v>
      </c>
      <c r="BN102" s="188">
        <f>opex_orig!BF102</f>
        <v>1.74E-7</v>
      </c>
      <c r="BO102" s="188">
        <f>opex_orig!BG102</f>
        <v>9.8500000000000002E-8</v>
      </c>
      <c r="BP102" s="188">
        <f>opex_orig!$BH102</f>
        <v>2.6004803163151601E-7</v>
      </c>
      <c r="BQ102" s="188">
        <f>opex_orig!$BH102</f>
        <v>2.6004803163151601E-7</v>
      </c>
      <c r="BR102" s="188">
        <f>opex_orig!BI102</f>
        <v>1.8699999999999999E-7</v>
      </c>
      <c r="BS102" s="188">
        <f>opex_orig!BJ102</f>
        <v>5.32E-8</v>
      </c>
      <c r="BT102" s="188">
        <f>opex_orig!BK102</f>
        <v>1.7199999999999999E-8</v>
      </c>
      <c r="BU102" s="188">
        <f>opex_orig!BL102</f>
        <v>0</v>
      </c>
      <c r="BV102" s="27">
        <f>opex_orig!BM102</f>
        <v>1.9500961058771599E-7</v>
      </c>
      <c r="BW102" s="27">
        <f>opex_orig!BN102</f>
        <v>4.9060162978389902E-7</v>
      </c>
      <c r="BX102" s="27">
        <f>opex_orig!BO102</f>
        <v>8.3638148968482297E-8</v>
      </c>
      <c r="BY102" s="27">
        <f>opex_orig!BP102</f>
        <v>1.43311945526179E-7</v>
      </c>
      <c r="BZ102" s="27">
        <f>opex_orig!BQ102</f>
        <v>1.71994460392354E-7</v>
      </c>
      <c r="CA102" s="27">
        <f>opex_orig!BR102</f>
        <v>4.4375563891499602E-6</v>
      </c>
      <c r="CB102" s="27">
        <f>opex_orig!BS102</f>
        <v>2.3008161225727099E-7</v>
      </c>
      <c r="CC102" s="27">
        <f>opex_orig!BT102</f>
        <v>1.1970313167089199E-7</v>
      </c>
      <c r="CD102" s="27">
        <f>opex_orig!BU102</f>
        <v>8.4683923467902103E-8</v>
      </c>
      <c r="CE102" s="27">
        <f>opex_orig!BV102</f>
        <v>8.4683923467902196E-8</v>
      </c>
      <c r="CF102" s="27">
        <f>opex_orig!BW102</f>
        <v>8.6848090917193805E-8</v>
      </c>
      <c r="CG102" s="27">
        <f>opex_orig!BX102</f>
        <v>1.9042928898912899E-8</v>
      </c>
      <c r="CH102" s="27">
        <f>opex_orig!BY102</f>
        <v>9.5429961220499305E-9</v>
      </c>
      <c r="CI102" s="27">
        <f>opex_orig!BZ102</f>
        <v>2.1400000000000001E-7</v>
      </c>
      <c r="CJ102" s="27">
        <f>opex_orig!CA102</f>
        <v>1.12E-7</v>
      </c>
      <c r="CK102" s="27">
        <f>opex_orig!CB102</f>
        <v>1.24E-7</v>
      </c>
      <c r="CL102" s="27">
        <f>opex_orig!CC102</f>
        <v>7.1900000000000002E-8</v>
      </c>
      <c r="CM102" s="27">
        <f>opex_orig!CD102</f>
        <v>5.3200000000000005E-7</v>
      </c>
      <c r="CN102" s="27">
        <f>opex_orig!CE102</f>
        <v>1.0700000000000001E-7</v>
      </c>
      <c r="CO102" s="27">
        <f>opex_orig!CF102</f>
        <v>1.9999999999999999E-7</v>
      </c>
      <c r="CP102" s="27">
        <f>opex_orig!CG102</f>
        <v>6.9100000000000003E-8</v>
      </c>
    </row>
    <row r="103" spans="1:94" x14ac:dyDescent="0.25">
      <c r="A103" s="1" t="s">
        <v>10</v>
      </c>
      <c r="B103" s="2" t="s">
        <v>11</v>
      </c>
      <c r="C103" s="1" t="s">
        <v>330</v>
      </c>
      <c r="D103" s="188">
        <f>opex_orig!D103</f>
        <v>5.3399999999999997E-6</v>
      </c>
      <c r="E103" s="188">
        <f>opex_orig!E103</f>
        <v>4.1300000000000003E-6</v>
      </c>
      <c r="F103" s="188">
        <f>opex_orig!F103</f>
        <v>3.6799999999999999E-6</v>
      </c>
      <c r="G103" s="188">
        <f>opex_orig!G103</f>
        <v>2.1E-7</v>
      </c>
      <c r="H103" s="188">
        <f>opex_orig!H103</f>
        <v>5.4600000000000005E-7</v>
      </c>
      <c r="I103" s="188">
        <f>opex_orig!I103</f>
        <v>5.5799999999999999E-6</v>
      </c>
      <c r="J103" s="188">
        <f>opex_orig!J103</f>
        <v>1.9000000000000001E-5</v>
      </c>
      <c r="K103" s="188">
        <f>opex_orig!K103</f>
        <v>6.7599999999999997E-7</v>
      </c>
      <c r="L103" s="188">
        <f>opex_orig!L103</f>
        <v>4.07E-6</v>
      </c>
      <c r="M103" s="188">
        <f>opex_orig!M103</f>
        <v>1.3499999999999999E-5</v>
      </c>
      <c r="N103" s="188">
        <f>opex_orig!N103</f>
        <v>1.56E-5</v>
      </c>
      <c r="O103" s="188">
        <f>opex_orig!O103</f>
        <v>8.9400000000000008E-6</v>
      </c>
      <c r="P103" s="188">
        <f>opex_orig!P103</f>
        <v>1.8099999999999999E-5</v>
      </c>
      <c r="Q103" s="188">
        <f>opex_orig!Q103</f>
        <v>3.01E-5</v>
      </c>
      <c r="R103" s="188">
        <f>opex_orig!R103</f>
        <v>3.3100000000000001E-6</v>
      </c>
      <c r="S103" s="188">
        <f>opex_orig!S103</f>
        <v>8.3999999999999992E-6</v>
      </c>
      <c r="T103" s="188">
        <f>opex_orig!T103</f>
        <v>7.9200000000000004E-6</v>
      </c>
      <c r="U103" s="188">
        <f>opex_orig!U103</f>
        <v>9.4199999999999996E-6</v>
      </c>
      <c r="V103" s="188">
        <f>opex_orig!V103</f>
        <v>9.7699999999999996E-6</v>
      </c>
      <c r="W103" s="188">
        <f>opex_orig!W103</f>
        <v>8.0900000000000005E-6</v>
      </c>
      <c r="X103" s="188">
        <f>opex_orig!X103</f>
        <v>3.3900000000000002E-6</v>
      </c>
      <c r="Y103" s="188">
        <f>opex_orig!Y103</f>
        <v>9.5400000000000001E-5</v>
      </c>
      <c r="Z103" s="188">
        <f>opex_orig!Z103</f>
        <v>2.2221599999999999E-4</v>
      </c>
      <c r="AA103" s="188">
        <f>opex_orig!AA103</f>
        <v>2.8499999999999998E-6</v>
      </c>
      <c r="AB103" s="273">
        <f>opex_concordance!M169</f>
        <v>1.0694007351382899E-5</v>
      </c>
      <c r="AC103" s="273">
        <f>opex_concordance!M214</f>
        <v>3.2312068935856826E-4</v>
      </c>
      <c r="AD103" s="273">
        <f>opex_concordance!M259</f>
        <v>2.8823679016483903E-4</v>
      </c>
      <c r="AE103" s="188">
        <f>opex_orig!$AC103</f>
        <v>3.98844551923785E-5</v>
      </c>
      <c r="AF103" s="273">
        <f>opex_concordance!M301</f>
        <v>1.5827195035048702E-5</v>
      </c>
      <c r="AG103" s="273">
        <f>opex_concordance!M337</f>
        <v>3.9027946684752641E-6</v>
      </c>
      <c r="AH103" s="273">
        <f>opex_concordance!M373</f>
        <v>4.7194829391838582E-6</v>
      </c>
      <c r="AI103" s="188">
        <f>opex_orig!AE103</f>
        <v>1.08E-5</v>
      </c>
      <c r="AJ103" s="188">
        <f>opex_orig!AF103</f>
        <v>4.8900000000000003E-5</v>
      </c>
      <c r="AK103" s="188">
        <f>opex_orig!AG103</f>
        <v>9.4900000000000006E-6</v>
      </c>
      <c r="AL103" s="188">
        <f>opex_orig!AH103</f>
        <v>1.03E-5</v>
      </c>
      <c r="AM103" s="188">
        <f>opex_orig!AI103</f>
        <v>5.0300000000000001E-6</v>
      </c>
      <c r="AN103" s="188">
        <f>opex_orig!AJ103</f>
        <v>3.2799999999999999E-6</v>
      </c>
      <c r="AO103" s="188">
        <f>opex_orig!AK103</f>
        <v>4.16E-6</v>
      </c>
      <c r="AP103" s="273">
        <f>opex_concordance!M411</f>
        <v>5.18878179465611E-6</v>
      </c>
      <c r="AQ103" s="273">
        <f>opex_concordance!M465</f>
        <v>6.8992843546340795E-6</v>
      </c>
      <c r="AR103" s="273">
        <f>opex_concordance!M519</f>
        <v>1.4189292579319715E-5</v>
      </c>
      <c r="AS103" s="188">
        <f>opex_orig!$AM103</f>
        <v>3.26341870373815E-6</v>
      </c>
      <c r="AT103" s="188">
        <f>opex_orig!AN103</f>
        <v>1.27E-5</v>
      </c>
      <c r="AU103" s="273">
        <f>opex_concordance!M578</f>
        <v>4.8587582379900104E-6</v>
      </c>
      <c r="AV103" s="273">
        <f>opex_concordance!M624</f>
        <v>6.6320373999946547E-5</v>
      </c>
      <c r="AW103" s="273">
        <f>opex_concordance!M670</f>
        <v>5.7535497642062319E-6</v>
      </c>
      <c r="AX103" s="188">
        <f>opex_orig!$AP103</f>
        <v>1.6287050169252899E-5</v>
      </c>
      <c r="AY103" s="188">
        <f>opex_orig!AQ103</f>
        <v>5.4099999999999999E-6</v>
      </c>
      <c r="AZ103" s="188">
        <f>opex_orig!AR103</f>
        <v>0</v>
      </c>
      <c r="BA103" s="188">
        <f>opex_orig!AS103</f>
        <v>1.2500000000000001E-5</v>
      </c>
      <c r="BB103" s="188">
        <f>opex_orig!AT103</f>
        <v>3.4199999999999999E-6</v>
      </c>
      <c r="BC103" s="188">
        <f>opex_orig!AU103</f>
        <v>3.19E-6</v>
      </c>
      <c r="BD103" s="188">
        <f>opex_orig!AV103</f>
        <v>9.6099999999999999E-7</v>
      </c>
      <c r="BE103" s="188">
        <f>opex_orig!AW103</f>
        <v>4.2899999999999996E-6</v>
      </c>
      <c r="BF103" s="188">
        <f>opex_orig!AX103</f>
        <v>0</v>
      </c>
      <c r="BG103" s="188">
        <f>opex_orig!AY103</f>
        <v>5.4500000000000003E-6</v>
      </c>
      <c r="BH103" s="188">
        <f>opex_orig!AZ103</f>
        <v>0</v>
      </c>
      <c r="BI103" s="188">
        <f>opex_orig!BA103</f>
        <v>2.5299999999999999E-6</v>
      </c>
      <c r="BJ103" s="188">
        <f>opex_orig!BB103</f>
        <v>7.34E-6</v>
      </c>
      <c r="BK103" s="188">
        <f>opex_orig!BC103</f>
        <v>1.9000000000000001E-5</v>
      </c>
      <c r="BL103" s="188">
        <f>opex_orig!BD103</f>
        <v>1.6099999999999998E-5</v>
      </c>
      <c r="BM103" s="188">
        <f>opex_orig!BE103</f>
        <v>1.7900000000000001E-5</v>
      </c>
      <c r="BN103" s="188">
        <f>opex_orig!BF103</f>
        <v>3.9199999999999997E-6</v>
      </c>
      <c r="BO103" s="188">
        <f>opex_orig!BG103</f>
        <v>1.6200000000000001E-5</v>
      </c>
      <c r="BP103" s="188">
        <f>opex_orig!$BH103</f>
        <v>7.5750670053210299E-6</v>
      </c>
      <c r="BQ103" s="188">
        <f>opex_orig!$BH103</f>
        <v>7.5750670053210299E-6</v>
      </c>
      <c r="BR103" s="188">
        <f>opex_orig!BI103</f>
        <v>8.8200000000000003E-6</v>
      </c>
      <c r="BS103" s="188">
        <f>opex_orig!BJ103</f>
        <v>8.6000000000000007E-6</v>
      </c>
      <c r="BT103" s="188">
        <f>opex_orig!BK103</f>
        <v>2.88E-6</v>
      </c>
      <c r="BU103" s="188">
        <f>opex_orig!BL103</f>
        <v>0</v>
      </c>
      <c r="BV103" s="27">
        <f>opex_orig!BM103</f>
        <v>4.2554420751478397E-6</v>
      </c>
      <c r="BW103" s="27">
        <f>opex_orig!BN103</f>
        <v>2.1260893491208402E-5</v>
      </c>
      <c r="BX103" s="27">
        <f>opex_orig!BO103</f>
        <v>2.1426557612251E-6</v>
      </c>
      <c r="BY103" s="27">
        <f>opex_orig!BP103</f>
        <v>1.24192989379644E-5</v>
      </c>
      <c r="BZ103" s="27">
        <f>opex_orig!BQ103</f>
        <v>3.8929024247553602E-6</v>
      </c>
      <c r="CA103" s="27">
        <f>opex_orig!BR103</f>
        <v>9.1225953534647798E-6</v>
      </c>
      <c r="CB103" s="27">
        <f>opex_orig!BS103</f>
        <v>7.4545739663570798E-6</v>
      </c>
      <c r="CC103" s="27">
        <f>opex_orig!BT103</f>
        <v>6.5837920458583699E-6</v>
      </c>
      <c r="CD103" s="27">
        <f>opex_orig!BU103</f>
        <v>1.5339128785290201E-6</v>
      </c>
      <c r="CE103" s="27">
        <f>opex_orig!BV103</f>
        <v>1.5339128785290301E-6</v>
      </c>
      <c r="CF103" s="27">
        <f>opex_orig!BW103</f>
        <v>2.43857467993004E-5</v>
      </c>
      <c r="CG103" s="27">
        <f>opex_orig!BX103</f>
        <v>2.82229570066155E-7</v>
      </c>
      <c r="CH103" s="27">
        <f>opex_orig!BY103</f>
        <v>1.2671156162909099E-5</v>
      </c>
      <c r="CI103" s="27">
        <f>opex_orig!BZ103</f>
        <v>9.38E-6</v>
      </c>
      <c r="CJ103" s="27">
        <f>opex_orig!CA103</f>
        <v>3.9199999999999997E-5</v>
      </c>
      <c r="CK103" s="27">
        <f>opex_orig!CB103</f>
        <v>1.0200000000000001E-5</v>
      </c>
      <c r="CL103" s="27">
        <f>opex_orig!CC103</f>
        <v>1.617795E-3</v>
      </c>
      <c r="CM103" s="27">
        <f>opex_orig!CD103</f>
        <v>1.0681800000000001E-4</v>
      </c>
      <c r="CN103" s="27">
        <f>opex_orig!CE103</f>
        <v>5.9800000000000003E-6</v>
      </c>
      <c r="CO103" s="27">
        <f>opex_orig!CF103</f>
        <v>6.5100000000000004E-6</v>
      </c>
      <c r="CP103" s="27">
        <f>opex_orig!CG103</f>
        <v>1.2300000000000001E-5</v>
      </c>
    </row>
    <row r="104" spans="1:94" x14ac:dyDescent="0.25">
      <c r="A104" s="1" t="s">
        <v>12</v>
      </c>
      <c r="B104" s="2" t="s">
        <v>13</v>
      </c>
      <c r="C104" s="1" t="s">
        <v>330</v>
      </c>
      <c r="D104" s="188">
        <f>opex_orig!D104</f>
        <v>1.3159200000000001E-4</v>
      </c>
      <c r="E104" s="188">
        <f>opex_orig!E104</f>
        <v>2.0636999999999999E-4</v>
      </c>
      <c r="F104" s="188">
        <f>opex_orig!F104</f>
        <v>1.08961E-4</v>
      </c>
      <c r="G104" s="188">
        <f>opex_orig!G104</f>
        <v>1.77E-5</v>
      </c>
      <c r="H104" s="188">
        <f>opex_orig!H104</f>
        <v>3.7100000000000001E-5</v>
      </c>
      <c r="I104" s="188">
        <f>opex_orig!I104</f>
        <v>6.5478900000000002E-4</v>
      </c>
      <c r="J104" s="188">
        <f>opex_orig!J104</f>
        <v>2.67446E-3</v>
      </c>
      <c r="K104" s="188">
        <f>opex_orig!K104</f>
        <v>5.4799999999999997E-5</v>
      </c>
      <c r="L104" s="188">
        <f>opex_orig!L104</f>
        <v>2.4587799999999999E-4</v>
      </c>
      <c r="M104" s="188">
        <f>opex_orig!M104</f>
        <v>8.5206500000000005E-4</v>
      </c>
      <c r="N104" s="188">
        <f>opex_orig!N104</f>
        <v>3.61131E-4</v>
      </c>
      <c r="O104" s="188">
        <f>opex_orig!O104</f>
        <v>2.2488599999999999E-4</v>
      </c>
      <c r="P104" s="188">
        <f>opex_orig!P104</f>
        <v>1.6166500000000001E-3</v>
      </c>
      <c r="Q104" s="188">
        <f>opex_orig!Q104</f>
        <v>1.3506530000000001E-3</v>
      </c>
      <c r="R104" s="188">
        <f>opex_orig!R104</f>
        <v>7.75E-5</v>
      </c>
      <c r="S104" s="188">
        <f>opex_orig!S104</f>
        <v>8.3496000000000004E-4</v>
      </c>
      <c r="T104" s="188">
        <f>opex_orig!T104</f>
        <v>8.65221E-4</v>
      </c>
      <c r="U104" s="188">
        <f>opex_orig!U104</f>
        <v>3.3113589999999998E-3</v>
      </c>
      <c r="V104" s="188">
        <f>opex_orig!V104</f>
        <v>1.71003E-3</v>
      </c>
      <c r="W104" s="188">
        <f>opex_orig!W104</f>
        <v>6.4930399999999996E-4</v>
      </c>
      <c r="X104" s="188">
        <f>opex_orig!X104</f>
        <v>4.4107599999999999E-4</v>
      </c>
      <c r="Y104" s="188">
        <f>opex_orig!Y104</f>
        <v>2.5293149999999999E-3</v>
      </c>
      <c r="Z104" s="188">
        <f>opex_orig!Z104</f>
        <v>5.5662970000000004E-3</v>
      </c>
      <c r="AA104" s="188">
        <f>opex_orig!AA104</f>
        <v>7.8399999999999995E-5</v>
      </c>
      <c r="AB104" s="273">
        <f>opex_concordance!M170</f>
        <v>6.1171648027476502E-5</v>
      </c>
      <c r="AC104" s="273">
        <f>opex_concordance!M215</f>
        <v>1.8483085367696037E-3</v>
      </c>
      <c r="AD104" s="273">
        <f>opex_concordance!M260</f>
        <v>1.6487663508341478E-3</v>
      </c>
      <c r="AE104" s="188">
        <f>opex_orig!$AC104</f>
        <v>3.1907494513485002E-4</v>
      </c>
      <c r="AF104" s="273">
        <f>opex_concordance!M302</f>
        <v>5.3236548635258595E-4</v>
      </c>
      <c r="AG104" s="273">
        <f>opex_concordance!M338</f>
        <v>1.3127488333947355E-4</v>
      </c>
      <c r="AH104" s="273">
        <f>opex_concordance!M374</f>
        <v>1.5874511084797632E-4</v>
      </c>
      <c r="AI104" s="188">
        <f>opex_orig!AE104</f>
        <v>5.7953499999999995E-4</v>
      </c>
      <c r="AJ104" s="188">
        <f>opex_orig!AF104</f>
        <v>1.5575599999999999E-3</v>
      </c>
      <c r="AK104" s="188">
        <f>opex_orig!AG104</f>
        <v>3.7638100000000001E-4</v>
      </c>
      <c r="AL104" s="188">
        <f>opex_orig!AH104</f>
        <v>3.10107E-4</v>
      </c>
      <c r="AM104" s="188">
        <f>opex_orig!AI104</f>
        <v>7.7879399999999997E-4</v>
      </c>
      <c r="AN104" s="188">
        <f>opex_orig!AJ104</f>
        <v>4.0116499999999999E-4</v>
      </c>
      <c r="AO104" s="188">
        <f>opex_orig!AK104</f>
        <v>3.9632900000000001E-4</v>
      </c>
      <c r="AP104" s="273">
        <f>opex_concordance!M412</f>
        <v>9.789230328172431E-4</v>
      </c>
      <c r="AQ104" s="273">
        <f>opex_concordance!M466</f>
        <v>1.3016289048159069E-3</v>
      </c>
      <c r="AR104" s="273">
        <f>opex_concordance!M520</f>
        <v>2.6769723366637434E-3</v>
      </c>
      <c r="AS104" s="188">
        <f>opex_orig!$AM104</f>
        <v>4.4417351056326801E-4</v>
      </c>
      <c r="AT104" s="188">
        <f>opex_orig!AN104</f>
        <v>1.26775E-3</v>
      </c>
      <c r="AU104" s="273">
        <f>opex_concordance!M579</f>
        <v>2.42048182205621E-4</v>
      </c>
      <c r="AV104" s="273">
        <f>opex_concordance!M625</f>
        <v>3.3038741965734737E-3</v>
      </c>
      <c r="AW104" s="273">
        <f>opex_concordance!M671</f>
        <v>2.8662390541823069E-4</v>
      </c>
      <c r="AX104" s="188">
        <f>opex_orig!$AP104</f>
        <v>1.0409959591858101E-3</v>
      </c>
      <c r="AY104" s="188">
        <f>opex_orig!AQ104</f>
        <v>1.4248200000000001E-4</v>
      </c>
      <c r="AZ104" s="188">
        <f>opex_orig!AR104</f>
        <v>0</v>
      </c>
      <c r="BA104" s="188">
        <f>opex_orig!AS104</f>
        <v>8.9841499999999996E-4</v>
      </c>
      <c r="BB104" s="188">
        <f>opex_orig!AT104</f>
        <v>8.4699999999999999E-5</v>
      </c>
      <c r="BC104" s="188">
        <f>opex_orig!AU104</f>
        <v>5.5300000000000002E-5</v>
      </c>
      <c r="BD104" s="188">
        <f>opex_orig!AV104</f>
        <v>3.7799999999999997E-5</v>
      </c>
      <c r="BE104" s="188">
        <f>opex_orig!AW104</f>
        <v>1.2945799999999999E-4</v>
      </c>
      <c r="BF104" s="188">
        <f>opex_orig!AX104</f>
        <v>0</v>
      </c>
      <c r="BG104" s="188">
        <f>opex_orig!AY104</f>
        <v>2.4476599999999999E-4</v>
      </c>
      <c r="BH104" s="188">
        <f>opex_orig!AZ104</f>
        <v>0</v>
      </c>
      <c r="BI104" s="188">
        <f>opex_orig!BA104</f>
        <v>8.6199999999999995E-5</v>
      </c>
      <c r="BJ104" s="188">
        <f>opex_orig!BB104</f>
        <v>5.1333599999999998E-4</v>
      </c>
      <c r="BK104" s="188">
        <f>opex_orig!BC104</f>
        <v>8.7532099999999998E-4</v>
      </c>
      <c r="BL104" s="188">
        <f>opex_orig!BD104</f>
        <v>4.4400000000000002E-5</v>
      </c>
      <c r="BM104" s="188">
        <f>opex_orig!BE104</f>
        <v>5.3711600000000003E-4</v>
      </c>
      <c r="BN104" s="188">
        <f>opex_orig!BF104</f>
        <v>1.2824099999999999E-4</v>
      </c>
      <c r="BO104" s="188">
        <f>opex_orig!BG104</f>
        <v>1.103487E-3</v>
      </c>
      <c r="BP104" s="188">
        <f>opex_orig!$BH104</f>
        <v>1.7796016698912599E-4</v>
      </c>
      <c r="BQ104" s="188">
        <f>opex_orig!$BH104</f>
        <v>1.7796016698912599E-4</v>
      </c>
      <c r="BR104" s="188">
        <f>opex_orig!BI104</f>
        <v>3.00439E-4</v>
      </c>
      <c r="BS104" s="188">
        <f>opex_orig!BJ104</f>
        <v>5.6052000000000001E-4</v>
      </c>
      <c r="BT104" s="188">
        <f>opex_orig!BK104</f>
        <v>1.8005199999999999E-4</v>
      </c>
      <c r="BU104" s="188">
        <f>opex_orig!BL104</f>
        <v>0</v>
      </c>
      <c r="BV104" s="27">
        <f>opex_orig!BM104</f>
        <v>4.9219570414099599E-5</v>
      </c>
      <c r="BW104" s="27">
        <f>opex_orig!BN104</f>
        <v>6.8056238741679706E-5</v>
      </c>
      <c r="BX104" s="27">
        <f>opex_orig!BO104</f>
        <v>1.6237821031665601E-5</v>
      </c>
      <c r="BY104" s="27">
        <f>opex_orig!BP104</f>
        <v>2.9707768620171099E-5</v>
      </c>
      <c r="BZ104" s="27">
        <f>opex_orig!BQ104</f>
        <v>3.31850212466671E-5</v>
      </c>
      <c r="CA104" s="27">
        <f>opex_orig!BR104</f>
        <v>3.1847587090800998E-5</v>
      </c>
      <c r="CB104" s="27">
        <f>opex_orig!BS104</f>
        <v>7.2020617487036497E-5</v>
      </c>
      <c r="CC104" s="27">
        <f>opex_orig!BT104</f>
        <v>7.6389029008288393E-6</v>
      </c>
      <c r="CD104" s="27">
        <f>opex_orig!BU104</f>
        <v>2.76980504104791E-5</v>
      </c>
      <c r="CE104" s="27">
        <f>opex_orig!BV104</f>
        <v>2.7698050410479202E-5</v>
      </c>
      <c r="CF104" s="27">
        <f>opex_orig!BW104</f>
        <v>7.5338154761772099E-6</v>
      </c>
      <c r="CG104" s="27">
        <f>opex_orig!BX104</f>
        <v>5.22621742982634E-7</v>
      </c>
      <c r="CH104" s="27">
        <f>opex_orig!BY104</f>
        <v>6.8488631211214596E-6</v>
      </c>
      <c r="CI104" s="27">
        <f>opex_orig!BZ104</f>
        <v>4.2400000000000001E-5</v>
      </c>
      <c r="CJ104" s="27">
        <f>opex_orig!CA104</f>
        <v>4.0750309999999998E-3</v>
      </c>
      <c r="CK104" s="27">
        <f>opex_orig!CB104</f>
        <v>3.6016149999999999E-3</v>
      </c>
      <c r="CL104" s="27">
        <f>opex_orig!CC104</f>
        <v>3.9535528E-2</v>
      </c>
      <c r="CM104" s="27">
        <f>opex_orig!CD104</f>
        <v>1.9673669999999998E-3</v>
      </c>
      <c r="CN104" s="27">
        <f>opex_orig!CE104</f>
        <v>3.7659999999999999E-4</v>
      </c>
      <c r="CO104" s="27">
        <f>opex_orig!CF104</f>
        <v>1.54535E-4</v>
      </c>
      <c r="CP104" s="27">
        <f>opex_orig!CG104</f>
        <v>4.1899800000000002E-4</v>
      </c>
    </row>
    <row r="105" spans="1:94" x14ac:dyDescent="0.25">
      <c r="A105" s="1" t="s">
        <v>340</v>
      </c>
      <c r="B105" s="2" t="s">
        <v>338</v>
      </c>
      <c r="C105" s="1" t="s">
        <v>330</v>
      </c>
      <c r="D105" s="188">
        <f>opex_orig!D105</f>
        <v>2.87E-5</v>
      </c>
      <c r="E105" s="188">
        <f>opex_orig!E105</f>
        <v>4.6499999999999999E-5</v>
      </c>
      <c r="F105" s="188">
        <f>opex_orig!F105</f>
        <v>2.8600000000000001E-5</v>
      </c>
      <c r="G105" s="188">
        <f>opex_orig!G105</f>
        <v>3.3000000000000002E-6</v>
      </c>
      <c r="H105" s="188">
        <f>opex_orig!H105</f>
        <v>8.4600000000000003E-6</v>
      </c>
      <c r="I105" s="188">
        <f>opex_orig!I105</f>
        <v>1.4426599999999999E-4</v>
      </c>
      <c r="J105" s="188">
        <f>opex_orig!J105</f>
        <v>5.8767100000000001E-4</v>
      </c>
      <c r="K105" s="188">
        <f>opex_orig!K105</f>
        <v>1.08E-5</v>
      </c>
      <c r="L105" s="188">
        <f>opex_orig!L105</f>
        <v>5.5999999999999999E-5</v>
      </c>
      <c r="M105" s="188">
        <f>opex_orig!M105</f>
        <v>2.01213E-4</v>
      </c>
      <c r="N105" s="188">
        <f>opex_orig!N105</f>
        <v>8.81E-5</v>
      </c>
      <c r="O105" s="188">
        <f>opex_orig!O105</f>
        <v>5.91E-5</v>
      </c>
      <c r="P105" s="188">
        <f>opex_orig!P105</f>
        <v>4.7193199999999999E-4</v>
      </c>
      <c r="Q105" s="188">
        <f>opex_orig!Q105</f>
        <v>5.2879000000000001E-4</v>
      </c>
      <c r="R105" s="188">
        <f>opex_orig!R105</f>
        <v>2.37E-5</v>
      </c>
      <c r="S105" s="188">
        <f>opex_orig!S105</f>
        <v>2.3050699999999999E-4</v>
      </c>
      <c r="T105" s="188">
        <f>opex_orig!T105</f>
        <v>2.3484800000000001E-4</v>
      </c>
      <c r="U105" s="188">
        <f>opex_orig!U105</f>
        <v>7.5236200000000002E-4</v>
      </c>
      <c r="V105" s="188">
        <f>opex_orig!V105</f>
        <v>3.58205E-4</v>
      </c>
      <c r="W105" s="188">
        <f>opex_orig!W105</f>
        <v>1.9051100000000001E-4</v>
      </c>
      <c r="X105" s="188">
        <f>opex_orig!X105</f>
        <v>1.1086699999999999E-4</v>
      </c>
      <c r="Y105" s="188">
        <f>opex_orig!Y105</f>
        <v>3.2062399999999998E-4</v>
      </c>
      <c r="Z105" s="188">
        <f>opex_orig!Z105</f>
        <v>6.5712599999999996E-4</v>
      </c>
      <c r="AA105" s="188">
        <f>opex_orig!AA105</f>
        <v>1.26E-5</v>
      </c>
      <c r="AB105" s="273">
        <f>opex_concordance!M171</f>
        <v>9.8509742840008501E-6</v>
      </c>
      <c r="AC105" s="273">
        <f>opex_concordance!M216</f>
        <v>2.9764834611678711E-4</v>
      </c>
      <c r="AD105" s="273">
        <f>opex_concordance!M261</f>
        <v>2.6551442451080781E-4</v>
      </c>
      <c r="AE105" s="188">
        <f>opex_orig!$AC105</f>
        <v>7.8473144864104794E-5</v>
      </c>
      <c r="AF105" s="273">
        <f>opex_concordance!M303</f>
        <v>1.2474597341853799E-4</v>
      </c>
      <c r="AG105" s="273">
        <f>opex_concordance!M339</f>
        <v>3.0760846687836938E-5</v>
      </c>
      <c r="AH105" s="273">
        <f>opex_concordance!M375</f>
        <v>3.7197778379361552E-5</v>
      </c>
      <c r="AI105" s="188">
        <f>opex_orig!AE105</f>
        <v>1.2244099999999999E-4</v>
      </c>
      <c r="AJ105" s="188">
        <f>opex_orig!AF105</f>
        <v>4.4308200000000002E-4</v>
      </c>
      <c r="AK105" s="188">
        <f>opex_orig!AG105</f>
        <v>1.2504500000000001E-4</v>
      </c>
      <c r="AL105" s="188">
        <f>opex_orig!AH105</f>
        <v>7.1799999999999997E-5</v>
      </c>
      <c r="AM105" s="188">
        <f>opex_orig!AI105</f>
        <v>1.8995000000000001E-4</v>
      </c>
      <c r="AN105" s="188">
        <f>opex_orig!AJ105</f>
        <v>4.2899999999999999E-5</v>
      </c>
      <c r="AO105" s="188">
        <f>opex_orig!AK105</f>
        <v>9.2499999999999999E-5</v>
      </c>
      <c r="AP105" s="273">
        <f>opex_concordance!M413</f>
        <v>2.3676548956555398E-4</v>
      </c>
      <c r="AQ105" s="273">
        <f>opex_concordance!M467</f>
        <v>3.1481617507200788E-4</v>
      </c>
      <c r="AR105" s="273">
        <f>opex_concordance!M521</f>
        <v>6.4746118397028692E-4</v>
      </c>
      <c r="AS105" s="188">
        <f>opex_orig!$AM105</f>
        <v>1.0360380788966E-4</v>
      </c>
      <c r="AT105" s="188">
        <f>opex_orig!AN105</f>
        <v>3.6151899999999998E-4</v>
      </c>
      <c r="AU105" s="273">
        <f>opex_concordance!M580</f>
        <v>7.4704670047328204E-5</v>
      </c>
      <c r="AV105" s="273">
        <f>opex_concordance!M626</f>
        <v>1.0196929780006882E-3</v>
      </c>
      <c r="AW105" s="273">
        <f>opex_concordance!M672</f>
        <v>8.8462322198957138E-5</v>
      </c>
      <c r="AX105" s="188">
        <f>opex_orig!$AP105</f>
        <v>3.3074452182893499E-4</v>
      </c>
      <c r="AY105" s="188">
        <f>opex_orig!AQ105</f>
        <v>4.1399999999999997E-5</v>
      </c>
      <c r="AZ105" s="188">
        <f>opex_orig!AR105</f>
        <v>0</v>
      </c>
      <c r="BA105" s="188">
        <f>opex_orig!AS105</f>
        <v>2.75543E-4</v>
      </c>
      <c r="BB105" s="188">
        <f>opex_orig!AT105</f>
        <v>1.73E-5</v>
      </c>
      <c r="BC105" s="188">
        <f>opex_orig!AU105</f>
        <v>5.66E-6</v>
      </c>
      <c r="BD105" s="188">
        <f>opex_orig!AV105</f>
        <v>3.1599999999999998E-6</v>
      </c>
      <c r="BE105" s="188">
        <f>opex_orig!AW105</f>
        <v>3.57E-5</v>
      </c>
      <c r="BF105" s="188">
        <f>opex_orig!AX105</f>
        <v>0</v>
      </c>
      <c r="BG105" s="188">
        <f>opex_orig!AY105</f>
        <v>7.8399999999999995E-5</v>
      </c>
      <c r="BH105" s="188">
        <f>opex_orig!AZ105</f>
        <v>0</v>
      </c>
      <c r="BI105" s="188">
        <f>opex_orig!BA105</f>
        <v>2.1299999999999999E-5</v>
      </c>
      <c r="BJ105" s="188">
        <f>opex_orig!BB105</f>
        <v>1.4376699999999999E-4</v>
      </c>
      <c r="BK105" s="188">
        <f>opex_orig!BC105</f>
        <v>2.5259000000000002E-4</v>
      </c>
      <c r="BL105" s="188">
        <f>opex_orig!BD105</f>
        <v>9.6500000000000008E-6</v>
      </c>
      <c r="BM105" s="188">
        <f>opex_orig!BE105</f>
        <v>1.4544100000000001E-4</v>
      </c>
      <c r="BN105" s="188">
        <f>opex_orig!BF105</f>
        <v>3.8099999999999998E-5</v>
      </c>
      <c r="BO105" s="188">
        <f>opex_orig!BG105</f>
        <v>3.9050100000000002E-4</v>
      </c>
      <c r="BP105" s="188">
        <f>opex_orig!$BH105</f>
        <v>4.6156623488737801E-5</v>
      </c>
      <c r="BQ105" s="188">
        <f>opex_orig!$BH105</f>
        <v>4.6156623488737801E-5</v>
      </c>
      <c r="BR105" s="188">
        <f>opex_orig!BI105</f>
        <v>8.9800000000000001E-5</v>
      </c>
      <c r="BS105" s="188">
        <f>opex_orig!BJ105</f>
        <v>1.87011E-4</v>
      </c>
      <c r="BT105" s="188">
        <f>opex_orig!BK105</f>
        <v>4.5000000000000003E-5</v>
      </c>
      <c r="BU105" s="188">
        <f>opex_orig!BL105</f>
        <v>0</v>
      </c>
      <c r="BV105" s="27">
        <f>opex_orig!BM105</f>
        <v>7.3175954428389101E-6</v>
      </c>
      <c r="BW105" s="27">
        <f>opex_orig!BN105</f>
        <v>1.0969799370608301E-5</v>
      </c>
      <c r="BX105" s="27">
        <f>opex_orig!BO105</f>
        <v>2.5020293226442801E-6</v>
      </c>
      <c r="BY105" s="27">
        <f>opex_orig!BP105</f>
        <v>5.1153043173806399E-6</v>
      </c>
      <c r="BZ105" s="27">
        <f>opex_orig!BQ105</f>
        <v>6.2866686897159602E-6</v>
      </c>
      <c r="CA105" s="27">
        <f>opex_orig!BR105</f>
        <v>4.9676368070355897E-6</v>
      </c>
      <c r="CB105" s="27">
        <f>opex_orig!BS105</f>
        <v>1.1196199732864201E-5</v>
      </c>
      <c r="CC105" s="27">
        <f>opex_orig!BT105</f>
        <v>4.3521133923624599E-7</v>
      </c>
      <c r="CD105" s="27">
        <f>opex_orig!BU105</f>
        <v>4.1843232825974304E-6</v>
      </c>
      <c r="CE105" s="27">
        <f>opex_orig!BV105</f>
        <v>4.1843232825974397E-6</v>
      </c>
      <c r="CF105" s="27">
        <f>opex_orig!BW105</f>
        <v>1.57625790016914E-6</v>
      </c>
      <c r="CG105" s="27">
        <f>opex_orig!BX105</f>
        <v>1.63786029178587E-7</v>
      </c>
      <c r="CH105" s="27">
        <f>opex_orig!BY105</f>
        <v>1.60688724913883E-6</v>
      </c>
      <c r="CI105" s="27">
        <f>opex_orig!BZ105</f>
        <v>6.7499999999999997E-6</v>
      </c>
      <c r="CJ105" s="27">
        <f>opex_orig!CA105</f>
        <v>1.033391E-3</v>
      </c>
      <c r="CK105" s="27">
        <f>opex_orig!CB105</f>
        <v>7.9407000000000002E-4</v>
      </c>
      <c r="CL105" s="27">
        <f>opex_orig!CC105</f>
        <v>3.887691E-3</v>
      </c>
      <c r="CM105" s="27">
        <f>opex_orig!CD105</f>
        <v>8.8400000000000001E-6</v>
      </c>
      <c r="CN105" s="27">
        <f>opex_orig!CE105</f>
        <v>8.9400000000000005E-5</v>
      </c>
      <c r="CO105" s="27">
        <f>opex_orig!CF105</f>
        <v>3.6900000000000002E-5</v>
      </c>
      <c r="CP105" s="27">
        <f>opex_orig!CG105</f>
        <v>1.08449E-4</v>
      </c>
    </row>
    <row r="106" spans="1:94" x14ac:dyDescent="0.25">
      <c r="A106" s="1" t="s">
        <v>341</v>
      </c>
      <c r="B106" s="2" t="s">
        <v>339</v>
      </c>
      <c r="C106" s="1" t="s">
        <v>330</v>
      </c>
      <c r="D106" s="188">
        <f>opex_orig!D106</f>
        <v>1.5E-5</v>
      </c>
      <c r="E106" s="188">
        <f>opex_orig!E106</f>
        <v>2.4499999999999999E-5</v>
      </c>
      <c r="F106" s="188">
        <f>opex_orig!F106</f>
        <v>1.5099999999999999E-5</v>
      </c>
      <c r="G106" s="188">
        <f>opex_orig!G106</f>
        <v>1.72E-6</v>
      </c>
      <c r="H106" s="188">
        <f>opex_orig!H106</f>
        <v>4.4499999999999997E-6</v>
      </c>
      <c r="I106" s="188">
        <f>opex_orig!I106</f>
        <v>7.6299999999999998E-5</v>
      </c>
      <c r="J106" s="188">
        <f>opex_orig!J106</f>
        <v>3.1063800000000002E-4</v>
      </c>
      <c r="K106" s="188">
        <f>opex_orig!K106</f>
        <v>5.6500000000000001E-6</v>
      </c>
      <c r="L106" s="188">
        <f>opex_orig!L106</f>
        <v>2.9600000000000001E-5</v>
      </c>
      <c r="M106" s="188">
        <f>opex_orig!M106</f>
        <v>1.06483E-4</v>
      </c>
      <c r="N106" s="188">
        <f>opex_orig!N106</f>
        <v>4.6100000000000002E-5</v>
      </c>
      <c r="O106" s="188">
        <f>opex_orig!O106</f>
        <v>3.1099999999999997E-5</v>
      </c>
      <c r="P106" s="188">
        <f>opex_orig!P106</f>
        <v>2.4963600000000002E-4</v>
      </c>
      <c r="Q106" s="188">
        <f>opex_orig!Q106</f>
        <v>2.79609E-4</v>
      </c>
      <c r="R106" s="188">
        <f>opex_orig!R106</f>
        <v>1.26E-5</v>
      </c>
      <c r="S106" s="188">
        <f>opex_orig!S106</f>
        <v>1.21922E-4</v>
      </c>
      <c r="T106" s="188">
        <f>opex_orig!T106</f>
        <v>1.24194E-4</v>
      </c>
      <c r="U106" s="188">
        <f>opex_orig!U106</f>
        <v>3.9785200000000003E-4</v>
      </c>
      <c r="V106" s="188">
        <f>opex_orig!V106</f>
        <v>1.8934299999999999E-4</v>
      </c>
      <c r="W106" s="188">
        <f>opex_orig!W106</f>
        <v>1.0076100000000001E-4</v>
      </c>
      <c r="X106" s="188">
        <f>opex_orig!X106</f>
        <v>5.8600000000000001E-5</v>
      </c>
      <c r="Y106" s="188">
        <f>opex_orig!Y106</f>
        <v>1.69536E-4</v>
      </c>
      <c r="Z106" s="188">
        <f>opex_orig!Z106</f>
        <v>3.4743099999999999E-4</v>
      </c>
      <c r="AA106" s="188">
        <f>opex_orig!AA106</f>
        <v>6.55E-6</v>
      </c>
      <c r="AB106" s="273">
        <f>opex_concordance!M172</f>
        <v>3.2366965306455799E-6</v>
      </c>
      <c r="AC106" s="273">
        <f>opex_concordance!M217</f>
        <v>9.7797166194339905E-5</v>
      </c>
      <c r="AD106" s="273">
        <f>opex_concordance!M262</f>
        <v>8.7239047821517494E-5</v>
      </c>
      <c r="AE106" s="188">
        <f>opex_orig!$AC106</f>
        <v>3.9625853836620697E-5</v>
      </c>
      <c r="AF106" s="273">
        <f>opex_concordance!M304</f>
        <v>6.5658863174722495E-5</v>
      </c>
      <c r="AG106" s="273">
        <f>opex_concordance!M340</f>
        <v>1.619068069667376E-5</v>
      </c>
      <c r="AH106" s="273">
        <f>opex_concordance!M376</f>
        <v>1.9578698807533623E-5</v>
      </c>
      <c r="AI106" s="188">
        <f>opex_orig!AE106</f>
        <v>6.4599999999999998E-5</v>
      </c>
      <c r="AJ106" s="188">
        <f>opex_orig!AF106</f>
        <v>2.34436E-4</v>
      </c>
      <c r="AK106" s="188">
        <f>opex_orig!AG106</f>
        <v>6.6199999999999996E-5</v>
      </c>
      <c r="AL106" s="188">
        <f>opex_orig!AH106</f>
        <v>3.8000000000000002E-5</v>
      </c>
      <c r="AM106" s="188">
        <f>opex_orig!AI106</f>
        <v>1.00413E-4</v>
      </c>
      <c r="AN106" s="188">
        <f>opex_orig!AJ106</f>
        <v>2.27E-5</v>
      </c>
      <c r="AO106" s="188">
        <f>opex_orig!AK106</f>
        <v>4.8699999999999998E-5</v>
      </c>
      <c r="AP106" s="273">
        <f>opex_concordance!M414</f>
        <v>1.2517820002296901E-4</v>
      </c>
      <c r="AQ106" s="273">
        <f>opex_concordance!M468</f>
        <v>1.6644369162896431E-4</v>
      </c>
      <c r="AR106" s="273">
        <f>opex_concordance!M522</f>
        <v>3.4231350921478315E-4</v>
      </c>
      <c r="AS106" s="188">
        <f>opex_orig!$AM106</f>
        <v>5.4638240587505797E-5</v>
      </c>
      <c r="AT106" s="188">
        <f>opex_orig!AN106</f>
        <v>1.9116599999999999E-4</v>
      </c>
      <c r="AU106" s="273">
        <f>opex_concordance!M581</f>
        <v>3.9476265143633502E-5</v>
      </c>
      <c r="AV106" s="273">
        <f>opex_concordance!M627</f>
        <v>5.3883740252321855E-4</v>
      </c>
      <c r="AW106" s="273">
        <f>opex_concordance!M673</f>
        <v>4.6746235330872251E-5</v>
      </c>
      <c r="AX106" s="188">
        <f>opex_orig!$AP106</f>
        <v>1.7480100000861001E-4</v>
      </c>
      <c r="AY106" s="188">
        <f>opex_orig!AQ106</f>
        <v>2.1800000000000001E-5</v>
      </c>
      <c r="AZ106" s="188">
        <f>opex_orig!AR106</f>
        <v>0</v>
      </c>
      <c r="BA106" s="188">
        <f>opex_orig!AS106</f>
        <v>1.45618E-4</v>
      </c>
      <c r="BB106" s="188">
        <f>opex_orig!AT106</f>
        <v>9.1200000000000008E-6</v>
      </c>
      <c r="BC106" s="188">
        <f>opex_orig!AU106</f>
        <v>2.8700000000000001E-6</v>
      </c>
      <c r="BD106" s="188">
        <f>opex_orig!AV106</f>
        <v>1.5200000000000001E-6</v>
      </c>
      <c r="BE106" s="188">
        <f>opex_orig!AW106</f>
        <v>1.88E-5</v>
      </c>
      <c r="BF106" s="188">
        <f>opex_orig!AX106</f>
        <v>0</v>
      </c>
      <c r="BG106" s="188">
        <f>opex_orig!AY106</f>
        <v>4.1300000000000001E-5</v>
      </c>
      <c r="BH106" s="188">
        <f>opex_orig!AZ106</f>
        <v>0</v>
      </c>
      <c r="BI106" s="188">
        <f>opex_orig!BA106</f>
        <v>1.1199999999999999E-5</v>
      </c>
      <c r="BJ106" s="188">
        <f>opex_orig!BB106</f>
        <v>7.6100000000000007E-5</v>
      </c>
      <c r="BK106" s="188">
        <f>opex_orig!BC106</f>
        <v>1.34358E-4</v>
      </c>
      <c r="BL106" s="188">
        <f>opex_orig!BD106</f>
        <v>6.1999999999999999E-6</v>
      </c>
      <c r="BM106" s="188">
        <f>opex_orig!BE106</f>
        <v>7.8200000000000003E-5</v>
      </c>
      <c r="BN106" s="188">
        <f>opex_orig!BF106</f>
        <v>2.0400000000000001E-5</v>
      </c>
      <c r="BO106" s="188">
        <f>opex_orig!BG106</f>
        <v>2.0661200000000001E-4</v>
      </c>
      <c r="BP106" s="188">
        <f>opex_orig!$BH106</f>
        <v>2.4905623271607702E-5</v>
      </c>
      <c r="BQ106" s="188">
        <f>opex_orig!$BH106</f>
        <v>2.4905623271607702E-5</v>
      </c>
      <c r="BR106" s="188">
        <f>opex_orig!BI106</f>
        <v>4.7800000000000003E-5</v>
      </c>
      <c r="BS106" s="188">
        <f>opex_orig!BJ106</f>
        <v>9.8900000000000005E-5</v>
      </c>
      <c r="BT106" s="188">
        <f>opex_orig!BK106</f>
        <v>2.3799999999999999E-5</v>
      </c>
      <c r="BU106" s="188">
        <f>opex_orig!BL106</f>
        <v>0</v>
      </c>
      <c r="BV106" s="27">
        <f>opex_orig!BM106</f>
        <v>4.0866358473783604E-6</v>
      </c>
      <c r="BW106" s="27">
        <f>opex_orig!BN106</f>
        <v>6.0304705138217297E-6</v>
      </c>
      <c r="BX106" s="27">
        <f>opex_orig!BO106</f>
        <v>1.3680766769776799E-6</v>
      </c>
      <c r="BY106" s="27">
        <f>opex_orig!BP106</f>
        <v>2.2999022576593502E-6</v>
      </c>
      <c r="BZ106" s="27">
        <f>opex_orig!BQ106</f>
        <v>2.7916364135244501E-6</v>
      </c>
      <c r="CA106" s="27">
        <f>opex_orig!BR106</f>
        <v>1.2677775618125299E-5</v>
      </c>
      <c r="CB106" s="27">
        <f>opex_orig!BS106</f>
        <v>5.7370339799257003E-6</v>
      </c>
      <c r="CC106" s="27">
        <f>opex_orig!BT106</f>
        <v>5.5174522588964505E-7</v>
      </c>
      <c r="CD106" s="27">
        <f>opex_orig!BU106</f>
        <v>2.30784782207681E-6</v>
      </c>
      <c r="CE106" s="27">
        <f>opex_orig!BV106</f>
        <v>2.3078478220768202E-6</v>
      </c>
      <c r="CF106" s="27">
        <f>opex_orig!BW106</f>
        <v>2.4899076663526301E-6</v>
      </c>
      <c r="CG106" s="27">
        <f>opex_orig!BX106</f>
        <v>6.84749441285248E-8</v>
      </c>
      <c r="CH106" s="27">
        <f>opex_orig!BY106</f>
        <v>8.0589234711712495E-8</v>
      </c>
      <c r="CI106" s="27">
        <f>opex_orig!BZ106</f>
        <v>3.5700000000000001E-6</v>
      </c>
      <c r="CJ106" s="27">
        <f>opex_orig!CA106</f>
        <v>5.4651299999999999E-4</v>
      </c>
      <c r="CK106" s="27">
        <f>opex_orig!CB106</f>
        <v>4.2002199999999998E-4</v>
      </c>
      <c r="CL106" s="27">
        <f>opex_orig!CC106</f>
        <v>2.0558180000000001E-3</v>
      </c>
      <c r="CM106" s="27">
        <f>opex_orig!CD106</f>
        <v>5.5799999999999999E-6</v>
      </c>
      <c r="CN106" s="27">
        <f>opex_orig!CE106</f>
        <v>4.7200000000000002E-5</v>
      </c>
      <c r="CO106" s="27">
        <f>opex_orig!CF106</f>
        <v>1.9599999999999999E-5</v>
      </c>
      <c r="CP106" s="27">
        <f>opex_orig!CG106</f>
        <v>5.7099999999999999E-5</v>
      </c>
    </row>
    <row r="107" spans="1:94" x14ac:dyDescent="0.25">
      <c r="A107" s="5" t="s">
        <v>14</v>
      </c>
      <c r="B107" s="2" t="s">
        <v>15</v>
      </c>
      <c r="C107" s="1" t="s">
        <v>330</v>
      </c>
      <c r="D107" s="188">
        <f>opex_orig!D107</f>
        <v>7.8199999999999999E-9</v>
      </c>
      <c r="E107" s="188">
        <f>opex_orig!E107</f>
        <v>1.0999999999999999E-9</v>
      </c>
      <c r="F107" s="188">
        <f>opex_orig!F107</f>
        <v>5.9000000000000003E-10</v>
      </c>
      <c r="G107" s="188">
        <f>opex_orig!G107</f>
        <v>1.5E-10</v>
      </c>
      <c r="H107" s="188">
        <f>opex_orig!H107</f>
        <v>2.4599999999999998E-10</v>
      </c>
      <c r="I107" s="188">
        <f>opex_orig!I107</f>
        <v>1.62E-9</v>
      </c>
      <c r="J107" s="188">
        <f>opex_orig!J107</f>
        <v>4.9E-9</v>
      </c>
      <c r="K107" s="188">
        <f>opex_orig!K107</f>
        <v>4.6900000000000003E-10</v>
      </c>
      <c r="L107" s="188">
        <f>opex_orig!L107</f>
        <v>1.08E-9</v>
      </c>
      <c r="M107" s="188">
        <f>opex_orig!M107</f>
        <v>2.6299999999999998E-9</v>
      </c>
      <c r="N107" s="188">
        <f>opex_orig!N107</f>
        <v>1.5300000000000001E-9</v>
      </c>
      <c r="O107" s="188">
        <f>opex_orig!O107</f>
        <v>2.9499999999999999E-9</v>
      </c>
      <c r="P107" s="188">
        <f>opex_orig!P107</f>
        <v>2.4699999999999999E-9</v>
      </c>
      <c r="Q107" s="188">
        <f>opex_orig!Q107</f>
        <v>2.3600000000000001E-10</v>
      </c>
      <c r="R107" s="188">
        <f>opex_orig!R107</f>
        <v>1.37E-9</v>
      </c>
      <c r="S107" s="188">
        <f>opex_orig!S107</f>
        <v>1.15E-9</v>
      </c>
      <c r="T107" s="188">
        <f>opex_orig!T107</f>
        <v>1.4800000000000001E-9</v>
      </c>
      <c r="U107" s="188">
        <f>opex_orig!U107</f>
        <v>4.0899999999999997E-9</v>
      </c>
      <c r="V107" s="188">
        <f>opex_orig!V107</f>
        <v>5.8699999999999998E-9</v>
      </c>
      <c r="W107" s="188">
        <f>opex_orig!W107</f>
        <v>1.1599999999999999E-9</v>
      </c>
      <c r="X107" s="188">
        <f>opex_orig!X107</f>
        <v>8.7399999999999998E-10</v>
      </c>
      <c r="Y107" s="188">
        <f>opex_orig!Y107</f>
        <v>4.9600000000000004E-10</v>
      </c>
      <c r="Z107" s="188">
        <f>opex_orig!Z107</f>
        <v>2.8699999999999998E-9</v>
      </c>
      <c r="AA107" s="188">
        <f>opex_orig!AA107</f>
        <v>2.9600000000000001E-9</v>
      </c>
      <c r="AB107" s="273">
        <f>opex_concordance!M173</f>
        <v>1.51912372898467E-9</v>
      </c>
      <c r="AC107" s="273">
        <f>opex_concordance!M218</f>
        <v>4.5900502066422248E-8</v>
      </c>
      <c r="AD107" s="273">
        <f>opex_concordance!M263</f>
        <v>4.0945113755617446E-8</v>
      </c>
      <c r="AE107" s="188">
        <f>opex_orig!$AC107</f>
        <v>2.1970401333417899E-9</v>
      </c>
      <c r="AF107" s="273">
        <f>opex_concordance!M305</f>
        <v>1.9287146365628901E-9</v>
      </c>
      <c r="AG107" s="273">
        <f>opex_concordance!M341</f>
        <v>4.7559767753659275E-10</v>
      </c>
      <c r="AH107" s="273">
        <f>opex_concordance!M377</f>
        <v>5.751199629280834E-10</v>
      </c>
      <c r="AI107" s="188">
        <f>opex_orig!AE107</f>
        <v>1.8199999999999999E-9</v>
      </c>
      <c r="AJ107" s="188">
        <f>opex_orig!AF107</f>
        <v>4.0300000000000004E-9</v>
      </c>
      <c r="AK107" s="188">
        <f>opex_orig!AG107</f>
        <v>2.0099999999999999E-9</v>
      </c>
      <c r="AL107" s="188">
        <f>opex_orig!AH107</f>
        <v>8.67E-10</v>
      </c>
      <c r="AM107" s="188">
        <f>opex_orig!AI107</f>
        <v>1.79E-9</v>
      </c>
      <c r="AN107" s="188">
        <f>opex_orig!AJ107</f>
        <v>4.7400000000000002E-10</v>
      </c>
      <c r="AO107" s="188">
        <f>opex_orig!AK107</f>
        <v>1.0399999999999999E-9</v>
      </c>
      <c r="AP107" s="273">
        <f>opex_concordance!M415</f>
        <v>8.8864751107379086E-10</v>
      </c>
      <c r="AQ107" s="273">
        <f>opex_concordance!M469</f>
        <v>1.1815936982068176E-9</v>
      </c>
      <c r="AR107" s="273">
        <f>opex_concordance!M523</f>
        <v>2.4301040270177646E-9</v>
      </c>
      <c r="AS107" s="188">
        <f>opex_orig!$AM107</f>
        <v>9.6369735256330706E-10</v>
      </c>
      <c r="AT107" s="188">
        <f>opex_orig!AN107</f>
        <v>9.8100000000000002E-10</v>
      </c>
      <c r="AU107" s="273">
        <f>opex_concordance!M582</f>
        <v>1.91337258228685E-10</v>
      </c>
      <c r="AV107" s="273">
        <f>opex_concordance!M628</f>
        <v>2.6116875761861751E-9</v>
      </c>
      <c r="AW107" s="273">
        <f>opex_concordance!M674</f>
        <v>2.2657403045040758E-10</v>
      </c>
      <c r="AX107" s="188">
        <f>opex_orig!$AP107</f>
        <v>2.7597077293991601E-10</v>
      </c>
      <c r="AY107" s="188">
        <f>opex_orig!AQ107</f>
        <v>3.1100000000000001E-10</v>
      </c>
      <c r="AZ107" s="188">
        <f>opex_orig!AR107</f>
        <v>0</v>
      </c>
      <c r="BA107" s="188">
        <f>opex_orig!AS107</f>
        <v>3.5700000000000001E-10</v>
      </c>
      <c r="BB107" s="188">
        <f>opex_orig!AT107</f>
        <v>3.4799999999999999E-10</v>
      </c>
      <c r="BC107" s="188">
        <f>opex_orig!AU107</f>
        <v>2.6800000000000001E-10</v>
      </c>
      <c r="BD107" s="188">
        <f>opex_orig!AV107</f>
        <v>2.7099999999999999E-10</v>
      </c>
      <c r="BE107" s="188">
        <f>opex_orig!AW107</f>
        <v>2.32E-10</v>
      </c>
      <c r="BF107" s="188">
        <f>opex_orig!AX107</f>
        <v>0</v>
      </c>
      <c r="BG107" s="188">
        <f>opex_orig!AY107</f>
        <v>4.8999999999999996E-10</v>
      </c>
      <c r="BH107" s="188">
        <f>opex_orig!AZ107</f>
        <v>0</v>
      </c>
      <c r="BI107" s="188">
        <f>opex_orig!BA107</f>
        <v>2.18E-10</v>
      </c>
      <c r="BJ107" s="188">
        <f>opex_orig!BB107</f>
        <v>1.87E-9</v>
      </c>
      <c r="BK107" s="188">
        <f>opex_orig!BC107</f>
        <v>1.2100000000000001E-8</v>
      </c>
      <c r="BL107" s="188">
        <f>opex_orig!BD107</f>
        <v>1.51E-8</v>
      </c>
      <c r="BM107" s="188">
        <f>opex_orig!BE107</f>
        <v>1.8299999999999998E-8</v>
      </c>
      <c r="BN107" s="188">
        <f>opex_orig!BF107</f>
        <v>2.2699999999999998E-9</v>
      </c>
      <c r="BO107" s="188">
        <f>opex_orig!BG107</f>
        <v>1.9599999999999998E-9</v>
      </c>
      <c r="BP107" s="188">
        <f>opex_orig!$BH107</f>
        <v>7.5692860948222299E-9</v>
      </c>
      <c r="BQ107" s="188">
        <f>opex_orig!$BH107</f>
        <v>7.5692860948222299E-9</v>
      </c>
      <c r="BR107" s="188">
        <f>opex_orig!BI107</f>
        <v>3.84E-9</v>
      </c>
      <c r="BS107" s="188">
        <f>opex_orig!BJ107</f>
        <v>1.2E-9</v>
      </c>
      <c r="BT107" s="188">
        <f>opex_orig!BK107</f>
        <v>2.3400000000000002E-10</v>
      </c>
      <c r="BU107" s="188">
        <f>opex_orig!BL107</f>
        <v>0</v>
      </c>
      <c r="BV107" s="27">
        <f>opex_orig!BM107</f>
        <v>4.8692393645159699E-9</v>
      </c>
      <c r="BW107" s="27">
        <f>opex_orig!BN107</f>
        <v>1.22609455796522E-8</v>
      </c>
      <c r="BX107" s="27">
        <f>opex_orig!BO107</f>
        <v>1.82969134166997E-9</v>
      </c>
      <c r="BY107" s="27">
        <f>opex_orig!BP107</f>
        <v>2.27318835464568E-9</v>
      </c>
      <c r="BZ107" s="27">
        <f>opex_orig!BQ107</f>
        <v>2.2417184298853799E-9</v>
      </c>
      <c r="CA107" s="27">
        <f>opex_orig!BR107</f>
        <v>2.39072984269333E-9</v>
      </c>
      <c r="CB107" s="27">
        <f>opex_orig!BS107</f>
        <v>6.5884949058357697E-9</v>
      </c>
      <c r="CC107" s="27">
        <f>opex_orig!BT107</f>
        <v>2.0923102705572401E-9</v>
      </c>
      <c r="CD107" s="27">
        <f>opex_orig!BU107</f>
        <v>2.4067358790456902E-9</v>
      </c>
      <c r="CE107" s="27">
        <f>opex_orig!BV107</f>
        <v>2.4067358790457001E-9</v>
      </c>
      <c r="CF107" s="27">
        <f>opex_orig!BW107</f>
        <v>5.7112957158898599E-7</v>
      </c>
      <c r="CG107" s="27">
        <f>opex_orig!BX107</f>
        <v>7.0842074222433996E-10</v>
      </c>
      <c r="CH107" s="27">
        <f>opex_orig!BY107</f>
        <v>2.3971334822999999E-10</v>
      </c>
      <c r="CI107" s="27">
        <f>opex_orig!BZ107</f>
        <v>5.0700000000000001E-9</v>
      </c>
      <c r="CJ107" s="27">
        <f>opex_orig!CA107</f>
        <v>2.8299999999999999E-9</v>
      </c>
      <c r="CK107" s="27">
        <f>opex_orig!CB107</f>
        <v>3.2700000000000001E-9</v>
      </c>
      <c r="CL107" s="27">
        <f>opex_orig!CC107</f>
        <v>1.99E-9</v>
      </c>
      <c r="CM107" s="27">
        <f>opex_orig!CD107</f>
        <v>1.5300000000000001E-8</v>
      </c>
      <c r="CN107" s="27">
        <f>opex_orig!CE107</f>
        <v>2.6200000000000001E-9</v>
      </c>
      <c r="CO107" s="27">
        <f>opex_orig!CF107</f>
        <v>8.1699999999999997E-9</v>
      </c>
      <c r="CP107" s="27">
        <f>opex_orig!CG107</f>
        <v>8.1299999999999998E-10</v>
      </c>
    </row>
    <row r="108" spans="1:94" x14ac:dyDescent="0.25">
      <c r="A108" s="5" t="s">
        <v>16</v>
      </c>
      <c r="B108" s="2" t="s">
        <v>17</v>
      </c>
      <c r="C108" s="1" t="s">
        <v>330</v>
      </c>
      <c r="D108" s="188">
        <f>opex_orig!D108</f>
        <v>5.17E-11</v>
      </c>
      <c r="E108" s="188">
        <f>opex_orig!E108</f>
        <v>6.4199999999999995E-11</v>
      </c>
      <c r="F108" s="188">
        <f>opex_orig!F108</f>
        <v>1.7199999999999999E-11</v>
      </c>
      <c r="G108" s="188">
        <f>opex_orig!G108</f>
        <v>9.6199999999999998E-12</v>
      </c>
      <c r="H108" s="188">
        <f>opex_orig!H108</f>
        <v>1.1300000000000001E-11</v>
      </c>
      <c r="I108" s="188">
        <f>opex_orig!I108</f>
        <v>1.5100000000000001E-11</v>
      </c>
      <c r="J108" s="188">
        <f>opex_orig!J108</f>
        <v>6.6099999999999997E-11</v>
      </c>
      <c r="K108" s="188">
        <f>opex_orig!K108</f>
        <v>2.92E-11</v>
      </c>
      <c r="L108" s="188">
        <f>opex_orig!L108</f>
        <v>1.1100000000000001E-11</v>
      </c>
      <c r="M108" s="188">
        <f>opex_orig!M108</f>
        <v>3.0499999999999998E-11</v>
      </c>
      <c r="N108" s="188">
        <f>opex_orig!N108</f>
        <v>3.6399999999999998E-10</v>
      </c>
      <c r="O108" s="188">
        <f>opex_orig!O108</f>
        <v>8.3999999999999994E-11</v>
      </c>
      <c r="P108" s="188">
        <f>opex_orig!P108</f>
        <v>1.8900000000000001E-11</v>
      </c>
      <c r="Q108" s="188">
        <f>opex_orig!Q108</f>
        <v>7.2299999999999997E-12</v>
      </c>
      <c r="R108" s="188">
        <f>opex_orig!R108</f>
        <v>1.1200000000000001E-11</v>
      </c>
      <c r="S108" s="188">
        <f>opex_orig!S108</f>
        <v>1.7300000000000001E-11</v>
      </c>
      <c r="T108" s="188">
        <f>opex_orig!T108</f>
        <v>5.21E-11</v>
      </c>
      <c r="U108" s="188">
        <f>opex_orig!U108</f>
        <v>9.3199999999999999E-11</v>
      </c>
      <c r="V108" s="188">
        <f>opex_orig!V108</f>
        <v>2.17E-10</v>
      </c>
      <c r="W108" s="188">
        <f>opex_orig!W108</f>
        <v>2.4200000000000001E-11</v>
      </c>
      <c r="X108" s="188">
        <f>opex_orig!X108</f>
        <v>1.7500000000000001E-11</v>
      </c>
      <c r="Y108" s="188">
        <f>opex_orig!Y108</f>
        <v>2.17E-11</v>
      </c>
      <c r="Z108" s="188">
        <f>opex_orig!Z108</f>
        <v>2.3000000000000001E-11</v>
      </c>
      <c r="AA108" s="188">
        <f>opex_orig!AA108</f>
        <v>9.0999999999999996E-11</v>
      </c>
      <c r="AB108" s="273">
        <f>opex_concordance!M174</f>
        <v>9.9952413843299992E-10</v>
      </c>
      <c r="AC108" s="273">
        <f>opex_concordance!M219</f>
        <v>3.0200739351393411E-8</v>
      </c>
      <c r="AD108" s="273">
        <f>opex_concordance!M264</f>
        <v>2.6940287198974889E-8</v>
      </c>
      <c r="AE108" s="188">
        <f>opex_orig!$AC108</f>
        <v>1.19199716888E-9</v>
      </c>
      <c r="AF108" s="273">
        <f>opex_concordance!M306</f>
        <v>3.1313078810900002E-10</v>
      </c>
      <c r="AG108" s="273">
        <f>opex_concordance!M342</f>
        <v>7.7214261128456634E-11</v>
      </c>
      <c r="AH108" s="273">
        <f>opex_concordance!M378</f>
        <v>9.3371908853151627E-11</v>
      </c>
      <c r="AI108" s="188">
        <f>opex_orig!AE108</f>
        <v>1.88E-10</v>
      </c>
      <c r="AJ108" s="188">
        <f>opex_orig!AF108</f>
        <v>1.37E-11</v>
      </c>
      <c r="AK108" s="188">
        <f>opex_orig!AG108</f>
        <v>5.88E-12</v>
      </c>
      <c r="AL108" s="188">
        <f>opex_orig!AH108</f>
        <v>2.1399999999999998E-11</v>
      </c>
      <c r="AM108" s="188">
        <f>opex_orig!AI108</f>
        <v>5.1500000000000003E-11</v>
      </c>
      <c r="AN108" s="188">
        <f>opex_orig!AJ108</f>
        <v>5.2400000000000001E-11</v>
      </c>
      <c r="AO108" s="188">
        <f>opex_orig!AK108</f>
        <v>8.8200000000000003E-11</v>
      </c>
      <c r="AP108" s="273">
        <f>opex_concordance!M416</f>
        <v>5.5549515684600003E-11</v>
      </c>
      <c r="AQ108" s="273">
        <f>opex_concordance!M470</f>
        <v>7.3861634510236994E-11</v>
      </c>
      <c r="AR108" s="273">
        <f>opex_concordance!M524</f>
        <v>1.5190623963028645E-10</v>
      </c>
      <c r="AS108" s="188">
        <f>opex_orig!$AM108</f>
        <v>7.9924600161099899E-11</v>
      </c>
      <c r="AT108" s="188">
        <f>opex_orig!AN108</f>
        <v>5.1600000000000001E-11</v>
      </c>
      <c r="AU108" s="273">
        <f>opex_concordance!M583</f>
        <v>2.1652850795599999E-11</v>
      </c>
      <c r="AV108" s="273">
        <f>opex_concordance!M629</f>
        <v>2.9555394456574003E-10</v>
      </c>
      <c r="AW108" s="273">
        <f>opex_concordance!M675</f>
        <v>2.5640451425497174E-11</v>
      </c>
      <c r="AX108" s="188">
        <f>opex_orig!$AP108</f>
        <v>8.1055261112500105E-11</v>
      </c>
      <c r="AY108" s="188">
        <f>opex_orig!AQ108</f>
        <v>1.06E-10</v>
      </c>
      <c r="AZ108" s="188">
        <f>opex_orig!AR108</f>
        <v>0</v>
      </c>
      <c r="BA108" s="188">
        <f>opex_orig!AS108</f>
        <v>7.8000000000000002E-11</v>
      </c>
      <c r="BB108" s="188">
        <f>opex_orig!AT108</f>
        <v>3.5199999999999999E-11</v>
      </c>
      <c r="BC108" s="188">
        <f>opex_orig!AU108</f>
        <v>1.34E-10</v>
      </c>
      <c r="BD108" s="188">
        <f>opex_orig!AV108</f>
        <v>6.6300000000000006E-11</v>
      </c>
      <c r="BE108" s="188">
        <f>opex_orig!AW108</f>
        <v>8.9399999999999996E-11</v>
      </c>
      <c r="BF108" s="188">
        <f>opex_orig!AX108</f>
        <v>0</v>
      </c>
      <c r="BG108" s="188">
        <f>opex_orig!AY108</f>
        <v>5.5200000000000001E-11</v>
      </c>
      <c r="BH108" s="188">
        <f>opex_orig!AZ108</f>
        <v>0</v>
      </c>
      <c r="BI108" s="188">
        <f>opex_orig!BA108</f>
        <v>1.7700000000000001E-11</v>
      </c>
      <c r="BJ108" s="188">
        <f>opex_orig!BB108</f>
        <v>4.9400000000000004E-12</v>
      </c>
      <c r="BK108" s="188">
        <f>opex_orig!BC108</f>
        <v>6.03E-12</v>
      </c>
      <c r="BL108" s="188">
        <f>opex_orig!BD108</f>
        <v>2.9500000000000002E-11</v>
      </c>
      <c r="BM108" s="188">
        <f>opex_orig!BE108</f>
        <v>6.2699999999999997E-12</v>
      </c>
      <c r="BN108" s="188">
        <f>opex_orig!BF108</f>
        <v>5.6400000000000002E-12</v>
      </c>
      <c r="BO108" s="188">
        <f>opex_orig!BG108</f>
        <v>2.1399999999999998E-11</v>
      </c>
      <c r="BP108" s="188">
        <f>opex_orig!$BH108</f>
        <v>4.16621556622001E-12</v>
      </c>
      <c r="BQ108" s="188">
        <f>opex_orig!$BH108</f>
        <v>4.16621556622001E-12</v>
      </c>
      <c r="BR108" s="188">
        <f>opex_orig!BI108</f>
        <v>1.8399999999999999E-11</v>
      </c>
      <c r="BS108" s="188">
        <f>opex_orig!BJ108</f>
        <v>1.2100000000000001E-11</v>
      </c>
      <c r="BT108" s="188">
        <f>opex_orig!BK108</f>
        <v>3.83E-11</v>
      </c>
      <c r="BU108" s="188">
        <f>opex_orig!BL108</f>
        <v>0</v>
      </c>
      <c r="BV108" s="27">
        <f>opex_orig!BM108</f>
        <v>1.9716718901899999E-11</v>
      </c>
      <c r="BW108" s="27">
        <f>opex_orig!BN108</f>
        <v>4.1727841845300002E-10</v>
      </c>
      <c r="BX108" s="27">
        <f>opex_orig!BO108</f>
        <v>3.0198870579599998E-11</v>
      </c>
      <c r="BY108" s="27">
        <f>opex_orig!BP108</f>
        <v>3.9571996026199998E-10</v>
      </c>
      <c r="BZ108" s="27">
        <f>opex_orig!BQ108</f>
        <v>1.4036476238700001E-10</v>
      </c>
      <c r="CA108" s="27">
        <f>opex_orig!BR108</f>
        <v>7.8746353926700099E-12</v>
      </c>
      <c r="CB108" s="27">
        <f>opex_orig!BS108</f>
        <v>2.8371055136199999E-10</v>
      </c>
      <c r="CC108" s="27">
        <f>opex_orig!BT108</f>
        <v>1.1285629620000001E-11</v>
      </c>
      <c r="CD108" s="27">
        <f>opex_orig!BU108</f>
        <v>3.7688175598400003E-12</v>
      </c>
      <c r="CE108" s="27">
        <f>opex_orig!BV108</f>
        <v>3.76881755984001E-12</v>
      </c>
      <c r="CF108" s="27">
        <f>opex_orig!BW108</f>
        <v>1.4882192841399999E-11</v>
      </c>
      <c r="CG108" s="27">
        <f>opex_orig!BX108</f>
        <v>4.9783048631700004E-13</v>
      </c>
      <c r="CH108" s="27">
        <f>opex_orig!BY108</f>
        <v>2.33142580246E-9</v>
      </c>
      <c r="CI108" s="27">
        <f>opex_orig!BZ108</f>
        <v>2.1400000000000001E-10</v>
      </c>
      <c r="CJ108" s="27">
        <f>opex_orig!CA108</f>
        <v>5.25E-11</v>
      </c>
      <c r="CK108" s="27">
        <f>opex_orig!CB108</f>
        <v>1.97E-11</v>
      </c>
      <c r="CL108" s="27">
        <f>opex_orig!CC108</f>
        <v>2.9100000000000002E-11</v>
      </c>
      <c r="CM108" s="27">
        <f>opex_orig!CD108</f>
        <v>8.2999999999999998E-11</v>
      </c>
      <c r="CN108" s="27">
        <f>opex_orig!CE108</f>
        <v>6.8199999999999995E-11</v>
      </c>
      <c r="CO108" s="27">
        <f>opex_orig!CF108</f>
        <v>9.5099999999999997E-12</v>
      </c>
      <c r="CP108" s="27">
        <f>opex_orig!CG108</f>
        <v>2.2799999999999999E-10</v>
      </c>
    </row>
    <row r="109" spans="1:94" x14ac:dyDescent="0.25">
      <c r="A109" s="5" t="s">
        <v>18</v>
      </c>
      <c r="B109" s="2" t="s">
        <v>19</v>
      </c>
      <c r="C109" s="1" t="s">
        <v>330</v>
      </c>
      <c r="D109" s="188">
        <f>opex_orig!D109</f>
        <v>8.0099999999999996E-8</v>
      </c>
      <c r="E109" s="188">
        <f>opex_orig!E109</f>
        <v>2.3499999999999999E-8</v>
      </c>
      <c r="F109" s="188">
        <f>opex_orig!F109</f>
        <v>1.9000000000000001E-8</v>
      </c>
      <c r="G109" s="188">
        <f>opex_orig!G109</f>
        <v>2.76E-9</v>
      </c>
      <c r="H109" s="188">
        <f>opex_orig!H109</f>
        <v>5.1799999999999999E-9</v>
      </c>
      <c r="I109" s="188">
        <f>opex_orig!I109</f>
        <v>3.2700000000000002E-8</v>
      </c>
      <c r="J109" s="188">
        <f>opex_orig!J109</f>
        <v>3.8500000000000001E-8</v>
      </c>
      <c r="K109" s="188">
        <f>opex_orig!K109</f>
        <v>6.82E-9</v>
      </c>
      <c r="L109" s="188">
        <f>opex_orig!L109</f>
        <v>5.32E-8</v>
      </c>
      <c r="M109" s="188">
        <f>opex_orig!M109</f>
        <v>1.8300000000000001E-7</v>
      </c>
      <c r="N109" s="188">
        <f>opex_orig!N109</f>
        <v>1.1300000000000001E-7</v>
      </c>
      <c r="O109" s="188">
        <f>opex_orig!O109</f>
        <v>5.4599999999999999E-8</v>
      </c>
      <c r="P109" s="188">
        <f>opex_orig!P109</f>
        <v>1.8E-7</v>
      </c>
      <c r="Q109" s="188">
        <f>opex_orig!Q109</f>
        <v>1.1300000000000001E-7</v>
      </c>
      <c r="R109" s="188">
        <f>opex_orig!R109</f>
        <v>1.4000000000000001E-7</v>
      </c>
      <c r="S109" s="188">
        <f>opex_orig!S109</f>
        <v>8.5300000000000003E-8</v>
      </c>
      <c r="T109" s="188">
        <f>opex_orig!T109</f>
        <v>9.0800000000000006E-8</v>
      </c>
      <c r="U109" s="188">
        <f>opex_orig!U109</f>
        <v>1.2200000000000001E-7</v>
      </c>
      <c r="V109" s="188">
        <f>opex_orig!V109</f>
        <v>1.54E-7</v>
      </c>
      <c r="W109" s="188">
        <f>opex_orig!W109</f>
        <v>1.11E-7</v>
      </c>
      <c r="X109" s="188">
        <f>opex_orig!X109</f>
        <v>2.6300000000000001E-8</v>
      </c>
      <c r="Y109" s="188">
        <f>opex_orig!Y109</f>
        <v>1.59E-8</v>
      </c>
      <c r="Z109" s="188">
        <f>opex_orig!Z109</f>
        <v>6.9899999999999997E-8</v>
      </c>
      <c r="AA109" s="188">
        <f>opex_orig!AA109</f>
        <v>8.0200000000000003E-8</v>
      </c>
      <c r="AB109" s="273">
        <f>opex_concordance!M175</f>
        <v>1.11890862601421E-7</v>
      </c>
      <c r="AC109" s="273">
        <f>opex_concordance!M220</f>
        <v>3.3807955679047388E-6</v>
      </c>
      <c r="AD109" s="273">
        <f>opex_concordance!M265</f>
        <v>3.0158070801062296E-6</v>
      </c>
      <c r="AE109" s="188">
        <f>opex_orig!$AC109</f>
        <v>1.55986072982575E-7</v>
      </c>
      <c r="AF109" s="273">
        <f>opex_concordance!M307</f>
        <v>5.5313346936039598E-8</v>
      </c>
      <c r="AG109" s="273">
        <f>opex_concordance!M343</f>
        <v>1.3639601650162746E-8</v>
      </c>
      <c r="AH109" s="273">
        <f>opex_concordance!M379</f>
        <v>1.6493787850324127E-8</v>
      </c>
      <c r="AI109" s="188">
        <f>opex_orig!AE109</f>
        <v>4.3900000000000003E-8</v>
      </c>
      <c r="AJ109" s="188">
        <f>opex_orig!AF109</f>
        <v>3.9200000000000002E-7</v>
      </c>
      <c r="AK109" s="188">
        <f>opex_orig!AG109</f>
        <v>2.4900000000000002E-7</v>
      </c>
      <c r="AL109" s="188">
        <f>opex_orig!AH109</f>
        <v>1.29E-7</v>
      </c>
      <c r="AM109" s="188">
        <f>opex_orig!AI109</f>
        <v>2.1E-7</v>
      </c>
      <c r="AN109" s="188">
        <f>opex_orig!AJ109</f>
        <v>1.2800000000000001E-7</v>
      </c>
      <c r="AO109" s="188">
        <f>opex_orig!AK109</f>
        <v>1.48E-7</v>
      </c>
      <c r="AP109" s="273">
        <f>opex_concordance!M417</f>
        <v>1.01749429181875E-7</v>
      </c>
      <c r="AQ109" s="273">
        <f>opex_concordance!M471</f>
        <v>1.3529153327866698E-7</v>
      </c>
      <c r="AR109" s="273">
        <f>opex_concordance!M525</f>
        <v>2.7824496723437211E-7</v>
      </c>
      <c r="AS109" s="188">
        <f>opex_orig!$AM109</f>
        <v>1.08724494505503E-7</v>
      </c>
      <c r="AT109" s="188">
        <f>opex_orig!AN109</f>
        <v>1.5099999999999999E-7</v>
      </c>
      <c r="AU109" s="273">
        <f>opex_concordance!M584</f>
        <v>6.7931192020269998E-8</v>
      </c>
      <c r="AV109" s="273">
        <f>opex_concordance!M630</f>
        <v>9.272373393310116E-7</v>
      </c>
      <c r="AW109" s="273">
        <f>opex_concordance!M676</f>
        <v>8.0441436821141194E-8</v>
      </c>
      <c r="AX109" s="188">
        <f>opex_orig!$AP109</f>
        <v>8.1165344025774196E-8</v>
      </c>
      <c r="AY109" s="188">
        <f>opex_orig!AQ109</f>
        <v>8.8300000000000003E-8</v>
      </c>
      <c r="AZ109" s="188">
        <f>opex_orig!AR109</f>
        <v>0</v>
      </c>
      <c r="BA109" s="188">
        <f>opex_orig!AS109</f>
        <v>8.5899999999999995E-8</v>
      </c>
      <c r="BB109" s="188">
        <f>opex_orig!AT109</f>
        <v>8.0299999999999998E-8</v>
      </c>
      <c r="BC109" s="188">
        <f>opex_orig!AU109</f>
        <v>2.96E-8</v>
      </c>
      <c r="BD109" s="188">
        <f>opex_orig!AV109</f>
        <v>2.77E-8</v>
      </c>
      <c r="BE109" s="188">
        <f>opex_orig!AW109</f>
        <v>4.1099999999999997E-8</v>
      </c>
      <c r="BF109" s="188">
        <f>opex_orig!AX109</f>
        <v>0</v>
      </c>
      <c r="BG109" s="188">
        <f>opex_orig!AY109</f>
        <v>5.5000000000000003E-8</v>
      </c>
      <c r="BH109" s="188">
        <f>opex_orig!AZ109</f>
        <v>0</v>
      </c>
      <c r="BI109" s="188">
        <f>opex_orig!BA109</f>
        <v>1.05E-7</v>
      </c>
      <c r="BJ109" s="188">
        <f>opex_orig!BB109</f>
        <v>2.84E-7</v>
      </c>
      <c r="BK109" s="188">
        <f>opex_orig!BC109</f>
        <v>1.22E-6</v>
      </c>
      <c r="BL109" s="188">
        <f>opex_orig!BD109</f>
        <v>1.66E-6</v>
      </c>
      <c r="BM109" s="188">
        <f>opex_orig!BE109</f>
        <v>1.9E-6</v>
      </c>
      <c r="BN109" s="188">
        <f>opex_orig!BF109</f>
        <v>3.3700000000000001E-7</v>
      </c>
      <c r="BO109" s="188">
        <f>opex_orig!BG109</f>
        <v>2.41E-7</v>
      </c>
      <c r="BP109" s="188">
        <f>opex_orig!$BH109</f>
        <v>9.1657257804976497E-7</v>
      </c>
      <c r="BQ109" s="188">
        <f>opex_orig!$BH109</f>
        <v>9.1657257804976497E-7</v>
      </c>
      <c r="BR109" s="188">
        <f>opex_orig!BI109</f>
        <v>4.7999999999999996E-7</v>
      </c>
      <c r="BS109" s="188">
        <f>opex_orig!BJ109</f>
        <v>4.3300000000000003E-7</v>
      </c>
      <c r="BT109" s="188">
        <f>opex_orig!BK109</f>
        <v>2.3800000000000001E-8</v>
      </c>
      <c r="BU109" s="188">
        <f>opex_orig!BL109</f>
        <v>0</v>
      </c>
      <c r="BV109" s="27">
        <f>opex_orig!BM109</f>
        <v>3.1697177889978902E-7</v>
      </c>
      <c r="BW109" s="27">
        <f>opex_orig!BN109</f>
        <v>1.12652743857778E-6</v>
      </c>
      <c r="BX109" s="27">
        <f>opex_orig!BO109</f>
        <v>1.2218494877673401E-7</v>
      </c>
      <c r="BY109" s="27">
        <f>opex_orig!BP109</f>
        <v>1.2746094004728601E-7</v>
      </c>
      <c r="BZ109" s="27">
        <f>opex_orig!BQ109</f>
        <v>1.8885193587374199E-7</v>
      </c>
      <c r="CA109" s="27">
        <f>opex_orig!BR109</f>
        <v>2.6386051629361E-7</v>
      </c>
      <c r="CB109" s="27">
        <f>opex_orig!BS109</f>
        <v>5.4827016606244495E-7</v>
      </c>
      <c r="CC109" s="27">
        <f>opex_orig!BT109</f>
        <v>2.6735876804137799E-7</v>
      </c>
      <c r="CD109" s="27">
        <f>opex_orig!BU109</f>
        <v>1.07342421215263E-7</v>
      </c>
      <c r="CE109" s="27">
        <f>opex_orig!BV109</f>
        <v>1.07342421215264E-7</v>
      </c>
      <c r="CF109" s="27">
        <f>opex_orig!BW109</f>
        <v>2.94031428437894E-7</v>
      </c>
      <c r="CG109" s="27">
        <f>opex_orig!BX109</f>
        <v>2.3577408212464302E-9</v>
      </c>
      <c r="CH109" s="27">
        <f>opex_orig!BY109</f>
        <v>1.5989544305676501E-7</v>
      </c>
      <c r="CI109" s="27">
        <f>opex_orig!BZ109</f>
        <v>3.65E-7</v>
      </c>
      <c r="CJ109" s="27">
        <f>opex_orig!CA109</f>
        <v>1.55E-7</v>
      </c>
      <c r="CK109" s="27">
        <f>opex_orig!CB109</f>
        <v>1.9299999999999999E-7</v>
      </c>
      <c r="CL109" s="27">
        <f>opex_orig!CC109</f>
        <v>1.12E-7</v>
      </c>
      <c r="CM109" s="27">
        <f>opex_orig!CD109</f>
        <v>1.44E-6</v>
      </c>
      <c r="CN109" s="27">
        <f>opex_orig!CE109</f>
        <v>9.2999999999999999E-8</v>
      </c>
      <c r="CO109" s="27">
        <f>opex_orig!CF109</f>
        <v>2.96E-7</v>
      </c>
      <c r="CP109" s="27">
        <f>opex_orig!CG109</f>
        <v>3.8000000000000003E-8</v>
      </c>
    </row>
    <row r="110" spans="1:94" x14ac:dyDescent="0.25">
      <c r="A110" s="5" t="s">
        <v>20</v>
      </c>
      <c r="B110" s="2" t="s">
        <v>21</v>
      </c>
      <c r="C110" s="1" t="s">
        <v>330</v>
      </c>
      <c r="D110" s="188">
        <f>opex_orig!D110</f>
        <v>7.47E-5</v>
      </c>
      <c r="E110" s="188">
        <f>opex_orig!E110</f>
        <v>1.237E-4</v>
      </c>
      <c r="F110" s="188">
        <f>opex_orig!F110</f>
        <v>6.9900000000000005E-5</v>
      </c>
      <c r="G110" s="188">
        <f>opex_orig!G110</f>
        <v>9.2499999999999995E-6</v>
      </c>
      <c r="H110" s="188">
        <f>opex_orig!H110</f>
        <v>2.1699999999999999E-5</v>
      </c>
      <c r="I110" s="188">
        <f>opex_orig!I110</f>
        <v>3.92459E-4</v>
      </c>
      <c r="J110" s="188">
        <f>opex_orig!J110</f>
        <v>1.6085940000000001E-3</v>
      </c>
      <c r="K110" s="188">
        <f>opex_orig!K110</f>
        <v>2.94E-5</v>
      </c>
      <c r="L110" s="188">
        <f>opex_orig!L110</f>
        <v>1.48665E-4</v>
      </c>
      <c r="M110" s="188">
        <f>opex_orig!M110</f>
        <v>5.2787999999999999E-4</v>
      </c>
      <c r="N110" s="188">
        <f>opex_orig!N110</f>
        <v>2.2237599999999999E-4</v>
      </c>
      <c r="O110" s="188">
        <f>opex_orig!O110</f>
        <v>1.45823E-4</v>
      </c>
      <c r="P110" s="188">
        <f>opex_orig!P110</f>
        <v>1.127372E-3</v>
      </c>
      <c r="Q110" s="188">
        <f>opex_orig!Q110</f>
        <v>1.11958E-3</v>
      </c>
      <c r="R110" s="188">
        <f>opex_orig!R110</f>
        <v>5.1400000000000003E-5</v>
      </c>
      <c r="S110" s="188">
        <f>opex_orig!S110</f>
        <v>5.6357300000000005E-4</v>
      </c>
      <c r="T110" s="188">
        <f>opex_orig!T110</f>
        <v>5.7643199999999999E-4</v>
      </c>
      <c r="U110" s="188">
        <f>opex_orig!U110</f>
        <v>2.0223179999999999E-3</v>
      </c>
      <c r="V110" s="188">
        <f>opex_orig!V110</f>
        <v>9.9512699999999995E-4</v>
      </c>
      <c r="W110" s="188">
        <f>opex_orig!W110</f>
        <v>4.5275900000000001E-4</v>
      </c>
      <c r="X110" s="188">
        <f>opex_orig!X110</f>
        <v>2.8200499999999999E-4</v>
      </c>
      <c r="Y110" s="188">
        <f>opex_orig!Y110</f>
        <v>1.231745E-3</v>
      </c>
      <c r="Z110" s="188">
        <f>opex_orig!Z110</f>
        <v>2.6578890000000001E-3</v>
      </c>
      <c r="AA110" s="188">
        <f>opex_orig!AA110</f>
        <v>3.2299999999999999E-5</v>
      </c>
      <c r="AB110" s="273">
        <f>opex_concordance!M176</f>
        <v>1.52739607723571E-5</v>
      </c>
      <c r="AC110" s="273">
        <f>opex_concordance!M221</f>
        <v>4.6150452041362604E-4</v>
      </c>
      <c r="AD110" s="273">
        <f>opex_concordance!M266</f>
        <v>4.1168079294040907E-4</v>
      </c>
      <c r="AE110" s="188">
        <f>opex_orig!$AC110</f>
        <v>1.88059673135003E-4</v>
      </c>
      <c r="AF110" s="273">
        <f>opex_concordance!M308</f>
        <v>3.2757700900063201E-4</v>
      </c>
      <c r="AG110" s="273">
        <f>opex_concordance!M344</f>
        <v>8.0776524293257762E-5</v>
      </c>
      <c r="AH110" s="273">
        <f>opex_concordance!M380</f>
        <v>9.7679601585992757E-5</v>
      </c>
      <c r="AI110" s="188">
        <f>opex_orig!AE110</f>
        <v>3.4021300000000002E-4</v>
      </c>
      <c r="AJ110" s="188">
        <f>opex_orig!AF110</f>
        <v>1.072036E-3</v>
      </c>
      <c r="AK110" s="188">
        <f>opex_orig!AG110</f>
        <v>2.8143899999999997E-4</v>
      </c>
      <c r="AL110" s="188">
        <f>opex_orig!AH110</f>
        <v>1.9071E-4</v>
      </c>
      <c r="AM110" s="188">
        <f>opex_orig!AI110</f>
        <v>4.9223099999999998E-4</v>
      </c>
      <c r="AN110" s="188">
        <f>opex_orig!AJ110</f>
        <v>1.8111900000000001E-4</v>
      </c>
      <c r="AO110" s="188">
        <f>opex_orig!AK110</f>
        <v>2.4269E-4</v>
      </c>
      <c r="AP110" s="273">
        <f>opex_concordance!M418</f>
        <v>6.1772925140870898E-4</v>
      </c>
      <c r="AQ110" s="273">
        <f>opex_concordance!M472</f>
        <v>8.2136615650964891E-4</v>
      </c>
      <c r="AR110" s="273">
        <f>opex_concordance!M526</f>
        <v>1.6892483495971008E-3</v>
      </c>
      <c r="AS110" s="188">
        <f>opex_orig!$AM110</f>
        <v>2.7308135456141403E-4</v>
      </c>
      <c r="AT110" s="188">
        <f>opex_orig!AN110</f>
        <v>8.72747E-4</v>
      </c>
      <c r="AU110" s="273">
        <f>opex_concordance!M585</f>
        <v>1.79797761095058E-4</v>
      </c>
      <c r="AV110" s="273">
        <f>opex_concordance!M631</f>
        <v>2.4541774206716157E-3</v>
      </c>
      <c r="AW110" s="273">
        <f>opex_concordance!M677</f>
        <v>2.1290941332804925E-4</v>
      </c>
      <c r="AX110" s="188">
        <f>opex_orig!$AP110</f>
        <v>7.6828287713527296E-4</v>
      </c>
      <c r="AY110" s="188">
        <f>opex_orig!AQ110</f>
        <v>1.0458699999999999E-4</v>
      </c>
      <c r="AZ110" s="188">
        <f>opex_orig!AR110</f>
        <v>0</v>
      </c>
      <c r="BA110" s="188">
        <f>opex_orig!AS110</f>
        <v>6.4999000000000003E-4</v>
      </c>
      <c r="BB110" s="188">
        <f>opex_orig!AT110</f>
        <v>5.5800000000000001E-5</v>
      </c>
      <c r="BC110" s="188">
        <f>opex_orig!AU110</f>
        <v>2.3E-5</v>
      </c>
      <c r="BD110" s="188">
        <f>opex_orig!AV110</f>
        <v>1.3900000000000001E-5</v>
      </c>
      <c r="BE110" s="188">
        <f>opex_orig!AW110</f>
        <v>9.1199999999999994E-5</v>
      </c>
      <c r="BF110" s="188">
        <f>opex_orig!AX110</f>
        <v>0</v>
      </c>
      <c r="BG110" s="188">
        <f>opex_orig!AY110</f>
        <v>1.7880899999999999E-4</v>
      </c>
      <c r="BH110" s="188">
        <f>opex_orig!AZ110</f>
        <v>0</v>
      </c>
      <c r="BI110" s="188">
        <f>opex_orig!BA110</f>
        <v>5.77E-5</v>
      </c>
      <c r="BJ110" s="188">
        <f>opex_orig!BB110</f>
        <v>3.4972399999999999E-4</v>
      </c>
      <c r="BK110" s="188">
        <f>opex_orig!BC110</f>
        <v>6.0391799999999995E-4</v>
      </c>
      <c r="BL110" s="188">
        <f>opex_orig!BD110</f>
        <v>2.5899999999999999E-5</v>
      </c>
      <c r="BM110" s="188">
        <f>opex_orig!BE110</f>
        <v>3.5506200000000001E-4</v>
      </c>
      <c r="BN110" s="188">
        <f>opex_orig!BF110</f>
        <v>8.8399999999999994E-5</v>
      </c>
      <c r="BO110" s="188">
        <f>opex_orig!BG110</f>
        <v>8.5749700000000003E-4</v>
      </c>
      <c r="BP110" s="188">
        <f>opex_orig!$BH110</f>
        <v>1.1411645579594199E-4</v>
      </c>
      <c r="BQ110" s="188">
        <f>opex_orig!$BH110</f>
        <v>1.1411645579594199E-4</v>
      </c>
      <c r="BR110" s="188">
        <f>opex_orig!BI110</f>
        <v>2.1191299999999999E-4</v>
      </c>
      <c r="BS110" s="188">
        <f>opex_orig!BJ110</f>
        <v>4.2154099999999999E-4</v>
      </c>
      <c r="BT110" s="188">
        <f>opex_orig!BK110</f>
        <v>1.2663600000000001E-4</v>
      </c>
      <c r="BU110" s="188">
        <f>opex_orig!BL110</f>
        <v>0</v>
      </c>
      <c r="BV110" s="27">
        <f>opex_orig!BM110</f>
        <v>1.7832889504628599E-5</v>
      </c>
      <c r="BW110" s="27">
        <f>opex_orig!BN110</f>
        <v>2.3895597228507999E-5</v>
      </c>
      <c r="BX110" s="27">
        <f>opex_orig!BO110</f>
        <v>5.9452985368122303E-6</v>
      </c>
      <c r="BY110" s="27">
        <f>opex_orig!BP110</f>
        <v>1.0161124076629399E-5</v>
      </c>
      <c r="BZ110" s="27">
        <f>opex_orig!BQ110</f>
        <v>1.18767474417279E-5</v>
      </c>
      <c r="CA110" s="27">
        <f>opex_orig!BR110</f>
        <v>1.24404410962687E-5</v>
      </c>
      <c r="CB110" s="27">
        <f>opex_orig!BS110</f>
        <v>2.5880689739453401E-5</v>
      </c>
      <c r="CC110" s="27">
        <f>opex_orig!BT110</f>
        <v>1.6625500076322201E-6</v>
      </c>
      <c r="CD110" s="27">
        <f>opex_orig!BU110</f>
        <v>1.02961418905236E-5</v>
      </c>
      <c r="CE110" s="27">
        <f>opex_orig!BV110</f>
        <v>1.02961418905236E-5</v>
      </c>
      <c r="CF110" s="27">
        <f>opex_orig!BW110</f>
        <v>1.08196469162221E-6</v>
      </c>
      <c r="CG110" s="27">
        <f>opex_orig!BX110</f>
        <v>6.72108376096842E-8</v>
      </c>
      <c r="CH110" s="27">
        <f>opex_orig!BY110</f>
        <v>2.0632615417752799E-7</v>
      </c>
      <c r="CI110" s="27">
        <f>opex_orig!BZ110</f>
        <v>1.5299999999999999E-5</v>
      </c>
      <c r="CJ110" s="27">
        <f>opex_orig!CA110</f>
        <v>2.6407330000000001E-3</v>
      </c>
      <c r="CK110" s="27">
        <f>opex_orig!CB110</f>
        <v>2.1748840000000002E-3</v>
      </c>
      <c r="CL110" s="27">
        <f>opex_orig!CC110</f>
        <v>1.7846226E-2</v>
      </c>
      <c r="CM110" s="27">
        <f>opex_orig!CD110</f>
        <v>6.6622100000000004E-4</v>
      </c>
      <c r="CN110" s="27">
        <f>opex_orig!CE110</f>
        <v>2.3498099999999999E-4</v>
      </c>
      <c r="CO110" s="27">
        <f>opex_orig!CF110</f>
        <v>9.5000000000000005E-5</v>
      </c>
      <c r="CP110" s="27">
        <f>opex_orig!CG110</f>
        <v>2.7290700000000002E-4</v>
      </c>
    </row>
    <row r="111" spans="1:94" x14ac:dyDescent="0.25">
      <c r="A111" s="5" t="s">
        <v>213</v>
      </c>
      <c r="B111" s="2" t="s">
        <v>212</v>
      </c>
      <c r="C111" s="1" t="s">
        <v>330</v>
      </c>
      <c r="D111" s="188">
        <f>opex_orig!D111</f>
        <v>4.03683E-4</v>
      </c>
      <c r="E111" s="188">
        <f>opex_orig!E111</f>
        <v>6.6686899999999995E-4</v>
      </c>
      <c r="F111" s="188">
        <f>opex_orig!F111</f>
        <v>3.6106099999999998E-4</v>
      </c>
      <c r="G111" s="188">
        <f>opex_orig!G111</f>
        <v>5.0500000000000001E-5</v>
      </c>
      <c r="H111" s="188">
        <f>opex_orig!H111</f>
        <v>1.1563199999999999E-4</v>
      </c>
      <c r="I111" s="188">
        <f>opex_orig!I111</f>
        <v>2.1295490000000001E-3</v>
      </c>
      <c r="J111" s="188">
        <f>opex_orig!J111</f>
        <v>8.7544360000000009E-3</v>
      </c>
      <c r="K111" s="188">
        <f>opex_orig!K111</f>
        <v>1.5998799999999999E-4</v>
      </c>
      <c r="L111" s="188">
        <f>opex_orig!L111</f>
        <v>7.9732000000000002E-4</v>
      </c>
      <c r="M111" s="188">
        <f>opex_orig!M111</f>
        <v>2.8158720000000001E-3</v>
      </c>
      <c r="N111" s="188">
        <f>opex_orig!N111</f>
        <v>1.176702E-3</v>
      </c>
      <c r="O111" s="188">
        <f>opex_orig!O111</f>
        <v>7.5578400000000001E-4</v>
      </c>
      <c r="P111" s="188">
        <f>opex_orig!P111</f>
        <v>6.4618840000000002E-3</v>
      </c>
      <c r="Q111" s="188">
        <f>opex_orig!Q111</f>
        <v>6.5449059999999996E-3</v>
      </c>
      <c r="R111" s="188">
        <f>opex_orig!R111</f>
        <v>2.9455300000000002E-4</v>
      </c>
      <c r="S111" s="188">
        <f>opex_orig!S111</f>
        <v>3.2246660000000002E-3</v>
      </c>
      <c r="T111" s="188">
        <f>opex_orig!T111</f>
        <v>3.2922099999999998E-3</v>
      </c>
      <c r="U111" s="188">
        <f>opex_orig!U111</f>
        <v>1.1383087E-2</v>
      </c>
      <c r="V111" s="188">
        <f>opex_orig!V111</f>
        <v>5.5667659999999999E-3</v>
      </c>
      <c r="W111" s="188">
        <f>opex_orig!W111</f>
        <v>2.5983450000000002E-3</v>
      </c>
      <c r="X111" s="188">
        <f>opex_orig!X111</f>
        <v>1.606421E-3</v>
      </c>
      <c r="Y111" s="188">
        <f>opex_orig!Y111</f>
        <v>4.111824E-3</v>
      </c>
      <c r="Z111" s="188">
        <f>opex_orig!Z111</f>
        <v>8.4395419999999995E-3</v>
      </c>
      <c r="AA111" s="188">
        <f>opex_orig!AA111</f>
        <v>1.6672E-4</v>
      </c>
      <c r="AB111" s="273">
        <f>opex_concordance!M177</f>
        <v>1.0946893180591401E-4</v>
      </c>
      <c r="AC111" s="273">
        <f>opex_concordance!M222</f>
        <v>3.3076166441852062E-3</v>
      </c>
      <c r="AD111" s="273">
        <f>opex_concordance!M267</f>
        <v>2.9505285053343464E-3</v>
      </c>
      <c r="AE111" s="188">
        <f>opex_orig!$AC111</f>
        <v>1.04911341824612E-3</v>
      </c>
      <c r="AF111" s="273">
        <f>opex_concordance!M309</f>
        <v>1.8073528375023801E-3</v>
      </c>
      <c r="AG111" s="273">
        <f>opex_concordance!M345</f>
        <v>4.4567132727168184E-4</v>
      </c>
      <c r="AH111" s="273">
        <f>opex_concordance!M381</f>
        <v>5.3893130543909869E-4</v>
      </c>
      <c r="AI111" s="188">
        <f>opex_orig!AE111</f>
        <v>1.8901790000000001E-3</v>
      </c>
      <c r="AJ111" s="188">
        <f>opex_orig!AF111</f>
        <v>5.8343450000000003E-3</v>
      </c>
      <c r="AK111" s="188">
        <f>opex_orig!AG111</f>
        <v>1.6726709999999999E-3</v>
      </c>
      <c r="AL111" s="188">
        <f>opex_orig!AH111</f>
        <v>1.086942E-3</v>
      </c>
      <c r="AM111" s="188">
        <f>opex_orig!AI111</f>
        <v>2.7953850000000001E-3</v>
      </c>
      <c r="AN111" s="188">
        <f>opex_orig!AJ111</f>
        <v>9.4043499999999999E-4</v>
      </c>
      <c r="AO111" s="188">
        <f>opex_orig!AK111</f>
        <v>1.3741090000000001E-3</v>
      </c>
      <c r="AP111" s="273">
        <f>opex_concordance!M419</f>
        <v>3.5050658144862002E-3</v>
      </c>
      <c r="AQ111" s="273">
        <f>opex_concordance!M473</f>
        <v>4.6605247036506196E-3</v>
      </c>
      <c r="AR111" s="273">
        <f>opex_concordance!M527</f>
        <v>9.5849866731218814E-3</v>
      </c>
      <c r="AS111" s="188">
        <f>opex_orig!$AM111</f>
        <v>1.5447831808711101E-3</v>
      </c>
      <c r="AT111" s="188">
        <f>opex_orig!AN111</f>
        <v>5.0235260000000004E-3</v>
      </c>
      <c r="AU111" s="273">
        <f>opex_concordance!M586</f>
        <v>1.03280880735687E-3</v>
      </c>
      <c r="AV111" s="273">
        <f>opex_concordance!M632</f>
        <v>1.4097483970036377E-2</v>
      </c>
      <c r="AW111" s="273">
        <f>opex_concordance!M678</f>
        <v>1.2230114319284344E-3</v>
      </c>
      <c r="AX111" s="188">
        <f>opex_orig!$AP111</f>
        <v>4.4313708601779597E-3</v>
      </c>
      <c r="AY111" s="188">
        <f>opex_orig!AQ111</f>
        <v>6.0459100000000003E-4</v>
      </c>
      <c r="AZ111" s="188">
        <f>opex_orig!AR111</f>
        <v>0</v>
      </c>
      <c r="BA111" s="188">
        <f>opex_orig!AS111</f>
        <v>3.7804729999999999E-3</v>
      </c>
      <c r="BB111" s="188">
        <f>opex_orig!AT111</f>
        <v>3.1194399999999998E-4</v>
      </c>
      <c r="BC111" s="188">
        <f>opex_orig!AU111</f>
        <v>1.2003899999999999E-4</v>
      </c>
      <c r="BD111" s="188">
        <f>opex_orig!AV111</f>
        <v>6.9599999999999998E-5</v>
      </c>
      <c r="BE111" s="188">
        <f>opex_orig!AW111</f>
        <v>5.3455600000000005E-4</v>
      </c>
      <c r="BF111" s="188">
        <f>opex_orig!AX111</f>
        <v>0</v>
      </c>
      <c r="BG111" s="188">
        <f>opex_orig!AY111</f>
        <v>1.040036E-3</v>
      </c>
      <c r="BH111" s="188">
        <f>opex_orig!AZ111</f>
        <v>0</v>
      </c>
      <c r="BI111" s="188">
        <f>opex_orig!BA111</f>
        <v>3.2786799999999999E-4</v>
      </c>
      <c r="BJ111" s="188">
        <f>opex_orig!BB111</f>
        <v>1.987216E-3</v>
      </c>
      <c r="BK111" s="188">
        <f>opex_orig!BC111</f>
        <v>3.4500529999999998E-3</v>
      </c>
      <c r="BL111" s="188">
        <f>opex_orig!BD111</f>
        <v>1.59968E-4</v>
      </c>
      <c r="BM111" s="188">
        <f>opex_orig!BE111</f>
        <v>2.0435150000000001E-3</v>
      </c>
      <c r="BN111" s="188">
        <f>opex_orig!BF111</f>
        <v>5.01941E-4</v>
      </c>
      <c r="BO111" s="188">
        <f>opex_orig!BG111</f>
        <v>5.1288260000000004E-3</v>
      </c>
      <c r="BP111" s="188">
        <f>opex_orig!$BH111</f>
        <v>6.5341410040488E-4</v>
      </c>
      <c r="BQ111" s="188">
        <f>opex_orig!$BH111</f>
        <v>6.5341410040488E-4</v>
      </c>
      <c r="BR111" s="188">
        <f>opex_orig!BI111</f>
        <v>1.20488E-3</v>
      </c>
      <c r="BS111" s="188">
        <f>opex_orig!BJ111</f>
        <v>2.4994100000000001E-3</v>
      </c>
      <c r="BT111" s="188">
        <f>opex_orig!BK111</f>
        <v>7.2471099999999995E-4</v>
      </c>
      <c r="BU111" s="188">
        <f>opex_orig!BL111</f>
        <v>0</v>
      </c>
      <c r="BV111" s="27">
        <f>opex_orig!BM111</f>
        <v>9.9039112263292099E-5</v>
      </c>
      <c r="BW111" s="27">
        <f>opex_orig!BN111</f>
        <v>1.5132922127386901E-4</v>
      </c>
      <c r="BX111" s="27">
        <f>opex_orig!BO111</f>
        <v>3.37800687937365E-5</v>
      </c>
      <c r="BY111" s="27">
        <f>opex_orig!BP111</f>
        <v>6.2947833430436405E-5</v>
      </c>
      <c r="BZ111" s="27">
        <f>opex_orig!BQ111</f>
        <v>6.7878900421027604E-5</v>
      </c>
      <c r="CA111" s="27">
        <f>opex_orig!BR111</f>
        <v>1.75221660393749E-4</v>
      </c>
      <c r="CB111" s="27">
        <f>opex_orig!BS111</f>
        <v>1.4298951793509601E-4</v>
      </c>
      <c r="CC111" s="27">
        <f>opex_orig!BT111</f>
        <v>1.16678896134579E-4</v>
      </c>
      <c r="CD111" s="27">
        <f>opex_orig!BU111</f>
        <v>5.5396441434879999E-5</v>
      </c>
      <c r="CE111" s="27">
        <f>opex_orig!BV111</f>
        <v>5.5396441434879999E-5</v>
      </c>
      <c r="CF111" s="27">
        <f>opex_orig!BW111</f>
        <v>1.7751860952279799E-5</v>
      </c>
      <c r="CG111" s="27">
        <f>opex_orig!BX111</f>
        <v>7.1795866497410698E-7</v>
      </c>
      <c r="CH111" s="27">
        <f>opex_orig!BY111</f>
        <v>1.20946094627398E-5</v>
      </c>
      <c r="CI111" s="27">
        <f>opex_orig!BZ111</f>
        <v>9.0000000000000006E-5</v>
      </c>
      <c r="CJ111" s="27">
        <f>opex_orig!CA111</f>
        <v>1.5427699E-2</v>
      </c>
      <c r="CK111" s="27">
        <f>opex_orig!CB111</f>
        <v>1.2758451000000001E-2</v>
      </c>
      <c r="CL111" s="27">
        <f>opex_orig!CC111</f>
        <v>4.945078E-2</v>
      </c>
      <c r="CM111" s="27">
        <f>opex_orig!CD111</f>
        <v>3.3675900000000001E-4</v>
      </c>
      <c r="CN111" s="27">
        <f>opex_orig!CE111</f>
        <v>1.362631E-3</v>
      </c>
      <c r="CO111" s="27">
        <f>opex_orig!CF111</f>
        <v>5.12559E-4</v>
      </c>
      <c r="CP111" s="27">
        <f>opex_orig!CG111</f>
        <v>1.478037E-3</v>
      </c>
    </row>
    <row r="112" spans="1:94" x14ac:dyDescent="0.25">
      <c r="A112" s="5" t="s">
        <v>215</v>
      </c>
      <c r="B112" s="2" t="s">
        <v>214</v>
      </c>
      <c r="C112" s="1" t="s">
        <v>330</v>
      </c>
      <c r="D112" s="188">
        <f>opex_orig!D112</f>
        <v>1.251629E-3</v>
      </c>
      <c r="E112" s="188">
        <f>opex_orig!E112</f>
        <v>1.1095289999999999E-3</v>
      </c>
      <c r="F112" s="188">
        <f>opex_orig!F112</f>
        <v>6.1430800000000004E-4</v>
      </c>
      <c r="G112" s="188">
        <f>opex_orig!G112</f>
        <v>1.26329E-4</v>
      </c>
      <c r="H112" s="188">
        <f>opex_orig!H112</f>
        <v>2.2720300000000001E-4</v>
      </c>
      <c r="I112" s="188">
        <f>opex_orig!I112</f>
        <v>3.2797270000000001E-3</v>
      </c>
      <c r="J112" s="188">
        <f>opex_orig!J112</f>
        <v>1.2896919999999999E-2</v>
      </c>
      <c r="K112" s="188">
        <f>opex_orig!K112</f>
        <v>3.9357299999999998E-4</v>
      </c>
      <c r="L112" s="188">
        <f>opex_orig!L112</f>
        <v>1.324422E-3</v>
      </c>
      <c r="M112" s="188">
        <f>opex_orig!M112</f>
        <v>4.2543060000000002E-3</v>
      </c>
      <c r="N112" s="188">
        <f>opex_orig!N112</f>
        <v>1.9904240000000002E-3</v>
      </c>
      <c r="O112" s="188">
        <f>opex_orig!O112</f>
        <v>1.348421E-3</v>
      </c>
      <c r="P112" s="188">
        <f>opex_orig!P112</f>
        <v>8.2302920000000002E-3</v>
      </c>
      <c r="Q112" s="188">
        <f>opex_orig!Q112</f>
        <v>7.0780909999999999E-3</v>
      </c>
      <c r="R112" s="188">
        <f>opex_orig!R112</f>
        <v>6.8190899999999997E-4</v>
      </c>
      <c r="S112" s="188">
        <f>opex_orig!S112</f>
        <v>4.3381310000000003E-3</v>
      </c>
      <c r="T112" s="188">
        <f>opex_orig!T112</f>
        <v>4.5970539999999997E-3</v>
      </c>
      <c r="U112" s="188">
        <f>opex_orig!U112</f>
        <v>1.6765799000000001E-2</v>
      </c>
      <c r="V112" s="188">
        <f>opex_orig!V112</f>
        <v>9.2168879999999995E-3</v>
      </c>
      <c r="W112" s="188">
        <f>opex_orig!W112</f>
        <v>3.421468E-3</v>
      </c>
      <c r="X112" s="188">
        <f>opex_orig!X112</f>
        <v>2.3611439999999999E-3</v>
      </c>
      <c r="Y112" s="188">
        <f>opex_orig!Y112</f>
        <v>4.8482849999999999E-3</v>
      </c>
      <c r="Z112" s="188">
        <f>opex_orig!Z112</f>
        <v>1.0916303E-2</v>
      </c>
      <c r="AA112" s="188">
        <f>opex_orig!AA112</f>
        <v>1.263068E-3</v>
      </c>
      <c r="AB112" s="273">
        <f>opex_concordance!M178</f>
        <v>6.4922659236433795E-4</v>
      </c>
      <c r="AC112" s="273">
        <f>opex_concordance!M223</f>
        <v>1.9616457814343236E-2</v>
      </c>
      <c r="AD112" s="273">
        <f>opex_concordance!M268</f>
        <v>1.7498677803747181E-2</v>
      </c>
      <c r="AE112" s="188">
        <f>opex_orig!$AC112</f>
        <v>2.0785644425696101E-3</v>
      </c>
      <c r="AF112" s="273">
        <f>opex_concordance!M310</f>
        <v>2.7859504172782195E-3</v>
      </c>
      <c r="AG112" s="273">
        <f>opex_concordance!M346</f>
        <v>6.8698164211106628E-4</v>
      </c>
      <c r="AH112" s="273">
        <f>opex_concordance!M382</f>
        <v>8.3073756497221616E-4</v>
      </c>
      <c r="AI112" s="188">
        <f>opex_orig!AE112</f>
        <v>3.0284140000000001E-3</v>
      </c>
      <c r="AJ112" s="188">
        <f>opex_orig!AF112</f>
        <v>7.2417330000000002E-3</v>
      </c>
      <c r="AK112" s="188">
        <f>opex_orig!AG112</f>
        <v>2.140159E-3</v>
      </c>
      <c r="AL112" s="188">
        <f>opex_orig!AH112</f>
        <v>1.6077859999999999E-3</v>
      </c>
      <c r="AM112" s="188">
        <f>opex_orig!AI112</f>
        <v>4.0072609999999998E-3</v>
      </c>
      <c r="AN112" s="188">
        <f>opex_orig!AJ112</f>
        <v>1.883909E-3</v>
      </c>
      <c r="AO112" s="188">
        <f>opex_orig!AK112</f>
        <v>2.140791E-3</v>
      </c>
      <c r="AP112" s="273">
        <f>opex_concordance!M420</f>
        <v>4.9252142432523998E-3</v>
      </c>
      <c r="AQ112" s="273">
        <f>opex_concordance!M474</f>
        <v>6.5488307114183212E-3</v>
      </c>
      <c r="AR112" s="273">
        <f>opex_concordance!M528</f>
        <v>1.3468538219378474E-2</v>
      </c>
      <c r="AS112" s="188">
        <f>opex_orig!$AM112</f>
        <v>2.3577699462270598E-3</v>
      </c>
      <c r="AT112" s="188">
        <f>opex_orig!AN112</f>
        <v>6.4613559999999997E-3</v>
      </c>
      <c r="AU112" s="273">
        <f>opex_concordance!M587</f>
        <v>1.6066188344992999E-3</v>
      </c>
      <c r="AV112" s="273">
        <f>opex_concordance!M633</f>
        <v>2.1929792914213913E-2</v>
      </c>
      <c r="AW112" s="273">
        <f>opex_concordance!M679</f>
        <v>1.9024946218000613E-3</v>
      </c>
      <c r="AX112" s="188">
        <f>opex_orig!$AP112</f>
        <v>5.6783107544196897E-3</v>
      </c>
      <c r="AY112" s="188">
        <f>opex_orig!AQ112</f>
        <v>1.245199E-3</v>
      </c>
      <c r="AZ112" s="188">
        <f>opex_orig!AR112</f>
        <v>0</v>
      </c>
      <c r="BA112" s="188">
        <f>opex_orig!AS112</f>
        <v>5.046376E-3</v>
      </c>
      <c r="BB112" s="188">
        <f>opex_orig!AT112</f>
        <v>9.2462100000000004E-4</v>
      </c>
      <c r="BC112" s="188">
        <f>opex_orig!AU112</f>
        <v>3.7537200000000001E-4</v>
      </c>
      <c r="BD112" s="188">
        <f>opex_orig!AV112</f>
        <v>2.8352500000000002E-4</v>
      </c>
      <c r="BE112" s="188">
        <f>opex_orig!AW112</f>
        <v>1.039299E-3</v>
      </c>
      <c r="BF112" s="188">
        <f>opex_orig!AX112</f>
        <v>0</v>
      </c>
      <c r="BG112" s="188">
        <f>opex_orig!AY112</f>
        <v>1.862612E-3</v>
      </c>
      <c r="BH112" s="188">
        <f>opex_orig!AZ112</f>
        <v>0</v>
      </c>
      <c r="BI112" s="188">
        <f>opex_orig!BA112</f>
        <v>7.02128E-4</v>
      </c>
      <c r="BJ112" s="188">
        <f>opex_orig!BB112</f>
        <v>2.6002360000000001E-3</v>
      </c>
      <c r="BK112" s="188">
        <f>opex_orig!BC112</f>
        <v>4.6053839999999997E-3</v>
      </c>
      <c r="BL112" s="188">
        <f>opex_orig!BD112</f>
        <v>4.72662E-4</v>
      </c>
      <c r="BM112" s="188">
        <f>opex_orig!BE112</f>
        <v>2.967033E-3</v>
      </c>
      <c r="BN112" s="188">
        <f>opex_orig!BF112</f>
        <v>7.2067699999999997E-4</v>
      </c>
      <c r="BO112" s="188">
        <f>opex_orig!BG112</f>
        <v>6.1857459999999998E-3</v>
      </c>
      <c r="BP112" s="188">
        <f>opex_orig!$BH112</f>
        <v>1.0670970389916701E-3</v>
      </c>
      <c r="BQ112" s="188">
        <f>opex_orig!$BH112</f>
        <v>1.0670970389916701E-3</v>
      </c>
      <c r="BR112" s="188">
        <f>opex_orig!BI112</f>
        <v>1.5637890000000001E-3</v>
      </c>
      <c r="BS112" s="188">
        <f>opex_orig!BJ112</f>
        <v>3.1288359999999999E-3</v>
      </c>
      <c r="BT112" s="188">
        <f>opex_orig!BK112</f>
        <v>1.6712140000000001E-3</v>
      </c>
      <c r="BU112" s="188">
        <f>opex_orig!BL112</f>
        <v>0</v>
      </c>
      <c r="BV112" s="27">
        <f>opex_orig!BM112</f>
        <v>7.5171489717313505E-4</v>
      </c>
      <c r="BW112" s="27">
        <f>opex_orig!BN112</f>
        <v>1.0211896024248199E-3</v>
      </c>
      <c r="BX112" s="27">
        <f>opex_orig!BO112</f>
        <v>2.5008401482366901E-4</v>
      </c>
      <c r="BY112" s="27">
        <f>opex_orig!BP112</f>
        <v>4.3793325184165999E-4</v>
      </c>
      <c r="BZ112" s="27">
        <f>opex_orig!BQ112</f>
        <v>5.1409632399214997E-4</v>
      </c>
      <c r="CA112" s="27">
        <f>opex_orig!BR112</f>
        <v>5.8291047446742299E-4</v>
      </c>
      <c r="CB112" s="27">
        <f>opex_orig!BS112</f>
        <v>1.0730161344223201E-3</v>
      </c>
      <c r="CC112" s="27">
        <f>opex_orig!BT112</f>
        <v>2.5372005800634498E-4</v>
      </c>
      <c r="CD112" s="27">
        <f>opex_orig!BU112</f>
        <v>4.3098925709542601E-4</v>
      </c>
      <c r="CE112" s="27">
        <f>opex_orig!BV112</f>
        <v>4.3098925709542801E-4</v>
      </c>
      <c r="CF112" s="27">
        <f>opex_orig!BW112</f>
        <v>3.2389763264302701E-4</v>
      </c>
      <c r="CG112" s="27">
        <f>opex_orig!BX112</f>
        <v>4.2915553951296899E-6</v>
      </c>
      <c r="CH112" s="27">
        <f>opex_orig!BY112</f>
        <v>4.0735217937139901E-5</v>
      </c>
      <c r="CI112" s="27">
        <f>opex_orig!BZ112</f>
        <v>6.4765199999999997E-4</v>
      </c>
      <c r="CJ112" s="27">
        <f>opex_orig!CA112</f>
        <v>7.5159397000000003E-2</v>
      </c>
      <c r="CK112" s="27">
        <f>opex_orig!CB112</f>
        <v>6.8040154000000005E-2</v>
      </c>
      <c r="CL112" s="27">
        <f>opex_orig!CC112</f>
        <v>5.4405723000000003E-2</v>
      </c>
      <c r="CM112" s="27">
        <f>opex_orig!CD112</f>
        <v>2.133846E-3</v>
      </c>
      <c r="CN112" s="27">
        <f>opex_orig!CE112</f>
        <v>7.0233819999999999E-3</v>
      </c>
      <c r="CO112" s="27">
        <f>opex_orig!CF112</f>
        <v>1.4443559999999999E-3</v>
      </c>
      <c r="CP112" s="27">
        <f>opex_orig!CG112</f>
        <v>1.959915E-3</v>
      </c>
    </row>
    <row r="113" spans="1:94" x14ac:dyDescent="0.25">
      <c r="A113" s="5" t="s">
        <v>217</v>
      </c>
      <c r="B113" s="2" t="s">
        <v>216</v>
      </c>
      <c r="C113" s="1" t="s">
        <v>330</v>
      </c>
      <c r="D113" s="188">
        <f>opex_orig!D113</f>
        <v>2.6100000000000001E-5</v>
      </c>
      <c r="E113" s="188">
        <f>opex_orig!E113</f>
        <v>9.0799999999999995E-6</v>
      </c>
      <c r="F113" s="188">
        <f>opex_orig!F113</f>
        <v>3.0960100000000001E-4</v>
      </c>
      <c r="G113" s="188">
        <f>opex_orig!G113</f>
        <v>7.4499999999999996E-7</v>
      </c>
      <c r="H113" s="188">
        <f>opex_orig!H113</f>
        <v>1.4500000000000001E-6</v>
      </c>
      <c r="I113" s="188">
        <f>opex_orig!I113</f>
        <v>1.9899999999999999E-5</v>
      </c>
      <c r="J113" s="188">
        <f>opex_orig!J113</f>
        <v>6.4399999999999993E-5</v>
      </c>
      <c r="K113" s="188">
        <f>opex_orig!K113</f>
        <v>2.26E-6</v>
      </c>
      <c r="L113" s="188">
        <f>opex_orig!L113</f>
        <v>1.3499999999999999E-5</v>
      </c>
      <c r="M113" s="188">
        <f>opex_orig!M113</f>
        <v>3.5299999999999997E-5</v>
      </c>
      <c r="N113" s="188">
        <f>opex_orig!N113</f>
        <v>2.1299999999999999E-5</v>
      </c>
      <c r="O113" s="188">
        <f>opex_orig!O113</f>
        <v>5.2764299999999995E-4</v>
      </c>
      <c r="P113" s="188">
        <f>opex_orig!P113</f>
        <v>3.1000000000000001E-5</v>
      </c>
      <c r="Q113" s="188">
        <f>opex_orig!Q113</f>
        <v>4.2967359999999998E-3</v>
      </c>
      <c r="R113" s="188">
        <f>opex_orig!R113</f>
        <v>1.5660500000000001E-4</v>
      </c>
      <c r="S113" s="188">
        <f>opex_orig!S113</f>
        <v>1.0200000000000001E-5</v>
      </c>
      <c r="T113" s="188">
        <f>opex_orig!T113</f>
        <v>9.9199999999999999E-6</v>
      </c>
      <c r="U113" s="188">
        <f>opex_orig!U113</f>
        <v>2.2099999999999998E-5</v>
      </c>
      <c r="V113" s="188">
        <f>opex_orig!V113</f>
        <v>2.97E-5</v>
      </c>
      <c r="W113" s="188">
        <f>opex_orig!W113</f>
        <v>9.2199999999999998E-6</v>
      </c>
      <c r="X113" s="188">
        <f>opex_orig!X113</f>
        <v>6.7599999999999997E-6</v>
      </c>
      <c r="Y113" s="188">
        <f>opex_orig!Y113</f>
        <v>1.1711744E-2</v>
      </c>
      <c r="Z113" s="188">
        <f>opex_orig!Z113</f>
        <v>1.0705177999999999E-2</v>
      </c>
      <c r="AA113" s="188">
        <f>opex_orig!AA113</f>
        <v>4.9299999999999999E-5</v>
      </c>
      <c r="AB113" s="188">
        <f>opex_orig!$AB113</f>
        <v>1.8846425861964202E-5</v>
      </c>
      <c r="AC113" s="188">
        <f>opex_orig!$AB113</f>
        <v>1.8846425861964202E-5</v>
      </c>
      <c r="AD113" s="188">
        <f>opex_orig!$AB113</f>
        <v>1.8846425861964202E-5</v>
      </c>
      <c r="AE113" s="188">
        <f>opex_orig!$AC113</f>
        <v>2.56900711080358E-5</v>
      </c>
      <c r="AF113" s="188">
        <f>opex_orig!$AD113</f>
        <v>1.7221821664401401E-5</v>
      </c>
      <c r="AG113" s="188">
        <f>opex_orig!$AD113</f>
        <v>1.7221821664401401E-5</v>
      </c>
      <c r="AH113" s="188">
        <f>opex_orig!$AD113</f>
        <v>1.7221821664401401E-5</v>
      </c>
      <c r="AI113" s="188">
        <f>opex_orig!AE113</f>
        <v>1.6099999999999998E-5</v>
      </c>
      <c r="AJ113" s="188">
        <f>opex_orig!AF113</f>
        <v>4.7899999999999999E-5</v>
      </c>
      <c r="AK113" s="188">
        <f>opex_orig!AG113</f>
        <v>1.27E-5</v>
      </c>
      <c r="AL113" s="188">
        <f>opex_orig!AH113</f>
        <v>1.0200000000000001E-5</v>
      </c>
      <c r="AM113" s="188">
        <f>opex_orig!AI113</f>
        <v>1.31E-5</v>
      </c>
      <c r="AN113" s="188">
        <f>opex_orig!AJ113</f>
        <v>6.5200000000000003E-6</v>
      </c>
      <c r="AO113" s="188">
        <f>opex_orig!AK113</f>
        <v>9.2299999999999997E-6</v>
      </c>
      <c r="AP113" s="188">
        <f>opex_orig!$AL113</f>
        <v>1.13696909621767E-5</v>
      </c>
      <c r="AQ113" s="188">
        <f>opex_orig!$AL113</f>
        <v>1.13696909621767E-5</v>
      </c>
      <c r="AR113" s="188">
        <f>opex_orig!$AL113</f>
        <v>1.13696909621767E-5</v>
      </c>
      <c r="AS113" s="188">
        <f>opex_orig!$AM113</f>
        <v>6.9689989554070301E-6</v>
      </c>
      <c r="AT113" s="188">
        <f>opex_orig!AN113</f>
        <v>1.88E-5</v>
      </c>
      <c r="AU113" s="188">
        <f>opex_orig!$AO113</f>
        <v>1.6646719731240801E-4</v>
      </c>
      <c r="AV113" s="188">
        <f>opex_orig!$AO113</f>
        <v>1.6646719731240801E-4</v>
      </c>
      <c r="AW113" s="188">
        <f>opex_orig!$AO113</f>
        <v>1.6646719731240801E-4</v>
      </c>
      <c r="AX113" s="188">
        <f>opex_orig!$AP113</f>
        <v>4.6802133798897101E-4</v>
      </c>
      <c r="AY113" s="188">
        <f>opex_orig!AQ113</f>
        <v>7.2000000000000002E-5</v>
      </c>
      <c r="AZ113" s="188">
        <f>opex_orig!AR113</f>
        <v>0</v>
      </c>
      <c r="BA113" s="188">
        <f>opex_orig!AS113</f>
        <v>5.5699999999999999E-5</v>
      </c>
      <c r="BB113" s="188">
        <f>opex_orig!AT113</f>
        <v>6.5099999999999997E-5</v>
      </c>
      <c r="BC113" s="188">
        <f>opex_orig!AU113</f>
        <v>3.54E-6</v>
      </c>
      <c r="BD113" s="188">
        <f>opex_orig!AV113</f>
        <v>1.7600000000000001E-6</v>
      </c>
      <c r="BE113" s="188">
        <f>opex_orig!AW113</f>
        <v>6.3899999999999995E-5</v>
      </c>
      <c r="BF113" s="188">
        <f>opex_orig!AX113</f>
        <v>0</v>
      </c>
      <c r="BG113" s="188">
        <f>opex_orig!AY113</f>
        <v>9.1700000000000006E-5</v>
      </c>
      <c r="BH113" s="188">
        <f>opex_orig!AZ113</f>
        <v>0</v>
      </c>
      <c r="BI113" s="188">
        <f>opex_orig!BA113</f>
        <v>5.49E-5</v>
      </c>
      <c r="BJ113" s="188">
        <f>opex_orig!BB113</f>
        <v>1.15E-5</v>
      </c>
      <c r="BK113" s="188">
        <f>opex_orig!BC113</f>
        <v>4.4799999999999998E-5</v>
      </c>
      <c r="BL113" s="188">
        <f>opex_orig!BD113</f>
        <v>5.0300000000000003E-5</v>
      </c>
      <c r="BM113" s="188">
        <f>opex_orig!BE113</f>
        <v>6.19E-5</v>
      </c>
      <c r="BN113" s="188">
        <f>opex_orig!BF113</f>
        <v>1.0699999999999999E-5</v>
      </c>
      <c r="BO113" s="188">
        <f>opex_orig!BG113</f>
        <v>2.4700000000000001E-5</v>
      </c>
      <c r="BP113" s="188">
        <f>opex_orig!$BH113</f>
        <v>2.3872299092623499E-5</v>
      </c>
      <c r="BQ113" s="188">
        <f>opex_orig!$BH113</f>
        <v>2.3872299092623499E-5</v>
      </c>
      <c r="BR113" s="188">
        <f>opex_orig!BI113</f>
        <v>1.5699999999999999E-5</v>
      </c>
      <c r="BS113" s="188">
        <f>opex_orig!BJ113</f>
        <v>1.3900000000000001E-5</v>
      </c>
      <c r="BT113" s="188">
        <f>opex_orig!BK113</f>
        <v>1.0293699999999999E-4</v>
      </c>
      <c r="BU113" s="188">
        <f>opex_orig!BL113</f>
        <v>0</v>
      </c>
      <c r="BV113" s="27">
        <f>opex_orig!BM113</f>
        <v>3.15989525652443E-3</v>
      </c>
      <c r="BW113" s="27">
        <f>opex_orig!BN113</f>
        <v>2.6822856029032002E-2</v>
      </c>
      <c r="BX113" s="27">
        <f>opex_orig!BO113</f>
        <v>2.8777829354581502E-4</v>
      </c>
      <c r="BY113" s="27">
        <f>opex_orig!BP113</f>
        <v>2.6440655436770302E-4</v>
      </c>
      <c r="BZ113" s="27">
        <f>opex_orig!BQ113</f>
        <v>3.1661788754176301E-4</v>
      </c>
      <c r="CA113" s="27">
        <f>opex_orig!BR113</f>
        <v>8.9515164827490695E-3</v>
      </c>
      <c r="CB113" s="27">
        <f>opex_orig!BS113</f>
        <v>1.5705286465449601E-2</v>
      </c>
      <c r="CC113" s="27">
        <f>opex_orig!BT113</f>
        <v>0.71169451156609698</v>
      </c>
      <c r="CD113" s="27">
        <f>opex_orig!BU113</f>
        <v>4.1175951021386501E-4</v>
      </c>
      <c r="CE113" s="27">
        <f>opex_orig!BV113</f>
        <v>4.1175951021386501E-4</v>
      </c>
      <c r="CF113" s="27">
        <f>opex_orig!BW113</f>
        <v>7.3412308534686693E-2</v>
      </c>
      <c r="CG113" s="27">
        <f>opex_orig!BX113</f>
        <v>7.5822326762960102E-4</v>
      </c>
      <c r="CH113" s="27">
        <f>opex_orig!BY113</f>
        <v>9.0513793312426207E-6</v>
      </c>
      <c r="CI113" s="27">
        <f>opex_orig!BZ113</f>
        <v>3.5152540000000002E-3</v>
      </c>
      <c r="CJ113" s="27">
        <f>opex_orig!CA113</f>
        <v>2.7398899999999998E-4</v>
      </c>
      <c r="CK113" s="27">
        <f>opex_orig!CB113</f>
        <v>1.96959E-4</v>
      </c>
      <c r="CL113" s="27">
        <f>opex_orig!CC113</f>
        <v>1.7772788000000001E-2</v>
      </c>
      <c r="CM113" s="27">
        <f>opex_orig!CD113</f>
        <v>3.3893841000000001E-2</v>
      </c>
      <c r="CN113" s="27">
        <f>opex_orig!CE113</f>
        <v>8.0799999999999999E-5</v>
      </c>
      <c r="CO113" s="27">
        <f>opex_orig!CF113</f>
        <v>8.25E-5</v>
      </c>
      <c r="CP113" s="27">
        <f>opex_orig!CG113</f>
        <v>9.5300000000000002E-6</v>
      </c>
    </row>
    <row r="114" spans="1:94" x14ac:dyDescent="0.25">
      <c r="A114" s="5" t="s">
        <v>219</v>
      </c>
      <c r="B114" s="2" t="s">
        <v>218</v>
      </c>
      <c r="C114" s="1" t="s">
        <v>330</v>
      </c>
      <c r="D114" s="188">
        <f>opex_orig!D114</f>
        <v>2.1848899999999999E-4</v>
      </c>
      <c r="E114" s="188">
        <f>opex_orig!E114</f>
        <v>1.5162199999999999E-4</v>
      </c>
      <c r="F114" s="188">
        <f>opex_orig!F114</f>
        <v>1.5533699999999999E-4</v>
      </c>
      <c r="G114" s="188">
        <f>opex_orig!G114</f>
        <v>2.02E-5</v>
      </c>
      <c r="H114" s="188">
        <f>opex_orig!H114</f>
        <v>5.6700000000000003E-5</v>
      </c>
      <c r="I114" s="188">
        <f>opex_orig!I114</f>
        <v>3.02618E-4</v>
      </c>
      <c r="J114" s="188">
        <f>opex_orig!J114</f>
        <v>1.1298040000000001E-3</v>
      </c>
      <c r="K114" s="188">
        <f>opex_orig!K114</f>
        <v>4.3699999999999998E-5</v>
      </c>
      <c r="L114" s="188">
        <f>opex_orig!L114</f>
        <v>1.80106E-4</v>
      </c>
      <c r="M114" s="188">
        <f>opex_orig!M114</f>
        <v>6.7089600000000004E-4</v>
      </c>
      <c r="N114" s="188">
        <f>opex_orig!N114</f>
        <v>5.4719399999999998E-4</v>
      </c>
      <c r="O114" s="188">
        <f>opex_orig!O114</f>
        <v>3.8222100000000003E-4</v>
      </c>
      <c r="P114" s="188">
        <f>opex_orig!P114</f>
        <v>4.2431899999999999E-4</v>
      </c>
      <c r="Q114" s="188">
        <f>opex_orig!Q114</f>
        <v>6.9351299999999999E-4</v>
      </c>
      <c r="R114" s="188">
        <f>opex_orig!R114</f>
        <v>5.3300000000000001E-5</v>
      </c>
      <c r="S114" s="188">
        <f>opex_orig!S114</f>
        <v>1.8740299999999999E-4</v>
      </c>
      <c r="T114" s="188">
        <f>opex_orig!T114</f>
        <v>1.80519E-4</v>
      </c>
      <c r="U114" s="188">
        <f>opex_orig!U114</f>
        <v>3.1333899999999999E-4</v>
      </c>
      <c r="V114" s="188">
        <f>opex_orig!V114</f>
        <v>1.87856E-4</v>
      </c>
      <c r="W114" s="188">
        <f>opex_orig!W114</f>
        <v>1.9148400000000001E-4</v>
      </c>
      <c r="X114" s="188">
        <f>opex_orig!X114</f>
        <v>9.3700000000000001E-5</v>
      </c>
      <c r="Y114" s="188">
        <f>opex_orig!Y114</f>
        <v>7.4971780000000002E-3</v>
      </c>
      <c r="Z114" s="188">
        <f>opex_orig!Z114</f>
        <v>1.8039617000000001E-2</v>
      </c>
      <c r="AA114" s="188">
        <f>opex_orig!AA114</f>
        <v>2.1017900000000001E-4</v>
      </c>
      <c r="AB114" s="188">
        <f>opex_orig!$AB114</f>
        <v>1.0904684827404501E-3</v>
      </c>
      <c r="AC114" s="188">
        <f>opex_orig!$AB114</f>
        <v>1.0904684827404501E-3</v>
      </c>
      <c r="AD114" s="188">
        <f>opex_orig!$AB114</f>
        <v>1.0904684827404501E-3</v>
      </c>
      <c r="AE114" s="188">
        <f>opex_orig!$AC114</f>
        <v>6.0285697224132502E-4</v>
      </c>
      <c r="AF114" s="188">
        <f>opex_orig!$AD114</f>
        <v>3.2520877792445397E-4</v>
      </c>
      <c r="AG114" s="188">
        <f>opex_orig!$AD114</f>
        <v>3.2520877792445397E-4</v>
      </c>
      <c r="AH114" s="188">
        <f>opex_orig!$AD114</f>
        <v>3.2520877792445397E-4</v>
      </c>
      <c r="AI114" s="188">
        <f>opex_orig!AE114</f>
        <v>1.7122099999999999E-4</v>
      </c>
      <c r="AJ114" s="188">
        <f>opex_orig!AF114</f>
        <v>1.442416E-3</v>
      </c>
      <c r="AK114" s="188">
        <f>opex_orig!AG114</f>
        <v>3.5500000000000002E-5</v>
      </c>
      <c r="AL114" s="188">
        <f>opex_orig!AH114</f>
        <v>4.1900000000000002E-5</v>
      </c>
      <c r="AM114" s="188">
        <f>opex_orig!AI114</f>
        <v>9.5799999999999998E-5</v>
      </c>
      <c r="AN114" s="188">
        <f>opex_orig!AJ114</f>
        <v>3.01E-5</v>
      </c>
      <c r="AO114" s="188">
        <f>opex_orig!AK114</f>
        <v>6.2000000000000003E-5</v>
      </c>
      <c r="AP114" s="188">
        <f>opex_orig!$AL114</f>
        <v>1.17608084528371E-4</v>
      </c>
      <c r="AQ114" s="188">
        <f>opex_orig!$AL114</f>
        <v>1.17608084528371E-4</v>
      </c>
      <c r="AR114" s="188">
        <f>opex_orig!$AL114</f>
        <v>1.17608084528371E-4</v>
      </c>
      <c r="AS114" s="188">
        <f>opex_orig!$AM114</f>
        <v>5.7025977729590599E-5</v>
      </c>
      <c r="AT114" s="188">
        <f>opex_orig!AN114</f>
        <v>2.36085E-4</v>
      </c>
      <c r="AU114" s="188">
        <f>opex_orig!$AO114</f>
        <v>3.1863774514212799E-4</v>
      </c>
      <c r="AV114" s="188">
        <f>opex_orig!$AO114</f>
        <v>3.1863774514212799E-4</v>
      </c>
      <c r="AW114" s="188">
        <f>opex_orig!$AO114</f>
        <v>3.1863774514212799E-4</v>
      </c>
      <c r="AX114" s="188">
        <f>opex_orig!$AP114</f>
        <v>5.8474256436928098E-4</v>
      </c>
      <c r="AY114" s="188">
        <f>opex_orig!AQ114</f>
        <v>3.5357800000000001E-4</v>
      </c>
      <c r="AZ114" s="188">
        <f>opex_orig!AR114</f>
        <v>0</v>
      </c>
      <c r="BA114" s="188">
        <f>opex_orig!AS114</f>
        <v>3.7606100000000002E-4</v>
      </c>
      <c r="BB114" s="188">
        <f>opex_orig!AT114</f>
        <v>2.9237300000000001E-4</v>
      </c>
      <c r="BC114" s="188">
        <f>opex_orig!AU114</f>
        <v>4.2599999999999999E-5</v>
      </c>
      <c r="BD114" s="188">
        <f>opex_orig!AV114</f>
        <v>1.08E-5</v>
      </c>
      <c r="BE114" s="188">
        <f>opex_orig!AW114</f>
        <v>2.76307E-4</v>
      </c>
      <c r="BF114" s="188">
        <f>opex_orig!AX114</f>
        <v>0</v>
      </c>
      <c r="BG114" s="188">
        <f>opex_orig!AY114</f>
        <v>3.45259E-4</v>
      </c>
      <c r="BH114" s="188">
        <f>opex_orig!AZ114</f>
        <v>0</v>
      </c>
      <c r="BI114" s="188">
        <f>opex_orig!BA114</f>
        <v>1.6679999999999999E-4</v>
      </c>
      <c r="BJ114" s="188">
        <f>opex_orig!BB114</f>
        <v>1.8548100000000001E-4</v>
      </c>
      <c r="BK114" s="188">
        <f>opex_orig!BC114</f>
        <v>3.84516E-4</v>
      </c>
      <c r="BL114" s="188">
        <f>opex_orig!BD114</f>
        <v>1.3260999999999999E-4</v>
      </c>
      <c r="BM114" s="188">
        <f>opex_orig!BE114</f>
        <v>2.7313100000000002E-4</v>
      </c>
      <c r="BN114" s="188">
        <f>opex_orig!BF114</f>
        <v>8.1000000000000004E-5</v>
      </c>
      <c r="BO114" s="188">
        <f>opex_orig!BG114</f>
        <v>1.08631E-4</v>
      </c>
      <c r="BP114" s="188">
        <f>opex_orig!$BH114</f>
        <v>1.01497536847174E-4</v>
      </c>
      <c r="BQ114" s="188">
        <f>opex_orig!$BH114</f>
        <v>1.01497536847174E-4</v>
      </c>
      <c r="BR114" s="188">
        <f>opex_orig!BI114</f>
        <v>1.7796700000000001E-4</v>
      </c>
      <c r="BS114" s="188">
        <f>opex_orig!BJ114</f>
        <v>6.6799999999999997E-5</v>
      </c>
      <c r="BT114" s="188">
        <f>opex_orig!BK114</f>
        <v>4.5287300000000001E-4</v>
      </c>
      <c r="BU114" s="188">
        <f>opex_orig!BL114</f>
        <v>0</v>
      </c>
      <c r="BV114" s="27">
        <f>opex_orig!BM114</f>
        <v>5.6010257896148699E-5</v>
      </c>
      <c r="BW114" s="27">
        <f>opex_orig!BN114</f>
        <v>3.2580703061185301E-4</v>
      </c>
      <c r="BX114" s="27">
        <f>opex_orig!BO114</f>
        <v>3.04609981249283E-5</v>
      </c>
      <c r="BY114" s="27">
        <f>opex_orig!BP114</f>
        <v>1.7072108634105299E-4</v>
      </c>
      <c r="BZ114" s="27">
        <f>opex_orig!BQ114</f>
        <v>5.8351677511747901E-5</v>
      </c>
      <c r="CA114" s="27">
        <f>opex_orig!BR114</f>
        <v>4.9605798173275097E-5</v>
      </c>
      <c r="CB114" s="27">
        <f>opex_orig!BS114</f>
        <v>3.2459631548366E-4</v>
      </c>
      <c r="CC114" s="27">
        <f>opex_orig!BT114</f>
        <v>8.5957439749670506E-5</v>
      </c>
      <c r="CD114" s="27">
        <f>opex_orig!BU114</f>
        <v>3.1163714778236402E-5</v>
      </c>
      <c r="CE114" s="27">
        <f>opex_orig!BV114</f>
        <v>3.1163714778236497E-5</v>
      </c>
      <c r="CF114" s="27">
        <f>opex_orig!BW114</f>
        <v>9.1820158470360598E-6</v>
      </c>
      <c r="CG114" s="27">
        <f>opex_orig!BX114</f>
        <v>1.55806937452359E-5</v>
      </c>
      <c r="CH114" s="27">
        <f>opex_orig!BY114</f>
        <v>9.8494867558395995E-5</v>
      </c>
      <c r="CI114" s="27">
        <f>opex_orig!BZ114</f>
        <v>1.2595600000000001E-4</v>
      </c>
      <c r="CJ114" s="27">
        <f>opex_orig!CA114</f>
        <v>1.773604E-3</v>
      </c>
      <c r="CK114" s="27">
        <f>opex_orig!CB114</f>
        <v>6.5289199999999997E-4</v>
      </c>
      <c r="CL114" s="27">
        <f>opex_orig!CC114</f>
        <v>0.13155651500000001</v>
      </c>
      <c r="CM114" s="27">
        <f>opex_orig!CD114</f>
        <v>9.6018609999999997E-3</v>
      </c>
      <c r="CN114" s="27">
        <f>opex_orig!CE114</f>
        <v>4.1428899999999998E-4</v>
      </c>
      <c r="CO114" s="27">
        <f>opex_orig!CF114</f>
        <v>4.5068199999999999E-4</v>
      </c>
      <c r="CP114" s="27">
        <f>opex_orig!CG114</f>
        <v>4.0163299999999998E-4</v>
      </c>
    </row>
    <row r="115" spans="1:94" x14ac:dyDescent="0.25">
      <c r="A115" s="5" t="s">
        <v>221</v>
      </c>
      <c r="B115" s="2" t="s">
        <v>220</v>
      </c>
      <c r="C115" s="1" t="s">
        <v>330</v>
      </c>
      <c r="D115" s="188">
        <f>opex_orig!D115</f>
        <v>2.02062E-4</v>
      </c>
      <c r="E115" s="188">
        <f>opex_orig!E115</f>
        <v>2.3005399999999999E-4</v>
      </c>
      <c r="F115" s="188">
        <f>opex_orig!F115</f>
        <v>1.1582399999999999E-4</v>
      </c>
      <c r="G115" s="188">
        <f>opex_orig!G115</f>
        <v>1.7E-5</v>
      </c>
      <c r="H115" s="188">
        <f>opex_orig!H115</f>
        <v>3.7400000000000001E-5</v>
      </c>
      <c r="I115" s="188">
        <f>opex_orig!I115</f>
        <v>4.3637800000000002E-4</v>
      </c>
      <c r="J115" s="188">
        <f>opex_orig!J115</f>
        <v>3.65817E-4</v>
      </c>
      <c r="K115" s="188">
        <f>opex_orig!K115</f>
        <v>4.7599999999999998E-5</v>
      </c>
      <c r="L115" s="188">
        <f>opex_orig!L115</f>
        <v>5.9913999999999996E-4</v>
      </c>
      <c r="M115" s="188">
        <f>opex_orig!M115</f>
        <v>1.8053559999999999E-3</v>
      </c>
      <c r="N115" s="188">
        <f>opex_orig!N115</f>
        <v>1.2448820000000001E-3</v>
      </c>
      <c r="O115" s="188">
        <f>opex_orig!O115</f>
        <v>2.3968200000000001E-4</v>
      </c>
      <c r="P115" s="188">
        <f>opex_orig!P115</f>
        <v>3.0907500000000002E-4</v>
      </c>
      <c r="Q115" s="188">
        <f>opex_orig!Q115</f>
        <v>1.1862300000000001E-4</v>
      </c>
      <c r="R115" s="188">
        <f>opex_orig!R115</f>
        <v>5.0300000000000003E-5</v>
      </c>
      <c r="S115" s="188">
        <f>opex_orig!S115</f>
        <v>1.0346800000000001E-4</v>
      </c>
      <c r="T115" s="188">
        <f>opex_orig!T115</f>
        <v>9.3800000000000003E-5</v>
      </c>
      <c r="U115" s="188">
        <f>opex_orig!U115</f>
        <v>1.170529E-3</v>
      </c>
      <c r="V115" s="188">
        <f>opex_orig!V115</f>
        <v>1.48112E-3</v>
      </c>
      <c r="W115" s="188">
        <f>opex_orig!W115</f>
        <v>5.7408999999999997E-4</v>
      </c>
      <c r="X115" s="188">
        <f>opex_orig!X115</f>
        <v>6.0699999999999998E-5</v>
      </c>
      <c r="Y115" s="188">
        <f>opex_orig!Y115</f>
        <v>7.5934500000000003E-4</v>
      </c>
      <c r="Z115" s="188">
        <f>opex_orig!Z115</f>
        <v>4.2594679999999998E-3</v>
      </c>
      <c r="AA115" s="188">
        <f>opex_orig!AA115</f>
        <v>6.5106779999999998E-3</v>
      </c>
      <c r="AB115" s="188">
        <f>opex_orig!$AB115</f>
        <v>1.3220498934009799E-4</v>
      </c>
      <c r="AC115" s="188">
        <f>opex_orig!$AB115</f>
        <v>1.3220498934009799E-4</v>
      </c>
      <c r="AD115" s="188">
        <f>opex_orig!$AB115</f>
        <v>1.3220498934009799E-4</v>
      </c>
      <c r="AE115" s="188">
        <f>opex_orig!$AC115</f>
        <v>2.3888610735493202E-3</v>
      </c>
      <c r="AF115" s="188">
        <f>opex_orig!$AD115</f>
        <v>1.6975919049231E-3</v>
      </c>
      <c r="AG115" s="188">
        <f>opex_orig!$AD115</f>
        <v>1.6975919049231E-3</v>
      </c>
      <c r="AH115" s="188">
        <f>opex_orig!$AD115</f>
        <v>1.6975919049231E-3</v>
      </c>
      <c r="AI115" s="188">
        <f>opex_orig!AE115</f>
        <v>1.5141320000000001E-3</v>
      </c>
      <c r="AJ115" s="188">
        <f>opex_orig!AF115</f>
        <v>1.0731339999999999E-3</v>
      </c>
      <c r="AK115" s="188">
        <f>opex_orig!AG115</f>
        <v>1.2855000000000001E-4</v>
      </c>
      <c r="AL115" s="188">
        <f>opex_orig!AH115</f>
        <v>7.1500000000000003E-5</v>
      </c>
      <c r="AM115" s="188">
        <f>opex_orig!AI115</f>
        <v>1.2849700000000001E-4</v>
      </c>
      <c r="AN115" s="188">
        <f>opex_orig!AJ115</f>
        <v>8.1699999999999994E-5</v>
      </c>
      <c r="AO115" s="188">
        <f>opex_orig!AK115</f>
        <v>1.39025E-4</v>
      </c>
      <c r="AP115" s="188">
        <f>opex_orig!$AL115</f>
        <v>1.7378815917905299E-4</v>
      </c>
      <c r="AQ115" s="188">
        <f>opex_orig!$AL115</f>
        <v>1.7378815917905299E-4</v>
      </c>
      <c r="AR115" s="188">
        <f>opex_orig!$AL115</f>
        <v>1.7378815917905299E-4</v>
      </c>
      <c r="AS115" s="188">
        <f>opex_orig!$AM115</f>
        <v>1.30747460515533E-4</v>
      </c>
      <c r="AT115" s="188">
        <f>opex_orig!AN115</f>
        <v>2.4184799999999999E-4</v>
      </c>
      <c r="AU115" s="188">
        <f>opex_orig!$AO115</f>
        <v>3.3838702307089702E-4</v>
      </c>
      <c r="AV115" s="188">
        <f>opex_orig!$AO115</f>
        <v>3.3838702307089702E-4</v>
      </c>
      <c r="AW115" s="188">
        <f>opex_orig!$AO115</f>
        <v>3.3838702307089702E-4</v>
      </c>
      <c r="AX115" s="188">
        <f>opex_orig!$AP115</f>
        <v>4.8247187049231701E-4</v>
      </c>
      <c r="AY115" s="188">
        <f>opex_orig!AQ115</f>
        <v>5.8319000000000003E-4</v>
      </c>
      <c r="AZ115" s="188">
        <f>opex_orig!AR115</f>
        <v>0</v>
      </c>
      <c r="BA115" s="188">
        <f>opex_orig!AS115</f>
        <v>2.6133500000000002E-4</v>
      </c>
      <c r="BB115" s="188">
        <f>opex_orig!AT115</f>
        <v>1.8762100000000001E-4</v>
      </c>
      <c r="BC115" s="188">
        <f>opex_orig!AU115</f>
        <v>1.46491E-4</v>
      </c>
      <c r="BD115" s="188">
        <f>opex_orig!AV115</f>
        <v>5.8300000000000001E-5</v>
      </c>
      <c r="BE115" s="188">
        <f>opex_orig!AW115</f>
        <v>2.85059E-4</v>
      </c>
      <c r="BF115" s="188">
        <f>opex_orig!AX115</f>
        <v>0</v>
      </c>
      <c r="BG115" s="188">
        <f>opex_orig!AY115</f>
        <v>3.2691000000000003E-4</v>
      </c>
      <c r="BH115" s="188">
        <f>opex_orig!AZ115</f>
        <v>0</v>
      </c>
      <c r="BI115" s="188">
        <f>opex_orig!BA115</f>
        <v>4.8453100000000001E-4</v>
      </c>
      <c r="BJ115" s="188">
        <f>opex_orig!BB115</f>
        <v>5.5027400000000001E-4</v>
      </c>
      <c r="BK115" s="188">
        <f>opex_orig!BC115</f>
        <v>9.0365900000000002E-4</v>
      </c>
      <c r="BL115" s="188">
        <f>opex_orig!BD115</f>
        <v>1.04806E-4</v>
      </c>
      <c r="BM115" s="188">
        <f>opex_orig!BE115</f>
        <v>2.4626900000000002E-4</v>
      </c>
      <c r="BN115" s="188">
        <f>opex_orig!BF115</f>
        <v>7.2200000000000007E-5</v>
      </c>
      <c r="BO115" s="188">
        <f>opex_orig!BG115</f>
        <v>2.1379299999999999E-4</v>
      </c>
      <c r="BP115" s="188">
        <f>opex_orig!$BH115</f>
        <v>5.2888875406946999E-4</v>
      </c>
      <c r="BQ115" s="188">
        <f>opex_orig!$BH115</f>
        <v>5.2888875406946999E-4</v>
      </c>
      <c r="BR115" s="188">
        <f>opex_orig!BI115</f>
        <v>4.0178399999999997E-4</v>
      </c>
      <c r="BS115" s="188">
        <f>opex_orig!BJ115</f>
        <v>1.8045600000000001E-4</v>
      </c>
      <c r="BT115" s="188">
        <f>opex_orig!BK115</f>
        <v>3.6441799999999998E-4</v>
      </c>
      <c r="BU115" s="188">
        <f>opex_orig!BL115</f>
        <v>0</v>
      </c>
      <c r="BV115" s="27">
        <f>opex_orig!BM115</f>
        <v>6.8661508659314803E-4</v>
      </c>
      <c r="BW115" s="27">
        <f>opex_orig!BN115</f>
        <v>1.2148241093597901E-3</v>
      </c>
      <c r="BX115" s="27">
        <f>opex_orig!BO115</f>
        <v>4.7435586280217197E-4</v>
      </c>
      <c r="BY115" s="27">
        <f>opex_orig!BP115</f>
        <v>7.3455384727238603E-4</v>
      </c>
      <c r="BZ115" s="27">
        <f>opex_orig!BQ115</f>
        <v>5.1782695927648798E-4</v>
      </c>
      <c r="CA115" s="27">
        <f>opex_orig!BR115</f>
        <v>2.13441745430597E-4</v>
      </c>
      <c r="CB115" s="27">
        <f>opex_orig!BS115</f>
        <v>6.30941336281931E-4</v>
      </c>
      <c r="CC115" s="27">
        <f>opex_orig!BT115</f>
        <v>6.1466949114440898E-4</v>
      </c>
      <c r="CD115" s="27">
        <f>opex_orig!BU115</f>
        <v>4.0780985947006199E-4</v>
      </c>
      <c r="CE115" s="27">
        <f>opex_orig!BV115</f>
        <v>4.0780985947006302E-4</v>
      </c>
      <c r="CF115" s="27">
        <f>opex_orig!BW115</f>
        <v>2.5127218565855801E-3</v>
      </c>
      <c r="CG115" s="27">
        <f>opex_orig!BX115</f>
        <v>2.86292475873035E-5</v>
      </c>
      <c r="CH115" s="27">
        <f>opex_orig!BY115</f>
        <v>5.2957210579137796E-6</v>
      </c>
      <c r="CI115" s="27">
        <f>opex_orig!BZ115</f>
        <v>9.2323100000000005E-4</v>
      </c>
      <c r="CJ115" s="27">
        <f>opex_orig!CA115</f>
        <v>9.5323800000000002E-4</v>
      </c>
      <c r="CK115" s="27">
        <f>opex_orig!CB115</f>
        <v>7.7178399999999997E-4</v>
      </c>
      <c r="CL115" s="27">
        <f>opex_orig!CC115</f>
        <v>1.2035640000000001E-3</v>
      </c>
      <c r="CM115" s="27">
        <f>opex_orig!CD115</f>
        <v>1.188564E-3</v>
      </c>
      <c r="CN115" s="27">
        <f>opex_orig!CE115</f>
        <v>1.6348971E-2</v>
      </c>
      <c r="CO115" s="27">
        <f>opex_orig!CF115</f>
        <v>7.5414099999999995E-4</v>
      </c>
      <c r="CP115" s="27">
        <f>opex_orig!CG115</f>
        <v>1.0226E-3</v>
      </c>
    </row>
    <row r="116" spans="1:94" s="8" customFormat="1" x14ac:dyDescent="0.25">
      <c r="A116" s="7" t="s">
        <v>223</v>
      </c>
      <c r="B116" s="2" t="s">
        <v>222</v>
      </c>
      <c r="C116" s="1" t="s">
        <v>331</v>
      </c>
      <c r="D116" s="188">
        <f>opex_orig!D116</f>
        <v>3.1338149999999999E-3</v>
      </c>
      <c r="E116" s="188">
        <f>opex_orig!E116</f>
        <v>7.2314600000000003E-4</v>
      </c>
      <c r="F116" s="188">
        <f>opex_orig!F116</f>
        <v>5.0439500000000004E-4</v>
      </c>
      <c r="G116" s="188">
        <f>opex_orig!G116</f>
        <v>1.00917E-4</v>
      </c>
      <c r="H116" s="188">
        <f>opex_orig!H116</f>
        <v>1.8015500000000001E-4</v>
      </c>
      <c r="I116" s="188">
        <f>opex_orig!I116</f>
        <v>1.107972E-3</v>
      </c>
      <c r="J116" s="188">
        <f>opex_orig!J116</f>
        <v>3.1787149999999999E-3</v>
      </c>
      <c r="K116" s="188">
        <f>opex_orig!K116</f>
        <v>3.0298499999999997E-4</v>
      </c>
      <c r="L116" s="188">
        <f>opex_orig!L116</f>
        <v>1.342431E-3</v>
      </c>
      <c r="M116" s="188">
        <f>opex_orig!M116</f>
        <v>7.0982830000000004E-3</v>
      </c>
      <c r="N116" s="188">
        <f>opex_orig!N116</f>
        <v>2.2503480000000001E-3</v>
      </c>
      <c r="O116" s="188">
        <f>opex_orig!O116</f>
        <v>1.928744E-3</v>
      </c>
      <c r="P116" s="188">
        <f>opex_orig!P116</f>
        <v>2.7838369999999999E-3</v>
      </c>
      <c r="Q116" s="188">
        <f>opex_orig!Q116</f>
        <v>7.5237299999999997E-4</v>
      </c>
      <c r="R116" s="188">
        <f>opex_orig!R116</f>
        <v>6.2637999999999995E-4</v>
      </c>
      <c r="S116" s="188">
        <f>opex_orig!S116</f>
        <v>5.8455879999999997E-3</v>
      </c>
      <c r="T116" s="188">
        <f>opex_orig!T116</f>
        <v>5.0653390000000003E-3</v>
      </c>
      <c r="U116" s="188">
        <f>opex_orig!U116</f>
        <v>7.9952860000000008E-3</v>
      </c>
      <c r="V116" s="188">
        <f>opex_orig!V116</f>
        <v>8.2884689999999997E-3</v>
      </c>
      <c r="W116" s="188">
        <f>opex_orig!W116</f>
        <v>6.2757259999999997E-3</v>
      </c>
      <c r="X116" s="188">
        <f>opex_orig!X116</f>
        <v>6.9343400000000004E-4</v>
      </c>
      <c r="Y116" s="188">
        <f>opex_orig!Y116</f>
        <v>4.6793629999999998E-3</v>
      </c>
      <c r="Z116" s="188">
        <f>opex_orig!Z116</f>
        <v>1.1933747E-2</v>
      </c>
      <c r="AA116" s="188">
        <f>opex_orig!AA116</f>
        <v>6.4723421000000003E-2</v>
      </c>
      <c r="AB116" s="188">
        <f>opex_orig!$AB116</f>
        <v>1.88465808675112E-3</v>
      </c>
      <c r="AC116" s="188">
        <f>opex_orig!$AB116</f>
        <v>1.88465808675112E-3</v>
      </c>
      <c r="AD116" s="188">
        <f>opex_orig!$AB116</f>
        <v>1.88465808675112E-3</v>
      </c>
      <c r="AE116" s="188">
        <f>opex_orig!$AC116</f>
        <v>3.8614117390545601E-3</v>
      </c>
      <c r="AF116" s="296">
        <f>opex_concordance!$M$317</f>
        <v>9.3494861544835706E-3</v>
      </c>
      <c r="AG116" s="296">
        <f>opex_concordance!$M$353</f>
        <v>4.1431636348678155E-3</v>
      </c>
      <c r="AH116" s="296">
        <f>opex_concordance!$M$389</f>
        <v>3.3240424016378637E-3</v>
      </c>
      <c r="AI116" s="188">
        <f>opex_orig!AE116</f>
        <v>7.7562680000000002E-3</v>
      </c>
      <c r="AJ116" s="188">
        <f>opex_orig!AF116</f>
        <v>2.2719982999999999E-2</v>
      </c>
      <c r="AK116" s="188">
        <f>opex_orig!AG116</f>
        <v>2.7830379999999998E-3</v>
      </c>
      <c r="AL116" s="188">
        <f>opex_orig!AH116</f>
        <v>7.8066239999999999E-3</v>
      </c>
      <c r="AM116" s="188">
        <f>opex_orig!AI116</f>
        <v>3.0571869999999998E-3</v>
      </c>
      <c r="AN116" s="188">
        <f>opex_orig!AJ116</f>
        <v>3.232361E-3</v>
      </c>
      <c r="AO116" s="188">
        <f>opex_orig!AK116</f>
        <v>7.2555680000000004E-3</v>
      </c>
      <c r="AP116" s="296">
        <f>opex_concordance!M445</f>
        <v>6.2928505605343004E-3</v>
      </c>
      <c r="AQ116" s="296">
        <f>opex_concordance!M499</f>
        <v>5.0644267623377905E-3</v>
      </c>
      <c r="AR116" s="296">
        <f>opex_concordance!M553</f>
        <v>5.5577657930593032E-3</v>
      </c>
      <c r="AS116" s="188">
        <f>opex_orig!$AM116</f>
        <v>5.8458010913237197E-3</v>
      </c>
      <c r="AT116" s="188">
        <f>opex_orig!AN116</f>
        <v>6.85588E-3</v>
      </c>
      <c r="AU116" s="188">
        <f>opex_orig!$AO116</f>
        <v>3.6743748816919098E-3</v>
      </c>
      <c r="AV116" s="188">
        <f>opex_orig!$AO116</f>
        <v>3.6743748816919098E-3</v>
      </c>
      <c r="AW116" s="188">
        <f>opex_orig!$AO116</f>
        <v>3.6743748816919098E-3</v>
      </c>
      <c r="AX116" s="188">
        <f>opex_orig!$AP116</f>
        <v>3.5222725677823202E-3</v>
      </c>
      <c r="AY116" s="188">
        <f>opex_orig!AQ116</f>
        <v>3.4989320000000002E-3</v>
      </c>
      <c r="AZ116" s="188">
        <f>opex_orig!AR116</f>
        <v>0</v>
      </c>
      <c r="BA116" s="188">
        <f>opex_orig!AS116</f>
        <v>3.319766E-3</v>
      </c>
      <c r="BB116" s="188">
        <f>opex_orig!AT116</f>
        <v>3.6239240000000002E-3</v>
      </c>
      <c r="BC116" s="188">
        <f>opex_orig!AU116</f>
        <v>3.9227100000000003E-4</v>
      </c>
      <c r="BD116" s="188">
        <f>opex_orig!AV116</f>
        <v>2.7088600000000002E-4</v>
      </c>
      <c r="BE116" s="188">
        <f>opex_orig!AW116</f>
        <v>2.3073709999999999E-3</v>
      </c>
      <c r="BF116" s="188">
        <f>opex_orig!AX116</f>
        <v>0</v>
      </c>
      <c r="BG116" s="188">
        <f>opex_orig!AY116</f>
        <v>3.0581380000000002E-3</v>
      </c>
      <c r="BH116" s="188">
        <f>opex_orig!AZ116</f>
        <v>0</v>
      </c>
      <c r="BI116" s="188">
        <f>opex_orig!BA116</f>
        <v>3.04725E-3</v>
      </c>
      <c r="BJ116" s="188">
        <f>opex_orig!BB116</f>
        <v>3.0326540000000001E-3</v>
      </c>
      <c r="BK116" s="188">
        <f>opex_orig!BC116</f>
        <v>6.596111E-3</v>
      </c>
      <c r="BL116" s="188">
        <f>opex_orig!BD116</f>
        <v>1.5355760000000001E-3</v>
      </c>
      <c r="BM116" s="188">
        <f>opex_orig!BE116</f>
        <v>3.1564010000000003E-2</v>
      </c>
      <c r="BN116" s="188">
        <f>opex_orig!BF116</f>
        <v>5.1427579999999999E-3</v>
      </c>
      <c r="BO116" s="188">
        <f>opex_orig!BG116</f>
        <v>3.9761309999999999E-3</v>
      </c>
      <c r="BP116" s="188">
        <f>opex_orig!$BH116</f>
        <v>3.4494809387046301E-3</v>
      </c>
      <c r="BQ116" s="188">
        <f>opex_orig!$BH116</f>
        <v>3.4494809387046301E-3</v>
      </c>
      <c r="BR116" s="188">
        <f>opex_orig!BI116</f>
        <v>2.4077539999999998E-3</v>
      </c>
      <c r="BS116" s="188">
        <f>opex_orig!BJ116</f>
        <v>7.9364559999999997E-3</v>
      </c>
      <c r="BT116" s="188">
        <f>opex_orig!BK116</f>
        <v>1.5142462000000001E-2</v>
      </c>
      <c r="BU116" s="188">
        <f>opex_orig!BL116</f>
        <v>0</v>
      </c>
      <c r="BV116" s="27">
        <f>opex_orig!BM116</f>
        <v>7.2359561828253703E-3</v>
      </c>
      <c r="BW116" s="27">
        <f>opex_orig!BN116</f>
        <v>8.4904844071271302E-3</v>
      </c>
      <c r="BX116" s="27">
        <f>opex_orig!BO116</f>
        <v>4.1783345150354003E-3</v>
      </c>
      <c r="BY116" s="27">
        <f>opex_orig!BP116</f>
        <v>7.00929536695783E-3</v>
      </c>
      <c r="BZ116" s="27">
        <f>opex_orig!BQ116</f>
        <v>7.6910829748098502E-3</v>
      </c>
      <c r="CA116" s="27">
        <f>opex_orig!BR116</f>
        <v>2.9804848118935599E-2</v>
      </c>
      <c r="CB116" s="27">
        <f>opex_orig!BS116</f>
        <v>5.7598205705822799E-3</v>
      </c>
      <c r="CC116" s="27">
        <f>opex_orig!BT116</f>
        <v>4.2467168198911899E-3</v>
      </c>
      <c r="CD116" s="27">
        <f>opex_orig!BU116</f>
        <v>9.1497606308390805E-3</v>
      </c>
      <c r="CE116" s="27">
        <f>opex_orig!BV116</f>
        <v>9.1497606308390805E-3</v>
      </c>
      <c r="CF116" s="27">
        <f>opex_orig!BW116</f>
        <v>2.3158337335053699E-3</v>
      </c>
      <c r="CG116" s="27">
        <f>opex_orig!BX116</f>
        <v>1.6581518145475699E-5</v>
      </c>
      <c r="CH116" s="27">
        <f>opex_orig!BY116</f>
        <v>9.3171355641026997E-5</v>
      </c>
      <c r="CI116" s="27">
        <f>opex_orig!BZ116</f>
        <v>1.1226269000000001E-2</v>
      </c>
      <c r="CJ116" s="27">
        <f>opex_orig!CA116</f>
        <v>1.0602598E-2</v>
      </c>
      <c r="CK116" s="27">
        <f>opex_orig!CB116</f>
        <v>7.8449680000000008E-3</v>
      </c>
      <c r="CL116" s="27">
        <f>opex_orig!CC116</f>
        <v>6.9121700000000005E-4</v>
      </c>
      <c r="CM116" s="27">
        <f>opex_orig!CD116</f>
        <v>7.2177559999999997E-3</v>
      </c>
      <c r="CN116" s="27">
        <f>opex_orig!CE116</f>
        <v>3.4834575999999999E-2</v>
      </c>
      <c r="CO116" s="27">
        <f>opex_orig!CF116</f>
        <v>0.27312404600000001</v>
      </c>
      <c r="CP116" s="27">
        <f>opex_orig!CG116</f>
        <v>4.3841740000000002E-3</v>
      </c>
    </row>
    <row r="117" spans="1:94" x14ac:dyDescent="0.25">
      <c r="A117" s="5" t="s">
        <v>225</v>
      </c>
      <c r="B117" s="2" t="s">
        <v>224</v>
      </c>
      <c r="C117" s="1" t="s">
        <v>331</v>
      </c>
      <c r="D117" s="188">
        <f>opex_orig!D117</f>
        <v>1.2799999999999999E-5</v>
      </c>
      <c r="E117" s="188">
        <f>opex_orig!E117</f>
        <v>3.01E-6</v>
      </c>
      <c r="F117" s="188">
        <f>opex_orig!F117</f>
        <v>2.0600000000000002E-6</v>
      </c>
      <c r="G117" s="188">
        <f>opex_orig!G117</f>
        <v>3.8099999999999998E-7</v>
      </c>
      <c r="H117" s="188">
        <f>opex_orig!H117</f>
        <v>7.0699999999999996E-7</v>
      </c>
      <c r="I117" s="188">
        <f>opex_orig!I117</f>
        <v>4.5399999999999997E-6</v>
      </c>
      <c r="J117" s="188">
        <f>opex_orig!J117</f>
        <v>1.27E-5</v>
      </c>
      <c r="K117" s="188">
        <f>opex_orig!K117</f>
        <v>1.1799999999999999E-6</v>
      </c>
      <c r="L117" s="188">
        <f>opex_orig!L117</f>
        <v>5.2800000000000003E-6</v>
      </c>
      <c r="M117" s="188">
        <f>opex_orig!M117</f>
        <v>2.7399999999999999E-5</v>
      </c>
      <c r="N117" s="188">
        <f>opex_orig!N117</f>
        <v>9.5200000000000003E-6</v>
      </c>
      <c r="O117" s="188">
        <f>opex_orig!O117</f>
        <v>7.9300000000000003E-6</v>
      </c>
      <c r="P117" s="188">
        <f>opex_orig!P117</f>
        <v>1.1399999999999999E-5</v>
      </c>
      <c r="Q117" s="188">
        <f>opex_orig!Q117</f>
        <v>1.7999999999999999E-6</v>
      </c>
      <c r="R117" s="188">
        <f>opex_orig!R117</f>
        <v>2.0899999999999999E-6</v>
      </c>
      <c r="S117" s="188">
        <f>opex_orig!S117</f>
        <v>2.27E-5</v>
      </c>
      <c r="T117" s="188">
        <f>opex_orig!T117</f>
        <v>1.95E-5</v>
      </c>
      <c r="U117" s="188">
        <f>opex_orig!U117</f>
        <v>3.1000000000000001E-5</v>
      </c>
      <c r="V117" s="188">
        <f>opex_orig!V117</f>
        <v>3.2400000000000001E-5</v>
      </c>
      <c r="W117" s="188">
        <f>opex_orig!W117</f>
        <v>2.4000000000000001E-5</v>
      </c>
      <c r="X117" s="188">
        <f>opex_orig!X117</f>
        <v>2.8100000000000002E-6</v>
      </c>
      <c r="Y117" s="188">
        <f>opex_orig!Y117</f>
        <v>1.7600000000000001E-5</v>
      </c>
      <c r="Z117" s="188">
        <f>opex_orig!Z117</f>
        <v>4.6600000000000001E-5</v>
      </c>
      <c r="AA117" s="188">
        <f>opex_orig!AA117</f>
        <v>2.4898200000000002E-4</v>
      </c>
      <c r="AB117" s="188">
        <f>opex_orig!$AB117</f>
        <v>5.6084333865515804E-6</v>
      </c>
      <c r="AC117" s="188">
        <f>opex_orig!$AB117</f>
        <v>5.6084333865515804E-6</v>
      </c>
      <c r="AD117" s="188">
        <f>opex_orig!$AB117</f>
        <v>5.6084333865515804E-6</v>
      </c>
      <c r="AE117" s="188">
        <f>opex_orig!$AC117</f>
        <v>1.8063171686576498E-5</v>
      </c>
      <c r="AF117" s="188">
        <f>opex_orig!$AD117</f>
        <v>3.6586364932319903E-5</v>
      </c>
      <c r="AG117" s="188">
        <f>opex_orig!$AD117</f>
        <v>3.6586364932319903E-5</v>
      </c>
      <c r="AH117" s="188">
        <f>opex_orig!$AD117</f>
        <v>3.6586364932319903E-5</v>
      </c>
      <c r="AI117" s="188">
        <f>opex_orig!AE117</f>
        <v>3.0000000000000001E-5</v>
      </c>
      <c r="AJ117" s="188">
        <f>opex_orig!AF117</f>
        <v>8.8499999999999996E-5</v>
      </c>
      <c r="AK117" s="188">
        <f>opex_orig!AG117</f>
        <v>1.06E-5</v>
      </c>
      <c r="AL117" s="188">
        <f>opex_orig!AH117</f>
        <v>3.7200000000000003E-5</v>
      </c>
      <c r="AM117" s="188">
        <f>opex_orig!AI117</f>
        <v>1.26E-5</v>
      </c>
      <c r="AN117" s="188">
        <f>opex_orig!AJ117</f>
        <v>1.5500000000000001E-5</v>
      </c>
      <c r="AO117" s="188">
        <f>opex_orig!AK117</f>
        <v>2.9799999999999999E-5</v>
      </c>
      <c r="AP117" s="188">
        <f>opex_orig!$AL117</f>
        <v>2.5894474739554E-5</v>
      </c>
      <c r="AQ117" s="188">
        <f>opex_orig!$AL117</f>
        <v>2.5894474739554E-5</v>
      </c>
      <c r="AR117" s="188">
        <f>opex_orig!$AL117</f>
        <v>2.5894474739554E-5</v>
      </c>
      <c r="AS117" s="188">
        <f>opex_orig!$AM117</f>
        <v>2.4121786479497401E-5</v>
      </c>
      <c r="AT117" s="188">
        <f>opex_orig!AN117</f>
        <v>2.7800000000000001E-5</v>
      </c>
      <c r="AU117" s="188">
        <f>opex_orig!$AO117</f>
        <v>1.19309592254275E-5</v>
      </c>
      <c r="AV117" s="188">
        <f>opex_orig!$AO117</f>
        <v>1.19309592254275E-5</v>
      </c>
      <c r="AW117" s="188">
        <f>opex_orig!$AO117</f>
        <v>1.19309592254275E-5</v>
      </c>
      <c r="AX117" s="188">
        <f>opex_orig!$AP117</f>
        <v>1.3541682457562601E-5</v>
      </c>
      <c r="AY117" s="188">
        <f>opex_orig!AQ117</f>
        <v>1.3499999999999999E-5</v>
      </c>
      <c r="AZ117" s="188">
        <f>opex_orig!AR117</f>
        <v>0</v>
      </c>
      <c r="BA117" s="188">
        <f>opex_orig!AS117</f>
        <v>1.2799999999999999E-5</v>
      </c>
      <c r="BB117" s="188">
        <f>opex_orig!AT117</f>
        <v>1.4E-5</v>
      </c>
      <c r="BC117" s="188">
        <f>opex_orig!AU117</f>
        <v>1.7600000000000001E-6</v>
      </c>
      <c r="BD117" s="188">
        <f>opex_orig!AV117</f>
        <v>1.08E-6</v>
      </c>
      <c r="BE117" s="188">
        <f>opex_orig!AW117</f>
        <v>8.5699999999999993E-6</v>
      </c>
      <c r="BF117" s="188">
        <f>opex_orig!AX117</f>
        <v>0</v>
      </c>
      <c r="BG117" s="188">
        <f>opex_orig!AY117</f>
        <v>1.1199999999999999E-5</v>
      </c>
      <c r="BH117" s="188">
        <f>opex_orig!AZ117</f>
        <v>0</v>
      </c>
      <c r="BI117" s="188">
        <f>opex_orig!BA117</f>
        <v>1.1199999999999999E-5</v>
      </c>
      <c r="BJ117" s="188">
        <f>opex_orig!BB117</f>
        <v>1.11E-5</v>
      </c>
      <c r="BK117" s="188">
        <f>opex_orig!BC117</f>
        <v>2.48E-5</v>
      </c>
      <c r="BL117" s="188">
        <f>opex_orig!BD117</f>
        <v>5.4399999999999996E-6</v>
      </c>
      <c r="BM117" s="188">
        <f>opex_orig!BE117</f>
        <v>1.21718E-4</v>
      </c>
      <c r="BN117" s="188">
        <f>opex_orig!BF117</f>
        <v>1.88E-5</v>
      </c>
      <c r="BO117" s="188">
        <f>opex_orig!BG117</f>
        <v>1.5800000000000001E-5</v>
      </c>
      <c r="BP117" s="188">
        <f>opex_orig!$BH117</f>
        <v>1.31488596527563E-5</v>
      </c>
      <c r="BQ117" s="188">
        <f>opex_orig!$BH117</f>
        <v>1.31488596527563E-5</v>
      </c>
      <c r="BR117" s="188">
        <f>opex_orig!BI117</f>
        <v>9.73E-6</v>
      </c>
      <c r="BS117" s="188">
        <f>opex_orig!BJ117</f>
        <v>2.7100000000000001E-5</v>
      </c>
      <c r="BT117" s="188">
        <f>opex_orig!BK117</f>
        <v>5.8699999999999997E-5</v>
      </c>
      <c r="BU117" s="188">
        <f>opex_orig!BL117</f>
        <v>0</v>
      </c>
      <c r="BV117" s="27">
        <f>opex_orig!BM117</f>
        <v>2.74745557241701E-5</v>
      </c>
      <c r="BW117" s="27">
        <f>opex_orig!BN117</f>
        <v>3.3593733734968998E-5</v>
      </c>
      <c r="BX117" s="27">
        <f>opex_orig!BO117</f>
        <v>1.6234424122470299E-5</v>
      </c>
      <c r="BY117" s="27">
        <f>opex_orig!BP117</f>
        <v>2.7718450157704001E-5</v>
      </c>
      <c r="BZ117" s="27">
        <f>opex_orig!BQ117</f>
        <v>3.0193646286308799E-5</v>
      </c>
      <c r="CA117" s="27">
        <f>opex_orig!BR117</f>
        <v>2.23114748335165E-4</v>
      </c>
      <c r="CB117" s="27">
        <f>opex_orig!BS117</f>
        <v>2.17486232235888E-5</v>
      </c>
      <c r="CC117" s="27">
        <f>opex_orig!BT117</f>
        <v>1.3050326829500401E-5</v>
      </c>
      <c r="CD117" s="27">
        <f>opex_orig!BU117</f>
        <v>3.5437060354442702E-5</v>
      </c>
      <c r="CE117" s="27">
        <f>opex_orig!BV117</f>
        <v>3.5437060354442601E-5</v>
      </c>
      <c r="CF117" s="27">
        <f>opex_orig!BW117</f>
        <v>5.0249283497734302E-6</v>
      </c>
      <c r="CG117" s="27">
        <f>opex_orig!BX117</f>
        <v>3.4650778491314201E-8</v>
      </c>
      <c r="CH117" s="27">
        <f>opex_orig!BY117</f>
        <v>3.1897515368980098E-8</v>
      </c>
      <c r="CI117" s="27">
        <f>opex_orig!BZ117</f>
        <v>4.3900000000000003E-5</v>
      </c>
      <c r="CJ117" s="27">
        <f>opex_orig!CA117</f>
        <v>4.1199999999999999E-5</v>
      </c>
      <c r="CK117" s="27">
        <f>opex_orig!CB117</f>
        <v>3.0199999999999999E-5</v>
      </c>
      <c r="CL117" s="27">
        <f>opex_orig!CC117</f>
        <v>2.7999999999999999E-6</v>
      </c>
      <c r="CM117" s="27">
        <f>opex_orig!CD117</f>
        <v>2.7800000000000001E-5</v>
      </c>
      <c r="CN117" s="27">
        <f>opex_orig!CE117</f>
        <v>1.35623E-4</v>
      </c>
      <c r="CO117" s="27">
        <f>opex_orig!CF117</f>
        <v>1.0604779999999999E-3</v>
      </c>
      <c r="CP117" s="27">
        <f>opex_orig!CG117</f>
        <v>1.77E-5</v>
      </c>
    </row>
    <row r="118" spans="1:94" x14ac:dyDescent="0.25">
      <c r="A118" s="5" t="s">
        <v>227</v>
      </c>
      <c r="B118" s="2" t="s">
        <v>226</v>
      </c>
      <c r="C118" s="1" t="s">
        <v>332</v>
      </c>
      <c r="D118" s="188">
        <f>opex_orig!D118</f>
        <v>6.3400799999999997E-3</v>
      </c>
      <c r="E118" s="188">
        <f>opex_orig!E118</f>
        <v>5.6428069999999997E-3</v>
      </c>
      <c r="F118" s="188">
        <f>opex_orig!F118</f>
        <v>1.0900749E-2</v>
      </c>
      <c r="G118" s="188">
        <f>opex_orig!G118</f>
        <v>4.4137760000000003E-3</v>
      </c>
      <c r="H118" s="188">
        <f>opex_orig!H118</f>
        <v>5.8615719999999998E-3</v>
      </c>
      <c r="I118" s="188">
        <f>opex_orig!I118</f>
        <v>3.554237E-3</v>
      </c>
      <c r="J118" s="188">
        <f>opex_orig!J118</f>
        <v>4.1518175999999997E-2</v>
      </c>
      <c r="K118" s="188">
        <f>opex_orig!K118</f>
        <v>1.4167216E-2</v>
      </c>
      <c r="L118" s="188">
        <f>opex_orig!L118</f>
        <v>3.376324E-3</v>
      </c>
      <c r="M118" s="188">
        <f>opex_orig!M118</f>
        <v>4.3705380000000002E-3</v>
      </c>
      <c r="N118" s="188">
        <f>opex_orig!N118</f>
        <v>2.0340494000000001E-2</v>
      </c>
      <c r="O118" s="188">
        <f>opex_orig!O118</f>
        <v>6.1438700000000001E-3</v>
      </c>
      <c r="P118" s="188">
        <f>opex_orig!P118</f>
        <v>4.9782180000000004E-3</v>
      </c>
      <c r="Q118" s="188">
        <f>opex_orig!Q118</f>
        <v>1.6421649999999999E-2</v>
      </c>
      <c r="R118" s="188">
        <f>opex_orig!R118</f>
        <v>2.2644093000000001E-2</v>
      </c>
      <c r="S118" s="188">
        <f>opex_orig!S118</f>
        <v>5.0963969999999999E-3</v>
      </c>
      <c r="T118" s="188">
        <f>opex_orig!T118</f>
        <v>1.6933027999999999E-2</v>
      </c>
      <c r="U118" s="188">
        <f>opex_orig!U118</f>
        <v>7.0270469999999998E-3</v>
      </c>
      <c r="V118" s="188">
        <f>opex_orig!V118</f>
        <v>9.7906980000000005E-3</v>
      </c>
      <c r="W118" s="188">
        <f>opex_orig!W118</f>
        <v>3.870657E-3</v>
      </c>
      <c r="X118" s="188">
        <f>opex_orig!X118</f>
        <v>2.5731909999999998E-3</v>
      </c>
      <c r="Y118" s="188">
        <f>opex_orig!Y118</f>
        <v>1.0231779E-2</v>
      </c>
      <c r="Z118" s="188">
        <f>opex_orig!Z118</f>
        <v>1.0472739E-2</v>
      </c>
      <c r="AA118" s="188">
        <f>opex_orig!AA118</f>
        <v>4.6224438E-2</v>
      </c>
      <c r="AB118" s="246">
        <f>opex_concordance!M160</f>
        <v>0.24062650606124397</v>
      </c>
      <c r="AC118" s="246">
        <f>opex_concordance!M205</f>
        <v>0.20669734244665436</v>
      </c>
      <c r="AD118" s="246">
        <f>opex_concordance!M250</f>
        <v>0.12249190477104857</v>
      </c>
      <c r="AE118" s="188">
        <f>opex_orig!$AC118</f>
        <v>4.6401681099970803E-2</v>
      </c>
      <c r="AF118" s="238">
        <f>opex_concordance!$M$318</f>
        <v>1.0960305363634499E-2</v>
      </c>
      <c r="AG118" s="238">
        <f>opex_concordance!$M$354</f>
        <v>4.8569876311202907E-3</v>
      </c>
      <c r="AH118" s="238">
        <f>opex_concordance!$M$390</f>
        <v>3.896740330071367E-3</v>
      </c>
      <c r="AI118" s="188">
        <f>opex_orig!AE118</f>
        <v>7.1311439999999999E-3</v>
      </c>
      <c r="AJ118" s="188">
        <f>opex_orig!AF118</f>
        <v>3.1047010000000001E-3</v>
      </c>
      <c r="AK118" s="188">
        <f>opex_orig!AG118</f>
        <v>4.5085330000000003E-3</v>
      </c>
      <c r="AL118" s="188">
        <f>opex_orig!AH118</f>
        <v>5.4401789999999998E-3</v>
      </c>
      <c r="AM118" s="188">
        <f>opex_orig!AI118</f>
        <v>1.3632224E-2</v>
      </c>
      <c r="AN118" s="188">
        <f>opex_orig!AJ118</f>
        <v>6.8156670000000001E-3</v>
      </c>
      <c r="AO118" s="188">
        <f>opex_orig!AK118</f>
        <v>2.1156702999999999E-2</v>
      </c>
      <c r="AP118" s="238">
        <f>opex_concordance!M446</f>
        <v>8.7274057296664997E-3</v>
      </c>
      <c r="AQ118" s="238">
        <f>opex_concordance!M500</f>
        <v>7.0237337940773237E-3</v>
      </c>
      <c r="AR118" s="238">
        <f>opex_concordance!M554</f>
        <v>7.7079340371896407E-3</v>
      </c>
      <c r="AS118" s="188">
        <f>opex_orig!$AM118</f>
        <v>1.53067325731444E-2</v>
      </c>
      <c r="AT118" s="188">
        <f>opex_orig!AN118</f>
        <v>9.5218149999999994E-3</v>
      </c>
      <c r="AU118" s="238">
        <f>opex_concordance!M566</f>
        <v>6.0069637361832703E-3</v>
      </c>
      <c r="AV118" s="238">
        <f>opex_concordance!M612</f>
        <v>5.4402927106159639E-3</v>
      </c>
      <c r="AW118" s="238">
        <f>opex_concordance!M658</f>
        <v>4.9792465824657047E-3</v>
      </c>
      <c r="AX118" s="188">
        <f>opex_orig!$AP118</f>
        <v>9.2892937849749398E-3</v>
      </c>
      <c r="AY118" s="188">
        <f>opex_orig!AQ118</f>
        <v>1.5829472000000001E-2</v>
      </c>
      <c r="AZ118" s="188">
        <f>opex_orig!AR118</f>
        <v>0</v>
      </c>
      <c r="BA118" s="188">
        <f>opex_orig!AS118</f>
        <v>1.3096956999999999E-2</v>
      </c>
      <c r="BB118" s="188">
        <f>opex_orig!AT118</f>
        <v>9.3400559999999994E-3</v>
      </c>
      <c r="BC118" s="188">
        <f>opex_orig!AU118</f>
        <v>8.5057829999999994E-3</v>
      </c>
      <c r="BD118" s="188">
        <f>opex_orig!AV118</f>
        <v>7.9143159999999994E-3</v>
      </c>
      <c r="BE118" s="188">
        <f>opex_orig!AW118</f>
        <v>9.5380870000000006E-3</v>
      </c>
      <c r="BF118" s="188">
        <f>opex_orig!AX118</f>
        <v>0</v>
      </c>
      <c r="BG118" s="188">
        <f>opex_orig!AY118</f>
        <v>3.9557759999999997E-2</v>
      </c>
      <c r="BH118" s="188">
        <f>opex_orig!AZ118</f>
        <v>0</v>
      </c>
      <c r="BI118" s="188">
        <f>opex_orig!BA118</f>
        <v>5.1682159999999998E-3</v>
      </c>
      <c r="BJ118" s="188">
        <f>opex_orig!BB118</f>
        <v>8.0799930000000006E-3</v>
      </c>
      <c r="BK118" s="188">
        <f>opex_orig!BC118</f>
        <v>1.820201E-3</v>
      </c>
      <c r="BL118" s="188">
        <f>opex_orig!BD118</f>
        <v>2.8007240000000001E-3</v>
      </c>
      <c r="BM118" s="188">
        <f>opex_orig!BE118</f>
        <v>1.725288E-3</v>
      </c>
      <c r="BN118" s="188">
        <f>opex_orig!BF118</f>
        <v>1.807003E-3</v>
      </c>
      <c r="BO118" s="188">
        <f>opex_orig!BG118</f>
        <v>3.607393E-3</v>
      </c>
      <c r="BP118" s="246">
        <f>opex_concordance!M107</f>
        <v>1.7141242837654683E-2</v>
      </c>
      <c r="BQ118" s="246">
        <f>opex_concordance!M150</f>
        <v>1.4694990529223927E-2</v>
      </c>
      <c r="BR118" s="188">
        <f>opex_orig!BI118</f>
        <v>4.8198299999999998E-3</v>
      </c>
      <c r="BS118" s="188">
        <f>opex_orig!BJ118</f>
        <v>3.6306870000000001E-3</v>
      </c>
      <c r="BT118" s="188">
        <f>opex_orig!BK118</f>
        <v>2.4241413999999999E-2</v>
      </c>
      <c r="BU118" s="188">
        <f>opex_orig!BL118</f>
        <v>0</v>
      </c>
      <c r="BV118" s="27">
        <f>opex_orig!BM118</f>
        <v>5.6007320938512798E-3</v>
      </c>
      <c r="BW118" s="27">
        <f>opex_orig!BN118</f>
        <v>1.60737486685603E-2</v>
      </c>
      <c r="BX118" s="27">
        <f>opex_orig!BO118</f>
        <v>3.51313178275885E-3</v>
      </c>
      <c r="BY118" s="27">
        <f>opex_orig!BP118</f>
        <v>1.07860983141567E-2</v>
      </c>
      <c r="BZ118" s="27">
        <f>opex_orig!BQ118</f>
        <v>3.2894485936884599E-2</v>
      </c>
      <c r="CA118" s="27">
        <f>opex_orig!BR118</f>
        <v>8.6312403709191306E-3</v>
      </c>
      <c r="CB118" s="27">
        <f>opex_orig!BS118</f>
        <v>9.3652897424366499E-2</v>
      </c>
      <c r="CC118" s="27">
        <f>opex_orig!BT118</f>
        <v>4.4330213693547001E-3</v>
      </c>
      <c r="CD118" s="27">
        <f>opex_orig!BU118</f>
        <v>2.8249797531524098E-3</v>
      </c>
      <c r="CE118" s="27">
        <f>opex_orig!BV118</f>
        <v>2.8249797531524198E-3</v>
      </c>
      <c r="CF118" s="27">
        <f>opex_orig!BW118</f>
        <v>1.73836651831532E-2</v>
      </c>
      <c r="CG118" s="27">
        <f>opex_orig!BX118</f>
        <v>2.50150258372995E-2</v>
      </c>
      <c r="CH118" s="27">
        <f>opex_orig!BY118</f>
        <v>5.1819394862894297E-3</v>
      </c>
      <c r="CI118" s="27">
        <f>opex_orig!BZ118</f>
        <v>9.9211309999999997E-3</v>
      </c>
      <c r="CJ118" s="27">
        <f>opex_orig!CA118</f>
        <v>5.3185860000000001E-3</v>
      </c>
      <c r="CK118" s="27">
        <f>opex_orig!CB118</f>
        <v>5.2870110000000003E-3</v>
      </c>
      <c r="CL118" s="27">
        <f>opex_orig!CC118</f>
        <v>2.0970870000000001E-3</v>
      </c>
      <c r="CM118" s="27">
        <f>opex_orig!CD118</f>
        <v>1.7808022999999999E-2</v>
      </c>
      <c r="CN118" s="27">
        <f>opex_orig!CE118</f>
        <v>8.8325829999999998E-3</v>
      </c>
      <c r="CO118" s="27">
        <f>opex_orig!CF118</f>
        <v>4.9817120000000001E-3</v>
      </c>
      <c r="CP118" s="27">
        <f>opex_orig!CG118</f>
        <v>9.5472939999999996E-3</v>
      </c>
    </row>
    <row r="119" spans="1:94" x14ac:dyDescent="0.25">
      <c r="A119" s="5" t="s">
        <v>229</v>
      </c>
      <c r="B119" s="2" t="s">
        <v>228</v>
      </c>
      <c r="C119" s="1" t="s">
        <v>332</v>
      </c>
      <c r="D119" s="188">
        <f>opex_orig!D119</f>
        <v>1.0825850000000001E-3</v>
      </c>
      <c r="E119" s="188">
        <f>opex_orig!E119</f>
        <v>9.59303E-4</v>
      </c>
      <c r="F119" s="188">
        <f>opex_orig!F119</f>
        <v>1.9393069999999999E-3</v>
      </c>
      <c r="G119" s="188">
        <f>opex_orig!G119</f>
        <v>7.4770200000000005E-4</v>
      </c>
      <c r="H119" s="188">
        <f>opex_orig!H119</f>
        <v>1.0164289999999999E-3</v>
      </c>
      <c r="I119" s="188">
        <f>opex_orig!I119</f>
        <v>5.9778399999999997E-4</v>
      </c>
      <c r="J119" s="188">
        <f>opex_orig!J119</f>
        <v>6.2125289999999996E-3</v>
      </c>
      <c r="K119" s="188">
        <f>opex_orig!K119</f>
        <v>2.3934709999999999E-3</v>
      </c>
      <c r="L119" s="188">
        <f>opex_orig!L119</f>
        <v>5.7797700000000003E-4</v>
      </c>
      <c r="M119" s="188">
        <f>opex_orig!M119</f>
        <v>7.5378800000000003E-4</v>
      </c>
      <c r="N119" s="188">
        <f>opex_orig!N119</f>
        <v>3.5894529999999998E-3</v>
      </c>
      <c r="O119" s="188">
        <f>opex_orig!O119</f>
        <v>1.5035129999999999E-3</v>
      </c>
      <c r="P119" s="188">
        <f>opex_orig!P119</f>
        <v>9.5973300000000005E-4</v>
      </c>
      <c r="Q119" s="188">
        <f>opex_orig!Q119</f>
        <v>3.1038160000000001E-3</v>
      </c>
      <c r="R119" s="188">
        <f>opex_orig!R119</f>
        <v>4.0824399999999997E-3</v>
      </c>
      <c r="S119" s="188">
        <f>opex_orig!S119</f>
        <v>1.4378380000000001E-3</v>
      </c>
      <c r="T119" s="188">
        <f>opex_orig!T119</f>
        <v>3.5712109999999999E-3</v>
      </c>
      <c r="U119" s="188">
        <f>opex_orig!U119</f>
        <v>1.134255E-3</v>
      </c>
      <c r="V119" s="188">
        <f>opex_orig!V119</f>
        <v>1.6084230000000001E-3</v>
      </c>
      <c r="W119" s="188">
        <f>opex_orig!W119</f>
        <v>6.6303399999999995E-4</v>
      </c>
      <c r="X119" s="188">
        <f>opex_orig!X119</f>
        <v>4.5750899999999999E-4</v>
      </c>
      <c r="Y119" s="188">
        <f>opex_orig!Y119</f>
        <v>1.772715E-3</v>
      </c>
      <c r="Z119" s="188">
        <f>opex_orig!Z119</f>
        <v>3.4129849999999999E-3</v>
      </c>
      <c r="AA119" s="188">
        <f>opex_orig!AA119</f>
        <v>7.771165E-3</v>
      </c>
      <c r="AB119" s="274">
        <f>opex_concordance!M192</f>
        <v>4.1115712416530302E-2</v>
      </c>
      <c r="AC119" s="274">
        <f>opex_concordance!M237</f>
        <v>3.2657380679857392E-2</v>
      </c>
      <c r="AD119" s="274">
        <f>opex_concordance!M282</f>
        <v>0</v>
      </c>
      <c r="AE119" s="188">
        <f>opex_orig!$AC119</f>
        <v>7.9536751311474908E-3</v>
      </c>
      <c r="AF119" s="188">
        <f>opex_orig!$AD119</f>
        <v>1.8983040392490001E-3</v>
      </c>
      <c r="AG119" s="188">
        <f>opex_orig!$AD119</f>
        <v>1.8983040392490001E-3</v>
      </c>
      <c r="AH119" s="188">
        <f>opex_orig!$AD119</f>
        <v>1.8983040392490001E-3</v>
      </c>
      <c r="AI119" s="188">
        <f>opex_orig!AE119</f>
        <v>1.2270180000000001E-3</v>
      </c>
      <c r="AJ119" s="188">
        <f>opex_orig!AF119</f>
        <v>5.6115400000000001E-4</v>
      </c>
      <c r="AK119" s="188">
        <f>opex_orig!AG119</f>
        <v>5.3992899999999997E-4</v>
      </c>
      <c r="AL119" s="188">
        <f>opex_orig!AH119</f>
        <v>6.30666E-4</v>
      </c>
      <c r="AM119" s="188">
        <f>opex_orig!AI119</f>
        <v>1.8154250000000001E-3</v>
      </c>
      <c r="AN119" s="188">
        <f>opex_orig!AJ119</f>
        <v>9.778670000000001E-4</v>
      </c>
      <c r="AO119" s="188">
        <f>opex_orig!AK119</f>
        <v>2.8009129999999999E-3</v>
      </c>
      <c r="AP119" s="188">
        <f>opex_orig!$AL119</f>
        <v>1.08380136630958E-3</v>
      </c>
      <c r="AQ119" s="188">
        <f>opex_orig!$AL119</f>
        <v>1.08380136630958E-3</v>
      </c>
      <c r="AR119" s="188">
        <f>opex_orig!$AL119</f>
        <v>1.08380136630958E-3</v>
      </c>
      <c r="AS119" s="188">
        <f>opex_orig!$AM119</f>
        <v>2.2250270587862902E-3</v>
      </c>
      <c r="AT119" s="188">
        <f>opex_orig!AN119</f>
        <v>1.175358E-3</v>
      </c>
      <c r="AU119" s="188">
        <f>opex_orig!$AO119</f>
        <v>9.4937693008211401E-4</v>
      </c>
      <c r="AV119" s="188">
        <f>opex_orig!$AO119</f>
        <v>9.4937693008211401E-4</v>
      </c>
      <c r="AW119" s="188">
        <f>opex_orig!$AO119</f>
        <v>9.4937693008211401E-4</v>
      </c>
      <c r="AX119" s="188">
        <f>opex_orig!$AP119</f>
        <v>1.5382397665302499E-3</v>
      </c>
      <c r="AY119" s="188">
        <f>opex_orig!AQ119</f>
        <v>2.4490409999999999E-3</v>
      </c>
      <c r="AZ119" s="188">
        <f>opex_orig!AR119</f>
        <v>0</v>
      </c>
      <c r="BA119" s="188">
        <f>opex_orig!AS119</f>
        <v>2.2939530000000001E-3</v>
      </c>
      <c r="BB119" s="188">
        <f>opex_orig!AT119</f>
        <v>1.832293E-3</v>
      </c>
      <c r="BC119" s="188">
        <f>opex_orig!AU119</f>
        <v>1.3149909999999999E-3</v>
      </c>
      <c r="BD119" s="188">
        <f>opex_orig!AV119</f>
        <v>1.250794E-3</v>
      </c>
      <c r="BE119" s="188">
        <f>opex_orig!AW119</f>
        <v>1.755085E-3</v>
      </c>
      <c r="BF119" s="188">
        <f>opex_orig!AX119</f>
        <v>0</v>
      </c>
      <c r="BG119" s="188">
        <f>opex_orig!AY119</f>
        <v>7.4764890000000002E-3</v>
      </c>
      <c r="BH119" s="188">
        <f>opex_orig!AZ119</f>
        <v>0</v>
      </c>
      <c r="BI119" s="188">
        <f>opex_orig!BA119</f>
        <v>9.2348099999999998E-4</v>
      </c>
      <c r="BJ119" s="188">
        <f>opex_orig!BB119</f>
        <v>7.8964499999999995E-4</v>
      </c>
      <c r="BK119" s="188">
        <f>opex_orig!BC119</f>
        <v>3.3084599999999998E-4</v>
      </c>
      <c r="BL119" s="188">
        <f>opex_orig!BD119</f>
        <v>5.1916600000000005E-4</v>
      </c>
      <c r="BM119" s="188">
        <f>opex_orig!BE119</f>
        <v>3.4774699999999998E-4</v>
      </c>
      <c r="BN119" s="188">
        <f>opex_orig!BF119</f>
        <v>3.6966599999999999E-4</v>
      </c>
      <c r="BO119" s="188">
        <f>opex_orig!BG119</f>
        <v>6.7194100000000001E-4</v>
      </c>
      <c r="BP119" s="188">
        <f>opex_orig!$BH119</f>
        <v>2.1795551431961599E-3</v>
      </c>
      <c r="BQ119" s="188">
        <f>opex_orig!$BH119</f>
        <v>2.1795551431961599E-3</v>
      </c>
      <c r="BR119" s="188">
        <f>opex_orig!BI119</f>
        <v>1.171783E-3</v>
      </c>
      <c r="BS119" s="188">
        <f>opex_orig!BJ119</f>
        <v>8.5212799999999996E-4</v>
      </c>
      <c r="BT119" s="188">
        <f>opex_orig!BK119</f>
        <v>1.0152072999999999E-2</v>
      </c>
      <c r="BU119" s="188">
        <f>opex_orig!BL119</f>
        <v>0</v>
      </c>
      <c r="BV119" s="27">
        <f>opex_orig!BM119</f>
        <v>6.9891710473587402E-4</v>
      </c>
      <c r="BW119" s="27">
        <f>opex_orig!BN119</f>
        <v>2.7599531680010301E-3</v>
      </c>
      <c r="BX119" s="27">
        <f>opex_orig!BO119</f>
        <v>3.2728100450470202E-4</v>
      </c>
      <c r="BY119" s="27">
        <f>opex_orig!BP119</f>
        <v>1.58671887809436E-3</v>
      </c>
      <c r="BZ119" s="27">
        <f>opex_orig!BQ119</f>
        <v>5.3322783199215096E-3</v>
      </c>
      <c r="CA119" s="27">
        <f>opex_orig!BR119</f>
        <v>2.7293928207193703E-4</v>
      </c>
      <c r="CB119" s="27">
        <f>opex_orig!BS119</f>
        <v>1.6313251670235999E-2</v>
      </c>
      <c r="CC119" s="27">
        <f>opex_orig!BT119</f>
        <v>5.2051993722639696E-4</v>
      </c>
      <c r="CD119" s="27">
        <f>opex_orig!BU119</f>
        <v>4.9088240193533896E-4</v>
      </c>
      <c r="CE119" s="27">
        <f>opex_orig!BV119</f>
        <v>4.9088240193533896E-4</v>
      </c>
      <c r="CF119" s="27">
        <f>opex_orig!BW119</f>
        <v>1.4379490678363301E-3</v>
      </c>
      <c r="CG119" s="27">
        <f>opex_orig!BX119</f>
        <v>1.4802481556884699E-3</v>
      </c>
      <c r="CH119" s="27">
        <f>opex_orig!BY119</f>
        <v>3.7790012060312499E-3</v>
      </c>
      <c r="CI119" s="27">
        <f>opex_orig!BZ119</f>
        <v>1.3541810000000001E-3</v>
      </c>
      <c r="CJ119" s="27">
        <f>opex_orig!CA119</f>
        <v>5.8480000000000001E-4</v>
      </c>
      <c r="CK119" s="27">
        <f>opex_orig!CB119</f>
        <v>4.2081099999999999E-4</v>
      </c>
      <c r="CL119" s="27">
        <f>opex_orig!CC119</f>
        <v>3.4181800000000003E-4</v>
      </c>
      <c r="CM119" s="27">
        <f>opex_orig!CD119</f>
        <v>1.3695510000000001E-3</v>
      </c>
      <c r="CN119" s="27">
        <f>opex_orig!CE119</f>
        <v>2.2522750000000002E-3</v>
      </c>
      <c r="CO119" s="27">
        <f>opex_orig!CF119</f>
        <v>1.7079440000000001E-3</v>
      </c>
      <c r="CP119" s="27">
        <f>opex_orig!CG119</f>
        <v>1.3338670000000001E-3</v>
      </c>
    </row>
    <row r="120" spans="1:94" x14ac:dyDescent="0.25">
      <c r="A120" s="5" t="s">
        <v>231</v>
      </c>
      <c r="B120" s="2" t="s">
        <v>230</v>
      </c>
      <c r="C120" s="1" t="s">
        <v>332</v>
      </c>
      <c r="D120" s="188">
        <f>opex_orig!D120</f>
        <v>5.2897758000000003E-2</v>
      </c>
      <c r="E120" s="188">
        <f>opex_orig!E120</f>
        <v>4.6278545999999997E-2</v>
      </c>
      <c r="F120" s="188">
        <f>opex_orig!F120</f>
        <v>6.3282281999999995E-2</v>
      </c>
      <c r="G120" s="188">
        <f>opex_orig!G120</f>
        <v>1.8859728999999999E-2</v>
      </c>
      <c r="H120" s="188">
        <f>opex_orig!H120</f>
        <v>2.8394804999999999E-2</v>
      </c>
      <c r="I120" s="188">
        <f>opex_orig!I120</f>
        <v>6.1372449000000003E-2</v>
      </c>
      <c r="J120" s="188">
        <f>opex_orig!J120</f>
        <v>0.15818348600000001</v>
      </c>
      <c r="K120" s="188">
        <f>opex_orig!K120</f>
        <v>5.4125582999999998E-2</v>
      </c>
      <c r="L120" s="188">
        <f>opex_orig!L120</f>
        <v>8.3851055999999993E-2</v>
      </c>
      <c r="M120" s="188">
        <f>opex_orig!M120</f>
        <v>0.19932937100000001</v>
      </c>
      <c r="N120" s="188">
        <f>opex_orig!N120</f>
        <v>0.19275814099999999</v>
      </c>
      <c r="O120" s="188">
        <f>opex_orig!O120</f>
        <v>0.11826442099999999</v>
      </c>
      <c r="P120" s="188">
        <f>opex_orig!P120</f>
        <v>5.6693235000000002E-2</v>
      </c>
      <c r="Q120" s="188">
        <f>opex_orig!Q120</f>
        <v>9.8802100000000004E-2</v>
      </c>
      <c r="R120" s="188">
        <f>opex_orig!R120</f>
        <v>0.12718723700000001</v>
      </c>
      <c r="S120" s="188">
        <f>opex_orig!S120</f>
        <v>3.6350274000000002E-2</v>
      </c>
      <c r="T120" s="188">
        <f>opex_orig!T120</f>
        <v>8.8520909999999994E-2</v>
      </c>
      <c r="U120" s="188">
        <f>opex_orig!U120</f>
        <v>4.4718923000000001E-2</v>
      </c>
      <c r="V120" s="188">
        <f>opex_orig!V120</f>
        <v>5.4536973000000002E-2</v>
      </c>
      <c r="W120" s="188">
        <f>opex_orig!W120</f>
        <v>4.4759300000000002E-2</v>
      </c>
      <c r="X120" s="188">
        <f>opex_orig!X120</f>
        <v>5.5580422999999997E-2</v>
      </c>
      <c r="Y120" s="188">
        <f>opex_orig!Y120</f>
        <v>4.8460617999999997E-2</v>
      </c>
      <c r="Z120" s="188">
        <f>opex_orig!Z120</f>
        <v>3.7175910999999999E-2</v>
      </c>
      <c r="AA120" s="188">
        <f>opex_orig!AA120</f>
        <v>0.14436406399999999</v>
      </c>
      <c r="AB120" s="247">
        <f>opex_concordance!M161</f>
        <v>0.357646054898278</v>
      </c>
      <c r="AC120" s="247">
        <f>opex_concordance!M206</f>
        <v>0.30721673307756514</v>
      </c>
      <c r="AD120" s="247">
        <f>opex_concordance!M251</f>
        <v>0.16082230744495032</v>
      </c>
      <c r="AE120" s="188">
        <f>opex_orig!$AC120</f>
        <v>0.169727892590811</v>
      </c>
      <c r="AF120" s="231">
        <f>opex_concordance!$M$319</f>
        <v>5.2021404617691697E-2</v>
      </c>
      <c r="AG120" s="231">
        <f>opex_concordance!$M$355</f>
        <v>2.3052945187089811E-2</v>
      </c>
      <c r="AH120" s="231">
        <f>opex_concordance!$M$391</f>
        <v>1.849527897948082E-2</v>
      </c>
      <c r="AI120" s="188">
        <f>opex_orig!AE120</f>
        <v>3.9522473000000002E-2</v>
      </c>
      <c r="AJ120" s="188">
        <f>opex_orig!AF120</f>
        <v>7.5482272000000003E-2</v>
      </c>
      <c r="AK120" s="188">
        <f>opex_orig!AG120</f>
        <v>5.5607954000000001E-2</v>
      </c>
      <c r="AL120" s="188">
        <f>opex_orig!AH120</f>
        <v>2.940361E-2</v>
      </c>
      <c r="AM120" s="188">
        <f>opex_orig!AI120</f>
        <v>5.9315211E-2</v>
      </c>
      <c r="AN120" s="188">
        <f>opex_orig!AJ120</f>
        <v>3.3940799000000001E-2</v>
      </c>
      <c r="AO120" s="188">
        <f>opex_orig!AK120</f>
        <v>7.7683123000000007E-2</v>
      </c>
      <c r="AP120" s="231">
        <f>opex_concordance!M447</f>
        <v>3.8934471268083401E-2</v>
      </c>
      <c r="AQ120" s="231">
        <f>opex_concordance!M501</f>
        <v>3.1334095156203987E-2</v>
      </c>
      <c r="AR120" s="231">
        <f>opex_concordance!M555</f>
        <v>3.4386431157556609E-2</v>
      </c>
      <c r="AS120" s="188">
        <f>opex_orig!$AM120</f>
        <v>6.21944831505633E-2</v>
      </c>
      <c r="AT120" s="188">
        <f>opex_orig!AN120</f>
        <v>4.3413438999999998E-2</v>
      </c>
      <c r="AU120" s="231">
        <f>opex_concordance!M567</f>
        <v>3.5708672953641503E-2</v>
      </c>
      <c r="AV120" s="231">
        <f>opex_concordance!M613</f>
        <v>3.2340070908917891E-2</v>
      </c>
      <c r="AW120" s="231">
        <f>opex_concordance!M659</f>
        <v>2.9599360938006549E-2</v>
      </c>
      <c r="AX120" s="188">
        <f>opex_orig!$AP120</f>
        <v>5.0841793572019699E-2</v>
      </c>
      <c r="AY120" s="188">
        <f>opex_orig!AQ120</f>
        <v>6.2399393999999997E-2</v>
      </c>
      <c r="AZ120" s="188">
        <f>opex_orig!AR120</f>
        <v>0</v>
      </c>
      <c r="BA120" s="188">
        <f>opex_orig!AS120</f>
        <v>4.8955772000000002E-2</v>
      </c>
      <c r="BB120" s="188">
        <f>opex_orig!AT120</f>
        <v>3.6499759E-2</v>
      </c>
      <c r="BC120" s="188">
        <f>opex_orig!AU120</f>
        <v>3.6206851999999998E-2</v>
      </c>
      <c r="BD120" s="188">
        <f>opex_orig!AV120</f>
        <v>3.6250612000000002E-2</v>
      </c>
      <c r="BE120" s="188">
        <f>opex_orig!AW120</f>
        <v>4.7021668000000003E-2</v>
      </c>
      <c r="BF120" s="188">
        <f>opex_orig!AX120</f>
        <v>0</v>
      </c>
      <c r="BG120" s="188">
        <f>opex_orig!AY120</f>
        <v>0.173477718</v>
      </c>
      <c r="BH120" s="188">
        <f>opex_orig!AZ120</f>
        <v>0</v>
      </c>
      <c r="BI120" s="188">
        <f>opex_orig!BA120</f>
        <v>3.3094944000000001E-2</v>
      </c>
      <c r="BJ120" s="188">
        <f>opex_orig!BB120</f>
        <v>2.3265233999999999E-2</v>
      </c>
      <c r="BK120" s="188">
        <f>opex_orig!BC120</f>
        <v>3.2609791999999999E-2</v>
      </c>
      <c r="BL120" s="188">
        <f>opex_orig!BD120</f>
        <v>3.1222646E-2</v>
      </c>
      <c r="BM120" s="188">
        <f>opex_orig!BE120</f>
        <v>1.6184898999999999E-2</v>
      </c>
      <c r="BN120" s="188">
        <f>opex_orig!BF120</f>
        <v>3.8281326999999997E-2</v>
      </c>
      <c r="BO120" s="188">
        <f>opex_orig!BG120</f>
        <v>6.0106680000000003E-2</v>
      </c>
      <c r="BP120" s="247">
        <f>opex_concordance!M108</f>
        <v>3.6935275961190693E-2</v>
      </c>
      <c r="BQ120" s="247">
        <f>opex_concordance!M151</f>
        <v>3.1664187689568489E-2</v>
      </c>
      <c r="BR120" s="188">
        <f>opex_orig!BI120</f>
        <v>2.2503537000000001E-2</v>
      </c>
      <c r="BS120" s="188">
        <f>opex_orig!BJ120</f>
        <v>2.6395842999999999E-2</v>
      </c>
      <c r="BT120" s="188">
        <f>opex_orig!BK120</f>
        <v>5.8830331E-2</v>
      </c>
      <c r="BU120" s="188">
        <f>opex_orig!BL120</f>
        <v>0</v>
      </c>
      <c r="BV120" s="27">
        <f>opex_orig!BM120</f>
        <v>2.3965573699748301E-2</v>
      </c>
      <c r="BW120" s="27">
        <f>opex_orig!BN120</f>
        <v>8.1483341738130904E-2</v>
      </c>
      <c r="BX120" s="27">
        <f>opex_orig!BO120</f>
        <v>7.4399545275371801E-3</v>
      </c>
      <c r="BY120" s="27">
        <f>opex_orig!BP120</f>
        <v>2.6161791863222698E-2</v>
      </c>
      <c r="BZ120" s="27">
        <f>opex_orig!BQ120</f>
        <v>4.3736272762718298E-2</v>
      </c>
      <c r="CA120" s="27">
        <f>opex_orig!BR120</f>
        <v>1.9635223058099002E-2</v>
      </c>
      <c r="CB120" s="27">
        <f>opex_orig!BS120</f>
        <v>0.225370319324109</v>
      </c>
      <c r="CC120" s="27">
        <f>opex_orig!BT120</f>
        <v>2.16536653370639E-2</v>
      </c>
      <c r="CD120" s="27">
        <f>opex_orig!BU120</f>
        <v>1.7168994231766301E-2</v>
      </c>
      <c r="CE120" s="27">
        <f>opex_orig!BV120</f>
        <v>1.7168994231766401E-2</v>
      </c>
      <c r="CF120" s="27">
        <f>opex_orig!BW120</f>
        <v>4.5566789678724101E-2</v>
      </c>
      <c r="CG120" s="27">
        <f>opex_orig!BX120</f>
        <v>0.12161765813971399</v>
      </c>
      <c r="CH120" s="27">
        <f>opex_orig!BY120</f>
        <v>3.8426005168540701E-2</v>
      </c>
      <c r="CI120" s="27">
        <f>opex_orig!BZ120</f>
        <v>2.9709770999999999E-2</v>
      </c>
      <c r="CJ120" s="27">
        <f>opex_orig!CA120</f>
        <v>1.6082332000000001E-2</v>
      </c>
      <c r="CK120" s="27">
        <f>opex_orig!CB120</f>
        <v>1.2380079E-2</v>
      </c>
      <c r="CL120" s="27">
        <f>opex_orig!CC120</f>
        <v>1.4443538000000001E-2</v>
      </c>
      <c r="CM120" s="27">
        <f>opex_orig!CD120</f>
        <v>3.3173631000000002E-2</v>
      </c>
      <c r="CN120" s="27">
        <f>opex_orig!CE120</f>
        <v>3.4865536000000003E-2</v>
      </c>
      <c r="CO120" s="27">
        <f>opex_orig!CF120</f>
        <v>1.7027521E-2</v>
      </c>
      <c r="CP120" s="27">
        <f>opex_orig!CG120</f>
        <v>1.6444690000000001E-2</v>
      </c>
    </row>
    <row r="121" spans="1:94" x14ac:dyDescent="0.25">
      <c r="A121" s="5" t="s">
        <v>233</v>
      </c>
      <c r="B121" s="2" t="s">
        <v>232</v>
      </c>
      <c r="C121" s="1" t="s">
        <v>332</v>
      </c>
      <c r="D121" s="188">
        <f>opex_orig!D121</f>
        <v>2.7047005999999998E-2</v>
      </c>
      <c r="E121" s="188">
        <f>opex_orig!E121</f>
        <v>1.3680804E-2</v>
      </c>
      <c r="F121" s="188">
        <f>opex_orig!F121</f>
        <v>1.8247267000000001E-2</v>
      </c>
      <c r="G121" s="188">
        <f>opex_orig!G121</f>
        <v>5.3808329999999998E-3</v>
      </c>
      <c r="H121" s="188">
        <f>opex_orig!H121</f>
        <v>5.6697509999999998E-3</v>
      </c>
      <c r="I121" s="188">
        <f>opex_orig!I121</f>
        <v>1.4300277E-2</v>
      </c>
      <c r="J121" s="188">
        <f>opex_orig!J121</f>
        <v>4.8329324E-2</v>
      </c>
      <c r="K121" s="188">
        <f>opex_orig!K121</f>
        <v>1.2623667E-2</v>
      </c>
      <c r="L121" s="188">
        <f>opex_orig!L121</f>
        <v>2.1350544999999999E-2</v>
      </c>
      <c r="M121" s="188">
        <f>opex_orig!M121</f>
        <v>4.3004753E-2</v>
      </c>
      <c r="N121" s="188">
        <f>opex_orig!N121</f>
        <v>6.1013228000000003E-2</v>
      </c>
      <c r="O121" s="188">
        <f>opex_orig!O121</f>
        <v>2.9716441E-2</v>
      </c>
      <c r="P121" s="188">
        <f>opex_orig!P121</f>
        <v>1.4192654000000001E-2</v>
      </c>
      <c r="Q121" s="188">
        <f>opex_orig!Q121</f>
        <v>2.5603428000000001E-2</v>
      </c>
      <c r="R121" s="188">
        <f>opex_orig!R121</f>
        <v>3.2690811E-2</v>
      </c>
      <c r="S121" s="188">
        <f>opex_orig!S121</f>
        <v>7.5607069999999998E-3</v>
      </c>
      <c r="T121" s="188">
        <f>opex_orig!T121</f>
        <v>3.0930454E-2</v>
      </c>
      <c r="U121" s="188">
        <f>opex_orig!U121</f>
        <v>1.4920900000000001E-2</v>
      </c>
      <c r="V121" s="188">
        <f>opex_orig!V121</f>
        <v>2.3022616999999999E-2</v>
      </c>
      <c r="W121" s="188">
        <f>opex_orig!W121</f>
        <v>9.2359550000000006E-3</v>
      </c>
      <c r="X121" s="188">
        <f>opex_orig!X121</f>
        <v>2.2061883000000001E-2</v>
      </c>
      <c r="Y121" s="188">
        <f>opex_orig!Y121</f>
        <v>1.6837237000000001E-2</v>
      </c>
      <c r="Z121" s="188">
        <f>opex_orig!Z121</f>
        <v>9.4606180000000005E-3</v>
      </c>
      <c r="AA121" s="188">
        <f>opex_orig!AA121</f>
        <v>3.7355025E-2</v>
      </c>
      <c r="AB121" s="226">
        <f>opex_concordance!M162</f>
        <v>5.3624669526973701E-2</v>
      </c>
      <c r="AC121" s="226">
        <f>opex_concordance!M207</f>
        <v>4.6063406988025024E-2</v>
      </c>
      <c r="AD121" s="226">
        <f>opex_concordance!M252</f>
        <v>6.1238415363907159E-2</v>
      </c>
      <c r="AE121" s="188">
        <f>opex_orig!$AC121</f>
        <v>4.1410988565069799E-2</v>
      </c>
      <c r="AF121" s="226">
        <f>opex_concordance!$M$320</f>
        <v>2.7457674285480502E-2</v>
      </c>
      <c r="AG121" s="226">
        <f>opex_concordance!$M$356</f>
        <v>1.2167688760423826E-2</v>
      </c>
      <c r="AH121" s="226">
        <f>opex_concordance!$M$392</f>
        <v>9.7620844683030863E-3</v>
      </c>
      <c r="AI121" s="188">
        <f>opex_orig!AE121</f>
        <v>1.8418985999999998E-2</v>
      </c>
      <c r="AJ121" s="188">
        <f>opex_orig!AF121</f>
        <v>2.4101309000000001E-2</v>
      </c>
      <c r="AK121" s="188">
        <f>opex_orig!AG121</f>
        <v>1.1468366000000001E-2</v>
      </c>
      <c r="AL121" s="188">
        <f>opex_orig!AH121</f>
        <v>7.4705350000000004E-3</v>
      </c>
      <c r="AM121" s="188">
        <f>opex_orig!AI121</f>
        <v>2.4030131999999999E-2</v>
      </c>
      <c r="AN121" s="188">
        <f>opex_orig!AJ121</f>
        <v>1.0192769000000001E-2</v>
      </c>
      <c r="AO121" s="188">
        <f>opex_orig!AK121</f>
        <v>3.5758106999999997E-2</v>
      </c>
      <c r="AP121" s="226">
        <f>opex_concordance!M448</f>
        <v>1.16259332753585E-2</v>
      </c>
      <c r="AQ121" s="226">
        <f>opex_concordance!M502</f>
        <v>9.3564414172072567E-3</v>
      </c>
      <c r="AR121" s="226">
        <f>opex_concordance!M556</f>
        <v>1.0267876799014796E-2</v>
      </c>
      <c r="AS121" s="188">
        <f>opex_orig!$AM121</f>
        <v>2.6735464761741701E-2</v>
      </c>
      <c r="AT121" s="188">
        <f>opex_orig!AN121</f>
        <v>1.2361874E-2</v>
      </c>
      <c r="AU121" s="226">
        <f>opex_concordance!M568</f>
        <v>7.8379204446527798E-3</v>
      </c>
      <c r="AV121" s="226">
        <f>opex_concordance!M614</f>
        <v>7.0985248678270699E-3</v>
      </c>
      <c r="AW121" s="226">
        <f>opex_concordance!M660</f>
        <v>6.4969492578412875E-3</v>
      </c>
      <c r="AX121" s="188">
        <f>opex_orig!$AP121</f>
        <v>1.34679420555038E-2</v>
      </c>
      <c r="AY121" s="188">
        <f>opex_orig!AQ121</f>
        <v>1.6855917000000002E-2</v>
      </c>
      <c r="AZ121" s="188">
        <f>opex_orig!AR121</f>
        <v>0</v>
      </c>
      <c r="BA121" s="188">
        <f>opex_orig!AS121</f>
        <v>1.3217791E-2</v>
      </c>
      <c r="BB121" s="188">
        <f>opex_orig!AT121</f>
        <v>8.7980990000000002E-3</v>
      </c>
      <c r="BC121" s="188">
        <f>opex_orig!AU121</f>
        <v>1.5454346000000001E-2</v>
      </c>
      <c r="BD121" s="188">
        <f>opex_orig!AV121</f>
        <v>1.6485316E-2</v>
      </c>
      <c r="BE121" s="188">
        <f>opex_orig!AW121</f>
        <v>1.3031205000000001E-2</v>
      </c>
      <c r="BF121" s="188">
        <f>opex_orig!AX121</f>
        <v>0</v>
      </c>
      <c r="BG121" s="188">
        <f>opex_orig!AY121</f>
        <v>3.5406733000000003E-2</v>
      </c>
      <c r="BH121" s="188">
        <f>opex_orig!AZ121</f>
        <v>0</v>
      </c>
      <c r="BI121" s="188">
        <f>opex_orig!BA121</f>
        <v>6.8954999999999997E-3</v>
      </c>
      <c r="BJ121" s="188">
        <f>opex_orig!BB121</f>
        <v>5.0690370000000002E-3</v>
      </c>
      <c r="BK121" s="188">
        <f>opex_orig!BC121</f>
        <v>7.3100459999999997E-3</v>
      </c>
      <c r="BL121" s="188">
        <f>opex_orig!BD121</f>
        <v>8.9717000000000009E-3</v>
      </c>
      <c r="BM121" s="188">
        <f>opex_orig!BE121</f>
        <v>4.0568649999999998E-3</v>
      </c>
      <c r="BN121" s="188">
        <f>opex_orig!BF121</f>
        <v>9.2111180000000008E-3</v>
      </c>
      <c r="BO121" s="188">
        <f>opex_orig!BG121</f>
        <v>1.3582240000000001E-2</v>
      </c>
      <c r="BP121" s="327">
        <f>opex_concordance!M109</f>
        <v>7.3399211585520102E-3</v>
      </c>
      <c r="BQ121" s="327">
        <f>opex_concordance!M152</f>
        <v>6.2924300724118238E-3</v>
      </c>
      <c r="BR121" s="188">
        <f>opex_orig!BI121</f>
        <v>7.5583179999999996E-3</v>
      </c>
      <c r="BS121" s="188">
        <f>opex_orig!BJ121</f>
        <v>1.0024137000000001E-2</v>
      </c>
      <c r="BT121" s="188">
        <f>opex_orig!BK121</f>
        <v>1.3196041E-2</v>
      </c>
      <c r="BU121" s="188">
        <f>opex_orig!BL121</f>
        <v>0</v>
      </c>
      <c r="BV121" s="27">
        <f>opex_orig!BM121</f>
        <v>7.3206236622921804E-3</v>
      </c>
      <c r="BW121" s="27">
        <f>opex_orig!BN121</f>
        <v>1.5881573944063299E-2</v>
      </c>
      <c r="BX121" s="27">
        <f>opex_orig!BO121</f>
        <v>3.4981227957675801E-3</v>
      </c>
      <c r="BY121" s="27">
        <f>opex_orig!BP121</f>
        <v>6.8176716485519404E-3</v>
      </c>
      <c r="BZ121" s="27">
        <f>opex_orig!BQ121</f>
        <v>1.17878746149614E-2</v>
      </c>
      <c r="CA121" s="27">
        <f>opex_orig!BR121</f>
        <v>1.36597751768648E-2</v>
      </c>
      <c r="CB121" s="27">
        <f>opex_orig!BS121</f>
        <v>4.4527794788358402E-2</v>
      </c>
      <c r="CC121" s="27">
        <f>opex_orig!BT121</f>
        <v>1.01487524800248E-2</v>
      </c>
      <c r="CD121" s="27">
        <f>opex_orig!BU121</f>
        <v>4.7867435537118997E-3</v>
      </c>
      <c r="CE121" s="27">
        <f>opex_orig!BV121</f>
        <v>4.7867435537119196E-3</v>
      </c>
      <c r="CF121" s="27">
        <f>opex_orig!BW121</f>
        <v>9.5861292219202292E-3</v>
      </c>
      <c r="CG121" s="27">
        <f>opex_orig!BX121</f>
        <v>4.9828546844768201E-2</v>
      </c>
      <c r="CH121" s="27">
        <f>opex_orig!BY121</f>
        <v>0.67565041258360403</v>
      </c>
      <c r="CI121" s="27">
        <f>opex_orig!BZ121</f>
        <v>8.0456929999999996E-3</v>
      </c>
      <c r="CJ121" s="27">
        <f>opex_orig!CA121</f>
        <v>6.1848479999999997E-3</v>
      </c>
      <c r="CK121" s="27">
        <f>opex_orig!CB121</f>
        <v>3.9624559999999996E-3</v>
      </c>
      <c r="CL121" s="27">
        <f>opex_orig!CC121</f>
        <v>2.359168E-3</v>
      </c>
      <c r="CM121" s="27">
        <f>opex_orig!CD121</f>
        <v>1.1872858999999999E-2</v>
      </c>
      <c r="CN121" s="27">
        <f>opex_orig!CE121</f>
        <v>1.3750396999999999E-2</v>
      </c>
      <c r="CO121" s="27">
        <f>opex_orig!CF121</f>
        <v>1.0891738E-2</v>
      </c>
      <c r="CP121" s="27">
        <f>opex_orig!CG121</f>
        <v>5.0661400000000002E-3</v>
      </c>
    </row>
    <row r="122" spans="1:94" x14ac:dyDescent="0.25">
      <c r="A122" s="6" t="s">
        <v>235</v>
      </c>
      <c r="B122" s="2" t="s">
        <v>234</v>
      </c>
      <c r="C122" s="1" t="s">
        <v>332</v>
      </c>
      <c r="D122" s="188">
        <f>opex_orig!D122</f>
        <v>6.3601800000000002E-4</v>
      </c>
      <c r="E122" s="188">
        <f>opex_orig!E122</f>
        <v>6.3840399999999997E-4</v>
      </c>
      <c r="F122" s="188">
        <f>opex_orig!F122</f>
        <v>4.1790399999999998E-4</v>
      </c>
      <c r="G122" s="188">
        <f>opex_orig!G122</f>
        <v>6.1699999999999995E-5</v>
      </c>
      <c r="H122" s="188">
        <f>opex_orig!H122</f>
        <v>1.1585400000000001E-4</v>
      </c>
      <c r="I122" s="188">
        <f>opex_orig!I122</f>
        <v>1.270817E-3</v>
      </c>
      <c r="J122" s="188">
        <f>opex_orig!J122</f>
        <v>1.540977E-3</v>
      </c>
      <c r="K122" s="188">
        <f>opex_orig!K122</f>
        <v>1.53659E-4</v>
      </c>
      <c r="L122" s="188">
        <f>opex_orig!L122</f>
        <v>2.7754939999999999E-3</v>
      </c>
      <c r="M122" s="188">
        <f>opex_orig!M122</f>
        <v>8.4789940000000001E-3</v>
      </c>
      <c r="N122" s="188">
        <f>opex_orig!N122</f>
        <v>3.6861860000000001E-3</v>
      </c>
      <c r="O122" s="188">
        <f>opex_orig!O122</f>
        <v>5.0403700000000004E-4</v>
      </c>
      <c r="P122" s="188">
        <f>opex_orig!P122</f>
        <v>1.405377E-3</v>
      </c>
      <c r="Q122" s="188">
        <f>opex_orig!Q122</f>
        <v>3.3681999999999999E-4</v>
      </c>
      <c r="R122" s="188">
        <f>opex_orig!R122</f>
        <v>1.67713E-4</v>
      </c>
      <c r="S122" s="188">
        <f>opex_orig!S122</f>
        <v>3.040896E-3</v>
      </c>
      <c r="T122" s="188">
        <f>opex_orig!T122</f>
        <v>3.4201000000000001E-3</v>
      </c>
      <c r="U122" s="188">
        <f>opex_orig!U122</f>
        <v>1.0460929999999999E-3</v>
      </c>
      <c r="V122" s="188">
        <f>opex_orig!V122</f>
        <v>1.2675500000000001E-3</v>
      </c>
      <c r="W122" s="188">
        <f>opex_orig!W122</f>
        <v>6.65268E-4</v>
      </c>
      <c r="X122" s="188">
        <f>opex_orig!X122</f>
        <v>1.1286650000000001E-3</v>
      </c>
      <c r="Y122" s="188">
        <f>opex_orig!Y122</f>
        <v>2.2492899999999999E-4</v>
      </c>
      <c r="Z122" s="188">
        <f>opex_orig!Z122</f>
        <v>9.5444400000000004E-4</v>
      </c>
      <c r="AA122" s="188">
        <f>opex_orig!AA122</f>
        <v>2.0024079999999998E-3</v>
      </c>
      <c r="AB122" s="188">
        <f>opex_orig!$AB122</f>
        <v>8.7640671672479002E-4</v>
      </c>
      <c r="AC122" s="188">
        <f>opex_orig!$AB122</f>
        <v>8.7640671672479002E-4</v>
      </c>
      <c r="AD122" s="188">
        <f>opex_orig!$AB122</f>
        <v>8.7640671672479002E-4</v>
      </c>
      <c r="AE122" s="188">
        <f>opex_orig!$AC122</f>
        <v>1.2806693118066299E-3</v>
      </c>
      <c r="AF122" s="188">
        <f>opex_orig!$AD122</f>
        <v>1.0303402224011099E-3</v>
      </c>
      <c r="AG122" s="188">
        <f>opex_orig!$AD122</f>
        <v>1.0303402224011099E-3</v>
      </c>
      <c r="AH122" s="188">
        <f>opex_orig!$AD122</f>
        <v>1.0303402224011099E-3</v>
      </c>
      <c r="AI122" s="188">
        <f>opex_orig!AE122</f>
        <v>9.8945499999999998E-4</v>
      </c>
      <c r="AJ122" s="188">
        <f>opex_orig!AF122</f>
        <v>7.5197959999999996E-3</v>
      </c>
      <c r="AK122" s="188">
        <f>opex_orig!AG122</f>
        <v>1.1124590000000001E-3</v>
      </c>
      <c r="AL122" s="188">
        <f>opex_orig!AH122</f>
        <v>1.23485E-4</v>
      </c>
      <c r="AM122" s="188">
        <f>opex_orig!AI122</f>
        <v>2.0772400000000001E-4</v>
      </c>
      <c r="AN122" s="188">
        <f>opex_orig!AJ122</f>
        <v>1.5065799999999999E-4</v>
      </c>
      <c r="AO122" s="188">
        <f>opex_orig!AK122</f>
        <v>1.66253E-4</v>
      </c>
      <c r="AP122" s="188">
        <f>opex_orig!$AL122</f>
        <v>1.9468287615884901E-4</v>
      </c>
      <c r="AQ122" s="188">
        <f>opex_orig!$AL122</f>
        <v>1.9468287615884901E-4</v>
      </c>
      <c r="AR122" s="188">
        <f>opex_orig!$AL122</f>
        <v>1.9468287615884901E-4</v>
      </c>
      <c r="AS122" s="188">
        <f>opex_orig!$AM122</f>
        <v>1.7532261087102201E-4</v>
      </c>
      <c r="AT122" s="188">
        <f>opex_orig!AN122</f>
        <v>2.69349E-4</v>
      </c>
      <c r="AU122" s="188">
        <f>opex_orig!$AO122</f>
        <v>1.0666872770045399E-3</v>
      </c>
      <c r="AV122" s="188">
        <f>opex_orig!$AO122</f>
        <v>1.0666872770045399E-3</v>
      </c>
      <c r="AW122" s="188">
        <f>opex_orig!$AO122</f>
        <v>1.0666872770045399E-3</v>
      </c>
      <c r="AX122" s="188">
        <f>opex_orig!$AP122</f>
        <v>1.32780377541732E-3</v>
      </c>
      <c r="AY122" s="188">
        <f>opex_orig!AQ122</f>
        <v>4.8336070000000002E-3</v>
      </c>
      <c r="AZ122" s="188">
        <f>opex_orig!AR122</f>
        <v>0</v>
      </c>
      <c r="BA122" s="188">
        <f>opex_orig!AS122</f>
        <v>2.3437559999999998E-3</v>
      </c>
      <c r="BB122" s="188">
        <f>opex_orig!AT122</f>
        <v>2.497151E-3</v>
      </c>
      <c r="BC122" s="188">
        <f>opex_orig!AU122</f>
        <v>6.7650499999999999E-4</v>
      </c>
      <c r="BD122" s="188">
        <f>opex_orig!AV122</f>
        <v>5.9042600000000002E-4</v>
      </c>
      <c r="BE122" s="188">
        <f>opex_orig!AW122</f>
        <v>1.7573389999999999E-3</v>
      </c>
      <c r="BF122" s="188">
        <f>opex_orig!AX122</f>
        <v>0</v>
      </c>
      <c r="BG122" s="188">
        <f>opex_orig!AY122</f>
        <v>5.1771170000000002E-3</v>
      </c>
      <c r="BH122" s="188">
        <f>opex_orig!AZ122</f>
        <v>0</v>
      </c>
      <c r="BI122" s="188">
        <f>opex_orig!BA122</f>
        <v>2.401748E-3</v>
      </c>
      <c r="BJ122" s="188">
        <f>opex_orig!BB122</f>
        <v>8.9070600000000001E-4</v>
      </c>
      <c r="BK122" s="188">
        <f>opex_orig!BC122</f>
        <v>8.2441100000000005E-4</v>
      </c>
      <c r="BL122" s="188">
        <f>opex_orig!BD122</f>
        <v>1.0273299999999999E-4</v>
      </c>
      <c r="BM122" s="188">
        <f>opex_orig!BE122</f>
        <v>1.456316E-3</v>
      </c>
      <c r="BN122" s="188">
        <f>opex_orig!BF122</f>
        <v>1.6199000000000001E-4</v>
      </c>
      <c r="BO122" s="188">
        <f>opex_orig!BG122</f>
        <v>4.6446370000000001E-3</v>
      </c>
      <c r="BP122" s="188">
        <f>opex_orig!$BH122</f>
        <v>1.66048719596853E-3</v>
      </c>
      <c r="BQ122" s="188">
        <f>opex_orig!$BH122</f>
        <v>1.66048719596853E-3</v>
      </c>
      <c r="BR122" s="188">
        <f>opex_orig!BI122</f>
        <v>1.0168589999999999E-3</v>
      </c>
      <c r="BS122" s="188">
        <f>opex_orig!BJ122</f>
        <v>9.99923E-4</v>
      </c>
      <c r="BT122" s="188">
        <f>opex_orig!BK122</f>
        <v>1.9419540000000001E-3</v>
      </c>
      <c r="BU122" s="188">
        <f>opex_orig!BL122</f>
        <v>0</v>
      </c>
      <c r="BV122" s="27">
        <f>opex_orig!BM122</f>
        <v>2.9297467684564998E-3</v>
      </c>
      <c r="BW122" s="27">
        <f>opex_orig!BN122</f>
        <v>1.7342055752926401E-3</v>
      </c>
      <c r="BX122" s="27">
        <f>opex_orig!BO122</f>
        <v>1.3519142268663901E-3</v>
      </c>
      <c r="BY122" s="27">
        <f>opex_orig!BP122</f>
        <v>1.3086217574843099E-3</v>
      </c>
      <c r="BZ122" s="27">
        <f>opex_orig!BQ122</f>
        <v>1.07527844912141E-3</v>
      </c>
      <c r="CA122" s="27">
        <f>opex_orig!BR122</f>
        <v>6.4091055778930602E-4</v>
      </c>
      <c r="CB122" s="27">
        <f>opex_orig!BS122</f>
        <v>1.9013122446813399E-3</v>
      </c>
      <c r="CC122" s="27">
        <f>opex_orig!BT122</f>
        <v>3.2315041847901598E-3</v>
      </c>
      <c r="CD122" s="27">
        <f>opex_orig!BU122</f>
        <v>5.4876639564093097E-3</v>
      </c>
      <c r="CE122" s="27">
        <f>opex_orig!BV122</f>
        <v>5.4876639564093296E-3</v>
      </c>
      <c r="CF122" s="27">
        <f>opex_orig!BW122</f>
        <v>1.74792733450863E-3</v>
      </c>
      <c r="CG122" s="27">
        <f>opex_orig!BX122</f>
        <v>3.1675541870723001E-6</v>
      </c>
      <c r="CH122" s="27">
        <f>opex_orig!BY122</f>
        <v>2.1065767314186299E-3</v>
      </c>
      <c r="CI122" s="27">
        <f>opex_orig!BZ122</f>
        <v>6.0727669999999997E-3</v>
      </c>
      <c r="CJ122" s="27">
        <f>opex_orig!CA122</f>
        <v>5.0058500000000001E-3</v>
      </c>
      <c r="CK122" s="27">
        <f>opex_orig!CB122</f>
        <v>4.4552120000000001E-3</v>
      </c>
      <c r="CL122" s="27">
        <f>opex_orig!CC122</f>
        <v>2.5179299999999998E-3</v>
      </c>
      <c r="CM122" s="27">
        <f>opex_orig!CD122</f>
        <v>3.7765899999999998E-3</v>
      </c>
      <c r="CN122" s="27">
        <f>opex_orig!CE122</f>
        <v>5.0999289999999996E-3</v>
      </c>
      <c r="CO122" s="27">
        <f>opex_orig!CF122</f>
        <v>1.2984240000000001E-3</v>
      </c>
      <c r="CP122" s="27">
        <f>opex_orig!CG122</f>
        <v>4.6678739999999998E-3</v>
      </c>
    </row>
    <row r="123" spans="1:94" x14ac:dyDescent="0.25">
      <c r="A123" s="5" t="s">
        <v>237</v>
      </c>
      <c r="B123" s="2" t="s">
        <v>236</v>
      </c>
      <c r="C123" s="1" t="s">
        <v>333</v>
      </c>
      <c r="D123" s="188">
        <f>opex_orig!D123</f>
        <v>3.448193E-3</v>
      </c>
      <c r="E123" s="188">
        <f>opex_orig!E123</f>
        <v>2.3110040000000002E-3</v>
      </c>
      <c r="F123" s="188">
        <f>opex_orig!F123</f>
        <v>3.766742E-3</v>
      </c>
      <c r="G123" s="188">
        <f>opex_orig!G123</f>
        <v>1.0225290000000001E-3</v>
      </c>
      <c r="H123" s="188">
        <f>opex_orig!H123</f>
        <v>1.393149E-3</v>
      </c>
      <c r="I123" s="188">
        <f>opex_orig!I123</f>
        <v>2.3489359999999998E-3</v>
      </c>
      <c r="J123" s="188">
        <f>opex_orig!J123</f>
        <v>9.2288309999999998E-3</v>
      </c>
      <c r="K123" s="188">
        <f>opex_orig!K123</f>
        <v>3.2219990000000001E-3</v>
      </c>
      <c r="L123" s="188">
        <f>opex_orig!L123</f>
        <v>1.7149540000000001E-3</v>
      </c>
      <c r="M123" s="188">
        <f>opex_orig!M123</f>
        <v>2.4381559999999999E-3</v>
      </c>
      <c r="N123" s="188">
        <f>opex_orig!N123</f>
        <v>6.3753129999999996E-3</v>
      </c>
      <c r="O123" s="188">
        <f>opex_orig!O123</f>
        <v>2.906301E-3</v>
      </c>
      <c r="P123" s="188">
        <f>opex_orig!P123</f>
        <v>2.3134140000000002E-3</v>
      </c>
      <c r="Q123" s="188">
        <f>opex_orig!Q123</f>
        <v>5.2272519999999999E-3</v>
      </c>
      <c r="R123" s="188">
        <f>opex_orig!R123</f>
        <v>7.74693E-3</v>
      </c>
      <c r="S123" s="188">
        <f>opex_orig!S123</f>
        <v>1.665202E-3</v>
      </c>
      <c r="T123" s="188">
        <f>opex_orig!T123</f>
        <v>5.1308609999999996E-3</v>
      </c>
      <c r="U123" s="188">
        <f>opex_orig!U123</f>
        <v>4.4612469999999998E-3</v>
      </c>
      <c r="V123" s="188">
        <f>opex_orig!V123</f>
        <v>5.6526129999999999E-3</v>
      </c>
      <c r="W123" s="188">
        <f>opex_orig!W123</f>
        <v>2.8104110000000001E-3</v>
      </c>
      <c r="X123" s="188">
        <f>opex_orig!X123</f>
        <v>1.7811260000000001E-3</v>
      </c>
      <c r="Y123" s="188">
        <f>opex_orig!Y123</f>
        <v>1.5367845E-2</v>
      </c>
      <c r="Z123" s="188">
        <f>opex_orig!Z123</f>
        <v>1.5436791E-2</v>
      </c>
      <c r="AA123" s="188">
        <f>opex_orig!AA123</f>
        <v>4.1934870999999999E-2</v>
      </c>
      <c r="AB123" s="254">
        <f>opex_concordance!M195</f>
        <v>1.4535611744200599E-2</v>
      </c>
      <c r="AC123" s="254">
        <f>opex_concordance!M224</f>
        <v>2.1644560069678416E-2</v>
      </c>
      <c r="AD123" s="254">
        <f>opex_concordance!M285</f>
        <v>2.5622983159442628E-2</v>
      </c>
      <c r="AE123" s="188">
        <f>opex_orig!$AC123</f>
        <v>1.9229450169041401E-2</v>
      </c>
      <c r="AF123" s="188">
        <f>opex_orig!$AD123</f>
        <v>4.3368112600819103E-3</v>
      </c>
      <c r="AG123" s="188">
        <f>opex_orig!$AD123</f>
        <v>4.3368112600819103E-3</v>
      </c>
      <c r="AH123" s="188">
        <f>opex_orig!$AD123</f>
        <v>4.3368112600819103E-3</v>
      </c>
      <c r="AI123" s="188">
        <f>opex_orig!AE123</f>
        <v>3.3597689999999999E-3</v>
      </c>
      <c r="AJ123" s="188">
        <f>opex_orig!AF123</f>
        <v>2.0337596999999999E-2</v>
      </c>
      <c r="AK123" s="188">
        <f>opex_orig!AG123</f>
        <v>8.99499E-4</v>
      </c>
      <c r="AL123" s="188">
        <f>opex_orig!AH123</f>
        <v>1.6684429999999999E-3</v>
      </c>
      <c r="AM123" s="188">
        <f>opex_orig!AI123</f>
        <v>3.7368240000000001E-3</v>
      </c>
      <c r="AN123" s="188">
        <f>opex_orig!AJ123</f>
        <v>2.464211E-3</v>
      </c>
      <c r="AO123" s="188">
        <f>opex_orig!AK123</f>
        <v>5.5260400000000003E-3</v>
      </c>
      <c r="AP123" s="188">
        <f>opex_orig!$AL123</f>
        <v>2.84086392656226E-3</v>
      </c>
      <c r="AQ123" s="188">
        <f>opex_orig!$AL123</f>
        <v>2.84086392656226E-3</v>
      </c>
      <c r="AR123" s="188">
        <f>opex_orig!$AL123</f>
        <v>2.84086392656226E-3</v>
      </c>
      <c r="AS123" s="188">
        <f>opex_orig!$AM123</f>
        <v>4.6158598009367197E-3</v>
      </c>
      <c r="AT123" s="188">
        <f>opex_orig!AN123</f>
        <v>3.2285399999999998E-3</v>
      </c>
      <c r="AU123" s="188">
        <f>opex_orig!$AO123</f>
        <v>4.52605322254028E-3</v>
      </c>
      <c r="AV123" s="188">
        <f>opex_orig!$AO123</f>
        <v>4.52605322254028E-3</v>
      </c>
      <c r="AW123" s="188">
        <f>opex_orig!$AO123</f>
        <v>4.52605322254028E-3</v>
      </c>
      <c r="AX123" s="188">
        <f>opex_orig!$AP123</f>
        <v>5.7844543444071196E-3</v>
      </c>
      <c r="AY123" s="188">
        <f>opex_orig!AQ123</f>
        <v>3.9981349999999999E-3</v>
      </c>
      <c r="AZ123" s="188">
        <f>opex_orig!AR123</f>
        <v>0</v>
      </c>
      <c r="BA123" s="188">
        <f>opex_orig!AS123</f>
        <v>3.2267720000000001E-3</v>
      </c>
      <c r="BB123" s="188">
        <f>opex_orig!AT123</f>
        <v>2.4369439999999999E-3</v>
      </c>
      <c r="BC123" s="188">
        <f>opex_orig!AU123</f>
        <v>1.987698E-3</v>
      </c>
      <c r="BD123" s="188">
        <f>opex_orig!AV123</f>
        <v>1.8890479999999999E-3</v>
      </c>
      <c r="BE123" s="188">
        <f>opex_orig!AW123</f>
        <v>2.9090050000000001E-3</v>
      </c>
      <c r="BF123" s="188">
        <f>opex_orig!AX123</f>
        <v>0</v>
      </c>
      <c r="BG123" s="188">
        <f>opex_orig!AY123</f>
        <v>1.0537479000000001E-2</v>
      </c>
      <c r="BH123" s="188">
        <f>opex_orig!AZ123</f>
        <v>0</v>
      </c>
      <c r="BI123" s="188">
        <f>opex_orig!BA123</f>
        <v>1.745576E-3</v>
      </c>
      <c r="BJ123" s="188">
        <f>opex_orig!BB123</f>
        <v>9.8828999999999996E-4</v>
      </c>
      <c r="BK123" s="188">
        <f>opex_orig!BC123</f>
        <v>2.044761E-3</v>
      </c>
      <c r="BL123" s="188">
        <f>opex_orig!BD123</f>
        <v>1.5036889999999999E-3</v>
      </c>
      <c r="BM123" s="188">
        <f>opex_orig!BE123</f>
        <v>1.4659639999999999E-3</v>
      </c>
      <c r="BN123" s="188">
        <f>opex_orig!BF123</f>
        <v>8.9982899999999999E-4</v>
      </c>
      <c r="BO123" s="188">
        <f>opex_orig!BG123</f>
        <v>1.5195740000000001E-3</v>
      </c>
      <c r="BP123" s="188">
        <f>opex_orig!$BH123</f>
        <v>3.4514886087290502E-3</v>
      </c>
      <c r="BQ123" s="188">
        <f>opex_orig!$BH123</f>
        <v>3.4514886087290502E-3</v>
      </c>
      <c r="BR123" s="188">
        <f>opex_orig!BI123</f>
        <v>1.388495E-3</v>
      </c>
      <c r="BS123" s="188">
        <f>opex_orig!BJ123</f>
        <v>1.5173070000000001E-3</v>
      </c>
      <c r="BT123" s="188">
        <f>opex_orig!BK123</f>
        <v>2.9180790000000001E-3</v>
      </c>
      <c r="BU123" s="188">
        <f>opex_orig!BL123</f>
        <v>0</v>
      </c>
      <c r="BV123" s="27">
        <f>opex_orig!BM123</f>
        <v>1.5873600319641998E-2</v>
      </c>
      <c r="BW123" s="27">
        <f>opex_orig!BN123</f>
        <v>5.2947482641924497E-2</v>
      </c>
      <c r="BX123" s="27">
        <f>opex_orig!BO123</f>
        <v>3.0334280676113001E-3</v>
      </c>
      <c r="BY123" s="27">
        <f>opex_orig!BP123</f>
        <v>4.0771797757612601E-3</v>
      </c>
      <c r="BZ123" s="27">
        <f>opex_orig!BQ123</f>
        <v>5.7667470529491997E-3</v>
      </c>
      <c r="CA123" s="27">
        <f>opex_orig!BR123</f>
        <v>1.4332833667677501E-3</v>
      </c>
      <c r="CB123" s="27">
        <f>opex_orig!BS123</f>
        <v>4.0962333344819503E-2</v>
      </c>
      <c r="CC123" s="27">
        <f>opex_orig!BT123</f>
        <v>2.0846614070915898E-3</v>
      </c>
      <c r="CD123" s="27">
        <f>opex_orig!BU123</f>
        <v>3.7079157077593802E-3</v>
      </c>
      <c r="CE123" s="27">
        <f>opex_orig!BV123</f>
        <v>3.7079157077593802E-3</v>
      </c>
      <c r="CF123" s="27">
        <f>opex_orig!BW123</f>
        <v>1.3368263496317001E-3</v>
      </c>
      <c r="CG123" s="27">
        <f>opex_orig!BX123</f>
        <v>1.2146404041005501E-2</v>
      </c>
      <c r="CH123" s="27">
        <f>opex_orig!BY123</f>
        <v>1.54477973395384E-3</v>
      </c>
      <c r="CI123" s="27">
        <f>opex_orig!BZ123</f>
        <v>1.6322291999999999E-2</v>
      </c>
      <c r="CJ123" s="27">
        <f>opex_orig!CA123</f>
        <v>3.8191810000000001E-3</v>
      </c>
      <c r="CK123" s="27">
        <f>opex_orig!CB123</f>
        <v>4.9276959999999996E-3</v>
      </c>
      <c r="CL123" s="27">
        <f>opex_orig!CC123</f>
        <v>1.1907720000000001E-3</v>
      </c>
      <c r="CM123" s="27">
        <f>opex_orig!CD123</f>
        <v>4.5291307000000003E-2</v>
      </c>
      <c r="CN123" s="27">
        <f>opex_orig!CE123</f>
        <v>2.0217809999999998E-3</v>
      </c>
      <c r="CO123" s="27">
        <f>opex_orig!CF123</f>
        <v>1.948375E-3</v>
      </c>
      <c r="CP123" s="27">
        <f>opex_orig!CG123</f>
        <v>1.438445E-3</v>
      </c>
    </row>
    <row r="124" spans="1:94" x14ac:dyDescent="0.25">
      <c r="A124" s="5" t="s">
        <v>239</v>
      </c>
      <c r="B124" s="2" t="s">
        <v>238</v>
      </c>
      <c r="C124" s="1" t="s">
        <v>333</v>
      </c>
      <c r="D124" s="188">
        <f>opex_orig!D124</f>
        <v>1.7270707E-2</v>
      </c>
      <c r="E124" s="188">
        <f>opex_orig!E124</f>
        <v>2.2416934999999999E-2</v>
      </c>
      <c r="F124" s="188">
        <f>opex_orig!F124</f>
        <v>1.7898491999999998E-2</v>
      </c>
      <c r="G124" s="188">
        <f>opex_orig!G124</f>
        <v>5.365201E-3</v>
      </c>
      <c r="H124" s="188">
        <f>opex_orig!H124</f>
        <v>7.5185429999999999E-3</v>
      </c>
      <c r="I124" s="188">
        <f>opex_orig!I124</f>
        <v>5.8809425999999998E-2</v>
      </c>
      <c r="J124" s="188">
        <f>opex_orig!J124</f>
        <v>8.2560713999999993E-2</v>
      </c>
      <c r="K124" s="188">
        <f>opex_orig!K124</f>
        <v>1.6656901000000002E-2</v>
      </c>
      <c r="L124" s="188">
        <f>opex_orig!L124</f>
        <v>2.2148866E-2</v>
      </c>
      <c r="M124" s="188">
        <f>opex_orig!M124</f>
        <v>4.2818881000000003E-2</v>
      </c>
      <c r="N124" s="188">
        <f>opex_orig!N124</f>
        <v>4.3011425999999998E-2</v>
      </c>
      <c r="O124" s="188">
        <f>opex_orig!O124</f>
        <v>1.523249E-2</v>
      </c>
      <c r="P124" s="188">
        <f>opex_orig!P124</f>
        <v>2.9560468999999999E-2</v>
      </c>
      <c r="Q124" s="188">
        <f>opex_orig!Q124</f>
        <v>1.8033820999999998E-2</v>
      </c>
      <c r="R124" s="188">
        <f>opex_orig!R124</f>
        <v>2.8983867999999999E-2</v>
      </c>
      <c r="S124" s="188">
        <f>opex_orig!S124</f>
        <v>4.2644287000000003E-2</v>
      </c>
      <c r="T124" s="188">
        <f>opex_orig!T124</f>
        <v>6.1622964000000002E-2</v>
      </c>
      <c r="U124" s="188">
        <f>opex_orig!U124</f>
        <v>0.20064143300000001</v>
      </c>
      <c r="V124" s="188">
        <f>opex_orig!V124</f>
        <v>0.28683148000000003</v>
      </c>
      <c r="W124" s="188">
        <f>opex_orig!W124</f>
        <v>3.8606641999999997E-2</v>
      </c>
      <c r="X124" s="188">
        <f>opex_orig!X124</f>
        <v>2.0610397999999999E-2</v>
      </c>
      <c r="Y124" s="188">
        <f>opex_orig!Y124</f>
        <v>4.0072492000000001E-2</v>
      </c>
      <c r="Z124" s="188">
        <f>opex_orig!Z124</f>
        <v>0.22639365</v>
      </c>
      <c r="AA124" s="188">
        <f>opex_orig!AA124</f>
        <v>0.12693434000000001</v>
      </c>
      <c r="AB124" s="217">
        <f>opex_concordance!M196</f>
        <v>5.6700519893351398E-2</v>
      </c>
      <c r="AC124" s="217">
        <f>opex_concordance!M225</f>
        <v>6.895359983579194E-2</v>
      </c>
      <c r="AD124" s="217">
        <f>opex_concordance!M286</f>
        <v>9.9950142582656359E-2</v>
      </c>
      <c r="AE124" s="188">
        <f>opex_orig!$AC124</f>
        <v>7.5949282296661202E-2</v>
      </c>
      <c r="AF124" s="217">
        <f>opex_concordance!$M$321</f>
        <v>4.4291695162636098E-2</v>
      </c>
      <c r="AG124" s="217">
        <f>opex_concordance!$M$357</f>
        <v>1.9627575001700277E-2</v>
      </c>
      <c r="AH124" s="217">
        <f>opex_concordance!$M$393</f>
        <v>1.5747119181562481E-2</v>
      </c>
      <c r="AI124" s="188">
        <f>opex_orig!AE124</f>
        <v>4.1029897000000003E-2</v>
      </c>
      <c r="AJ124" s="188">
        <f>opex_orig!AF124</f>
        <v>2.2112364999999998E-2</v>
      </c>
      <c r="AK124" s="188">
        <f>opex_orig!AG124</f>
        <v>3.3451370000000002E-3</v>
      </c>
      <c r="AL124" s="188">
        <f>opex_orig!AH124</f>
        <v>5.991405E-3</v>
      </c>
      <c r="AM124" s="188">
        <f>opex_orig!AI124</f>
        <v>1.3793730000000001E-2</v>
      </c>
      <c r="AN124" s="188">
        <f>opex_orig!AJ124</f>
        <v>8.7423589999999999E-3</v>
      </c>
      <c r="AO124" s="188">
        <f>opex_orig!AK124</f>
        <v>2.0739205E-2</v>
      </c>
      <c r="AP124" s="217">
        <f>opex_concordance!M449</f>
        <v>1.06413366651971E-2</v>
      </c>
      <c r="AQ124" s="217">
        <f>opex_concordance!M503</f>
        <v>8.5640473543510936E-3</v>
      </c>
      <c r="AR124" s="217">
        <f>opex_concordance!M557</f>
        <v>9.3982935620894048E-3</v>
      </c>
      <c r="AS124" s="188">
        <f>opex_orig!$AM124</f>
        <v>1.7976153505367898E-2</v>
      </c>
      <c r="AT124" s="188">
        <f>opex_orig!AN124</f>
        <v>1.0670377E-2</v>
      </c>
      <c r="AU124" s="217">
        <f>opex_concordance!M603</f>
        <v>1.08120372992614E-2</v>
      </c>
      <c r="AV124" s="217">
        <f>opex_concordance!M649</f>
        <v>1.4688114567373789E-2</v>
      </c>
      <c r="AW124" s="217">
        <f>opex_concordance!M695</f>
        <v>1.2125372064560894E-2</v>
      </c>
      <c r="AX124" s="188">
        <f>opex_orig!$AP124</f>
        <v>1.47048362740355E-2</v>
      </c>
      <c r="AY124" s="188">
        <f>opex_orig!AQ124</f>
        <v>1.5146366E-2</v>
      </c>
      <c r="AZ124" s="188">
        <f>opex_orig!AR124</f>
        <v>0</v>
      </c>
      <c r="BA124" s="188">
        <f>opex_orig!AS124</f>
        <v>1.5389915000000001E-2</v>
      </c>
      <c r="BB124" s="188">
        <f>opex_orig!AT124</f>
        <v>1.3049721E-2</v>
      </c>
      <c r="BC124" s="188">
        <f>opex_orig!AU124</f>
        <v>1.3352179E-2</v>
      </c>
      <c r="BD124" s="188">
        <f>opex_orig!AV124</f>
        <v>1.3191230999999999E-2</v>
      </c>
      <c r="BE124" s="188">
        <f>opex_orig!AW124</f>
        <v>1.4406624E-2</v>
      </c>
      <c r="BF124" s="188">
        <f>opex_orig!AX124</f>
        <v>0</v>
      </c>
      <c r="BG124" s="188">
        <f>opex_orig!AY124</f>
        <v>3.7070625000000003E-2</v>
      </c>
      <c r="BH124" s="188">
        <f>opex_orig!AZ124</f>
        <v>0</v>
      </c>
      <c r="BI124" s="188">
        <f>opex_orig!BA124</f>
        <v>8.9064869999999994E-3</v>
      </c>
      <c r="BJ124" s="188">
        <f>opex_orig!BB124</f>
        <v>3.037578E-3</v>
      </c>
      <c r="BK124" s="188">
        <f>opex_orig!BC124</f>
        <v>2.7740322000000001E-2</v>
      </c>
      <c r="BL124" s="188">
        <f>opex_orig!BD124</f>
        <v>4.9751550000000002E-3</v>
      </c>
      <c r="BM124" s="188">
        <f>opex_orig!BE124</f>
        <v>2.1812964000000001E-2</v>
      </c>
      <c r="BN124" s="188">
        <f>opex_orig!BF124</f>
        <v>6.1841170000000003E-3</v>
      </c>
      <c r="BO124" s="188">
        <f>opex_orig!BG124</f>
        <v>1.3693965000000001E-2</v>
      </c>
      <c r="BP124" s="207">
        <f>opex_concordance!M102</f>
        <v>1.1975334938031927E-2</v>
      </c>
      <c r="BQ124" s="207">
        <f>opex_concordance!M145</f>
        <v>7.8669096122205903E-3</v>
      </c>
      <c r="BR124" s="188">
        <f>opex_orig!BI124</f>
        <v>6.913705E-3</v>
      </c>
      <c r="BS124" s="188">
        <f>opex_orig!BJ124</f>
        <v>6.9737169999999999E-3</v>
      </c>
      <c r="BT124" s="188">
        <f>opex_orig!BK124</f>
        <v>1.1536670000000001E-2</v>
      </c>
      <c r="BU124" s="188">
        <f>opex_orig!BL124</f>
        <v>0</v>
      </c>
      <c r="BV124" s="27">
        <f>opex_orig!BM124</f>
        <v>0.12875309609659699</v>
      </c>
      <c r="BW124" s="27">
        <f>opex_orig!BN124</f>
        <v>0.104911299632202</v>
      </c>
      <c r="BX124" s="27">
        <f>opex_orig!BO124</f>
        <v>4.1794605091217199E-2</v>
      </c>
      <c r="BY124" s="27">
        <f>opex_orig!BP124</f>
        <v>7.24151515758472E-2</v>
      </c>
      <c r="BZ124" s="27">
        <f>opex_orig!BQ124</f>
        <v>7.9171232948198403E-2</v>
      </c>
      <c r="CA124" s="27">
        <f>opex_orig!BR124</f>
        <v>2.1947916366098399E-2</v>
      </c>
      <c r="CB124" s="27">
        <f>opex_orig!BS124</f>
        <v>9.9322587884996802E-2</v>
      </c>
      <c r="CC124" s="27">
        <f>opex_orig!BT124</f>
        <v>6.5428152753507799E-3</v>
      </c>
      <c r="CD124" s="27">
        <f>opex_orig!BU124</f>
        <v>7.5745891607497298E-2</v>
      </c>
      <c r="CE124" s="27">
        <f>opex_orig!BV124</f>
        <v>7.5745891607497395E-2</v>
      </c>
      <c r="CF124" s="27">
        <f>opex_orig!BW124</f>
        <v>2.0189265978785498E-2</v>
      </c>
      <c r="CG124" s="27">
        <f>opex_orig!BX124</f>
        <v>2.9441747226081401E-2</v>
      </c>
      <c r="CH124" s="27">
        <f>opex_orig!BY124</f>
        <v>5.05699974144754E-3</v>
      </c>
      <c r="CI124" s="27">
        <f>opex_orig!BZ124</f>
        <v>9.5033562000000002E-2</v>
      </c>
      <c r="CJ124" s="27">
        <f>opex_orig!CA124</f>
        <v>8.0855248000000005E-2</v>
      </c>
      <c r="CK124" s="27">
        <f>opex_orig!CB124</f>
        <v>8.0497314E-2</v>
      </c>
      <c r="CL124" s="27">
        <f>opex_orig!CC124</f>
        <v>7.2393417000000002E-2</v>
      </c>
      <c r="CM124" s="27">
        <f>opex_orig!CD124</f>
        <v>8.4211753E-2</v>
      </c>
      <c r="CN124" s="27">
        <f>opex_orig!CE124</f>
        <v>6.6502139999999998E-3</v>
      </c>
      <c r="CO124" s="27">
        <f>opex_orig!CF124</f>
        <v>5.8633950000000004E-3</v>
      </c>
      <c r="CP124" s="27">
        <f>opex_orig!CG124</f>
        <v>5.5843009999999998E-3</v>
      </c>
    </row>
    <row r="125" spans="1:94" x14ac:dyDescent="0.25">
      <c r="A125" s="5" t="s">
        <v>241</v>
      </c>
      <c r="B125" s="2" t="s">
        <v>240</v>
      </c>
      <c r="C125" s="1" t="s">
        <v>333</v>
      </c>
      <c r="D125" s="188">
        <f>opex_orig!D125</f>
        <v>9.3365500000000003E-4</v>
      </c>
      <c r="E125" s="188">
        <f>opex_orig!E125</f>
        <v>6.9481600000000001E-4</v>
      </c>
      <c r="F125" s="188">
        <f>opex_orig!F125</f>
        <v>8.6928099999999996E-4</v>
      </c>
      <c r="G125" s="188">
        <f>opex_orig!G125</f>
        <v>4.0564799999999999E-4</v>
      </c>
      <c r="H125" s="188">
        <f>opex_orig!H125</f>
        <v>4.5867199999999998E-4</v>
      </c>
      <c r="I125" s="188">
        <f>opex_orig!I125</f>
        <v>4.50748E-4</v>
      </c>
      <c r="J125" s="188">
        <f>opex_orig!J125</f>
        <v>2.8936830000000002E-3</v>
      </c>
      <c r="K125" s="188">
        <f>opex_orig!K125</f>
        <v>1.2430150000000001E-3</v>
      </c>
      <c r="L125" s="188">
        <f>opex_orig!L125</f>
        <v>4.34793E-4</v>
      </c>
      <c r="M125" s="188">
        <f>opex_orig!M125</f>
        <v>4.9619599999999996E-4</v>
      </c>
      <c r="N125" s="188">
        <f>opex_orig!N125</f>
        <v>1.789821E-3</v>
      </c>
      <c r="O125" s="188">
        <f>opex_orig!O125</f>
        <v>6.35858E-4</v>
      </c>
      <c r="P125" s="188">
        <f>opex_orig!P125</f>
        <v>4.86176E-4</v>
      </c>
      <c r="Q125" s="188">
        <f>opex_orig!Q125</f>
        <v>7.8445200000000004E-4</v>
      </c>
      <c r="R125" s="188">
        <f>opex_orig!R125</f>
        <v>1.658893E-3</v>
      </c>
      <c r="S125" s="188">
        <f>opex_orig!S125</f>
        <v>3.7809600000000002E-4</v>
      </c>
      <c r="T125" s="188">
        <f>opex_orig!T125</f>
        <v>1.543989E-3</v>
      </c>
      <c r="U125" s="188">
        <f>opex_orig!U125</f>
        <v>7.29961E-4</v>
      </c>
      <c r="V125" s="188">
        <f>opex_orig!V125</f>
        <v>8.8647900000000002E-4</v>
      </c>
      <c r="W125" s="188">
        <f>opex_orig!W125</f>
        <v>4.2826300000000002E-4</v>
      </c>
      <c r="X125" s="188">
        <f>opex_orig!X125</f>
        <v>4.0865399999999999E-4</v>
      </c>
      <c r="Y125" s="188">
        <f>opex_orig!Y125</f>
        <v>1.2735120000000001E-3</v>
      </c>
      <c r="Z125" s="188">
        <f>opex_orig!Z125</f>
        <v>5.9049325E-2</v>
      </c>
      <c r="AA125" s="188">
        <f>opex_orig!AA125</f>
        <v>4.3606189999999996E-3</v>
      </c>
      <c r="AB125" s="219">
        <f>opex_concordance!M197</f>
        <v>1.48073809005072E-2</v>
      </c>
      <c r="AC125" s="219">
        <f>opex_concordance!M226</f>
        <v>2.1949485145702115E-2</v>
      </c>
      <c r="AD125" s="219">
        <f>opex_concordance!M287</f>
        <v>2.6102050476171017E-2</v>
      </c>
      <c r="AE125" s="188">
        <f>opex_orig!$AC125</f>
        <v>3.7684563367535902E-3</v>
      </c>
      <c r="AF125" s="188">
        <f>opex_orig!$AD125</f>
        <v>1.30885671614047E-3</v>
      </c>
      <c r="AG125" s="188">
        <f>opex_orig!$AD125</f>
        <v>1.30885671614047E-3</v>
      </c>
      <c r="AH125" s="188">
        <f>opex_orig!$AD125</f>
        <v>1.30885671614047E-3</v>
      </c>
      <c r="AI125" s="188">
        <f>opex_orig!AE125</f>
        <v>1.0365089999999999E-3</v>
      </c>
      <c r="AJ125" s="188">
        <f>opex_orig!AF125</f>
        <v>4.8954800000000002E-4</v>
      </c>
      <c r="AK125" s="188">
        <f>opex_orig!AG125</f>
        <v>2.3696000000000001E-4</v>
      </c>
      <c r="AL125" s="188">
        <f>opex_orig!AH125</f>
        <v>5.3655300000000005E-4</v>
      </c>
      <c r="AM125" s="188">
        <f>opex_orig!AI125</f>
        <v>1.2066659999999999E-3</v>
      </c>
      <c r="AN125" s="188">
        <f>opex_orig!AJ125</f>
        <v>8.4165800000000001E-4</v>
      </c>
      <c r="AO125" s="188">
        <f>opex_orig!AK125</f>
        <v>1.8623870000000001E-3</v>
      </c>
      <c r="AP125" s="188">
        <f>opex_orig!$AL125</f>
        <v>8.49969672861967E-4</v>
      </c>
      <c r="AQ125" s="188">
        <f>opex_orig!$AL125</f>
        <v>8.49969672861967E-4</v>
      </c>
      <c r="AR125" s="188">
        <f>opex_orig!$AL125</f>
        <v>8.49969672861967E-4</v>
      </c>
      <c r="AS125" s="188">
        <f>opex_orig!$AM125</f>
        <v>1.5372697127169399E-3</v>
      </c>
      <c r="AT125" s="188">
        <f>opex_orig!AN125</f>
        <v>8.6436599999999998E-4</v>
      </c>
      <c r="AU125" s="188">
        <f>opex_orig!$AO125</f>
        <v>5.7857580334563698E-4</v>
      </c>
      <c r="AV125" s="188">
        <f>opex_orig!$AO125</f>
        <v>5.7857580334563698E-4</v>
      </c>
      <c r="AW125" s="188">
        <f>opex_orig!$AO125</f>
        <v>5.7857580334563698E-4</v>
      </c>
      <c r="AX125" s="188">
        <f>opex_orig!$AP125</f>
        <v>8.2868777730947703E-4</v>
      </c>
      <c r="AY125" s="188">
        <f>opex_orig!AQ125</f>
        <v>9.5926599999999996E-4</v>
      </c>
      <c r="AZ125" s="188">
        <f>opex_orig!AR125</f>
        <v>0</v>
      </c>
      <c r="BA125" s="188">
        <f>opex_orig!AS125</f>
        <v>8.8075700000000002E-4</v>
      </c>
      <c r="BB125" s="188">
        <f>opex_orig!AT125</f>
        <v>6.3765600000000001E-4</v>
      </c>
      <c r="BC125" s="188">
        <f>opex_orig!AU125</f>
        <v>8.8524700000000003E-4</v>
      </c>
      <c r="BD125" s="188">
        <f>opex_orig!AV125</f>
        <v>8.94858E-4</v>
      </c>
      <c r="BE125" s="188">
        <f>opex_orig!AW125</f>
        <v>7.8425200000000004E-4</v>
      </c>
      <c r="BF125" s="188">
        <f>opex_orig!AX125</f>
        <v>0</v>
      </c>
      <c r="BG125" s="188">
        <f>opex_orig!AY125</f>
        <v>2.9226149999999999E-3</v>
      </c>
      <c r="BH125" s="188">
        <f>opex_orig!AZ125</f>
        <v>0</v>
      </c>
      <c r="BI125" s="188">
        <f>opex_orig!BA125</f>
        <v>4.6856699999999997E-4</v>
      </c>
      <c r="BJ125" s="188">
        <f>opex_orig!BB125</f>
        <v>2.5419100000000002E-4</v>
      </c>
      <c r="BK125" s="188">
        <f>opex_orig!BC125</f>
        <v>2.25157E-4</v>
      </c>
      <c r="BL125" s="188">
        <f>opex_orig!BD125</f>
        <v>3.60026E-4</v>
      </c>
      <c r="BM125" s="188">
        <f>opex_orig!BE125</f>
        <v>2.1306799999999999E-4</v>
      </c>
      <c r="BN125" s="188">
        <f>opex_orig!BF125</f>
        <v>2.2238600000000001E-4</v>
      </c>
      <c r="BO125" s="188">
        <f>opex_orig!BG125</f>
        <v>3.3962499999999997E-4</v>
      </c>
      <c r="BP125" s="188">
        <f>opex_orig!$BH125</f>
        <v>2.9058190007262802E-4</v>
      </c>
      <c r="BQ125" s="188">
        <f>opex_orig!$BH125</f>
        <v>2.9058190007262802E-4</v>
      </c>
      <c r="BR125" s="188">
        <f>opex_orig!BI125</f>
        <v>3.6383500000000002E-4</v>
      </c>
      <c r="BS125" s="188">
        <f>opex_orig!BJ125</f>
        <v>4.1944900000000002E-4</v>
      </c>
      <c r="BT125" s="188">
        <f>opex_orig!BK125</f>
        <v>7.7690799999999998E-4</v>
      </c>
      <c r="BU125" s="188">
        <f>opex_orig!BL125</f>
        <v>0</v>
      </c>
      <c r="BV125" s="27">
        <f>opex_orig!BM125</f>
        <v>1.0930863295916999E-3</v>
      </c>
      <c r="BW125" s="27">
        <f>opex_orig!BN125</f>
        <v>1.31531528272625E-3</v>
      </c>
      <c r="BX125" s="27">
        <f>opex_orig!BO125</f>
        <v>9.7582138433409198E-4</v>
      </c>
      <c r="BY125" s="27">
        <f>opex_orig!BP125</f>
        <v>1.57584573059786E-3</v>
      </c>
      <c r="BZ125" s="27">
        <f>opex_orig!BQ125</f>
        <v>2.0642955772295301E-3</v>
      </c>
      <c r="CA125" s="27">
        <f>opex_orig!BR125</f>
        <v>1.7718604561677801E-4</v>
      </c>
      <c r="CB125" s="27">
        <f>opex_orig!BS125</f>
        <v>5.15194087609746E-3</v>
      </c>
      <c r="CC125" s="27">
        <f>opex_orig!BT125</f>
        <v>6.0737785386151403E-4</v>
      </c>
      <c r="CD125" s="27">
        <f>opex_orig!BU125</f>
        <v>1.2842948344536799E-4</v>
      </c>
      <c r="CE125" s="27">
        <f>opex_orig!BV125</f>
        <v>1.28429483445369E-4</v>
      </c>
      <c r="CF125" s="27">
        <f>opex_orig!BW125</f>
        <v>7.0185341422322495E-4</v>
      </c>
      <c r="CG125" s="27">
        <f>opex_orig!BX125</f>
        <v>1.7268269304223499E-3</v>
      </c>
      <c r="CH125" s="27">
        <f>opex_orig!BY125</f>
        <v>8.2592417337134003E-2</v>
      </c>
      <c r="CI125" s="27">
        <f>opex_orig!BZ125</f>
        <v>1.50877E-3</v>
      </c>
      <c r="CJ125" s="27">
        <f>opex_orig!CA125</f>
        <v>1.1536859999999999E-3</v>
      </c>
      <c r="CK125" s="27">
        <f>opex_orig!CB125</f>
        <v>1.6421980000000001E-3</v>
      </c>
      <c r="CL125" s="27">
        <f>opex_orig!CC125</f>
        <v>1.3399429999999999E-3</v>
      </c>
      <c r="CM125" s="27">
        <f>opex_orig!CD125</f>
        <v>3.4338440000000001E-3</v>
      </c>
      <c r="CN125" s="27">
        <f>opex_orig!CE125</f>
        <v>5.1986000000000003E-4</v>
      </c>
      <c r="CO125" s="27">
        <f>opex_orig!CF125</f>
        <v>4.0168099999999998E-4</v>
      </c>
      <c r="CP125" s="27">
        <f>opex_orig!CG125</f>
        <v>4.5297499999999999E-4</v>
      </c>
    </row>
    <row r="126" spans="1:94" x14ac:dyDescent="0.25">
      <c r="A126" s="5" t="s">
        <v>243</v>
      </c>
      <c r="B126" s="2" t="s">
        <v>242</v>
      </c>
      <c r="C126" s="1" t="s">
        <v>333</v>
      </c>
      <c r="D126" s="188">
        <f>opex_orig!D126</f>
        <v>1.85162E-4</v>
      </c>
      <c r="E126" s="188">
        <f>opex_orig!E126</f>
        <v>8.4499999999999994E-5</v>
      </c>
      <c r="F126" s="188">
        <f>opex_orig!F126</f>
        <v>2.2302300000000001E-4</v>
      </c>
      <c r="G126" s="188">
        <f>opex_orig!G126</f>
        <v>1.28291E-4</v>
      </c>
      <c r="H126" s="188">
        <f>opex_orig!H126</f>
        <v>1.3699999999999999E-5</v>
      </c>
      <c r="I126" s="188">
        <f>opex_orig!I126</f>
        <v>9.3999999999999994E-5</v>
      </c>
      <c r="J126" s="188">
        <f>opex_orig!J126</f>
        <v>5.363339E-3</v>
      </c>
      <c r="K126" s="188">
        <f>opex_orig!K126</f>
        <v>6.1099999999999994E-5</v>
      </c>
      <c r="L126" s="188">
        <f>opex_orig!L126</f>
        <v>2.1951100000000001E-4</v>
      </c>
      <c r="M126" s="188">
        <f>opex_orig!M126</f>
        <v>3.0090100000000001E-4</v>
      </c>
      <c r="N126" s="188">
        <f>opex_orig!N126</f>
        <v>7.9800000000000002E-5</v>
      </c>
      <c r="O126" s="188">
        <f>opex_orig!O126</f>
        <v>4.3600000000000003E-5</v>
      </c>
      <c r="P126" s="188">
        <f>opex_orig!P126</f>
        <v>1.05604E-4</v>
      </c>
      <c r="Q126" s="188">
        <f>opex_orig!Q126</f>
        <v>1.15065E-4</v>
      </c>
      <c r="R126" s="188">
        <f>opex_orig!R126</f>
        <v>1.33499E-4</v>
      </c>
      <c r="S126" s="188">
        <f>opex_orig!S126</f>
        <v>1.8188500000000001E-4</v>
      </c>
      <c r="T126" s="188">
        <f>opex_orig!T126</f>
        <v>5.1844700000000001E-4</v>
      </c>
      <c r="U126" s="188">
        <f>opex_orig!U126</f>
        <v>7.8235999999999996E-4</v>
      </c>
      <c r="V126" s="188">
        <f>opex_orig!V126</f>
        <v>8.4310799999999997E-4</v>
      </c>
      <c r="W126" s="188">
        <f>opex_orig!W126</f>
        <v>1.83893E-4</v>
      </c>
      <c r="X126" s="188">
        <f>opex_orig!X126</f>
        <v>4.7299999999999998E-5</v>
      </c>
      <c r="Y126" s="188">
        <f>opex_orig!Y126</f>
        <v>3.2299999999999999E-5</v>
      </c>
      <c r="Z126" s="188">
        <f>opex_orig!Z126</f>
        <v>2.05899E-4</v>
      </c>
      <c r="AA126" s="188">
        <f>opex_orig!AA126</f>
        <v>1.9924799999999999E-4</v>
      </c>
      <c r="AB126" s="188">
        <f>opex_orig!$AB126</f>
        <v>4.3640384546201401E-4</v>
      </c>
      <c r="AC126" s="188">
        <f>opex_orig!$AB126</f>
        <v>4.3640384546201401E-4</v>
      </c>
      <c r="AD126" s="188">
        <f>opex_orig!$AB126</f>
        <v>4.3640384546201401E-4</v>
      </c>
      <c r="AE126" s="188">
        <f>opex_orig!$AC126</f>
        <v>1.6182903425994201E-3</v>
      </c>
      <c r="AF126" s="188">
        <f>opex_orig!$AD126</f>
        <v>1.55772246939226E-3</v>
      </c>
      <c r="AG126" s="188">
        <f>opex_orig!$AD126</f>
        <v>1.55772246939226E-3</v>
      </c>
      <c r="AH126" s="188">
        <f>opex_orig!$AD126</f>
        <v>1.55772246939226E-3</v>
      </c>
      <c r="AI126" s="188">
        <f>opex_orig!AE126</f>
        <v>1.2215889999999999E-3</v>
      </c>
      <c r="AJ126" s="188">
        <f>opex_orig!AF126</f>
        <v>1.361929E-3</v>
      </c>
      <c r="AK126" s="188">
        <f>opex_orig!AG126</f>
        <v>5.1900000000000001E-5</v>
      </c>
      <c r="AL126" s="188">
        <f>opex_orig!AH126</f>
        <v>4.5500000000000001E-5</v>
      </c>
      <c r="AM126" s="188">
        <f>opex_orig!AI126</f>
        <v>6.7000000000000002E-5</v>
      </c>
      <c r="AN126" s="188">
        <f>opex_orig!AJ126</f>
        <v>1.03677E-4</v>
      </c>
      <c r="AO126" s="188">
        <f>opex_orig!AK126</f>
        <v>9.2399999999999996E-5</v>
      </c>
      <c r="AP126" s="188">
        <f>opex_orig!$AL126</f>
        <v>6.8685984965705904E-5</v>
      </c>
      <c r="AQ126" s="188">
        <f>opex_orig!$AL126</f>
        <v>6.8685984965705904E-5</v>
      </c>
      <c r="AR126" s="188">
        <f>opex_orig!$AL126</f>
        <v>6.8685984965705904E-5</v>
      </c>
      <c r="AS126" s="188">
        <f>opex_orig!$AM126</f>
        <v>7.7715175616453505E-5</v>
      </c>
      <c r="AT126" s="188">
        <f>opex_orig!AN126</f>
        <v>8.7100000000000003E-5</v>
      </c>
      <c r="AU126" s="188">
        <f>opex_orig!$AO126</f>
        <v>5.9564886090533502E-5</v>
      </c>
      <c r="AV126" s="188">
        <f>opex_orig!$AO126</f>
        <v>5.9564886090533502E-5</v>
      </c>
      <c r="AW126" s="188">
        <f>opex_orig!$AO126</f>
        <v>5.9564886090533502E-5</v>
      </c>
      <c r="AX126" s="188">
        <f>opex_orig!$AP126</f>
        <v>4.9619154386365698E-5</v>
      </c>
      <c r="AY126" s="188">
        <f>opex_orig!AQ126</f>
        <v>8.7299999999999994E-5</v>
      </c>
      <c r="AZ126" s="188">
        <f>opex_orig!AR126</f>
        <v>0</v>
      </c>
      <c r="BA126" s="188">
        <f>opex_orig!AS126</f>
        <v>1.02154E-4</v>
      </c>
      <c r="BB126" s="188">
        <f>opex_orig!AT126</f>
        <v>6.9999999999999994E-5</v>
      </c>
      <c r="BC126" s="188">
        <f>opex_orig!AU126</f>
        <v>5.3399999999999997E-5</v>
      </c>
      <c r="BD126" s="188">
        <f>opex_orig!AV126</f>
        <v>3.9499999999999998E-5</v>
      </c>
      <c r="BE126" s="188">
        <f>opex_orig!AW126</f>
        <v>6.0999999999999999E-5</v>
      </c>
      <c r="BF126" s="188">
        <f>opex_orig!AX126</f>
        <v>0</v>
      </c>
      <c r="BG126" s="188">
        <f>opex_orig!AY126</f>
        <v>1.10027E-4</v>
      </c>
      <c r="BH126" s="188">
        <f>opex_orig!AZ126</f>
        <v>0</v>
      </c>
      <c r="BI126" s="188">
        <f>opex_orig!BA126</f>
        <v>8.9400000000000005E-5</v>
      </c>
      <c r="BJ126" s="188">
        <f>opex_orig!BB126</f>
        <v>4.9700000000000002E-5</v>
      </c>
      <c r="BK126" s="188">
        <f>opex_orig!BC126</f>
        <v>1.91361E-4</v>
      </c>
      <c r="BL126" s="188">
        <f>opex_orig!BD126</f>
        <v>1.4810999999999999E-4</v>
      </c>
      <c r="BM126" s="188">
        <f>opex_orig!BE126</f>
        <v>5.4400000000000001E-5</v>
      </c>
      <c r="BN126" s="188">
        <f>opex_orig!BF126</f>
        <v>1.3555899999999999E-4</v>
      </c>
      <c r="BO126" s="188">
        <f>opex_orig!BG126</f>
        <v>3.4600000000000001E-5</v>
      </c>
      <c r="BP126" s="188">
        <f>opex_orig!$BH126</f>
        <v>7.6597037632502297E-5</v>
      </c>
      <c r="BQ126" s="188">
        <f>opex_orig!$BH126</f>
        <v>7.6597037632502297E-5</v>
      </c>
      <c r="BR126" s="188">
        <f>opex_orig!BI126</f>
        <v>1.11266E-4</v>
      </c>
      <c r="BS126" s="188">
        <f>opex_orig!BJ126</f>
        <v>4.1100000000000003E-5</v>
      </c>
      <c r="BT126" s="188">
        <f>opex_orig!BK126</f>
        <v>4.7599999999999998E-5</v>
      </c>
      <c r="BU126" s="188">
        <f>opex_orig!BL126</f>
        <v>0</v>
      </c>
      <c r="BV126" s="27">
        <f>opex_orig!BM126</f>
        <v>2.13628311488247E-4</v>
      </c>
      <c r="BW126" s="27">
        <f>opex_orig!BN126</f>
        <v>2.6997342164931698E-4</v>
      </c>
      <c r="BX126" s="27">
        <f>opex_orig!BO126</f>
        <v>3.6888396858349998E-5</v>
      </c>
      <c r="BY126" s="27">
        <f>opex_orig!BP126</f>
        <v>5.57424322215016E-5</v>
      </c>
      <c r="BZ126" s="27">
        <f>opex_orig!BQ126</f>
        <v>9.4177155224901295E-5</v>
      </c>
      <c r="CA126" s="27">
        <f>opex_orig!BR126</f>
        <v>5.63814784493878E-4</v>
      </c>
      <c r="CB126" s="27">
        <f>opex_orig!BS126</f>
        <v>4.6736659071911299E-4</v>
      </c>
      <c r="CC126" s="27">
        <f>opex_orig!BT126</f>
        <v>2.0001004104855101E-4</v>
      </c>
      <c r="CD126" s="27">
        <f>opex_orig!BU126</f>
        <v>3.3593493266794803E-5</v>
      </c>
      <c r="CE126" s="27">
        <f>opex_orig!BV126</f>
        <v>3.3593493266794897E-5</v>
      </c>
      <c r="CF126" s="27">
        <f>opex_orig!BW126</f>
        <v>8.5199592517718695E-4</v>
      </c>
      <c r="CG126" s="27">
        <f>opex_orig!BX126</f>
        <v>4.5503871456084701E-3</v>
      </c>
      <c r="CH126" s="27">
        <f>opex_orig!BY126</f>
        <v>1.59233986582802E-4</v>
      </c>
      <c r="CI126" s="27">
        <f>opex_orig!BZ126</f>
        <v>1.17095E-4</v>
      </c>
      <c r="CJ126" s="27">
        <f>opex_orig!CA126</f>
        <v>4.57E-5</v>
      </c>
      <c r="CK126" s="27">
        <f>opex_orig!CB126</f>
        <v>5.6499999999999998E-5</v>
      </c>
      <c r="CL126" s="27">
        <f>opex_orig!CC126</f>
        <v>2.3600000000000001E-5</v>
      </c>
      <c r="CM126" s="27">
        <f>opex_orig!CD126</f>
        <v>3.1973899999999998E-4</v>
      </c>
      <c r="CN126" s="27">
        <f>opex_orig!CE126</f>
        <v>5.6700000000000003E-5</v>
      </c>
      <c r="CO126" s="27">
        <f>opex_orig!CF126</f>
        <v>7.5500000000000006E-5</v>
      </c>
      <c r="CP126" s="27">
        <f>opex_orig!CG126</f>
        <v>3.2100000000000001E-5</v>
      </c>
    </row>
    <row r="127" spans="1:94" x14ac:dyDescent="0.25">
      <c r="A127" s="5" t="s">
        <v>245</v>
      </c>
      <c r="B127" s="2" t="s">
        <v>244</v>
      </c>
      <c r="C127" s="1" t="s">
        <v>333</v>
      </c>
      <c r="D127" s="188">
        <f>opex_orig!D127</f>
        <v>3.0199999999999999E-5</v>
      </c>
      <c r="E127" s="188">
        <f>opex_orig!E127</f>
        <v>1.1800000000000001E-5</v>
      </c>
      <c r="F127" s="188">
        <f>opex_orig!F127</f>
        <v>2.4499999999999999E-5</v>
      </c>
      <c r="G127" s="188">
        <f>opex_orig!G127</f>
        <v>1.5400000000000002E-5</v>
      </c>
      <c r="H127" s="188">
        <f>opex_orig!H127</f>
        <v>1.6700000000000001E-6</v>
      </c>
      <c r="I127" s="188">
        <f>opex_orig!I127</f>
        <v>1.9899999999999999E-5</v>
      </c>
      <c r="J127" s="188">
        <f>opex_orig!J127</f>
        <v>1.353976E-3</v>
      </c>
      <c r="K127" s="188">
        <f>opex_orig!K127</f>
        <v>1.1600000000000001E-5</v>
      </c>
      <c r="L127" s="188">
        <f>opex_orig!L127</f>
        <v>3.3500000000000001E-5</v>
      </c>
      <c r="M127" s="188">
        <f>opex_orig!M127</f>
        <v>4.2299999999999998E-5</v>
      </c>
      <c r="N127" s="188">
        <f>opex_orig!N127</f>
        <v>1.4100000000000001E-5</v>
      </c>
      <c r="O127" s="188">
        <f>opex_orig!O127</f>
        <v>5.1499999999999998E-6</v>
      </c>
      <c r="P127" s="188">
        <f>opex_orig!P127</f>
        <v>2.1500000000000001E-5</v>
      </c>
      <c r="Q127" s="188">
        <f>opex_orig!Q127</f>
        <v>2.9899999999999998E-5</v>
      </c>
      <c r="R127" s="188">
        <f>opex_orig!R127</f>
        <v>2.51E-5</v>
      </c>
      <c r="S127" s="188">
        <f>opex_orig!S127</f>
        <v>1.7600000000000001E-5</v>
      </c>
      <c r="T127" s="188">
        <f>opex_orig!T127</f>
        <v>4.5200000000000001E-5</v>
      </c>
      <c r="U127" s="188">
        <f>opex_orig!U127</f>
        <v>8.25E-5</v>
      </c>
      <c r="V127" s="188">
        <f>opex_orig!V127</f>
        <v>9.4400000000000004E-5</v>
      </c>
      <c r="W127" s="188">
        <f>opex_orig!W127</f>
        <v>2.1299999999999999E-5</v>
      </c>
      <c r="X127" s="188">
        <f>opex_orig!X127</f>
        <v>6.1099999999999999E-6</v>
      </c>
      <c r="Y127" s="188">
        <f>opex_orig!Y127</f>
        <v>6.9399999999999996E-6</v>
      </c>
      <c r="Z127" s="188">
        <f>opex_orig!Z127</f>
        <v>4.1499999999999999E-5</v>
      </c>
      <c r="AA127" s="188">
        <f>opex_orig!AA127</f>
        <v>2.6299999999999999E-5</v>
      </c>
      <c r="AB127" s="188">
        <f>opex_orig!$AB127</f>
        <v>2.56598517958552E-5</v>
      </c>
      <c r="AC127" s="188">
        <f>opex_orig!$AB127</f>
        <v>2.56598517958552E-5</v>
      </c>
      <c r="AD127" s="188">
        <f>opex_orig!$AB127</f>
        <v>2.56598517958552E-5</v>
      </c>
      <c r="AE127" s="188">
        <f>opex_orig!$AC127</f>
        <v>7.0278906283682699E-4</v>
      </c>
      <c r="AF127" s="188">
        <f>opex_orig!$AD127</f>
        <v>4.4305920752965399E-4</v>
      </c>
      <c r="AG127" s="188">
        <f>opex_orig!$AD127</f>
        <v>4.4305920752965399E-4</v>
      </c>
      <c r="AH127" s="188">
        <f>opex_orig!$AD127</f>
        <v>4.4305920752965399E-4</v>
      </c>
      <c r="AI127" s="188">
        <f>opex_orig!AE127</f>
        <v>3.2393100000000001E-4</v>
      </c>
      <c r="AJ127" s="188">
        <f>opex_orig!AF127</f>
        <v>4.1809099999999999E-4</v>
      </c>
      <c r="AK127" s="188">
        <f>opex_orig!AG127</f>
        <v>4.3200000000000001E-6</v>
      </c>
      <c r="AL127" s="188">
        <f>opex_orig!AH127</f>
        <v>5.8000000000000004E-6</v>
      </c>
      <c r="AM127" s="188">
        <f>opex_orig!AI127</f>
        <v>7.5800000000000003E-6</v>
      </c>
      <c r="AN127" s="188">
        <f>opex_orig!AJ127</f>
        <v>1.11E-5</v>
      </c>
      <c r="AO127" s="188">
        <f>opex_orig!AK127</f>
        <v>1.17E-5</v>
      </c>
      <c r="AP127" s="188">
        <f>opex_orig!$AL127</f>
        <v>8.1025116081592503E-6</v>
      </c>
      <c r="AQ127" s="188">
        <f>opex_orig!$AL127</f>
        <v>8.1025116081592503E-6</v>
      </c>
      <c r="AR127" s="188">
        <f>opex_orig!$AL127</f>
        <v>8.1025116081592503E-6</v>
      </c>
      <c r="AS127" s="188">
        <f>opex_orig!$AM127</f>
        <v>9.4930508661316502E-6</v>
      </c>
      <c r="AT127" s="188">
        <f>opex_orig!AN127</f>
        <v>1.0900000000000001E-5</v>
      </c>
      <c r="AU127" s="188">
        <f>opex_orig!$AO127</f>
        <v>7.9637374823292501E-6</v>
      </c>
      <c r="AV127" s="188">
        <f>opex_orig!$AO127</f>
        <v>7.9637374823292501E-6</v>
      </c>
      <c r="AW127" s="188">
        <f>opex_orig!$AO127</f>
        <v>7.9637374823292501E-6</v>
      </c>
      <c r="AX127" s="188">
        <f>opex_orig!$AP127</f>
        <v>7.7318416276896201E-6</v>
      </c>
      <c r="AY127" s="188">
        <f>opex_orig!AQ127</f>
        <v>1.0900000000000001E-5</v>
      </c>
      <c r="AZ127" s="188">
        <f>opex_orig!AR127</f>
        <v>0</v>
      </c>
      <c r="BA127" s="188">
        <f>opex_orig!AS127</f>
        <v>1.04E-5</v>
      </c>
      <c r="BB127" s="188">
        <f>opex_orig!AT127</f>
        <v>7.2099999999999996E-6</v>
      </c>
      <c r="BC127" s="188">
        <f>opex_orig!AU127</f>
        <v>6.0599999999999996E-6</v>
      </c>
      <c r="BD127" s="188">
        <f>opex_orig!AV127</f>
        <v>4.5199999999999999E-6</v>
      </c>
      <c r="BE127" s="188">
        <f>opex_orig!AW127</f>
        <v>7.6299999999999998E-6</v>
      </c>
      <c r="BF127" s="188">
        <f>opex_orig!AX127</f>
        <v>0</v>
      </c>
      <c r="BG127" s="188">
        <f>opex_orig!AY127</f>
        <v>3.57E-5</v>
      </c>
      <c r="BH127" s="188">
        <f>opex_orig!AZ127</f>
        <v>0</v>
      </c>
      <c r="BI127" s="188">
        <f>opex_orig!BA127</f>
        <v>9.9599999999999995E-6</v>
      </c>
      <c r="BJ127" s="188">
        <f>opex_orig!BB127</f>
        <v>4.6399999999999996E-6</v>
      </c>
      <c r="BK127" s="188">
        <f>opex_orig!BC127</f>
        <v>2.4199999999999999E-5</v>
      </c>
      <c r="BL127" s="188">
        <f>opex_orig!BD127</f>
        <v>3.0800000000000003E-5</v>
      </c>
      <c r="BM127" s="188">
        <f>opex_orig!BE127</f>
        <v>4.8999999999999997E-6</v>
      </c>
      <c r="BN127" s="188">
        <f>opex_orig!BF127</f>
        <v>2.16E-5</v>
      </c>
      <c r="BO127" s="188">
        <f>opex_orig!BG127</f>
        <v>4.95E-6</v>
      </c>
      <c r="BP127" s="188">
        <f>opex_orig!$BH127</f>
        <v>7.1706078664653302E-6</v>
      </c>
      <c r="BQ127" s="188">
        <f>opex_orig!$BH127</f>
        <v>7.1706078664653302E-6</v>
      </c>
      <c r="BR127" s="188">
        <f>opex_orig!BI127</f>
        <v>9.91E-6</v>
      </c>
      <c r="BS127" s="188">
        <f>opex_orig!BJ127</f>
        <v>4.8899999999999998E-6</v>
      </c>
      <c r="BT127" s="188">
        <f>opex_orig!BK127</f>
        <v>6.02E-6</v>
      </c>
      <c r="BU127" s="188">
        <f>opex_orig!BL127</f>
        <v>0</v>
      </c>
      <c r="BV127" s="27">
        <f>opex_orig!BM127</f>
        <v>2.8537688557155799E-5</v>
      </c>
      <c r="BW127" s="27">
        <f>opex_orig!BN127</f>
        <v>3.9272731158092397E-5</v>
      </c>
      <c r="BX127" s="27">
        <f>opex_orig!BO127</f>
        <v>6.8724759913631701E-6</v>
      </c>
      <c r="BY127" s="27">
        <f>opex_orig!BP127</f>
        <v>1.22567828829872E-5</v>
      </c>
      <c r="BZ127" s="27">
        <f>opex_orig!BQ127</f>
        <v>1.2602076932610301E-5</v>
      </c>
      <c r="CA127" s="27">
        <f>opex_orig!BR127</f>
        <v>9.8652487574231494E-5</v>
      </c>
      <c r="CB127" s="27">
        <f>opex_orig!BS127</f>
        <v>6.6579454711897395E-5</v>
      </c>
      <c r="CC127" s="27">
        <f>opex_orig!BT127</f>
        <v>9.1268529087479904E-5</v>
      </c>
      <c r="CD127" s="27">
        <f>opex_orig!BU127</f>
        <v>9.6938426385921507E-6</v>
      </c>
      <c r="CE127" s="27">
        <f>opex_orig!BV127</f>
        <v>9.6938426385921693E-6</v>
      </c>
      <c r="CF127" s="27">
        <f>opex_orig!BW127</f>
        <v>9.3271420923262701E-6</v>
      </c>
      <c r="CG127" s="27">
        <f>opex_orig!BX127</f>
        <v>5.0710939687464603E-3</v>
      </c>
      <c r="CH127" s="27">
        <f>opex_orig!BY127</f>
        <v>2.8457455962281798E-4</v>
      </c>
      <c r="CI127" s="27">
        <f>opex_orig!BZ127</f>
        <v>1.8300000000000001E-5</v>
      </c>
      <c r="CJ127" s="27">
        <f>opex_orig!CA127</f>
        <v>9.9699999999999994E-6</v>
      </c>
      <c r="CK127" s="27">
        <f>opex_orig!CB127</f>
        <v>1.1199999999999999E-5</v>
      </c>
      <c r="CL127" s="27">
        <f>opex_orig!CC127</f>
        <v>7.0899999999999999E-6</v>
      </c>
      <c r="CM127" s="27">
        <f>opex_orig!CD127</f>
        <v>3.2499999999999997E-5</v>
      </c>
      <c r="CN127" s="27">
        <f>opex_orig!CE127</f>
        <v>5.0799999999999996E-6</v>
      </c>
      <c r="CO127" s="27">
        <f>opex_orig!CF127</f>
        <v>6.7399999999999998E-6</v>
      </c>
      <c r="CP127" s="27">
        <f>opex_orig!CG127</f>
        <v>4.69E-6</v>
      </c>
    </row>
    <row r="128" spans="1:94" x14ac:dyDescent="0.25">
      <c r="A128" s="5" t="s">
        <v>247</v>
      </c>
      <c r="B128" s="2" t="s">
        <v>246</v>
      </c>
      <c r="C128" s="1" t="s">
        <v>333</v>
      </c>
      <c r="D128" s="188">
        <f>opex_orig!D128</f>
        <v>7.6484899999999995E-4</v>
      </c>
      <c r="E128" s="188">
        <f>opex_orig!E128</f>
        <v>8.3257299999999997E-4</v>
      </c>
      <c r="F128" s="188">
        <f>opex_orig!F128</f>
        <v>1.2935259999999999E-3</v>
      </c>
      <c r="G128" s="188">
        <f>opex_orig!G128</f>
        <v>3.4633800000000002E-4</v>
      </c>
      <c r="H128" s="188">
        <f>opex_orig!H128</f>
        <v>4.94277E-4</v>
      </c>
      <c r="I128" s="188">
        <f>opex_orig!I128</f>
        <v>7.6541800000000002E-4</v>
      </c>
      <c r="J128" s="188">
        <f>opex_orig!J128</f>
        <v>2.9148120000000001E-3</v>
      </c>
      <c r="K128" s="188">
        <f>opex_orig!K128</f>
        <v>1.0940909999999999E-3</v>
      </c>
      <c r="L128" s="188">
        <f>opex_orig!L128</f>
        <v>9.9410600000000003E-4</v>
      </c>
      <c r="M128" s="188">
        <f>opex_orig!M128</f>
        <v>2.7481789999999999E-3</v>
      </c>
      <c r="N128" s="188">
        <f>opex_orig!N128</f>
        <v>3.012505E-3</v>
      </c>
      <c r="O128" s="188">
        <f>opex_orig!O128</f>
        <v>7.5805299999999996E-4</v>
      </c>
      <c r="P128" s="188">
        <f>opex_orig!P128</f>
        <v>9.8597799999999998E-4</v>
      </c>
      <c r="Q128" s="188">
        <f>opex_orig!Q128</f>
        <v>1.7963479999999999E-3</v>
      </c>
      <c r="R128" s="188">
        <f>opex_orig!R128</f>
        <v>2.622096E-3</v>
      </c>
      <c r="S128" s="188">
        <f>opex_orig!S128</f>
        <v>4.3032200000000002E-4</v>
      </c>
      <c r="T128" s="188">
        <f>opex_orig!T128</f>
        <v>1.8150449999999999E-3</v>
      </c>
      <c r="U128" s="188">
        <f>opex_orig!U128</f>
        <v>8.0444999999999996E-4</v>
      </c>
      <c r="V128" s="188">
        <f>opex_orig!V128</f>
        <v>1.0751350000000001E-3</v>
      </c>
      <c r="W128" s="188">
        <f>opex_orig!W128</f>
        <v>5.0953000000000001E-4</v>
      </c>
      <c r="X128" s="188">
        <f>opex_orig!X128</f>
        <v>1.1640279999999999E-3</v>
      </c>
      <c r="Y128" s="188">
        <f>opex_orig!Y128</f>
        <v>1.206904E-3</v>
      </c>
      <c r="Z128" s="188">
        <f>opex_orig!Z128</f>
        <v>1.0191410000000001E-3</v>
      </c>
      <c r="AA128" s="188">
        <f>opex_orig!AA128</f>
        <v>4.5103749999999996E-3</v>
      </c>
      <c r="AB128" s="188">
        <f>opex_orig!$AB128</f>
        <v>4.6961865990394099E-3</v>
      </c>
      <c r="AC128" s="188">
        <f>opex_orig!$AB128</f>
        <v>4.6961865990394099E-3</v>
      </c>
      <c r="AD128" s="188">
        <f>opex_orig!$AB128</f>
        <v>4.6961865990394099E-3</v>
      </c>
      <c r="AE128" s="188">
        <f>opex_orig!$AC128</f>
        <v>3.9510069457153098E-3</v>
      </c>
      <c r="AF128" s="188">
        <f>opex_orig!$AD128</f>
        <v>1.2890116050297E-3</v>
      </c>
      <c r="AG128" s="188">
        <f>opex_orig!$AD128</f>
        <v>1.2890116050297E-3</v>
      </c>
      <c r="AH128" s="188">
        <f>opex_orig!$AD128</f>
        <v>1.2890116050297E-3</v>
      </c>
      <c r="AI128" s="188">
        <f>opex_orig!AE128</f>
        <v>9.1388799999999996E-4</v>
      </c>
      <c r="AJ128" s="188">
        <f>opex_orig!AF128</f>
        <v>1.0803480000000001E-3</v>
      </c>
      <c r="AK128" s="188">
        <f>opex_orig!AG128</f>
        <v>3.0626900000000002E-4</v>
      </c>
      <c r="AL128" s="188">
        <f>opex_orig!AH128</f>
        <v>6.4069500000000004E-4</v>
      </c>
      <c r="AM128" s="188">
        <f>opex_orig!AI128</f>
        <v>1.5412920000000001E-3</v>
      </c>
      <c r="AN128" s="188">
        <f>opex_orig!AJ128</f>
        <v>1.1224060000000001E-3</v>
      </c>
      <c r="AO128" s="188">
        <f>opex_orig!AK128</f>
        <v>2.268197E-3</v>
      </c>
      <c r="AP128" s="188">
        <f>opex_orig!$AL128</f>
        <v>1.19816973926377E-3</v>
      </c>
      <c r="AQ128" s="188">
        <f>opex_orig!$AL128</f>
        <v>1.19816973926377E-3</v>
      </c>
      <c r="AR128" s="188">
        <f>opex_orig!$AL128</f>
        <v>1.19816973926377E-3</v>
      </c>
      <c r="AS128" s="188">
        <f>opex_orig!$AM128</f>
        <v>1.90964238504414E-3</v>
      </c>
      <c r="AT128" s="188">
        <f>opex_orig!AN128</f>
        <v>1.3865730000000001E-3</v>
      </c>
      <c r="AU128" s="188">
        <f>opex_orig!$AO128</f>
        <v>6.8154970479117002E-4</v>
      </c>
      <c r="AV128" s="188">
        <f>opex_orig!$AO128</f>
        <v>6.8154970479117002E-4</v>
      </c>
      <c r="AW128" s="188">
        <f>opex_orig!$AO128</f>
        <v>6.8154970479117002E-4</v>
      </c>
      <c r="AX128" s="188">
        <f>opex_orig!$AP128</f>
        <v>1.1102282720144899E-3</v>
      </c>
      <c r="AY128" s="188">
        <f>opex_orig!AQ128</f>
        <v>1.3232129999999999E-3</v>
      </c>
      <c r="AZ128" s="188">
        <f>opex_orig!AR128</f>
        <v>0</v>
      </c>
      <c r="BA128" s="188">
        <f>opex_orig!AS128</f>
        <v>1.018054E-3</v>
      </c>
      <c r="BB128" s="188">
        <f>opex_orig!AT128</f>
        <v>7.5449499999999999E-4</v>
      </c>
      <c r="BC128" s="188">
        <f>opex_orig!AU128</f>
        <v>8.1497099999999995E-4</v>
      </c>
      <c r="BD128" s="188">
        <f>opex_orig!AV128</f>
        <v>8.7048900000000001E-4</v>
      </c>
      <c r="BE128" s="188">
        <f>opex_orig!AW128</f>
        <v>1.063533E-3</v>
      </c>
      <c r="BF128" s="188">
        <f>opex_orig!AX128</f>
        <v>0</v>
      </c>
      <c r="BG128" s="188">
        <f>opex_orig!AY128</f>
        <v>3.3580630000000001E-3</v>
      </c>
      <c r="BH128" s="188">
        <f>opex_orig!AZ128</f>
        <v>0</v>
      </c>
      <c r="BI128" s="188">
        <f>opex_orig!BA128</f>
        <v>6.8038899999999999E-4</v>
      </c>
      <c r="BJ128" s="188">
        <f>opex_orig!BB128</f>
        <v>3.7747699999999998E-4</v>
      </c>
      <c r="BK128" s="188">
        <f>opex_orig!BC128</f>
        <v>9.3853700000000003E-4</v>
      </c>
      <c r="BL128" s="188">
        <f>opex_orig!BD128</f>
        <v>2.5647280000000001E-3</v>
      </c>
      <c r="BM128" s="188">
        <f>opex_orig!BE128</f>
        <v>5.9221399999999998E-4</v>
      </c>
      <c r="BN128" s="188">
        <f>opex_orig!BF128</f>
        <v>2.606241E-3</v>
      </c>
      <c r="BO128" s="188">
        <f>opex_orig!BG128</f>
        <v>6.3056799999999997E-4</v>
      </c>
      <c r="BP128" s="188">
        <f>opex_orig!$BH128</f>
        <v>3.9709589293945798E-4</v>
      </c>
      <c r="BQ128" s="188">
        <f>opex_orig!$BH128</f>
        <v>3.9709589293945798E-4</v>
      </c>
      <c r="BR128" s="188">
        <f>opex_orig!BI128</f>
        <v>6.8915100000000004E-4</v>
      </c>
      <c r="BS128" s="188">
        <f>opex_orig!BJ128</f>
        <v>1.585089E-3</v>
      </c>
      <c r="BT128" s="188">
        <f>opex_orig!BK128</f>
        <v>8.9284900000000003E-4</v>
      </c>
      <c r="BU128" s="188">
        <f>opex_orig!BL128</f>
        <v>0</v>
      </c>
      <c r="BV128" s="27">
        <f>opex_orig!BM128</f>
        <v>4.3651645219977298E-4</v>
      </c>
      <c r="BW128" s="27">
        <f>opex_orig!BN128</f>
        <v>1.3788962523253801E-3</v>
      </c>
      <c r="BX128" s="27">
        <f>opex_orig!BO128</f>
        <v>1.8158500379523E-4</v>
      </c>
      <c r="BY128" s="27">
        <f>opex_orig!BP128</f>
        <v>6.2184905299859504E-4</v>
      </c>
      <c r="BZ128" s="27">
        <f>opex_orig!BQ128</f>
        <v>1.04233991725125E-3</v>
      </c>
      <c r="CA128" s="27">
        <f>opex_orig!BR128</f>
        <v>1.20514395761784E-4</v>
      </c>
      <c r="CB128" s="27">
        <f>opex_orig!BS128</f>
        <v>4.3027948339879399E-3</v>
      </c>
      <c r="CC128" s="27">
        <f>opex_orig!BT128</f>
        <v>4.0941938068393701E-4</v>
      </c>
      <c r="CD128" s="27">
        <f>opex_orig!BU128</f>
        <v>3.9790982590792598E-4</v>
      </c>
      <c r="CE128" s="27">
        <f>opex_orig!BV128</f>
        <v>3.9790982590792598E-4</v>
      </c>
      <c r="CF128" s="27">
        <f>opex_orig!BW128</f>
        <v>1.4950258522201501E-4</v>
      </c>
      <c r="CG128" s="27">
        <f>opex_orig!BX128</f>
        <v>6.2792805393488296E-4</v>
      </c>
      <c r="CH128" s="27">
        <f>opex_orig!BY128</f>
        <v>1.0061063617771201E-2</v>
      </c>
      <c r="CI128" s="27">
        <f>opex_orig!BZ128</f>
        <v>6.8538300000000002E-4</v>
      </c>
      <c r="CJ128" s="27">
        <f>opex_orig!CA128</f>
        <v>2.8825999999999998E-4</v>
      </c>
      <c r="CK128" s="27">
        <f>opex_orig!CB128</f>
        <v>2.0668300000000001E-4</v>
      </c>
      <c r="CL128" s="27">
        <f>opex_orig!CC128</f>
        <v>1.4624700000000001E-4</v>
      </c>
      <c r="CM128" s="27">
        <f>opex_orig!CD128</f>
        <v>8.9305500000000002E-4</v>
      </c>
      <c r="CN128" s="27">
        <f>opex_orig!CE128</f>
        <v>5.7797600000000001E-4</v>
      </c>
      <c r="CO128" s="27">
        <f>opex_orig!CF128</f>
        <v>3.38831E-4</v>
      </c>
      <c r="CP128" s="27">
        <f>opex_orig!CG128</f>
        <v>5.4049700000000003E-4</v>
      </c>
    </row>
    <row r="129" spans="1:94" x14ac:dyDescent="0.25">
      <c r="A129" s="5" t="s">
        <v>249</v>
      </c>
      <c r="B129" s="2" t="s">
        <v>248</v>
      </c>
      <c r="C129" s="1" t="s">
        <v>333</v>
      </c>
      <c r="D129" s="188">
        <f>opex_orig!D129</f>
        <v>2.854859E-3</v>
      </c>
      <c r="E129" s="188">
        <f>opex_orig!E129</f>
        <v>2.8185939999999998E-3</v>
      </c>
      <c r="F129" s="188">
        <f>opex_orig!F129</f>
        <v>2.2087399999999998E-3</v>
      </c>
      <c r="G129" s="188">
        <f>opex_orig!G129</f>
        <v>5.95018E-4</v>
      </c>
      <c r="H129" s="188">
        <f>opex_orig!H129</f>
        <v>8.7890799999999997E-4</v>
      </c>
      <c r="I129" s="188">
        <f>opex_orig!I129</f>
        <v>7.5376660000000002E-3</v>
      </c>
      <c r="J129" s="188">
        <f>opex_orig!J129</f>
        <v>1.0400997E-2</v>
      </c>
      <c r="K129" s="188">
        <f>opex_orig!K129</f>
        <v>1.745704E-3</v>
      </c>
      <c r="L129" s="188">
        <f>opex_orig!L129</f>
        <v>3.8818699999999999E-3</v>
      </c>
      <c r="M129" s="188">
        <f>opex_orig!M129</f>
        <v>8.7406040000000008E-3</v>
      </c>
      <c r="N129" s="188">
        <f>opex_orig!N129</f>
        <v>6.7026860000000002E-3</v>
      </c>
      <c r="O129" s="188">
        <f>opex_orig!O129</f>
        <v>3.7908460000000001E-3</v>
      </c>
      <c r="P129" s="188">
        <f>opex_orig!P129</f>
        <v>2.5712510000000001E-3</v>
      </c>
      <c r="Q129" s="188">
        <f>opex_orig!Q129</f>
        <v>2.2137070000000001E-3</v>
      </c>
      <c r="R129" s="188">
        <f>opex_orig!R129</f>
        <v>3.2166809999999999E-3</v>
      </c>
      <c r="S129" s="188">
        <f>opex_orig!S129</f>
        <v>3.802873E-3</v>
      </c>
      <c r="T129" s="188">
        <f>opex_orig!T129</f>
        <v>6.5518399999999997E-3</v>
      </c>
      <c r="U129" s="188">
        <f>opex_orig!U129</f>
        <v>1.2220593E-2</v>
      </c>
      <c r="V129" s="188">
        <f>opex_orig!V129</f>
        <v>1.6969841999999999E-2</v>
      </c>
      <c r="W129" s="188">
        <f>opex_orig!W129</f>
        <v>3.206141E-3</v>
      </c>
      <c r="X129" s="188">
        <f>opex_orig!X129</f>
        <v>1.9574950000000001E-3</v>
      </c>
      <c r="Y129" s="188">
        <f>opex_orig!Y129</f>
        <v>7.8107250000000001E-3</v>
      </c>
      <c r="Z129" s="188">
        <f>opex_orig!Z129</f>
        <v>4.7694319999999998E-2</v>
      </c>
      <c r="AA129" s="188">
        <f>opex_orig!AA129</f>
        <v>8.1183078000000006E-2</v>
      </c>
      <c r="AB129" s="276">
        <f>opex_concordance!M198</f>
        <v>8.6195502111505104E-3</v>
      </c>
      <c r="AC129" s="276">
        <f>opex_concordance!M227</f>
        <v>1.5006737230463283E-2</v>
      </c>
      <c r="AD129" s="276">
        <f>opex_concordance!M288</f>
        <v>1.5194309932665717E-2</v>
      </c>
      <c r="AE129" s="188">
        <f>opex_orig!$AC129</f>
        <v>7.8861902575557905E-3</v>
      </c>
      <c r="AF129" s="257">
        <f>opex_concordance!$M$322</f>
        <v>5.5702518711760098E-3</v>
      </c>
      <c r="AG129" s="257">
        <f>opex_concordance!$M$358</f>
        <v>2.4684206819904756E-3</v>
      </c>
      <c r="AH129" s="257">
        <f>opex_concordance!$M$394</f>
        <v>1.980403318605101E-3</v>
      </c>
      <c r="AI129" s="188">
        <f>opex_orig!AE129</f>
        <v>4.8860470000000001E-3</v>
      </c>
      <c r="AJ129" s="188">
        <f>opex_orig!AF129</f>
        <v>1.0977143E-2</v>
      </c>
      <c r="AK129" s="188">
        <f>opex_orig!AG129</f>
        <v>7.0704139999999997E-3</v>
      </c>
      <c r="AL129" s="188">
        <f>opex_orig!AH129</f>
        <v>2.0845799000000002E-2</v>
      </c>
      <c r="AM129" s="188">
        <f>opex_orig!AI129</f>
        <v>4.0658342E-2</v>
      </c>
      <c r="AN129" s="188">
        <f>opex_orig!AJ129</f>
        <v>5.2466252999999997E-2</v>
      </c>
      <c r="AO129" s="188">
        <f>opex_orig!AK129</f>
        <v>4.8092540000000003E-2</v>
      </c>
      <c r="AP129" s="257">
        <f>opex_concordance!M404</f>
        <v>4.8979815221200297E-2</v>
      </c>
      <c r="AQ129" s="257">
        <f>opex_concordance!M458</f>
        <v>0.12753339019704485</v>
      </c>
      <c r="AR129" s="257">
        <f>opex_concordance!M512</f>
        <v>9.1974723220508356E-2</v>
      </c>
      <c r="AS129" s="188">
        <f>opex_orig!$AM129</f>
        <v>4.8415993644779998E-2</v>
      </c>
      <c r="AT129" s="188">
        <f>opex_orig!AN129</f>
        <v>6.1433205999999997E-2</v>
      </c>
      <c r="AU129" s="257">
        <f>opex_concordance!M571</f>
        <v>1.8017444205891301E-2</v>
      </c>
      <c r="AV129" s="257">
        <f>opex_concordance!M617</f>
        <v>2.4476634456808144E-2</v>
      </c>
      <c r="AW129" s="257">
        <f>opex_concordance!M663</f>
        <v>5.771368727568256E-2</v>
      </c>
      <c r="AX129" s="188">
        <f>opex_orig!$AP129</f>
        <v>1.9683711835593899E-2</v>
      </c>
      <c r="AY129" s="188">
        <f>opex_orig!AQ129</f>
        <v>1.7804176000000001E-2</v>
      </c>
      <c r="AZ129" s="188">
        <f>opex_orig!AR129</f>
        <v>0</v>
      </c>
      <c r="BA129" s="188">
        <f>opex_orig!AS129</f>
        <v>1.0593816000000001E-2</v>
      </c>
      <c r="BB129" s="188">
        <f>opex_orig!AT129</f>
        <v>1.0310395999999999E-2</v>
      </c>
      <c r="BC129" s="188">
        <f>opex_orig!AU129</f>
        <v>3.9662609999999996E-3</v>
      </c>
      <c r="BD129" s="188">
        <f>opex_orig!AV129</f>
        <v>3.5165420000000001E-3</v>
      </c>
      <c r="BE129" s="188">
        <f>opex_orig!AW129</f>
        <v>7.3690170000000003E-3</v>
      </c>
      <c r="BF129" s="188">
        <f>opex_orig!AX129</f>
        <v>0</v>
      </c>
      <c r="BG129" s="188">
        <f>opex_orig!AY129</f>
        <v>1.9210640000000001E-2</v>
      </c>
      <c r="BH129" s="188">
        <f>opex_orig!AZ129</f>
        <v>0</v>
      </c>
      <c r="BI129" s="188">
        <f>opex_orig!BA129</f>
        <v>2.1830626999999998E-2</v>
      </c>
      <c r="BJ129" s="188">
        <f>opex_orig!BB129</f>
        <v>1.0247832E-2</v>
      </c>
      <c r="BK129" s="188">
        <f>opex_orig!BC129</f>
        <v>4.9927579999999999E-3</v>
      </c>
      <c r="BL129" s="188">
        <f>opex_orig!BD129</f>
        <v>2.0797950000000002E-3</v>
      </c>
      <c r="BM129" s="188">
        <f>opex_orig!BE129</f>
        <v>1.9607270000000002E-3</v>
      </c>
      <c r="BN129" s="188">
        <f>opex_orig!BF129</f>
        <v>6.6239080000000004E-3</v>
      </c>
      <c r="BO129" s="188">
        <f>opex_orig!BG129</f>
        <v>4.0945189999999996E-3</v>
      </c>
      <c r="BP129" s="188">
        <f>opex_orig!$BH129</f>
        <v>3.0630563033745301E-3</v>
      </c>
      <c r="BQ129" s="188">
        <f>opex_orig!$BH129</f>
        <v>3.0630563033745301E-3</v>
      </c>
      <c r="BR129" s="188">
        <f>opex_orig!BI129</f>
        <v>1.8553420000000001E-3</v>
      </c>
      <c r="BS129" s="188">
        <f>opex_orig!BJ129</f>
        <v>3.8129129999999998E-3</v>
      </c>
      <c r="BT129" s="188">
        <f>opex_orig!BK129</f>
        <v>1.4652884999999999E-2</v>
      </c>
      <c r="BU129" s="188">
        <f>opex_orig!BL129</f>
        <v>0</v>
      </c>
      <c r="BV129" s="27">
        <f>opex_orig!BM129</f>
        <v>1.24887011462232E-2</v>
      </c>
      <c r="BW129" s="27">
        <f>opex_orig!BN129</f>
        <v>1.11684149702888E-2</v>
      </c>
      <c r="BX129" s="27">
        <f>opex_orig!BO129</f>
        <v>3.8837158532219499E-3</v>
      </c>
      <c r="BY129" s="27">
        <f>opex_orig!BP129</f>
        <v>6.5277647407708597E-3</v>
      </c>
      <c r="BZ129" s="27">
        <f>opex_orig!BQ129</f>
        <v>7.1654778110933296E-3</v>
      </c>
      <c r="CA129" s="27">
        <f>opex_orig!BR129</f>
        <v>5.62290737218951E-3</v>
      </c>
      <c r="CB129" s="27">
        <f>opex_orig!BS129</f>
        <v>1.1643511537964699E-2</v>
      </c>
      <c r="CC129" s="27">
        <f>opex_orig!BT129</f>
        <v>1.6858343766597901E-2</v>
      </c>
      <c r="CD129" s="27">
        <f>opex_orig!BU129</f>
        <v>6.9076222185073697E-3</v>
      </c>
      <c r="CE129" s="27">
        <f>opex_orig!BV129</f>
        <v>6.9076222185073697E-3</v>
      </c>
      <c r="CF129" s="27">
        <f>opex_orig!BW129</f>
        <v>5.7522940539109604E-4</v>
      </c>
      <c r="CG129" s="27">
        <f>opex_orig!BX129</f>
        <v>4.99276597520989E-3</v>
      </c>
      <c r="CH129" s="27">
        <f>opex_orig!BY129</f>
        <v>2.6019611283292399E-3</v>
      </c>
      <c r="CI129" s="27">
        <f>opex_orig!BZ129</f>
        <v>9.1564209999999997E-3</v>
      </c>
      <c r="CJ129" s="27">
        <f>opex_orig!CA129</f>
        <v>7.564543E-3</v>
      </c>
      <c r="CK129" s="27">
        <f>opex_orig!CB129</f>
        <v>8.1018300000000008E-3</v>
      </c>
      <c r="CL129" s="27">
        <f>opex_orig!CC129</f>
        <v>5.3133549999999996E-3</v>
      </c>
      <c r="CM129" s="27">
        <f>opex_orig!CD129</f>
        <v>1.6146087999999999E-2</v>
      </c>
      <c r="CN129" s="27">
        <f>opex_orig!CE129</f>
        <v>1.0641667E-2</v>
      </c>
      <c r="CO129" s="27">
        <f>opex_orig!CF129</f>
        <v>2.5879829999999999E-3</v>
      </c>
      <c r="CP129" s="27">
        <f>opex_orig!CG129</f>
        <v>1.129225E-3</v>
      </c>
    </row>
    <row r="130" spans="1:94" x14ac:dyDescent="0.25">
      <c r="A130" s="9" t="s">
        <v>251</v>
      </c>
      <c r="B130" s="2" t="s">
        <v>250</v>
      </c>
      <c r="C130" s="1" t="s">
        <v>333</v>
      </c>
      <c r="D130" s="188">
        <f>opex_orig!D130</f>
        <v>5.2077899999999997E-4</v>
      </c>
      <c r="E130" s="188">
        <f>opex_orig!E130</f>
        <v>4.6802999999999998E-4</v>
      </c>
      <c r="F130" s="188">
        <f>opex_orig!F130</f>
        <v>2.0494400000000001E-4</v>
      </c>
      <c r="G130" s="188">
        <f>opex_orig!G130</f>
        <v>4.7299999999999998E-5</v>
      </c>
      <c r="H130" s="188">
        <f>opex_orig!H130</f>
        <v>8.42E-5</v>
      </c>
      <c r="I130" s="188">
        <f>opex_orig!I130</f>
        <v>1.365836E-3</v>
      </c>
      <c r="J130" s="188">
        <f>opex_orig!J130</f>
        <v>1.723535E-3</v>
      </c>
      <c r="K130" s="188">
        <f>opex_orig!K130</f>
        <v>1.2924400000000001E-4</v>
      </c>
      <c r="L130" s="188">
        <f>opex_orig!L130</f>
        <v>1.0939929999999999E-3</v>
      </c>
      <c r="M130" s="188">
        <f>opex_orig!M130</f>
        <v>2.868743E-3</v>
      </c>
      <c r="N130" s="188">
        <f>opex_orig!N130</f>
        <v>1.5763280000000001E-3</v>
      </c>
      <c r="O130" s="188">
        <f>opex_orig!O130</f>
        <v>1.5258769999999999E-3</v>
      </c>
      <c r="P130" s="188">
        <f>opex_orig!P130</f>
        <v>1.775006E-3</v>
      </c>
      <c r="Q130" s="188">
        <f>opex_orig!Q130</f>
        <v>5.13248E-4</v>
      </c>
      <c r="R130" s="188">
        <f>opex_orig!R130</f>
        <v>4.3209800000000001E-4</v>
      </c>
      <c r="S130" s="188">
        <f>opex_orig!S130</f>
        <v>1.3058119999999999E-3</v>
      </c>
      <c r="T130" s="188">
        <f>opex_orig!T130</f>
        <v>1.481509E-3</v>
      </c>
      <c r="U130" s="188">
        <f>opex_orig!U130</f>
        <v>1.2509699999999999E-3</v>
      </c>
      <c r="V130" s="188">
        <f>opex_orig!V130</f>
        <v>1.692296E-3</v>
      </c>
      <c r="W130" s="188">
        <f>opex_orig!W130</f>
        <v>1.22072E-3</v>
      </c>
      <c r="X130" s="188">
        <f>opex_orig!X130</f>
        <v>2.0230754E-2</v>
      </c>
      <c r="Y130" s="188">
        <f>opex_orig!Y130</f>
        <v>7.3999999999999996E-5</v>
      </c>
      <c r="Z130" s="188">
        <f>opex_orig!Z130</f>
        <v>3.7654399999999998E-4</v>
      </c>
      <c r="AA130" s="188">
        <f>opex_orig!AA130</f>
        <v>8.8513700000000003E-4</v>
      </c>
      <c r="AB130" s="188">
        <f>opex_orig!$AB130</f>
        <v>3.36609779159709E-4</v>
      </c>
      <c r="AC130" s="188">
        <f>opex_orig!$AB130</f>
        <v>3.36609779159709E-4</v>
      </c>
      <c r="AD130" s="188">
        <f>opex_orig!$AB130</f>
        <v>3.36609779159709E-4</v>
      </c>
      <c r="AE130" s="188">
        <f>opex_orig!$AC130</f>
        <v>3.5107474686844501E-4</v>
      </c>
      <c r="AF130" s="188">
        <f>opex_orig!$AD130</f>
        <v>4.79708025818266E-4</v>
      </c>
      <c r="AG130" s="188">
        <f>opex_orig!$AD130</f>
        <v>4.79708025818266E-4</v>
      </c>
      <c r="AH130" s="188">
        <f>opex_orig!$AD130</f>
        <v>4.79708025818266E-4</v>
      </c>
      <c r="AI130" s="188">
        <f>opex_orig!AE130</f>
        <v>5.2962300000000001E-4</v>
      </c>
      <c r="AJ130" s="188">
        <f>opex_orig!AF130</f>
        <v>7.5091700000000003E-4</v>
      </c>
      <c r="AK130" s="188">
        <f>opex_orig!AG130</f>
        <v>6.4364269999999998E-3</v>
      </c>
      <c r="AL130" s="188">
        <f>opex_orig!AH130</f>
        <v>1.6000000000000001E-3</v>
      </c>
      <c r="AM130" s="188">
        <f>opex_orig!AI130</f>
        <v>3.2685430000000001E-3</v>
      </c>
      <c r="AN130" s="188">
        <f>opex_orig!AJ130</f>
        <v>1.143313E-3</v>
      </c>
      <c r="AO130" s="188">
        <f>opex_orig!AK130</f>
        <v>1.3452970000000001E-3</v>
      </c>
      <c r="AP130" s="188">
        <f>opex_orig!$AL130</f>
        <v>1.1189684497528E-3</v>
      </c>
      <c r="AQ130" s="188">
        <f>opex_orig!$AL130</f>
        <v>1.1189684497528E-3</v>
      </c>
      <c r="AR130" s="188">
        <f>opex_orig!$AL130</f>
        <v>1.1189684497528E-3</v>
      </c>
      <c r="AS130" s="188">
        <f>opex_orig!$AM130</f>
        <v>1.0918042999814299E-3</v>
      </c>
      <c r="AT130" s="188">
        <f>opex_orig!AN130</f>
        <v>1.4952539999999999E-3</v>
      </c>
      <c r="AU130" s="188">
        <f>opex_orig!$AO130</f>
        <v>6.1144602789129602E-5</v>
      </c>
      <c r="AV130" s="188">
        <f>opex_orig!$AO130</f>
        <v>6.1144602789129602E-5</v>
      </c>
      <c r="AW130" s="188">
        <f>opex_orig!$AO130</f>
        <v>6.1144602789129602E-5</v>
      </c>
      <c r="AX130" s="188">
        <f>opex_orig!$AP130</f>
        <v>7.6589913860256804E-5</v>
      </c>
      <c r="AY130" s="188">
        <f>opex_orig!AQ130</f>
        <v>1.62258E-4</v>
      </c>
      <c r="AZ130" s="188">
        <f>opex_orig!AR130</f>
        <v>0</v>
      </c>
      <c r="BA130" s="188">
        <f>opex_orig!AS130</f>
        <v>9.4300000000000002E-5</v>
      </c>
      <c r="BB130" s="188">
        <f>opex_orig!AT130</f>
        <v>9.7100000000000002E-5</v>
      </c>
      <c r="BC130" s="188">
        <f>opex_orig!AU130</f>
        <v>3.8399999999999998E-5</v>
      </c>
      <c r="BD130" s="188">
        <f>opex_orig!AV130</f>
        <v>3.5500000000000002E-5</v>
      </c>
      <c r="BE130" s="188">
        <f>opex_orig!AW130</f>
        <v>6.4999999999999994E-5</v>
      </c>
      <c r="BF130" s="188">
        <f>opex_orig!AX130</f>
        <v>0</v>
      </c>
      <c r="BG130" s="188">
        <f>opex_orig!AY130</f>
        <v>2.0941300000000001E-4</v>
      </c>
      <c r="BH130" s="188">
        <f>opex_orig!AZ130</f>
        <v>0</v>
      </c>
      <c r="BI130" s="188">
        <f>opex_orig!BA130</f>
        <v>1.6789999999999999E-4</v>
      </c>
      <c r="BJ130" s="188">
        <f>opex_orig!BB130</f>
        <v>2.8974399999999998E-3</v>
      </c>
      <c r="BK130" s="188">
        <f>opex_orig!BC130</f>
        <v>1.3896340000000001E-3</v>
      </c>
      <c r="BL130" s="188">
        <f>opex_orig!BD130</f>
        <v>5.1371189999999999E-3</v>
      </c>
      <c r="BM130" s="188">
        <f>opex_orig!BE130</f>
        <v>3.1334819999999999E-3</v>
      </c>
      <c r="BN130" s="188">
        <f>opex_orig!BF130</f>
        <v>7.6569949999999998E-3</v>
      </c>
      <c r="BO130" s="188">
        <f>opex_orig!BG130</f>
        <v>4.405389E-3</v>
      </c>
      <c r="BP130" s="188">
        <f>opex_orig!$BH130</f>
        <v>1.7708151828157799E-3</v>
      </c>
      <c r="BQ130" s="188">
        <f>opex_orig!$BH130</f>
        <v>1.7708151828157799E-3</v>
      </c>
      <c r="BR130" s="188">
        <f>opex_orig!BI130</f>
        <v>1.8473129999999999E-3</v>
      </c>
      <c r="BS130" s="188">
        <f>opex_orig!BJ130</f>
        <v>4.4074989999999996E-3</v>
      </c>
      <c r="BT130" s="188">
        <f>opex_orig!BK130</f>
        <v>1.4651930000000001E-3</v>
      </c>
      <c r="BU130" s="188">
        <f>opex_orig!BL130</f>
        <v>0</v>
      </c>
      <c r="BV130" s="27">
        <f>opex_orig!BM130</f>
        <v>8.2380234674688697E-3</v>
      </c>
      <c r="BW130" s="27">
        <f>opex_orig!BN130</f>
        <v>7.5069060538666002E-3</v>
      </c>
      <c r="BX130" s="27">
        <f>opex_orig!BO130</f>
        <v>5.03024065880215E-3</v>
      </c>
      <c r="BY130" s="27">
        <f>opex_orig!BP130</f>
        <v>4.3390724122297298E-3</v>
      </c>
      <c r="BZ130" s="27">
        <f>opex_orig!BQ130</f>
        <v>4.4065699529427802E-3</v>
      </c>
      <c r="CA130" s="27">
        <f>opex_orig!BR130</f>
        <v>1.32387960396945E-3</v>
      </c>
      <c r="CB130" s="27">
        <f>opex_orig!BS130</f>
        <v>4.3681031455330499E-3</v>
      </c>
      <c r="CC130" s="27">
        <f>opex_orig!BT130</f>
        <v>2.4860660506927199E-3</v>
      </c>
      <c r="CD130" s="27">
        <f>opex_orig!BU130</f>
        <v>4.8858656175671498E-3</v>
      </c>
      <c r="CE130" s="27">
        <f>opex_orig!BV130</f>
        <v>4.8858656175671498E-3</v>
      </c>
      <c r="CF130" s="27">
        <f>opex_orig!BW130</f>
        <v>3.6593601572017402E-2</v>
      </c>
      <c r="CG130" s="27">
        <f>opex_orig!BX130</f>
        <v>4.4863204701593398E-5</v>
      </c>
      <c r="CH130" s="27">
        <f>opex_orig!BY130</f>
        <v>1.83564597554879E-4</v>
      </c>
      <c r="CI130" s="27">
        <f>opex_orig!BZ130</f>
        <v>6.396929E-3</v>
      </c>
      <c r="CJ130" s="27">
        <f>opex_orig!CA130</f>
        <v>5.4375769999999999E-3</v>
      </c>
      <c r="CK130" s="27">
        <f>opex_orig!CB130</f>
        <v>5.9823999999999997E-3</v>
      </c>
      <c r="CL130" s="27">
        <f>opex_orig!CC130</f>
        <v>1.0479176999999999E-2</v>
      </c>
      <c r="CM130" s="27">
        <f>opex_orig!CD130</f>
        <v>1.273551E-2</v>
      </c>
      <c r="CN130" s="27">
        <f>opex_orig!CE130</f>
        <v>6.3975990000000003E-3</v>
      </c>
      <c r="CO130" s="27">
        <f>opex_orig!CF130</f>
        <v>2.4970169999999998E-3</v>
      </c>
      <c r="CP130" s="27">
        <f>opex_orig!CG130</f>
        <v>3.9652300000000003E-4</v>
      </c>
    </row>
    <row r="131" spans="1:94" x14ac:dyDescent="0.25">
      <c r="A131" s="5" t="s">
        <v>253</v>
      </c>
      <c r="B131" s="2" t="s">
        <v>252</v>
      </c>
      <c r="C131" s="1" t="s">
        <v>334</v>
      </c>
      <c r="D131" s="188">
        <f>opex_orig!D131</f>
        <v>6.7638699999999997E-4</v>
      </c>
      <c r="E131" s="188">
        <f>opex_orig!E131</f>
        <v>1.095581E-3</v>
      </c>
      <c r="F131" s="188">
        <f>opex_orig!F131</f>
        <v>5.3172699999999996E-4</v>
      </c>
      <c r="G131" s="188">
        <f>opex_orig!G131</f>
        <v>8.4900000000000004E-5</v>
      </c>
      <c r="H131" s="188">
        <f>opex_orig!H131</f>
        <v>1.80094E-4</v>
      </c>
      <c r="I131" s="188">
        <f>opex_orig!I131</f>
        <v>3.851925E-3</v>
      </c>
      <c r="J131" s="188">
        <f>opex_orig!J131</f>
        <v>1.4797E-3</v>
      </c>
      <c r="K131" s="188">
        <f>opex_orig!K131</f>
        <v>2.52778E-4</v>
      </c>
      <c r="L131" s="188">
        <f>opex_orig!L131</f>
        <v>1.443417E-3</v>
      </c>
      <c r="M131" s="188">
        <f>opex_orig!M131</f>
        <v>3.3130709999999999E-3</v>
      </c>
      <c r="N131" s="188">
        <f>opex_orig!N131</f>
        <v>2.0456070000000001E-3</v>
      </c>
      <c r="O131" s="188">
        <f>opex_orig!O131</f>
        <v>8.8266500000000003E-4</v>
      </c>
      <c r="P131" s="188">
        <f>opex_orig!P131</f>
        <v>5.7998829999999996E-3</v>
      </c>
      <c r="Q131" s="188">
        <f>opex_orig!Q131</f>
        <v>1.075117E-3</v>
      </c>
      <c r="R131" s="188">
        <f>opex_orig!R131</f>
        <v>8.0072400000000005E-4</v>
      </c>
      <c r="S131" s="188">
        <f>opex_orig!S131</f>
        <v>1.437846E-3</v>
      </c>
      <c r="T131" s="188">
        <f>opex_orig!T131</f>
        <v>1.6211750000000001E-3</v>
      </c>
      <c r="U131" s="188">
        <f>opex_orig!U131</f>
        <v>2.1629962999999999E-2</v>
      </c>
      <c r="V131" s="188">
        <f>opex_orig!V131</f>
        <v>2.9647026E-2</v>
      </c>
      <c r="W131" s="188">
        <f>opex_orig!W131</f>
        <v>5.3182070000000001E-3</v>
      </c>
      <c r="X131" s="188">
        <f>opex_orig!X131</f>
        <v>1.6774680000000001E-3</v>
      </c>
      <c r="Y131" s="188">
        <f>opex_orig!Y131</f>
        <v>7.7100000000000004E-5</v>
      </c>
      <c r="Z131" s="188">
        <f>opex_orig!Z131</f>
        <v>4.6593699999999998E-4</v>
      </c>
      <c r="AA131" s="188">
        <f>opex_orig!AA131</f>
        <v>2.6088000000000001E-4</v>
      </c>
      <c r="AB131" s="188">
        <f>opex_orig!$AB131</f>
        <v>4.8432597859398598E-5</v>
      </c>
      <c r="AC131" s="188">
        <f>opex_orig!$AB131</f>
        <v>4.8432597859398598E-5</v>
      </c>
      <c r="AD131" s="188">
        <f>opex_orig!$AB131</f>
        <v>4.8432597859398598E-5</v>
      </c>
      <c r="AE131" s="188">
        <f>opex_orig!$AC131</f>
        <v>2.3215590762168501E-3</v>
      </c>
      <c r="AF131" s="188">
        <f>opex_orig!$AD131</f>
        <v>4.5585224191631501E-3</v>
      </c>
      <c r="AG131" s="188">
        <f>opex_orig!$AD131</f>
        <v>4.5585224191631501E-3</v>
      </c>
      <c r="AH131" s="188">
        <f>opex_orig!$AD131</f>
        <v>4.5585224191631501E-3</v>
      </c>
      <c r="AI131" s="188">
        <f>opex_orig!AE131</f>
        <v>5.3442020000000002E-3</v>
      </c>
      <c r="AJ131" s="188">
        <f>opex_orig!AF131</f>
        <v>5.1714000000000003E-4</v>
      </c>
      <c r="AK131" s="188">
        <f>opex_orig!AG131</f>
        <v>8.4139699999999998E-3</v>
      </c>
      <c r="AL131" s="188">
        <f>opex_orig!AH131</f>
        <v>2.550213E-3</v>
      </c>
      <c r="AM131" s="188">
        <f>opex_orig!AI131</f>
        <v>5.3405600000000003E-3</v>
      </c>
      <c r="AN131" s="188">
        <f>opex_orig!AJ131</f>
        <v>4.0849930000000003E-3</v>
      </c>
      <c r="AO131" s="188">
        <f>opex_orig!AK131</f>
        <v>3.3617310000000002E-3</v>
      </c>
      <c r="AP131" s="302">
        <f>opex_concordance!M451</f>
        <v>5.3180374349479304E-3</v>
      </c>
      <c r="AQ131" s="302">
        <f>opex_concordance!M505</f>
        <v>4.2799063555670645E-3</v>
      </c>
      <c r="AR131" s="302">
        <f>opex_concordance!M559</f>
        <v>4.6968232056114395E-3</v>
      </c>
      <c r="AS131" s="188">
        <f>opex_orig!$AM131</f>
        <v>5.1959187684598599E-3</v>
      </c>
      <c r="AT131" s="188">
        <f>opex_orig!AN131</f>
        <v>4.2258479999999999E-3</v>
      </c>
      <c r="AU131" s="188">
        <f>opex_orig!$AO131</f>
        <v>8.7225225424363494E-5</v>
      </c>
      <c r="AV131" s="188">
        <f>opex_orig!$AO131</f>
        <v>8.7225225424363494E-5</v>
      </c>
      <c r="AW131" s="188">
        <f>opex_orig!$AO131</f>
        <v>8.7225225424363494E-5</v>
      </c>
      <c r="AX131" s="188">
        <f>opex_orig!$AP131</f>
        <v>1.0457168004955801E-4</v>
      </c>
      <c r="AY131" s="188">
        <f>opex_orig!AQ131</f>
        <v>1.7123799999999999E-4</v>
      </c>
      <c r="AZ131" s="188">
        <f>opex_orig!AR131</f>
        <v>0</v>
      </c>
      <c r="BA131" s="188">
        <f>opex_orig!AS131</f>
        <v>3.4164999999999998E-4</v>
      </c>
      <c r="BB131" s="188">
        <f>opex_orig!AT131</f>
        <v>3.9607999999999999E-4</v>
      </c>
      <c r="BC131" s="188">
        <f>opex_orig!AU131</f>
        <v>3.4199999999999998E-5</v>
      </c>
      <c r="BD131" s="188">
        <f>opex_orig!AV131</f>
        <v>3.01E-5</v>
      </c>
      <c r="BE131" s="188">
        <f>opex_orig!AW131</f>
        <v>2.2566400000000001E-4</v>
      </c>
      <c r="BF131" s="188">
        <f>opex_orig!AX131</f>
        <v>0</v>
      </c>
      <c r="BG131" s="188">
        <f>opex_orig!AY131</f>
        <v>5.8600000000000001E-5</v>
      </c>
      <c r="BH131" s="188">
        <f>opex_orig!AZ131</f>
        <v>0</v>
      </c>
      <c r="BI131" s="188">
        <f>opex_orig!BA131</f>
        <v>5.66E-5</v>
      </c>
      <c r="BJ131" s="188">
        <f>opex_orig!BB131</f>
        <v>1.0041069999999999E-2</v>
      </c>
      <c r="BK131" s="188">
        <f>opex_orig!BC131</f>
        <v>5.9674230000000003E-3</v>
      </c>
      <c r="BL131" s="188">
        <f>opex_orig!BD131</f>
        <v>1.588786E-3</v>
      </c>
      <c r="BM131" s="188">
        <f>opex_orig!BE131</f>
        <v>2.5104979999999999E-3</v>
      </c>
      <c r="BN131" s="188">
        <f>opex_orig!BF131</f>
        <v>1.7092159999999999E-3</v>
      </c>
      <c r="BO131" s="188">
        <f>opex_orig!BG131</f>
        <v>8.3102569999999997E-3</v>
      </c>
      <c r="BP131" s="188">
        <f>opex_orig!$BH131</f>
        <v>1.9136604500758899E-3</v>
      </c>
      <c r="BQ131" s="188">
        <f>opex_orig!$BH131</f>
        <v>1.9136604500758899E-3</v>
      </c>
      <c r="BR131" s="188">
        <f>opex_orig!BI131</f>
        <v>8.3457779999999999E-3</v>
      </c>
      <c r="BS131" s="188">
        <f>opex_orig!BJ131</f>
        <v>4.5251579999999996E-3</v>
      </c>
      <c r="BT131" s="188">
        <f>opex_orig!BK131</f>
        <v>9.0236329999999997E-3</v>
      </c>
      <c r="BU131" s="188">
        <f>opex_orig!BL131</f>
        <v>0</v>
      </c>
      <c r="BV131" s="27">
        <f>opex_orig!BM131</f>
        <v>1.88587397642383E-2</v>
      </c>
      <c r="BW131" s="27">
        <f>opex_orig!BN131</f>
        <v>2.11576640719272E-2</v>
      </c>
      <c r="BX131" s="27">
        <f>opex_orig!BO131</f>
        <v>8.9971428734370792E-3</v>
      </c>
      <c r="BY131" s="27">
        <f>opex_orig!BP131</f>
        <v>1.3993753621588801E-2</v>
      </c>
      <c r="BZ131" s="27">
        <f>opex_orig!BQ131</f>
        <v>1.4582814217131999E-2</v>
      </c>
      <c r="CA131" s="27">
        <f>opex_orig!BR131</f>
        <v>5.0519003609725702E-3</v>
      </c>
      <c r="CB131" s="27">
        <f>opex_orig!BS131</f>
        <v>1.2420415256605999E-2</v>
      </c>
      <c r="CC131" s="27">
        <f>opex_orig!BT131</f>
        <v>7.6817228091249704E-3</v>
      </c>
      <c r="CD131" s="27">
        <f>opex_orig!BU131</f>
        <v>1.66234787904035E-2</v>
      </c>
      <c r="CE131" s="27">
        <f>opex_orig!BV131</f>
        <v>1.66234787904035E-2</v>
      </c>
      <c r="CF131" s="27">
        <f>opex_orig!BW131</f>
        <v>2.4361261309939802E-2</v>
      </c>
      <c r="CG131" s="27">
        <f>opex_orig!BX131</f>
        <v>8.2665801994508803E-5</v>
      </c>
      <c r="CH131" s="27">
        <f>opex_orig!BY131</f>
        <v>6.0716512214742298E-6</v>
      </c>
      <c r="CI131" s="27">
        <f>opex_orig!BZ131</f>
        <v>2.0704138E-2</v>
      </c>
      <c r="CJ131" s="27">
        <f>opex_orig!CA131</f>
        <v>1.8492914999999999E-2</v>
      </c>
      <c r="CK131" s="27">
        <f>opex_orig!CB131</f>
        <v>1.6036104999999998E-2</v>
      </c>
      <c r="CL131" s="27">
        <f>opex_orig!CC131</f>
        <v>2.2619630000000001E-3</v>
      </c>
      <c r="CM131" s="27">
        <f>opex_orig!CD131</f>
        <v>1.6773869E-2</v>
      </c>
      <c r="CN131" s="27">
        <f>opex_orig!CE131</f>
        <v>5.5130810000000004E-3</v>
      </c>
      <c r="CO131" s="27">
        <f>opex_orig!CF131</f>
        <v>8.8162780000000003E-3</v>
      </c>
      <c r="CP131" s="27">
        <f>opex_orig!CG131</f>
        <v>3.8313879999999998E-3</v>
      </c>
    </row>
    <row r="132" spans="1:94" x14ac:dyDescent="0.25">
      <c r="A132" s="5" t="s">
        <v>255</v>
      </c>
      <c r="B132" s="2" t="s">
        <v>254</v>
      </c>
      <c r="C132" s="1" t="s">
        <v>334</v>
      </c>
      <c r="D132" s="188">
        <f>opex_orig!D132</f>
        <v>1.7841800000000001E-4</v>
      </c>
      <c r="E132" s="188">
        <f>opex_orig!E132</f>
        <v>1.7676200000000001E-4</v>
      </c>
      <c r="F132" s="188">
        <f>opex_orig!F132</f>
        <v>9.2899999999999995E-5</v>
      </c>
      <c r="G132" s="188">
        <f>opex_orig!G132</f>
        <v>1.84E-5</v>
      </c>
      <c r="H132" s="188">
        <f>opex_orig!H132</f>
        <v>3.6000000000000001E-5</v>
      </c>
      <c r="I132" s="188">
        <f>opex_orig!I132</f>
        <v>3.15168E-4</v>
      </c>
      <c r="J132" s="188">
        <f>opex_orig!J132</f>
        <v>2.0568499999999999E-4</v>
      </c>
      <c r="K132" s="188">
        <f>opex_orig!K132</f>
        <v>4.8000000000000001E-5</v>
      </c>
      <c r="L132" s="188">
        <f>opex_orig!L132</f>
        <v>6.4778299999999997E-4</v>
      </c>
      <c r="M132" s="188">
        <f>opex_orig!M132</f>
        <v>2.6616510000000001E-3</v>
      </c>
      <c r="N132" s="188">
        <f>opex_orig!N132</f>
        <v>1.033869E-3</v>
      </c>
      <c r="O132" s="188">
        <f>opex_orig!O132</f>
        <v>8.7420800000000002E-4</v>
      </c>
      <c r="P132" s="188">
        <f>opex_orig!P132</f>
        <v>2.4501319999999998E-3</v>
      </c>
      <c r="Q132" s="188">
        <f>opex_orig!Q132</f>
        <v>1.12309E-4</v>
      </c>
      <c r="R132" s="188">
        <f>opex_orig!R132</f>
        <v>2.7919000000000002E-4</v>
      </c>
      <c r="S132" s="188">
        <f>opex_orig!S132</f>
        <v>4.8465879999999998E-3</v>
      </c>
      <c r="T132" s="188">
        <f>opex_orig!T132</f>
        <v>5.4768660000000004E-3</v>
      </c>
      <c r="U132" s="188">
        <f>opex_orig!U132</f>
        <v>4.3831850000000004E-3</v>
      </c>
      <c r="V132" s="188">
        <f>opex_orig!V132</f>
        <v>6.0095050000000001E-3</v>
      </c>
      <c r="W132" s="188">
        <f>opex_orig!W132</f>
        <v>9.2227300000000004E-4</v>
      </c>
      <c r="X132" s="188">
        <f>opex_orig!X132</f>
        <v>1.943637E-3</v>
      </c>
      <c r="Y132" s="188">
        <f>opex_orig!Y132</f>
        <v>1.91E-5</v>
      </c>
      <c r="Z132" s="188">
        <f>opex_orig!Z132</f>
        <v>5.0886599999999996E-4</v>
      </c>
      <c r="AA132" s="188">
        <f>opex_orig!AA132</f>
        <v>7.2899999999999997E-5</v>
      </c>
      <c r="AB132" s="188">
        <f>opex_orig!$AB132</f>
        <v>4.2525934886827399E-4</v>
      </c>
      <c r="AC132" s="188">
        <f>opex_orig!$AB132</f>
        <v>4.2525934886827399E-4</v>
      </c>
      <c r="AD132" s="188">
        <f>opex_orig!$AB132</f>
        <v>4.2525934886827399E-4</v>
      </c>
      <c r="AE132" s="188">
        <f>opex_orig!$AC132</f>
        <v>4.4177013981379198E-3</v>
      </c>
      <c r="AF132" s="302">
        <f>opex_concordance!$M$323</f>
        <v>8.0393532307613397E-3</v>
      </c>
      <c r="AG132" s="302">
        <f>opex_concordance!$M$359</f>
        <v>3.5625867992300684E-3</v>
      </c>
      <c r="AH132" s="302">
        <f>opex_concordance!$M$395</f>
        <v>2.8582480982636553E-3</v>
      </c>
      <c r="AI132" s="188">
        <f>opex_orig!AE132</f>
        <v>7.4497599999999997E-3</v>
      </c>
      <c r="AJ132" s="188">
        <f>opex_orig!AF132</f>
        <v>1.579312E-3</v>
      </c>
      <c r="AK132" s="188">
        <f>opex_orig!AG132</f>
        <v>8.5071099999999998E-4</v>
      </c>
      <c r="AL132" s="188">
        <f>opex_orig!AH132</f>
        <v>6.7220699999999997E-4</v>
      </c>
      <c r="AM132" s="188">
        <f>opex_orig!AI132</f>
        <v>1.3598569999999999E-3</v>
      </c>
      <c r="AN132" s="188">
        <f>opex_orig!AJ132</f>
        <v>1.5437669999999999E-3</v>
      </c>
      <c r="AO132" s="188">
        <f>opex_orig!AK132</f>
        <v>8.1395899999999995E-4</v>
      </c>
      <c r="AP132" s="188">
        <f>opex_orig!$AL132</f>
        <v>8.4095280130187897E-4</v>
      </c>
      <c r="AQ132" s="188">
        <f>opex_orig!$AL132</f>
        <v>8.4095280130187897E-4</v>
      </c>
      <c r="AR132" s="188">
        <f>opex_orig!$AL132</f>
        <v>8.4095280130187897E-4</v>
      </c>
      <c r="AS132" s="188">
        <f>opex_orig!$AM132</f>
        <v>8.0681992461796202E-4</v>
      </c>
      <c r="AT132" s="188">
        <f>opex_orig!AN132</f>
        <v>2.4974490000000001E-3</v>
      </c>
      <c r="AU132" s="188">
        <f>opex_orig!$AO132</f>
        <v>4.09430318212092E-4</v>
      </c>
      <c r="AV132" s="188">
        <f>opex_orig!$AO132</f>
        <v>4.09430318212092E-4</v>
      </c>
      <c r="AW132" s="188">
        <f>opex_orig!$AO132</f>
        <v>4.09430318212092E-4</v>
      </c>
      <c r="AX132" s="188">
        <f>opex_orig!$AP132</f>
        <v>4.9408685995334803E-4</v>
      </c>
      <c r="AY132" s="188">
        <f>opex_orig!AQ132</f>
        <v>2.48774E-4</v>
      </c>
      <c r="AZ132" s="188">
        <f>opex_orig!AR132</f>
        <v>0</v>
      </c>
      <c r="BA132" s="188">
        <f>opex_orig!AS132</f>
        <v>1.100625E-3</v>
      </c>
      <c r="BB132" s="188">
        <f>opex_orig!AT132</f>
        <v>1.2614480000000001E-3</v>
      </c>
      <c r="BC132" s="188">
        <f>opex_orig!AU132</f>
        <v>3.58921E-4</v>
      </c>
      <c r="BD132" s="188">
        <f>opex_orig!AV132</f>
        <v>3.2182599999999999E-4</v>
      </c>
      <c r="BE132" s="188">
        <f>opex_orig!AW132</f>
        <v>1.1047990000000001E-3</v>
      </c>
      <c r="BF132" s="188">
        <f>opex_orig!AX132</f>
        <v>0</v>
      </c>
      <c r="BG132" s="188">
        <f>opex_orig!AY132</f>
        <v>1.27708E-4</v>
      </c>
      <c r="BH132" s="188">
        <f>opex_orig!AZ132</f>
        <v>0</v>
      </c>
      <c r="BI132" s="188">
        <f>opex_orig!BA132</f>
        <v>4.39899E-4</v>
      </c>
      <c r="BJ132" s="188">
        <f>opex_orig!BB132</f>
        <v>2.8030279999999999E-3</v>
      </c>
      <c r="BK132" s="188">
        <f>opex_orig!BC132</f>
        <v>2.554705E-3</v>
      </c>
      <c r="BL132" s="188">
        <f>opex_orig!BD132</f>
        <v>1.357437E-3</v>
      </c>
      <c r="BM132" s="188">
        <f>opex_orig!BE132</f>
        <v>1.0656579999999999E-3</v>
      </c>
      <c r="BN132" s="188">
        <f>opex_orig!BF132</f>
        <v>4.5911200000000002E-4</v>
      </c>
      <c r="BO132" s="188">
        <f>opex_orig!BG132</f>
        <v>1.12017E-3</v>
      </c>
      <c r="BP132" s="188">
        <f>opex_orig!$BH132</f>
        <v>8.6111300589345905E-4</v>
      </c>
      <c r="BQ132" s="188">
        <f>opex_orig!$BH132</f>
        <v>8.6111300589345905E-4</v>
      </c>
      <c r="BR132" s="188">
        <f>opex_orig!BI132</f>
        <v>1.9921600000000002E-3</v>
      </c>
      <c r="BS132" s="188">
        <f>opex_orig!BJ132</f>
        <v>1.1804890000000001E-3</v>
      </c>
      <c r="BT132" s="188">
        <f>opex_orig!BK132</f>
        <v>9.5116019999999992E-3</v>
      </c>
      <c r="BU132" s="188">
        <f>opex_orig!BL132</f>
        <v>0</v>
      </c>
      <c r="BV132" s="27">
        <f>opex_orig!BM132</f>
        <v>1.6162176008146E-3</v>
      </c>
      <c r="BW132" s="27">
        <f>opex_orig!BN132</f>
        <v>1.4492948841073701E-3</v>
      </c>
      <c r="BX132" s="27">
        <f>opex_orig!BO132</f>
        <v>2.20696878734007E-3</v>
      </c>
      <c r="BY132" s="27">
        <f>opex_orig!BP132</f>
        <v>1.99290753563391E-3</v>
      </c>
      <c r="BZ132" s="27">
        <f>opex_orig!BQ132</f>
        <v>2.0839771822968901E-3</v>
      </c>
      <c r="CA132" s="27">
        <f>opex_orig!BR132</f>
        <v>4.54425780569099E-3</v>
      </c>
      <c r="CB132" s="27">
        <f>opex_orig!BS132</f>
        <v>9.5834311901994002E-4</v>
      </c>
      <c r="CC132" s="27">
        <f>opex_orig!BT132</f>
        <v>4.5418507877782201E-4</v>
      </c>
      <c r="CD132" s="27">
        <f>opex_orig!BU132</f>
        <v>2.3894908081873302E-3</v>
      </c>
      <c r="CE132" s="27">
        <f>opex_orig!BV132</f>
        <v>2.3894908081873302E-3</v>
      </c>
      <c r="CF132" s="27">
        <f>opex_orig!BW132</f>
        <v>1.90171263018208E-3</v>
      </c>
      <c r="CG132" s="27">
        <f>opex_orig!BX132</f>
        <v>1.30839294627246E-5</v>
      </c>
      <c r="CH132" s="27">
        <f>opex_orig!BY132</f>
        <v>6.9056727201352E-6</v>
      </c>
      <c r="CI132" s="27">
        <f>opex_orig!BZ132</f>
        <v>2.8042190000000002E-3</v>
      </c>
      <c r="CJ132" s="27">
        <f>opex_orig!CA132</f>
        <v>2.6766239999999998E-3</v>
      </c>
      <c r="CK132" s="27">
        <f>opex_orig!CB132</f>
        <v>2.8900269999999999E-3</v>
      </c>
      <c r="CL132" s="27">
        <f>opex_orig!CC132</f>
        <v>5.6165800000000004E-4</v>
      </c>
      <c r="CM132" s="27">
        <f>opex_orig!CD132</f>
        <v>7.5105689999999999E-3</v>
      </c>
      <c r="CN132" s="27">
        <f>opex_orig!CE132</f>
        <v>2.4754339999999999E-3</v>
      </c>
      <c r="CO132" s="27">
        <f>opex_orig!CF132</f>
        <v>1.5554189999999999E-3</v>
      </c>
      <c r="CP132" s="27">
        <f>opex_orig!CG132</f>
        <v>1.856148E-3</v>
      </c>
    </row>
    <row r="133" spans="1:94" x14ac:dyDescent="0.25">
      <c r="A133" s="5" t="s">
        <v>257</v>
      </c>
      <c r="B133" s="2" t="s">
        <v>256</v>
      </c>
      <c r="C133" s="1" t="s">
        <v>334</v>
      </c>
      <c r="D133" s="188">
        <f>opex_orig!D133</f>
        <v>3.3699999999999999E-5</v>
      </c>
      <c r="E133" s="188">
        <f>opex_orig!E133</f>
        <v>4.0199999999999996E-6</v>
      </c>
      <c r="F133" s="188">
        <f>opex_orig!F133</f>
        <v>2.5000000000000002E-6</v>
      </c>
      <c r="G133" s="188">
        <f>opex_orig!G133</f>
        <v>4.6499999999999999E-7</v>
      </c>
      <c r="H133" s="188">
        <f>opex_orig!H133</f>
        <v>8.7300000000000005E-7</v>
      </c>
      <c r="I133" s="188">
        <f>opex_orig!I133</f>
        <v>5.0900000000000004E-6</v>
      </c>
      <c r="J133" s="188">
        <f>opex_orig!J133</f>
        <v>1.8899999999999999E-5</v>
      </c>
      <c r="K133" s="188">
        <f>opex_orig!K133</f>
        <v>1.48E-6</v>
      </c>
      <c r="L133" s="188">
        <f>opex_orig!L133</f>
        <v>4.78E-6</v>
      </c>
      <c r="M133" s="188">
        <f>opex_orig!M133</f>
        <v>1.11E-5</v>
      </c>
      <c r="N133" s="188">
        <f>opex_orig!N133</f>
        <v>6.5899999999999996E-6</v>
      </c>
      <c r="O133" s="188">
        <f>opex_orig!O133</f>
        <v>2.23E-5</v>
      </c>
      <c r="P133" s="188">
        <f>opex_orig!P133</f>
        <v>5.6200000000000004E-6</v>
      </c>
      <c r="Q133" s="188">
        <f>opex_orig!Q133</f>
        <v>2.96E-6</v>
      </c>
      <c r="R133" s="188">
        <f>opex_orig!R133</f>
        <v>1.0899999999999999E-6</v>
      </c>
      <c r="S133" s="188">
        <f>opex_orig!S133</f>
        <v>3.63E-6</v>
      </c>
      <c r="T133" s="188">
        <f>opex_orig!T133</f>
        <v>4.3599999999999998E-6</v>
      </c>
      <c r="U133" s="188">
        <f>opex_orig!U133</f>
        <v>5.6899999999999997E-6</v>
      </c>
      <c r="V133" s="188">
        <f>opex_orig!V133</f>
        <v>7.6199999999999999E-6</v>
      </c>
      <c r="W133" s="188">
        <f>opex_orig!W133</f>
        <v>5.2800000000000003E-6</v>
      </c>
      <c r="X133" s="188">
        <f>opex_orig!X133</f>
        <v>1.6178000000000001E-4</v>
      </c>
      <c r="Y133" s="188">
        <f>opex_orig!Y133</f>
        <v>6.5099999999999999E-7</v>
      </c>
      <c r="Z133" s="188">
        <f>opex_orig!Z133</f>
        <v>3.05E-6</v>
      </c>
      <c r="AA133" s="188">
        <f>opex_orig!AA133</f>
        <v>3.6200000000000001E-6</v>
      </c>
      <c r="AB133" s="188">
        <f>opex_orig!$AB133</f>
        <v>4.4194144857413097E-5</v>
      </c>
      <c r="AC133" s="188">
        <f>opex_orig!$AB133</f>
        <v>4.4194144857413097E-5</v>
      </c>
      <c r="AD133" s="188">
        <f>opex_orig!$AB133</f>
        <v>4.4194144857413097E-5</v>
      </c>
      <c r="AE133" s="188">
        <f>opex_orig!$AC133</f>
        <v>4.0454753274555798E-2</v>
      </c>
      <c r="AF133" s="299">
        <f>opex_concordance!$M$324</f>
        <v>8.8305151998102391E-2</v>
      </c>
      <c r="AG133" s="299">
        <f>opex_concordance!$M$360</f>
        <v>3.9131850508657362E-2</v>
      </c>
      <c r="AH133" s="299">
        <f>opex_concordance!$M$396</f>
        <v>3.1395315707698629E-2</v>
      </c>
      <c r="AI133" s="188">
        <f>opex_orig!AE133</f>
        <v>0.106262758</v>
      </c>
      <c r="AJ133" s="188">
        <f>opex_orig!AF133</f>
        <v>4.5189599999999998E-3</v>
      </c>
      <c r="AK133" s="188">
        <f>opex_orig!AG133</f>
        <v>5.0210599999999999E-4</v>
      </c>
      <c r="AL133" s="188">
        <f>opex_orig!AH133</f>
        <v>1.13472E-4</v>
      </c>
      <c r="AM133" s="188">
        <f>opex_orig!AI133</f>
        <v>2.3728099999999999E-4</v>
      </c>
      <c r="AN133" s="188">
        <f>opex_orig!AJ133</f>
        <v>1.50314E-4</v>
      </c>
      <c r="AO133" s="188">
        <f>opex_orig!AK133</f>
        <v>1.9608399999999999E-4</v>
      </c>
      <c r="AP133" s="188">
        <f>opex_orig!$AL133</f>
        <v>2.1050262636114001E-4</v>
      </c>
      <c r="AQ133" s="188">
        <f>opex_orig!$AL133</f>
        <v>2.1050262636114001E-4</v>
      </c>
      <c r="AR133" s="188">
        <f>opex_orig!$AL133</f>
        <v>2.1050262636114001E-4</v>
      </c>
      <c r="AS133" s="188">
        <f>opex_orig!$AM133</f>
        <v>2.04862703590957E-4</v>
      </c>
      <c r="AT133" s="188">
        <f>opex_orig!AN133</f>
        <v>2.0859000000000001E-4</v>
      </c>
      <c r="AU133" s="188">
        <f>opex_orig!$AO133</f>
        <v>7.2929009368409505E-4</v>
      </c>
      <c r="AV133" s="188">
        <f>opex_orig!$AO133</f>
        <v>7.2929009368409505E-4</v>
      </c>
      <c r="AW133" s="188">
        <f>opex_orig!$AO133</f>
        <v>7.2929009368409505E-4</v>
      </c>
      <c r="AX133" s="188">
        <f>opex_orig!$AP133</f>
        <v>8.7652854039615296E-4</v>
      </c>
      <c r="AY133" s="188">
        <f>opex_orig!AQ133</f>
        <v>1.647449E-3</v>
      </c>
      <c r="AZ133" s="188">
        <f>opex_orig!AR133</f>
        <v>0</v>
      </c>
      <c r="BA133" s="188">
        <f>opex_orig!AS133</f>
        <v>9.4530600000000003E-4</v>
      </c>
      <c r="BB133" s="188">
        <f>opex_orig!AT133</f>
        <v>1.029505E-3</v>
      </c>
      <c r="BC133" s="188">
        <f>opex_orig!AU133</f>
        <v>3.9402399999999998E-4</v>
      </c>
      <c r="BD133" s="188">
        <f>opex_orig!AV133</f>
        <v>3.4205900000000003E-4</v>
      </c>
      <c r="BE133" s="188">
        <f>opex_orig!AW133</f>
        <v>1.072136E-3</v>
      </c>
      <c r="BF133" s="188">
        <f>opex_orig!AX133</f>
        <v>0</v>
      </c>
      <c r="BG133" s="188">
        <f>opex_orig!AY133</f>
        <v>1.1145199999999999E-3</v>
      </c>
      <c r="BH133" s="188">
        <f>opex_orig!AZ133</f>
        <v>0</v>
      </c>
      <c r="BI133" s="188">
        <f>opex_orig!BA133</f>
        <v>1.314731E-3</v>
      </c>
      <c r="BJ133" s="188">
        <f>opex_orig!BB133</f>
        <v>4.3281299999999999E-4</v>
      </c>
      <c r="BK133" s="188">
        <f>opex_orig!BC133</f>
        <v>8.3799999999999994E-6</v>
      </c>
      <c r="BL133" s="188">
        <f>opex_orig!BD133</f>
        <v>2.9799999999999999E-5</v>
      </c>
      <c r="BM133" s="188">
        <f>opex_orig!BE133</f>
        <v>4.2500000000000003E-5</v>
      </c>
      <c r="BN133" s="188">
        <f>opex_orig!BF133</f>
        <v>1.39E-6</v>
      </c>
      <c r="BO133" s="188">
        <f>opex_orig!BG133</f>
        <v>6.5400000000000001E-6</v>
      </c>
      <c r="BP133" s="188">
        <f>opex_orig!$BH133</f>
        <v>2.1716551421394E-4</v>
      </c>
      <c r="BQ133" s="188">
        <f>opex_orig!$BH133</f>
        <v>2.1716551421394E-4</v>
      </c>
      <c r="BR133" s="188">
        <f>opex_orig!BI133</f>
        <v>3.45E-6</v>
      </c>
      <c r="BS133" s="188">
        <f>opex_orig!BJ133</f>
        <v>1.2999999999999999E-5</v>
      </c>
      <c r="BT133" s="188">
        <f>opex_orig!BK133</f>
        <v>3.1399999999999998E-5</v>
      </c>
      <c r="BU133" s="188">
        <f>opex_orig!BL133</f>
        <v>0</v>
      </c>
      <c r="BV133" s="27">
        <f>opex_orig!BM133</f>
        <v>2.9864269213563998E-4</v>
      </c>
      <c r="BW133" s="27">
        <f>opex_orig!BN133</f>
        <v>2.4798571052720401E-4</v>
      </c>
      <c r="BX133" s="27">
        <f>opex_orig!BO133</f>
        <v>2.2525702307959501E-4</v>
      </c>
      <c r="BY133" s="27">
        <f>opex_orig!BP133</f>
        <v>2.3665334549423901E-4</v>
      </c>
      <c r="BZ133" s="27">
        <f>opex_orig!BQ133</f>
        <v>2.49531031947237E-4</v>
      </c>
      <c r="CA133" s="27">
        <f>opex_orig!BR133</f>
        <v>7.3704203853832997E-6</v>
      </c>
      <c r="CB133" s="27">
        <f>opex_orig!BS133</f>
        <v>1.71178947030437E-4</v>
      </c>
      <c r="CC133" s="27">
        <f>opex_orig!BT133</f>
        <v>1.3328004323353199E-4</v>
      </c>
      <c r="CD133" s="27">
        <f>opex_orig!BU133</f>
        <v>2.6124797463882299E-6</v>
      </c>
      <c r="CE133" s="27">
        <f>opex_orig!BV133</f>
        <v>2.6124797463882401E-6</v>
      </c>
      <c r="CF133" s="27">
        <f>opex_orig!BW133</f>
        <v>2.3589609221748701E-3</v>
      </c>
      <c r="CG133" s="27">
        <f>opex_orig!BX133</f>
        <v>1.2366803417393599E-5</v>
      </c>
      <c r="CH133" s="27">
        <f>opex_orig!BY133</f>
        <v>9.9205915198633699E-7</v>
      </c>
      <c r="CI133" s="27">
        <f>opex_orig!BZ133</f>
        <v>3.34982E-4</v>
      </c>
      <c r="CJ133" s="27">
        <f>opex_orig!CA133</f>
        <v>3.1973400000000001E-4</v>
      </c>
      <c r="CK133" s="27">
        <f>opex_orig!CB133</f>
        <v>2.90117E-4</v>
      </c>
      <c r="CL133" s="27">
        <f>opex_orig!CC133</f>
        <v>1.1275E-4</v>
      </c>
      <c r="CM133" s="27">
        <f>opex_orig!CD133</f>
        <v>3.9334199999999998E-4</v>
      </c>
      <c r="CN133" s="27">
        <f>opex_orig!CE133</f>
        <v>1.45E-5</v>
      </c>
      <c r="CO133" s="27">
        <f>opex_orig!CF133</f>
        <v>6.1299999999999999E-5</v>
      </c>
      <c r="CP133" s="27">
        <f>opex_orig!CG133</f>
        <v>3.2799999999999998E-5</v>
      </c>
    </row>
    <row r="134" spans="1:94" x14ac:dyDescent="0.25">
      <c r="A134" s="5" t="s">
        <v>259</v>
      </c>
      <c r="B134" s="2" t="s">
        <v>258</v>
      </c>
      <c r="C134" s="1" t="s">
        <v>334</v>
      </c>
      <c r="D134" s="188">
        <f>opex_orig!D134</f>
        <v>2.6966080000000001E-3</v>
      </c>
      <c r="E134" s="188">
        <f>opex_orig!E134</f>
        <v>1.7397420000000001E-3</v>
      </c>
      <c r="F134" s="188">
        <f>opex_orig!F134</f>
        <v>9.9671000000000004E-4</v>
      </c>
      <c r="G134" s="188">
        <f>opex_orig!G134</f>
        <v>2.0263599999999999E-4</v>
      </c>
      <c r="H134" s="188">
        <f>opex_orig!H134</f>
        <v>3.8819199999999999E-4</v>
      </c>
      <c r="I134" s="188">
        <f>opex_orig!I134</f>
        <v>5.350128E-3</v>
      </c>
      <c r="J134" s="188">
        <f>opex_orig!J134</f>
        <v>7.1146810000000003E-3</v>
      </c>
      <c r="K134" s="188">
        <f>opex_orig!K134</f>
        <v>6.0796400000000001E-4</v>
      </c>
      <c r="L134" s="188">
        <f>opex_orig!L134</f>
        <v>3.1180050000000001E-3</v>
      </c>
      <c r="M134" s="188">
        <f>opex_orig!M134</f>
        <v>8.3374380000000008E-3</v>
      </c>
      <c r="N134" s="188">
        <f>opex_orig!N134</f>
        <v>4.7497679999999997E-3</v>
      </c>
      <c r="O134" s="188">
        <f>opex_orig!O134</f>
        <v>2.6029966000000002E-2</v>
      </c>
      <c r="P134" s="188">
        <f>opex_orig!P134</f>
        <v>9.0954940000000008E-3</v>
      </c>
      <c r="Q134" s="188">
        <f>opex_orig!Q134</f>
        <v>1.3352710000000001E-3</v>
      </c>
      <c r="R134" s="188">
        <f>opex_orig!R134</f>
        <v>4.1377949999999997E-3</v>
      </c>
      <c r="S134" s="188">
        <f>opex_orig!S134</f>
        <v>2.2127779999999999E-3</v>
      </c>
      <c r="T134" s="188">
        <f>opex_orig!T134</f>
        <v>2.3964609999999999E-3</v>
      </c>
      <c r="U134" s="188">
        <f>opex_orig!U134</f>
        <v>5.8910669999999998E-3</v>
      </c>
      <c r="V134" s="188">
        <f>opex_orig!V134</f>
        <v>5.9671059999999998E-3</v>
      </c>
      <c r="W134" s="188">
        <f>opex_orig!W134</f>
        <v>4.9672980000000002E-3</v>
      </c>
      <c r="X134" s="188">
        <f>opex_orig!X134</f>
        <v>4.7671470000000002E-3</v>
      </c>
      <c r="Y134" s="188">
        <f>opex_orig!Y134</f>
        <v>4.7509240000000001E-3</v>
      </c>
      <c r="Z134" s="188">
        <f>opex_orig!Z134</f>
        <v>6.4368799999999999E-3</v>
      </c>
      <c r="AA134" s="188">
        <f>opex_orig!AA134</f>
        <v>1.4869189999999999E-2</v>
      </c>
      <c r="AB134" s="208">
        <f>opex_concordance!M199</f>
        <v>8.53981541354361E-3</v>
      </c>
      <c r="AC134" s="208">
        <f>opex_concordance!M244</f>
        <v>1.2935261912901851E-2</v>
      </c>
      <c r="AD134" s="208">
        <f>opex_concordance!M289</f>
        <v>1.5053755588462192E-2</v>
      </c>
      <c r="AE134" s="188">
        <f>opex_orig!$AC134</f>
        <v>2.3865367896454201E-3</v>
      </c>
      <c r="AF134" s="188">
        <f>opex_orig!$AD134</f>
        <v>2.8258122565272899E-3</v>
      </c>
      <c r="AG134" s="188">
        <f>opex_orig!$AD134</f>
        <v>2.8258122565272899E-3</v>
      </c>
      <c r="AH134" s="188">
        <f>opex_orig!$AD134</f>
        <v>2.8258122565272899E-3</v>
      </c>
      <c r="AI134" s="188">
        <f>opex_orig!AE134</f>
        <v>2.540507E-3</v>
      </c>
      <c r="AJ134" s="188">
        <f>opex_orig!AF134</f>
        <v>8.7599410000000003E-3</v>
      </c>
      <c r="AK134" s="188">
        <f>opex_orig!AG134</f>
        <v>1.874791E-3</v>
      </c>
      <c r="AL134" s="188">
        <f>opex_orig!AH134</f>
        <v>7.0690599999999998E-4</v>
      </c>
      <c r="AM134" s="188">
        <f>opex_orig!AI134</f>
        <v>1.598246E-3</v>
      </c>
      <c r="AN134" s="188">
        <f>opex_orig!AJ134</f>
        <v>6.1035099999999997E-4</v>
      </c>
      <c r="AO134" s="188">
        <f>opex_orig!AK134</f>
        <v>1.315121E-3</v>
      </c>
      <c r="AP134" s="188">
        <f>opex_orig!$AL134</f>
        <v>1.54476722476357E-3</v>
      </c>
      <c r="AQ134" s="188">
        <f>opex_orig!$AL134</f>
        <v>1.54476722476357E-3</v>
      </c>
      <c r="AR134" s="188">
        <f>opex_orig!$AL134</f>
        <v>1.54476722476357E-3</v>
      </c>
      <c r="AS134" s="188">
        <f>opex_orig!$AM134</f>
        <v>1.2845531852082601E-3</v>
      </c>
      <c r="AT134" s="188">
        <f>opex_orig!AN134</f>
        <v>2.0298650000000001E-3</v>
      </c>
      <c r="AU134" s="188">
        <f>opex_orig!$AO134</f>
        <v>9.2803477064927399E-4</v>
      </c>
      <c r="AV134" s="188">
        <f>opex_orig!$AO134</f>
        <v>9.2803477064927399E-4</v>
      </c>
      <c r="AW134" s="188">
        <f>opex_orig!$AO134</f>
        <v>9.2803477064927399E-4</v>
      </c>
      <c r="AX134" s="188">
        <f>opex_orig!$AP134</f>
        <v>1.1241400962766399E-3</v>
      </c>
      <c r="AY134" s="188">
        <f>opex_orig!AQ134</f>
        <v>1.1843540000000001E-3</v>
      </c>
      <c r="AZ134" s="188">
        <f>opex_orig!AR134</f>
        <v>0</v>
      </c>
      <c r="BA134" s="188">
        <f>opex_orig!AS134</f>
        <v>1.2126839999999999E-3</v>
      </c>
      <c r="BB134" s="188">
        <f>opex_orig!AT134</f>
        <v>6.3656699999999999E-4</v>
      </c>
      <c r="BC134" s="188">
        <f>opex_orig!AU134</f>
        <v>1.72325E-4</v>
      </c>
      <c r="BD134" s="188">
        <f>opex_orig!AV134</f>
        <v>1.52814E-4</v>
      </c>
      <c r="BE134" s="188">
        <f>opex_orig!AW134</f>
        <v>5.4564100000000003E-4</v>
      </c>
      <c r="BF134" s="188">
        <f>opex_orig!AX134</f>
        <v>0</v>
      </c>
      <c r="BG134" s="188">
        <f>opex_orig!AY134</f>
        <v>1.500288E-3</v>
      </c>
      <c r="BH134" s="188">
        <f>opex_orig!AZ134</f>
        <v>0</v>
      </c>
      <c r="BI134" s="188">
        <f>opex_orig!BA134</f>
        <v>5.8759700000000003E-4</v>
      </c>
      <c r="BJ134" s="188">
        <f>opex_orig!BB134</f>
        <v>6.8815599999999999E-4</v>
      </c>
      <c r="BK134" s="188">
        <f>opex_orig!BC134</f>
        <v>5.4593230000000003E-3</v>
      </c>
      <c r="BL134" s="188">
        <f>opex_orig!BD134</f>
        <v>2.3061520000000001E-3</v>
      </c>
      <c r="BM134" s="188">
        <f>opex_orig!BE134</f>
        <v>8.9437200000000005E-3</v>
      </c>
      <c r="BN134" s="188">
        <f>opex_orig!BF134</f>
        <v>2.5619050000000002E-3</v>
      </c>
      <c r="BO134" s="188">
        <f>opex_orig!BG134</f>
        <v>1.0800702000000001E-2</v>
      </c>
      <c r="BP134" s="188">
        <f>opex_orig!$BH134</f>
        <v>2.3763527019328799E-3</v>
      </c>
      <c r="BQ134" s="188">
        <f>opex_orig!$BH134</f>
        <v>2.3763527019328799E-3</v>
      </c>
      <c r="BR134" s="188">
        <f>opex_orig!BI134</f>
        <v>6.7659700000000003E-4</v>
      </c>
      <c r="BS134" s="188">
        <f>opex_orig!BJ134</f>
        <v>8.7464859999999995E-3</v>
      </c>
      <c r="BT134" s="188">
        <f>opex_orig!BK134</f>
        <v>2.6530680000000002E-3</v>
      </c>
      <c r="BU134" s="188">
        <f>opex_orig!BL134</f>
        <v>0</v>
      </c>
      <c r="BV134" s="27">
        <f>opex_orig!BM134</f>
        <v>3.4716403063582701E-3</v>
      </c>
      <c r="BW134" s="27">
        <f>opex_orig!BN134</f>
        <v>2.8530030498825098E-3</v>
      </c>
      <c r="BX134" s="27">
        <f>opex_orig!BO134</f>
        <v>1.38485804657518E-3</v>
      </c>
      <c r="BY134" s="27">
        <f>opex_orig!BP134</f>
        <v>2.22855820501433E-3</v>
      </c>
      <c r="BZ134" s="27">
        <f>opex_orig!BQ134</f>
        <v>3.14312872147303E-3</v>
      </c>
      <c r="CA134" s="27">
        <f>opex_orig!BR134</f>
        <v>7.6756323689436898E-3</v>
      </c>
      <c r="CB134" s="27">
        <f>opex_orig!BS134</f>
        <v>4.0958797802387696E-3</v>
      </c>
      <c r="CC134" s="27">
        <f>opex_orig!BT134</f>
        <v>1.1409057935692899E-3</v>
      </c>
      <c r="CD134" s="27">
        <f>opex_orig!BU134</f>
        <v>2.8599243964498098E-3</v>
      </c>
      <c r="CE134" s="27">
        <f>opex_orig!BV134</f>
        <v>2.8599243964498198E-3</v>
      </c>
      <c r="CF134" s="27">
        <f>opex_orig!BW134</f>
        <v>1.1030836524414099E-2</v>
      </c>
      <c r="CG134" s="27">
        <f>opex_orig!BX134</f>
        <v>2.0768312043669998E-5</v>
      </c>
      <c r="CH134" s="27">
        <f>opex_orig!BY134</f>
        <v>7.2704342588888699E-6</v>
      </c>
      <c r="CI134" s="27">
        <f>opex_orig!BZ134</f>
        <v>3.3629240000000002E-3</v>
      </c>
      <c r="CJ134" s="27">
        <f>opex_orig!CA134</f>
        <v>6.471933E-3</v>
      </c>
      <c r="CK134" s="27">
        <f>opex_orig!CB134</f>
        <v>5.2988039999999998E-3</v>
      </c>
      <c r="CL134" s="27">
        <f>opex_orig!CC134</f>
        <v>1.4838268E-2</v>
      </c>
      <c r="CM134" s="27">
        <f>opex_orig!CD134</f>
        <v>3.9705410000000002E-3</v>
      </c>
      <c r="CN134" s="27">
        <f>opex_orig!CE134</f>
        <v>3.6377354000000001E-2</v>
      </c>
      <c r="CO134" s="27">
        <f>opex_orig!CF134</f>
        <v>5.0934684000000001E-2</v>
      </c>
      <c r="CP134" s="27">
        <f>opex_orig!CG134</f>
        <v>1.6204450000000001E-3</v>
      </c>
    </row>
    <row r="135" spans="1:94" x14ac:dyDescent="0.25">
      <c r="A135" s="5" t="s">
        <v>261</v>
      </c>
      <c r="B135" s="2" t="s">
        <v>260</v>
      </c>
      <c r="C135" s="1" t="s">
        <v>335</v>
      </c>
      <c r="D135" s="188">
        <f>opex_orig!D135</f>
        <v>8.4713200000000001E-4</v>
      </c>
      <c r="E135" s="188">
        <f>opex_orig!E135</f>
        <v>1.3093530000000001E-3</v>
      </c>
      <c r="F135" s="188">
        <f>opex_orig!F135</f>
        <v>7.0543699999999995E-4</v>
      </c>
      <c r="G135" s="188">
        <f>opex_orig!G135</f>
        <v>1.1302E-4</v>
      </c>
      <c r="H135" s="188">
        <f>opex_orig!H135</f>
        <v>2.3818999999999999E-4</v>
      </c>
      <c r="I135" s="188">
        <f>opex_orig!I135</f>
        <v>3.4887939999999999E-3</v>
      </c>
      <c r="J135" s="188">
        <f>opex_orig!J135</f>
        <v>4.8531210000000002E-3</v>
      </c>
      <c r="K135" s="188">
        <f>opex_orig!K135</f>
        <v>3.0251699999999998E-4</v>
      </c>
      <c r="L135" s="188">
        <f>opex_orig!L135</f>
        <v>3.7073280000000002E-3</v>
      </c>
      <c r="M135" s="188">
        <f>opex_orig!M135</f>
        <v>1.0200806999999999E-2</v>
      </c>
      <c r="N135" s="188">
        <f>opex_orig!N135</f>
        <v>5.988869E-3</v>
      </c>
      <c r="O135" s="188">
        <f>opex_orig!O135</f>
        <v>8.0723700000000004E-4</v>
      </c>
      <c r="P135" s="188">
        <f>opex_orig!P135</f>
        <v>1.522125E-3</v>
      </c>
      <c r="Q135" s="188">
        <f>opex_orig!Q135</f>
        <v>2.8190700000000002E-4</v>
      </c>
      <c r="R135" s="188">
        <f>opex_orig!R135</f>
        <v>3.83693E-4</v>
      </c>
      <c r="S135" s="188">
        <f>opex_orig!S135</f>
        <v>2.5653080000000001E-3</v>
      </c>
      <c r="T135" s="188">
        <f>opex_orig!T135</f>
        <v>2.9087800000000001E-3</v>
      </c>
      <c r="U135" s="188">
        <f>opex_orig!U135</f>
        <v>1.3232560000000001E-3</v>
      </c>
      <c r="V135" s="188">
        <f>opex_orig!V135</f>
        <v>1.745288E-3</v>
      </c>
      <c r="W135" s="188">
        <f>opex_orig!W135</f>
        <v>1.6872079999999999E-3</v>
      </c>
      <c r="X135" s="188">
        <f>opex_orig!X135</f>
        <v>3.1763859999999998E-3</v>
      </c>
      <c r="Y135" s="188">
        <f>opex_orig!Y135</f>
        <v>2.4446E-4</v>
      </c>
      <c r="Z135" s="188">
        <f>opex_orig!Z135</f>
        <v>1.834926E-3</v>
      </c>
      <c r="AA135" s="188">
        <f>opex_orig!AA135</f>
        <v>2.372093E-3</v>
      </c>
      <c r="AB135" s="188">
        <f>opex_orig!$AB135</f>
        <v>2.6358258976167699E-4</v>
      </c>
      <c r="AC135" s="188">
        <f>opex_orig!$AB135</f>
        <v>2.6358258976167699E-4</v>
      </c>
      <c r="AD135" s="188">
        <f>opex_orig!$AB135</f>
        <v>2.6358258976167699E-4</v>
      </c>
      <c r="AE135" s="188">
        <f>opex_orig!$AC135</f>
        <v>1.06082841810517E-3</v>
      </c>
      <c r="AF135" s="188">
        <f>opex_orig!$AD135</f>
        <v>1.0910998237931E-3</v>
      </c>
      <c r="AG135" s="188">
        <f>opex_orig!$AD135</f>
        <v>1.0910998237931E-3</v>
      </c>
      <c r="AH135" s="188">
        <f>opex_orig!$AD135</f>
        <v>1.0910998237931E-3</v>
      </c>
      <c r="AI135" s="188">
        <f>opex_orig!AE135</f>
        <v>1.1022880000000001E-3</v>
      </c>
      <c r="AJ135" s="188">
        <f>opex_orig!AF135</f>
        <v>6.3848029999999997E-3</v>
      </c>
      <c r="AK135" s="188">
        <f>opex_orig!AG135</f>
        <v>1.57155E-4</v>
      </c>
      <c r="AL135" s="188">
        <f>opex_orig!AH135</f>
        <v>1.5108499999999999E-4</v>
      </c>
      <c r="AM135" s="188">
        <f>opex_orig!AI135</f>
        <v>3.2147300000000002E-4</v>
      </c>
      <c r="AN135" s="188">
        <f>opex_orig!AJ135</f>
        <v>3.6480200000000001E-4</v>
      </c>
      <c r="AO135" s="188">
        <f>opex_orig!AK135</f>
        <v>3.7278300000000001E-4</v>
      </c>
      <c r="AP135" s="188">
        <f>opex_orig!$AL135</f>
        <v>6.86149754086509E-4</v>
      </c>
      <c r="AQ135" s="188">
        <f>opex_orig!$AL135</f>
        <v>6.86149754086509E-4</v>
      </c>
      <c r="AR135" s="188">
        <f>opex_orig!$AL135</f>
        <v>6.86149754086509E-4</v>
      </c>
      <c r="AS135" s="188">
        <f>opex_orig!$AM135</f>
        <v>6.8649699430410702E-4</v>
      </c>
      <c r="AT135" s="188">
        <f>opex_orig!AN135</f>
        <v>1.023801E-3</v>
      </c>
      <c r="AU135" s="188">
        <f>opex_orig!$AO135</f>
        <v>7.1951009809092701E-4</v>
      </c>
      <c r="AV135" s="188">
        <f>opex_orig!$AO135</f>
        <v>7.1951009809092701E-4</v>
      </c>
      <c r="AW135" s="188">
        <f>opex_orig!$AO135</f>
        <v>7.1951009809092701E-4</v>
      </c>
      <c r="AX135" s="188">
        <f>opex_orig!$AP135</f>
        <v>8.3310532107905701E-4</v>
      </c>
      <c r="AY135" s="188">
        <f>opex_orig!AQ135</f>
        <v>2.0959400000000001E-3</v>
      </c>
      <c r="AZ135" s="188">
        <f>opex_orig!AR135</f>
        <v>0</v>
      </c>
      <c r="BA135" s="188">
        <f>opex_orig!AS135</f>
        <v>1.063088E-3</v>
      </c>
      <c r="BB135" s="188">
        <f>opex_orig!AT135</f>
        <v>1.1782629999999999E-3</v>
      </c>
      <c r="BC135" s="188">
        <f>opex_orig!AU135</f>
        <v>1.9360199999999999E-4</v>
      </c>
      <c r="BD135" s="188">
        <f>opex_orig!AV135</f>
        <v>1.5788600000000001E-4</v>
      </c>
      <c r="BE135" s="188">
        <f>opex_orig!AW135</f>
        <v>8.50065E-4</v>
      </c>
      <c r="BF135" s="188">
        <f>opex_orig!AX135</f>
        <v>0</v>
      </c>
      <c r="BG135" s="188">
        <f>opex_orig!AY135</f>
        <v>2.3504929999999999E-3</v>
      </c>
      <c r="BH135" s="188">
        <f>opex_orig!AZ135</f>
        <v>0</v>
      </c>
      <c r="BI135" s="188">
        <f>opex_orig!BA135</f>
        <v>1.276513E-3</v>
      </c>
      <c r="BJ135" s="188">
        <f>opex_orig!BB135</f>
        <v>6.6615900000000004E-4</v>
      </c>
      <c r="BK135" s="188">
        <f>opex_orig!BC135</f>
        <v>5.6823639999999996E-3</v>
      </c>
      <c r="BL135" s="188">
        <f>opex_orig!BD135</f>
        <v>3.31002E-4</v>
      </c>
      <c r="BM135" s="188">
        <f>opex_orig!BE135</f>
        <v>1.427864E-3</v>
      </c>
      <c r="BN135" s="188">
        <f>opex_orig!BF135</f>
        <v>8.6047399999999996E-4</v>
      </c>
      <c r="BO135" s="188">
        <f>opex_orig!BG135</f>
        <v>3.4901839999999999E-3</v>
      </c>
      <c r="BP135" s="188">
        <f>opex_orig!$BH135</f>
        <v>1.4468681419810101E-3</v>
      </c>
      <c r="BQ135" s="188">
        <f>opex_orig!$BH135</f>
        <v>1.4468681419810101E-3</v>
      </c>
      <c r="BR135" s="188">
        <f>opex_orig!BI135</f>
        <v>1.5566399999999999E-4</v>
      </c>
      <c r="BS135" s="188">
        <f>opex_orig!BJ135</f>
        <v>2.9120639999999998E-3</v>
      </c>
      <c r="BT135" s="188">
        <f>opex_orig!BK135</f>
        <v>4.0177579999999997E-3</v>
      </c>
      <c r="BU135" s="188">
        <f>opex_orig!BL135</f>
        <v>0</v>
      </c>
      <c r="BV135" s="27">
        <f>opex_orig!BM135</f>
        <v>1.8486940662318699E-4</v>
      </c>
      <c r="BW135" s="27">
        <f>opex_orig!BN135</f>
        <v>1.7576815144218201E-4</v>
      </c>
      <c r="BX135" s="27">
        <f>opex_orig!BO135</f>
        <v>1.1275241202503E-4</v>
      </c>
      <c r="BY135" s="27">
        <f>opex_orig!BP135</f>
        <v>1.2788401710895901E-4</v>
      </c>
      <c r="BZ135" s="27">
        <f>opex_orig!BQ135</f>
        <v>1.4491103099860801E-4</v>
      </c>
      <c r="CA135" s="27">
        <f>opex_orig!BR135</f>
        <v>1.03410332204303E-2</v>
      </c>
      <c r="CB135" s="27">
        <f>opex_orig!BS135</f>
        <v>2.3070253281087401E-4</v>
      </c>
      <c r="CC135" s="27">
        <f>opex_orig!BT135</f>
        <v>2.1183193403486901E-4</v>
      </c>
      <c r="CD135" s="27">
        <f>opex_orig!BU135</f>
        <v>1.4341962122937899E-4</v>
      </c>
      <c r="CE135" s="27">
        <f>opex_orig!BV135</f>
        <v>1.4341962122937899E-4</v>
      </c>
      <c r="CF135" s="27">
        <f>opex_orig!BW135</f>
        <v>2.4942438737497702E-3</v>
      </c>
      <c r="CG135" s="27">
        <f>opex_orig!BX135</f>
        <v>5.3202803169035101E-5</v>
      </c>
      <c r="CH135" s="27">
        <f>opex_orig!BY135</f>
        <v>1.30266321691755E-3</v>
      </c>
      <c r="CI135" s="27">
        <f>opex_orig!BZ135</f>
        <v>1.8321200000000001E-4</v>
      </c>
      <c r="CJ135" s="27">
        <f>opex_orig!CA135</f>
        <v>1.6575100000000001E-4</v>
      </c>
      <c r="CK135" s="27">
        <f>opex_orig!CB135</f>
        <v>1.5120500000000001E-4</v>
      </c>
      <c r="CL135" s="27">
        <f>opex_orig!CC135</f>
        <v>5.91E-5</v>
      </c>
      <c r="CM135" s="27">
        <f>opex_orig!CD135</f>
        <v>2.1604999999999999E-4</v>
      </c>
      <c r="CN135" s="27">
        <f>opex_orig!CE135</f>
        <v>4.0563799999999999E-4</v>
      </c>
      <c r="CO135" s="27">
        <f>opex_orig!CF135</f>
        <v>7.547654E-3</v>
      </c>
      <c r="CP135" s="27">
        <f>opex_orig!CG135</f>
        <v>5.1461900000000001E-3</v>
      </c>
    </row>
    <row r="136" spans="1:94" x14ac:dyDescent="0.25">
      <c r="A136" s="5" t="s">
        <v>263</v>
      </c>
      <c r="B136" s="2" t="s">
        <v>262</v>
      </c>
      <c r="C136" s="1" t="s">
        <v>335</v>
      </c>
      <c r="D136" s="188">
        <f>opex_orig!D136</f>
        <v>1.797344E-3</v>
      </c>
      <c r="E136" s="188">
        <f>opex_orig!E136</f>
        <v>7.2147900000000002E-4</v>
      </c>
      <c r="F136" s="188">
        <f>opex_orig!F136</f>
        <v>4.9409699999999998E-4</v>
      </c>
      <c r="G136" s="188">
        <f>opex_orig!G136</f>
        <v>5.9200000000000002E-5</v>
      </c>
      <c r="H136" s="188">
        <f>opex_orig!H136</f>
        <v>1.2736E-4</v>
      </c>
      <c r="I136" s="188">
        <f>opex_orig!I136</f>
        <v>1.251051E-3</v>
      </c>
      <c r="J136" s="188">
        <f>opex_orig!J136</f>
        <v>1.2461709999999999E-3</v>
      </c>
      <c r="K136" s="188">
        <f>opex_orig!K136</f>
        <v>1.72363E-4</v>
      </c>
      <c r="L136" s="188">
        <f>opex_orig!L136</f>
        <v>2.1878209999999999E-3</v>
      </c>
      <c r="M136" s="188">
        <f>opex_orig!M136</f>
        <v>7.1871239999999996E-3</v>
      </c>
      <c r="N136" s="188">
        <f>opex_orig!N136</f>
        <v>3.3407749999999998E-3</v>
      </c>
      <c r="O136" s="188">
        <f>opex_orig!O136</f>
        <v>2.8850437E-2</v>
      </c>
      <c r="P136" s="188">
        <f>opex_orig!P136</f>
        <v>1.9561719999999999E-3</v>
      </c>
      <c r="Q136" s="188">
        <f>opex_orig!Q136</f>
        <v>1.7622199999999999E-4</v>
      </c>
      <c r="R136" s="188">
        <f>opex_orig!R136</f>
        <v>6.5625199999999996E-4</v>
      </c>
      <c r="S136" s="188">
        <f>opex_orig!S136</f>
        <v>1.9115650000000001E-3</v>
      </c>
      <c r="T136" s="188">
        <f>opex_orig!T136</f>
        <v>2.048036E-3</v>
      </c>
      <c r="U136" s="188">
        <f>opex_orig!U136</f>
        <v>3.1777799999999998E-3</v>
      </c>
      <c r="V136" s="188">
        <f>opex_orig!V136</f>
        <v>3.7474449999999999E-3</v>
      </c>
      <c r="W136" s="188">
        <f>opex_orig!W136</f>
        <v>4.9167239999999999E-3</v>
      </c>
      <c r="X136" s="188">
        <f>opex_orig!X136</f>
        <v>2.8857206E-2</v>
      </c>
      <c r="Y136" s="188">
        <f>opex_orig!Y136</f>
        <v>1.9809999999999999E-4</v>
      </c>
      <c r="Z136" s="188">
        <f>opex_orig!Z136</f>
        <v>9.6736900000000004E-4</v>
      </c>
      <c r="AA136" s="188">
        <f>opex_orig!AA136</f>
        <v>1.1357159999999999E-3</v>
      </c>
      <c r="AB136" s="188">
        <f>opex_orig!$AB136</f>
        <v>1.4960155830675499E-4</v>
      </c>
      <c r="AC136" s="188">
        <f>opex_orig!$AB136</f>
        <v>1.4960155830675499E-4</v>
      </c>
      <c r="AD136" s="188">
        <f>opex_orig!$AB136</f>
        <v>1.4960155830675499E-4</v>
      </c>
      <c r="AE136" s="188">
        <f>opex_orig!$AC136</f>
        <v>6.6282191227511999E-4</v>
      </c>
      <c r="AF136" s="188">
        <f>opex_orig!$AD136</f>
        <v>1.1938653550007199E-3</v>
      </c>
      <c r="AG136" s="188">
        <f>opex_orig!$AD136</f>
        <v>1.1938653550007199E-3</v>
      </c>
      <c r="AH136" s="188">
        <f>opex_orig!$AD136</f>
        <v>1.1938653550007199E-3</v>
      </c>
      <c r="AI136" s="188">
        <f>opex_orig!AE136</f>
        <v>1.090852E-3</v>
      </c>
      <c r="AJ136" s="188">
        <f>opex_orig!AF136</f>
        <v>4.0592170000000004E-3</v>
      </c>
      <c r="AK136" s="188">
        <f>opex_orig!AG136</f>
        <v>4.2586499999999999E-4</v>
      </c>
      <c r="AL136" s="188">
        <f>opex_orig!AH136</f>
        <v>8.4359099999999998E-4</v>
      </c>
      <c r="AM136" s="188">
        <f>opex_orig!AI136</f>
        <v>1.66092E-3</v>
      </c>
      <c r="AN136" s="188">
        <f>opex_orig!AJ136</f>
        <v>1.091358E-3</v>
      </c>
      <c r="AO136" s="188">
        <f>opex_orig!AK136</f>
        <v>1.198632E-3</v>
      </c>
      <c r="AP136" s="188">
        <f>opex_orig!$AL136</f>
        <v>1.0408441900777699E-3</v>
      </c>
      <c r="AQ136" s="188">
        <f>opex_orig!$AL136</f>
        <v>1.0408441900777699E-3</v>
      </c>
      <c r="AR136" s="188">
        <f>opex_orig!$AL136</f>
        <v>1.0408441900777699E-3</v>
      </c>
      <c r="AS136" s="188">
        <f>opex_orig!$AM136</f>
        <v>9.7633186542052895E-4</v>
      </c>
      <c r="AT136" s="188">
        <f>opex_orig!AN136</f>
        <v>2.3786800000000002E-3</v>
      </c>
      <c r="AU136" s="188">
        <f>opex_orig!$AO136</f>
        <v>2.5564109694789999E-4</v>
      </c>
      <c r="AV136" s="188">
        <f>opex_orig!$AO136</f>
        <v>2.5564109694789999E-4</v>
      </c>
      <c r="AW136" s="188">
        <f>opex_orig!$AO136</f>
        <v>2.5564109694789999E-4</v>
      </c>
      <c r="AX136" s="188">
        <f>opex_orig!$AP136</f>
        <v>3.0576479487317301E-4</v>
      </c>
      <c r="AY136" s="188">
        <f>opex_orig!AQ136</f>
        <v>5.38643E-4</v>
      </c>
      <c r="AZ136" s="188">
        <f>opex_orig!AR136</f>
        <v>0</v>
      </c>
      <c r="BA136" s="188">
        <f>opex_orig!AS136</f>
        <v>3.1528699999999998E-4</v>
      </c>
      <c r="BB136" s="188">
        <f>opex_orig!AT136</f>
        <v>3.22329E-4</v>
      </c>
      <c r="BC136" s="188">
        <f>opex_orig!AU136</f>
        <v>6.9800000000000003E-5</v>
      </c>
      <c r="BD136" s="188">
        <f>opex_orig!AV136</f>
        <v>5.8199999999999998E-5</v>
      </c>
      <c r="BE136" s="188">
        <f>opex_orig!AW136</f>
        <v>2.2099199999999999E-4</v>
      </c>
      <c r="BF136" s="188">
        <f>opex_orig!AX136</f>
        <v>0</v>
      </c>
      <c r="BG136" s="188">
        <f>opex_orig!AY136</f>
        <v>5.2748300000000003E-4</v>
      </c>
      <c r="BH136" s="188">
        <f>opex_orig!AZ136</f>
        <v>0</v>
      </c>
      <c r="BI136" s="188">
        <f>opex_orig!BA136</f>
        <v>5.1469299999999999E-4</v>
      </c>
      <c r="BJ136" s="188">
        <f>opex_orig!BB136</f>
        <v>5.2769299999999998E-4</v>
      </c>
      <c r="BK136" s="188">
        <f>opex_orig!BC136</f>
        <v>3.919329E-3</v>
      </c>
      <c r="BL136" s="188">
        <f>opex_orig!BD136</f>
        <v>0.100960508</v>
      </c>
      <c r="BM136" s="188">
        <f>opex_orig!BE136</f>
        <v>4.5373389999999996E-3</v>
      </c>
      <c r="BN136" s="188">
        <f>opex_orig!BF136</f>
        <v>1.3795859999999999E-3</v>
      </c>
      <c r="BO136" s="188">
        <f>opex_orig!BG136</f>
        <v>2.506604E-3</v>
      </c>
      <c r="BP136" s="354">
        <f>opex_concordance!M103</f>
        <v>3.2054804537612583E-3</v>
      </c>
      <c r="BQ136" s="354">
        <f>opex_concordance!M146</f>
        <v>2.105763648697074E-3</v>
      </c>
      <c r="BR136" s="188">
        <f>opex_orig!BI136</f>
        <v>3.6133139999999998E-3</v>
      </c>
      <c r="BS136" s="188">
        <f>opex_orig!BJ136</f>
        <v>2.533488E-3</v>
      </c>
      <c r="BT136" s="188">
        <f>opex_orig!BK136</f>
        <v>2.1084799999999998E-3</v>
      </c>
      <c r="BU136" s="188">
        <f>opex_orig!BL136</f>
        <v>0</v>
      </c>
      <c r="BV136" s="27">
        <f>opex_orig!BM136</f>
        <v>1.9617939705464799E-3</v>
      </c>
      <c r="BW136" s="27">
        <f>opex_orig!BN136</f>
        <v>1.1213775237672401E-3</v>
      </c>
      <c r="BX136" s="27">
        <f>opex_orig!BO136</f>
        <v>9.9799791070215109E-4</v>
      </c>
      <c r="BY136" s="27">
        <f>opex_orig!BP136</f>
        <v>8.3541995756067897E-4</v>
      </c>
      <c r="BZ136" s="27">
        <f>opex_orig!BQ136</f>
        <v>6.80213761210968E-4</v>
      </c>
      <c r="CA136" s="27">
        <f>opex_orig!BR136</f>
        <v>1.68380714826097E-3</v>
      </c>
      <c r="CB136" s="27">
        <f>opex_orig!BS136</f>
        <v>6.2290463151473002E-4</v>
      </c>
      <c r="CC136" s="27">
        <f>opex_orig!BT136</f>
        <v>2.5822555188074799E-3</v>
      </c>
      <c r="CD136" s="27">
        <f>opex_orig!BU136</f>
        <v>9.70932418694744E-5</v>
      </c>
      <c r="CE136" s="27">
        <f>opex_orig!BV136</f>
        <v>9.7093241869474495E-5</v>
      </c>
      <c r="CF136" s="27">
        <f>opex_orig!BW136</f>
        <v>4.3338343501535901E-3</v>
      </c>
      <c r="CG136" s="27">
        <f>opex_orig!BX136</f>
        <v>4.1902666300105103E-5</v>
      </c>
      <c r="CH136" s="27">
        <f>opex_orig!BY136</f>
        <v>1.0842155558097401E-4</v>
      </c>
      <c r="CI136" s="27">
        <f>opex_orig!BZ136</f>
        <v>1.4852610000000001E-3</v>
      </c>
      <c r="CJ136" s="27">
        <f>opex_orig!CA136</f>
        <v>1.5767120000000001E-3</v>
      </c>
      <c r="CK136" s="27">
        <f>opex_orig!CB136</f>
        <v>1.3349600000000001E-3</v>
      </c>
      <c r="CL136" s="27">
        <f>opex_orig!CC136</f>
        <v>5.11127E-4</v>
      </c>
      <c r="CM136" s="27">
        <f>opex_orig!CD136</f>
        <v>1.16351E-3</v>
      </c>
      <c r="CN136" s="27">
        <f>opex_orig!CE136</f>
        <v>1.196679E-3</v>
      </c>
      <c r="CO136" s="27">
        <f>opex_orig!CF136</f>
        <v>1.9516690000000001E-3</v>
      </c>
      <c r="CP136" s="27">
        <f>opex_orig!CG136</f>
        <v>2.39471E-4</v>
      </c>
    </row>
    <row r="137" spans="1:94" x14ac:dyDescent="0.25">
      <c r="A137" s="5" t="s">
        <v>265</v>
      </c>
      <c r="B137" s="2" t="s">
        <v>264</v>
      </c>
      <c r="C137" s="1" t="s">
        <v>335</v>
      </c>
      <c r="D137" s="188">
        <f>opex_orig!D137</f>
        <v>5.7319300000000005E-4</v>
      </c>
      <c r="E137" s="188">
        <f>opex_orig!E137</f>
        <v>5.8499999999999999E-5</v>
      </c>
      <c r="F137" s="188">
        <f>opex_orig!F137</f>
        <v>3.9199999999999997E-5</v>
      </c>
      <c r="G137" s="188">
        <f>opex_orig!G137</f>
        <v>2.0000000000000002E-5</v>
      </c>
      <c r="H137" s="188">
        <f>opex_orig!H137</f>
        <v>1.2099999999999999E-5</v>
      </c>
      <c r="I137" s="188">
        <f>opex_orig!I137</f>
        <v>5.8300000000000001E-5</v>
      </c>
      <c r="J137" s="188">
        <f>opex_orig!J137</f>
        <v>2.8076000000000002E-4</v>
      </c>
      <c r="K137" s="188">
        <f>opex_orig!K137</f>
        <v>1.7099999999999999E-5</v>
      </c>
      <c r="L137" s="188">
        <f>opex_orig!L137</f>
        <v>2.4057899999999999E-4</v>
      </c>
      <c r="M137" s="188">
        <f>opex_orig!M137</f>
        <v>2.7142900000000001E-4</v>
      </c>
      <c r="N137" s="188">
        <f>opex_orig!N137</f>
        <v>2.9870999999999999E-4</v>
      </c>
      <c r="O137" s="188">
        <f>opex_orig!O137</f>
        <v>2.7596600000000002E-3</v>
      </c>
      <c r="P137" s="188">
        <f>opex_orig!P137</f>
        <v>1.175836E-3</v>
      </c>
      <c r="Q137" s="188">
        <f>opex_orig!Q137</f>
        <v>7.7000000000000001E-5</v>
      </c>
      <c r="R137" s="188">
        <f>opex_orig!R137</f>
        <v>7.2100000000000004E-5</v>
      </c>
      <c r="S137" s="188">
        <f>opex_orig!S137</f>
        <v>5.5600000000000003E-5</v>
      </c>
      <c r="T137" s="188">
        <f>opex_orig!T137</f>
        <v>6.0999999999999999E-5</v>
      </c>
      <c r="U137" s="188">
        <f>opex_orig!U137</f>
        <v>5.6799999999999998E-5</v>
      </c>
      <c r="V137" s="188">
        <f>opex_orig!V137</f>
        <v>6.7299999999999996E-5</v>
      </c>
      <c r="W137" s="188">
        <f>opex_orig!W137</f>
        <v>4.3900000000000003E-5</v>
      </c>
      <c r="X137" s="188">
        <f>opex_orig!X137</f>
        <v>1.05241E-4</v>
      </c>
      <c r="Y137" s="188">
        <f>opex_orig!Y137</f>
        <v>6.9900000000000005E-5</v>
      </c>
      <c r="Z137" s="188">
        <f>opex_orig!Z137</f>
        <v>4.56732E-4</v>
      </c>
      <c r="AA137" s="188">
        <f>opex_orig!AA137</f>
        <v>1.38341E-4</v>
      </c>
      <c r="AB137" s="188">
        <f>opex_orig!$AB137</f>
        <v>3.0303699308794999E-5</v>
      </c>
      <c r="AC137" s="188">
        <f>opex_orig!$AB137</f>
        <v>3.0303699308794999E-5</v>
      </c>
      <c r="AD137" s="188">
        <f>opex_orig!$AB137</f>
        <v>3.0303699308794999E-5</v>
      </c>
      <c r="AE137" s="188">
        <f>opex_orig!$AC137</f>
        <v>4.3149265432748798E-4</v>
      </c>
      <c r="AF137" s="188">
        <f>opex_orig!$AD137</f>
        <v>1.6469590935389801E-3</v>
      </c>
      <c r="AG137" s="188">
        <f>opex_orig!$AD137</f>
        <v>1.6469590935389801E-3</v>
      </c>
      <c r="AH137" s="188">
        <f>opex_orig!$AD137</f>
        <v>1.6469590935389801E-3</v>
      </c>
      <c r="AI137" s="188">
        <f>opex_orig!AE137</f>
        <v>1.480299E-3</v>
      </c>
      <c r="AJ137" s="188">
        <f>opex_orig!AF137</f>
        <v>2.7584340000000001E-3</v>
      </c>
      <c r="AK137" s="188">
        <f>opex_orig!AG137</f>
        <v>3.2134600000000002E-4</v>
      </c>
      <c r="AL137" s="188">
        <f>opex_orig!AH137</f>
        <v>2.05606E-4</v>
      </c>
      <c r="AM137" s="188">
        <f>opex_orig!AI137</f>
        <v>2.1553499999999999E-4</v>
      </c>
      <c r="AN137" s="188">
        <f>opex_orig!AJ137</f>
        <v>8.9245500000000001E-4</v>
      </c>
      <c r="AO137" s="188">
        <f>opex_orig!AK137</f>
        <v>8.5972100000000003E-4</v>
      </c>
      <c r="AP137" s="188">
        <f>opex_orig!$AL137</f>
        <v>8.8470407843702298E-4</v>
      </c>
      <c r="AQ137" s="188">
        <f>opex_orig!$AL137</f>
        <v>8.8470407843702298E-4</v>
      </c>
      <c r="AR137" s="188">
        <f>opex_orig!$AL137</f>
        <v>8.8470407843702298E-4</v>
      </c>
      <c r="AS137" s="188">
        <f>opex_orig!$AM137</f>
        <v>8.4283152749599604E-4</v>
      </c>
      <c r="AT137" s="188">
        <f>opex_orig!AN137</f>
        <v>1.5827300000000001E-3</v>
      </c>
      <c r="AU137" s="188">
        <f>opex_orig!$AO137</f>
        <v>2.1720555973695499E-4</v>
      </c>
      <c r="AV137" s="188">
        <f>opex_orig!$AO137</f>
        <v>2.1720555973695499E-4</v>
      </c>
      <c r="AW137" s="188">
        <f>opex_orig!$AO137</f>
        <v>2.1720555973695499E-4</v>
      </c>
      <c r="AX137" s="188">
        <f>opex_orig!$AP137</f>
        <v>2.5843160810165599E-4</v>
      </c>
      <c r="AY137" s="188">
        <f>opex_orig!AQ137</f>
        <v>1.82616E-4</v>
      </c>
      <c r="AZ137" s="188">
        <f>opex_orig!AR137</f>
        <v>0</v>
      </c>
      <c r="BA137" s="188">
        <f>opex_orig!AS137</f>
        <v>1.8246000000000001E-4</v>
      </c>
      <c r="BB137" s="188">
        <f>opex_orig!AT137</f>
        <v>1.8984399999999999E-4</v>
      </c>
      <c r="BC137" s="188">
        <f>opex_orig!AU137</f>
        <v>2.9300000000000001E-5</v>
      </c>
      <c r="BD137" s="188">
        <f>opex_orig!AV137</f>
        <v>2.2799999999999999E-5</v>
      </c>
      <c r="BE137" s="188">
        <f>opex_orig!AW137</f>
        <v>7.8100000000000001E-5</v>
      </c>
      <c r="BF137" s="188">
        <f>opex_orig!AX137</f>
        <v>0</v>
      </c>
      <c r="BG137" s="188">
        <f>opex_orig!AY137</f>
        <v>8.3499999999999997E-5</v>
      </c>
      <c r="BH137" s="188">
        <f>opex_orig!AZ137</f>
        <v>0</v>
      </c>
      <c r="BI137" s="188">
        <f>opex_orig!BA137</f>
        <v>1.08007E-4</v>
      </c>
      <c r="BJ137" s="188">
        <f>opex_orig!BB137</f>
        <v>1.29276E-4</v>
      </c>
      <c r="BK137" s="188">
        <f>opex_orig!BC137</f>
        <v>2.1430920000000001E-3</v>
      </c>
      <c r="BL137" s="188">
        <f>opex_orig!BD137</f>
        <v>1.17102E-4</v>
      </c>
      <c r="BM137" s="188">
        <f>opex_orig!BE137</f>
        <v>9.1799999999999995E-5</v>
      </c>
      <c r="BN137" s="188">
        <f>opex_orig!BF137</f>
        <v>1.3837019999999999E-3</v>
      </c>
      <c r="BO137" s="188">
        <f>opex_orig!BG137</f>
        <v>9.3917600000000001E-4</v>
      </c>
      <c r="BP137" s="326">
        <f>opex_concordance!M106</f>
        <v>5.1588333605838291E-3</v>
      </c>
      <c r="BQ137" s="326">
        <f>opex_concordance!M149</f>
        <v>3.4290432752436704E-3</v>
      </c>
      <c r="BR137" s="188">
        <f>opex_orig!BI137</f>
        <v>2.7759099999999999E-4</v>
      </c>
      <c r="BS137" s="188">
        <f>opex_orig!BJ137</f>
        <v>1.4007000000000001E-4</v>
      </c>
      <c r="BT137" s="188">
        <f>opex_orig!BK137</f>
        <v>3.6300000000000001E-5</v>
      </c>
      <c r="BU137" s="188">
        <f>opex_orig!BL137</f>
        <v>0</v>
      </c>
      <c r="BV137" s="27">
        <f>opex_orig!BM137</f>
        <v>4.6305943475033903E-5</v>
      </c>
      <c r="BW137" s="27">
        <f>opex_orig!BN137</f>
        <v>7.0516115204946305E-5</v>
      </c>
      <c r="BX137" s="27">
        <f>opex_orig!BO137</f>
        <v>2.2491688371882301E-5</v>
      </c>
      <c r="BY137" s="27">
        <f>opex_orig!BP137</f>
        <v>2.4489170962318699E-5</v>
      </c>
      <c r="BZ137" s="27">
        <f>opex_orig!BQ137</f>
        <v>2.1492293904240999E-5</v>
      </c>
      <c r="CA137" s="27">
        <f>opex_orig!BR137</f>
        <v>2.07165589363515E-5</v>
      </c>
      <c r="CB137" s="27">
        <f>opex_orig!BS137</f>
        <v>3.7762293671244497E-5</v>
      </c>
      <c r="CC137" s="27">
        <f>opex_orig!BT137</f>
        <v>3.0985933257110298E-4</v>
      </c>
      <c r="CD137" s="27">
        <f>opex_orig!BU137</f>
        <v>1.9464092928666602E-5</v>
      </c>
      <c r="CE137" s="27">
        <f>opex_orig!BV137</f>
        <v>1.94640929286667E-5</v>
      </c>
      <c r="CF137" s="27">
        <f>opex_orig!BW137</f>
        <v>2.4100716838055202E-3</v>
      </c>
      <c r="CG137" s="27">
        <f>opex_orig!BX137</f>
        <v>8.8019947467268398E-6</v>
      </c>
      <c r="CH137" s="27">
        <f>opex_orig!BY137</f>
        <v>2.4266902608108699E-5</v>
      </c>
      <c r="CI137" s="27">
        <f>opex_orig!BZ137</f>
        <v>4.0899999999999998E-5</v>
      </c>
      <c r="CJ137" s="27">
        <f>opex_orig!CA137</f>
        <v>3.2700000000000002E-5</v>
      </c>
      <c r="CK137" s="27">
        <f>opex_orig!CB137</f>
        <v>2.8200000000000001E-5</v>
      </c>
      <c r="CL137" s="27">
        <f>opex_orig!CC137</f>
        <v>1.5299999999999999E-5</v>
      </c>
      <c r="CM137" s="27">
        <f>opex_orig!CD137</f>
        <v>8.6899999999999998E-5</v>
      </c>
      <c r="CN137" s="27">
        <f>opex_orig!CE137</f>
        <v>1.9934600000000001E-4</v>
      </c>
      <c r="CO137" s="27">
        <f>opex_orig!CF137</f>
        <v>3.8005299999999999E-4</v>
      </c>
      <c r="CP137" s="27">
        <f>opex_orig!CG137</f>
        <v>1.83129E-4</v>
      </c>
    </row>
    <row r="138" spans="1:94" x14ac:dyDescent="0.25">
      <c r="A138" s="5" t="s">
        <v>267</v>
      </c>
      <c r="B138" s="2" t="s">
        <v>266</v>
      </c>
      <c r="C138" s="1" t="s">
        <v>335</v>
      </c>
      <c r="D138" s="188">
        <f>opex_orig!D138</f>
        <v>0.28456901299999998</v>
      </c>
      <c r="E138" s="188">
        <f>opex_orig!E138</f>
        <v>2.6622863E-2</v>
      </c>
      <c r="F138" s="188">
        <f>opex_orig!F138</f>
        <v>1.3583289E-2</v>
      </c>
      <c r="G138" s="188">
        <f>opex_orig!G138</f>
        <v>2.139784E-3</v>
      </c>
      <c r="H138" s="188">
        <f>opex_orig!H138</f>
        <v>4.6907299999999997E-3</v>
      </c>
      <c r="I138" s="188">
        <f>opex_orig!I138</f>
        <v>2.3096483000000001E-2</v>
      </c>
      <c r="J138" s="188">
        <f>opex_orig!J138</f>
        <v>0.139136172</v>
      </c>
      <c r="K138" s="188">
        <f>opex_orig!K138</f>
        <v>7.0937159999999999E-3</v>
      </c>
      <c r="L138" s="188">
        <f>opex_orig!L138</f>
        <v>2.0290374999999999E-2</v>
      </c>
      <c r="M138" s="188">
        <f>opex_orig!M138</f>
        <v>3.6457121000000002E-2</v>
      </c>
      <c r="N138" s="188">
        <f>opex_orig!N138</f>
        <v>2.2012245999999999E-2</v>
      </c>
      <c r="O138" s="188">
        <f>opex_orig!O138</f>
        <v>0.107272519</v>
      </c>
      <c r="P138" s="188">
        <f>opex_orig!P138</f>
        <v>2.6706654999999999E-2</v>
      </c>
      <c r="Q138" s="188">
        <f>opex_orig!Q138</f>
        <v>6.0268250000000004E-3</v>
      </c>
      <c r="R138" s="188">
        <f>opex_orig!R138</f>
        <v>2.0092460000000001E-3</v>
      </c>
      <c r="S138" s="188">
        <f>opex_orig!S138</f>
        <v>9.5769380000000001E-3</v>
      </c>
      <c r="T138" s="188">
        <f>opex_orig!T138</f>
        <v>7.9459160000000008E-3</v>
      </c>
      <c r="U138" s="188">
        <f>opex_orig!U138</f>
        <v>1.2439156999999999E-2</v>
      </c>
      <c r="V138" s="188">
        <f>opex_orig!V138</f>
        <v>1.4279811E-2</v>
      </c>
      <c r="W138" s="188">
        <f>opex_orig!W138</f>
        <v>9.583421E-3</v>
      </c>
      <c r="X138" s="188">
        <f>opex_orig!X138</f>
        <v>3.7228004000000002E-2</v>
      </c>
      <c r="Y138" s="188">
        <f>opex_orig!Y138</f>
        <v>1.9970650000000001E-3</v>
      </c>
      <c r="Z138" s="188">
        <f>opex_orig!Z138</f>
        <v>7.1748560000000003E-3</v>
      </c>
      <c r="AA138" s="188">
        <f>opex_orig!AA138</f>
        <v>2.8680569999999998E-3</v>
      </c>
      <c r="AB138" s="188">
        <f>opex_orig!$AB138</f>
        <v>2.7523979603527099E-3</v>
      </c>
      <c r="AC138" s="188">
        <f>opex_orig!$AB138</f>
        <v>2.7523979603527099E-3</v>
      </c>
      <c r="AD138" s="188">
        <f>opex_orig!$AB138</f>
        <v>2.7523979603527099E-3</v>
      </c>
      <c r="AE138" s="188">
        <f>opex_orig!$AC138</f>
        <v>3.2864332707457103E-2</v>
      </c>
      <c r="AF138" s="208">
        <f>opex_concordance!$M$325</f>
        <v>4.1270669160376701E-2</v>
      </c>
      <c r="AG138" s="208">
        <f>opex_concordance!$M$361</f>
        <v>1.8288827089169398E-2</v>
      </c>
      <c r="AH138" s="208">
        <f>opex_concordance!$M$397</f>
        <v>1.4673047477296135E-2</v>
      </c>
      <c r="AI138" s="188">
        <f>opex_orig!AE138</f>
        <v>3.8156677999999999E-2</v>
      </c>
      <c r="AJ138" s="188">
        <f>opex_orig!AF138</f>
        <v>6.7545684999999994E-2</v>
      </c>
      <c r="AK138" s="188">
        <f>opex_orig!AG138</f>
        <v>1.492541E-2</v>
      </c>
      <c r="AL138" s="188">
        <f>opex_orig!AH138</f>
        <v>1.1441420000000001E-2</v>
      </c>
      <c r="AM138" s="188">
        <f>opex_orig!AI138</f>
        <v>2.4164973999999999E-2</v>
      </c>
      <c r="AN138" s="188">
        <f>opex_orig!AJ138</f>
        <v>6.0963450000000004E-3</v>
      </c>
      <c r="AO138" s="188">
        <f>opex_orig!AK138</f>
        <v>1.0751223000000001E-2</v>
      </c>
      <c r="AP138" s="208">
        <f>opex_concordance!M452</f>
        <v>1.7195063170659601E-2</v>
      </c>
      <c r="AQ138" s="208">
        <f>opex_concordance!M506</f>
        <v>1.3838424615979361E-2</v>
      </c>
      <c r="AR138" s="208">
        <f>opex_concordance!M560</f>
        <v>1.5186461680614207E-2</v>
      </c>
      <c r="AS138" s="188">
        <f>opex_orig!$AM138</f>
        <v>1.6633478857704598E-2</v>
      </c>
      <c r="AT138" s="188">
        <f>opex_orig!AN138</f>
        <v>1.7201658000000002E-2</v>
      </c>
      <c r="AU138" s="208">
        <f>opex_concordance!M569</f>
        <v>5.7703633663306999E-3</v>
      </c>
      <c r="AV138" s="208">
        <f>opex_concordance!M615</f>
        <v>5.815672866583842E-3</v>
      </c>
      <c r="AW138" s="208">
        <f>opex_concordance!M661</f>
        <v>5.1345077391726397E-3</v>
      </c>
      <c r="AX138" s="188">
        <f>opex_orig!$AP138</f>
        <v>6.9467099744618E-3</v>
      </c>
      <c r="AY138" s="188">
        <f>opex_orig!AQ138</f>
        <v>8.2253420000000001E-3</v>
      </c>
      <c r="AZ138" s="188">
        <f>opex_orig!AR138</f>
        <v>0</v>
      </c>
      <c r="BA138" s="188">
        <f>opex_orig!AS138</f>
        <v>9.1798309999999994E-3</v>
      </c>
      <c r="BB138" s="188">
        <f>opex_orig!AT138</f>
        <v>1.0108331999999999E-2</v>
      </c>
      <c r="BC138" s="188">
        <f>opex_orig!AU138</f>
        <v>1.2166810000000001E-3</v>
      </c>
      <c r="BD138" s="188">
        <f>opex_orig!AV138</f>
        <v>9.5820699999999998E-4</v>
      </c>
      <c r="BE138" s="188">
        <f>opex_orig!AW138</f>
        <v>4.3933779999999999E-3</v>
      </c>
      <c r="BF138" s="188">
        <f>opex_orig!AX138</f>
        <v>0</v>
      </c>
      <c r="BG138" s="188">
        <f>opex_orig!AY138</f>
        <v>4.797305E-3</v>
      </c>
      <c r="BH138" s="188">
        <f>opex_orig!AZ138</f>
        <v>0</v>
      </c>
      <c r="BI138" s="188">
        <f>opex_orig!BA138</f>
        <v>5.4301410000000003E-3</v>
      </c>
      <c r="BJ138" s="188">
        <f>opex_orig!BB138</f>
        <v>2.4273009000000002E-2</v>
      </c>
      <c r="BK138" s="188">
        <f>opex_orig!BC138</f>
        <v>3.1095550999999999E-2</v>
      </c>
      <c r="BL138" s="188">
        <f>opex_orig!BD138</f>
        <v>7.4830920000000002E-3</v>
      </c>
      <c r="BM138" s="188">
        <f>opex_orig!BE138</f>
        <v>1.1989088E-2</v>
      </c>
      <c r="BN138" s="188">
        <f>opex_orig!BF138</f>
        <v>4.2948730000000003E-3</v>
      </c>
      <c r="BO138" s="188">
        <f>opex_orig!BG138</f>
        <v>1.6605590999999999E-2</v>
      </c>
      <c r="BP138" s="248">
        <f>opex_concordance!M110</f>
        <v>1.5230709337231542E-2</v>
      </c>
      <c r="BQ138" s="248">
        <f>opex_concordance!M153</f>
        <v>1.3057112111632801E-2</v>
      </c>
      <c r="BR138" s="188">
        <f>opex_orig!BI138</f>
        <v>7.6245949999999996E-3</v>
      </c>
      <c r="BS138" s="188">
        <f>opex_orig!BJ138</f>
        <v>3.6045252999999999E-2</v>
      </c>
      <c r="BT138" s="188">
        <f>opex_orig!BK138</f>
        <v>6.8829160000000002E-3</v>
      </c>
      <c r="BU138" s="188">
        <f>opex_orig!BL138</f>
        <v>0</v>
      </c>
      <c r="BV138" s="27">
        <f>opex_orig!BM138</f>
        <v>1.2614634716876899E-2</v>
      </c>
      <c r="BW138" s="27">
        <f>opex_orig!BN138</f>
        <v>1.67888310715298E-2</v>
      </c>
      <c r="BX138" s="27">
        <f>opex_orig!BO138</f>
        <v>7.9455618422627702E-3</v>
      </c>
      <c r="BY138" s="27">
        <f>opex_orig!BP138</f>
        <v>7.6307150830147797E-3</v>
      </c>
      <c r="BZ138" s="27">
        <f>opex_orig!BQ138</f>
        <v>7.9956982698718808E-3</v>
      </c>
      <c r="CA138" s="27">
        <f>opex_orig!BR138</f>
        <v>1.1569284697528499E-2</v>
      </c>
      <c r="CB138" s="27">
        <f>opex_orig!BS138</f>
        <v>1.0080028698602099E-2</v>
      </c>
      <c r="CC138" s="27">
        <f>opex_orig!BT138</f>
        <v>1.5281348986481799E-2</v>
      </c>
      <c r="CD138" s="27">
        <f>opex_orig!BU138</f>
        <v>9.0722446373195601E-3</v>
      </c>
      <c r="CE138" s="27">
        <f>opex_orig!BV138</f>
        <v>9.0722446373195601E-3</v>
      </c>
      <c r="CF138" s="27">
        <f>opex_orig!BW138</f>
        <v>6.14616381630207E-2</v>
      </c>
      <c r="CG138" s="27">
        <f>opex_orig!BX138</f>
        <v>1.2390393633699101E-4</v>
      </c>
      <c r="CH138" s="27">
        <f>opex_orig!BY138</f>
        <v>1.3907558653986001E-4</v>
      </c>
      <c r="CI138" s="27">
        <f>opex_orig!BZ138</f>
        <v>1.2469859999999999E-2</v>
      </c>
      <c r="CJ138" s="27">
        <f>opex_orig!CA138</f>
        <v>1.2193269E-2</v>
      </c>
      <c r="CK138" s="27">
        <f>opex_orig!CB138</f>
        <v>1.0699669E-2</v>
      </c>
      <c r="CL138" s="27">
        <f>opex_orig!CC138</f>
        <v>1.2303524999999999E-2</v>
      </c>
      <c r="CM138" s="27">
        <f>opex_orig!CD138</f>
        <v>1.5708082000000002E-2</v>
      </c>
      <c r="CN138" s="27">
        <f>opex_orig!CE138</f>
        <v>8.7097489E-2</v>
      </c>
      <c r="CO138" s="27">
        <f>opex_orig!CF138</f>
        <v>0.15068549000000001</v>
      </c>
      <c r="CP138" s="27">
        <f>opex_orig!CG138</f>
        <v>2.6571856000000001E-2</v>
      </c>
    </row>
    <row r="139" spans="1:94" x14ac:dyDescent="0.25">
      <c r="A139" s="5" t="s">
        <v>269</v>
      </c>
      <c r="B139" s="2" t="s">
        <v>268</v>
      </c>
      <c r="C139" s="1" t="s">
        <v>335</v>
      </c>
      <c r="D139" s="188">
        <f>opex_orig!D139</f>
        <v>1.6117400000000001E-4</v>
      </c>
      <c r="E139" s="188">
        <f>opex_orig!E139</f>
        <v>1.57035E-4</v>
      </c>
      <c r="F139" s="188">
        <f>opex_orig!F139</f>
        <v>8.7600000000000002E-5</v>
      </c>
      <c r="G139" s="188">
        <f>opex_orig!G139</f>
        <v>8.5199999999999997E-6</v>
      </c>
      <c r="H139" s="188">
        <f>opex_orig!H139</f>
        <v>2.2099999999999998E-5</v>
      </c>
      <c r="I139" s="188">
        <f>opex_orig!I139</f>
        <v>3.2239200000000001E-4</v>
      </c>
      <c r="J139" s="188">
        <f>opex_orig!J139</f>
        <v>3.39923E-4</v>
      </c>
      <c r="K139" s="188">
        <f>opex_orig!K139</f>
        <v>2.48E-5</v>
      </c>
      <c r="L139" s="188">
        <f>opex_orig!L139</f>
        <v>2.7365000000000001E-4</v>
      </c>
      <c r="M139" s="188">
        <f>opex_orig!M139</f>
        <v>8.7032400000000001E-4</v>
      </c>
      <c r="N139" s="188">
        <f>opex_orig!N139</f>
        <v>7.9120299999999998E-4</v>
      </c>
      <c r="O139" s="188">
        <f>opex_orig!O139</f>
        <v>1.667008E-3</v>
      </c>
      <c r="P139" s="188">
        <f>opex_orig!P139</f>
        <v>8.5979399999999999E-4</v>
      </c>
      <c r="Q139" s="188">
        <f>opex_orig!Q139</f>
        <v>6.3360399999999996E-4</v>
      </c>
      <c r="R139" s="188">
        <f>opex_orig!R139</f>
        <v>3.1119699999999998E-4</v>
      </c>
      <c r="S139" s="188">
        <f>opex_orig!S139</f>
        <v>3.0181869999999999E-3</v>
      </c>
      <c r="T139" s="188">
        <f>opex_orig!T139</f>
        <v>2.5450199999999998E-4</v>
      </c>
      <c r="U139" s="188">
        <f>opex_orig!U139</f>
        <v>1.443511E-3</v>
      </c>
      <c r="V139" s="188">
        <f>opex_orig!V139</f>
        <v>5.9446399999999995E-4</v>
      </c>
      <c r="W139" s="188">
        <f>opex_orig!W139</f>
        <v>9.4430100000000004E-4</v>
      </c>
      <c r="X139" s="188">
        <f>opex_orig!X139</f>
        <v>1.229415E-3</v>
      </c>
      <c r="Y139" s="188">
        <f>opex_orig!Y139</f>
        <v>3.0785300000000002E-4</v>
      </c>
      <c r="Z139" s="188">
        <f>opex_orig!Z139</f>
        <v>1.9781759999999999E-3</v>
      </c>
      <c r="AA139" s="188">
        <f>opex_orig!AA139</f>
        <v>1.8460690000000001E-3</v>
      </c>
      <c r="AB139" s="188">
        <f>opex_orig!$AB139</f>
        <v>5.3292914984749497E-5</v>
      </c>
      <c r="AC139" s="188">
        <f>opex_orig!$AB139</f>
        <v>5.3292914984749497E-5</v>
      </c>
      <c r="AD139" s="188">
        <f>opex_orig!$AB139</f>
        <v>5.3292914984749497E-5</v>
      </c>
      <c r="AE139" s="188">
        <f>opex_orig!$AC139</f>
        <v>1.3016700166762899E-3</v>
      </c>
      <c r="AF139" s="188">
        <f>opex_orig!$AD139</f>
        <v>4.4101454799743599E-4</v>
      </c>
      <c r="AG139" s="188">
        <f>opex_orig!$AD139</f>
        <v>4.4101454799743599E-4</v>
      </c>
      <c r="AH139" s="188">
        <f>opex_orig!$AD139</f>
        <v>4.4101454799743599E-4</v>
      </c>
      <c r="AI139" s="188">
        <f>opex_orig!AE139</f>
        <v>3.7402699999999997E-4</v>
      </c>
      <c r="AJ139" s="188">
        <f>opex_orig!AF139</f>
        <v>3.69594E-4</v>
      </c>
      <c r="AK139" s="188">
        <f>opex_orig!AG139</f>
        <v>3.7610600000000002E-4</v>
      </c>
      <c r="AL139" s="188">
        <f>opex_orig!AH139</f>
        <v>3.37144E-4</v>
      </c>
      <c r="AM139" s="188">
        <f>opex_orig!AI139</f>
        <v>8.6352499999999997E-4</v>
      </c>
      <c r="AN139" s="188">
        <f>opex_orig!AJ139</f>
        <v>8.8200000000000003E-5</v>
      </c>
      <c r="AO139" s="188">
        <f>opex_orig!AK139</f>
        <v>1.80228E-4</v>
      </c>
      <c r="AP139" s="188">
        <f>opex_orig!$AL139</f>
        <v>1.69805912048654E-4</v>
      </c>
      <c r="AQ139" s="188">
        <f>opex_orig!$AL139</f>
        <v>1.69805912048654E-4</v>
      </c>
      <c r="AR139" s="188">
        <f>opex_orig!$AL139</f>
        <v>1.69805912048654E-4</v>
      </c>
      <c r="AS139" s="188">
        <f>opex_orig!$AM139</f>
        <v>1.54710973948073E-4</v>
      </c>
      <c r="AT139" s="188">
        <f>opex_orig!AN139</f>
        <v>2.5228400000000003E-4</v>
      </c>
      <c r="AU139" s="188">
        <f>opex_orig!$AO139</f>
        <v>1.4302074110098001E-4</v>
      </c>
      <c r="AV139" s="188">
        <f>opex_orig!$AO139</f>
        <v>1.4302074110098001E-4</v>
      </c>
      <c r="AW139" s="188">
        <f>opex_orig!$AO139</f>
        <v>1.4302074110098001E-4</v>
      </c>
      <c r="AX139" s="188">
        <f>opex_orig!$AP139</f>
        <v>1.52776747214973E-4</v>
      </c>
      <c r="AY139" s="188">
        <f>opex_orig!AQ139</f>
        <v>2.6498899999999998E-4</v>
      </c>
      <c r="AZ139" s="188">
        <f>opex_orig!AR139</f>
        <v>0</v>
      </c>
      <c r="BA139" s="188">
        <f>opex_orig!AS139</f>
        <v>1.26E-4</v>
      </c>
      <c r="BB139" s="188">
        <f>opex_orig!AT139</f>
        <v>9.5099999999999994E-5</v>
      </c>
      <c r="BC139" s="188">
        <f>opex_orig!AU139</f>
        <v>1.00503E-4</v>
      </c>
      <c r="BD139" s="188">
        <f>opex_orig!AV139</f>
        <v>3.8600000000000003E-5</v>
      </c>
      <c r="BE139" s="188">
        <f>opex_orig!AW139</f>
        <v>1.13076E-4</v>
      </c>
      <c r="BF139" s="188">
        <f>opex_orig!AX139</f>
        <v>0</v>
      </c>
      <c r="BG139" s="188">
        <f>opex_orig!AY139</f>
        <v>1.7985000000000001E-4</v>
      </c>
      <c r="BH139" s="188">
        <f>opex_orig!AZ139</f>
        <v>0</v>
      </c>
      <c r="BI139" s="188">
        <f>opex_orig!BA139</f>
        <v>1.49753E-4</v>
      </c>
      <c r="BJ139" s="188">
        <f>opex_orig!BB139</f>
        <v>3.53529E-4</v>
      </c>
      <c r="BK139" s="188">
        <f>opex_orig!BC139</f>
        <v>3.8860499999999998E-4</v>
      </c>
      <c r="BL139" s="188">
        <f>opex_orig!BD139</f>
        <v>4.6488500000000001E-4</v>
      </c>
      <c r="BM139" s="188">
        <f>opex_orig!BE139</f>
        <v>3.3768699999999998E-4</v>
      </c>
      <c r="BN139" s="188">
        <f>opex_orig!BF139</f>
        <v>2.04487E-4</v>
      </c>
      <c r="BO139" s="188">
        <f>opex_orig!BG139</f>
        <v>6.9983000000000003E-4</v>
      </c>
      <c r="BP139" s="188">
        <f>opex_orig!$BH139</f>
        <v>3.02684636446934E-4</v>
      </c>
      <c r="BQ139" s="188">
        <f>opex_orig!$BH139</f>
        <v>3.02684636446934E-4</v>
      </c>
      <c r="BR139" s="188">
        <f>opex_orig!BI139</f>
        <v>1.1142630000000001E-3</v>
      </c>
      <c r="BS139" s="188">
        <f>opex_orig!BJ139</f>
        <v>7.1110399999999995E-4</v>
      </c>
      <c r="BT139" s="188">
        <f>opex_orig!BK139</f>
        <v>1.7485720000000001E-3</v>
      </c>
      <c r="BU139" s="188">
        <f>opex_orig!BL139</f>
        <v>0</v>
      </c>
      <c r="BV139" s="27">
        <f>opex_orig!BM139</f>
        <v>4.19567624319692E-4</v>
      </c>
      <c r="BW139" s="27">
        <f>opex_orig!BN139</f>
        <v>1.82776473926188E-3</v>
      </c>
      <c r="BX139" s="27">
        <f>opex_orig!BO139</f>
        <v>1.2334401553297099E-4</v>
      </c>
      <c r="BY139" s="27">
        <f>opex_orig!BP139</f>
        <v>4.3510606340114598E-4</v>
      </c>
      <c r="BZ139" s="27">
        <f>opex_orig!BQ139</f>
        <v>2.0580948192420399E-4</v>
      </c>
      <c r="CA139" s="27">
        <f>opex_orig!BR139</f>
        <v>1.7042890316509699E-3</v>
      </c>
      <c r="CB139" s="27">
        <f>opex_orig!BS139</f>
        <v>9.6921718949433599E-4</v>
      </c>
      <c r="CC139" s="27">
        <f>opex_orig!BT139</f>
        <v>3.8031371422002499E-4</v>
      </c>
      <c r="CD139" s="27">
        <f>opex_orig!BU139</f>
        <v>1.5169185065842599E-4</v>
      </c>
      <c r="CE139" s="27">
        <f>opex_orig!BV139</f>
        <v>1.5169185065842699E-4</v>
      </c>
      <c r="CF139" s="27">
        <f>opex_orig!BW139</f>
        <v>1.3569121697856799E-3</v>
      </c>
      <c r="CG139" s="27">
        <f>opex_orig!BX139</f>
        <v>1.6135417053105101E-5</v>
      </c>
      <c r="CH139" s="27">
        <f>opex_orig!BY139</f>
        <v>7.1914509364717402E-6</v>
      </c>
      <c r="CI139" s="27">
        <f>opex_orig!BZ139</f>
        <v>5.4010799999999997E-4</v>
      </c>
      <c r="CJ139" s="27">
        <f>opex_orig!CA139</f>
        <v>2.38247E-4</v>
      </c>
      <c r="CK139" s="27">
        <f>opex_orig!CB139</f>
        <v>1.8304899999999999E-4</v>
      </c>
      <c r="CL139" s="27">
        <f>opex_orig!CC139</f>
        <v>5.4779799999999995E-4</v>
      </c>
      <c r="CM139" s="27">
        <f>opex_orig!CD139</f>
        <v>1.4375639999999999E-3</v>
      </c>
      <c r="CN139" s="27">
        <f>opex_orig!CE139</f>
        <v>3.571046E-3</v>
      </c>
      <c r="CO139" s="27">
        <f>opex_orig!CF139</f>
        <v>4.9213600000000001E-4</v>
      </c>
      <c r="CP139" s="27">
        <f>opex_orig!CG139</f>
        <v>1.7660199999999999E-4</v>
      </c>
    </row>
    <row r="140" spans="1:94" x14ac:dyDescent="0.25">
      <c r="A140" s="5" t="s">
        <v>271</v>
      </c>
      <c r="B140" s="2" t="s">
        <v>270</v>
      </c>
      <c r="C140" s="1" t="s">
        <v>335</v>
      </c>
      <c r="D140" s="188">
        <f>opex_orig!D140</f>
        <v>1.64289E-4</v>
      </c>
      <c r="E140" s="188">
        <f>opex_orig!E140</f>
        <v>3.0300000000000001E-5</v>
      </c>
      <c r="F140" s="188">
        <f>opex_orig!F140</f>
        <v>3.7599999999999999E-5</v>
      </c>
      <c r="G140" s="188">
        <f>opex_orig!G140</f>
        <v>2.7300000000000001E-6</v>
      </c>
      <c r="H140" s="188">
        <f>opex_orig!H140</f>
        <v>6.1700000000000002E-6</v>
      </c>
      <c r="I140" s="188">
        <f>opex_orig!I140</f>
        <v>4.6600000000000001E-5</v>
      </c>
      <c r="J140" s="188">
        <f>opex_orig!J140</f>
        <v>1.0724E-4</v>
      </c>
      <c r="K140" s="188">
        <f>opex_orig!K140</f>
        <v>7.0899999999999999E-6</v>
      </c>
      <c r="L140" s="188">
        <f>opex_orig!L140</f>
        <v>5.77E-5</v>
      </c>
      <c r="M140" s="188">
        <f>opex_orig!M140</f>
        <v>2.1648500000000001E-4</v>
      </c>
      <c r="N140" s="188">
        <f>opex_orig!N140</f>
        <v>1.96498E-4</v>
      </c>
      <c r="O140" s="188">
        <f>opex_orig!O140</f>
        <v>2.24513E-4</v>
      </c>
      <c r="P140" s="188">
        <f>opex_orig!P140</f>
        <v>7.1500000000000003E-5</v>
      </c>
      <c r="Q140" s="188">
        <f>opex_orig!Q140</f>
        <v>9.7399999999999999E-6</v>
      </c>
      <c r="R140" s="188">
        <f>opex_orig!R140</f>
        <v>1.8300000000000001E-5</v>
      </c>
      <c r="S140" s="188">
        <f>opex_orig!S140</f>
        <v>6.3E-5</v>
      </c>
      <c r="T140" s="188">
        <f>opex_orig!T140</f>
        <v>6.9099999999999999E-5</v>
      </c>
      <c r="U140" s="188">
        <f>opex_orig!U140</f>
        <v>4.99E-5</v>
      </c>
      <c r="V140" s="188">
        <f>opex_orig!V140</f>
        <v>6.4300000000000004E-5</v>
      </c>
      <c r="W140" s="188">
        <f>opex_orig!W140</f>
        <v>1.5815299999999999E-4</v>
      </c>
      <c r="X140" s="188">
        <f>opex_orig!X140</f>
        <v>3.4775300000000002E-4</v>
      </c>
      <c r="Y140" s="188">
        <f>opex_orig!Y140</f>
        <v>1.03E-5</v>
      </c>
      <c r="Z140" s="188">
        <f>opex_orig!Z140</f>
        <v>8.4800000000000001E-5</v>
      </c>
      <c r="AA140" s="188">
        <f>opex_orig!AA140</f>
        <v>3.79E-5</v>
      </c>
      <c r="AB140" s="188">
        <f>opex_orig!$AB140</f>
        <v>7.7391153840255593E-6</v>
      </c>
      <c r="AC140" s="188">
        <f>opex_orig!$AB140</f>
        <v>7.7391153840255593E-6</v>
      </c>
      <c r="AD140" s="188">
        <f>opex_orig!$AB140</f>
        <v>7.7391153840255593E-6</v>
      </c>
      <c r="AE140" s="188">
        <f>opex_orig!$AC140</f>
        <v>8.1167824764465197E-5</v>
      </c>
      <c r="AF140" s="188">
        <f>opex_orig!$AD140</f>
        <v>6.0249276851774801E-5</v>
      </c>
      <c r="AG140" s="188">
        <f>opex_orig!$AD140</f>
        <v>6.0249276851774801E-5</v>
      </c>
      <c r="AH140" s="188">
        <f>opex_orig!$AD140</f>
        <v>6.0249276851774801E-5</v>
      </c>
      <c r="AI140" s="188">
        <f>opex_orig!AE140</f>
        <v>5.3499999999999999E-5</v>
      </c>
      <c r="AJ140" s="188">
        <f>opex_orig!AF140</f>
        <v>2.26608E-4</v>
      </c>
      <c r="AK140" s="188">
        <f>opex_orig!AG140</f>
        <v>4.5200000000000001E-5</v>
      </c>
      <c r="AL140" s="188">
        <f>opex_orig!AH140</f>
        <v>1.2500000000000001E-5</v>
      </c>
      <c r="AM140" s="188">
        <f>opex_orig!AI140</f>
        <v>2.5899999999999999E-5</v>
      </c>
      <c r="AN140" s="188">
        <f>opex_orig!AJ140</f>
        <v>2.2500000000000001E-5</v>
      </c>
      <c r="AO140" s="188">
        <f>opex_orig!AK140</f>
        <v>2.19E-5</v>
      </c>
      <c r="AP140" s="188">
        <f>opex_orig!$AL140</f>
        <v>2.24671836341656E-5</v>
      </c>
      <c r="AQ140" s="188">
        <f>opex_orig!$AL140</f>
        <v>2.24671836341656E-5</v>
      </c>
      <c r="AR140" s="188">
        <f>opex_orig!$AL140</f>
        <v>2.24671836341656E-5</v>
      </c>
      <c r="AS140" s="188">
        <f>opex_orig!$AM140</f>
        <v>2.2997510643762799E-5</v>
      </c>
      <c r="AT140" s="188">
        <f>opex_orig!AN140</f>
        <v>3.5299999999999997E-5</v>
      </c>
      <c r="AU140" s="188">
        <f>opex_orig!$AO140</f>
        <v>1.20258121022864E-4</v>
      </c>
      <c r="AV140" s="188">
        <f>opex_orig!$AO140</f>
        <v>1.20258121022864E-4</v>
      </c>
      <c r="AW140" s="188">
        <f>opex_orig!$AO140</f>
        <v>1.20258121022864E-4</v>
      </c>
      <c r="AX140" s="188">
        <f>opex_orig!$AP140</f>
        <v>1.22085882460346E-4</v>
      </c>
      <c r="AY140" s="188">
        <f>opex_orig!AQ140</f>
        <v>3.1442599999999997E-4</v>
      </c>
      <c r="AZ140" s="188">
        <f>opex_orig!AR140</f>
        <v>0</v>
      </c>
      <c r="BA140" s="188">
        <f>opex_orig!AS140</f>
        <v>8.8999999999999995E-5</v>
      </c>
      <c r="BB140" s="188">
        <f>opex_orig!AT140</f>
        <v>8.7700000000000004E-5</v>
      </c>
      <c r="BC140" s="188">
        <f>opex_orig!AU140</f>
        <v>1.0200000000000001E-5</v>
      </c>
      <c r="BD140" s="188">
        <f>opex_orig!AV140</f>
        <v>7.1999999999999997E-6</v>
      </c>
      <c r="BE140" s="188">
        <f>opex_orig!AW140</f>
        <v>8.14E-5</v>
      </c>
      <c r="BF140" s="188">
        <f>opex_orig!AX140</f>
        <v>0</v>
      </c>
      <c r="BG140" s="188">
        <f>opex_orig!AY140</f>
        <v>3.4490200000000001E-4</v>
      </c>
      <c r="BH140" s="188">
        <f>opex_orig!AZ140</f>
        <v>0</v>
      </c>
      <c r="BI140" s="188">
        <f>opex_orig!BA140</f>
        <v>1.1314100000000001E-4</v>
      </c>
      <c r="BJ140" s="188">
        <f>opex_orig!BB140</f>
        <v>3.7499999999999997E-5</v>
      </c>
      <c r="BK140" s="188">
        <f>opex_orig!BC140</f>
        <v>1.0773E-4</v>
      </c>
      <c r="BL140" s="188">
        <f>opex_orig!BD140</f>
        <v>1.7532800000000001E-4</v>
      </c>
      <c r="BM140" s="188">
        <f>opex_orig!BE140</f>
        <v>1.14967E-4</v>
      </c>
      <c r="BN140" s="188">
        <f>opex_orig!BF140</f>
        <v>5.5800000000000001E-5</v>
      </c>
      <c r="BO140" s="188">
        <f>opex_orig!BG140</f>
        <v>1.43425E-4</v>
      </c>
      <c r="BP140" s="188">
        <f>opex_orig!$BH140</f>
        <v>8.7925245681687799E-5</v>
      </c>
      <c r="BQ140" s="188">
        <f>opex_orig!$BH140</f>
        <v>8.7925245681687799E-5</v>
      </c>
      <c r="BR140" s="188">
        <f>opex_orig!BI140</f>
        <v>9.7100000000000002E-5</v>
      </c>
      <c r="BS140" s="188">
        <f>opex_orig!BJ140</f>
        <v>1.3857999999999999E-4</v>
      </c>
      <c r="BT140" s="188">
        <f>opex_orig!BK140</f>
        <v>1.25535E-4</v>
      </c>
      <c r="BU140" s="188">
        <f>opex_orig!BL140</f>
        <v>0</v>
      </c>
      <c r="BV140" s="27">
        <f>opex_orig!BM140</f>
        <v>1.2765948808514399E-4</v>
      </c>
      <c r="BW140" s="27">
        <f>opex_orig!BN140</f>
        <v>2.7490565031252099E-4</v>
      </c>
      <c r="BX140" s="27">
        <f>opex_orig!BO140</f>
        <v>2.9668935543952201E-5</v>
      </c>
      <c r="BY140" s="27">
        <f>opex_orig!BP140</f>
        <v>3.8887045338731097E-5</v>
      </c>
      <c r="BZ140" s="27">
        <f>opex_orig!BQ140</f>
        <v>3.0466651449050099E-5</v>
      </c>
      <c r="CA140" s="27">
        <f>opex_orig!BR140</f>
        <v>2.3599667497067599E-6</v>
      </c>
      <c r="CB140" s="27">
        <f>opex_orig!BS140</f>
        <v>1.6896071231978701E-4</v>
      </c>
      <c r="CC140" s="27">
        <f>opex_orig!BT140</f>
        <v>1.0964689490564E-5</v>
      </c>
      <c r="CD140" s="27">
        <f>opex_orig!BU140</f>
        <v>8.2993699253959595E-5</v>
      </c>
      <c r="CE140" s="27">
        <f>opex_orig!BV140</f>
        <v>8.2993699253959799E-5</v>
      </c>
      <c r="CF140" s="27">
        <f>opex_orig!BW140</f>
        <v>4.8817150702566503E-3</v>
      </c>
      <c r="CG140" s="27">
        <f>opex_orig!BX140</f>
        <v>3.2172258733394502E-6</v>
      </c>
      <c r="CH140" s="27">
        <f>opex_orig!BY140</f>
        <v>2.7845697410377499E-6</v>
      </c>
      <c r="CI140" s="27">
        <f>opex_orig!BZ140</f>
        <v>1.19033E-4</v>
      </c>
      <c r="CJ140" s="27">
        <f>opex_orig!CA140</f>
        <v>8.8399999999999994E-5</v>
      </c>
      <c r="CK140" s="27">
        <f>opex_orig!CB140</f>
        <v>6.9099999999999999E-5</v>
      </c>
      <c r="CL140" s="27">
        <f>opex_orig!CC140</f>
        <v>1.73893E-4</v>
      </c>
      <c r="CM140" s="27">
        <f>opex_orig!CD140</f>
        <v>4.3497300000000001E-4</v>
      </c>
      <c r="CN140" s="27">
        <f>opex_orig!CE140</f>
        <v>2.11895E-4</v>
      </c>
      <c r="CO140" s="27">
        <f>opex_orig!CF140</f>
        <v>1.6209800000000001E-4</v>
      </c>
      <c r="CP140" s="27">
        <f>opex_orig!CG140</f>
        <v>9.3200000000000002E-5</v>
      </c>
    </row>
    <row r="141" spans="1:94" x14ac:dyDescent="0.25">
      <c r="A141" s="5" t="s">
        <v>273</v>
      </c>
      <c r="B141" s="2" t="s">
        <v>272</v>
      </c>
      <c r="C141" s="1" t="s">
        <v>335</v>
      </c>
      <c r="D141" s="188">
        <f>opex_orig!D141</f>
        <v>1.45E-5</v>
      </c>
      <c r="E141" s="188">
        <f>opex_orig!E141</f>
        <v>5.3700000000000003E-6</v>
      </c>
      <c r="F141" s="188">
        <f>opex_orig!F141</f>
        <v>1.63E-5</v>
      </c>
      <c r="G141" s="188">
        <f>opex_orig!G141</f>
        <v>5.5899999999999996E-7</v>
      </c>
      <c r="H141" s="188">
        <f>opex_orig!H141</f>
        <v>7.8199999999999999E-7</v>
      </c>
      <c r="I141" s="188">
        <f>opex_orig!I141</f>
        <v>9.4599999999999992E-6</v>
      </c>
      <c r="J141" s="188">
        <f>opex_orig!J141</f>
        <v>2.69E-5</v>
      </c>
      <c r="K141" s="188">
        <f>opex_orig!K141</f>
        <v>1.0899999999999999E-6</v>
      </c>
      <c r="L141" s="188">
        <f>opex_orig!L141</f>
        <v>2.76E-5</v>
      </c>
      <c r="M141" s="188">
        <f>opex_orig!M141</f>
        <v>3.2400000000000001E-5</v>
      </c>
      <c r="N141" s="188">
        <f>opex_orig!N141</f>
        <v>1.6900000000000001E-5</v>
      </c>
      <c r="O141" s="188">
        <f>opex_orig!O141</f>
        <v>3.8999999999999999E-5</v>
      </c>
      <c r="P141" s="188">
        <f>opex_orig!P141</f>
        <v>2.4300000000000001E-5</v>
      </c>
      <c r="Q141" s="188">
        <f>opex_orig!Q141</f>
        <v>2.4700000000000001E-5</v>
      </c>
      <c r="R141" s="188">
        <f>opex_orig!R141</f>
        <v>7.1600000000000001E-6</v>
      </c>
      <c r="S141" s="188">
        <f>opex_orig!S141</f>
        <v>9.4199999999999996E-6</v>
      </c>
      <c r="T141" s="188">
        <f>opex_orig!T141</f>
        <v>1.0699999999999999E-5</v>
      </c>
      <c r="U141" s="188">
        <f>opex_orig!U141</f>
        <v>1.2999999999999999E-5</v>
      </c>
      <c r="V141" s="188">
        <f>opex_orig!V141</f>
        <v>1.3699999999999999E-5</v>
      </c>
      <c r="W141" s="188">
        <f>opex_orig!W141</f>
        <v>1.3200000000000001E-5</v>
      </c>
      <c r="X141" s="188">
        <f>opex_orig!X141</f>
        <v>1.7399999999999999E-5</v>
      </c>
      <c r="Y141" s="188">
        <f>opex_orig!Y141</f>
        <v>1.2999999999999999E-5</v>
      </c>
      <c r="Z141" s="188">
        <f>opex_orig!Z141</f>
        <v>4.2700000000000001E-5</v>
      </c>
      <c r="AA141" s="188">
        <f>opex_orig!AA141</f>
        <v>5.5000000000000002E-5</v>
      </c>
      <c r="AB141" s="188">
        <f>opex_orig!$AB141</f>
        <v>1.0000365215506399E-5</v>
      </c>
      <c r="AC141" s="188">
        <f>opex_orig!$AB141</f>
        <v>1.0000365215506399E-5</v>
      </c>
      <c r="AD141" s="188">
        <f>opex_orig!$AB141</f>
        <v>1.0000365215506399E-5</v>
      </c>
      <c r="AE141" s="188">
        <f>opex_orig!$AC141</f>
        <v>1.0308235224472701E-5</v>
      </c>
      <c r="AF141" s="188">
        <f>opex_orig!$AD141</f>
        <v>1.18728989322633E-5</v>
      </c>
      <c r="AG141" s="188">
        <f>opex_orig!$AD141</f>
        <v>1.18728989322633E-5</v>
      </c>
      <c r="AH141" s="188">
        <f>opex_orig!$AD141</f>
        <v>1.18728989322633E-5</v>
      </c>
      <c r="AI141" s="188">
        <f>opex_orig!AE141</f>
        <v>1.0499999999999999E-5</v>
      </c>
      <c r="AJ141" s="188">
        <f>opex_orig!AF141</f>
        <v>3.0836500000000001E-4</v>
      </c>
      <c r="AK141" s="188">
        <f>opex_orig!AG141</f>
        <v>9.1500000000000005E-6</v>
      </c>
      <c r="AL141" s="188">
        <f>opex_orig!AH141</f>
        <v>5.6699999999999999E-6</v>
      </c>
      <c r="AM141" s="188">
        <f>opex_orig!AI141</f>
        <v>6.6599999999999998E-6</v>
      </c>
      <c r="AN141" s="188">
        <f>opex_orig!AJ141</f>
        <v>5.5799999999999999E-6</v>
      </c>
      <c r="AO141" s="188">
        <f>opex_orig!AK141</f>
        <v>7.2599999999999999E-6</v>
      </c>
      <c r="AP141" s="188">
        <f>opex_orig!$AL141</f>
        <v>6.1988308567455897E-6</v>
      </c>
      <c r="AQ141" s="188">
        <f>opex_orig!$AL141</f>
        <v>6.1988308567455897E-6</v>
      </c>
      <c r="AR141" s="188">
        <f>opex_orig!$AL141</f>
        <v>6.1988308567455897E-6</v>
      </c>
      <c r="AS141" s="188">
        <f>opex_orig!$AM141</f>
        <v>5.7574081594838301E-6</v>
      </c>
      <c r="AT141" s="188">
        <f>opex_orig!AN141</f>
        <v>9.4199999999999996E-6</v>
      </c>
      <c r="AU141" s="188">
        <f>opex_orig!$AO141</f>
        <v>9.1599806739617094E-6</v>
      </c>
      <c r="AV141" s="188">
        <f>opex_orig!$AO141</f>
        <v>9.1599806739617094E-6</v>
      </c>
      <c r="AW141" s="188">
        <f>opex_orig!$AO141</f>
        <v>9.1599806739617094E-6</v>
      </c>
      <c r="AX141" s="188">
        <f>opex_orig!$AP141</f>
        <v>7.3244227061987001E-6</v>
      </c>
      <c r="AY141" s="188">
        <f>opex_orig!AQ141</f>
        <v>5.3100000000000003E-5</v>
      </c>
      <c r="AZ141" s="188">
        <f>opex_orig!AR141</f>
        <v>0</v>
      </c>
      <c r="BA141" s="188">
        <f>opex_orig!AS141</f>
        <v>7.5800000000000003E-6</v>
      </c>
      <c r="BB141" s="188">
        <f>opex_orig!AT141</f>
        <v>6.8199999999999999E-6</v>
      </c>
      <c r="BC141" s="188">
        <f>opex_orig!AU141</f>
        <v>1.8199999999999999E-6</v>
      </c>
      <c r="BD141" s="188">
        <f>opex_orig!AV141</f>
        <v>1.5200000000000001E-6</v>
      </c>
      <c r="BE141" s="188">
        <f>opex_orig!AW141</f>
        <v>4.5000000000000001E-6</v>
      </c>
      <c r="BF141" s="188">
        <f>opex_orig!AX141</f>
        <v>0</v>
      </c>
      <c r="BG141" s="188">
        <f>opex_orig!AY141</f>
        <v>1.2999999999999999E-5</v>
      </c>
      <c r="BH141" s="188">
        <f>opex_orig!AZ141</f>
        <v>0</v>
      </c>
      <c r="BI141" s="188">
        <f>opex_orig!BA141</f>
        <v>7.5599999999999996E-6</v>
      </c>
      <c r="BJ141" s="188">
        <f>opex_orig!BB141</f>
        <v>1.03E-5</v>
      </c>
      <c r="BK141" s="188">
        <f>opex_orig!BC141</f>
        <v>1.5099999999999999E-5</v>
      </c>
      <c r="BL141" s="188">
        <f>opex_orig!BD141</f>
        <v>2.8E-5</v>
      </c>
      <c r="BM141" s="188">
        <f>opex_orig!BE141</f>
        <v>3.01E-5</v>
      </c>
      <c r="BN141" s="188">
        <f>opex_orig!BF141</f>
        <v>9.2799999999999992E-6</v>
      </c>
      <c r="BO141" s="188">
        <f>opex_orig!BG141</f>
        <v>3.6699999999999998E-5</v>
      </c>
      <c r="BP141" s="188">
        <f>opex_orig!$BH141</f>
        <v>9.9273457764468902E-6</v>
      </c>
      <c r="BQ141" s="188">
        <f>opex_orig!$BH141</f>
        <v>9.9273457764468902E-6</v>
      </c>
      <c r="BR141" s="188">
        <f>opex_orig!BI141</f>
        <v>7.0899999999999999E-6</v>
      </c>
      <c r="BS141" s="188">
        <f>opex_orig!BJ141</f>
        <v>2.1100000000000001E-5</v>
      </c>
      <c r="BT141" s="188">
        <f>opex_orig!BK141</f>
        <v>1.31E-5</v>
      </c>
      <c r="BU141" s="188">
        <f>opex_orig!BL141</f>
        <v>0</v>
      </c>
      <c r="BV141" s="27">
        <f>opex_orig!BM141</f>
        <v>1.16189935261666E-5</v>
      </c>
      <c r="BW141" s="27">
        <f>opex_orig!BN141</f>
        <v>2.87214870720668E-5</v>
      </c>
      <c r="BX141" s="27">
        <f>opex_orig!BO141</f>
        <v>6.19314847993937E-6</v>
      </c>
      <c r="BY141" s="27">
        <f>opex_orig!BP141</f>
        <v>8.7057018189532508E-6</v>
      </c>
      <c r="BZ141" s="27">
        <f>opex_orig!BQ141</f>
        <v>9.2110907310636403E-6</v>
      </c>
      <c r="CA141" s="27">
        <f>opex_orig!BR141</f>
        <v>7.69798570580495E-7</v>
      </c>
      <c r="CB141" s="27">
        <f>opex_orig!BS141</f>
        <v>1.1991599944111699E-5</v>
      </c>
      <c r="CC141" s="27">
        <f>opex_orig!BT141</f>
        <v>3.5432301612228902E-6</v>
      </c>
      <c r="CD141" s="27">
        <f>opex_orig!BU141</f>
        <v>1.4372908389005E-5</v>
      </c>
      <c r="CE141" s="27">
        <f>opex_orig!BV141</f>
        <v>1.4372908389005E-5</v>
      </c>
      <c r="CF141" s="27">
        <f>opex_orig!BW141</f>
        <v>1.1017644264690499E-5</v>
      </c>
      <c r="CG141" s="27">
        <f>opex_orig!BX141</f>
        <v>6.8123674395350903E-7</v>
      </c>
      <c r="CH141" s="27">
        <f>opex_orig!BY141</f>
        <v>1.9845224535434202E-6</v>
      </c>
      <c r="CI141" s="27">
        <f>opex_orig!BZ141</f>
        <v>1.8E-5</v>
      </c>
      <c r="CJ141" s="27">
        <f>opex_orig!CA141</f>
        <v>1.9599999999999999E-5</v>
      </c>
      <c r="CK141" s="27">
        <f>opex_orig!CB141</f>
        <v>1.5699999999999999E-5</v>
      </c>
      <c r="CL141" s="27">
        <f>opex_orig!CC141</f>
        <v>9.6299999999999996E-5</v>
      </c>
      <c r="CM141" s="27">
        <f>opex_orig!CD141</f>
        <v>6.0900000000000003E-5</v>
      </c>
      <c r="CN141" s="27">
        <f>opex_orig!CE141</f>
        <v>6.1400000000000002E-5</v>
      </c>
      <c r="CO141" s="27">
        <f>opex_orig!CF141</f>
        <v>1.9798299999999999E-4</v>
      </c>
      <c r="CP141" s="27">
        <f>opex_orig!CG141</f>
        <v>1.13E-5</v>
      </c>
    </row>
    <row r="142" spans="1:94" x14ac:dyDescent="0.25">
      <c r="A142" s="6" t="s">
        <v>275</v>
      </c>
      <c r="B142" s="2" t="s">
        <v>274</v>
      </c>
      <c r="C142" s="1" t="s">
        <v>335</v>
      </c>
      <c r="D142" s="188">
        <f>opex_orig!D142</f>
        <v>1.3050900000000001E-4</v>
      </c>
      <c r="E142" s="188">
        <f>opex_orig!E142</f>
        <v>1.1476699999999999E-4</v>
      </c>
      <c r="F142" s="188">
        <f>opex_orig!F142</f>
        <v>2.41E-5</v>
      </c>
      <c r="G142" s="188">
        <f>opex_orig!G142</f>
        <v>5.3900000000000001E-6</v>
      </c>
      <c r="H142" s="188">
        <f>opex_orig!H142</f>
        <v>9.3300000000000005E-6</v>
      </c>
      <c r="I142" s="188">
        <f>opex_orig!I142</f>
        <v>1.0521100000000001E-4</v>
      </c>
      <c r="J142" s="188">
        <f>opex_orig!J142</f>
        <v>1.33552E-4</v>
      </c>
      <c r="K142" s="188">
        <f>opex_orig!K142</f>
        <v>1.49E-5</v>
      </c>
      <c r="L142" s="188">
        <f>opex_orig!L142</f>
        <v>1.2447200000000001E-4</v>
      </c>
      <c r="M142" s="188">
        <f>opex_orig!M142</f>
        <v>3.5459899999999998E-4</v>
      </c>
      <c r="N142" s="188">
        <f>opex_orig!N142</f>
        <v>6.80706E-4</v>
      </c>
      <c r="O142" s="188">
        <f>opex_orig!O142</f>
        <v>1.9991099999999999E-4</v>
      </c>
      <c r="P142" s="188">
        <f>opex_orig!P142</f>
        <v>1.35005E-4</v>
      </c>
      <c r="Q142" s="188">
        <f>opex_orig!Q142</f>
        <v>4.5399999999999999E-5</v>
      </c>
      <c r="R142" s="188">
        <f>opex_orig!R142</f>
        <v>1.42E-5</v>
      </c>
      <c r="S142" s="188">
        <f>opex_orig!S142</f>
        <v>4.7200000000000002E-5</v>
      </c>
      <c r="T142" s="188">
        <f>opex_orig!T142</f>
        <v>3.8000000000000002E-5</v>
      </c>
      <c r="U142" s="188">
        <f>opex_orig!U142</f>
        <v>3.1648000000000001E-4</v>
      </c>
      <c r="V142" s="188">
        <f>opex_orig!V142</f>
        <v>4.5941999999999999E-4</v>
      </c>
      <c r="W142" s="188">
        <f>opex_orig!W142</f>
        <v>9.1899999999999998E-5</v>
      </c>
      <c r="X142" s="188">
        <f>opex_orig!X142</f>
        <v>4.1900000000000002E-5</v>
      </c>
      <c r="Y142" s="188">
        <f>opex_orig!Y142</f>
        <v>3.79E-5</v>
      </c>
      <c r="Z142" s="188">
        <f>opex_orig!Z142</f>
        <v>1.1189E-4</v>
      </c>
      <c r="AA142" s="188">
        <f>opex_orig!AA142</f>
        <v>4.35E-5</v>
      </c>
      <c r="AB142" s="188">
        <f>opex_orig!$AB142</f>
        <v>2.75761222642569E-5</v>
      </c>
      <c r="AC142" s="188">
        <f>opex_orig!$AB142</f>
        <v>2.75761222642569E-5</v>
      </c>
      <c r="AD142" s="188">
        <f>opex_orig!$AB142</f>
        <v>2.75761222642569E-5</v>
      </c>
      <c r="AE142" s="188">
        <f>opex_orig!$AC142</f>
        <v>2.4280199962420398E-3</v>
      </c>
      <c r="AF142" s="188">
        <f>opex_orig!$AD142</f>
        <v>7.6919425609610001E-4</v>
      </c>
      <c r="AG142" s="188">
        <f>opex_orig!$AD142</f>
        <v>7.6919425609610001E-4</v>
      </c>
      <c r="AH142" s="188">
        <f>opex_orig!$AD142</f>
        <v>7.6919425609610001E-4</v>
      </c>
      <c r="AI142" s="188">
        <f>opex_orig!AE142</f>
        <v>6.0639299999999999E-4</v>
      </c>
      <c r="AJ142" s="188">
        <f>opex_orig!AF142</f>
        <v>2.11461E-4</v>
      </c>
      <c r="AK142" s="188">
        <f>opex_orig!AG142</f>
        <v>3.96E-5</v>
      </c>
      <c r="AL142" s="188">
        <f>opex_orig!AH142</f>
        <v>4.7500000000000003E-5</v>
      </c>
      <c r="AM142" s="188">
        <f>opex_orig!AI142</f>
        <v>5.3999999999999998E-5</v>
      </c>
      <c r="AN142" s="188">
        <f>opex_orig!AJ142</f>
        <v>8.2399999999999997E-5</v>
      </c>
      <c r="AO142" s="188">
        <f>opex_orig!AK142</f>
        <v>5.0500000000000001E-5</v>
      </c>
      <c r="AP142" s="284">
        <f>opex_concordance!M426</f>
        <v>1.2337059530660499E-4</v>
      </c>
      <c r="AQ142" s="284">
        <f>opex_concordance!M480</f>
        <v>8.2020101413530735E-5</v>
      </c>
      <c r="AR142" s="284">
        <f>opex_concordance!M534</f>
        <v>0</v>
      </c>
      <c r="AS142" s="188">
        <f>opex_orig!$AM142</f>
        <v>4.98469287170518E-5</v>
      </c>
      <c r="AT142" s="188">
        <f>opex_orig!AN142</f>
        <v>1.4221000000000001E-4</v>
      </c>
      <c r="AU142" s="188">
        <f>opex_orig!$AO142</f>
        <v>1.6969731242386801E-4</v>
      </c>
      <c r="AV142" s="188">
        <f>opex_orig!$AO142</f>
        <v>1.6969731242386801E-4</v>
      </c>
      <c r="AW142" s="188">
        <f>opex_orig!$AO142</f>
        <v>1.6969731242386801E-4</v>
      </c>
      <c r="AX142" s="188">
        <f>opex_orig!$AP142</f>
        <v>2.8146858651635702E-4</v>
      </c>
      <c r="AY142" s="188">
        <f>opex_orig!AQ142</f>
        <v>3.0149400000000002E-4</v>
      </c>
      <c r="AZ142" s="188">
        <f>opex_orig!AR142</f>
        <v>0</v>
      </c>
      <c r="BA142" s="188">
        <f>opex_orig!AS142</f>
        <v>2.02401E-4</v>
      </c>
      <c r="BB142" s="188">
        <f>opex_orig!AT142</f>
        <v>1.4061999999999999E-4</v>
      </c>
      <c r="BC142" s="188">
        <f>opex_orig!AU142</f>
        <v>2.27E-5</v>
      </c>
      <c r="BD142" s="188">
        <f>opex_orig!AV142</f>
        <v>1.77E-5</v>
      </c>
      <c r="BE142" s="188">
        <f>opex_orig!AW142</f>
        <v>2.0933200000000001E-4</v>
      </c>
      <c r="BF142" s="188">
        <f>opex_orig!AX142</f>
        <v>0</v>
      </c>
      <c r="BG142" s="188">
        <f>opex_orig!AY142</f>
        <v>1.05189E-4</v>
      </c>
      <c r="BH142" s="188">
        <f>opex_orig!AZ142</f>
        <v>0</v>
      </c>
      <c r="BI142" s="188">
        <f>opex_orig!BA142</f>
        <v>1.4192799999999999E-4</v>
      </c>
      <c r="BJ142" s="188">
        <f>opex_orig!BB142</f>
        <v>2.0523300000000001E-4</v>
      </c>
      <c r="BK142" s="188">
        <f>opex_orig!BC142</f>
        <v>3.3018499999999998E-4</v>
      </c>
      <c r="BL142" s="188">
        <f>opex_orig!BD142</f>
        <v>2.2500000000000001E-5</v>
      </c>
      <c r="BM142" s="188">
        <f>opex_orig!BE142</f>
        <v>5.1900000000000001E-5</v>
      </c>
      <c r="BN142" s="188">
        <f>opex_orig!BF142</f>
        <v>1.84E-5</v>
      </c>
      <c r="BO142" s="188">
        <f>opex_orig!BG142</f>
        <v>8.9599999999999996E-5</v>
      </c>
      <c r="BP142" s="188">
        <f>opex_orig!$BH142</f>
        <v>1.1153814470769501E-4</v>
      </c>
      <c r="BQ142" s="188">
        <f>opex_orig!$BH142</f>
        <v>1.1153814470769501E-4</v>
      </c>
      <c r="BR142" s="188">
        <f>opex_orig!BI142</f>
        <v>1.57243E-4</v>
      </c>
      <c r="BS142" s="188">
        <f>opex_orig!BJ142</f>
        <v>6.6600000000000006E-5</v>
      </c>
      <c r="BT142" s="188">
        <f>opex_orig!BK142</f>
        <v>2.7460800000000002E-4</v>
      </c>
      <c r="BU142" s="188">
        <f>opex_orig!BL142</f>
        <v>0</v>
      </c>
      <c r="BV142" s="27">
        <f>opex_orig!BM142</f>
        <v>1.3237033072663399E-4</v>
      </c>
      <c r="BW142" s="27">
        <f>opex_orig!BN142</f>
        <v>6.7235385602436803E-4</v>
      </c>
      <c r="BX142" s="27">
        <f>opex_orig!BO142</f>
        <v>1.3549451638241E-4</v>
      </c>
      <c r="BY142" s="27">
        <f>opex_orig!BP142</f>
        <v>5.63499419032785E-4</v>
      </c>
      <c r="BZ142" s="27">
        <f>opex_orig!BQ142</f>
        <v>6.5153000748886905E-5</v>
      </c>
      <c r="CA142" s="27">
        <f>opex_orig!BR142</f>
        <v>5.8907887144913697E-6</v>
      </c>
      <c r="CB142" s="27">
        <f>opex_orig!BS142</f>
        <v>1.5945601830570999E-4</v>
      </c>
      <c r="CC142" s="27">
        <f>opex_orig!BT142</f>
        <v>7.1595463043936703E-4</v>
      </c>
      <c r="CD142" s="27">
        <f>opex_orig!BU142</f>
        <v>7.3705015390773E-6</v>
      </c>
      <c r="CE142" s="27">
        <f>opex_orig!BV142</f>
        <v>7.3705015390773E-6</v>
      </c>
      <c r="CF142" s="27">
        <f>opex_orig!BW142</f>
        <v>1.47775754032937E-6</v>
      </c>
      <c r="CG142" s="27">
        <f>opex_orig!BX142</f>
        <v>7.1553735575872901E-6</v>
      </c>
      <c r="CH142" s="27">
        <f>opex_orig!BY142</f>
        <v>1.7497947856879199E-6</v>
      </c>
      <c r="CI142" s="27">
        <f>opex_orig!BZ142</f>
        <v>3.6502399999999998E-4</v>
      </c>
      <c r="CJ142" s="27">
        <f>opex_orig!CA142</f>
        <v>2.3028E-4</v>
      </c>
      <c r="CK142" s="27">
        <f>opex_orig!CB142</f>
        <v>1.7958699999999999E-4</v>
      </c>
      <c r="CL142" s="27">
        <f>opex_orig!CC142</f>
        <v>3.2032700000000002E-4</v>
      </c>
      <c r="CM142" s="27">
        <f>opex_orig!CD142</f>
        <v>1.7668800000000001E-4</v>
      </c>
      <c r="CN142" s="27">
        <f>opex_orig!CE142</f>
        <v>1.5440429999999999E-3</v>
      </c>
      <c r="CO142" s="27">
        <f>opex_orig!CF142</f>
        <v>1.1720199999999999E-4</v>
      </c>
      <c r="CP142" s="27">
        <f>opex_orig!CG142</f>
        <v>4.5899999999999998E-5</v>
      </c>
    </row>
    <row r="143" spans="1:94" x14ac:dyDescent="0.25">
      <c r="A143" s="6" t="s">
        <v>277</v>
      </c>
      <c r="B143" s="2" t="s">
        <v>276</v>
      </c>
      <c r="C143" s="1" t="s">
        <v>335</v>
      </c>
      <c r="D143" s="188">
        <f>opex_orig!D143</f>
        <v>1.10784E-4</v>
      </c>
      <c r="E143" s="188">
        <f>opex_orig!E143</f>
        <v>1.19021E-4</v>
      </c>
      <c r="F143" s="188">
        <f>opex_orig!F143</f>
        <v>2.3200000000000001E-5</v>
      </c>
      <c r="G143" s="188">
        <f>opex_orig!G143</f>
        <v>5.3199999999999999E-6</v>
      </c>
      <c r="H143" s="188">
        <f>opex_orig!H143</f>
        <v>9.1300000000000007E-6</v>
      </c>
      <c r="I143" s="188">
        <f>opex_orig!I143</f>
        <v>1.09349E-4</v>
      </c>
      <c r="J143" s="188">
        <f>opex_orig!J143</f>
        <v>1.14533E-4</v>
      </c>
      <c r="K143" s="188">
        <f>opex_orig!K143</f>
        <v>1.4600000000000001E-5</v>
      </c>
      <c r="L143" s="188">
        <f>opex_orig!L143</f>
        <v>1.3217099999999999E-4</v>
      </c>
      <c r="M143" s="188">
        <f>opex_orig!M143</f>
        <v>3.8090200000000002E-4</v>
      </c>
      <c r="N143" s="188">
        <f>opex_orig!N143</f>
        <v>7.2055100000000005E-4</v>
      </c>
      <c r="O143" s="188">
        <f>opex_orig!O143</f>
        <v>1.9455199999999999E-4</v>
      </c>
      <c r="P143" s="188">
        <f>opex_orig!P143</f>
        <v>1.3510099999999999E-4</v>
      </c>
      <c r="Q143" s="188">
        <f>opex_orig!Q143</f>
        <v>4.1399999999999997E-5</v>
      </c>
      <c r="R143" s="188">
        <f>opex_orig!R143</f>
        <v>1.2300000000000001E-5</v>
      </c>
      <c r="S143" s="188">
        <f>opex_orig!S143</f>
        <v>4.4700000000000002E-5</v>
      </c>
      <c r="T143" s="188">
        <f>opex_orig!T143</f>
        <v>3.43E-5</v>
      </c>
      <c r="U143" s="188">
        <f>opex_orig!U143</f>
        <v>3.2673799999999997E-4</v>
      </c>
      <c r="V143" s="188">
        <f>opex_orig!V143</f>
        <v>4.8804000000000002E-4</v>
      </c>
      <c r="W143" s="188">
        <f>opex_orig!W143</f>
        <v>9.5600000000000006E-5</v>
      </c>
      <c r="X143" s="188">
        <f>opex_orig!X143</f>
        <v>3.9499999999999998E-5</v>
      </c>
      <c r="Y143" s="188">
        <f>opex_orig!Y143</f>
        <v>3.5599999999999998E-5</v>
      </c>
      <c r="Z143" s="188">
        <f>opex_orig!Z143</f>
        <v>1.09067E-4</v>
      </c>
      <c r="AA143" s="188">
        <f>opex_orig!AA143</f>
        <v>3.9900000000000001E-5</v>
      </c>
      <c r="AB143" s="188">
        <f>opex_orig!$AB143</f>
        <v>3.2498482502795903E-5</v>
      </c>
      <c r="AC143" s="188">
        <f>opex_orig!$AB143</f>
        <v>3.2498482502795903E-5</v>
      </c>
      <c r="AD143" s="188">
        <f>opex_orig!$AB143</f>
        <v>3.2498482502795903E-5</v>
      </c>
      <c r="AE143" s="188">
        <f>opex_orig!$AC143</f>
        <v>2.5880470555588102E-3</v>
      </c>
      <c r="AF143" s="188">
        <f>opex_orig!$AD143</f>
        <v>8.3627912108958898E-4</v>
      </c>
      <c r="AG143" s="188">
        <f>opex_orig!$AD143</f>
        <v>8.3627912108958898E-4</v>
      </c>
      <c r="AH143" s="188">
        <f>opex_orig!$AD143</f>
        <v>8.3627912108958898E-4</v>
      </c>
      <c r="AI143" s="188">
        <f>opex_orig!AE143</f>
        <v>6.6561099999999998E-4</v>
      </c>
      <c r="AJ143" s="188">
        <f>opex_orig!AF143</f>
        <v>2.1672799999999999E-4</v>
      </c>
      <c r="AK143" s="188">
        <f>opex_orig!AG143</f>
        <v>3.8399999999999998E-5</v>
      </c>
      <c r="AL143" s="188">
        <f>opex_orig!AH143</f>
        <v>4.8000000000000001E-5</v>
      </c>
      <c r="AM143" s="188">
        <f>opex_orig!AI143</f>
        <v>5.1799999999999999E-5</v>
      </c>
      <c r="AN143" s="188">
        <f>opex_orig!AJ143</f>
        <v>8.5000000000000006E-5</v>
      </c>
      <c r="AO143" s="188">
        <f>opex_orig!AK143</f>
        <v>5.13E-5</v>
      </c>
      <c r="AP143" s="284">
        <f>opex_concordance!M427</f>
        <v>1.2555797471430999E-4</v>
      </c>
      <c r="AQ143" s="284">
        <f>opex_concordance!M481</f>
        <v>8.3474330279039219E-5</v>
      </c>
      <c r="AR143" s="284">
        <f>opex_concordance!M535</f>
        <v>0</v>
      </c>
      <c r="AS143" s="188">
        <f>opex_orig!$AM143</f>
        <v>4.9649270236720098E-5</v>
      </c>
      <c r="AT143" s="188">
        <f>opex_orig!AN143</f>
        <v>1.4533800000000001E-4</v>
      </c>
      <c r="AU143" s="188">
        <f>opex_orig!$AO143</f>
        <v>1.67055965540329E-4</v>
      </c>
      <c r="AV143" s="188">
        <f>opex_orig!$AO143</f>
        <v>1.67055965540329E-4</v>
      </c>
      <c r="AW143" s="188">
        <f>opex_orig!$AO143</f>
        <v>1.67055965540329E-4</v>
      </c>
      <c r="AX143" s="188">
        <f>opex_orig!$AP143</f>
        <v>2.8115435453907002E-4</v>
      </c>
      <c r="AY143" s="188">
        <f>opex_orig!AQ143</f>
        <v>3.0549499999999997E-4</v>
      </c>
      <c r="AZ143" s="188">
        <f>opex_orig!AR143</f>
        <v>0</v>
      </c>
      <c r="BA143" s="188">
        <f>opex_orig!AS143</f>
        <v>1.9642999999999999E-4</v>
      </c>
      <c r="BB143" s="188">
        <f>opex_orig!AT143</f>
        <v>1.3140999999999999E-4</v>
      </c>
      <c r="BC143" s="188">
        <f>opex_orig!AU143</f>
        <v>2.44E-5</v>
      </c>
      <c r="BD143" s="188">
        <f>opex_orig!AV143</f>
        <v>1.9400000000000001E-5</v>
      </c>
      <c r="BE143" s="188">
        <f>opex_orig!AW143</f>
        <v>2.1126200000000001E-4</v>
      </c>
      <c r="BF143" s="188">
        <f>opex_orig!AX143</f>
        <v>0</v>
      </c>
      <c r="BG143" s="188">
        <f>opex_orig!AY143</f>
        <v>9.4699999999999998E-5</v>
      </c>
      <c r="BH143" s="188">
        <f>opex_orig!AZ143</f>
        <v>0</v>
      </c>
      <c r="BI143" s="188">
        <f>opex_orig!BA143</f>
        <v>1.4771900000000001E-4</v>
      </c>
      <c r="BJ143" s="188">
        <f>opex_orig!BB143</f>
        <v>2.2347600000000001E-4</v>
      </c>
      <c r="BK143" s="188">
        <f>opex_orig!BC143</f>
        <v>3.5912299999999998E-4</v>
      </c>
      <c r="BL143" s="188">
        <f>opex_orig!BD143</f>
        <v>2.1399999999999998E-5</v>
      </c>
      <c r="BM143" s="188">
        <f>opex_orig!BE143</f>
        <v>5.1799999999999999E-5</v>
      </c>
      <c r="BN143" s="188">
        <f>opex_orig!BF143</f>
        <v>1.7799999999999999E-5</v>
      </c>
      <c r="BO143" s="188">
        <f>opex_orig!BG143</f>
        <v>8.8700000000000001E-5</v>
      </c>
      <c r="BP143" s="188">
        <f>opex_orig!$BH143</f>
        <v>1.20712569995955E-4</v>
      </c>
      <c r="BQ143" s="188">
        <f>opex_orig!$BH143</f>
        <v>1.20712569995955E-4</v>
      </c>
      <c r="BR143" s="188">
        <f>opex_orig!BI143</f>
        <v>1.70927E-4</v>
      </c>
      <c r="BS143" s="188">
        <f>opex_orig!BJ143</f>
        <v>6.5500000000000006E-5</v>
      </c>
      <c r="BT143" s="188">
        <f>opex_orig!BK143</f>
        <v>2.6389399999999998E-4</v>
      </c>
      <c r="BU143" s="188">
        <f>opex_orig!BL143</f>
        <v>0</v>
      </c>
      <c r="BV143" s="27">
        <f>opex_orig!BM143</f>
        <v>1.4435032833762899E-4</v>
      </c>
      <c r="BW143" s="27">
        <f>opex_orig!BN143</f>
        <v>7.14343498200954E-4</v>
      </c>
      <c r="BX143" s="27">
        <f>opex_orig!BO143</f>
        <v>1.49595826427949E-4</v>
      </c>
      <c r="BY143" s="27">
        <f>opex_orig!BP143</f>
        <v>5.9883256233951598E-4</v>
      </c>
      <c r="BZ143" s="27">
        <f>opex_orig!BQ143</f>
        <v>7.0810344800912995E-5</v>
      </c>
      <c r="CA143" s="27">
        <f>opex_orig!BR143</f>
        <v>8.1098978132677002E-6</v>
      </c>
      <c r="CB143" s="27">
        <f>opex_orig!BS143</f>
        <v>1.66361357976287E-4</v>
      </c>
      <c r="CC143" s="27">
        <f>opex_orig!BT143</f>
        <v>9.75790149970564E-4</v>
      </c>
      <c r="CD143" s="27">
        <f>opex_orig!BU143</f>
        <v>6.0979628860651099E-6</v>
      </c>
      <c r="CE143" s="27">
        <f>opex_orig!BV143</f>
        <v>6.0979628860651302E-6</v>
      </c>
      <c r="CF143" s="27">
        <f>opex_orig!BW143</f>
        <v>1.1610220052531901E-6</v>
      </c>
      <c r="CG143" s="27">
        <f>opex_orig!BX143</f>
        <v>7.4594929926488098E-6</v>
      </c>
      <c r="CH143" s="27">
        <f>opex_orig!BY143</f>
        <v>1.81300662326997E-6</v>
      </c>
      <c r="CI143" s="27">
        <f>opex_orig!BZ143</f>
        <v>3.8951799999999999E-4</v>
      </c>
      <c r="CJ143" s="27">
        <f>opex_orig!CA143</f>
        <v>2.30437E-4</v>
      </c>
      <c r="CK143" s="27">
        <f>opex_orig!CB143</f>
        <v>1.77975E-4</v>
      </c>
      <c r="CL143" s="27">
        <f>opex_orig!CC143</f>
        <v>2.9624499999999999E-4</v>
      </c>
      <c r="CM143" s="27">
        <f>opex_orig!CD143</f>
        <v>1.87138E-4</v>
      </c>
      <c r="CN143" s="27">
        <f>opex_orig!CE143</f>
        <v>1.7119780000000001E-3</v>
      </c>
      <c r="CO143" s="27">
        <f>opex_orig!CF143</f>
        <v>1.0607699999999999E-4</v>
      </c>
      <c r="CP143" s="27">
        <f>opex_orig!CG143</f>
        <v>4.4700000000000002E-5</v>
      </c>
    </row>
    <row r="144" spans="1:94" x14ac:dyDescent="0.25">
      <c r="A144" s="6" t="s">
        <v>279</v>
      </c>
      <c r="B144" s="2" t="s">
        <v>278</v>
      </c>
      <c r="C144" s="1" t="s">
        <v>335</v>
      </c>
      <c r="D144" s="188">
        <f>opex_orig!D144</f>
        <v>2.7100000000000001E-5</v>
      </c>
      <c r="E144" s="188">
        <f>opex_orig!E144</f>
        <v>4.9499999999999997E-5</v>
      </c>
      <c r="F144" s="188">
        <f>opex_orig!F144</f>
        <v>8.4400000000000005E-6</v>
      </c>
      <c r="G144" s="188">
        <f>opex_orig!G144</f>
        <v>2.6000000000000001E-6</v>
      </c>
      <c r="H144" s="188">
        <f>opex_orig!H144</f>
        <v>4.9899999999999997E-6</v>
      </c>
      <c r="I144" s="188">
        <f>opex_orig!I144</f>
        <v>4.6600000000000001E-5</v>
      </c>
      <c r="J144" s="188">
        <f>opex_orig!J144</f>
        <v>2.4899999999999999E-5</v>
      </c>
      <c r="K144" s="188">
        <f>opex_orig!K144</f>
        <v>7.7300000000000005E-6</v>
      </c>
      <c r="L144" s="188">
        <f>opex_orig!L144</f>
        <v>5.9899999999999999E-5</v>
      </c>
      <c r="M144" s="188">
        <f>opex_orig!M144</f>
        <v>1.75732E-4</v>
      </c>
      <c r="N144" s="188">
        <f>opex_orig!N144</f>
        <v>3.1203600000000002E-4</v>
      </c>
      <c r="O144" s="188">
        <f>opex_orig!O144</f>
        <v>7.1699999999999995E-5</v>
      </c>
      <c r="P144" s="188">
        <f>opex_orig!P144</f>
        <v>5.1199999999999998E-5</v>
      </c>
      <c r="Q144" s="188">
        <f>opex_orig!Q144</f>
        <v>1.0900000000000001E-5</v>
      </c>
      <c r="R144" s="188">
        <f>opex_orig!R144</f>
        <v>4.6299999999999997E-6</v>
      </c>
      <c r="S144" s="188">
        <f>opex_orig!S144</f>
        <v>1.4100000000000001E-5</v>
      </c>
      <c r="T144" s="188">
        <f>opex_orig!T144</f>
        <v>1.1E-5</v>
      </c>
      <c r="U144" s="188">
        <f>opex_orig!U144</f>
        <v>1.3255600000000001E-4</v>
      </c>
      <c r="V144" s="188">
        <f>opex_orig!V144</f>
        <v>2.1290999999999999E-4</v>
      </c>
      <c r="W144" s="188">
        <f>opex_orig!W144</f>
        <v>4.0200000000000001E-5</v>
      </c>
      <c r="X144" s="188">
        <f>opex_orig!X144</f>
        <v>1.2799999999999999E-5</v>
      </c>
      <c r="Y144" s="188">
        <f>opex_orig!Y144</f>
        <v>1.1E-5</v>
      </c>
      <c r="Z144" s="188">
        <f>opex_orig!Z144</f>
        <v>3.8000000000000002E-5</v>
      </c>
      <c r="AA144" s="188">
        <f>opex_orig!AA144</f>
        <v>2.2900000000000001E-5</v>
      </c>
      <c r="AB144" s="188">
        <f>opex_orig!$AB144</f>
        <v>2.6276194728761701E-5</v>
      </c>
      <c r="AC144" s="188">
        <f>opex_orig!$AB144</f>
        <v>2.6276194728761701E-5</v>
      </c>
      <c r="AD144" s="188">
        <f>opex_orig!$AB144</f>
        <v>2.6276194728761701E-5</v>
      </c>
      <c r="AE144" s="188">
        <f>opex_orig!$AC144</f>
        <v>1.1296942913681101E-3</v>
      </c>
      <c r="AF144" s="188">
        <f>opex_orig!$AD144</f>
        <v>3.88593520839776E-4</v>
      </c>
      <c r="AG144" s="188">
        <f>opex_orig!$AD144</f>
        <v>3.88593520839776E-4</v>
      </c>
      <c r="AH144" s="188">
        <f>opex_orig!$AD144</f>
        <v>3.88593520839776E-4</v>
      </c>
      <c r="AI144" s="188">
        <f>opex_orig!AE144</f>
        <v>3.1760000000000002E-4</v>
      </c>
      <c r="AJ144" s="188">
        <f>opex_orig!AF144</f>
        <v>8.9599999999999996E-5</v>
      </c>
      <c r="AK144" s="188">
        <f>opex_orig!AG144</f>
        <v>1.36E-5</v>
      </c>
      <c r="AL144" s="188">
        <f>opex_orig!AH144</f>
        <v>1.8700000000000001E-5</v>
      </c>
      <c r="AM144" s="188">
        <f>opex_orig!AI144</f>
        <v>1.7799999999999999E-5</v>
      </c>
      <c r="AN144" s="188">
        <f>opex_orig!AJ144</f>
        <v>3.4100000000000002E-5</v>
      </c>
      <c r="AO144" s="188">
        <f>opex_orig!AK144</f>
        <v>2.09E-5</v>
      </c>
      <c r="AP144" s="284">
        <f>opex_concordance!M428</f>
        <v>4.9132521427501298E-5</v>
      </c>
      <c r="AQ144" s="284">
        <f>opex_concordance!M482</f>
        <v>3.2664626284496646E-5</v>
      </c>
      <c r="AR144" s="284">
        <f>opex_concordance!M536</f>
        <v>0</v>
      </c>
      <c r="AS144" s="188">
        <f>opex_orig!$AM144</f>
        <v>1.92403201310627E-5</v>
      </c>
      <c r="AT144" s="188">
        <f>opex_orig!AN144</f>
        <v>5.77E-5</v>
      </c>
      <c r="AU144" s="188">
        <f>opex_orig!$AO144</f>
        <v>6.42234940550313E-5</v>
      </c>
      <c r="AV144" s="188">
        <f>opex_orig!$AO144</f>
        <v>6.42234940550313E-5</v>
      </c>
      <c r="AW144" s="188">
        <f>opex_orig!$AO144</f>
        <v>6.42234940550313E-5</v>
      </c>
      <c r="AX144" s="188">
        <f>opex_orig!$AP144</f>
        <v>1.09189318881042E-4</v>
      </c>
      <c r="AY144" s="188">
        <f>opex_orig!AQ144</f>
        <v>1.2435500000000001E-4</v>
      </c>
      <c r="AZ144" s="188">
        <f>opex_orig!AR144</f>
        <v>0</v>
      </c>
      <c r="BA144" s="188">
        <f>opex_orig!AS144</f>
        <v>7.0199999999999999E-5</v>
      </c>
      <c r="BB144" s="188">
        <f>opex_orig!AT144</f>
        <v>4.3900000000000003E-5</v>
      </c>
      <c r="BC144" s="188">
        <f>opex_orig!AU144</f>
        <v>1.15E-5</v>
      </c>
      <c r="BD144" s="188">
        <f>opex_orig!AV144</f>
        <v>9.55E-6</v>
      </c>
      <c r="BE144" s="188">
        <f>opex_orig!AW144</f>
        <v>8.42E-5</v>
      </c>
      <c r="BF144" s="188">
        <f>opex_orig!AX144</f>
        <v>0</v>
      </c>
      <c r="BG144" s="188">
        <f>opex_orig!AY144</f>
        <v>4.5200000000000001E-5</v>
      </c>
      <c r="BH144" s="188">
        <f>opex_orig!AZ144</f>
        <v>0</v>
      </c>
      <c r="BI144" s="188">
        <f>opex_orig!BA144</f>
        <v>6.4399999999999993E-5</v>
      </c>
      <c r="BJ144" s="188">
        <f>opex_orig!BB144</f>
        <v>1.05719E-4</v>
      </c>
      <c r="BK144" s="188">
        <f>opex_orig!BC144</f>
        <v>1.69452E-4</v>
      </c>
      <c r="BL144" s="188">
        <f>opex_orig!BD144</f>
        <v>8.9900000000000003E-6</v>
      </c>
      <c r="BM144" s="188">
        <f>opex_orig!BE144</f>
        <v>2.02E-5</v>
      </c>
      <c r="BN144" s="188">
        <f>opex_orig!BF144</f>
        <v>6.7000000000000002E-6</v>
      </c>
      <c r="BO144" s="188">
        <f>opex_orig!BG144</f>
        <v>3.26E-5</v>
      </c>
      <c r="BP144" s="188">
        <f>opex_orig!$BH144</f>
        <v>5.68255332116226E-5</v>
      </c>
      <c r="BQ144" s="188">
        <f>opex_orig!$BH144</f>
        <v>5.68255332116226E-5</v>
      </c>
      <c r="BR144" s="188">
        <f>opex_orig!BI144</f>
        <v>8.0500000000000005E-5</v>
      </c>
      <c r="BS144" s="188">
        <f>opex_orig!BJ144</f>
        <v>2.41E-5</v>
      </c>
      <c r="BT144" s="188">
        <f>opex_orig!BK144</f>
        <v>9.59E-5</v>
      </c>
      <c r="BU144" s="188">
        <f>opex_orig!BL144</f>
        <v>0</v>
      </c>
      <c r="BV144" s="27">
        <f>opex_orig!BM144</f>
        <v>6.8776520887602494E-5</v>
      </c>
      <c r="BW144" s="27">
        <f>opex_orig!BN144</f>
        <v>3.1261948121059197E-4</v>
      </c>
      <c r="BX144" s="27">
        <f>opex_orig!BO144</f>
        <v>7.2517876183122499E-5</v>
      </c>
      <c r="BY144" s="27">
        <f>opex_orig!BP144</f>
        <v>2.5771341926903899E-4</v>
      </c>
      <c r="BZ144" s="27">
        <f>opex_orig!BQ144</f>
        <v>4.1690910931073E-5</v>
      </c>
      <c r="CA144" s="27">
        <f>opex_orig!BR144</f>
        <v>7.9375622120396392E-6</v>
      </c>
      <c r="CB144" s="27">
        <f>opex_orig!BS144</f>
        <v>1.5149455839243801E-4</v>
      </c>
      <c r="CC144" s="27">
        <f>opex_orig!BT144</f>
        <v>1.7371977739871901E-3</v>
      </c>
      <c r="CD144" s="27">
        <f>opex_orig!BU144</f>
        <v>1.36252964352462E-6</v>
      </c>
      <c r="CE144" s="27">
        <f>opex_orig!BV144</f>
        <v>1.36252964352462E-6</v>
      </c>
      <c r="CF144" s="27">
        <f>opex_orig!BW144</f>
        <v>2.8233739262875101E-7</v>
      </c>
      <c r="CG144" s="27">
        <f>opex_orig!BX144</f>
        <v>4.6562959418414199E-6</v>
      </c>
      <c r="CH144" s="27">
        <f>opex_orig!BY144</f>
        <v>2.0528902133965599E-6</v>
      </c>
      <c r="CI144" s="27">
        <f>opex_orig!BZ144</f>
        <v>1.7139E-4</v>
      </c>
      <c r="CJ144" s="27">
        <f>opex_orig!CA144</f>
        <v>8.4900000000000004E-5</v>
      </c>
      <c r="CK144" s="27">
        <f>opex_orig!CB144</f>
        <v>6.3800000000000006E-5</v>
      </c>
      <c r="CL144" s="27">
        <f>opex_orig!CC144</f>
        <v>7.9300000000000003E-5</v>
      </c>
      <c r="CM144" s="27">
        <f>opex_orig!CD144</f>
        <v>8.2899999999999996E-5</v>
      </c>
      <c r="CN144" s="27">
        <f>opex_orig!CE144</f>
        <v>8.4236800000000002E-4</v>
      </c>
      <c r="CO144" s="27">
        <f>opex_orig!CF144</f>
        <v>3.2799999999999998E-5</v>
      </c>
      <c r="CP144" s="27">
        <f>opex_orig!CG144</f>
        <v>1.7E-5</v>
      </c>
    </row>
    <row r="145" spans="1:94" x14ac:dyDescent="0.25">
      <c r="A145" s="6" t="s">
        <v>281</v>
      </c>
      <c r="B145" s="2" t="s">
        <v>280</v>
      </c>
      <c r="C145" s="1" t="s">
        <v>335</v>
      </c>
      <c r="D145" s="188">
        <f>opex_orig!D145</f>
        <v>1.6720400000000001E-4</v>
      </c>
      <c r="E145" s="188">
        <f>opex_orig!E145</f>
        <v>1.76157E-4</v>
      </c>
      <c r="F145" s="188">
        <f>opex_orig!F145</f>
        <v>2.7800000000000001E-5</v>
      </c>
      <c r="G145" s="188">
        <f>opex_orig!G145</f>
        <v>6.2400000000000004E-6</v>
      </c>
      <c r="H145" s="188">
        <f>opex_orig!H145</f>
        <v>1.0200000000000001E-5</v>
      </c>
      <c r="I145" s="188">
        <f>opex_orig!I145</f>
        <v>1.1409900000000001E-4</v>
      </c>
      <c r="J145" s="188">
        <f>opex_orig!J145</f>
        <v>9.2399999999999996E-5</v>
      </c>
      <c r="K145" s="188">
        <f>opex_orig!K145</f>
        <v>1.66E-5</v>
      </c>
      <c r="L145" s="188">
        <f>opex_orig!L145</f>
        <v>1.4626299999999999E-4</v>
      </c>
      <c r="M145" s="188">
        <f>opex_orig!M145</f>
        <v>3.9986500000000001E-4</v>
      </c>
      <c r="N145" s="188">
        <f>opex_orig!N145</f>
        <v>1.122191E-3</v>
      </c>
      <c r="O145" s="188">
        <f>opex_orig!O145</f>
        <v>2.9440500000000002E-4</v>
      </c>
      <c r="P145" s="188">
        <f>opex_orig!P145</f>
        <v>1.34714E-4</v>
      </c>
      <c r="Q145" s="188">
        <f>opex_orig!Q145</f>
        <v>2.16E-5</v>
      </c>
      <c r="R145" s="188">
        <f>opex_orig!R145</f>
        <v>1.84E-5</v>
      </c>
      <c r="S145" s="188">
        <f>opex_orig!S145</f>
        <v>4.2400000000000001E-5</v>
      </c>
      <c r="T145" s="188">
        <f>opex_orig!T145</f>
        <v>2.2099999999999998E-5</v>
      </c>
      <c r="U145" s="188">
        <f>opex_orig!U145</f>
        <v>3.3162000000000003E-4</v>
      </c>
      <c r="V145" s="188">
        <f>opex_orig!V145</f>
        <v>6.3807299999999996E-4</v>
      </c>
      <c r="W145" s="188">
        <f>opex_orig!W145</f>
        <v>1.10029E-4</v>
      </c>
      <c r="X145" s="188">
        <f>opex_orig!X145</f>
        <v>4.85E-5</v>
      </c>
      <c r="Y145" s="188">
        <f>opex_orig!Y145</f>
        <v>2.69E-5</v>
      </c>
      <c r="Z145" s="188">
        <f>opex_orig!Z145</f>
        <v>1.02124E-4</v>
      </c>
      <c r="AA145" s="188">
        <f>opex_orig!AA145</f>
        <v>5.5099999999999998E-5</v>
      </c>
      <c r="AB145" s="188">
        <f>opex_orig!$AB145</f>
        <v>3.2522581951519903E-5</v>
      </c>
      <c r="AC145" s="188">
        <f>opex_orig!$AB145</f>
        <v>3.2522581951519903E-5</v>
      </c>
      <c r="AD145" s="188">
        <f>opex_orig!$AB145</f>
        <v>3.2522581951519903E-5</v>
      </c>
      <c r="AE145" s="188">
        <f>opex_orig!$AC145</f>
        <v>4.1264233017965397E-3</v>
      </c>
      <c r="AF145" s="188">
        <f>opex_orig!$AD145</f>
        <v>1.0647293888047E-3</v>
      </c>
      <c r="AG145" s="188">
        <f>opex_orig!$AD145</f>
        <v>1.0647293888047E-3</v>
      </c>
      <c r="AH145" s="188">
        <f>opex_orig!$AD145</f>
        <v>1.0647293888047E-3</v>
      </c>
      <c r="AI145" s="188">
        <f>opex_orig!AE145</f>
        <v>7.75546E-4</v>
      </c>
      <c r="AJ145" s="188">
        <f>opex_orig!AF145</f>
        <v>2.12969E-4</v>
      </c>
      <c r="AK145" s="188">
        <f>opex_orig!AG145</f>
        <v>4.1399999999999997E-5</v>
      </c>
      <c r="AL145" s="188">
        <f>opex_orig!AH145</f>
        <v>6.5900000000000003E-5</v>
      </c>
      <c r="AM145" s="188">
        <f>opex_orig!AI145</f>
        <v>4.2500000000000003E-5</v>
      </c>
      <c r="AN145" s="188">
        <f>opex_orig!AJ145</f>
        <v>1.26568E-4</v>
      </c>
      <c r="AO145" s="188">
        <f>opex_orig!AK145</f>
        <v>5.13E-5</v>
      </c>
      <c r="AP145" s="284">
        <f>opex_concordance!M429</f>
        <v>1.5809233314637101E-4</v>
      </c>
      <c r="AQ145" s="284">
        <f>opex_concordance!M483</f>
        <v>1.0510404983571334E-4</v>
      </c>
      <c r="AR145" s="284">
        <f>opex_concordance!M537</f>
        <v>0</v>
      </c>
      <c r="AS145" s="188">
        <f>opex_orig!$AM145</f>
        <v>4.8385898280453403E-5</v>
      </c>
      <c r="AT145" s="188">
        <f>opex_orig!AN145</f>
        <v>1.6749199999999999E-4</v>
      </c>
      <c r="AU145" s="188">
        <f>opex_orig!$AO145</f>
        <v>2.2163692143224899E-4</v>
      </c>
      <c r="AV145" s="188">
        <f>opex_orig!$AO145</f>
        <v>2.2163692143224899E-4</v>
      </c>
      <c r="AW145" s="188">
        <f>opex_orig!$AO145</f>
        <v>2.2163692143224899E-4</v>
      </c>
      <c r="AX145" s="188">
        <f>opex_orig!$AP145</f>
        <v>3.6544321876864498E-4</v>
      </c>
      <c r="AY145" s="188">
        <f>opex_orig!AQ145</f>
        <v>4.2670799999999998E-4</v>
      </c>
      <c r="AZ145" s="188">
        <f>opex_orig!AR145</f>
        <v>0</v>
      </c>
      <c r="BA145" s="188">
        <f>opex_orig!AS145</f>
        <v>2.7539900000000001E-4</v>
      </c>
      <c r="BB145" s="188">
        <f>opex_orig!AT145</f>
        <v>1.9863699999999999E-4</v>
      </c>
      <c r="BC145" s="188">
        <f>opex_orig!AU145</f>
        <v>2.5000000000000001E-5</v>
      </c>
      <c r="BD145" s="188">
        <f>opex_orig!AV145</f>
        <v>1.9599999999999999E-5</v>
      </c>
      <c r="BE145" s="188">
        <f>opex_orig!AW145</f>
        <v>3.1157899999999998E-4</v>
      </c>
      <c r="BF145" s="188">
        <f>opex_orig!AX145</f>
        <v>0</v>
      </c>
      <c r="BG145" s="188">
        <f>opex_orig!AY145</f>
        <v>1.2319800000000001E-4</v>
      </c>
      <c r="BH145" s="188">
        <f>opex_orig!AZ145</f>
        <v>0</v>
      </c>
      <c r="BI145" s="188">
        <f>opex_orig!BA145</f>
        <v>1.76133E-4</v>
      </c>
      <c r="BJ145" s="188">
        <f>opex_orig!BB145</f>
        <v>2.1942399999999999E-4</v>
      </c>
      <c r="BK145" s="188">
        <f>opex_orig!BC145</f>
        <v>3.4939200000000002E-4</v>
      </c>
      <c r="BL145" s="188">
        <f>opex_orig!BD145</f>
        <v>3.7400000000000001E-5</v>
      </c>
      <c r="BM145" s="188">
        <f>opex_orig!BE145</f>
        <v>5.0599999999999997E-5</v>
      </c>
      <c r="BN145" s="188">
        <f>opex_orig!BF145</f>
        <v>2.5599999999999999E-5</v>
      </c>
      <c r="BO145" s="188">
        <f>opex_orig!BG145</f>
        <v>8.7000000000000001E-5</v>
      </c>
      <c r="BP145" s="188">
        <f>opex_orig!$BH145</f>
        <v>1.2382905040129999E-4</v>
      </c>
      <c r="BQ145" s="188">
        <f>opex_orig!$BH145</f>
        <v>1.2382905040129999E-4</v>
      </c>
      <c r="BR145" s="188">
        <f>opex_orig!BI145</f>
        <v>1.8370100000000001E-4</v>
      </c>
      <c r="BS145" s="188">
        <f>opex_orig!BJ145</f>
        <v>7.1899999999999999E-5</v>
      </c>
      <c r="BT145" s="188">
        <f>opex_orig!BK145</f>
        <v>3.5830500000000001E-4</v>
      </c>
      <c r="BU145" s="188">
        <f>opex_orig!BL145</f>
        <v>0</v>
      </c>
      <c r="BV145" s="27">
        <f>opex_orig!BM145</f>
        <v>1.7480490318179501E-4</v>
      </c>
      <c r="BW145" s="27">
        <f>opex_orig!BN145</f>
        <v>1.13162057853957E-3</v>
      </c>
      <c r="BX145" s="27">
        <f>opex_orig!BO145</f>
        <v>1.7459468186405299E-4</v>
      </c>
      <c r="BY145" s="27">
        <f>opex_orig!BP145</f>
        <v>9.914149881881391E-4</v>
      </c>
      <c r="BZ145" s="27">
        <f>opex_orig!BQ145</f>
        <v>7.4047444777351496E-5</v>
      </c>
      <c r="CA145" s="27">
        <f>opex_orig!BR145</f>
        <v>1.29041479310644E-5</v>
      </c>
      <c r="CB145" s="27">
        <f>opex_orig!BS145</f>
        <v>1.7116340292651499E-4</v>
      </c>
      <c r="CC145" s="27">
        <f>opex_orig!BT145</f>
        <v>5.1950850008415702E-3</v>
      </c>
      <c r="CD145" s="27">
        <f>opex_orig!BU145</f>
        <v>1.00130812514957E-5</v>
      </c>
      <c r="CE145" s="27">
        <f>opex_orig!BV145</f>
        <v>1.00130812514957E-5</v>
      </c>
      <c r="CF145" s="27">
        <f>opex_orig!BW145</f>
        <v>1.72155306224222E-6</v>
      </c>
      <c r="CG145" s="27">
        <f>opex_orig!BX145</f>
        <v>8.2575287423926993E-6</v>
      </c>
      <c r="CH145" s="27">
        <f>opex_orig!BY145</f>
        <v>2.2159292229306598E-6</v>
      </c>
      <c r="CI145" s="27">
        <f>opex_orig!BZ145</f>
        <v>6.0129200000000002E-4</v>
      </c>
      <c r="CJ145" s="27">
        <f>opex_orig!CA145</f>
        <v>1.8662400000000001E-4</v>
      </c>
      <c r="CK145" s="27">
        <f>opex_orig!CB145</f>
        <v>1.10776E-4</v>
      </c>
      <c r="CL145" s="27">
        <f>opex_orig!CC145</f>
        <v>8.7899999999999995E-5</v>
      </c>
      <c r="CM145" s="27">
        <f>opex_orig!CD145</f>
        <v>2.6445100000000002E-4</v>
      </c>
      <c r="CN145" s="27">
        <f>opex_orig!CE145</f>
        <v>1.7590990000000001E-3</v>
      </c>
      <c r="CO145" s="27">
        <f>opex_orig!CF145</f>
        <v>1.4657900000000001E-4</v>
      </c>
      <c r="CP145" s="27">
        <f>opex_orig!CG145</f>
        <v>4.3800000000000001E-5</v>
      </c>
    </row>
    <row r="146" spans="1:94" x14ac:dyDescent="0.25">
      <c r="A146" s="6" t="s">
        <v>283</v>
      </c>
      <c r="B146" s="2" t="s">
        <v>282</v>
      </c>
      <c r="C146" s="1" t="s">
        <v>335</v>
      </c>
      <c r="D146" s="188">
        <f>opex_orig!D146</f>
        <v>2.44E-5</v>
      </c>
      <c r="E146" s="188">
        <f>opex_orig!E146</f>
        <v>2.9499999999999999E-5</v>
      </c>
      <c r="F146" s="188">
        <f>opex_orig!F146</f>
        <v>5.9699999999999996E-6</v>
      </c>
      <c r="G146" s="188">
        <f>opex_orig!G146</f>
        <v>1.81E-6</v>
      </c>
      <c r="H146" s="188">
        <f>opex_orig!H146</f>
        <v>8.2399999999999997E-7</v>
      </c>
      <c r="I146" s="188">
        <f>opex_orig!I146</f>
        <v>2.5599999999999999E-5</v>
      </c>
      <c r="J146" s="188">
        <f>opex_orig!J146</f>
        <v>2.58E-5</v>
      </c>
      <c r="K146" s="188">
        <f>opex_orig!K146</f>
        <v>5.75E-6</v>
      </c>
      <c r="L146" s="188">
        <f>opex_orig!L146</f>
        <v>3.0599999999999998E-5</v>
      </c>
      <c r="M146" s="188">
        <f>opex_orig!M146</f>
        <v>8.8200000000000003E-5</v>
      </c>
      <c r="N146" s="188">
        <f>opex_orig!N146</f>
        <v>4.1E-5</v>
      </c>
      <c r="O146" s="188">
        <f>opex_orig!O146</f>
        <v>2.3900000000000002E-5</v>
      </c>
      <c r="P146" s="188">
        <f>opex_orig!P146</f>
        <v>3.1399999999999998E-5</v>
      </c>
      <c r="Q146" s="188">
        <f>opex_orig!Q146</f>
        <v>1.01E-5</v>
      </c>
      <c r="R146" s="188">
        <f>opex_orig!R146</f>
        <v>4.5700000000000003E-6</v>
      </c>
      <c r="S146" s="188">
        <f>opex_orig!S146</f>
        <v>6.9600000000000003E-6</v>
      </c>
      <c r="T146" s="188">
        <f>opex_orig!T146</f>
        <v>1.0000000000000001E-5</v>
      </c>
      <c r="U146" s="188">
        <f>opex_orig!U146</f>
        <v>7.86E-5</v>
      </c>
      <c r="V146" s="188">
        <f>opex_orig!V146</f>
        <v>1.19879E-4</v>
      </c>
      <c r="W146" s="188">
        <f>opex_orig!W146</f>
        <v>2.2799999999999999E-5</v>
      </c>
      <c r="X146" s="188">
        <f>opex_orig!X146</f>
        <v>5.84E-6</v>
      </c>
      <c r="Y146" s="188">
        <f>opex_orig!Y146</f>
        <v>9.6199999999999994E-6</v>
      </c>
      <c r="Z146" s="188">
        <f>opex_orig!Z146</f>
        <v>2.5999999999999998E-5</v>
      </c>
      <c r="AA146" s="188">
        <f>opex_orig!AA146</f>
        <v>2.09E-5</v>
      </c>
      <c r="AB146" s="188">
        <f>opex_orig!$AB146</f>
        <v>1.5648001352756201E-5</v>
      </c>
      <c r="AC146" s="188">
        <f>opex_orig!$AB146</f>
        <v>1.5648001352756201E-5</v>
      </c>
      <c r="AD146" s="188">
        <f>opex_orig!$AB146</f>
        <v>1.5648001352756201E-5</v>
      </c>
      <c r="AE146" s="188">
        <f>opex_orig!$AC146</f>
        <v>1.11934697852692E-4</v>
      </c>
      <c r="AF146" s="188">
        <f>opex_orig!$AD146</f>
        <v>2.0235943989805401E-4</v>
      </c>
      <c r="AG146" s="188">
        <f>opex_orig!$AD146</f>
        <v>2.0235943989805401E-4</v>
      </c>
      <c r="AH146" s="188">
        <f>opex_orig!$AD146</f>
        <v>2.0235943989805401E-4</v>
      </c>
      <c r="AI146" s="188">
        <f>opex_orig!AE146</f>
        <v>1.58956E-4</v>
      </c>
      <c r="AJ146" s="188">
        <f>opex_orig!AF146</f>
        <v>4.9299999999999999E-5</v>
      </c>
      <c r="AK146" s="188">
        <f>opex_orig!AG146</f>
        <v>8.8899999999999996E-6</v>
      </c>
      <c r="AL146" s="188">
        <f>opex_orig!AH146</f>
        <v>1.1800000000000001E-5</v>
      </c>
      <c r="AM146" s="188">
        <f>opex_orig!AI146</f>
        <v>1.2099999999999999E-5</v>
      </c>
      <c r="AN146" s="188">
        <f>opex_orig!AJ146</f>
        <v>5.6799999999999998E-6</v>
      </c>
      <c r="AO146" s="188">
        <f>opex_orig!AK146</f>
        <v>1.2500000000000001E-5</v>
      </c>
      <c r="AP146" s="284">
        <f>opex_concordance!M430</f>
        <v>3.0744996846169401E-5</v>
      </c>
      <c r="AQ146" s="284">
        <f>opex_concordance!M484</f>
        <v>2.0440103681225325E-5</v>
      </c>
      <c r="AR146" s="284">
        <f>opex_concordance!M538</f>
        <v>0</v>
      </c>
      <c r="AS146" s="188">
        <f>opex_orig!$AM146</f>
        <v>1.1415543674242001E-5</v>
      </c>
      <c r="AT146" s="188">
        <f>opex_orig!AN146</f>
        <v>3.5299999999999997E-5</v>
      </c>
      <c r="AU146" s="188">
        <f>opex_orig!$AO146</f>
        <v>3.81666819874706E-5</v>
      </c>
      <c r="AV146" s="188">
        <f>opex_orig!$AO146</f>
        <v>3.81666819874706E-5</v>
      </c>
      <c r="AW146" s="188">
        <f>opex_orig!$AO146</f>
        <v>3.81666819874706E-5</v>
      </c>
      <c r="AX146" s="188">
        <f>opex_orig!$AP146</f>
        <v>6.6782222505662805E-5</v>
      </c>
      <c r="AY146" s="188">
        <f>opex_orig!AQ146</f>
        <v>7.3499999999999998E-5</v>
      </c>
      <c r="AZ146" s="188">
        <f>opex_orig!AR146</f>
        <v>0</v>
      </c>
      <c r="BA146" s="188">
        <f>opex_orig!AS146</f>
        <v>2.3600000000000001E-5</v>
      </c>
      <c r="BB146" s="188">
        <f>opex_orig!AT146</f>
        <v>3.0499999999999999E-5</v>
      </c>
      <c r="BC146" s="188">
        <f>opex_orig!AU146</f>
        <v>5.7400000000000001E-6</v>
      </c>
      <c r="BD146" s="188">
        <f>opex_orig!AV146</f>
        <v>4.6399999999999996E-6</v>
      </c>
      <c r="BE146" s="188">
        <f>opex_orig!AW146</f>
        <v>5.13E-5</v>
      </c>
      <c r="BF146" s="188">
        <f>opex_orig!AX146</f>
        <v>0</v>
      </c>
      <c r="BG146" s="188">
        <f>opex_orig!AY146</f>
        <v>1.27E-5</v>
      </c>
      <c r="BH146" s="188">
        <f>opex_orig!AZ146</f>
        <v>0</v>
      </c>
      <c r="BI146" s="188">
        <f>opex_orig!BA146</f>
        <v>3.4100000000000002E-5</v>
      </c>
      <c r="BJ146" s="188">
        <f>opex_orig!BB146</f>
        <v>5.13E-5</v>
      </c>
      <c r="BK146" s="188">
        <f>opex_orig!BC146</f>
        <v>8.2200000000000006E-5</v>
      </c>
      <c r="BL146" s="188">
        <f>opex_orig!BD146</f>
        <v>5.1900000000000003E-6</v>
      </c>
      <c r="BM146" s="188">
        <f>opex_orig!BE146</f>
        <v>1.2E-5</v>
      </c>
      <c r="BN146" s="188">
        <f>opex_orig!BF146</f>
        <v>4.7700000000000001E-6</v>
      </c>
      <c r="BO146" s="188">
        <f>opex_orig!BG146</f>
        <v>2.0999999999999999E-5</v>
      </c>
      <c r="BP146" s="188">
        <f>opex_orig!$BH146</f>
        <v>2.7689956282423299E-5</v>
      </c>
      <c r="BQ146" s="188">
        <f>opex_orig!$BH146</f>
        <v>2.7689956282423299E-5</v>
      </c>
      <c r="BR146" s="188">
        <f>opex_orig!BI146</f>
        <v>3.96E-5</v>
      </c>
      <c r="BS146" s="188">
        <f>opex_orig!BJ146</f>
        <v>1.52E-5</v>
      </c>
      <c r="BT146" s="188">
        <f>opex_orig!BK146</f>
        <v>6.02E-5</v>
      </c>
      <c r="BU146" s="188">
        <f>opex_orig!BL146</f>
        <v>0</v>
      </c>
      <c r="BV146" s="27">
        <f>opex_orig!BM146</f>
        <v>3.3642282720215702E-5</v>
      </c>
      <c r="BW146" s="27">
        <f>opex_orig!BN146</f>
        <v>1.8476862176250501E-4</v>
      </c>
      <c r="BX146" s="27">
        <f>opex_orig!BO146</f>
        <v>3.5611587615944599E-5</v>
      </c>
      <c r="BY146" s="27">
        <f>opex_orig!BP146</f>
        <v>1.57129671573601E-5</v>
      </c>
      <c r="BZ146" s="27">
        <f>opex_orig!BQ146</f>
        <v>2.75368899318521E-5</v>
      </c>
      <c r="CA146" s="27">
        <f>opex_orig!BR146</f>
        <v>1.53378372566094E-6</v>
      </c>
      <c r="CB146" s="27">
        <f>opex_orig!BS146</f>
        <v>1.34814709809548E-4</v>
      </c>
      <c r="CC146" s="27">
        <f>opex_orig!BT146</f>
        <v>1.7200415046981401E-4</v>
      </c>
      <c r="CD146" s="27">
        <f>opex_orig!BU146</f>
        <v>1.34590053272834E-6</v>
      </c>
      <c r="CE146" s="27">
        <f>opex_orig!BV146</f>
        <v>1.34590053272834E-6</v>
      </c>
      <c r="CF146" s="27">
        <f>opex_orig!BW146</f>
        <v>2.5762957422837099E-7</v>
      </c>
      <c r="CG146" s="27">
        <f>opex_orig!BX146</f>
        <v>3.2702837357668302E-6</v>
      </c>
      <c r="CH146" s="27">
        <f>opex_orig!BY146</f>
        <v>5.86207901803422E-8</v>
      </c>
      <c r="CI146" s="27">
        <f>opex_orig!BZ146</f>
        <v>9.8300000000000004E-5</v>
      </c>
      <c r="CJ146" s="27">
        <f>opex_orig!CA146</f>
        <v>5.4799999999999997E-5</v>
      </c>
      <c r="CK146" s="27">
        <f>opex_orig!CB146</f>
        <v>4.1699999999999997E-5</v>
      </c>
      <c r="CL146" s="27">
        <f>opex_orig!CC146</f>
        <v>7.0099999999999996E-5</v>
      </c>
      <c r="CM146" s="27">
        <f>opex_orig!CD146</f>
        <v>4.6300000000000001E-5</v>
      </c>
      <c r="CN146" s="27">
        <f>opex_orig!CE146</f>
        <v>3.96349E-4</v>
      </c>
      <c r="CO146" s="27">
        <f>opex_orig!CF146</f>
        <v>2.3499999999999999E-5</v>
      </c>
      <c r="CP146" s="27">
        <f>opex_orig!CG146</f>
        <v>1.31E-5</v>
      </c>
    </row>
    <row r="147" spans="1:94" x14ac:dyDescent="0.25">
      <c r="A147" s="6" t="s">
        <v>285</v>
      </c>
      <c r="B147" s="2" t="s">
        <v>284</v>
      </c>
      <c r="C147" s="1" t="s">
        <v>335</v>
      </c>
      <c r="D147" s="188">
        <f>opex_orig!D147</f>
        <v>3.1600000000000002E-5</v>
      </c>
      <c r="E147" s="188">
        <f>opex_orig!E147</f>
        <v>3.7499999999999997E-5</v>
      </c>
      <c r="F147" s="188">
        <f>opex_orig!F147</f>
        <v>6.9600000000000003E-6</v>
      </c>
      <c r="G147" s="188">
        <f>opex_orig!G147</f>
        <v>2.04E-6</v>
      </c>
      <c r="H147" s="188">
        <f>opex_orig!H147</f>
        <v>4.6999999999999999E-6</v>
      </c>
      <c r="I147" s="188">
        <f>opex_orig!I147</f>
        <v>3.3000000000000003E-5</v>
      </c>
      <c r="J147" s="188">
        <f>opex_orig!J147</f>
        <v>3.4799999999999999E-5</v>
      </c>
      <c r="K147" s="188">
        <f>opex_orig!K147</f>
        <v>6.2700000000000001E-6</v>
      </c>
      <c r="L147" s="188">
        <f>opex_orig!L147</f>
        <v>3.93E-5</v>
      </c>
      <c r="M147" s="188">
        <f>opex_orig!M147</f>
        <v>1.12781E-4</v>
      </c>
      <c r="N147" s="188">
        <f>opex_orig!N147</f>
        <v>2.3164E-4</v>
      </c>
      <c r="O147" s="188">
        <f>opex_orig!O147</f>
        <v>6.02E-5</v>
      </c>
      <c r="P147" s="188">
        <f>opex_orig!P147</f>
        <v>4.21E-5</v>
      </c>
      <c r="Q147" s="188">
        <f>opex_orig!Q147</f>
        <v>1.3699999999999999E-5</v>
      </c>
      <c r="R147" s="188">
        <f>opex_orig!R147</f>
        <v>5.4099999999999999E-6</v>
      </c>
      <c r="S147" s="188">
        <f>opex_orig!S147</f>
        <v>1.42E-5</v>
      </c>
      <c r="T147" s="188">
        <f>opex_orig!T147</f>
        <v>1.26E-5</v>
      </c>
      <c r="U147" s="188">
        <f>opex_orig!U147</f>
        <v>1.01722E-4</v>
      </c>
      <c r="V147" s="188">
        <f>opex_orig!V147</f>
        <v>1.5290900000000001E-4</v>
      </c>
      <c r="W147" s="188">
        <f>opex_orig!W147</f>
        <v>2.9600000000000001E-5</v>
      </c>
      <c r="X147" s="188">
        <f>opex_orig!X147</f>
        <v>1.24E-5</v>
      </c>
      <c r="Y147" s="188">
        <f>opex_orig!Y147</f>
        <v>1.24E-5</v>
      </c>
      <c r="Z147" s="188">
        <f>opex_orig!Z147</f>
        <v>3.4199999999999998E-5</v>
      </c>
      <c r="AA147" s="188">
        <f>opex_orig!AA147</f>
        <v>2.16E-5</v>
      </c>
      <c r="AB147" s="188">
        <f>opex_orig!$AB147</f>
        <v>1.52458046658861E-5</v>
      </c>
      <c r="AC147" s="188">
        <f>opex_orig!$AB147</f>
        <v>1.52458046658861E-5</v>
      </c>
      <c r="AD147" s="188">
        <f>opex_orig!$AB147</f>
        <v>1.52458046658861E-5</v>
      </c>
      <c r="AE147" s="188">
        <f>opex_orig!$AC147</f>
        <v>1.4275907378356799E-4</v>
      </c>
      <c r="AF147" s="188">
        <f>opex_orig!$AD147</f>
        <v>2.5685935897586999E-4</v>
      </c>
      <c r="AG147" s="188">
        <f>opex_orig!$AD147</f>
        <v>2.5685935897586999E-4</v>
      </c>
      <c r="AH147" s="188">
        <f>opex_orig!$AD147</f>
        <v>2.5685935897586999E-4</v>
      </c>
      <c r="AI147" s="188">
        <f>opex_orig!AE147</f>
        <v>2.0192300000000001E-4</v>
      </c>
      <c r="AJ147" s="188">
        <f>opex_orig!AF147</f>
        <v>6.4300000000000004E-5</v>
      </c>
      <c r="AK147" s="188">
        <f>opex_orig!AG147</f>
        <v>1.1800000000000001E-5</v>
      </c>
      <c r="AL147" s="188">
        <f>opex_orig!AH147</f>
        <v>1.5299999999999999E-5</v>
      </c>
      <c r="AM147" s="188">
        <f>opex_orig!AI147</f>
        <v>1.5800000000000001E-5</v>
      </c>
      <c r="AN147" s="188">
        <f>opex_orig!AJ147</f>
        <v>2.73E-5</v>
      </c>
      <c r="AO147" s="188">
        <f>opex_orig!AK147</f>
        <v>1.5500000000000001E-5</v>
      </c>
      <c r="AP147" s="284">
        <f>opex_concordance!M431</f>
        <v>3.9829477882566297E-5</v>
      </c>
      <c r="AQ147" s="284">
        <f>opex_concordance!M485</f>
        <v>2.6479711855626981E-5</v>
      </c>
      <c r="AR147" s="284">
        <f>opex_concordance!M539</f>
        <v>0</v>
      </c>
      <c r="AS147" s="188">
        <f>opex_orig!$AM147</f>
        <v>1.50239592426961E-5</v>
      </c>
      <c r="AT147" s="188">
        <f>opex_orig!AN147</f>
        <v>4.57E-5</v>
      </c>
      <c r="AU147" s="188">
        <f>opex_orig!$AO147</f>
        <v>4.9611908384660403E-5</v>
      </c>
      <c r="AV147" s="188">
        <f>opex_orig!$AO147</f>
        <v>4.9611908384660403E-5</v>
      </c>
      <c r="AW147" s="188">
        <f>opex_orig!$AO147</f>
        <v>4.9611908384660403E-5</v>
      </c>
      <c r="AX147" s="188">
        <f>opex_orig!$AP147</f>
        <v>8.5734260245084098E-5</v>
      </c>
      <c r="AY147" s="188">
        <f>opex_orig!AQ147</f>
        <v>9.3700000000000001E-5</v>
      </c>
      <c r="AZ147" s="188">
        <f>opex_orig!AR147</f>
        <v>0</v>
      </c>
      <c r="BA147" s="188">
        <f>opex_orig!AS147</f>
        <v>6.0800000000000001E-5</v>
      </c>
      <c r="BB147" s="188">
        <f>opex_orig!AT147</f>
        <v>3.9100000000000002E-5</v>
      </c>
      <c r="BC147" s="188">
        <f>opex_orig!AU147</f>
        <v>7.2899999999999997E-6</v>
      </c>
      <c r="BD147" s="188">
        <f>opex_orig!AV147</f>
        <v>5.8699999999999997E-6</v>
      </c>
      <c r="BE147" s="188">
        <f>opex_orig!AW147</f>
        <v>6.5199999999999999E-5</v>
      </c>
      <c r="BF147" s="188">
        <f>opex_orig!AX147</f>
        <v>0</v>
      </c>
      <c r="BG147" s="188">
        <f>opex_orig!AY147</f>
        <v>1.66E-5</v>
      </c>
      <c r="BH147" s="188">
        <f>opex_orig!AZ147</f>
        <v>0</v>
      </c>
      <c r="BI147" s="188">
        <f>opex_orig!BA147</f>
        <v>4.3800000000000001E-5</v>
      </c>
      <c r="BJ147" s="188">
        <f>opex_orig!BB147</f>
        <v>6.58E-5</v>
      </c>
      <c r="BK147" s="188">
        <f>opex_orig!BC147</f>
        <v>1.0553299999999999E-4</v>
      </c>
      <c r="BL147" s="188">
        <f>opex_orig!BD147</f>
        <v>6.8600000000000004E-6</v>
      </c>
      <c r="BM147" s="188">
        <f>opex_orig!BE147</f>
        <v>1.59E-5</v>
      </c>
      <c r="BN147" s="188">
        <f>opex_orig!BF147</f>
        <v>6.4999999999999996E-6</v>
      </c>
      <c r="BO147" s="188">
        <f>opex_orig!BG147</f>
        <v>2.7500000000000001E-5</v>
      </c>
      <c r="BP147" s="188">
        <f>opex_orig!$BH147</f>
        <v>3.5562747680392801E-5</v>
      </c>
      <c r="BQ147" s="188">
        <f>opex_orig!$BH147</f>
        <v>3.5562747680392801E-5</v>
      </c>
      <c r="BR147" s="188">
        <f>opex_orig!BI147</f>
        <v>5.0899999999999997E-5</v>
      </c>
      <c r="BS147" s="188">
        <f>opex_orig!BJ147</f>
        <v>2.0000000000000002E-5</v>
      </c>
      <c r="BT147" s="188">
        <f>opex_orig!BK147</f>
        <v>7.7299999999999995E-5</v>
      </c>
      <c r="BU147" s="188">
        <f>opex_orig!BL147</f>
        <v>0</v>
      </c>
      <c r="BV147" s="27">
        <f>opex_orig!BM147</f>
        <v>4.3719683304310201E-5</v>
      </c>
      <c r="BW147" s="27">
        <f>opex_orig!BN147</f>
        <v>2.3220458368928E-4</v>
      </c>
      <c r="BX147" s="27">
        <f>opex_orig!BO147</f>
        <v>4.5219309976742701E-5</v>
      </c>
      <c r="BY147" s="27">
        <f>opex_orig!BP147</f>
        <v>1.9357819924436999E-4</v>
      </c>
      <c r="BZ147" s="27">
        <f>opex_orig!BQ147</f>
        <v>2.9981196607720101E-5</v>
      </c>
      <c r="CA147" s="27">
        <f>opex_orig!BR147</f>
        <v>5.0164138031321796E-6</v>
      </c>
      <c r="CB147" s="27">
        <f>opex_orig!BS147</f>
        <v>1.34681836798255E-4</v>
      </c>
      <c r="CC147" s="27">
        <f>opex_orig!BT147</f>
        <v>3.3442825720528301E-4</v>
      </c>
      <c r="CD147" s="27">
        <f>opex_orig!BU147</f>
        <v>1.77282040800598E-6</v>
      </c>
      <c r="CE147" s="27">
        <f>opex_orig!BV147</f>
        <v>1.77282040800598E-6</v>
      </c>
      <c r="CF147" s="27">
        <f>opex_orig!BW147</f>
        <v>3.4009303322855798E-7</v>
      </c>
      <c r="CG147" s="27">
        <f>opex_orig!BX147</f>
        <v>4.0414081473989398E-6</v>
      </c>
      <c r="CH147" s="27">
        <f>opex_orig!BY147</f>
        <v>1.87612958051114E-6</v>
      </c>
      <c r="CI147" s="27">
        <f>opex_orig!BZ147</f>
        <v>1.24299E-4</v>
      </c>
      <c r="CJ147" s="27">
        <f>opex_orig!CA147</f>
        <v>7.2000000000000002E-5</v>
      </c>
      <c r="CK147" s="27">
        <f>opex_orig!CB147</f>
        <v>5.52E-5</v>
      </c>
      <c r="CL147" s="27">
        <f>opex_orig!CC147</f>
        <v>9.5099999999999994E-5</v>
      </c>
      <c r="CM147" s="27">
        <f>opex_orig!CD147</f>
        <v>5.8799999999999999E-5</v>
      </c>
      <c r="CN147" s="27">
        <f>opex_orig!CE147</f>
        <v>5.0437099999999999E-4</v>
      </c>
      <c r="CO147" s="27">
        <f>opex_orig!CF147</f>
        <v>3.0499999999999999E-5</v>
      </c>
      <c r="CP147" s="27">
        <f>opex_orig!CG147</f>
        <v>1.5299999999999999E-5</v>
      </c>
    </row>
    <row r="148" spans="1:94" x14ac:dyDescent="0.25">
      <c r="A148" s="6" t="s">
        <v>287</v>
      </c>
      <c r="B148" s="2" t="s">
        <v>286</v>
      </c>
      <c r="C148" s="1" t="s">
        <v>335</v>
      </c>
      <c r="D148" s="188">
        <f>opex_orig!D148</f>
        <v>1.5517600000000001E-4</v>
      </c>
      <c r="E148" s="188">
        <f>opex_orig!E148</f>
        <v>6.3600000000000001E-5</v>
      </c>
      <c r="F148" s="188">
        <f>opex_orig!F148</f>
        <v>3.2499999999999997E-5</v>
      </c>
      <c r="G148" s="188">
        <f>opex_orig!G148</f>
        <v>7.2599999999999999E-6</v>
      </c>
      <c r="H148" s="188">
        <f>opex_orig!H148</f>
        <v>1.24E-5</v>
      </c>
      <c r="I148" s="188">
        <f>opex_orig!I148</f>
        <v>1.32356E-4</v>
      </c>
      <c r="J148" s="188">
        <f>opex_orig!J148</f>
        <v>1.7241500000000001E-4</v>
      </c>
      <c r="K148" s="188">
        <f>opex_orig!K148</f>
        <v>1.9599999999999999E-5</v>
      </c>
      <c r="L148" s="188">
        <f>opex_orig!L148</f>
        <v>2.1483900000000001E-4</v>
      </c>
      <c r="M148" s="188">
        <f>opex_orig!M148</f>
        <v>6.1291299999999998E-4</v>
      </c>
      <c r="N148" s="188">
        <f>opex_orig!N148</f>
        <v>2.4874000000000001E-4</v>
      </c>
      <c r="O148" s="188">
        <f>opex_orig!O148</f>
        <v>1.5157899999999999E-4</v>
      </c>
      <c r="P148" s="188">
        <f>opex_orig!P148</f>
        <v>1.6876200000000001E-4</v>
      </c>
      <c r="Q148" s="188">
        <f>opex_orig!Q148</f>
        <v>6.41E-5</v>
      </c>
      <c r="R148" s="188">
        <f>opex_orig!R148</f>
        <v>1.6799999999999998E-5</v>
      </c>
      <c r="S148" s="188">
        <f>opex_orig!S148</f>
        <v>4.6499999999999999E-5</v>
      </c>
      <c r="T148" s="188">
        <f>opex_orig!T148</f>
        <v>5.1100000000000002E-5</v>
      </c>
      <c r="U148" s="188">
        <f>opex_orig!U148</f>
        <v>3.2044499999999999E-4</v>
      </c>
      <c r="V148" s="188">
        <f>opex_orig!V148</f>
        <v>3.3275500000000001E-4</v>
      </c>
      <c r="W148" s="188">
        <f>opex_orig!W148</f>
        <v>9.8800000000000003E-5</v>
      </c>
      <c r="X148" s="188">
        <f>opex_orig!X148</f>
        <v>3.7599999999999999E-5</v>
      </c>
      <c r="Y148" s="188">
        <f>opex_orig!Y148</f>
        <v>5.4200000000000003E-5</v>
      </c>
      <c r="Z148" s="188">
        <f>opex_orig!Z148</f>
        <v>1.2278199999999999E-4</v>
      </c>
      <c r="AA148" s="188">
        <f>opex_orig!AA148</f>
        <v>5.0699999999999999E-5</v>
      </c>
      <c r="AB148" s="188">
        <f>opex_orig!$AB148</f>
        <v>4.6373012035470702E-5</v>
      </c>
      <c r="AC148" s="188">
        <f>opex_orig!$AB148</f>
        <v>4.6373012035470702E-5</v>
      </c>
      <c r="AD148" s="188">
        <f>opex_orig!$AB148</f>
        <v>4.6373012035470702E-5</v>
      </c>
      <c r="AE148" s="188">
        <f>opex_orig!$AC148</f>
        <v>6.6843420978802102E-4</v>
      </c>
      <c r="AF148" s="188">
        <f>opex_orig!$AD148</f>
        <v>7.0365034169448998E-4</v>
      </c>
      <c r="AG148" s="188">
        <f>opex_orig!$AD148</f>
        <v>7.0365034169448998E-4</v>
      </c>
      <c r="AH148" s="188">
        <f>opex_orig!$AD148</f>
        <v>7.0365034169448998E-4</v>
      </c>
      <c r="AI148" s="188">
        <f>opex_orig!AE148</f>
        <v>6.8214399999999998E-4</v>
      </c>
      <c r="AJ148" s="188">
        <f>opex_orig!AF148</f>
        <v>3.2903199999999999E-4</v>
      </c>
      <c r="AK148" s="188">
        <f>opex_orig!AG148</f>
        <v>4.7800000000000003E-5</v>
      </c>
      <c r="AL148" s="188">
        <f>opex_orig!AH148</f>
        <v>3.4600000000000001E-5</v>
      </c>
      <c r="AM148" s="188">
        <f>opex_orig!AI148</f>
        <v>7.5699999999999997E-5</v>
      </c>
      <c r="AN148" s="188">
        <f>opex_orig!AJ148</f>
        <v>3.5899999999999998E-5</v>
      </c>
      <c r="AO148" s="188">
        <f>opex_orig!AK148</f>
        <v>7.2600000000000003E-5</v>
      </c>
      <c r="AP148" s="284">
        <f>opex_concordance!M432</f>
        <v>9.0061005930271496E-5</v>
      </c>
      <c r="AQ148" s="284">
        <f>opex_concordance!M486</f>
        <v>5.9874987402366748E-5</v>
      </c>
      <c r="AR148" s="284">
        <f>opex_concordance!M540</f>
        <v>0</v>
      </c>
      <c r="AS148" s="188">
        <f>opex_orig!$AM148</f>
        <v>7.0761455048700404E-5</v>
      </c>
      <c r="AT148" s="188">
        <f>opex_orig!AN148</f>
        <v>1.25494E-4</v>
      </c>
      <c r="AU148" s="188">
        <f>opex_orig!$AO148</f>
        <v>1.9888616786550701E-4</v>
      </c>
      <c r="AV148" s="188">
        <f>opex_orig!$AO148</f>
        <v>1.9888616786550701E-4</v>
      </c>
      <c r="AW148" s="188">
        <f>opex_orig!$AO148</f>
        <v>1.9888616786550701E-4</v>
      </c>
      <c r="AX148" s="188">
        <f>opex_orig!$AP148</f>
        <v>2.6351484716787699E-4</v>
      </c>
      <c r="AY148" s="188">
        <f>opex_orig!AQ148</f>
        <v>2.5093099999999997E-4</v>
      </c>
      <c r="AZ148" s="188">
        <f>opex_orig!AR148</f>
        <v>0</v>
      </c>
      <c r="BA148" s="188">
        <f>opex_orig!AS148</f>
        <v>1.52979E-4</v>
      </c>
      <c r="BB148" s="188">
        <f>opex_orig!AT148</f>
        <v>1.2916699999999999E-4</v>
      </c>
      <c r="BC148" s="188">
        <f>opex_orig!AU148</f>
        <v>3.3500000000000001E-5</v>
      </c>
      <c r="BD148" s="188">
        <f>opex_orig!AV148</f>
        <v>2.6599999999999999E-5</v>
      </c>
      <c r="BE148" s="188">
        <f>opex_orig!AW148</f>
        <v>1.4906500000000001E-4</v>
      </c>
      <c r="BF148" s="188">
        <f>opex_orig!AX148</f>
        <v>0</v>
      </c>
      <c r="BG148" s="188">
        <f>opex_orig!AY148</f>
        <v>1.24034E-4</v>
      </c>
      <c r="BH148" s="188">
        <f>opex_orig!AZ148</f>
        <v>0</v>
      </c>
      <c r="BI148" s="188">
        <f>opex_orig!BA148</f>
        <v>1.77407E-4</v>
      </c>
      <c r="BJ148" s="188">
        <f>opex_orig!BB148</f>
        <v>3.2159799999999998E-4</v>
      </c>
      <c r="BK148" s="188">
        <f>opex_orig!BC148</f>
        <v>5.09137E-4</v>
      </c>
      <c r="BL148" s="188">
        <f>opex_orig!BD148</f>
        <v>2.51E-5</v>
      </c>
      <c r="BM148" s="188">
        <f>opex_orig!BE148</f>
        <v>6.8300000000000007E-5</v>
      </c>
      <c r="BN148" s="188">
        <f>opex_orig!BF148</f>
        <v>1.8700000000000001E-5</v>
      </c>
      <c r="BO148" s="188">
        <f>opex_orig!BG148</f>
        <v>9.8999999999999994E-5</v>
      </c>
      <c r="BP148" s="188">
        <f>opex_orig!$BH148</f>
        <v>1.7183390356607901E-4</v>
      </c>
      <c r="BQ148" s="188">
        <f>opex_orig!$BH148</f>
        <v>1.7183390356607901E-4</v>
      </c>
      <c r="BR148" s="188">
        <f>opex_orig!BI148</f>
        <v>2.0885500000000001E-4</v>
      </c>
      <c r="BS148" s="188">
        <f>opex_orig!BJ148</f>
        <v>7.8300000000000006E-5</v>
      </c>
      <c r="BT148" s="188">
        <f>opex_orig!BK148</f>
        <v>3.0713799999999999E-4</v>
      </c>
      <c r="BU148" s="188">
        <f>opex_orig!BL148</f>
        <v>0</v>
      </c>
      <c r="BV148" s="27">
        <f>opex_orig!BM148</f>
        <v>2.6444455417473102E-4</v>
      </c>
      <c r="BW148" s="27">
        <f>opex_orig!BN148</f>
        <v>2.07039085442104E-4</v>
      </c>
      <c r="BX148" s="27">
        <f>opex_orig!BO148</f>
        <v>3.1474432608470101E-4</v>
      </c>
      <c r="BY148" s="27">
        <f>opex_orig!BP148</f>
        <v>9.26943419708003E-5</v>
      </c>
      <c r="BZ148" s="27">
        <f>opex_orig!BQ148</f>
        <v>9.67416987784615E-5</v>
      </c>
      <c r="CA148" s="27">
        <f>opex_orig!BR148</f>
        <v>8.8540619175868908E-6</v>
      </c>
      <c r="CB148" s="27">
        <f>opex_orig!BS148</f>
        <v>1.85606905785175E-4</v>
      </c>
      <c r="CC148" s="27">
        <f>opex_orig!BT148</f>
        <v>1.07187893097031E-3</v>
      </c>
      <c r="CD148" s="27">
        <f>opex_orig!BU148</f>
        <v>8.6169419452209803E-6</v>
      </c>
      <c r="CE148" s="27">
        <f>opex_orig!BV148</f>
        <v>8.6169419452210007E-6</v>
      </c>
      <c r="CF148" s="27">
        <f>opex_orig!BW148</f>
        <v>1.8135971708957299E-6</v>
      </c>
      <c r="CG148" s="27">
        <f>opex_orig!BX148</f>
        <v>8.2200393851630904E-6</v>
      </c>
      <c r="CH148" s="27">
        <f>opex_orig!BY148</f>
        <v>1.7905612132233999E-6</v>
      </c>
      <c r="CI148" s="27">
        <f>opex_orig!BZ148</f>
        <v>1.4564800000000001E-4</v>
      </c>
      <c r="CJ148" s="27">
        <f>opex_orig!CA148</f>
        <v>2.5805700000000001E-4</v>
      </c>
      <c r="CK148" s="27">
        <f>opex_orig!CB148</f>
        <v>3.2563299999999998E-4</v>
      </c>
      <c r="CL148" s="27">
        <f>opex_orig!CC148</f>
        <v>4.0979800000000001E-4</v>
      </c>
      <c r="CM148" s="27">
        <f>opex_orig!CD148</f>
        <v>1.2656599999999999E-4</v>
      </c>
      <c r="CN148" s="27">
        <f>opex_orig!CE148</f>
        <v>2.5689839999999999E-3</v>
      </c>
      <c r="CO148" s="27">
        <f>opex_orig!CF148</f>
        <v>1.5446899999999999E-4</v>
      </c>
      <c r="CP148" s="27">
        <f>opex_orig!CG148</f>
        <v>6.3600000000000001E-5</v>
      </c>
    </row>
    <row r="149" spans="1:94" x14ac:dyDescent="0.25">
      <c r="A149" s="6" t="s">
        <v>289</v>
      </c>
      <c r="B149" s="2" t="s">
        <v>288</v>
      </c>
      <c r="C149" s="1" t="s">
        <v>335</v>
      </c>
      <c r="D149" s="188">
        <f>opex_orig!D149</f>
        <v>3.89E-7</v>
      </c>
      <c r="E149" s="188">
        <f>opex_orig!E149</f>
        <v>6.0699999999999994E-8</v>
      </c>
      <c r="F149" s="188">
        <f>opex_orig!F149</f>
        <v>7.6899999999999994E-8</v>
      </c>
      <c r="G149" s="188">
        <f>opex_orig!G149</f>
        <v>1.26E-8</v>
      </c>
      <c r="H149" s="188">
        <f>opex_orig!H149</f>
        <v>1.74E-8</v>
      </c>
      <c r="I149" s="188">
        <f>opex_orig!I149</f>
        <v>6.6899999999999997E-8</v>
      </c>
      <c r="J149" s="188">
        <f>opex_orig!J149</f>
        <v>2.5600000000000002E-7</v>
      </c>
      <c r="K149" s="188">
        <f>opex_orig!K149</f>
        <v>2.81E-8</v>
      </c>
      <c r="L149" s="188">
        <f>opex_orig!L149</f>
        <v>1.66E-7</v>
      </c>
      <c r="M149" s="188">
        <f>opex_orig!M149</f>
        <v>1.37E-7</v>
      </c>
      <c r="N149" s="188">
        <f>opex_orig!N149</f>
        <v>9.9E-8</v>
      </c>
      <c r="O149" s="188">
        <f>opex_orig!O149</f>
        <v>1.8799999999999999E-7</v>
      </c>
      <c r="P149" s="188">
        <f>opex_orig!P149</f>
        <v>7.1400000000000004E-8</v>
      </c>
      <c r="Q149" s="188">
        <f>opex_orig!Q149</f>
        <v>6.3500000000000006E-8</v>
      </c>
      <c r="R149" s="188">
        <f>opex_orig!R149</f>
        <v>2.7500000000000001E-8</v>
      </c>
      <c r="S149" s="188">
        <f>opex_orig!S149</f>
        <v>4.0100000000000002E-8</v>
      </c>
      <c r="T149" s="188">
        <f>opex_orig!T149</f>
        <v>7.7799999999999995E-8</v>
      </c>
      <c r="U149" s="188">
        <f>opex_orig!U149</f>
        <v>9.0600000000000004E-8</v>
      </c>
      <c r="V149" s="188">
        <f>opex_orig!V149</f>
        <v>1.14E-7</v>
      </c>
      <c r="W149" s="188">
        <f>opex_orig!W149</f>
        <v>9.4500000000000006E-8</v>
      </c>
      <c r="X149" s="188">
        <f>opex_orig!X149</f>
        <v>2.2700000000000001E-7</v>
      </c>
      <c r="Y149" s="188">
        <f>opex_orig!Y149</f>
        <v>1.91E-7</v>
      </c>
      <c r="Z149" s="188">
        <f>opex_orig!Z149</f>
        <v>5.03E-8</v>
      </c>
      <c r="AA149" s="188">
        <f>opex_orig!AA149</f>
        <v>1.01E-7</v>
      </c>
      <c r="AB149" s="188">
        <f>opex_orig!$AB149</f>
        <v>5.2027513196844296E-7</v>
      </c>
      <c r="AC149" s="188">
        <f>opex_orig!$AB149</f>
        <v>5.2027513196844296E-7</v>
      </c>
      <c r="AD149" s="188">
        <f>opex_orig!$AB149</f>
        <v>5.2027513196844296E-7</v>
      </c>
      <c r="AE149" s="188">
        <f>opex_orig!$AC149</f>
        <v>1.11816421429884E-7</v>
      </c>
      <c r="AF149" s="188">
        <f>opex_orig!$AD149</f>
        <v>1.0455204547172699E-7</v>
      </c>
      <c r="AG149" s="188">
        <f>opex_orig!$AD149</f>
        <v>1.0455204547172699E-7</v>
      </c>
      <c r="AH149" s="188">
        <f>opex_orig!$AD149</f>
        <v>1.0455204547172699E-7</v>
      </c>
      <c r="AI149" s="188">
        <f>opex_orig!AE149</f>
        <v>9.53E-8</v>
      </c>
      <c r="AJ149" s="188">
        <f>opex_orig!AF149</f>
        <v>1.8099999999999999E-7</v>
      </c>
      <c r="AK149" s="188">
        <f>opex_orig!AG149</f>
        <v>5.3500000000000003E-8</v>
      </c>
      <c r="AL149" s="188">
        <f>opex_orig!AH149</f>
        <v>7.5899999999999998E-8</v>
      </c>
      <c r="AM149" s="188">
        <f>opex_orig!AI149</f>
        <v>9.9699999999999999E-8</v>
      </c>
      <c r="AN149" s="188">
        <f>opex_orig!AJ149</f>
        <v>8.7999999999999994E-8</v>
      </c>
      <c r="AO149" s="188">
        <f>opex_orig!AK149</f>
        <v>7.7700000000000001E-8</v>
      </c>
      <c r="AP149" s="284">
        <f>opex_concordance!M433</f>
        <v>7.73293616908977E-8</v>
      </c>
      <c r="AQ149" s="284">
        <f>opex_concordance!M487</f>
        <v>5.1410646697199333E-8</v>
      </c>
      <c r="AR149" s="284">
        <f>opex_concordance!M541</f>
        <v>0</v>
      </c>
      <c r="AS149" s="188">
        <f>opex_orig!$AM149</f>
        <v>7.8322233509304304E-8</v>
      </c>
      <c r="AT149" s="188">
        <f>opex_orig!AN149</f>
        <v>9.7699999999999995E-8</v>
      </c>
      <c r="AU149" s="188">
        <f>opex_orig!$AO149</f>
        <v>9.2889579621890903E-8</v>
      </c>
      <c r="AV149" s="188">
        <f>opex_orig!$AO149</f>
        <v>9.2889579621890903E-8</v>
      </c>
      <c r="AW149" s="188">
        <f>opex_orig!$AO149</f>
        <v>9.2889579621890903E-8</v>
      </c>
      <c r="AX149" s="188">
        <f>opex_orig!$AP149</f>
        <v>3.0014497438820999E-8</v>
      </c>
      <c r="AY149" s="188">
        <f>opex_orig!AQ149</f>
        <v>7.2200000000000003E-7</v>
      </c>
      <c r="AZ149" s="188">
        <f>opex_orig!AR149</f>
        <v>0</v>
      </c>
      <c r="BA149" s="188">
        <f>opex_orig!AS149</f>
        <v>2.5600000000000001E-8</v>
      </c>
      <c r="BB149" s="188">
        <f>opex_orig!AT149</f>
        <v>2.1200000000000001E-8</v>
      </c>
      <c r="BC149" s="188">
        <f>opex_orig!AU149</f>
        <v>1.2499999999999999E-8</v>
      </c>
      <c r="BD149" s="188">
        <f>opex_orig!AV149</f>
        <v>1.2100000000000001E-8</v>
      </c>
      <c r="BE149" s="188">
        <f>opex_orig!AW149</f>
        <v>1.33E-8</v>
      </c>
      <c r="BF149" s="188">
        <f>opex_orig!AX149</f>
        <v>0</v>
      </c>
      <c r="BG149" s="188">
        <f>opex_orig!AY149</f>
        <v>4.2799999999999999E-8</v>
      </c>
      <c r="BH149" s="188">
        <f>opex_orig!AZ149</f>
        <v>0</v>
      </c>
      <c r="BI149" s="188">
        <f>opex_orig!BA149</f>
        <v>1.4600000000000001E-7</v>
      </c>
      <c r="BJ149" s="188">
        <f>opex_orig!BB149</f>
        <v>5.8700000000000003E-8</v>
      </c>
      <c r="BK149" s="188">
        <f>opex_orig!BC149</f>
        <v>2.1500000000000001E-7</v>
      </c>
      <c r="BL149" s="188">
        <f>opex_orig!BD149</f>
        <v>2.2700000000000001E-7</v>
      </c>
      <c r="BM149" s="188">
        <f>opex_orig!BE149</f>
        <v>2.65E-7</v>
      </c>
      <c r="BN149" s="188">
        <f>opex_orig!BF149</f>
        <v>5.6799999999999999E-8</v>
      </c>
      <c r="BO149" s="188">
        <f>opex_orig!BG149</f>
        <v>7.8699999999999997E-8</v>
      </c>
      <c r="BP149" s="188">
        <f>opex_orig!$BH149</f>
        <v>1.83307895817942E-7</v>
      </c>
      <c r="BQ149" s="188">
        <f>opex_orig!$BH149</f>
        <v>1.83307895817942E-7</v>
      </c>
      <c r="BR149" s="188">
        <f>opex_orig!BI149</f>
        <v>1.02E-7</v>
      </c>
      <c r="BS149" s="188">
        <f>opex_orig!BJ149</f>
        <v>8.5300000000000003E-8</v>
      </c>
      <c r="BT149" s="188">
        <f>opex_orig!BK149</f>
        <v>2.7899999999999998E-8</v>
      </c>
      <c r="BU149" s="188">
        <f>opex_orig!BL149</f>
        <v>0</v>
      </c>
      <c r="BV149" s="27">
        <f>opex_orig!BM149</f>
        <v>2.49659085564416E-7</v>
      </c>
      <c r="BW149" s="27">
        <f>opex_orig!BN149</f>
        <v>2.1145341229193101E-7</v>
      </c>
      <c r="BX149" s="27">
        <f>opex_orig!BO149</f>
        <v>5.0133990853487902E-8</v>
      </c>
      <c r="BY149" s="27">
        <f>opex_orig!BP149</f>
        <v>5.4325972365743199E-8</v>
      </c>
      <c r="BZ149" s="27">
        <f>opex_orig!BQ149</f>
        <v>9.3280158062608006E-8</v>
      </c>
      <c r="CA149" s="27">
        <f>opex_orig!BR149</f>
        <v>5.6205622963838199E-6</v>
      </c>
      <c r="CB149" s="27">
        <f>opex_orig!BS149</f>
        <v>2.48935373602475E-7</v>
      </c>
      <c r="CC149" s="27">
        <f>opex_orig!BT149</f>
        <v>1.50126924453531E-4</v>
      </c>
      <c r="CD149" s="27">
        <f>opex_orig!BU149</f>
        <v>4.7065474189952198E-8</v>
      </c>
      <c r="CE149" s="27">
        <f>opex_orig!BV149</f>
        <v>4.7065474189952403E-8</v>
      </c>
      <c r="CF149" s="27">
        <f>opex_orig!BW149</f>
        <v>1.0486929814294901E-5</v>
      </c>
      <c r="CG149" s="27">
        <f>opex_orig!BX149</f>
        <v>3.29003758032536E-6</v>
      </c>
      <c r="CH149" s="27">
        <f>opex_orig!BY149</f>
        <v>1.4028810858436501E-8</v>
      </c>
      <c r="CI149" s="27">
        <f>opex_orig!BZ149</f>
        <v>9.9099999999999994E-8</v>
      </c>
      <c r="CJ149" s="27">
        <f>opex_orig!CA149</f>
        <v>6.0399999999999998E-8</v>
      </c>
      <c r="CK149" s="27">
        <f>opex_orig!CB149</f>
        <v>6.5999999999999995E-8</v>
      </c>
      <c r="CL149" s="27">
        <f>opex_orig!CC149</f>
        <v>3.2399999999999999E-8</v>
      </c>
      <c r="CM149" s="27">
        <f>opex_orig!CD149</f>
        <v>2.36E-7</v>
      </c>
      <c r="CN149" s="27">
        <f>opex_orig!CE149</f>
        <v>2.6800000000000001E-5</v>
      </c>
      <c r="CO149" s="27">
        <f>opex_orig!CF149</f>
        <v>1.02E-6</v>
      </c>
      <c r="CP149" s="27">
        <f>opex_orig!CG149</f>
        <v>5.1599999999999999E-8</v>
      </c>
    </row>
    <row r="150" spans="1:94" x14ac:dyDescent="0.25">
      <c r="A150" s="6" t="s">
        <v>291</v>
      </c>
      <c r="B150" s="2" t="s">
        <v>290</v>
      </c>
      <c r="C150" s="1" t="s">
        <v>335</v>
      </c>
      <c r="D150" s="188">
        <f>opex_orig!D150</f>
        <v>1.4999999999999999E-7</v>
      </c>
      <c r="E150" s="188">
        <f>opex_orig!E150</f>
        <v>6.36E-8</v>
      </c>
      <c r="F150" s="188">
        <f>opex_orig!F150</f>
        <v>1.09E-7</v>
      </c>
      <c r="G150" s="188">
        <f>opex_orig!G150</f>
        <v>1.55E-7</v>
      </c>
      <c r="H150" s="188">
        <f>opex_orig!H150</f>
        <v>5.7900000000000002E-8</v>
      </c>
      <c r="I150" s="188">
        <f>opex_orig!I150</f>
        <v>8.42E-8</v>
      </c>
      <c r="J150" s="188">
        <f>opex_orig!J150</f>
        <v>3.2800000000000003E-7</v>
      </c>
      <c r="K150" s="188">
        <f>opex_orig!K150</f>
        <v>1.2100000000000001E-7</v>
      </c>
      <c r="L150" s="188">
        <f>opex_orig!L150</f>
        <v>2.9200000000000002E-7</v>
      </c>
      <c r="M150" s="188">
        <f>opex_orig!M150</f>
        <v>2.04E-7</v>
      </c>
      <c r="N150" s="188">
        <f>opex_orig!N150</f>
        <v>2.9299999999999999E-7</v>
      </c>
      <c r="O150" s="188">
        <f>opex_orig!O150</f>
        <v>1.06E-7</v>
      </c>
      <c r="P150" s="188">
        <f>opex_orig!P150</f>
        <v>7.4200000000000003E-8</v>
      </c>
      <c r="Q150" s="188">
        <f>opex_orig!Q150</f>
        <v>2.8699999999999999E-8</v>
      </c>
      <c r="R150" s="188">
        <f>opex_orig!R150</f>
        <v>7.4299999999999997E-8</v>
      </c>
      <c r="S150" s="188">
        <f>opex_orig!S150</f>
        <v>4.7099999999999998E-8</v>
      </c>
      <c r="T150" s="188">
        <f>opex_orig!T150</f>
        <v>1.36E-7</v>
      </c>
      <c r="U150" s="188">
        <f>opex_orig!U150</f>
        <v>1.7100000000000001E-7</v>
      </c>
      <c r="V150" s="188">
        <f>opex_orig!V150</f>
        <v>2.48E-7</v>
      </c>
      <c r="W150" s="188">
        <f>opex_orig!W150</f>
        <v>1.06E-7</v>
      </c>
      <c r="X150" s="188">
        <f>opex_orig!X150</f>
        <v>4.1199999999999998E-7</v>
      </c>
      <c r="Y150" s="188">
        <f>opex_orig!Y150</f>
        <v>5.7800000000000001E-8</v>
      </c>
      <c r="Z150" s="188">
        <f>opex_orig!Z150</f>
        <v>8.4799999999999997E-7</v>
      </c>
      <c r="AA150" s="188">
        <f>opex_orig!AA150</f>
        <v>4.6499999999999999E-7</v>
      </c>
      <c r="AB150" s="188">
        <f>opex_orig!$AB150</f>
        <v>3.3681597375321901E-6</v>
      </c>
      <c r="AC150" s="188">
        <f>opex_orig!$AB150</f>
        <v>3.3681597375321901E-6</v>
      </c>
      <c r="AD150" s="188">
        <f>opex_orig!$AB150</f>
        <v>3.3681597375321901E-6</v>
      </c>
      <c r="AE150" s="188">
        <f>opex_orig!$AC150</f>
        <v>3.8071453680921601E-7</v>
      </c>
      <c r="AF150" s="188">
        <f>opex_orig!$AD150</f>
        <v>1.16335194035135E-7</v>
      </c>
      <c r="AG150" s="188">
        <f>opex_orig!$AD150</f>
        <v>1.16335194035135E-7</v>
      </c>
      <c r="AH150" s="188">
        <f>opex_orig!$AD150</f>
        <v>1.16335194035135E-7</v>
      </c>
      <c r="AI150" s="188">
        <f>opex_orig!AE150</f>
        <v>9.0800000000000006E-8</v>
      </c>
      <c r="AJ150" s="188">
        <f>opex_orig!AF150</f>
        <v>1.4100000000000001E-7</v>
      </c>
      <c r="AK150" s="188">
        <f>opex_orig!AG150</f>
        <v>5.3300000000000001E-8</v>
      </c>
      <c r="AL150" s="188">
        <f>opex_orig!AH150</f>
        <v>5.5899999999999998E-8</v>
      </c>
      <c r="AM150" s="188">
        <f>opex_orig!AI150</f>
        <v>1.05E-7</v>
      </c>
      <c r="AN150" s="188">
        <f>opex_orig!AJ150</f>
        <v>5.2700000000000002E-8</v>
      </c>
      <c r="AO150" s="188">
        <f>opex_orig!AK150</f>
        <v>1.2700000000000001E-7</v>
      </c>
      <c r="AP150" s="284">
        <f>opex_concordance!M434</f>
        <v>5.64176205479691E-8</v>
      </c>
      <c r="AQ150" s="284">
        <f>opex_concordance!M488</f>
        <v>3.7507956797601514E-8</v>
      </c>
      <c r="AR150" s="284">
        <f>opex_concordance!M542</f>
        <v>0</v>
      </c>
      <c r="AS150" s="188">
        <f>opex_orig!$AM150</f>
        <v>1.0078900358242099E-7</v>
      </c>
      <c r="AT150" s="188">
        <f>opex_orig!AN150</f>
        <v>6.1500000000000001E-8</v>
      </c>
      <c r="AU150" s="188">
        <f>opex_orig!$AO150</f>
        <v>6.3163477131694794E-8</v>
      </c>
      <c r="AV150" s="188">
        <f>opex_orig!$AO150</f>
        <v>6.3163477131694794E-8</v>
      </c>
      <c r="AW150" s="188">
        <f>opex_orig!$AO150</f>
        <v>6.3163477131694794E-8</v>
      </c>
      <c r="AX150" s="188">
        <f>opex_orig!$AP150</f>
        <v>4.6454016169605297E-8</v>
      </c>
      <c r="AY150" s="188">
        <f>opex_orig!AQ150</f>
        <v>1.55E-7</v>
      </c>
      <c r="AZ150" s="188">
        <f>opex_orig!AR150</f>
        <v>0</v>
      </c>
      <c r="BA150" s="188">
        <f>opex_orig!AS150</f>
        <v>3.9300000000000001E-8</v>
      </c>
      <c r="BB150" s="188">
        <f>opex_orig!AT150</f>
        <v>2.9099999999999999E-8</v>
      </c>
      <c r="BC150" s="188">
        <f>opex_orig!AU150</f>
        <v>5.4399999999999997E-8</v>
      </c>
      <c r="BD150" s="188">
        <f>opex_orig!AV150</f>
        <v>5.8199999999999998E-8</v>
      </c>
      <c r="BE150" s="188">
        <f>opex_orig!AW150</f>
        <v>3.5700000000000002E-8</v>
      </c>
      <c r="BF150" s="188">
        <f>opex_orig!AX150</f>
        <v>0</v>
      </c>
      <c r="BG150" s="188">
        <f>opex_orig!AY150</f>
        <v>2.2399999999999999E-7</v>
      </c>
      <c r="BH150" s="188">
        <f>opex_orig!AZ150</f>
        <v>0</v>
      </c>
      <c r="BI150" s="188">
        <f>opex_orig!BA150</f>
        <v>4.6499999999999999E-8</v>
      </c>
      <c r="BJ150" s="188">
        <f>opex_orig!BB150</f>
        <v>4.73E-8</v>
      </c>
      <c r="BK150" s="188">
        <f>opex_orig!BC150</f>
        <v>2.9200000000000002E-7</v>
      </c>
      <c r="BL150" s="188">
        <f>opex_orig!BD150</f>
        <v>3.7E-7</v>
      </c>
      <c r="BM150" s="188">
        <f>opex_orig!BE150</f>
        <v>4.2899999999999999E-7</v>
      </c>
      <c r="BN150" s="188">
        <f>opex_orig!BF150</f>
        <v>6.1799999999999998E-8</v>
      </c>
      <c r="BO150" s="188">
        <f>opex_orig!BG150</f>
        <v>7.0200000000000007E-8</v>
      </c>
      <c r="BP150" s="188">
        <f>opex_orig!$BH150</f>
        <v>1.9414176068821601E-7</v>
      </c>
      <c r="BQ150" s="188">
        <f>opex_orig!$BH150</f>
        <v>1.9414176068821601E-7</v>
      </c>
      <c r="BR150" s="188">
        <f>opex_orig!BI150</f>
        <v>1.04E-7</v>
      </c>
      <c r="BS150" s="188">
        <f>opex_orig!BJ150</f>
        <v>5.1300000000000003E-8</v>
      </c>
      <c r="BT150" s="188">
        <f>opex_orig!BK150</f>
        <v>3.8199999999999998E-8</v>
      </c>
      <c r="BU150" s="188">
        <f>opex_orig!BL150</f>
        <v>0</v>
      </c>
      <c r="BV150" s="27">
        <f>opex_orig!BM150</f>
        <v>2.2206708547427899E-7</v>
      </c>
      <c r="BW150" s="27">
        <f>opex_orig!BN150</f>
        <v>4.2832359688720299E-7</v>
      </c>
      <c r="BX150" s="27">
        <f>opex_orig!BO150</f>
        <v>7.33979980418677E-8</v>
      </c>
      <c r="BY150" s="27">
        <f>opex_orig!BP150</f>
        <v>1.5438816653154601E-7</v>
      </c>
      <c r="BZ150" s="27">
        <f>opex_orig!BQ150</f>
        <v>4.21727156486482E-7</v>
      </c>
      <c r="CA150" s="27">
        <f>opex_orig!BR150</f>
        <v>5.1114740861365101E-7</v>
      </c>
      <c r="CB150" s="27">
        <f>opex_orig!BS150</f>
        <v>1.13787623981086E-6</v>
      </c>
      <c r="CC150" s="27">
        <f>opex_orig!BT150</f>
        <v>2.18511609074642E-5</v>
      </c>
      <c r="CD150" s="27">
        <f>opex_orig!BU150</f>
        <v>7.3443666876365406E-8</v>
      </c>
      <c r="CE150" s="27">
        <f>opex_orig!BV150</f>
        <v>7.3443666876365406E-8</v>
      </c>
      <c r="CF150" s="27">
        <f>opex_orig!BW150</f>
        <v>1.56277184980311E-6</v>
      </c>
      <c r="CG150" s="27">
        <f>opex_orig!BX150</f>
        <v>1.7565139488465201E-6</v>
      </c>
      <c r="CH150" s="27">
        <f>opex_orig!BY150</f>
        <v>1.8054471924416701E-6</v>
      </c>
      <c r="CI150" s="27">
        <f>opex_orig!BZ150</f>
        <v>2.0699999999999999E-7</v>
      </c>
      <c r="CJ150" s="27">
        <f>opex_orig!CA150</f>
        <v>1.08E-7</v>
      </c>
      <c r="CK150" s="27">
        <f>opex_orig!CB150</f>
        <v>1.24E-7</v>
      </c>
      <c r="CL150" s="27">
        <f>opex_orig!CC150</f>
        <v>7.6000000000000006E-8</v>
      </c>
      <c r="CM150" s="27">
        <f>opex_orig!CD150</f>
        <v>4.5900000000000002E-7</v>
      </c>
      <c r="CN150" s="27">
        <f>opex_orig!CE150</f>
        <v>4.7299999999999998E-5</v>
      </c>
      <c r="CO150" s="27">
        <f>opex_orig!CF150</f>
        <v>1.31E-7</v>
      </c>
      <c r="CP150" s="27">
        <f>opex_orig!CG150</f>
        <v>8.7600000000000004E-8</v>
      </c>
    </row>
    <row r="151" spans="1:94" x14ac:dyDescent="0.25">
      <c r="A151" s="6" t="s">
        <v>293</v>
      </c>
      <c r="B151" s="2" t="s">
        <v>292</v>
      </c>
      <c r="C151" s="1" t="s">
        <v>335</v>
      </c>
      <c r="D151" s="188">
        <f>opex_orig!D151</f>
        <v>7.5060199999999995E-4</v>
      </c>
      <c r="E151" s="188">
        <f>opex_orig!E151</f>
        <v>6.7458100000000005E-4</v>
      </c>
      <c r="F151" s="188">
        <f>opex_orig!F151</f>
        <v>1.37553E-4</v>
      </c>
      <c r="G151" s="188">
        <f>opex_orig!G151</f>
        <v>3.0899999999999999E-5</v>
      </c>
      <c r="H151" s="188">
        <f>opex_orig!H151</f>
        <v>5.2299999999999997E-5</v>
      </c>
      <c r="I151" s="188">
        <f>opex_orig!I151</f>
        <v>5.8034199999999997E-4</v>
      </c>
      <c r="J151" s="188">
        <f>opex_orig!J151</f>
        <v>4.1181399999999998E-4</v>
      </c>
      <c r="K151" s="188">
        <f>opex_orig!K151</f>
        <v>8.2000000000000001E-5</v>
      </c>
      <c r="L151" s="188">
        <f>opex_orig!L151</f>
        <v>7.7417299999999996E-4</v>
      </c>
      <c r="M151" s="188">
        <f>opex_orig!M151</f>
        <v>2.2069110000000002E-3</v>
      </c>
      <c r="N151" s="188">
        <f>opex_orig!N151</f>
        <v>4.0971940000000002E-3</v>
      </c>
      <c r="O151" s="188">
        <f>opex_orig!O151</f>
        <v>1.176341E-3</v>
      </c>
      <c r="P151" s="188">
        <f>opex_orig!P151</f>
        <v>6.0090299999999996E-4</v>
      </c>
      <c r="Q151" s="188">
        <f>opex_orig!Q151</f>
        <v>8.0500000000000005E-5</v>
      </c>
      <c r="R151" s="188">
        <f>opex_orig!R151</f>
        <v>6.3299999999999994E-5</v>
      </c>
      <c r="S151" s="188">
        <f>opex_orig!S151</f>
        <v>1.5568299999999999E-4</v>
      </c>
      <c r="T151" s="188">
        <f>opex_orig!T151</f>
        <v>9.2100000000000003E-5</v>
      </c>
      <c r="U151" s="188">
        <f>opex_orig!U151</f>
        <v>1.4636E-3</v>
      </c>
      <c r="V151" s="188">
        <f>opex_orig!V151</f>
        <v>2.61247E-3</v>
      </c>
      <c r="W151" s="188">
        <f>opex_orig!W151</f>
        <v>4.82089E-4</v>
      </c>
      <c r="X151" s="188">
        <f>opex_orig!X151</f>
        <v>1.83034E-4</v>
      </c>
      <c r="Y151" s="188">
        <f>opex_orig!Y151</f>
        <v>1.00537E-4</v>
      </c>
      <c r="Z151" s="188">
        <f>opex_orig!Z151</f>
        <v>4.2496E-4</v>
      </c>
      <c r="AA151" s="188">
        <f>opex_orig!AA151</f>
        <v>2.0543800000000001E-4</v>
      </c>
      <c r="AB151" s="188">
        <f>opex_orig!$AB151</f>
        <v>4.0779143705006998E-4</v>
      </c>
      <c r="AC151" s="188">
        <f>opex_orig!$AB151</f>
        <v>4.0779143705006998E-4</v>
      </c>
      <c r="AD151" s="188">
        <f>opex_orig!$AB151</f>
        <v>4.0779143705006998E-4</v>
      </c>
      <c r="AE151" s="188">
        <f>opex_orig!$AC151</f>
        <v>1.47205900693031E-2</v>
      </c>
      <c r="AF151" s="188">
        <f>opex_orig!$AD151</f>
        <v>4.8451550028647903E-3</v>
      </c>
      <c r="AG151" s="188">
        <f>opex_orig!$AD151</f>
        <v>4.8451550028647903E-3</v>
      </c>
      <c r="AH151" s="188">
        <f>opex_orig!$AD151</f>
        <v>4.8451550028647903E-3</v>
      </c>
      <c r="AI151" s="188">
        <f>opex_orig!AE151</f>
        <v>3.8648020000000001E-3</v>
      </c>
      <c r="AJ151" s="188">
        <f>opex_orig!AF151</f>
        <v>1.1499850000000001E-3</v>
      </c>
      <c r="AK151" s="188">
        <f>opex_orig!AG151</f>
        <v>1.8349999999999999E-4</v>
      </c>
      <c r="AL151" s="188">
        <f>opex_orig!AH151</f>
        <v>2.4061300000000001E-4</v>
      </c>
      <c r="AM151" s="188">
        <f>opex_orig!AI151</f>
        <v>2.1080099999999999E-4</v>
      </c>
      <c r="AN151" s="188">
        <f>opex_orig!AJ151</f>
        <v>4.3507099999999998E-4</v>
      </c>
      <c r="AO151" s="188">
        <f>opex_orig!AK151</f>
        <v>2.6100100000000002E-4</v>
      </c>
      <c r="AP151" s="284">
        <f>opex_concordance!M435</f>
        <v>5.9833910216383905E-4</v>
      </c>
      <c r="AQ151" s="284">
        <f>opex_concordance!M489</f>
        <v>3.9779198371535775E-4</v>
      </c>
      <c r="AR151" s="284">
        <f>opex_concordance!M543</f>
        <v>0</v>
      </c>
      <c r="AS151" s="188">
        <f>opex_orig!$AM151</f>
        <v>2.4495527498332099E-4</v>
      </c>
      <c r="AT151" s="188">
        <f>opex_orig!AN151</f>
        <v>6.7969700000000005E-4</v>
      </c>
      <c r="AU151" s="188">
        <f>opex_orig!$AO151</f>
        <v>1.02592142149026E-3</v>
      </c>
      <c r="AV151" s="188">
        <f>opex_orig!$AO151</f>
        <v>1.02592142149026E-3</v>
      </c>
      <c r="AW151" s="188">
        <f>opex_orig!$AO151</f>
        <v>1.02592142149026E-3</v>
      </c>
      <c r="AX151" s="188">
        <f>opex_orig!$AP151</f>
        <v>1.58024908945407E-3</v>
      </c>
      <c r="AY151" s="188">
        <f>opex_orig!AQ151</f>
        <v>1.8066779999999999E-3</v>
      </c>
      <c r="AZ151" s="188">
        <f>opex_orig!AR151</f>
        <v>0</v>
      </c>
      <c r="BA151" s="188">
        <f>opex_orig!AS151</f>
        <v>1.0807729999999999E-3</v>
      </c>
      <c r="BB151" s="188">
        <f>opex_orig!AT151</f>
        <v>8.3712299999999995E-4</v>
      </c>
      <c r="BC151" s="188">
        <f>opex_orig!AU151</f>
        <v>1.4913540000000001E-3</v>
      </c>
      <c r="BD151" s="188">
        <f>opex_orig!AV151</f>
        <v>1.14617E-4</v>
      </c>
      <c r="BE151" s="188">
        <f>opex_orig!AW151</f>
        <v>1.2604910000000001E-3</v>
      </c>
      <c r="BF151" s="188">
        <f>opex_orig!AX151</f>
        <v>0</v>
      </c>
      <c r="BG151" s="188">
        <f>opex_orig!AY151</f>
        <v>5.5049799999999996E-4</v>
      </c>
      <c r="BH151" s="188">
        <f>opex_orig!AZ151</f>
        <v>0</v>
      </c>
      <c r="BI151" s="188">
        <f>opex_orig!BA151</f>
        <v>8.9336400000000001E-4</v>
      </c>
      <c r="BJ151" s="188">
        <f>opex_orig!BB151</f>
        <v>1.2793080000000001E-3</v>
      </c>
      <c r="BK151" s="188">
        <f>opex_orig!BC151</f>
        <v>2.0519269999999998E-3</v>
      </c>
      <c r="BL151" s="188">
        <f>opex_orig!BD151</f>
        <v>1.2801699999999999E-4</v>
      </c>
      <c r="BM151" s="188">
        <f>opex_orig!BE151</f>
        <v>2.4504300000000002E-4</v>
      </c>
      <c r="BN151" s="188">
        <f>opex_orig!BF151</f>
        <v>9.1299999999999997E-5</v>
      </c>
      <c r="BO151" s="188">
        <f>opex_orig!BG151</f>
        <v>3.7532599999999999E-4</v>
      </c>
      <c r="BP151" s="188">
        <f>opex_orig!$BH151</f>
        <v>7.0941738088187698E-4</v>
      </c>
      <c r="BQ151" s="188">
        <f>opex_orig!$BH151</f>
        <v>7.0941738088187698E-4</v>
      </c>
      <c r="BR151" s="188">
        <f>opex_orig!BI151</f>
        <v>9.816759999999999E-4</v>
      </c>
      <c r="BS151" s="188">
        <f>opex_orig!BJ151</f>
        <v>3.2180400000000002E-4</v>
      </c>
      <c r="BT151" s="188">
        <f>opex_orig!BK151</f>
        <v>1.668817E-3</v>
      </c>
      <c r="BU151" s="188">
        <f>opex_orig!BL151</f>
        <v>0</v>
      </c>
      <c r="BV151" s="27">
        <f>opex_orig!BM151</f>
        <v>9.06552981922833E-4</v>
      </c>
      <c r="BW151" s="27">
        <f>opex_orig!BN151</f>
        <v>4.31597988665329E-3</v>
      </c>
      <c r="BX151" s="27">
        <f>opex_orig!BO151</f>
        <v>8.9157486830278797E-4</v>
      </c>
      <c r="BY151" s="27">
        <f>opex_orig!BP151</f>
        <v>3.4094000825991501E-3</v>
      </c>
      <c r="BZ151" s="27">
        <f>opex_orig!BQ151</f>
        <v>4.3309313224459202E-4</v>
      </c>
      <c r="CA151" s="27">
        <f>opex_orig!BR151</f>
        <v>1.76900244559416E-5</v>
      </c>
      <c r="CB151" s="27">
        <f>opex_orig!BS151</f>
        <v>7.4462640213385797E-4</v>
      </c>
      <c r="CC151" s="27">
        <f>opex_orig!BT151</f>
        <v>1.02870188231935E-4</v>
      </c>
      <c r="CD151" s="27">
        <f>opex_orig!BU151</f>
        <v>4.7382137204071802E-5</v>
      </c>
      <c r="CE151" s="27">
        <f>opex_orig!BV151</f>
        <v>4.7382137204071897E-5</v>
      </c>
      <c r="CF151" s="27">
        <f>opex_orig!BW151</f>
        <v>4.2682116581145297E-6</v>
      </c>
      <c r="CG151" s="27">
        <f>opex_orig!BX151</f>
        <v>7.4992149924902901E-6</v>
      </c>
      <c r="CH151" s="27">
        <f>opex_orig!BY151</f>
        <v>6.2745877962952505E-8</v>
      </c>
      <c r="CI151" s="27">
        <f>opex_orig!BZ151</f>
        <v>2.2840429999999999E-3</v>
      </c>
      <c r="CJ151" s="27">
        <f>opex_orig!CA151</f>
        <v>8.4203299999999995E-4</v>
      </c>
      <c r="CK151" s="27">
        <f>opex_orig!CB151</f>
        <v>5.7005800000000002E-4</v>
      </c>
      <c r="CL151" s="27">
        <f>opex_orig!CC151</f>
        <v>3.3559399999999999E-4</v>
      </c>
      <c r="CM151" s="27">
        <f>opex_orig!CD151</f>
        <v>1.5528429999999999E-3</v>
      </c>
      <c r="CN151" s="27">
        <f>opex_orig!CE151</f>
        <v>1.0244633E-2</v>
      </c>
      <c r="CO151" s="27">
        <f>opex_orig!CF151</f>
        <v>6.9147100000000003E-4</v>
      </c>
      <c r="CP151" s="27">
        <f>opex_orig!CG151</f>
        <v>2.3148299999999999E-4</v>
      </c>
    </row>
    <row r="152" spans="1:94" x14ac:dyDescent="0.25">
      <c r="A152" s="6" t="s">
        <v>295</v>
      </c>
      <c r="B152" s="2" t="s">
        <v>294</v>
      </c>
      <c r="C152" s="1" t="s">
        <v>335</v>
      </c>
      <c r="D152" s="188">
        <f>opex_orig!D152</f>
        <v>3.6141E-4</v>
      </c>
      <c r="E152" s="188">
        <f>opex_orig!E152</f>
        <v>1.5144299999999999E-4</v>
      </c>
      <c r="F152" s="188">
        <f>opex_orig!F152</f>
        <v>2.4700000000000001E-5</v>
      </c>
      <c r="G152" s="188">
        <f>opex_orig!G152</f>
        <v>5.7300000000000002E-6</v>
      </c>
      <c r="H152" s="188">
        <f>opex_orig!H152</f>
        <v>9.4499999999999993E-6</v>
      </c>
      <c r="I152" s="188">
        <f>opex_orig!I152</f>
        <v>1.09522E-4</v>
      </c>
      <c r="J152" s="188">
        <f>opex_orig!J152</f>
        <v>7.1299999999999998E-5</v>
      </c>
      <c r="K152" s="188">
        <f>opex_orig!K152</f>
        <v>1.5400000000000002E-5</v>
      </c>
      <c r="L152" s="188">
        <f>opex_orig!L152</f>
        <v>1.42516E-4</v>
      </c>
      <c r="M152" s="188">
        <f>opex_orig!M152</f>
        <v>4.0025299999999999E-4</v>
      </c>
      <c r="N152" s="188">
        <f>opex_orig!N152</f>
        <v>9.6061200000000001E-4</v>
      </c>
      <c r="O152" s="188">
        <f>opex_orig!O152</f>
        <v>2.4738000000000001E-4</v>
      </c>
      <c r="P152" s="188">
        <f>opex_orig!P152</f>
        <v>1.5653299999999999E-4</v>
      </c>
      <c r="Q152" s="188">
        <f>opex_orig!Q152</f>
        <v>3.2100000000000001E-5</v>
      </c>
      <c r="R152" s="188">
        <f>opex_orig!R152</f>
        <v>1.9899999999999999E-5</v>
      </c>
      <c r="S152" s="188">
        <f>opex_orig!S152</f>
        <v>3.5099999999999999E-5</v>
      </c>
      <c r="T152" s="188">
        <f>opex_orig!T152</f>
        <v>1.8600000000000001E-5</v>
      </c>
      <c r="U152" s="188">
        <f>opex_orig!U152</f>
        <v>3.0597799999999999E-4</v>
      </c>
      <c r="V152" s="188">
        <f>opex_orig!V152</f>
        <v>5.7236600000000004E-4</v>
      </c>
      <c r="W152" s="188">
        <f>opex_orig!W152</f>
        <v>1.0179900000000001E-4</v>
      </c>
      <c r="X152" s="188">
        <f>opex_orig!X152</f>
        <v>4.1100000000000003E-5</v>
      </c>
      <c r="Y152" s="188">
        <f>opex_orig!Y152</f>
        <v>2.2500000000000001E-5</v>
      </c>
      <c r="Z152" s="188">
        <f>opex_orig!Z152</f>
        <v>8.9499999999999994E-5</v>
      </c>
      <c r="AA152" s="188">
        <f>opex_orig!AA152</f>
        <v>4.6999999999999997E-5</v>
      </c>
      <c r="AB152" s="188">
        <f>opex_orig!$AB152</f>
        <v>3.6122724475254003E-5</v>
      </c>
      <c r="AC152" s="188">
        <f>opex_orig!$AB152</f>
        <v>3.6122724475254003E-5</v>
      </c>
      <c r="AD152" s="188">
        <f>opex_orig!$AB152</f>
        <v>3.6122724475254003E-5</v>
      </c>
      <c r="AE152" s="188">
        <f>opex_orig!$AC152</f>
        <v>3.51658865794856E-3</v>
      </c>
      <c r="AF152" s="188">
        <f>opex_orig!$AD152</f>
        <v>9.9503212743291109E-4</v>
      </c>
      <c r="AG152" s="188">
        <f>opex_orig!$AD152</f>
        <v>9.9503212743291109E-4</v>
      </c>
      <c r="AH152" s="188">
        <f>opex_orig!$AD152</f>
        <v>9.9503212743291109E-4</v>
      </c>
      <c r="AI152" s="188">
        <f>opex_orig!AE152</f>
        <v>7.5445199999999997E-4</v>
      </c>
      <c r="AJ152" s="188">
        <f>opex_orig!AF152</f>
        <v>2.0940499999999999E-4</v>
      </c>
      <c r="AK152" s="188">
        <f>opex_orig!AG152</f>
        <v>3.8500000000000001E-5</v>
      </c>
      <c r="AL152" s="188">
        <f>opex_orig!AH152</f>
        <v>5.4700000000000001E-5</v>
      </c>
      <c r="AM152" s="188">
        <f>opex_orig!AI152</f>
        <v>3.8000000000000002E-5</v>
      </c>
      <c r="AN152" s="188">
        <f>opex_orig!AJ152</f>
        <v>1.04827E-4</v>
      </c>
      <c r="AO152" s="188">
        <f>opex_orig!AK152</f>
        <v>4.6999999999999997E-5</v>
      </c>
      <c r="AP152" s="188">
        <f>opex_orig!$AL152</f>
        <v>1.3512775337577799E-4</v>
      </c>
      <c r="AQ152" s="188">
        <f>opex_orig!$AL152</f>
        <v>1.3512775337577799E-4</v>
      </c>
      <c r="AR152" s="188">
        <f>opex_orig!$AL152</f>
        <v>1.3512775337577799E-4</v>
      </c>
      <c r="AS152" s="188">
        <f>opex_orig!$AM152</f>
        <v>5.0574544437702795E-4</v>
      </c>
      <c r="AT152" s="188">
        <f>opex_orig!AN152</f>
        <v>1.4677399999999999E-4</v>
      </c>
      <c r="AU152" s="188">
        <f>opex_orig!$AO152</f>
        <v>1.9499961782822999E-4</v>
      </c>
      <c r="AV152" s="188">
        <f>opex_orig!$AO152</f>
        <v>1.9499961782822999E-4</v>
      </c>
      <c r="AW152" s="188">
        <f>opex_orig!$AO152</f>
        <v>1.9499961782822999E-4</v>
      </c>
      <c r="AX152" s="188">
        <f>opex_orig!$AP152</f>
        <v>3.1904948747469197E-4</v>
      </c>
      <c r="AY152" s="188">
        <f>opex_orig!AQ152</f>
        <v>3.8755000000000001E-4</v>
      </c>
      <c r="AZ152" s="188">
        <f>opex_orig!AR152</f>
        <v>0</v>
      </c>
      <c r="BA152" s="188">
        <f>opex_orig!AS152</f>
        <v>2.2894899999999999E-4</v>
      </c>
      <c r="BB152" s="188">
        <f>opex_orig!AT152</f>
        <v>1.6331000000000001E-4</v>
      </c>
      <c r="BC152" s="188">
        <f>opex_orig!AU152</f>
        <v>3.6683100000000003E-4</v>
      </c>
      <c r="BD152" s="188">
        <f>opex_orig!AV152</f>
        <v>4.0289999999999998E-4</v>
      </c>
      <c r="BE152" s="188">
        <f>opex_orig!AW152</f>
        <v>2.6685100000000002E-4</v>
      </c>
      <c r="BF152" s="188">
        <f>opex_orig!AX152</f>
        <v>0</v>
      </c>
      <c r="BG152" s="188">
        <f>opex_orig!AY152</f>
        <v>1.03575E-4</v>
      </c>
      <c r="BH152" s="188">
        <f>opex_orig!AZ152</f>
        <v>0</v>
      </c>
      <c r="BI152" s="188">
        <f>opex_orig!BA152</f>
        <v>1.6847100000000001E-4</v>
      </c>
      <c r="BJ152" s="188">
        <f>opex_orig!BB152</f>
        <v>2.2697099999999999E-4</v>
      </c>
      <c r="BK152" s="188">
        <f>opex_orig!BC152</f>
        <v>3.62925E-4</v>
      </c>
      <c r="BL152" s="188">
        <f>opex_orig!BD152</f>
        <v>3.0300000000000001E-5</v>
      </c>
      <c r="BM152" s="188">
        <f>opex_orig!BE152</f>
        <v>4.6199999999999998E-5</v>
      </c>
      <c r="BN152" s="188">
        <f>opex_orig!BF152</f>
        <v>1.9599999999999999E-5</v>
      </c>
      <c r="BO152" s="188">
        <f>opex_orig!BG152</f>
        <v>7.6899999999999999E-5</v>
      </c>
      <c r="BP152" s="188">
        <f>opex_orig!$BH152</f>
        <v>1.2729870880822801E-4</v>
      </c>
      <c r="BQ152" s="188">
        <f>opex_orig!$BH152</f>
        <v>1.2729870880822801E-4</v>
      </c>
      <c r="BR152" s="188">
        <f>opex_orig!BI152</f>
        <v>1.83318E-4</v>
      </c>
      <c r="BS152" s="188">
        <f>opex_orig!BJ152</f>
        <v>6.3600000000000001E-5</v>
      </c>
      <c r="BT152" s="188">
        <f>opex_orig!BK152</f>
        <v>3.1004699999999998E-4</v>
      </c>
      <c r="BU152" s="188">
        <f>opex_orig!BL152</f>
        <v>0</v>
      </c>
      <c r="BV152" s="27">
        <f>opex_orig!BM152</f>
        <v>1.6932946730991E-4</v>
      </c>
      <c r="BW152" s="27">
        <f>opex_orig!BN152</f>
        <v>9.6656315429329497E-4</v>
      </c>
      <c r="BX152" s="27">
        <f>opex_orig!BO152</f>
        <v>1.7124384044226099E-4</v>
      </c>
      <c r="BY152" s="27">
        <f>opex_orig!BP152</f>
        <v>8.3341159985566096E-4</v>
      </c>
      <c r="BZ152" s="27">
        <f>opex_orig!BQ152</f>
        <v>7.6213680567842503E-5</v>
      </c>
      <c r="CA152" s="27">
        <f>opex_orig!BR152</f>
        <v>4.7919268110639304E-6</v>
      </c>
      <c r="CB152" s="27">
        <f>opex_orig!BS152</f>
        <v>1.7331354867221999E-4</v>
      </c>
      <c r="CC152" s="27">
        <f>opex_orig!BT152</f>
        <v>4.2864053637616997E-3</v>
      </c>
      <c r="CD152" s="27">
        <f>opex_orig!BU152</f>
        <v>7.9693628963268797E-6</v>
      </c>
      <c r="CE152" s="27">
        <f>opex_orig!BV152</f>
        <v>7.9693628963268899E-6</v>
      </c>
      <c r="CF152" s="27">
        <f>opex_orig!BW152</f>
        <v>3.9296589954353803E-6</v>
      </c>
      <c r="CG152" s="27">
        <f>opex_orig!BX152</f>
        <v>5.9043087107970504E-6</v>
      </c>
      <c r="CH152" s="27">
        <f>opex_orig!BY152</f>
        <v>2.10514152409404E-6</v>
      </c>
      <c r="CI152" s="27">
        <f>opex_orig!BZ152</f>
        <v>5.1942600000000002E-4</v>
      </c>
      <c r="CJ152" s="27">
        <f>opex_orig!CA152</f>
        <v>1.7230300000000001E-4</v>
      </c>
      <c r="CK152" s="27">
        <f>opex_orig!CB152</f>
        <v>1.08175E-4</v>
      </c>
      <c r="CL152" s="27">
        <f>opex_orig!CC152</f>
        <v>7.6500000000000003E-5</v>
      </c>
      <c r="CM152" s="27">
        <f>opex_orig!CD152</f>
        <v>2.3549899999999999E-4</v>
      </c>
      <c r="CN152" s="27">
        <f>opex_orig!CE152</f>
        <v>1.8284659999999999E-3</v>
      </c>
      <c r="CO152" s="27">
        <f>opex_orig!CF152</f>
        <v>1.2280400000000001E-4</v>
      </c>
      <c r="CP152" s="27">
        <f>opex_orig!CG152</f>
        <v>7.5619800000000003E-4</v>
      </c>
    </row>
    <row r="153" spans="1:94" x14ac:dyDescent="0.25">
      <c r="A153" s="6" t="s">
        <v>297</v>
      </c>
      <c r="B153" s="2" t="s">
        <v>296</v>
      </c>
      <c r="C153" s="1" t="s">
        <v>335</v>
      </c>
      <c r="D153" s="188">
        <f>opex_orig!D153</f>
        <v>5.9800000000000006E-8</v>
      </c>
      <c r="E153" s="188">
        <f>opex_orig!E153</f>
        <v>1.33E-8</v>
      </c>
      <c r="F153" s="188">
        <f>opex_orig!F153</f>
        <v>2.14E-8</v>
      </c>
      <c r="G153" s="188">
        <f>opex_orig!G153</f>
        <v>3.8199999999999996E-9</v>
      </c>
      <c r="H153" s="188">
        <f>opex_orig!H153</f>
        <v>8.6100000000000007E-9</v>
      </c>
      <c r="I153" s="188">
        <f>opex_orig!I153</f>
        <v>1.8699999999999999E-8</v>
      </c>
      <c r="J153" s="188">
        <f>opex_orig!J153</f>
        <v>5.0699999999999997E-8</v>
      </c>
      <c r="K153" s="188">
        <f>opex_orig!K153</f>
        <v>1.1199999999999999E-8</v>
      </c>
      <c r="L153" s="188">
        <f>opex_orig!L153</f>
        <v>6.7099999999999999E-8</v>
      </c>
      <c r="M153" s="188">
        <f>opex_orig!M153</f>
        <v>5.5000000000000003E-8</v>
      </c>
      <c r="N153" s="188">
        <f>opex_orig!N153</f>
        <v>3.7499999999999998E-8</v>
      </c>
      <c r="O153" s="188">
        <f>opex_orig!O153</f>
        <v>3.5399999999999999E-8</v>
      </c>
      <c r="P153" s="188">
        <f>opex_orig!P153</f>
        <v>8.5E-9</v>
      </c>
      <c r="Q153" s="188">
        <f>opex_orig!Q153</f>
        <v>4.5900000000000001E-9</v>
      </c>
      <c r="R153" s="188">
        <f>opex_orig!R153</f>
        <v>5.6599999999999999E-9</v>
      </c>
      <c r="S153" s="188">
        <f>opex_orig!S153</f>
        <v>8.6100000000000007E-9</v>
      </c>
      <c r="T153" s="188">
        <f>opex_orig!T153</f>
        <v>2.85E-8</v>
      </c>
      <c r="U153" s="188">
        <f>opex_orig!U153</f>
        <v>7.61E-9</v>
      </c>
      <c r="V153" s="188">
        <f>opex_orig!V153</f>
        <v>8.4599999999999993E-9</v>
      </c>
      <c r="W153" s="188">
        <f>opex_orig!W153</f>
        <v>3.2600000000000001E-8</v>
      </c>
      <c r="X153" s="188">
        <f>opex_orig!X153</f>
        <v>1.3799999999999999E-8</v>
      </c>
      <c r="Y153" s="188">
        <f>opex_orig!Y153</f>
        <v>2.23E-7</v>
      </c>
      <c r="Z153" s="188">
        <f>opex_orig!Z153</f>
        <v>4.0300000000000004E-9</v>
      </c>
      <c r="AA153" s="188">
        <f>opex_orig!AA153</f>
        <v>3.6500000000000003E-8</v>
      </c>
      <c r="AB153" s="188">
        <f>opex_orig!$AB153</f>
        <v>3.3124385624188101E-7</v>
      </c>
      <c r="AC153" s="188">
        <f>opex_orig!$AB153</f>
        <v>3.3124385624188101E-7</v>
      </c>
      <c r="AD153" s="188">
        <f>opex_orig!$AB153</f>
        <v>3.3124385624188101E-7</v>
      </c>
      <c r="AE153" s="188">
        <f>opex_orig!$AC153</f>
        <v>3.6858164331613297E-8</v>
      </c>
      <c r="AF153" s="188">
        <f>opex_orig!$AD153</f>
        <v>1.79447557831874E-8</v>
      </c>
      <c r="AG153" s="188">
        <f>opex_orig!$AD153</f>
        <v>1.79447557831874E-8</v>
      </c>
      <c r="AH153" s="188">
        <f>opex_orig!$AD153</f>
        <v>1.79447557831874E-8</v>
      </c>
      <c r="AI153" s="188">
        <f>opex_orig!AE153</f>
        <v>1.48E-8</v>
      </c>
      <c r="AJ153" s="188">
        <f>opex_orig!AF153</f>
        <v>2.4999999999999999E-8</v>
      </c>
      <c r="AK153" s="188">
        <f>opex_orig!AG153</f>
        <v>5.6599999999999999E-9</v>
      </c>
      <c r="AL153" s="188">
        <f>opex_orig!AH153</f>
        <v>2.1699999999999999E-8</v>
      </c>
      <c r="AM153" s="188">
        <f>opex_orig!AI153</f>
        <v>1.3000000000000001E-8</v>
      </c>
      <c r="AN153" s="188">
        <f>opex_orig!AJ153</f>
        <v>2.5600000000000001E-8</v>
      </c>
      <c r="AO153" s="188">
        <f>opex_orig!AK153</f>
        <v>1.9799999999999999E-8</v>
      </c>
      <c r="AP153" s="188">
        <f>opex_orig!$AL153</f>
        <v>1.48236781438993E-8</v>
      </c>
      <c r="AQ153" s="188">
        <f>opex_orig!$AL153</f>
        <v>1.48236781438993E-8</v>
      </c>
      <c r="AR153" s="188">
        <f>opex_orig!$AL153</f>
        <v>1.48236781438993E-8</v>
      </c>
      <c r="AS153" s="188">
        <f>opex_orig!$AM153</f>
        <v>1.68812119936103E-8</v>
      </c>
      <c r="AT153" s="188">
        <f>opex_orig!AN153</f>
        <v>1.33E-8</v>
      </c>
      <c r="AU153" s="188">
        <f>opex_orig!$AO153</f>
        <v>4.5260085548045498E-8</v>
      </c>
      <c r="AV153" s="188">
        <f>opex_orig!$AO153</f>
        <v>4.5260085548045498E-8</v>
      </c>
      <c r="AW153" s="188">
        <f>opex_orig!$AO153</f>
        <v>4.5260085548045498E-8</v>
      </c>
      <c r="AX153" s="188">
        <f>opex_orig!$AP153</f>
        <v>1.0647973758409799E-8</v>
      </c>
      <c r="AY153" s="188">
        <f>opex_orig!AQ153</f>
        <v>7.6000000000000002E-9</v>
      </c>
      <c r="AZ153" s="188">
        <f>opex_orig!AR153</f>
        <v>0</v>
      </c>
      <c r="BA153" s="188">
        <f>opex_orig!AS153</f>
        <v>9.8099999999999998E-9</v>
      </c>
      <c r="BB153" s="188">
        <f>opex_orig!AT153</f>
        <v>7.0800000000000004E-9</v>
      </c>
      <c r="BC153" s="188">
        <f>opex_orig!AU153</f>
        <v>4.6299999999999999E-9</v>
      </c>
      <c r="BD153" s="188">
        <f>opex_orig!AV153</f>
        <v>4.4699999999999997E-9</v>
      </c>
      <c r="BE153" s="188">
        <f>opex_orig!AW153</f>
        <v>5.0799999999999998E-9</v>
      </c>
      <c r="BF153" s="188">
        <f>opex_orig!AX153</f>
        <v>0</v>
      </c>
      <c r="BG153" s="188">
        <f>opex_orig!AY153</f>
        <v>2.18E-8</v>
      </c>
      <c r="BH153" s="188">
        <f>opex_orig!AZ153</f>
        <v>0</v>
      </c>
      <c r="BI153" s="188">
        <f>opex_orig!BA153</f>
        <v>1E-8</v>
      </c>
      <c r="BJ153" s="188">
        <f>opex_orig!BB153</f>
        <v>7.8000000000000004E-9</v>
      </c>
      <c r="BK153" s="188">
        <f>opex_orig!BC153</f>
        <v>9.94E-9</v>
      </c>
      <c r="BL153" s="188">
        <f>opex_orig!BD153</f>
        <v>1.73E-9</v>
      </c>
      <c r="BM153" s="188">
        <f>opex_orig!BE153</f>
        <v>6.5899999999999998E-9</v>
      </c>
      <c r="BN153" s="188">
        <f>opex_orig!BF153</f>
        <v>1.74E-9</v>
      </c>
      <c r="BO153" s="188">
        <f>opex_orig!BG153</f>
        <v>6.8800000000000002E-9</v>
      </c>
      <c r="BP153" s="188">
        <f>opex_orig!$BH153</f>
        <v>5.8491541064663598E-9</v>
      </c>
      <c r="BQ153" s="188">
        <f>opex_orig!$BH153</f>
        <v>5.8491541064663598E-9</v>
      </c>
      <c r="BR153" s="188">
        <f>opex_orig!BI153</f>
        <v>3.94E-9</v>
      </c>
      <c r="BS153" s="188">
        <f>opex_orig!BJ153</f>
        <v>1.24E-8</v>
      </c>
      <c r="BT153" s="188">
        <f>opex_orig!BK153</f>
        <v>6.3099999999999999E-9</v>
      </c>
      <c r="BU153" s="188">
        <f>opex_orig!BL153</f>
        <v>0</v>
      </c>
      <c r="BV153" s="27">
        <f>opex_orig!BM153</f>
        <v>5.9684984694976295E-8</v>
      </c>
      <c r="BW153" s="27">
        <f>opex_orig!BN153</f>
        <v>1.35342489055662E-8</v>
      </c>
      <c r="BX153" s="27">
        <f>opex_orig!BO153</f>
        <v>3.1995826005544702E-9</v>
      </c>
      <c r="BY153" s="27">
        <f>opex_orig!BP153</f>
        <v>9.5225606378635995E-9</v>
      </c>
      <c r="BZ153" s="27">
        <f>opex_orig!BQ153</f>
        <v>3.7491506243653902E-8</v>
      </c>
      <c r="CA153" s="27">
        <f>opex_orig!BR153</f>
        <v>2.1966410998050101E-7</v>
      </c>
      <c r="CB153" s="27">
        <f>opex_orig!BS153</f>
        <v>1.00449291662653E-7</v>
      </c>
      <c r="CC153" s="27">
        <f>opex_orig!BT153</f>
        <v>1.18568197719708E-8</v>
      </c>
      <c r="CD153" s="27">
        <f>opex_orig!BU153</f>
        <v>3.8002937281402397E-9</v>
      </c>
      <c r="CE153" s="27">
        <f>opex_orig!BV153</f>
        <v>3.8002937281402496E-9</v>
      </c>
      <c r="CF153" s="27">
        <f>opex_orig!BW153</f>
        <v>1.36619149831936E-8</v>
      </c>
      <c r="CG153" s="27">
        <f>opex_orig!BX153</f>
        <v>4.7866875770247495E-10</v>
      </c>
      <c r="CH153" s="27">
        <f>opex_orig!BY153</f>
        <v>2.7009100532561298E-9</v>
      </c>
      <c r="CI153" s="27">
        <f>opex_orig!BZ153</f>
        <v>8.9600000000000005E-9</v>
      </c>
      <c r="CJ153" s="27">
        <f>opex_orig!CA153</f>
        <v>4.9399999999999999E-9</v>
      </c>
      <c r="CK153" s="27">
        <f>opex_orig!CB153</f>
        <v>4.5399999999999996E-9</v>
      </c>
      <c r="CL153" s="27">
        <f>opex_orig!CC153</f>
        <v>2.1200000000000001E-9</v>
      </c>
      <c r="CM153" s="27">
        <f>opex_orig!CD153</f>
        <v>8.5999999999999993E-9</v>
      </c>
      <c r="CN153" s="27">
        <f>opex_orig!CE153</f>
        <v>3.8300000000000003E-5</v>
      </c>
      <c r="CO153" s="27">
        <f>opex_orig!CF153</f>
        <v>4.2300000000000002E-8</v>
      </c>
      <c r="CP153" s="27">
        <f>opex_orig!CG153</f>
        <v>1.4100000000000001E-8</v>
      </c>
    </row>
    <row r="154" spans="1:94" x14ac:dyDescent="0.25">
      <c r="A154" s="6" t="s">
        <v>299</v>
      </c>
      <c r="B154" s="2" t="s">
        <v>298</v>
      </c>
      <c r="C154" s="1" t="s">
        <v>335</v>
      </c>
      <c r="D154" s="188">
        <f>opex_orig!D154</f>
        <v>4.5905799999999998E-4</v>
      </c>
      <c r="E154" s="188">
        <f>opex_orig!E154</f>
        <v>1.65141E-4</v>
      </c>
      <c r="F154" s="188">
        <f>opex_orig!F154</f>
        <v>1.6490799999999999E-4</v>
      </c>
      <c r="G154" s="188">
        <f>opex_orig!G154</f>
        <v>9.6600000000000007E-6</v>
      </c>
      <c r="H154" s="188">
        <f>opex_orig!H154</f>
        <v>1.6099999999999998E-5</v>
      </c>
      <c r="I154" s="188">
        <f>opex_orig!I154</f>
        <v>1.5862800000000001E-4</v>
      </c>
      <c r="J154" s="188">
        <f>opex_orig!J154</f>
        <v>1.5508300000000001E-4</v>
      </c>
      <c r="K154" s="188">
        <f>opex_orig!K154</f>
        <v>2.5700000000000001E-5</v>
      </c>
      <c r="L154" s="188">
        <f>opex_orig!L154</f>
        <v>2.1560199999999999E-4</v>
      </c>
      <c r="M154" s="188">
        <f>opex_orig!M154</f>
        <v>6.0227900000000005E-4</v>
      </c>
      <c r="N154" s="188">
        <f>opex_orig!N154</f>
        <v>9.4162499999999997E-4</v>
      </c>
      <c r="O154" s="188">
        <f>opex_orig!O154</f>
        <v>3.3530000000000002E-4</v>
      </c>
      <c r="P154" s="188">
        <f>opex_orig!P154</f>
        <v>1.6721499999999999E-4</v>
      </c>
      <c r="Q154" s="188">
        <f>opex_orig!Q154</f>
        <v>7.8499999999999997E-5</v>
      </c>
      <c r="R154" s="188">
        <f>opex_orig!R154</f>
        <v>2.44E-5</v>
      </c>
      <c r="S154" s="188">
        <f>opex_orig!S154</f>
        <v>4.2400000000000001E-5</v>
      </c>
      <c r="T154" s="188">
        <f>opex_orig!T154</f>
        <v>3.15E-5</v>
      </c>
      <c r="U154" s="188">
        <f>opex_orig!U154</f>
        <v>3.6199600000000001E-4</v>
      </c>
      <c r="V154" s="188">
        <f>opex_orig!V154</f>
        <v>6.2190599999999998E-4</v>
      </c>
      <c r="W154" s="188">
        <f>opex_orig!W154</f>
        <v>1.2652799999999999E-4</v>
      </c>
      <c r="X154" s="188">
        <f>opex_orig!X154</f>
        <v>5.3699999999999997E-5</v>
      </c>
      <c r="Y154" s="188">
        <f>opex_orig!Y154</f>
        <v>3.3399999999999999E-5</v>
      </c>
      <c r="Z154" s="188">
        <f>opex_orig!Z154</f>
        <v>1.16698E-4</v>
      </c>
      <c r="AA154" s="188">
        <f>opex_orig!AA154</f>
        <v>8.0900000000000001E-5</v>
      </c>
      <c r="AB154" s="188">
        <f>opex_orig!$AB154</f>
        <v>6.00974610040198E-5</v>
      </c>
      <c r="AC154" s="188">
        <f>opex_orig!$AB154</f>
        <v>6.00974610040198E-5</v>
      </c>
      <c r="AD154" s="188">
        <f>opex_orig!$AB154</f>
        <v>6.00974610040198E-5</v>
      </c>
      <c r="AE154" s="188">
        <f>opex_orig!$AC154</f>
        <v>3.2787202138873702E-3</v>
      </c>
      <c r="AF154" s="188">
        <f>opex_orig!$AD154</f>
        <v>1.19876281626405E-3</v>
      </c>
      <c r="AG154" s="188">
        <f>opex_orig!$AD154</f>
        <v>1.19876281626405E-3</v>
      </c>
      <c r="AH154" s="188">
        <f>opex_orig!$AD154</f>
        <v>1.19876281626405E-3</v>
      </c>
      <c r="AI154" s="188">
        <f>opex_orig!AE154</f>
        <v>9.8096399999999997E-4</v>
      </c>
      <c r="AJ154" s="188">
        <f>opex_orig!AF154</f>
        <v>3.2990599999999998E-4</v>
      </c>
      <c r="AK154" s="188">
        <f>opex_orig!AG154</f>
        <v>5.5000000000000002E-5</v>
      </c>
      <c r="AL154" s="188">
        <f>opex_orig!AH154</f>
        <v>6.1500000000000004E-5</v>
      </c>
      <c r="AM154" s="188">
        <f>opex_orig!AI154</f>
        <v>3.95296E-4</v>
      </c>
      <c r="AN154" s="188">
        <f>opex_orig!AJ154</f>
        <v>1.0030300000000001E-4</v>
      </c>
      <c r="AO154" s="188">
        <f>opex_orig!AK154</f>
        <v>6.5319100000000001E-4</v>
      </c>
      <c r="AP154" s="188">
        <f>opex_orig!$AL154</f>
        <v>1.4631340572300599E-4</v>
      </c>
      <c r="AQ154" s="188">
        <f>opex_orig!$AL154</f>
        <v>1.4631340572300599E-4</v>
      </c>
      <c r="AR154" s="188">
        <f>opex_orig!$AL154</f>
        <v>1.4631340572300599E-4</v>
      </c>
      <c r="AS154" s="188">
        <f>opex_orig!$AM154</f>
        <v>4.5476328950981099E-4</v>
      </c>
      <c r="AT154" s="188">
        <f>opex_orig!AN154</f>
        <v>1.6961E-4</v>
      </c>
      <c r="AU154" s="188">
        <f>opex_orig!$AO154</f>
        <v>3.1085848023983001E-4</v>
      </c>
      <c r="AV154" s="188">
        <f>opex_orig!$AO154</f>
        <v>3.1085848023983001E-4</v>
      </c>
      <c r="AW154" s="188">
        <f>opex_orig!$AO154</f>
        <v>3.1085848023983001E-4</v>
      </c>
      <c r="AX154" s="188">
        <f>opex_orig!$AP154</f>
        <v>4.3920308043526998E-4</v>
      </c>
      <c r="AY154" s="188">
        <f>opex_orig!AQ154</f>
        <v>4.9028299999999999E-4</v>
      </c>
      <c r="AZ154" s="188">
        <f>opex_orig!AR154</f>
        <v>0</v>
      </c>
      <c r="BA154" s="188">
        <f>opex_orig!AS154</f>
        <v>3.00966E-4</v>
      </c>
      <c r="BB154" s="188">
        <f>opex_orig!AT154</f>
        <v>2.5911400000000001E-4</v>
      </c>
      <c r="BC154" s="188">
        <f>opex_orig!AU154</f>
        <v>3.2238299999999998E-4</v>
      </c>
      <c r="BD154" s="188">
        <f>opex_orig!AV154</f>
        <v>3.4757599999999999E-4</v>
      </c>
      <c r="BE154" s="188">
        <f>opex_orig!AW154</f>
        <v>3.3749099999999998E-4</v>
      </c>
      <c r="BF154" s="188">
        <f>opex_orig!AX154</f>
        <v>0</v>
      </c>
      <c r="BG154" s="188">
        <f>opex_orig!AY154</f>
        <v>1.88841E-4</v>
      </c>
      <c r="BH154" s="188">
        <f>opex_orig!AZ154</f>
        <v>0</v>
      </c>
      <c r="BI154" s="188">
        <f>opex_orig!BA154</f>
        <v>2.5232299999999999E-4</v>
      </c>
      <c r="BJ154" s="188">
        <f>opex_orig!BB154</f>
        <v>3.47012E-4</v>
      </c>
      <c r="BK154" s="188">
        <f>opex_orig!BC154</f>
        <v>5.5958600000000005E-4</v>
      </c>
      <c r="BL154" s="188">
        <f>opex_orig!BD154</f>
        <v>3.6999999999999998E-5</v>
      </c>
      <c r="BM154" s="188">
        <f>opex_orig!BE154</f>
        <v>7.1099999999999994E-5</v>
      </c>
      <c r="BN154" s="188">
        <f>opex_orig!BF154</f>
        <v>2.2900000000000001E-5</v>
      </c>
      <c r="BO154" s="188">
        <f>opex_orig!BG154</f>
        <v>1.0135499999999999E-4</v>
      </c>
      <c r="BP154" s="188">
        <f>opex_orig!$BH154</f>
        <v>1.9590367138453099E-4</v>
      </c>
      <c r="BQ154" s="188">
        <f>opex_orig!$BH154</f>
        <v>1.9590367138453099E-4</v>
      </c>
      <c r="BR154" s="188">
        <f>opex_orig!BI154</f>
        <v>2.60683E-4</v>
      </c>
      <c r="BS154" s="188">
        <f>opex_orig!BJ154</f>
        <v>9.3300000000000005E-5</v>
      </c>
      <c r="BT154" s="188">
        <f>opex_orig!BK154</f>
        <v>5.1384399999999995E-4</v>
      </c>
      <c r="BU154" s="188">
        <f>opex_orig!BL154</f>
        <v>0</v>
      </c>
      <c r="BV154" s="27">
        <f>opex_orig!BM154</f>
        <v>2.3533445448944499E-4</v>
      </c>
      <c r="BW154" s="27">
        <f>opex_orig!BN154</f>
        <v>9.2141172416562603E-4</v>
      </c>
      <c r="BX154" s="27">
        <f>opex_orig!BO154</f>
        <v>2.2693953237543299E-4</v>
      </c>
      <c r="BY154" s="27">
        <f>opex_orig!BP154</f>
        <v>7.41883456431368E-4</v>
      </c>
      <c r="BZ154" s="27">
        <f>opex_orig!BQ154</f>
        <v>3.30980313877647E-3</v>
      </c>
      <c r="CA154" s="27">
        <f>opex_orig!BR154</f>
        <v>2.9163671353881902E-6</v>
      </c>
      <c r="CB154" s="27">
        <f>opex_orig!BS154</f>
        <v>2.0828994071538101E-4</v>
      </c>
      <c r="CC154" s="27">
        <f>opex_orig!BT154</f>
        <v>3.0968596744851998E-4</v>
      </c>
      <c r="CD154" s="27">
        <f>opex_orig!BU154</f>
        <v>1.5535380806972601E-5</v>
      </c>
      <c r="CE154" s="27">
        <f>opex_orig!BV154</f>
        <v>1.5535380806972601E-5</v>
      </c>
      <c r="CF154" s="27">
        <f>opex_orig!BW154</f>
        <v>1.59291745929494E-6</v>
      </c>
      <c r="CG154" s="27">
        <f>opex_orig!BX154</f>
        <v>4.1330530822725E-6</v>
      </c>
      <c r="CH154" s="27">
        <f>opex_orig!BY154</f>
        <v>1.6990441657205E-6</v>
      </c>
      <c r="CI154" s="27">
        <f>opex_orig!BZ154</f>
        <v>5.1322399999999995E-4</v>
      </c>
      <c r="CJ154" s="27">
        <f>opex_orig!CA154</f>
        <v>2.0832000000000001E-4</v>
      </c>
      <c r="CK154" s="27">
        <f>opex_orig!CB154</f>
        <v>1.47372E-4</v>
      </c>
      <c r="CL154" s="27">
        <f>opex_orig!CC154</f>
        <v>8.03E-5</v>
      </c>
      <c r="CM154" s="27">
        <f>opex_orig!CD154</f>
        <v>2.72451E-4</v>
      </c>
      <c r="CN154" s="27">
        <f>opex_orig!CE154</f>
        <v>2.738252E-3</v>
      </c>
      <c r="CO154" s="27">
        <f>opex_orig!CF154</f>
        <v>2.33303E-4</v>
      </c>
      <c r="CP154" s="27">
        <f>opex_orig!CG154</f>
        <v>6.62899E-4</v>
      </c>
    </row>
    <row r="155" spans="1:94" x14ac:dyDescent="0.25">
      <c r="A155" s="6" t="s">
        <v>301</v>
      </c>
      <c r="B155" s="2" t="s">
        <v>300</v>
      </c>
      <c r="C155" s="1" t="s">
        <v>335</v>
      </c>
      <c r="D155" s="188">
        <f>opex_orig!D155</f>
        <v>8.87827E-4</v>
      </c>
      <c r="E155" s="188">
        <f>opex_orig!E155</f>
        <v>3.2305600000000001E-4</v>
      </c>
      <c r="F155" s="188">
        <f>opex_orig!F155</f>
        <v>8.0900000000000001E-5</v>
      </c>
      <c r="G155" s="188">
        <f>opex_orig!G155</f>
        <v>1.7900000000000001E-5</v>
      </c>
      <c r="H155" s="188">
        <f>opex_orig!H155</f>
        <v>3.0000000000000001E-5</v>
      </c>
      <c r="I155" s="188">
        <f>opex_orig!I155</f>
        <v>2.9926300000000002E-4</v>
      </c>
      <c r="J155" s="188">
        <f>opex_orig!J155</f>
        <v>2.8236599999999999E-4</v>
      </c>
      <c r="K155" s="188">
        <f>opex_orig!K155</f>
        <v>4.7800000000000003E-5</v>
      </c>
      <c r="L155" s="188">
        <f>opex_orig!L155</f>
        <v>4.0429300000000001E-4</v>
      </c>
      <c r="M155" s="188">
        <f>opex_orig!M155</f>
        <v>1.131347E-3</v>
      </c>
      <c r="N155" s="188">
        <f>opex_orig!N155</f>
        <v>1.8647030000000001E-3</v>
      </c>
      <c r="O155" s="188">
        <f>opex_orig!O155</f>
        <v>6.4103300000000005E-4</v>
      </c>
      <c r="P155" s="188">
        <f>opex_orig!P155</f>
        <v>3.1710700000000001E-4</v>
      </c>
      <c r="Q155" s="188">
        <f>opex_orig!Q155</f>
        <v>4.9200000000000003E-5</v>
      </c>
      <c r="R155" s="188">
        <f>opex_orig!R155</f>
        <v>4.3900000000000003E-5</v>
      </c>
      <c r="S155" s="188">
        <f>opex_orig!S155</f>
        <v>8.1899999999999999E-5</v>
      </c>
      <c r="T155" s="188">
        <f>opex_orig!T155</f>
        <v>5.8400000000000003E-5</v>
      </c>
      <c r="U155" s="188">
        <f>opex_orig!U155</f>
        <v>6.98031E-4</v>
      </c>
      <c r="V155" s="188">
        <f>opex_orig!V155</f>
        <v>1.213371E-3</v>
      </c>
      <c r="W155" s="188">
        <f>opex_orig!W155</f>
        <v>2.41179E-4</v>
      </c>
      <c r="X155" s="188">
        <f>opex_orig!X155</f>
        <v>1.02834E-4</v>
      </c>
      <c r="Y155" s="188">
        <f>opex_orig!Y155</f>
        <v>6.0999999999999999E-5</v>
      </c>
      <c r="Z155" s="188">
        <f>opex_orig!Z155</f>
        <v>2.22766E-4</v>
      </c>
      <c r="AA155" s="188">
        <f>opex_orig!AA155</f>
        <v>1.4192999999999999E-4</v>
      </c>
      <c r="AB155" s="188">
        <f>opex_orig!$AB155</f>
        <v>1.75779615479713E-4</v>
      </c>
      <c r="AC155" s="188">
        <f>opex_orig!$AB155</f>
        <v>1.75779615479713E-4</v>
      </c>
      <c r="AD155" s="188">
        <f>opex_orig!$AB155</f>
        <v>1.75779615479713E-4</v>
      </c>
      <c r="AE155" s="188">
        <f>opex_orig!$AC155</f>
        <v>6.5440124258429903E-3</v>
      </c>
      <c r="AF155" s="188">
        <f>opex_orig!$AD155</f>
        <v>2.3060063501480301E-3</v>
      </c>
      <c r="AG155" s="188">
        <f>opex_orig!$AD155</f>
        <v>2.3060063501480301E-3</v>
      </c>
      <c r="AH155" s="188">
        <f>opex_orig!$AD155</f>
        <v>2.3060063501480301E-3</v>
      </c>
      <c r="AI155" s="188">
        <f>opex_orig!AE155</f>
        <v>1.8678080000000001E-3</v>
      </c>
      <c r="AJ155" s="188">
        <f>opex_orig!AF155</f>
        <v>6.1852000000000001E-4</v>
      </c>
      <c r="AK155" s="188">
        <f>opex_orig!AG155</f>
        <v>1.042E-4</v>
      </c>
      <c r="AL155" s="188">
        <f>opex_orig!AH155</f>
        <v>1.1934699999999999E-4</v>
      </c>
      <c r="AM155" s="188">
        <f>opex_orig!AI155</f>
        <v>7.9468599999999996E-4</v>
      </c>
      <c r="AN155" s="188">
        <f>opex_orig!AJ155</f>
        <v>1.9937899999999999E-4</v>
      </c>
      <c r="AO155" s="188">
        <f>opex_orig!AK155</f>
        <v>1.3182510000000001E-3</v>
      </c>
      <c r="AP155" s="188">
        <f>opex_orig!$AL155</f>
        <v>2.8567617890058202E-4</v>
      </c>
      <c r="AQ155" s="188">
        <f>opex_orig!$AL155</f>
        <v>2.8567617890058202E-4</v>
      </c>
      <c r="AR155" s="188">
        <f>opex_orig!$AL155</f>
        <v>2.8567617890058202E-4</v>
      </c>
      <c r="AS155" s="188">
        <f>opex_orig!$AM155</f>
        <v>9.1403329914841304E-4</v>
      </c>
      <c r="AT155" s="188">
        <f>opex_orig!AN155</f>
        <v>3.2839399999999997E-4</v>
      </c>
      <c r="AU155" s="188">
        <f>opex_orig!$AO155</f>
        <v>5.8404726826616002E-4</v>
      </c>
      <c r="AV155" s="188">
        <f>opex_orig!$AO155</f>
        <v>5.8404726826616002E-4</v>
      </c>
      <c r="AW155" s="188">
        <f>opex_orig!$AO155</f>
        <v>5.8404726826616002E-4</v>
      </c>
      <c r="AX155" s="188">
        <f>opex_orig!$AP155</f>
        <v>8.3863771021095497E-4</v>
      </c>
      <c r="AY155" s="188">
        <f>opex_orig!AQ155</f>
        <v>9.40236E-4</v>
      </c>
      <c r="AZ155" s="188">
        <f>opex_orig!AR155</f>
        <v>0</v>
      </c>
      <c r="BA155" s="188">
        <f>opex_orig!AS155</f>
        <v>5.7917799999999996E-4</v>
      </c>
      <c r="BB155" s="188">
        <f>opex_orig!AT155</f>
        <v>4.9100200000000004E-4</v>
      </c>
      <c r="BC155" s="188">
        <f>opex_orig!AU155</f>
        <v>6.5167600000000001E-4</v>
      </c>
      <c r="BD155" s="188">
        <f>opex_orig!AV155</f>
        <v>7.0493699999999999E-4</v>
      </c>
      <c r="BE155" s="188">
        <f>opex_orig!AW155</f>
        <v>6.5039399999999999E-4</v>
      </c>
      <c r="BF155" s="188">
        <f>opex_orig!AX155</f>
        <v>0</v>
      </c>
      <c r="BG155" s="188">
        <f>opex_orig!AY155</f>
        <v>3.5110300000000002E-4</v>
      </c>
      <c r="BH155" s="188">
        <f>opex_orig!AZ155</f>
        <v>0</v>
      </c>
      <c r="BI155" s="188">
        <f>opex_orig!BA155</f>
        <v>4.7515399999999998E-4</v>
      </c>
      <c r="BJ155" s="188">
        <f>opex_orig!BB155</f>
        <v>6.50422E-4</v>
      </c>
      <c r="BK155" s="188">
        <f>opex_orig!BC155</f>
        <v>1.0500399999999999E-3</v>
      </c>
      <c r="BL155" s="188">
        <f>opex_orig!BD155</f>
        <v>7.5199999999999998E-5</v>
      </c>
      <c r="BM155" s="188">
        <f>opex_orig!BE155</f>
        <v>1.4140999999999999E-4</v>
      </c>
      <c r="BN155" s="188">
        <f>opex_orig!BF155</f>
        <v>4.4199999999999997E-5</v>
      </c>
      <c r="BO155" s="188">
        <f>opex_orig!BG155</f>
        <v>1.9395400000000001E-4</v>
      </c>
      <c r="BP155" s="188">
        <f>opex_orig!$BH155</f>
        <v>3.69167925723472E-4</v>
      </c>
      <c r="BQ155" s="188">
        <f>opex_orig!$BH155</f>
        <v>3.69167925723472E-4</v>
      </c>
      <c r="BR155" s="188">
        <f>opex_orig!BI155</f>
        <v>4.9282299999999998E-4</v>
      </c>
      <c r="BS155" s="188">
        <f>opex_orig!BJ155</f>
        <v>1.7614900000000001E-4</v>
      </c>
      <c r="BT155" s="188">
        <f>opex_orig!BK155</f>
        <v>9.6810400000000001E-4</v>
      </c>
      <c r="BU155" s="188">
        <f>opex_orig!BL155</f>
        <v>0</v>
      </c>
      <c r="BV155" s="27">
        <f>opex_orig!BM155</f>
        <v>4.43155536702237E-4</v>
      </c>
      <c r="BW155" s="27">
        <f>opex_orig!BN155</f>
        <v>1.83405471052581E-3</v>
      </c>
      <c r="BX155" s="27">
        <f>opex_orig!BO155</f>
        <v>4.3143751782531101E-4</v>
      </c>
      <c r="BY155" s="27">
        <f>opex_orig!BP155</f>
        <v>1.49388600936813E-3</v>
      </c>
      <c r="BZ155" s="27">
        <f>opex_orig!BQ155</f>
        <v>2.2234702234125601E-4</v>
      </c>
      <c r="CA155" s="27">
        <f>opex_orig!BR155</f>
        <v>7.45277610514715E-6</v>
      </c>
      <c r="CB155" s="27">
        <f>opex_orig!BS155</f>
        <v>3.2417242088143898E-4</v>
      </c>
      <c r="CC155" s="27">
        <f>opex_orig!BT155</f>
        <v>6.25276723281627E-4</v>
      </c>
      <c r="CD155" s="27">
        <f>opex_orig!BU155</f>
        <v>2.92708586837795E-5</v>
      </c>
      <c r="CE155" s="27">
        <f>opex_orig!BV155</f>
        <v>2.9270858683779601E-5</v>
      </c>
      <c r="CF155" s="27">
        <f>opex_orig!BW155</f>
        <v>3.2735414489275702E-6</v>
      </c>
      <c r="CG155" s="27">
        <f>opex_orig!BX155</f>
        <v>5.5476878097768999E-6</v>
      </c>
      <c r="CH155" s="27">
        <f>opex_orig!BY155</f>
        <v>1.8375001341602801E-6</v>
      </c>
      <c r="CI155" s="27">
        <f>opex_orig!BZ155</f>
        <v>1.016901E-3</v>
      </c>
      <c r="CJ155" s="27">
        <f>opex_orig!CA155</f>
        <v>4.0141800000000001E-4</v>
      </c>
      <c r="CK155" s="27">
        <f>opex_orig!CB155</f>
        <v>2.7997299999999998E-4</v>
      </c>
      <c r="CL155" s="27">
        <f>opex_orig!CC155</f>
        <v>1.57706E-4</v>
      </c>
      <c r="CM155" s="27">
        <f>opex_orig!CD155</f>
        <v>5.3330999999999995E-4</v>
      </c>
      <c r="CN155" s="27">
        <f>opex_orig!CE155</f>
        <v>5.1360080000000001E-3</v>
      </c>
      <c r="CO155" s="27">
        <f>opex_orig!CF155</f>
        <v>4.3637100000000001E-4</v>
      </c>
      <c r="CP155" s="27">
        <f>opex_orig!CG155</f>
        <v>1.336877E-3</v>
      </c>
    </row>
    <row r="156" spans="1:94" x14ac:dyDescent="0.25">
      <c r="A156" s="6" t="s">
        <v>303</v>
      </c>
      <c r="B156" s="2" t="s">
        <v>302</v>
      </c>
      <c r="C156" s="1" t="s">
        <v>335</v>
      </c>
      <c r="D156" s="188">
        <f>opex_orig!D156</f>
        <v>6.9707000000000005E-4</v>
      </c>
      <c r="E156" s="188">
        <f>opex_orig!E156</f>
        <v>7.3923700000000001E-4</v>
      </c>
      <c r="F156" s="188">
        <f>opex_orig!F156</f>
        <v>1.1307900000000001E-4</v>
      </c>
      <c r="G156" s="188">
        <f>opex_orig!G156</f>
        <v>2.48E-5</v>
      </c>
      <c r="H156" s="188">
        <f>opex_orig!H156</f>
        <v>4.1600000000000002E-5</v>
      </c>
      <c r="I156" s="188">
        <f>opex_orig!I156</f>
        <v>4.7487099999999997E-4</v>
      </c>
      <c r="J156" s="188">
        <f>opex_orig!J156</f>
        <v>3.9058499999999999E-4</v>
      </c>
      <c r="K156" s="188">
        <f>opex_orig!K156</f>
        <v>6.6299999999999999E-5</v>
      </c>
      <c r="L156" s="188">
        <f>opex_orig!L156</f>
        <v>6.00561E-4</v>
      </c>
      <c r="M156" s="188">
        <f>opex_orig!M156</f>
        <v>1.6706609999999999E-3</v>
      </c>
      <c r="N156" s="188">
        <f>opex_orig!N156</f>
        <v>4.7147619999999999E-3</v>
      </c>
      <c r="O156" s="188">
        <f>opex_orig!O156</f>
        <v>1.2280850000000001E-3</v>
      </c>
      <c r="P156" s="188">
        <f>opex_orig!P156</f>
        <v>5.1373100000000002E-4</v>
      </c>
      <c r="Q156" s="188">
        <f>opex_orig!Q156</f>
        <v>7.6500000000000003E-5</v>
      </c>
      <c r="R156" s="188">
        <f>opex_orig!R156</f>
        <v>5.94E-5</v>
      </c>
      <c r="S156" s="188">
        <f>opex_orig!S156</f>
        <v>1.72564E-4</v>
      </c>
      <c r="T156" s="188">
        <f>opex_orig!T156</f>
        <v>8.2700000000000004E-5</v>
      </c>
      <c r="U156" s="188">
        <f>opex_orig!U156</f>
        <v>1.3881290000000001E-3</v>
      </c>
      <c r="V156" s="188">
        <f>opex_orig!V156</f>
        <v>2.679617E-3</v>
      </c>
      <c r="W156" s="188">
        <f>opex_orig!W156</f>
        <v>4.4044599999999999E-4</v>
      </c>
      <c r="X156" s="188">
        <f>opex_orig!X156</f>
        <v>2.0505400000000001E-4</v>
      </c>
      <c r="Y156" s="188">
        <f>opex_orig!Y156</f>
        <v>8.4699999999999999E-5</v>
      </c>
      <c r="Z156" s="188">
        <f>opex_orig!Z156</f>
        <v>5.0925799999999995E-4</v>
      </c>
      <c r="AA156" s="188">
        <f>opex_orig!AA156</f>
        <v>1.9376500000000001E-4</v>
      </c>
      <c r="AB156" s="188">
        <f>opex_orig!$AB156</f>
        <v>2.8991103986343098E-4</v>
      </c>
      <c r="AC156" s="188">
        <f>opex_orig!$AB156</f>
        <v>2.8991103986343098E-4</v>
      </c>
      <c r="AD156" s="188">
        <f>opex_orig!$AB156</f>
        <v>2.8991103986343098E-4</v>
      </c>
      <c r="AE156" s="188">
        <f>opex_orig!$AC156</f>
        <v>1.7375960445600001E-2</v>
      </c>
      <c r="AF156" s="188">
        <f>opex_orig!$AD156</f>
        <v>4.4715935971112999E-3</v>
      </c>
      <c r="AG156" s="188">
        <f>opex_orig!$AD156</f>
        <v>4.4715935971112999E-3</v>
      </c>
      <c r="AH156" s="188">
        <f>opex_orig!$AD156</f>
        <v>4.4715935971112999E-3</v>
      </c>
      <c r="AI156" s="188">
        <f>opex_orig!AE156</f>
        <v>3.24968E-3</v>
      </c>
      <c r="AJ156" s="188">
        <f>opex_orig!AF156</f>
        <v>8.8707599999999999E-4</v>
      </c>
      <c r="AK156" s="188">
        <f>opex_orig!AG156</f>
        <v>1.67999E-4</v>
      </c>
      <c r="AL156" s="188">
        <f>opex_orig!AH156</f>
        <v>2.7130999999999998E-4</v>
      </c>
      <c r="AM156" s="188">
        <f>opex_orig!AI156</f>
        <v>1.7002200000000001E-4</v>
      </c>
      <c r="AN156" s="188">
        <f>opex_orig!AJ156</f>
        <v>5.2481700000000001E-4</v>
      </c>
      <c r="AO156" s="188">
        <f>opex_orig!AK156</f>
        <v>2.0376300000000001E-4</v>
      </c>
      <c r="AP156" s="188">
        <f>opex_orig!$AL156</f>
        <v>6.5255405964827597E-4</v>
      </c>
      <c r="AQ156" s="188">
        <f>opex_orig!$AL156</f>
        <v>6.5255405964827597E-4</v>
      </c>
      <c r="AR156" s="188">
        <f>opex_orig!$AL156</f>
        <v>6.5255405964827597E-4</v>
      </c>
      <c r="AS156" s="188">
        <f>opex_orig!$AM156</f>
        <v>1.9103215063761699E-4</v>
      </c>
      <c r="AT156" s="188">
        <f>opex_orig!AN156</f>
        <v>6.9379000000000001E-4</v>
      </c>
      <c r="AU156" s="188">
        <f>opex_orig!$AO156</f>
        <v>9.0770493286724998E-4</v>
      </c>
      <c r="AV156" s="188">
        <f>opex_orig!$AO156</f>
        <v>9.0770493286724998E-4</v>
      </c>
      <c r="AW156" s="188">
        <f>opex_orig!$AO156</f>
        <v>9.0770493286724998E-4</v>
      </c>
      <c r="AX156" s="188">
        <f>opex_orig!$AP156</f>
        <v>1.5359243953784001E-3</v>
      </c>
      <c r="AY156" s="188">
        <f>opex_orig!AQ156</f>
        <v>1.777215E-3</v>
      </c>
      <c r="AZ156" s="188">
        <f>opex_orig!AR156</f>
        <v>0</v>
      </c>
      <c r="BA156" s="188">
        <f>opex_orig!AS156</f>
        <v>1.1616409999999999E-3</v>
      </c>
      <c r="BB156" s="188">
        <f>opex_orig!AT156</f>
        <v>8.4000199999999996E-4</v>
      </c>
      <c r="BC156" s="188">
        <f>opex_orig!AU156</f>
        <v>1.854117E-3</v>
      </c>
      <c r="BD156" s="188">
        <f>opex_orig!AV156</f>
        <v>8.0900000000000001E-5</v>
      </c>
      <c r="BE156" s="188">
        <f>opex_orig!AW156</f>
        <v>1.352107E-3</v>
      </c>
      <c r="BF156" s="188">
        <f>opex_orig!AX156</f>
        <v>0</v>
      </c>
      <c r="BG156" s="188">
        <f>opex_orig!AY156</f>
        <v>4.9199599999999997E-4</v>
      </c>
      <c r="BH156" s="188">
        <f>opex_orig!AZ156</f>
        <v>0</v>
      </c>
      <c r="BI156" s="188">
        <f>opex_orig!BA156</f>
        <v>7.3457600000000002E-4</v>
      </c>
      <c r="BJ156" s="188">
        <f>opex_orig!BB156</f>
        <v>9.1581699999999998E-4</v>
      </c>
      <c r="BK156" s="188">
        <f>opex_orig!BC156</f>
        <v>1.460774E-3</v>
      </c>
      <c r="BL156" s="188">
        <f>opex_orig!BD156</f>
        <v>1.20862E-4</v>
      </c>
      <c r="BM156" s="188">
        <f>opex_orig!BE156</f>
        <v>2.0387399999999999E-4</v>
      </c>
      <c r="BN156" s="188">
        <f>opex_orig!BF156</f>
        <v>8.0799999999999999E-5</v>
      </c>
      <c r="BO156" s="188">
        <f>opex_orig!BG156</f>
        <v>3.5260700000000001E-4</v>
      </c>
      <c r="BP156" s="188">
        <f>opex_orig!$BH156</f>
        <v>5.1405708517077197E-4</v>
      </c>
      <c r="BQ156" s="188">
        <f>opex_orig!$BH156</f>
        <v>5.1405708517077197E-4</v>
      </c>
      <c r="BR156" s="188">
        <f>opex_orig!BI156</f>
        <v>7.6133099999999997E-4</v>
      </c>
      <c r="BS156" s="188">
        <f>opex_orig!BJ156</f>
        <v>3.0819700000000002E-4</v>
      </c>
      <c r="BT156" s="188">
        <f>opex_orig!BK156</f>
        <v>1.516454E-3</v>
      </c>
      <c r="BU156" s="188">
        <f>opex_orig!BL156</f>
        <v>0</v>
      </c>
      <c r="BV156" s="27">
        <f>opex_orig!BM156</f>
        <v>6.9135370975218597E-4</v>
      </c>
      <c r="BW156" s="27">
        <f>opex_orig!BN156</f>
        <v>4.7477773061178497E-3</v>
      </c>
      <c r="BX156" s="27">
        <f>opex_orig!BO156</f>
        <v>7.2964137879135099E-4</v>
      </c>
      <c r="BY156" s="27">
        <f>opex_orig!BP156</f>
        <v>4.1797246635399098E-3</v>
      </c>
      <c r="BZ156" s="27">
        <f>opex_orig!BQ156</f>
        <v>3.0727488364640302E-4</v>
      </c>
      <c r="CA156" s="27">
        <f>opex_orig!BR156</f>
        <v>3.58614301365673E-6</v>
      </c>
      <c r="CB156" s="27">
        <f>opex_orig!BS156</f>
        <v>4.5025273427052898E-4</v>
      </c>
      <c r="CC156" s="27">
        <f>opex_orig!BT156</f>
        <v>8.5120931893341599E-5</v>
      </c>
      <c r="CD156" s="27">
        <f>opex_orig!BU156</f>
        <v>4.0212646970507597E-5</v>
      </c>
      <c r="CE156" s="27">
        <f>opex_orig!BV156</f>
        <v>4.0212646970507801E-5</v>
      </c>
      <c r="CF156" s="27">
        <f>opex_orig!BW156</f>
        <v>5.9407479125004303E-6</v>
      </c>
      <c r="CG156" s="27">
        <f>opex_orig!BX156</f>
        <v>5.6119771733730298E-6</v>
      </c>
      <c r="CH156" s="27">
        <f>opex_orig!BY156</f>
        <v>3.3365552552091599E-6</v>
      </c>
      <c r="CI156" s="27">
        <f>opex_orig!BZ156</f>
        <v>2.528481E-3</v>
      </c>
      <c r="CJ156" s="27">
        <f>opex_orig!CA156</f>
        <v>7.8226599999999999E-4</v>
      </c>
      <c r="CK156" s="27">
        <f>opex_orig!CB156</f>
        <v>4.61638E-4</v>
      </c>
      <c r="CL156" s="27">
        <f>opex_orig!CC156</f>
        <v>3.6790500000000002E-4</v>
      </c>
      <c r="CM156" s="27">
        <f>opex_orig!CD156</f>
        <v>1.102699E-3</v>
      </c>
      <c r="CN156" s="27">
        <f>opex_orig!CE156</f>
        <v>7.3718589999999997E-3</v>
      </c>
      <c r="CO156" s="27">
        <f>opex_orig!CF156</f>
        <v>6.1086500000000004E-4</v>
      </c>
      <c r="CP156" s="27">
        <f>opex_orig!CG156</f>
        <v>3.8294660000000001E-3</v>
      </c>
    </row>
    <row r="157" spans="1:94" x14ac:dyDescent="0.25">
      <c r="A157" s="6" t="s">
        <v>305</v>
      </c>
      <c r="B157" s="2" t="s">
        <v>304</v>
      </c>
      <c r="C157" s="1" t="s">
        <v>335</v>
      </c>
      <c r="D157" s="188">
        <f>opex_orig!D157</f>
        <v>4.7901999999999998E-4</v>
      </c>
      <c r="E157" s="188">
        <f>opex_orig!E157</f>
        <v>3.9701500000000002E-4</v>
      </c>
      <c r="F157" s="188">
        <f>opex_orig!F157</f>
        <v>7.7899999999999996E-5</v>
      </c>
      <c r="G157" s="188">
        <f>opex_orig!G157</f>
        <v>1.73E-5</v>
      </c>
      <c r="H157" s="188">
        <f>opex_orig!H157</f>
        <v>2.87E-5</v>
      </c>
      <c r="I157" s="188">
        <f>opex_orig!I157</f>
        <v>3.0340199999999998E-4</v>
      </c>
      <c r="J157" s="188">
        <f>opex_orig!J157</f>
        <v>2.7058399999999998E-4</v>
      </c>
      <c r="K157" s="188">
        <f>opex_orig!K157</f>
        <v>4.5899999999999998E-5</v>
      </c>
      <c r="L157" s="188">
        <f>opex_orig!L157</f>
        <v>3.97768E-4</v>
      </c>
      <c r="M157" s="188">
        <f>opex_orig!M157</f>
        <v>1.1072969999999999E-3</v>
      </c>
      <c r="N157" s="188">
        <f>opex_orig!N157</f>
        <v>2.428188E-3</v>
      </c>
      <c r="O157" s="188">
        <f>opex_orig!O157</f>
        <v>7.1870500000000004E-4</v>
      </c>
      <c r="P157" s="188">
        <f>opex_orig!P157</f>
        <v>3.2418099999999999E-4</v>
      </c>
      <c r="Q157" s="188">
        <f>opex_orig!Q157</f>
        <v>5.5000000000000002E-5</v>
      </c>
      <c r="R157" s="188">
        <f>opex_orig!R157</f>
        <v>4.1699999999999997E-5</v>
      </c>
      <c r="S157" s="188">
        <f>opex_orig!S157</f>
        <v>9.7999999999999997E-5</v>
      </c>
      <c r="T157" s="188">
        <f>opex_orig!T157</f>
        <v>5.77E-5</v>
      </c>
      <c r="U157" s="188">
        <f>opex_orig!U157</f>
        <v>7.9353300000000002E-4</v>
      </c>
      <c r="V157" s="188">
        <f>opex_orig!V157</f>
        <v>1.4602250000000001E-3</v>
      </c>
      <c r="W157" s="188">
        <f>opex_orig!W157</f>
        <v>2.6311800000000001E-4</v>
      </c>
      <c r="X157" s="188">
        <f>opex_orig!X157</f>
        <v>1.20642E-4</v>
      </c>
      <c r="Y157" s="188">
        <f>opex_orig!Y157</f>
        <v>5.7299999999999997E-5</v>
      </c>
      <c r="Z157" s="188">
        <f>opex_orig!Z157</f>
        <v>3.3895000000000003E-4</v>
      </c>
      <c r="AA157" s="188">
        <f>opex_orig!AA157</f>
        <v>1.37269E-4</v>
      </c>
      <c r="AB157" s="188">
        <f>opex_orig!$AB157</f>
        <v>1.7018294170267301E-4</v>
      </c>
      <c r="AC157" s="188">
        <f>opex_orig!$AB157</f>
        <v>1.7018294170267301E-4</v>
      </c>
      <c r="AD157" s="188">
        <f>opex_orig!$AB157</f>
        <v>1.7018294170267301E-4</v>
      </c>
      <c r="AE157" s="188">
        <f>opex_orig!$AC157</f>
        <v>8.7720385080731194E-3</v>
      </c>
      <c r="AF157" s="188">
        <f>opex_orig!$AD157</f>
        <v>2.5827499330849401E-3</v>
      </c>
      <c r="AG157" s="188">
        <f>opex_orig!$AD157</f>
        <v>2.5827499330849401E-3</v>
      </c>
      <c r="AH157" s="188">
        <f>opex_orig!$AD157</f>
        <v>2.5827499330849401E-3</v>
      </c>
      <c r="AI157" s="188">
        <f>opex_orig!AE157</f>
        <v>1.977389E-3</v>
      </c>
      <c r="AJ157" s="188">
        <f>opex_orig!AF157</f>
        <v>6.0040199999999999E-4</v>
      </c>
      <c r="AK157" s="188">
        <f>opex_orig!AG157</f>
        <v>1.07865E-4</v>
      </c>
      <c r="AL157" s="188">
        <f>opex_orig!AH157</f>
        <v>1.5752600000000001E-4</v>
      </c>
      <c r="AM157" s="188">
        <f>opex_orig!AI157</f>
        <v>1.17812E-4</v>
      </c>
      <c r="AN157" s="188">
        <f>opex_orig!AJ157</f>
        <v>2.7084599999999999E-4</v>
      </c>
      <c r="AO157" s="188">
        <f>opex_orig!AK157</f>
        <v>1.41772E-4</v>
      </c>
      <c r="AP157" s="188">
        <f>opex_orig!$AL157</f>
        <v>3.52067367083704E-4</v>
      </c>
      <c r="AQ157" s="188">
        <f>opex_orig!$AL157</f>
        <v>3.52067367083704E-4</v>
      </c>
      <c r="AR157" s="188">
        <f>opex_orig!$AL157</f>
        <v>3.52067367083704E-4</v>
      </c>
      <c r="AS157" s="188">
        <f>opex_orig!$AM157</f>
        <v>1.3196219483485399E-4</v>
      </c>
      <c r="AT157" s="188">
        <f>opex_orig!AN157</f>
        <v>3.89081E-4</v>
      </c>
      <c r="AU157" s="188">
        <f>opex_orig!$AO157</f>
        <v>5.8526037394860395E-4</v>
      </c>
      <c r="AV157" s="188">
        <f>opex_orig!$AO157</f>
        <v>5.8526037394860395E-4</v>
      </c>
      <c r="AW157" s="188">
        <f>opex_orig!$AO157</f>
        <v>5.8526037394860395E-4</v>
      </c>
      <c r="AX157" s="188">
        <f>opex_orig!$AP157</f>
        <v>9.1321580100747995E-4</v>
      </c>
      <c r="AY157" s="188">
        <f>opex_orig!AQ157</f>
        <v>1.038258E-3</v>
      </c>
      <c r="AZ157" s="188">
        <f>opex_orig!AR157</f>
        <v>0</v>
      </c>
      <c r="BA157" s="188">
        <f>opex_orig!AS157</f>
        <v>6.6460800000000002E-4</v>
      </c>
      <c r="BB157" s="188">
        <f>opex_orig!AT157</f>
        <v>5.1970599999999999E-4</v>
      </c>
      <c r="BC157" s="188">
        <f>opex_orig!AU157</f>
        <v>9.1173600000000001E-4</v>
      </c>
      <c r="BD157" s="188">
        <f>opex_orig!AV157</f>
        <v>5.5999999999999999E-5</v>
      </c>
      <c r="BE157" s="188">
        <f>opex_orig!AW157</f>
        <v>7.90812E-4</v>
      </c>
      <c r="BF157" s="188">
        <f>opex_orig!AX157</f>
        <v>0</v>
      </c>
      <c r="BG157" s="188">
        <f>opex_orig!AY157</f>
        <v>3.4501300000000003E-4</v>
      </c>
      <c r="BH157" s="188">
        <f>opex_orig!AZ157</f>
        <v>0</v>
      </c>
      <c r="BI157" s="188">
        <f>opex_orig!BA157</f>
        <v>4.7686000000000001E-4</v>
      </c>
      <c r="BJ157" s="188">
        <f>opex_orig!BB157</f>
        <v>6.2354000000000001E-4</v>
      </c>
      <c r="BK157" s="188">
        <f>opex_orig!BC157</f>
        <v>9.9850500000000001E-4</v>
      </c>
      <c r="BL157" s="188">
        <f>opex_orig!BD157</f>
        <v>7.5799999999999999E-5</v>
      </c>
      <c r="BM157" s="188">
        <f>opex_orig!BE157</f>
        <v>1.3647900000000001E-4</v>
      </c>
      <c r="BN157" s="188">
        <f>opex_orig!BF157</f>
        <v>4.7200000000000002E-5</v>
      </c>
      <c r="BO157" s="188">
        <f>opex_orig!BG157</f>
        <v>2.11084E-4</v>
      </c>
      <c r="BP157" s="188">
        <f>opex_orig!$BH157</f>
        <v>3.5283240885361299E-4</v>
      </c>
      <c r="BQ157" s="188">
        <f>opex_orig!$BH157</f>
        <v>3.5283240885361299E-4</v>
      </c>
      <c r="BR157" s="188">
        <f>opex_orig!BI157</f>
        <v>4.9329799999999998E-4</v>
      </c>
      <c r="BS157" s="188">
        <f>opex_orig!BJ157</f>
        <v>2.0016000000000001E-4</v>
      </c>
      <c r="BT157" s="188">
        <f>opex_orig!BK157</f>
        <v>9.7698100000000003E-4</v>
      </c>
      <c r="BU157" s="188">
        <f>opex_orig!BL157</f>
        <v>0</v>
      </c>
      <c r="BV157" s="27">
        <f>opex_orig!BM157</f>
        <v>4.4324302003774502E-4</v>
      </c>
      <c r="BW157" s="27">
        <f>opex_orig!BN157</f>
        <v>2.4212579089995601E-3</v>
      </c>
      <c r="BX157" s="27">
        <f>opex_orig!BO157</f>
        <v>4.5044097314015302E-4</v>
      </c>
      <c r="BY157" s="27">
        <f>opex_orig!BP157</f>
        <v>2.0678779877519701E-3</v>
      </c>
      <c r="BZ157" s="27">
        <f>opex_orig!BQ157</f>
        <v>2.12076564350015E-4</v>
      </c>
      <c r="CA157" s="27">
        <f>opex_orig!BR157</f>
        <v>2.5373068295384999E-6</v>
      </c>
      <c r="CB157" s="27">
        <f>opex_orig!BS157</f>
        <v>3.12448134508119E-4</v>
      </c>
      <c r="CC157" s="27">
        <f>opex_orig!BT157</f>
        <v>1.3564830593289399E-4</v>
      </c>
      <c r="CD157" s="27">
        <f>opex_orig!BU157</f>
        <v>2.78260725717538E-5</v>
      </c>
      <c r="CE157" s="27">
        <f>opex_orig!BV157</f>
        <v>2.7826072571753698E-5</v>
      </c>
      <c r="CF157" s="27">
        <f>opex_orig!BW157</f>
        <v>6.2280127523064099E-6</v>
      </c>
      <c r="CG157" s="27">
        <f>opex_orig!BX157</f>
        <v>5.0951320917932E-6</v>
      </c>
      <c r="CH157" s="27">
        <f>opex_orig!BY157</f>
        <v>1.06490403504606E-5</v>
      </c>
      <c r="CI157" s="27">
        <f>opex_orig!BZ157</f>
        <v>1.3103030000000001E-3</v>
      </c>
      <c r="CJ157" s="27">
        <f>opex_orig!CA157</f>
        <v>4.5096099999999999E-4</v>
      </c>
      <c r="CK157" s="27">
        <f>opex_orig!CB157</f>
        <v>2.8874800000000002E-4</v>
      </c>
      <c r="CL157" s="27">
        <f>opex_orig!CC157</f>
        <v>1.9595100000000001E-4</v>
      </c>
      <c r="CM157" s="27">
        <f>opex_orig!CD157</f>
        <v>6.17156E-4</v>
      </c>
      <c r="CN157" s="27">
        <f>opex_orig!CE157</f>
        <v>4.955877E-3</v>
      </c>
      <c r="CO157" s="27">
        <f>opex_orig!CF157</f>
        <v>4.1694799999999999E-4</v>
      </c>
      <c r="CP157" s="27">
        <f>opex_orig!CG157</f>
        <v>1.8783809999999999E-3</v>
      </c>
    </row>
    <row r="158" spans="1:94" x14ac:dyDescent="0.25">
      <c r="A158" s="6" t="s">
        <v>307</v>
      </c>
      <c r="B158" s="2" t="s">
        <v>306</v>
      </c>
      <c r="C158" s="1" t="s">
        <v>335</v>
      </c>
      <c r="D158" s="188">
        <f>opex_orig!D158</f>
        <v>5.94E-5</v>
      </c>
      <c r="E158" s="188">
        <f>opex_orig!E158</f>
        <v>1.2505700000000001E-4</v>
      </c>
      <c r="F158" s="188">
        <f>opex_orig!F158</f>
        <v>1.04E-5</v>
      </c>
      <c r="G158" s="188">
        <f>opex_orig!G158</f>
        <v>2.6199999999999999E-6</v>
      </c>
      <c r="H158" s="188">
        <f>opex_orig!H158</f>
        <v>5.1399999999999999E-6</v>
      </c>
      <c r="I158" s="188">
        <f>opex_orig!I158</f>
        <v>5.2800000000000003E-5</v>
      </c>
      <c r="J158" s="188">
        <f>opex_orig!J158</f>
        <v>3.3699999999999999E-5</v>
      </c>
      <c r="K158" s="188">
        <f>opex_orig!K158</f>
        <v>7.4900000000000003E-6</v>
      </c>
      <c r="L158" s="188">
        <f>opex_orig!L158</f>
        <v>5.9599999999999999E-5</v>
      </c>
      <c r="M158" s="188">
        <f>opex_orig!M158</f>
        <v>1.60085E-4</v>
      </c>
      <c r="N158" s="188">
        <f>opex_orig!N158</f>
        <v>6.5300000000000002E-5</v>
      </c>
      <c r="O158" s="188">
        <f>opex_orig!O158</f>
        <v>1.81977E-4</v>
      </c>
      <c r="P158" s="188">
        <f>opex_orig!P158</f>
        <v>6.0900000000000003E-5</v>
      </c>
      <c r="Q158" s="188">
        <f>opex_orig!Q158</f>
        <v>1.5E-5</v>
      </c>
      <c r="R158" s="188">
        <f>opex_orig!R158</f>
        <v>7.7200000000000006E-6</v>
      </c>
      <c r="S158" s="188">
        <f>opex_orig!S158</f>
        <v>2.8900000000000001E-5</v>
      </c>
      <c r="T158" s="188">
        <f>opex_orig!T158</f>
        <v>1.11E-5</v>
      </c>
      <c r="U158" s="188">
        <f>opex_orig!U158</f>
        <v>2.06937E-4</v>
      </c>
      <c r="V158" s="188">
        <f>opex_orig!V158</f>
        <v>4.3846899999999998E-4</v>
      </c>
      <c r="W158" s="188">
        <f>opex_orig!W158</f>
        <v>6.0900000000000003E-5</v>
      </c>
      <c r="X158" s="188">
        <f>opex_orig!X158</f>
        <v>3.4700000000000003E-5</v>
      </c>
      <c r="Y158" s="188">
        <f>opex_orig!Y158</f>
        <v>8.2500000000000006E-6</v>
      </c>
      <c r="Z158" s="188">
        <f>opex_orig!Z158</f>
        <v>1.53172E-4</v>
      </c>
      <c r="AA158" s="188">
        <f>opex_orig!AA158</f>
        <v>2.8600000000000001E-5</v>
      </c>
      <c r="AB158" s="188">
        <f>opex_orig!$AB158</f>
        <v>2.3514239141681801E-5</v>
      </c>
      <c r="AC158" s="188">
        <f>opex_orig!$AB158</f>
        <v>2.3514239141681801E-5</v>
      </c>
      <c r="AD158" s="188">
        <f>opex_orig!$AB158</f>
        <v>2.3514239141681801E-5</v>
      </c>
      <c r="AE158" s="188">
        <f>opex_orig!$AC158</f>
        <v>1.6716436963089799E-4</v>
      </c>
      <c r="AF158" s="188">
        <f>opex_orig!$AD158</f>
        <v>6.4446358509226095E-4</v>
      </c>
      <c r="AG158" s="188">
        <f>opex_orig!$AD158</f>
        <v>6.4446358509226095E-4</v>
      </c>
      <c r="AH158" s="188">
        <f>opex_orig!$AD158</f>
        <v>6.4446358509226095E-4</v>
      </c>
      <c r="AI158" s="188">
        <f>opex_orig!AE158</f>
        <v>4.1050599999999999E-4</v>
      </c>
      <c r="AJ158" s="188">
        <f>opex_orig!AF158</f>
        <v>8.0099999999999995E-5</v>
      </c>
      <c r="AK158" s="188">
        <f>opex_orig!AG158</f>
        <v>2.0100000000000001E-5</v>
      </c>
      <c r="AL158" s="188">
        <f>opex_orig!AH158</f>
        <v>5.7200000000000001E-5</v>
      </c>
      <c r="AM158" s="188">
        <f>opex_orig!AI158</f>
        <v>1.5500000000000001E-5</v>
      </c>
      <c r="AN158" s="188">
        <f>opex_orig!AJ158</f>
        <v>9.7600000000000001E-5</v>
      </c>
      <c r="AO158" s="188">
        <f>opex_orig!AK158</f>
        <v>1.8600000000000001E-5</v>
      </c>
      <c r="AP158" s="188">
        <f>opex_orig!$AL158</f>
        <v>1.1006166006732599E-4</v>
      </c>
      <c r="AQ158" s="188">
        <f>opex_orig!$AL158</f>
        <v>1.1006166006732599E-4</v>
      </c>
      <c r="AR158" s="188">
        <f>opex_orig!$AL158</f>
        <v>1.1006166006732599E-4</v>
      </c>
      <c r="AS158" s="188">
        <f>opex_orig!$AM158</f>
        <v>1.7025550726392001E-5</v>
      </c>
      <c r="AT158" s="188">
        <f>opex_orig!AN158</f>
        <v>1.09815E-4</v>
      </c>
      <c r="AU158" s="188">
        <f>opex_orig!$AO158</f>
        <v>9.6434465253483897E-5</v>
      </c>
      <c r="AV158" s="188">
        <f>opex_orig!$AO158</f>
        <v>9.6434465253483897E-5</v>
      </c>
      <c r="AW158" s="188">
        <f>opex_orig!$AO158</f>
        <v>9.6434465253483897E-5</v>
      </c>
      <c r="AX158" s="188">
        <f>opex_orig!$AP158</f>
        <v>2.0824144172198301E-4</v>
      </c>
      <c r="AY158" s="188">
        <f>opex_orig!AQ158</f>
        <v>2.51573E-4</v>
      </c>
      <c r="AZ158" s="188">
        <f>opex_orig!AR158</f>
        <v>0</v>
      </c>
      <c r="BA158" s="188">
        <f>opex_orig!AS158</f>
        <v>1.7688099999999999E-4</v>
      </c>
      <c r="BB158" s="188">
        <f>opex_orig!AT158</f>
        <v>1.06901E-4</v>
      </c>
      <c r="BC158" s="188">
        <f>opex_orig!AU158</f>
        <v>9.1700000000000003E-6</v>
      </c>
      <c r="BD158" s="188">
        <f>opex_orig!AV158</f>
        <v>7.3499999999999999E-6</v>
      </c>
      <c r="BE158" s="188">
        <f>opex_orig!AW158</f>
        <v>2.16281E-4</v>
      </c>
      <c r="BF158" s="188">
        <f>opex_orig!AX158</f>
        <v>0</v>
      </c>
      <c r="BG158" s="188">
        <f>opex_orig!AY158</f>
        <v>7.2000000000000002E-5</v>
      </c>
      <c r="BH158" s="188">
        <f>opex_orig!AZ158</f>
        <v>0</v>
      </c>
      <c r="BI158" s="188">
        <f>opex_orig!BA158</f>
        <v>7.8200000000000003E-5</v>
      </c>
      <c r="BJ158" s="188">
        <f>opex_orig!BB158</f>
        <v>7.86E-5</v>
      </c>
      <c r="BK158" s="188">
        <f>opex_orig!BC158</f>
        <v>1.2342599999999999E-4</v>
      </c>
      <c r="BL158" s="188">
        <f>opex_orig!BD158</f>
        <v>1.9899999999999999E-5</v>
      </c>
      <c r="BM158" s="188">
        <f>opex_orig!BE158</f>
        <v>2.4300000000000001E-5</v>
      </c>
      <c r="BN158" s="188">
        <f>opex_orig!BF158</f>
        <v>1.31E-5</v>
      </c>
      <c r="BO158" s="188">
        <f>opex_orig!BG158</f>
        <v>4.85E-5</v>
      </c>
      <c r="BP158" s="188">
        <f>opex_orig!$BH158</f>
        <v>4.4988827566755897E-5</v>
      </c>
      <c r="BQ158" s="188">
        <f>opex_orig!$BH158</f>
        <v>4.4988827566755897E-5</v>
      </c>
      <c r="BR158" s="188">
        <f>opex_orig!BI158</f>
        <v>8.0900000000000001E-5</v>
      </c>
      <c r="BS158" s="188">
        <f>opex_orig!BJ158</f>
        <v>5.1900000000000001E-5</v>
      </c>
      <c r="BT158" s="188">
        <f>opex_orig!BK158</f>
        <v>1.63015E-4</v>
      </c>
      <c r="BU158" s="188">
        <f>opex_orig!BL158</f>
        <v>0</v>
      </c>
      <c r="BV158" s="27">
        <f>opex_orig!BM158</f>
        <v>7.5109643191318906E-5</v>
      </c>
      <c r="BW158" s="27">
        <f>opex_orig!BN158</f>
        <v>8.7805780293134697E-4</v>
      </c>
      <c r="BX158" s="27">
        <f>opex_orig!BO158</f>
        <v>8.9157373576567806E-5</v>
      </c>
      <c r="BY158" s="27">
        <f>opex_orig!BP158</f>
        <v>8.0310225274494898E-4</v>
      </c>
      <c r="BZ158" s="27">
        <f>opex_orig!BQ158</f>
        <v>3.2654315572785503E-5</v>
      </c>
      <c r="CA158" s="27">
        <f>opex_orig!BR158</f>
        <v>7.0137476346523402E-7</v>
      </c>
      <c r="CB158" s="27">
        <f>opex_orig!BS158</f>
        <v>1.3482800810826E-4</v>
      </c>
      <c r="CC158" s="27">
        <f>opex_orig!BT158</f>
        <v>3.23909204280854E-5</v>
      </c>
      <c r="CD158" s="27">
        <f>opex_orig!BU158</f>
        <v>3.8619931204369496E-6</v>
      </c>
      <c r="CE158" s="27">
        <f>opex_orig!BV158</f>
        <v>3.8619931204369496E-6</v>
      </c>
      <c r="CF158" s="27">
        <f>opex_orig!BW158</f>
        <v>2.28900890051315E-6</v>
      </c>
      <c r="CG158" s="27">
        <f>opex_orig!BX158</f>
        <v>3.2704113175192299E-6</v>
      </c>
      <c r="CH158" s="27">
        <f>opex_orig!BY158</f>
        <v>2.3796066895425801E-5</v>
      </c>
      <c r="CI158" s="27">
        <f>opex_orig!BZ158</f>
        <v>4.5326699999999998E-4</v>
      </c>
      <c r="CJ158" s="27">
        <f>opex_orig!CA158</f>
        <v>1.14239E-4</v>
      </c>
      <c r="CK158" s="27">
        <f>opex_orig!CB158</f>
        <v>5.5000000000000002E-5</v>
      </c>
      <c r="CL158" s="27">
        <f>opex_orig!CC158</f>
        <v>6.3800000000000006E-5</v>
      </c>
      <c r="CM158" s="27">
        <f>opex_orig!CD158</f>
        <v>1.75489E-4</v>
      </c>
      <c r="CN158" s="27">
        <f>opex_orig!CE158</f>
        <v>6.5546300000000001E-4</v>
      </c>
      <c r="CO158" s="27">
        <f>opex_orig!CF158</f>
        <v>5.3100000000000003E-5</v>
      </c>
      <c r="CP158" s="27">
        <f>opex_orig!CG158</f>
        <v>1.6699999999999999E-5</v>
      </c>
    </row>
    <row r="159" spans="1:94" x14ac:dyDescent="0.25">
      <c r="A159" s="6" t="s">
        <v>309</v>
      </c>
      <c r="B159" s="2" t="s">
        <v>308</v>
      </c>
      <c r="C159" s="1" t="s">
        <v>335</v>
      </c>
      <c r="D159" s="188">
        <f>opex_orig!D159</f>
        <v>3.3694699999999998E-4</v>
      </c>
      <c r="E159" s="188">
        <f>opex_orig!E159</f>
        <v>3.5291700000000001E-4</v>
      </c>
      <c r="F159" s="188">
        <f>opex_orig!F159</f>
        <v>5.6499999999999998E-5</v>
      </c>
      <c r="G159" s="188">
        <f>opex_orig!G159</f>
        <v>1.24E-5</v>
      </c>
      <c r="H159" s="188">
        <f>opex_orig!H159</f>
        <v>2.02E-5</v>
      </c>
      <c r="I159" s="188">
        <f>opex_orig!I159</f>
        <v>2.2928400000000001E-4</v>
      </c>
      <c r="J159" s="188">
        <f>opex_orig!J159</f>
        <v>1.9313500000000001E-4</v>
      </c>
      <c r="K159" s="188">
        <f>opex_orig!K159</f>
        <v>3.2299999999999999E-5</v>
      </c>
      <c r="L159" s="188">
        <f>opex_orig!L159</f>
        <v>2.9492400000000001E-4</v>
      </c>
      <c r="M159" s="188">
        <f>opex_orig!M159</f>
        <v>8.0630299999999997E-4</v>
      </c>
      <c r="N159" s="188">
        <f>opex_orig!N159</f>
        <v>2.2460449999999999E-3</v>
      </c>
      <c r="O159" s="188">
        <f>opex_orig!O159</f>
        <v>5.9304799999999999E-4</v>
      </c>
      <c r="P159" s="188">
        <f>opex_orig!P159</f>
        <v>2.5541499999999999E-4</v>
      </c>
      <c r="Q159" s="188">
        <f>opex_orig!Q159</f>
        <v>4.46E-5</v>
      </c>
      <c r="R159" s="188">
        <f>opex_orig!R159</f>
        <v>3.4700000000000003E-5</v>
      </c>
      <c r="S159" s="188">
        <f>opex_orig!S159</f>
        <v>8.6100000000000006E-5</v>
      </c>
      <c r="T159" s="188">
        <f>opex_orig!T159</f>
        <v>4.6E-5</v>
      </c>
      <c r="U159" s="188">
        <f>opex_orig!U159</f>
        <v>6.6500499999999998E-4</v>
      </c>
      <c r="V159" s="188">
        <f>opex_orig!V159</f>
        <v>1.2779550000000001E-3</v>
      </c>
      <c r="W159" s="188">
        <f>opex_orig!W159</f>
        <v>2.1432299999999999E-4</v>
      </c>
      <c r="X159" s="188">
        <f>opex_orig!X159</f>
        <v>1.0064399999999999E-4</v>
      </c>
      <c r="Y159" s="188">
        <f>opex_orig!Y159</f>
        <v>4.5399999999999999E-5</v>
      </c>
      <c r="Z159" s="188">
        <f>opex_orig!Z159</f>
        <v>2.9094199999999998E-4</v>
      </c>
      <c r="AA159" s="188">
        <f>opex_orig!AA159</f>
        <v>1.0050199999999999E-4</v>
      </c>
      <c r="AB159" s="188">
        <f>opex_orig!$AB159</f>
        <v>9.4316181983729501E-5</v>
      </c>
      <c r="AC159" s="188">
        <f>opex_orig!$AB159</f>
        <v>9.4316181983729501E-5</v>
      </c>
      <c r="AD159" s="188">
        <f>opex_orig!$AB159</f>
        <v>9.4316181983729501E-5</v>
      </c>
      <c r="AE159" s="188">
        <f>opex_orig!$AC159</f>
        <v>8.2592784153750504E-3</v>
      </c>
      <c r="AF159" s="188">
        <f>opex_orig!$AD159</f>
        <v>2.13560390731099E-3</v>
      </c>
      <c r="AG159" s="188">
        <f>opex_orig!$AD159</f>
        <v>2.13560390731099E-3</v>
      </c>
      <c r="AH159" s="188">
        <f>opex_orig!$AD159</f>
        <v>2.13560390731099E-3</v>
      </c>
      <c r="AI159" s="188">
        <f>opex_orig!AE159</f>
        <v>1.555833E-3</v>
      </c>
      <c r="AJ159" s="188">
        <f>opex_orig!AF159</f>
        <v>4.3222300000000003E-4</v>
      </c>
      <c r="AK159" s="188">
        <f>opex_orig!AG159</f>
        <v>8.5000000000000006E-5</v>
      </c>
      <c r="AL159" s="188">
        <f>opex_orig!AH159</f>
        <v>1.4557799999999999E-4</v>
      </c>
      <c r="AM159" s="188">
        <f>opex_orig!AI159</f>
        <v>8.7700000000000004E-5</v>
      </c>
      <c r="AN159" s="188">
        <f>opex_orig!AJ159</f>
        <v>2.6766700000000002E-4</v>
      </c>
      <c r="AO159" s="188">
        <f>opex_orig!AK159</f>
        <v>1.13113E-4</v>
      </c>
      <c r="AP159" s="188">
        <f>opex_orig!$AL159</f>
        <v>3.20465060044885E-4</v>
      </c>
      <c r="AQ159" s="188">
        <f>opex_orig!$AL159</f>
        <v>3.20465060044885E-4</v>
      </c>
      <c r="AR159" s="188">
        <f>opex_orig!$AL159</f>
        <v>3.20465060044885E-4</v>
      </c>
      <c r="AS159" s="188">
        <f>opex_orig!$AM159</f>
        <v>1.00451769635191E-4</v>
      </c>
      <c r="AT159" s="188">
        <f>opex_orig!AN159</f>
        <v>3.4226699999999999E-4</v>
      </c>
      <c r="AU159" s="188">
        <f>opex_orig!$AO159</f>
        <v>4.3960917091354399E-4</v>
      </c>
      <c r="AV159" s="188">
        <f>opex_orig!$AO159</f>
        <v>4.3960917091354399E-4</v>
      </c>
      <c r="AW159" s="188">
        <f>opex_orig!$AO159</f>
        <v>4.3960917091354399E-4</v>
      </c>
      <c r="AX159" s="188">
        <f>opex_orig!$AP159</f>
        <v>7.3555164518019701E-4</v>
      </c>
      <c r="AY159" s="188">
        <f>opex_orig!AQ159</f>
        <v>8.5991400000000003E-4</v>
      </c>
      <c r="AZ159" s="188">
        <f>opex_orig!AR159</f>
        <v>0</v>
      </c>
      <c r="BA159" s="188">
        <f>opex_orig!AS159</f>
        <v>5.59721E-4</v>
      </c>
      <c r="BB159" s="188">
        <f>opex_orig!AT159</f>
        <v>4.0738100000000001E-4</v>
      </c>
      <c r="BC159" s="188">
        <f>opex_orig!AU159</f>
        <v>5.0800000000000002E-5</v>
      </c>
      <c r="BD159" s="188">
        <f>opex_orig!AV159</f>
        <v>3.9700000000000003E-5</v>
      </c>
      <c r="BE159" s="188">
        <f>opex_orig!AW159</f>
        <v>6.7311200000000002E-4</v>
      </c>
      <c r="BF159" s="188">
        <f>opex_orig!AX159</f>
        <v>0</v>
      </c>
      <c r="BG159" s="188">
        <f>opex_orig!AY159</f>
        <v>2.4203899999999999E-4</v>
      </c>
      <c r="BH159" s="188">
        <f>opex_orig!AZ159</f>
        <v>0</v>
      </c>
      <c r="BI159" s="188">
        <f>opex_orig!BA159</f>
        <v>3.5712599999999998E-4</v>
      </c>
      <c r="BJ159" s="188">
        <f>opex_orig!BB159</f>
        <v>4.4195699999999998E-4</v>
      </c>
      <c r="BK159" s="188">
        <f>opex_orig!BC159</f>
        <v>7.04414E-4</v>
      </c>
      <c r="BL159" s="188">
        <f>opex_orig!BD159</f>
        <v>6.97E-5</v>
      </c>
      <c r="BM159" s="188">
        <f>opex_orig!BE159</f>
        <v>1.02754E-4</v>
      </c>
      <c r="BN159" s="188">
        <f>opex_orig!BF159</f>
        <v>4.1600000000000002E-5</v>
      </c>
      <c r="BO159" s="188">
        <f>opex_orig!BG159</f>
        <v>1.70891E-4</v>
      </c>
      <c r="BP159" s="188">
        <f>opex_orig!$BH159</f>
        <v>2.5102751442709502E-4</v>
      </c>
      <c r="BQ159" s="188">
        <f>opex_orig!$BH159</f>
        <v>2.5102751442709502E-4</v>
      </c>
      <c r="BR159" s="188">
        <f>opex_orig!BI159</f>
        <v>3.69353E-4</v>
      </c>
      <c r="BS159" s="188">
        <f>opex_orig!BJ159</f>
        <v>1.5924799999999999E-4</v>
      </c>
      <c r="BT159" s="188">
        <f>opex_orig!BK159</f>
        <v>7.2962500000000002E-4</v>
      </c>
      <c r="BU159" s="188">
        <f>opex_orig!BL159</f>
        <v>0</v>
      </c>
      <c r="BV159" s="27">
        <f>opex_orig!BM159</f>
        <v>3.3821731219164301E-4</v>
      </c>
      <c r="BW159" s="27">
        <f>opex_orig!BN159</f>
        <v>2.2620877252600602E-3</v>
      </c>
      <c r="BX159" s="27">
        <f>opex_orig!BO159</f>
        <v>3.4996638482635199E-4</v>
      </c>
      <c r="BY159" s="27">
        <f>opex_orig!BP159</f>
        <v>1.9851687858298199E-3</v>
      </c>
      <c r="BZ159" s="27">
        <f>opex_orig!BQ159</f>
        <v>1.4896906946066101E-4</v>
      </c>
      <c r="CA159" s="27">
        <f>opex_orig!BR159</f>
        <v>4.2519184490714E-6</v>
      </c>
      <c r="CB159" s="27">
        <f>opex_orig!BS159</f>
        <v>2.4094553631591901E-4</v>
      </c>
      <c r="CC159" s="27">
        <f>opex_orig!BT159</f>
        <v>3.5010661756235698E-4</v>
      </c>
      <c r="CD159" s="27">
        <f>opex_orig!BU159</f>
        <v>1.97086189991677E-5</v>
      </c>
      <c r="CE159" s="27">
        <f>opex_orig!BV159</f>
        <v>1.9708618999167799E-5</v>
      </c>
      <c r="CF159" s="27">
        <f>opex_orig!BW159</f>
        <v>8.3438702378099102E-6</v>
      </c>
      <c r="CG159" s="27">
        <f>opex_orig!BX159</f>
        <v>9.7631584927433804E-6</v>
      </c>
      <c r="CH159" s="27">
        <f>opex_orig!BY159</f>
        <v>1.1804607575677201E-5</v>
      </c>
      <c r="CI159" s="27">
        <f>opex_orig!BZ159</f>
        <v>1.203951E-3</v>
      </c>
      <c r="CJ159" s="27">
        <f>opex_orig!CA159</f>
        <v>3.7406499999999998E-4</v>
      </c>
      <c r="CK159" s="27">
        <f>opex_orig!CB159</f>
        <v>2.2205099999999999E-4</v>
      </c>
      <c r="CL159" s="27">
        <f>opex_orig!CC159</f>
        <v>1.75699E-4</v>
      </c>
      <c r="CM159" s="27">
        <f>opex_orig!CD159</f>
        <v>5.3047399999999996E-4</v>
      </c>
      <c r="CN159" s="27">
        <f>opex_orig!CE159</f>
        <v>3.5400539999999999E-3</v>
      </c>
      <c r="CO159" s="27">
        <f>opex_orig!CF159</f>
        <v>2.9606400000000002E-4</v>
      </c>
      <c r="CP159" s="27">
        <f>opex_orig!CG159</f>
        <v>8.8399999999999994E-5</v>
      </c>
    </row>
    <row r="160" spans="1:94" x14ac:dyDescent="0.25">
      <c r="A160" s="6" t="s">
        <v>311</v>
      </c>
      <c r="B160" s="2" t="s">
        <v>310</v>
      </c>
      <c r="C160" s="1" t="s">
        <v>335</v>
      </c>
      <c r="D160" s="188">
        <f>opex_orig!D160</f>
        <v>1.0507599999999999E-4</v>
      </c>
      <c r="E160" s="188">
        <f>opex_orig!E160</f>
        <v>9.3700000000000001E-5</v>
      </c>
      <c r="F160" s="188">
        <f>opex_orig!F160</f>
        <v>1.7099999999999999E-5</v>
      </c>
      <c r="G160" s="188">
        <f>opex_orig!G160</f>
        <v>4.1699999999999999E-6</v>
      </c>
      <c r="H160" s="188">
        <f>opex_orig!H160</f>
        <v>7.17E-6</v>
      </c>
      <c r="I160" s="188">
        <f>opex_orig!I160</f>
        <v>6.7600000000000003E-5</v>
      </c>
      <c r="J160" s="188">
        <f>opex_orig!J160</f>
        <v>5.7800000000000002E-5</v>
      </c>
      <c r="K160" s="188">
        <f>opex_orig!K160</f>
        <v>1.13E-5</v>
      </c>
      <c r="L160" s="188">
        <f>opex_orig!L160</f>
        <v>8.7800000000000006E-5</v>
      </c>
      <c r="M160" s="188">
        <f>opex_orig!M160</f>
        <v>2.42215E-4</v>
      </c>
      <c r="N160" s="188">
        <f>opex_orig!N160</f>
        <v>1.16901E-4</v>
      </c>
      <c r="O160" s="188">
        <f>opex_orig!O160</f>
        <v>1.6979699999999999E-4</v>
      </c>
      <c r="P160" s="188">
        <f>opex_orig!P160</f>
        <v>7.3300000000000006E-5</v>
      </c>
      <c r="Q160" s="188">
        <f>opex_orig!Q160</f>
        <v>1.3200000000000001E-5</v>
      </c>
      <c r="R160" s="188">
        <f>opex_orig!R160</f>
        <v>1.1399999999999999E-5</v>
      </c>
      <c r="S160" s="188">
        <f>opex_orig!S160</f>
        <v>2.37E-5</v>
      </c>
      <c r="T160" s="188">
        <f>opex_orig!T160</f>
        <v>1.5E-5</v>
      </c>
      <c r="U160" s="188">
        <f>opex_orig!U160</f>
        <v>1.83077E-4</v>
      </c>
      <c r="V160" s="188">
        <f>opex_orig!V160</f>
        <v>3.4190400000000003E-4</v>
      </c>
      <c r="W160" s="188">
        <f>opex_orig!W160</f>
        <v>6.0099999999999997E-5</v>
      </c>
      <c r="X160" s="188">
        <f>opex_orig!X160</f>
        <v>2.8799999999999999E-5</v>
      </c>
      <c r="Y160" s="188">
        <f>opex_orig!Y160</f>
        <v>1.26E-5</v>
      </c>
      <c r="Z160" s="188">
        <f>opex_orig!Z160</f>
        <v>9.1100000000000005E-5</v>
      </c>
      <c r="AA160" s="188">
        <f>opex_orig!AA160</f>
        <v>3.9900000000000001E-5</v>
      </c>
      <c r="AB160" s="188">
        <f>opex_orig!$AB160</f>
        <v>2.6778410060271498E-5</v>
      </c>
      <c r="AC160" s="188">
        <f>opex_orig!$AB160</f>
        <v>2.6778410060271498E-5</v>
      </c>
      <c r="AD160" s="188">
        <f>opex_orig!$AB160</f>
        <v>2.6778410060271498E-5</v>
      </c>
      <c r="AE160" s="188">
        <f>opex_orig!$AC160</f>
        <v>3.0340557009651999E-4</v>
      </c>
      <c r="AF160" s="188">
        <f>opex_orig!$AD160</f>
        <v>5.8993459686822701E-4</v>
      </c>
      <c r="AG160" s="188">
        <f>opex_orig!$AD160</f>
        <v>5.8993459686822701E-4</v>
      </c>
      <c r="AH160" s="188">
        <f>opex_orig!$AD160</f>
        <v>5.8993459686822701E-4</v>
      </c>
      <c r="AI160" s="188">
        <f>opex_orig!AE160</f>
        <v>4.44048E-4</v>
      </c>
      <c r="AJ160" s="188">
        <f>opex_orig!AF160</f>
        <v>1.3071400000000001E-4</v>
      </c>
      <c r="AK160" s="188">
        <f>opex_orig!AG160</f>
        <v>2.6299999999999999E-5</v>
      </c>
      <c r="AL160" s="188">
        <f>opex_orig!AH160</f>
        <v>4.3800000000000001E-5</v>
      </c>
      <c r="AM160" s="188">
        <f>opex_orig!AI160</f>
        <v>2.69E-5</v>
      </c>
      <c r="AN160" s="188">
        <f>opex_orig!AJ160</f>
        <v>1.3699999999999999E-5</v>
      </c>
      <c r="AO160" s="188">
        <f>opex_orig!AK160</f>
        <v>3.2199999999999997E-5</v>
      </c>
      <c r="AP160" s="188">
        <f>opex_orig!$AL160</f>
        <v>8.3576928500994502E-5</v>
      </c>
      <c r="AQ160" s="188">
        <f>opex_orig!$AL160</f>
        <v>8.3576928500994502E-5</v>
      </c>
      <c r="AR160" s="188">
        <f>opex_orig!$AL160</f>
        <v>8.3576928500994502E-5</v>
      </c>
      <c r="AS160" s="188">
        <f>opex_orig!$AM160</f>
        <v>2.9659330173209399E-5</v>
      </c>
      <c r="AT160" s="188">
        <f>opex_orig!AN160</f>
        <v>9.1600000000000004E-5</v>
      </c>
      <c r="AU160" s="188">
        <f>opex_orig!$AO160</f>
        <v>1.28330186247315E-4</v>
      </c>
      <c r="AV160" s="188">
        <f>opex_orig!$AO160</f>
        <v>1.28330186247315E-4</v>
      </c>
      <c r="AW160" s="188">
        <f>opex_orig!$AO160</f>
        <v>1.28330186247315E-4</v>
      </c>
      <c r="AX160" s="188">
        <f>opex_orig!$AP160</f>
        <v>2.06537463384535E-4</v>
      </c>
      <c r="AY160" s="188">
        <f>opex_orig!AQ160</f>
        <v>2.3619299999999999E-4</v>
      </c>
      <c r="AZ160" s="188">
        <f>opex_orig!AR160</f>
        <v>0</v>
      </c>
      <c r="BA160" s="188">
        <f>opex_orig!AS160</f>
        <v>1.5522100000000001E-4</v>
      </c>
      <c r="BB160" s="188">
        <f>opex_orig!AT160</f>
        <v>1.18738E-4</v>
      </c>
      <c r="BC160" s="188">
        <f>opex_orig!AU160</f>
        <v>1.5800000000000001E-5</v>
      </c>
      <c r="BD160" s="188">
        <f>opex_orig!AV160</f>
        <v>1.24E-5</v>
      </c>
      <c r="BE160" s="188">
        <f>opex_orig!AW160</f>
        <v>1.8018400000000001E-4</v>
      </c>
      <c r="BF160" s="188">
        <f>opex_orig!AX160</f>
        <v>0</v>
      </c>
      <c r="BG160" s="188">
        <f>opex_orig!AY160</f>
        <v>9.8499999999999995E-5</v>
      </c>
      <c r="BH160" s="188">
        <f>opex_orig!AZ160</f>
        <v>0</v>
      </c>
      <c r="BI160" s="188">
        <f>opex_orig!BA160</f>
        <v>1.05364E-4</v>
      </c>
      <c r="BJ160" s="188">
        <f>opex_orig!BB160</f>
        <v>1.3524899999999999E-4</v>
      </c>
      <c r="BK160" s="188">
        <f>opex_orig!BC160</f>
        <v>2.1655200000000001E-4</v>
      </c>
      <c r="BL160" s="188">
        <f>opex_orig!BD160</f>
        <v>2.0699999999999998E-5</v>
      </c>
      <c r="BM160" s="188">
        <f>opex_orig!BE160</f>
        <v>3.3300000000000003E-5</v>
      </c>
      <c r="BN160" s="188">
        <f>opex_orig!BF160</f>
        <v>1.19E-5</v>
      </c>
      <c r="BO160" s="188">
        <f>opex_orig!BG160</f>
        <v>4.88E-5</v>
      </c>
      <c r="BP160" s="188">
        <f>opex_orig!$BH160</f>
        <v>7.8289234911365095E-5</v>
      </c>
      <c r="BQ160" s="188">
        <f>opex_orig!$BH160</f>
        <v>7.8289234911365095E-5</v>
      </c>
      <c r="BR160" s="188">
        <f>opex_orig!BI160</f>
        <v>1.10241E-4</v>
      </c>
      <c r="BS160" s="188">
        <f>opex_orig!BJ160</f>
        <v>4.7700000000000001E-5</v>
      </c>
      <c r="BT160" s="188">
        <f>opex_orig!BK160</f>
        <v>2.14348E-4</v>
      </c>
      <c r="BU160" s="188">
        <f>opex_orig!BL160</f>
        <v>0</v>
      </c>
      <c r="BV160" s="27">
        <f>opex_orig!BM160</f>
        <v>9.8278917622810294E-5</v>
      </c>
      <c r="BW160" s="27">
        <f>opex_orig!BN160</f>
        <v>5.8409760438884204E-4</v>
      </c>
      <c r="BX160" s="27">
        <f>opex_orig!BO160</f>
        <v>1.0113078259079E-4</v>
      </c>
      <c r="BY160" s="27">
        <f>opex_orig!BP160</f>
        <v>5.0099327148420104E-4</v>
      </c>
      <c r="BZ160" s="27">
        <f>opex_orig!BQ160</f>
        <v>4.8935475925847199E-5</v>
      </c>
      <c r="CA160" s="27">
        <f>opex_orig!BR160</f>
        <v>1.1697981551185399E-6</v>
      </c>
      <c r="CB160" s="27">
        <f>opex_orig!BS160</f>
        <v>1.5039156228156499E-4</v>
      </c>
      <c r="CC160" s="27">
        <f>opex_orig!BT160</f>
        <v>1.47924455836965E-5</v>
      </c>
      <c r="CD160" s="27">
        <f>opex_orig!BU160</f>
        <v>6.4881583355903499E-6</v>
      </c>
      <c r="CE160" s="27">
        <f>opex_orig!BV160</f>
        <v>6.4881583355903703E-6</v>
      </c>
      <c r="CF160" s="27">
        <f>opex_orig!BW160</f>
        <v>2.0339755801592598E-6</v>
      </c>
      <c r="CG160" s="27">
        <f>opex_orig!BX160</f>
        <v>2.4866381741655799E-6</v>
      </c>
      <c r="CH160" s="27">
        <f>opex_orig!BY160</f>
        <v>1.41279623428962E-5</v>
      </c>
      <c r="CI160" s="27">
        <f>opex_orig!BZ160</f>
        <v>3.1285800000000001E-4</v>
      </c>
      <c r="CJ160" s="27">
        <f>opex_orig!CA160</f>
        <v>1.03671E-4</v>
      </c>
      <c r="CK160" s="27">
        <f>opex_orig!CB160</f>
        <v>6.4999999999999994E-5</v>
      </c>
      <c r="CL160" s="27">
        <f>opex_orig!CC160</f>
        <v>4.6699999999999997E-5</v>
      </c>
      <c r="CM160" s="27">
        <f>opex_orig!CD160</f>
        <v>1.4586499999999999E-4</v>
      </c>
      <c r="CN160" s="27">
        <f>opex_orig!CE160</f>
        <v>1.072655E-3</v>
      </c>
      <c r="CO160" s="27">
        <f>opex_orig!CF160</f>
        <v>9.1100000000000005E-5</v>
      </c>
      <c r="CP160" s="27">
        <f>opex_orig!CG160</f>
        <v>2.7399999999999999E-5</v>
      </c>
    </row>
    <row r="161" spans="1:94" x14ac:dyDescent="0.25">
      <c r="A161" s="6" t="s">
        <v>313</v>
      </c>
      <c r="B161" s="2" t="s">
        <v>312</v>
      </c>
      <c r="C161" s="1" t="s">
        <v>335</v>
      </c>
      <c r="D161" s="188">
        <f>opex_orig!D161</f>
        <v>1.3304500000000001E-4</v>
      </c>
      <c r="E161" s="188">
        <f>opex_orig!E161</f>
        <v>1.18399E-4</v>
      </c>
      <c r="F161" s="188">
        <f>opex_orig!F161</f>
        <v>2.1699999999999999E-5</v>
      </c>
      <c r="G161" s="188">
        <f>opex_orig!G161</f>
        <v>5.1200000000000001E-6</v>
      </c>
      <c r="H161" s="188">
        <f>opex_orig!H161</f>
        <v>8.5599999999999994E-6</v>
      </c>
      <c r="I161" s="188">
        <f>opex_orig!I161</f>
        <v>8.5699999999999996E-5</v>
      </c>
      <c r="J161" s="188">
        <f>opex_orig!J161</f>
        <v>7.3200000000000004E-5</v>
      </c>
      <c r="K161" s="188">
        <f>opex_orig!K161</f>
        <v>1.38E-5</v>
      </c>
      <c r="L161" s="188">
        <f>opex_orig!L161</f>
        <v>1.11383E-4</v>
      </c>
      <c r="M161" s="188">
        <f>opex_orig!M161</f>
        <v>3.0776700000000002E-4</v>
      </c>
      <c r="N161" s="188">
        <f>opex_orig!N161</f>
        <v>1.4861900000000001E-4</v>
      </c>
      <c r="O161" s="188">
        <f>opex_orig!O161</f>
        <v>2.14677E-4</v>
      </c>
      <c r="P161" s="188">
        <f>opex_orig!P161</f>
        <v>9.31E-5</v>
      </c>
      <c r="Q161" s="188">
        <f>opex_orig!Q161</f>
        <v>1.6500000000000001E-5</v>
      </c>
      <c r="R161" s="188">
        <f>opex_orig!R161</f>
        <v>1.3699999999999999E-5</v>
      </c>
      <c r="S161" s="188">
        <f>opex_orig!S161</f>
        <v>2.9899999999999998E-5</v>
      </c>
      <c r="T161" s="188">
        <f>opex_orig!T161</f>
        <v>1.8099999999999999E-5</v>
      </c>
      <c r="U161" s="188">
        <f>opex_orig!U161</f>
        <v>2.31776E-4</v>
      </c>
      <c r="V161" s="188">
        <f>opex_orig!V161</f>
        <v>4.3249E-4</v>
      </c>
      <c r="W161" s="188">
        <f>opex_orig!W161</f>
        <v>7.6199999999999995E-5</v>
      </c>
      <c r="X161" s="188">
        <f>opex_orig!X161</f>
        <v>3.65E-5</v>
      </c>
      <c r="Y161" s="188">
        <f>opex_orig!Y161</f>
        <v>1.6200000000000001E-5</v>
      </c>
      <c r="Z161" s="188">
        <f>opex_orig!Z161</f>
        <v>1.12279E-4</v>
      </c>
      <c r="AA161" s="188">
        <f>opex_orig!AA161</f>
        <v>4.71E-5</v>
      </c>
      <c r="AB161" s="188">
        <f>opex_orig!$AB161</f>
        <v>3.2079500677445198E-5</v>
      </c>
      <c r="AC161" s="188">
        <f>opex_orig!$AB161</f>
        <v>3.2079500677445198E-5</v>
      </c>
      <c r="AD161" s="188">
        <f>opex_orig!$AB161</f>
        <v>3.2079500677445198E-5</v>
      </c>
      <c r="AE161" s="188">
        <f>opex_orig!$AC161</f>
        <v>3.8614433275978299E-4</v>
      </c>
      <c r="AF161" s="188">
        <f>opex_orig!$AD161</f>
        <v>7.4766594732178905E-4</v>
      </c>
      <c r="AG161" s="188">
        <f>opex_orig!$AD161</f>
        <v>7.4766594732178905E-4</v>
      </c>
      <c r="AH161" s="188">
        <f>opex_orig!$AD161</f>
        <v>7.4766594732178905E-4</v>
      </c>
      <c r="AI161" s="188">
        <f>opex_orig!AE161</f>
        <v>5.6330200000000001E-4</v>
      </c>
      <c r="AJ161" s="188">
        <f>opex_orig!AF161</f>
        <v>1.6634700000000001E-4</v>
      </c>
      <c r="AK161" s="188">
        <f>opex_orig!AG161</f>
        <v>3.2299999999999999E-5</v>
      </c>
      <c r="AL161" s="188">
        <f>opex_orig!AH161</f>
        <v>5.4500000000000003E-5</v>
      </c>
      <c r="AM161" s="188">
        <f>opex_orig!AI161</f>
        <v>3.4100000000000002E-5</v>
      </c>
      <c r="AN161" s="188">
        <f>opex_orig!AJ161</f>
        <v>8.3599999999999999E-5</v>
      </c>
      <c r="AO161" s="188">
        <f>opex_orig!AK161</f>
        <v>4.0899999999999998E-5</v>
      </c>
      <c r="AP161" s="188">
        <f>opex_orig!$AL161</f>
        <v>1.05693926440086E-4</v>
      </c>
      <c r="AQ161" s="188">
        <f>opex_orig!$AL161</f>
        <v>1.05693926440086E-4</v>
      </c>
      <c r="AR161" s="188">
        <f>opex_orig!$AL161</f>
        <v>1.05693926440086E-4</v>
      </c>
      <c r="AS161" s="188">
        <f>opex_orig!$AM161</f>
        <v>3.7626757112614798E-5</v>
      </c>
      <c r="AT161" s="188">
        <f>opex_orig!AN161</f>
        <v>1.15925E-4</v>
      </c>
      <c r="AU161" s="188">
        <f>opex_orig!$AO161</f>
        <v>1.633530897815E-4</v>
      </c>
      <c r="AV161" s="188">
        <f>opex_orig!$AO161</f>
        <v>1.633530897815E-4</v>
      </c>
      <c r="AW161" s="188">
        <f>opex_orig!$AO161</f>
        <v>1.633530897815E-4</v>
      </c>
      <c r="AX161" s="188">
        <f>opex_orig!$AP161</f>
        <v>2.6195583907484598E-4</v>
      </c>
      <c r="AY161" s="188">
        <f>opex_orig!AQ161</f>
        <v>3.0014899999999999E-4</v>
      </c>
      <c r="AZ161" s="188">
        <f>opex_orig!AR161</f>
        <v>0</v>
      </c>
      <c r="BA161" s="188">
        <f>opex_orig!AS161</f>
        <v>1.962E-4</v>
      </c>
      <c r="BB161" s="188">
        <f>opex_orig!AT161</f>
        <v>1.50309E-4</v>
      </c>
      <c r="BC161" s="188">
        <f>opex_orig!AU161</f>
        <v>2.0100000000000001E-5</v>
      </c>
      <c r="BD161" s="188">
        <f>opex_orig!AV161</f>
        <v>1.59E-5</v>
      </c>
      <c r="BE161" s="188">
        <f>opex_orig!AW161</f>
        <v>2.4156899999999999E-4</v>
      </c>
      <c r="BF161" s="188">
        <f>opex_orig!AX161</f>
        <v>0</v>
      </c>
      <c r="BG161" s="188">
        <f>opex_orig!AY161</f>
        <v>1.15844E-4</v>
      </c>
      <c r="BH161" s="188">
        <f>opex_orig!AZ161</f>
        <v>0</v>
      </c>
      <c r="BI161" s="188">
        <f>opex_orig!BA161</f>
        <v>1.3406599999999999E-4</v>
      </c>
      <c r="BJ161" s="188">
        <f>opex_orig!BB161</f>
        <v>1.7222200000000001E-4</v>
      </c>
      <c r="BK161" s="188">
        <f>opex_orig!BC161</f>
        <v>2.75918E-4</v>
      </c>
      <c r="BL161" s="188">
        <f>opex_orig!BD161</f>
        <v>2.5700000000000001E-5</v>
      </c>
      <c r="BM161" s="188">
        <f>opex_orig!BE161</f>
        <v>4.2400000000000001E-5</v>
      </c>
      <c r="BN161" s="188">
        <f>opex_orig!BF161</f>
        <v>1.49E-5</v>
      </c>
      <c r="BO161" s="188">
        <f>opex_orig!BG161</f>
        <v>6.1799999999999998E-5</v>
      </c>
      <c r="BP161" s="188">
        <f>opex_orig!$BH161</f>
        <v>9.9021341907965901E-5</v>
      </c>
      <c r="BQ161" s="188">
        <f>opex_orig!$BH161</f>
        <v>9.9021341907965901E-5</v>
      </c>
      <c r="BR161" s="188">
        <f>opex_orig!BI161</f>
        <v>1.3979500000000001E-4</v>
      </c>
      <c r="BS161" s="188">
        <f>opex_orig!BJ161</f>
        <v>5.9799999999999997E-5</v>
      </c>
      <c r="BT161" s="188">
        <f>opex_orig!BK161</f>
        <v>2.7349600000000003E-4</v>
      </c>
      <c r="BU161" s="188">
        <f>opex_orig!BL161</f>
        <v>0</v>
      </c>
      <c r="BV161" s="27">
        <f>opex_orig!BM161</f>
        <v>1.2510818549199101E-4</v>
      </c>
      <c r="BW161" s="27">
        <f>opex_orig!BN161</f>
        <v>7.3678973656984197E-4</v>
      </c>
      <c r="BX161" s="27">
        <f>opex_orig!BO161</f>
        <v>1.2832648099402901E-4</v>
      </c>
      <c r="BY161" s="27">
        <f>opex_orig!BP161</f>
        <v>6.3248259259981305E-4</v>
      </c>
      <c r="BZ161" s="27">
        <f>opex_orig!BQ161</f>
        <v>5.9285309974792903E-5</v>
      </c>
      <c r="CA161" s="27">
        <f>opex_orig!BR161</f>
        <v>1.3634233575037001E-6</v>
      </c>
      <c r="CB161" s="27">
        <f>opex_orig!BS161</f>
        <v>1.6068637442023299E-4</v>
      </c>
      <c r="CC161" s="27">
        <f>opex_orig!BT161</f>
        <v>6.8112521435454102E-5</v>
      </c>
      <c r="CD161" s="27">
        <f>opex_orig!BU161</f>
        <v>8.1795120597588196E-6</v>
      </c>
      <c r="CE161" s="27">
        <f>opex_orig!BV161</f>
        <v>8.1795120597588399E-6</v>
      </c>
      <c r="CF161" s="27">
        <f>opex_orig!BW161</f>
        <v>2.6447906039046701E-6</v>
      </c>
      <c r="CG161" s="27">
        <f>opex_orig!BX161</f>
        <v>4.0505349240296001E-6</v>
      </c>
      <c r="CH161" s="27">
        <f>opex_orig!BY161</f>
        <v>1.5527391045972502E-5</v>
      </c>
      <c r="CI161" s="27">
        <f>opex_orig!BZ161</f>
        <v>3.95227E-4</v>
      </c>
      <c r="CJ161" s="27">
        <f>opex_orig!CA161</f>
        <v>1.31335E-4</v>
      </c>
      <c r="CK161" s="27">
        <f>opex_orig!CB161</f>
        <v>8.25E-5</v>
      </c>
      <c r="CL161" s="27">
        <f>opex_orig!CC161</f>
        <v>5.8999999999999998E-5</v>
      </c>
      <c r="CM161" s="27">
        <f>opex_orig!CD161</f>
        <v>1.84363E-4</v>
      </c>
      <c r="CN161" s="27">
        <f>opex_orig!CE161</f>
        <v>1.3650960000000001E-3</v>
      </c>
      <c r="CO161" s="27">
        <f>opex_orig!CF161</f>
        <v>1.1574900000000001E-4</v>
      </c>
      <c r="CP161" s="27">
        <f>opex_orig!CG161</f>
        <v>3.4799999999999999E-5</v>
      </c>
    </row>
    <row r="162" spans="1:94" x14ac:dyDescent="0.25">
      <c r="A162" s="5" t="s">
        <v>315</v>
      </c>
      <c r="B162" s="2" t="s">
        <v>314</v>
      </c>
      <c r="C162" s="1" t="s">
        <v>335</v>
      </c>
      <c r="D162" s="188">
        <f>opex_orig!D162</f>
        <v>3.0699999999999998E-6</v>
      </c>
      <c r="E162" s="188">
        <f>opex_orig!E162</f>
        <v>3.5499999999999999E-7</v>
      </c>
      <c r="F162" s="188">
        <f>opex_orig!F162</f>
        <v>3.3699999999999999E-6</v>
      </c>
      <c r="G162" s="188">
        <f>opex_orig!G162</f>
        <v>2.8100000000000002E-6</v>
      </c>
      <c r="H162" s="188">
        <f>opex_orig!H162</f>
        <v>3.9299999999999996E-6</v>
      </c>
      <c r="I162" s="188">
        <f>opex_orig!I162</f>
        <v>1.2699999999999999E-6</v>
      </c>
      <c r="J162" s="188">
        <f>opex_orig!J162</f>
        <v>1.8500000000000001E-6</v>
      </c>
      <c r="K162" s="188">
        <f>opex_orig!K162</f>
        <v>1.1399999999999999E-5</v>
      </c>
      <c r="L162" s="188">
        <f>opex_orig!L162</f>
        <v>1.9199999999999999E-5</v>
      </c>
      <c r="M162" s="188">
        <f>opex_orig!M162</f>
        <v>1.6645000000000001E-4</v>
      </c>
      <c r="N162" s="188">
        <f>opex_orig!N162</f>
        <v>9.8099999999999999E-5</v>
      </c>
      <c r="O162" s="188">
        <f>opex_orig!O162</f>
        <v>2.7900000000000001E-5</v>
      </c>
      <c r="P162" s="188">
        <f>opex_orig!P162</f>
        <v>2.39E-6</v>
      </c>
      <c r="Q162" s="188">
        <f>opex_orig!Q162</f>
        <v>5.4634900000000001E-4</v>
      </c>
      <c r="R162" s="188">
        <f>opex_orig!R162</f>
        <v>5.8188599999999999E-4</v>
      </c>
      <c r="S162" s="188">
        <f>opex_orig!S162</f>
        <v>2.7099999999999999E-6</v>
      </c>
      <c r="T162" s="188">
        <f>opex_orig!T162</f>
        <v>3.069713E-3</v>
      </c>
      <c r="U162" s="188">
        <f>opex_orig!U162</f>
        <v>1.22E-5</v>
      </c>
      <c r="V162" s="188">
        <f>opex_orig!V162</f>
        <v>6.61E-7</v>
      </c>
      <c r="W162" s="188">
        <f>opex_orig!W162</f>
        <v>3.0300000000000001E-5</v>
      </c>
      <c r="X162" s="188">
        <f>opex_orig!X162</f>
        <v>8.4100000000000008E-6</v>
      </c>
      <c r="Y162" s="188">
        <f>opex_orig!Y162</f>
        <v>4.4799999999999999E-7</v>
      </c>
      <c r="Z162" s="188">
        <f>opex_orig!Z162</f>
        <v>7.4900000000000002E-8</v>
      </c>
      <c r="AA162" s="188">
        <f>opex_orig!AA162</f>
        <v>2.17E-7</v>
      </c>
      <c r="AB162" s="188">
        <f>opex_orig!$AB162</f>
        <v>1.3847483179878599E-6</v>
      </c>
      <c r="AC162" s="188">
        <f>opex_orig!$AB162</f>
        <v>1.3847483179878599E-6</v>
      </c>
      <c r="AD162" s="188">
        <f>opex_orig!$AB162</f>
        <v>1.3847483179878599E-6</v>
      </c>
      <c r="AE162" s="188">
        <f>opex_orig!$AC162</f>
        <v>4.3668233248707203E-5</v>
      </c>
      <c r="AF162" s="188">
        <f>opex_orig!$AD162</f>
        <v>3.96084116528952E-5</v>
      </c>
      <c r="AG162" s="188">
        <f>opex_orig!$AD162</f>
        <v>3.96084116528952E-5</v>
      </c>
      <c r="AH162" s="188">
        <f>opex_orig!$AD162</f>
        <v>3.96084116528952E-5</v>
      </c>
      <c r="AI162" s="188">
        <f>opex_orig!AE162</f>
        <v>9.0599999999999997E-6</v>
      </c>
      <c r="AJ162" s="188">
        <f>opex_orig!AF162</f>
        <v>2.3730100000000001E-4</v>
      </c>
      <c r="AK162" s="188">
        <f>opex_orig!AG162</f>
        <v>7.0500000000000003E-7</v>
      </c>
      <c r="AL162" s="188">
        <f>opex_orig!AH162</f>
        <v>8.9999999999999996E-7</v>
      </c>
      <c r="AM162" s="188">
        <f>opex_orig!AI162</f>
        <v>8.7499999999999999E-7</v>
      </c>
      <c r="AN162" s="188">
        <f>opex_orig!AJ162</f>
        <v>1.3799999999999999E-6</v>
      </c>
      <c r="AO162" s="188">
        <f>opex_orig!AK162</f>
        <v>1.2500000000000001E-6</v>
      </c>
      <c r="AP162" s="188">
        <f>opex_orig!$AL162</f>
        <v>7.6877982635626802E-7</v>
      </c>
      <c r="AQ162" s="188">
        <f>opex_orig!$AL162</f>
        <v>7.6877982635626802E-7</v>
      </c>
      <c r="AR162" s="188">
        <f>opex_orig!$AL162</f>
        <v>7.6877982635626802E-7</v>
      </c>
      <c r="AS162" s="188">
        <f>opex_orig!$AM162</f>
        <v>6.9330753583842795E-7</v>
      </c>
      <c r="AT162" s="188">
        <f>opex_orig!AN162</f>
        <v>1.26E-6</v>
      </c>
      <c r="AU162" s="188">
        <f>opex_orig!$AO162</f>
        <v>7.8205414033679097E-7</v>
      </c>
      <c r="AV162" s="188">
        <f>opex_orig!$AO162</f>
        <v>7.8205414033679097E-7</v>
      </c>
      <c r="AW162" s="188">
        <f>opex_orig!$AO162</f>
        <v>7.8205414033679097E-7</v>
      </c>
      <c r="AX162" s="188">
        <f>opex_orig!$AP162</f>
        <v>5.1733314594485897E-7</v>
      </c>
      <c r="AY162" s="188">
        <f>opex_orig!AQ162</f>
        <v>1.2300000000000001E-6</v>
      </c>
      <c r="AZ162" s="188">
        <f>opex_orig!AR162</f>
        <v>0</v>
      </c>
      <c r="BA162" s="188">
        <f>opex_orig!AS162</f>
        <v>1.57E-6</v>
      </c>
      <c r="BB162" s="188">
        <f>opex_orig!AT162</f>
        <v>1.77E-6</v>
      </c>
      <c r="BC162" s="188">
        <f>opex_orig!AU162</f>
        <v>1.4399999999999999E-7</v>
      </c>
      <c r="BD162" s="188">
        <f>opex_orig!AV162</f>
        <v>5.7299999999999997E-8</v>
      </c>
      <c r="BE162" s="188">
        <f>opex_orig!AW162</f>
        <v>2.43E-6</v>
      </c>
      <c r="BF162" s="188">
        <f>opex_orig!AX162</f>
        <v>0</v>
      </c>
      <c r="BG162" s="188">
        <f>opex_orig!AY162</f>
        <v>2.4499999999999998E-7</v>
      </c>
      <c r="BH162" s="188">
        <f>opex_orig!AZ162</f>
        <v>0</v>
      </c>
      <c r="BI162" s="188">
        <f>opex_orig!BA162</f>
        <v>1.1200000000000001E-6</v>
      </c>
      <c r="BJ162" s="188">
        <f>opex_orig!BB162</f>
        <v>6.4899999999999995E-7</v>
      </c>
      <c r="BK162" s="188">
        <f>opex_orig!BC162</f>
        <v>9.569999999999999E-7</v>
      </c>
      <c r="BL162" s="188">
        <f>opex_orig!BD162</f>
        <v>1.73E-6</v>
      </c>
      <c r="BM162" s="188">
        <f>opex_orig!BE162</f>
        <v>7.3099999999999997E-7</v>
      </c>
      <c r="BN162" s="188">
        <f>opex_orig!BF162</f>
        <v>2.5799999999999999E-6</v>
      </c>
      <c r="BO162" s="188">
        <f>opex_orig!BG162</f>
        <v>7.7700000000000004E-7</v>
      </c>
      <c r="BP162" s="188">
        <f>opex_orig!$BH162</f>
        <v>9.57439489476464E-7</v>
      </c>
      <c r="BQ162" s="188">
        <f>opex_orig!$BH162</f>
        <v>9.57439489476464E-7</v>
      </c>
      <c r="BR162" s="188">
        <f>opex_orig!BI162</f>
        <v>7.9299999999999997E-7</v>
      </c>
      <c r="BS162" s="188">
        <f>opex_orig!BJ162</f>
        <v>1.1599999999999999E-6</v>
      </c>
      <c r="BT162" s="188">
        <f>opex_orig!BK162</f>
        <v>9.1200000000000001E-7</v>
      </c>
      <c r="BU162" s="188">
        <f>opex_orig!BL162</f>
        <v>0</v>
      </c>
      <c r="BV162" s="27">
        <f>opex_orig!BM162</f>
        <v>9.1952157672422796E-7</v>
      </c>
      <c r="BW162" s="27">
        <f>opex_orig!BN162</f>
        <v>5.9543591135705804E-7</v>
      </c>
      <c r="BX162" s="27">
        <f>opex_orig!BO162</f>
        <v>2.4655283410438898E-7</v>
      </c>
      <c r="BY162" s="27">
        <f>opex_orig!BP162</f>
        <v>3.7710360526712302E-7</v>
      </c>
      <c r="BZ162" s="27">
        <f>opex_orig!BQ162</f>
        <v>2.1620859308802301E-7</v>
      </c>
      <c r="CA162" s="27">
        <f>opex_orig!BR162</f>
        <v>1.9337730303935E-6</v>
      </c>
      <c r="CB162" s="27">
        <f>opex_orig!BS162</f>
        <v>4.8943631265472696E-7</v>
      </c>
      <c r="CC162" s="27">
        <f>opex_orig!BT162</f>
        <v>4.3298060544080799E-6</v>
      </c>
      <c r="CD162" s="27">
        <f>opex_orig!BU162</f>
        <v>1.4409365371630599E-7</v>
      </c>
      <c r="CE162" s="27">
        <f>opex_orig!BV162</f>
        <v>1.4409365371630599E-7</v>
      </c>
      <c r="CF162" s="27">
        <f>opex_orig!BW162</f>
        <v>1.3891020648707101E-6</v>
      </c>
      <c r="CG162" s="27">
        <f>opex_orig!BX162</f>
        <v>1.8212736406923799E-6</v>
      </c>
      <c r="CH162" s="27">
        <f>opex_orig!BY162</f>
        <v>6.7885518158220102E-7</v>
      </c>
      <c r="CI162" s="27">
        <f>opex_orig!BZ162</f>
        <v>3.5699999999999998E-7</v>
      </c>
      <c r="CJ162" s="27">
        <f>opex_orig!CA162</f>
        <v>2.41E-7</v>
      </c>
      <c r="CK162" s="27">
        <f>opex_orig!CB162</f>
        <v>2.3200000000000001E-7</v>
      </c>
      <c r="CL162" s="27">
        <f>opex_orig!CC162</f>
        <v>8.0900000000000003E-8</v>
      </c>
      <c r="CM162" s="27">
        <f>opex_orig!CD162</f>
        <v>4.4799999999999999E-7</v>
      </c>
      <c r="CN162" s="27">
        <f>opex_orig!CE162</f>
        <v>1.1599999999999999E-6</v>
      </c>
      <c r="CO162" s="27">
        <f>opex_orig!CF162</f>
        <v>2.6999999999999999E-5</v>
      </c>
      <c r="CP162" s="27">
        <f>opex_orig!CG162</f>
        <v>2.65E-5</v>
      </c>
    </row>
    <row r="163" spans="1:94" x14ac:dyDescent="0.25">
      <c r="A163" s="5" t="s">
        <v>317</v>
      </c>
      <c r="B163" s="2" t="s">
        <v>316</v>
      </c>
      <c r="C163" s="1" t="s">
        <v>335</v>
      </c>
      <c r="D163" s="188">
        <f>opex_orig!D163</f>
        <v>2.23262E-4</v>
      </c>
      <c r="E163" s="188">
        <f>opex_orig!E163</f>
        <v>3.0800000000000003E-5</v>
      </c>
      <c r="F163" s="188">
        <f>opex_orig!F163</f>
        <v>9.7999999999999997E-5</v>
      </c>
      <c r="G163" s="188">
        <f>opex_orig!G163</f>
        <v>2.3800000000000001E-6</v>
      </c>
      <c r="H163" s="188">
        <f>opex_orig!H163</f>
        <v>5.0799999999999996E-6</v>
      </c>
      <c r="I163" s="188">
        <f>opex_orig!I163</f>
        <v>3.8399999999999998E-5</v>
      </c>
      <c r="J163" s="188">
        <f>opex_orig!J163</f>
        <v>1.21416E-4</v>
      </c>
      <c r="K163" s="188">
        <f>opex_orig!K163</f>
        <v>7.5000000000000002E-6</v>
      </c>
      <c r="L163" s="188">
        <f>opex_orig!L163</f>
        <v>4.1600000000000002E-5</v>
      </c>
      <c r="M163" s="188">
        <f>opex_orig!M163</f>
        <v>1.07506E-4</v>
      </c>
      <c r="N163" s="188">
        <f>opex_orig!N163</f>
        <v>7.25E-5</v>
      </c>
      <c r="O163" s="188">
        <f>opex_orig!O163</f>
        <v>1.5858499999999999E-4</v>
      </c>
      <c r="P163" s="188">
        <f>opex_orig!P163</f>
        <v>5.2200000000000002E-5</v>
      </c>
      <c r="Q163" s="188">
        <f>opex_orig!Q163</f>
        <v>6.8499999999999998E-5</v>
      </c>
      <c r="R163" s="188">
        <f>opex_orig!R163</f>
        <v>2.9200000000000002E-5</v>
      </c>
      <c r="S163" s="188">
        <f>opex_orig!S163</f>
        <v>5.2099999999999999E-5</v>
      </c>
      <c r="T163" s="188">
        <f>opex_orig!T163</f>
        <v>4.32E-5</v>
      </c>
      <c r="U163" s="188">
        <f>opex_orig!U163</f>
        <v>5.3600000000000002E-5</v>
      </c>
      <c r="V163" s="188">
        <f>opex_orig!V163</f>
        <v>6.0800000000000001E-5</v>
      </c>
      <c r="W163" s="188">
        <f>opex_orig!W163</f>
        <v>5.3199999999999999E-5</v>
      </c>
      <c r="X163" s="188">
        <f>opex_orig!X163</f>
        <v>8.1199999999999995E-5</v>
      </c>
      <c r="Y163" s="188">
        <f>opex_orig!Y163</f>
        <v>4.7400000000000004E-6</v>
      </c>
      <c r="Z163" s="188">
        <f>opex_orig!Z163</f>
        <v>6.2534099999999996E-4</v>
      </c>
      <c r="AA163" s="188">
        <f>opex_orig!AA163</f>
        <v>2.41E-5</v>
      </c>
      <c r="AB163" s="188">
        <f>opex_orig!$AB163</f>
        <v>2.1192933224346199E-5</v>
      </c>
      <c r="AC163" s="188">
        <f>opex_orig!$AB163</f>
        <v>2.1192933224346199E-5</v>
      </c>
      <c r="AD163" s="188">
        <f>opex_orig!$AB163</f>
        <v>2.1192933224346199E-5</v>
      </c>
      <c r="AE163" s="188">
        <f>opex_orig!$AC163</f>
        <v>1.13136768777148E-4</v>
      </c>
      <c r="AF163" s="188">
        <f>opex_orig!$AD163</f>
        <v>7.7942863584130604E-5</v>
      </c>
      <c r="AG163" s="188">
        <f>opex_orig!$AD163</f>
        <v>7.7942863584130604E-5</v>
      </c>
      <c r="AH163" s="188">
        <f>opex_orig!$AD163</f>
        <v>7.7942863584130604E-5</v>
      </c>
      <c r="AI163" s="188">
        <f>opex_orig!AE163</f>
        <v>7.4400000000000006E-5</v>
      </c>
      <c r="AJ163" s="188">
        <f>opex_orig!AF163</f>
        <v>5.8976799999999995E-4</v>
      </c>
      <c r="AK163" s="188">
        <f>opex_orig!AG163</f>
        <v>2.7500000000000001E-5</v>
      </c>
      <c r="AL163" s="188">
        <f>opex_orig!AH163</f>
        <v>1.33E-5</v>
      </c>
      <c r="AM163" s="188">
        <f>opex_orig!AI163</f>
        <v>2.4600000000000002E-5</v>
      </c>
      <c r="AN163" s="188">
        <f>opex_orig!AJ163</f>
        <v>1.19E-5</v>
      </c>
      <c r="AO163" s="188">
        <f>opex_orig!AK163</f>
        <v>1.36E-5</v>
      </c>
      <c r="AP163" s="188">
        <f>opex_orig!$AL163</f>
        <v>1.9225811905037701E-5</v>
      </c>
      <c r="AQ163" s="188">
        <f>opex_orig!$AL163</f>
        <v>1.9225811905037701E-5</v>
      </c>
      <c r="AR163" s="188">
        <f>opex_orig!$AL163</f>
        <v>1.9225811905037701E-5</v>
      </c>
      <c r="AS163" s="188">
        <f>opex_orig!$AM163</f>
        <v>1.7662469224607301E-5</v>
      </c>
      <c r="AT163" s="188">
        <f>opex_orig!AN163</f>
        <v>2.5400000000000001E-5</v>
      </c>
      <c r="AU163" s="188">
        <f>opex_orig!$AO163</f>
        <v>1.3967744771570899E-5</v>
      </c>
      <c r="AV163" s="188">
        <f>opex_orig!$AO163</f>
        <v>1.3967744771570899E-5</v>
      </c>
      <c r="AW163" s="188">
        <f>opex_orig!$AO163</f>
        <v>1.3967744771570899E-5</v>
      </c>
      <c r="AX163" s="188">
        <f>opex_orig!$AP163</f>
        <v>1.7450745944546499E-5</v>
      </c>
      <c r="AY163" s="188">
        <f>opex_orig!AQ163</f>
        <v>8.7899999999999995E-5</v>
      </c>
      <c r="AZ163" s="188">
        <f>opex_orig!AR163</f>
        <v>0</v>
      </c>
      <c r="BA163" s="188">
        <f>opex_orig!AS163</f>
        <v>2.0400000000000001E-5</v>
      </c>
      <c r="BB163" s="188">
        <f>opex_orig!AT163</f>
        <v>1.9300000000000002E-5</v>
      </c>
      <c r="BC163" s="188">
        <f>opex_orig!AU163</f>
        <v>7.96E-6</v>
      </c>
      <c r="BD163" s="188">
        <f>opex_orig!AV163</f>
        <v>4.6E-6</v>
      </c>
      <c r="BE163" s="188">
        <f>opex_orig!AW163</f>
        <v>1.4399999999999999E-5</v>
      </c>
      <c r="BF163" s="188">
        <f>opex_orig!AX163</f>
        <v>0</v>
      </c>
      <c r="BG163" s="188">
        <f>opex_orig!AY163</f>
        <v>2.6299999999999999E-5</v>
      </c>
      <c r="BH163" s="188">
        <f>opex_orig!AZ163</f>
        <v>0</v>
      </c>
      <c r="BI163" s="188">
        <f>opex_orig!BA163</f>
        <v>2.48E-5</v>
      </c>
      <c r="BJ163" s="188">
        <f>opex_orig!BB163</f>
        <v>2.5700000000000001E-5</v>
      </c>
      <c r="BK163" s="188">
        <f>opex_orig!BC163</f>
        <v>4.4299999999999999E-5</v>
      </c>
      <c r="BL163" s="188">
        <f>opex_orig!BD163</f>
        <v>1.2082300000000001E-4</v>
      </c>
      <c r="BM163" s="188">
        <f>opex_orig!BE163</f>
        <v>3.18E-5</v>
      </c>
      <c r="BN163" s="188">
        <f>opex_orig!BF163</f>
        <v>1.26E-5</v>
      </c>
      <c r="BO163" s="188">
        <f>opex_orig!BG163</f>
        <v>5.4500000000000003E-5</v>
      </c>
      <c r="BP163" s="188">
        <f>opex_orig!$BH163</f>
        <v>2.8513923540861499E-5</v>
      </c>
      <c r="BQ163" s="188">
        <f>opex_orig!$BH163</f>
        <v>2.8513923540861499E-5</v>
      </c>
      <c r="BR163" s="188">
        <f>opex_orig!BI163</f>
        <v>1.8899999999999999E-5</v>
      </c>
      <c r="BS163" s="188">
        <f>opex_orig!BJ163</f>
        <v>2.1490499999999999E-4</v>
      </c>
      <c r="BT163" s="188">
        <f>opex_orig!BK163</f>
        <v>1.5E-5</v>
      </c>
      <c r="BU163" s="188">
        <f>opex_orig!BL163</f>
        <v>0</v>
      </c>
      <c r="BV163" s="27">
        <f>opex_orig!BM163</f>
        <v>2.7178667076136001E-5</v>
      </c>
      <c r="BW163" s="27">
        <f>opex_orig!BN163</f>
        <v>5.2998248676683503E-5</v>
      </c>
      <c r="BX163" s="27">
        <f>opex_orig!BO163</f>
        <v>1.5105540152157899E-5</v>
      </c>
      <c r="BY163" s="27">
        <f>opex_orig!BP163</f>
        <v>3.3545981816338698E-5</v>
      </c>
      <c r="BZ163" s="27">
        <f>opex_orig!BQ163</f>
        <v>1.62103461719277E-5</v>
      </c>
      <c r="CA163" s="27">
        <f>opex_orig!BR163</f>
        <v>6.4780126218526204E-5</v>
      </c>
      <c r="CB163" s="27">
        <f>opex_orig!BS163</f>
        <v>2.2941245202591399E-5</v>
      </c>
      <c r="CC163" s="27">
        <f>opex_orig!BT163</f>
        <v>9.7134247988924896E-5</v>
      </c>
      <c r="CD163" s="27">
        <f>opex_orig!BU163</f>
        <v>3.0034955208036401E-5</v>
      </c>
      <c r="CE163" s="27">
        <f>opex_orig!BV163</f>
        <v>3.0034955208036499E-5</v>
      </c>
      <c r="CF163" s="27">
        <f>opex_orig!BW163</f>
        <v>4.0714813644691102E-5</v>
      </c>
      <c r="CG163" s="27">
        <f>opex_orig!BX163</f>
        <v>4.3523285205156897E-6</v>
      </c>
      <c r="CH163" s="27">
        <f>opex_orig!BY163</f>
        <v>4.1746528477457003E-5</v>
      </c>
      <c r="CI163" s="27">
        <f>opex_orig!BZ163</f>
        <v>4.71E-5</v>
      </c>
      <c r="CJ163" s="27">
        <f>opex_orig!CA163</f>
        <v>3.3699999999999999E-5</v>
      </c>
      <c r="CK163" s="27">
        <f>opex_orig!CB163</f>
        <v>2.8799999999999999E-5</v>
      </c>
      <c r="CL163" s="27">
        <f>opex_orig!CC163</f>
        <v>4.18E-5</v>
      </c>
      <c r="CM163" s="27">
        <f>opex_orig!CD163</f>
        <v>7.5199999999999998E-5</v>
      </c>
      <c r="CN163" s="27">
        <f>opex_orig!CE163</f>
        <v>1.43392E-4</v>
      </c>
      <c r="CO163" s="27">
        <f>opex_orig!CF163</f>
        <v>1.45084E-4</v>
      </c>
      <c r="CP163" s="27">
        <f>opex_orig!CG163</f>
        <v>4.7899999999999999E-5</v>
      </c>
    </row>
    <row r="164" spans="1:94" x14ac:dyDescent="0.25">
      <c r="A164" s="5" t="s">
        <v>319</v>
      </c>
      <c r="B164" s="2" t="s">
        <v>318</v>
      </c>
      <c r="C164" s="1" t="s">
        <v>335</v>
      </c>
      <c r="D164" s="188">
        <f>opex_orig!D164</f>
        <v>5.49E-5</v>
      </c>
      <c r="E164" s="188">
        <f>opex_orig!E164</f>
        <v>2.6100000000000001E-5</v>
      </c>
      <c r="F164" s="188">
        <f>opex_orig!F164</f>
        <v>2.4600000000000002E-5</v>
      </c>
      <c r="G164" s="188">
        <f>opex_orig!G164</f>
        <v>5.0900000000000004E-6</v>
      </c>
      <c r="H164" s="188">
        <f>opex_orig!H164</f>
        <v>8.32E-6</v>
      </c>
      <c r="I164" s="188">
        <f>opex_orig!I164</f>
        <v>4.0299999999999997E-5</v>
      </c>
      <c r="J164" s="188">
        <f>opex_orig!J164</f>
        <v>7.7200000000000006E-5</v>
      </c>
      <c r="K164" s="188">
        <f>opex_orig!K164</f>
        <v>1.63E-5</v>
      </c>
      <c r="L164" s="188">
        <f>opex_orig!L164</f>
        <v>4.9700000000000002E-5</v>
      </c>
      <c r="M164" s="188">
        <f>opex_orig!M164</f>
        <v>1.42733E-4</v>
      </c>
      <c r="N164" s="188">
        <f>opex_orig!N164</f>
        <v>1.01235E-4</v>
      </c>
      <c r="O164" s="188">
        <f>opex_orig!O164</f>
        <v>6.86E-5</v>
      </c>
      <c r="P164" s="188">
        <f>opex_orig!P164</f>
        <v>3.2898699999999999E-4</v>
      </c>
      <c r="Q164" s="188">
        <f>opex_orig!Q164</f>
        <v>1.8762600000000001E-4</v>
      </c>
      <c r="R164" s="188">
        <f>opex_orig!R164</f>
        <v>4.4299999999999999E-5</v>
      </c>
      <c r="S164" s="188">
        <f>opex_orig!S164</f>
        <v>1.24845E-4</v>
      </c>
      <c r="T164" s="188">
        <f>opex_orig!T164</f>
        <v>1.4848500000000001E-4</v>
      </c>
      <c r="U164" s="188">
        <f>opex_orig!U164</f>
        <v>7.2200000000000007E-5</v>
      </c>
      <c r="V164" s="188">
        <f>opex_orig!V164</f>
        <v>4.7700000000000001E-5</v>
      </c>
      <c r="W164" s="188">
        <f>opex_orig!W164</f>
        <v>4.3699999999999998E-5</v>
      </c>
      <c r="X164" s="188">
        <f>opex_orig!X164</f>
        <v>6.2100000000000005E-5</v>
      </c>
      <c r="Y164" s="188">
        <f>opex_orig!Y164</f>
        <v>2.0299999999999999E-5</v>
      </c>
      <c r="Z164" s="188">
        <f>opex_orig!Z164</f>
        <v>1.6200000000000001E-5</v>
      </c>
      <c r="AA164" s="188">
        <f>opex_orig!AA164</f>
        <v>5.3300000000000001E-5</v>
      </c>
      <c r="AB164" s="188">
        <f>opex_orig!$AB164</f>
        <v>5.2384373153058202E-5</v>
      </c>
      <c r="AC164" s="188">
        <f>opex_orig!$AB164</f>
        <v>5.2384373153058202E-5</v>
      </c>
      <c r="AD164" s="188">
        <f>opex_orig!$AB164</f>
        <v>5.2384373153058202E-5</v>
      </c>
      <c r="AE164" s="188">
        <f>opex_orig!$AC164</f>
        <v>9.6183959114447799E-5</v>
      </c>
      <c r="AF164" s="188">
        <f>opex_orig!$AD164</f>
        <v>5.2585023334554401E-5</v>
      </c>
      <c r="AG164" s="188">
        <f>opex_orig!$AD164</f>
        <v>5.2585023334554401E-5</v>
      </c>
      <c r="AH164" s="188">
        <f>opex_orig!$AD164</f>
        <v>5.2585023334554401E-5</v>
      </c>
      <c r="AI164" s="188">
        <f>opex_orig!AE164</f>
        <v>4.6600000000000001E-5</v>
      </c>
      <c r="AJ164" s="188">
        <f>opex_orig!AF164</f>
        <v>1.1233E-4</v>
      </c>
      <c r="AK164" s="188">
        <f>opex_orig!AG164</f>
        <v>3.2700000000000002E-5</v>
      </c>
      <c r="AL164" s="188">
        <f>opex_orig!AH164</f>
        <v>1.5618300000000001E-4</v>
      </c>
      <c r="AM164" s="188">
        <f>opex_orig!AI164</f>
        <v>5.02E-5</v>
      </c>
      <c r="AN164" s="188">
        <f>opex_orig!AJ164</f>
        <v>1.7628199999999999E-4</v>
      </c>
      <c r="AO164" s="188">
        <f>opex_orig!AK164</f>
        <v>1.26484E-4</v>
      </c>
      <c r="AP164" s="188">
        <f>opex_orig!$AL164</f>
        <v>1.04720304548453E-4</v>
      </c>
      <c r="AQ164" s="188">
        <f>opex_orig!$AL164</f>
        <v>1.04720304548453E-4</v>
      </c>
      <c r="AR164" s="188">
        <f>opex_orig!$AL164</f>
        <v>1.04720304548453E-4</v>
      </c>
      <c r="AS164" s="188">
        <f>opex_orig!$AM164</f>
        <v>1.04171819738258E-4</v>
      </c>
      <c r="AT164" s="188">
        <f>opex_orig!AN164</f>
        <v>1.0063799999999999E-4</v>
      </c>
      <c r="AU164" s="188">
        <f>opex_orig!$AO164</f>
        <v>3.2056024835260102E-5</v>
      </c>
      <c r="AV164" s="188">
        <f>opex_orig!$AO164</f>
        <v>3.2056024835260102E-5</v>
      </c>
      <c r="AW164" s="188">
        <f>opex_orig!$AO164</f>
        <v>3.2056024835260102E-5</v>
      </c>
      <c r="AX164" s="188">
        <f>opex_orig!$AP164</f>
        <v>4.2290329449059799E-5</v>
      </c>
      <c r="AY164" s="188">
        <f>opex_orig!AQ164</f>
        <v>7.0500000000000006E-5</v>
      </c>
      <c r="AZ164" s="188">
        <f>opex_orig!AR164</f>
        <v>0</v>
      </c>
      <c r="BA164" s="188">
        <f>opex_orig!AS164</f>
        <v>4.6300000000000001E-5</v>
      </c>
      <c r="BB164" s="188">
        <f>opex_orig!AT164</f>
        <v>4.3399999999999998E-5</v>
      </c>
      <c r="BC164" s="188">
        <f>opex_orig!AU164</f>
        <v>1.7499999999999998E-5</v>
      </c>
      <c r="BD164" s="188">
        <f>opex_orig!AV164</f>
        <v>1.36E-5</v>
      </c>
      <c r="BE164" s="188">
        <f>opex_orig!AW164</f>
        <v>3.1300000000000002E-5</v>
      </c>
      <c r="BF164" s="188">
        <f>opex_orig!AX164</f>
        <v>0</v>
      </c>
      <c r="BG164" s="188">
        <f>opex_orig!AY164</f>
        <v>9.4500000000000007E-5</v>
      </c>
      <c r="BH164" s="188">
        <f>opex_orig!AZ164</f>
        <v>0</v>
      </c>
      <c r="BI164" s="188">
        <f>opex_orig!BA164</f>
        <v>4.9400000000000001E-5</v>
      </c>
      <c r="BJ164" s="188">
        <f>opex_orig!BB164</f>
        <v>4.1399999999999997E-5</v>
      </c>
      <c r="BK164" s="188">
        <f>opex_orig!BC164</f>
        <v>3.8699999999999999E-5</v>
      </c>
      <c r="BL164" s="188">
        <f>opex_orig!BD164</f>
        <v>5.0899999999999997E-5</v>
      </c>
      <c r="BM164" s="188">
        <f>opex_orig!BE164</f>
        <v>5.9599999999999999E-5</v>
      </c>
      <c r="BN164" s="188">
        <f>opex_orig!BF164</f>
        <v>7.6699999999999994E-5</v>
      </c>
      <c r="BO164" s="188">
        <f>opex_orig!BG164</f>
        <v>4.85E-5</v>
      </c>
      <c r="BP164" s="188">
        <f>opex_orig!$BH164</f>
        <v>3.37841055797442E-5</v>
      </c>
      <c r="BQ164" s="188">
        <f>opex_orig!$BH164</f>
        <v>3.37841055797442E-5</v>
      </c>
      <c r="BR164" s="188">
        <f>opex_orig!BI164</f>
        <v>2.1100000000000001E-5</v>
      </c>
      <c r="BS164" s="188">
        <f>opex_orig!BJ164</f>
        <v>6.0999999999999999E-5</v>
      </c>
      <c r="BT164" s="188">
        <f>opex_orig!BK164</f>
        <v>3.04E-5</v>
      </c>
      <c r="BU164" s="188">
        <f>opex_orig!BL164</f>
        <v>0</v>
      </c>
      <c r="BV164" s="27">
        <f>opex_orig!BM164</f>
        <v>2.3048704198728399E-5</v>
      </c>
      <c r="BW164" s="27">
        <f>opex_orig!BN164</f>
        <v>4.4263032493905502E-5</v>
      </c>
      <c r="BX164" s="27">
        <f>opex_orig!BO164</f>
        <v>1.51329221303918E-5</v>
      </c>
      <c r="BY164" s="27">
        <f>opex_orig!BP164</f>
        <v>2.5958667366038199E-5</v>
      </c>
      <c r="BZ164" s="27">
        <f>opex_orig!BQ164</f>
        <v>1.9557936922317601E-5</v>
      </c>
      <c r="CA164" s="27">
        <f>opex_orig!BR164</f>
        <v>4.0047176341573201E-4</v>
      </c>
      <c r="CB164" s="27">
        <f>opex_orig!BS164</f>
        <v>1.1561893699226E-4</v>
      </c>
      <c r="CC164" s="27">
        <f>opex_orig!BT164</f>
        <v>1.1309361249905999E-5</v>
      </c>
      <c r="CD164" s="27">
        <f>opex_orig!BU164</f>
        <v>1.31250331663879E-5</v>
      </c>
      <c r="CE164" s="27">
        <f>opex_orig!BV164</f>
        <v>1.31250331663879E-5</v>
      </c>
      <c r="CF164" s="27">
        <f>opex_orig!BW164</f>
        <v>1.6061716490178999E-5</v>
      </c>
      <c r="CG164" s="27">
        <f>opex_orig!BX164</f>
        <v>1.12627202847729E-5</v>
      </c>
      <c r="CH164" s="27">
        <f>opex_orig!BY164</f>
        <v>7.8128938811943504E-5</v>
      </c>
      <c r="CI164" s="27">
        <f>opex_orig!BZ164</f>
        <v>3.18E-5</v>
      </c>
      <c r="CJ164" s="27">
        <f>opex_orig!CA164</f>
        <v>2.0999999999999999E-5</v>
      </c>
      <c r="CK164" s="27">
        <f>opex_orig!CB164</f>
        <v>1.7E-5</v>
      </c>
      <c r="CL164" s="27">
        <f>opex_orig!CC164</f>
        <v>1.7099999999999999E-5</v>
      </c>
      <c r="CM164" s="27">
        <f>opex_orig!CD164</f>
        <v>3.0499999999999999E-5</v>
      </c>
      <c r="CN164" s="27">
        <f>opex_orig!CE164</f>
        <v>5.5600000000000003E-5</v>
      </c>
      <c r="CO164" s="27">
        <f>opex_orig!CF164</f>
        <v>5.9799999999999997E-5</v>
      </c>
      <c r="CP164" s="27">
        <f>opex_orig!CG164</f>
        <v>3.6999999999999998E-5</v>
      </c>
    </row>
    <row r="165" spans="1:94" x14ac:dyDescent="0.25">
      <c r="A165" s="5" t="s">
        <v>321</v>
      </c>
      <c r="B165" s="2" t="s">
        <v>320</v>
      </c>
      <c r="C165" s="1" t="s">
        <v>335</v>
      </c>
      <c r="D165" s="188">
        <f>opex_orig!D165</f>
        <v>2.8200000000000001E-7</v>
      </c>
      <c r="E165" s="188">
        <f>opex_orig!E165</f>
        <v>5.6700000000000003E-7</v>
      </c>
      <c r="F165" s="188">
        <f>opex_orig!F165</f>
        <v>9.2600000000000001E-7</v>
      </c>
      <c r="G165" s="188">
        <f>opex_orig!G165</f>
        <v>1.0700000000000001E-7</v>
      </c>
      <c r="H165" s="188">
        <f>opex_orig!H165</f>
        <v>4.8900000000000001E-8</v>
      </c>
      <c r="I165" s="188">
        <f>opex_orig!I165</f>
        <v>5.2099999999999997E-7</v>
      </c>
      <c r="J165" s="188">
        <f>opex_orig!J165</f>
        <v>1.9099999999999999E-6</v>
      </c>
      <c r="K165" s="188">
        <f>opex_orig!K165</f>
        <v>2.6800000000000002E-7</v>
      </c>
      <c r="L165" s="188">
        <f>opex_orig!L165</f>
        <v>1.7099999999999999E-6</v>
      </c>
      <c r="M165" s="188">
        <f>opex_orig!M165</f>
        <v>1.9E-6</v>
      </c>
      <c r="N165" s="188">
        <f>opex_orig!N165</f>
        <v>1.3200000000000001E-6</v>
      </c>
      <c r="O165" s="188">
        <f>opex_orig!O165</f>
        <v>6.3100000000000003E-8</v>
      </c>
      <c r="P165" s="188">
        <f>opex_orig!P165</f>
        <v>2.4899999999999999E-6</v>
      </c>
      <c r="Q165" s="188">
        <f>opex_orig!Q165</f>
        <v>2.6100000000000001E-5</v>
      </c>
      <c r="R165" s="188">
        <f>opex_orig!R165</f>
        <v>2.4899999999999999E-5</v>
      </c>
      <c r="S165" s="188">
        <f>opex_orig!S165</f>
        <v>4.75E-7</v>
      </c>
      <c r="T165" s="188">
        <f>opex_orig!T165</f>
        <v>7.0299999999999998E-7</v>
      </c>
      <c r="U165" s="188">
        <f>opex_orig!U165</f>
        <v>7.9599999999999998E-7</v>
      </c>
      <c r="V165" s="188">
        <f>opex_orig!V165</f>
        <v>9.33E-7</v>
      </c>
      <c r="W165" s="188">
        <f>opex_orig!W165</f>
        <v>5.1399999999999997E-7</v>
      </c>
      <c r="X165" s="188">
        <f>opex_orig!X165</f>
        <v>2.35E-7</v>
      </c>
      <c r="Y165" s="188">
        <f>opex_orig!Y165</f>
        <v>1.3199999999999999E-7</v>
      </c>
      <c r="Z165" s="188">
        <f>opex_orig!Z165</f>
        <v>4.75E-7</v>
      </c>
      <c r="AA165" s="188">
        <f>opex_orig!AA165</f>
        <v>2.26E-6</v>
      </c>
      <c r="AB165" s="188">
        <f>opex_orig!$AB165</f>
        <v>1.7846163263408401E-6</v>
      </c>
      <c r="AC165" s="188">
        <f>opex_orig!$AB165</f>
        <v>1.7846163263408401E-6</v>
      </c>
      <c r="AD165" s="188">
        <f>opex_orig!$AB165</f>
        <v>1.7846163263408401E-6</v>
      </c>
      <c r="AE165" s="188">
        <f>opex_orig!$AC165</f>
        <v>1.51834511102114E-6</v>
      </c>
      <c r="AF165" s="188">
        <f>opex_orig!$AD165</f>
        <v>8.5840372566698495E-7</v>
      </c>
      <c r="AG165" s="188">
        <f>opex_orig!$AD165</f>
        <v>8.5840372566698495E-7</v>
      </c>
      <c r="AH165" s="188">
        <f>opex_orig!$AD165</f>
        <v>8.5840372566698495E-7</v>
      </c>
      <c r="AI165" s="188">
        <f>opex_orig!AE165</f>
        <v>7.0699999999999996E-7</v>
      </c>
      <c r="AJ165" s="188">
        <f>opex_orig!AF165</f>
        <v>1.7999999999999999E-6</v>
      </c>
      <c r="AK165" s="188">
        <f>opex_orig!AG165</f>
        <v>6.7400000000000003E-7</v>
      </c>
      <c r="AL165" s="188">
        <f>opex_orig!AH165</f>
        <v>1.73E-7</v>
      </c>
      <c r="AM165" s="188">
        <f>opex_orig!AI165</f>
        <v>2.36E-7</v>
      </c>
      <c r="AN165" s="188">
        <f>opex_orig!AJ165</f>
        <v>2.8599999999999999E-7</v>
      </c>
      <c r="AO165" s="188">
        <f>opex_orig!AK165</f>
        <v>4.6899999999999998E-7</v>
      </c>
      <c r="AP165" s="188">
        <f>opex_orig!$AL165</f>
        <v>3.4614722113146099E-7</v>
      </c>
      <c r="AQ165" s="188">
        <f>opex_orig!$AL165</f>
        <v>3.4614722113146099E-7</v>
      </c>
      <c r="AR165" s="188">
        <f>opex_orig!$AL165</f>
        <v>3.4614722113146099E-7</v>
      </c>
      <c r="AS165" s="188">
        <f>opex_orig!$AM165</f>
        <v>4.5591543449837997E-7</v>
      </c>
      <c r="AT165" s="188">
        <f>opex_orig!AN165</f>
        <v>2.4900000000000002E-7</v>
      </c>
      <c r="AU165" s="188">
        <f>opex_orig!$AO165</f>
        <v>1.58607042941954E-6</v>
      </c>
      <c r="AV165" s="188">
        <f>opex_orig!$AO165</f>
        <v>1.58607042941954E-6</v>
      </c>
      <c r="AW165" s="188">
        <f>opex_orig!$AO165</f>
        <v>1.58607042941954E-6</v>
      </c>
      <c r="AX165" s="188">
        <f>opex_orig!$AP165</f>
        <v>2.20198139225125E-7</v>
      </c>
      <c r="AY165" s="188">
        <f>opex_orig!AQ165</f>
        <v>1.74E-7</v>
      </c>
      <c r="AZ165" s="188">
        <f>opex_orig!AR165</f>
        <v>0</v>
      </c>
      <c r="BA165" s="188">
        <f>opex_orig!AS165</f>
        <v>2.05E-7</v>
      </c>
      <c r="BB165" s="188">
        <f>opex_orig!AT165</f>
        <v>1.4399999999999999E-7</v>
      </c>
      <c r="BC165" s="188">
        <f>opex_orig!AU165</f>
        <v>9.9400000000000003E-8</v>
      </c>
      <c r="BD165" s="188">
        <f>opex_orig!AV165</f>
        <v>5.25E-8</v>
      </c>
      <c r="BE165" s="188">
        <f>opex_orig!AW165</f>
        <v>1.36E-7</v>
      </c>
      <c r="BF165" s="188">
        <f>opex_orig!AX165</f>
        <v>0</v>
      </c>
      <c r="BG165" s="188">
        <f>opex_orig!AY165</f>
        <v>1.17E-6</v>
      </c>
      <c r="BH165" s="188">
        <f>opex_orig!AZ165</f>
        <v>0</v>
      </c>
      <c r="BI165" s="188">
        <f>opex_orig!BA165</f>
        <v>2.1500000000000001E-7</v>
      </c>
      <c r="BJ165" s="188">
        <f>opex_orig!BB165</f>
        <v>1.6500000000000001E-7</v>
      </c>
      <c r="BK165" s="188">
        <f>opex_orig!BC165</f>
        <v>4.0400000000000002E-7</v>
      </c>
      <c r="BL165" s="188">
        <f>opex_orig!BD165</f>
        <v>9.5600000000000004E-7</v>
      </c>
      <c r="BM165" s="188">
        <f>opex_orig!BE165</f>
        <v>6.4300000000000003E-7</v>
      </c>
      <c r="BN165" s="188">
        <f>opex_orig!BF165</f>
        <v>1.17E-6</v>
      </c>
      <c r="BO165" s="188">
        <f>opex_orig!BG165</f>
        <v>4.46E-7</v>
      </c>
      <c r="BP165" s="188">
        <f>opex_orig!$BH165</f>
        <v>2.2164024773430399E-7</v>
      </c>
      <c r="BQ165" s="188">
        <f>opex_orig!$BH165</f>
        <v>2.2164024773430399E-7</v>
      </c>
      <c r="BR165" s="188">
        <f>opex_orig!BI165</f>
        <v>5.7700000000000004E-7</v>
      </c>
      <c r="BS165" s="188">
        <f>opex_orig!BJ165</f>
        <v>2.17E-6</v>
      </c>
      <c r="BT165" s="188">
        <f>opex_orig!BK165</f>
        <v>5.3900000000000005E-7</v>
      </c>
      <c r="BU165" s="188">
        <f>opex_orig!BL165</f>
        <v>0</v>
      </c>
      <c r="BV165" s="27">
        <f>opex_orig!BM165</f>
        <v>5.7654186785735303E-7</v>
      </c>
      <c r="BW165" s="27">
        <f>opex_orig!BN165</f>
        <v>1.22306166621198E-6</v>
      </c>
      <c r="BX165" s="27">
        <f>opex_orig!BO165</f>
        <v>2.13435460522069E-7</v>
      </c>
      <c r="BY165" s="27">
        <f>opex_orig!BP165</f>
        <v>3.39938748611201E-7</v>
      </c>
      <c r="BZ165" s="27">
        <f>opex_orig!BQ165</f>
        <v>6.3754401403648799E-7</v>
      </c>
      <c r="CA165" s="27">
        <f>opex_orig!BR165</f>
        <v>1.2319222570579099E-6</v>
      </c>
      <c r="CB165" s="27">
        <f>opex_orig!BS165</f>
        <v>1.2856170297006901E-6</v>
      </c>
      <c r="CC165" s="27">
        <f>opex_orig!BT165</f>
        <v>7.1397410649271795E-7</v>
      </c>
      <c r="CD165" s="27">
        <f>opex_orig!BU165</f>
        <v>3.2345005118112098E-7</v>
      </c>
      <c r="CE165" s="27">
        <f>opex_orig!BV165</f>
        <v>3.2345005118112098E-7</v>
      </c>
      <c r="CF165" s="27">
        <f>opex_orig!BW165</f>
        <v>3.3598391751656198E-6</v>
      </c>
      <c r="CG165" s="27">
        <f>opex_orig!BX165</f>
        <v>1.9762208876009702E-6</v>
      </c>
      <c r="CH165" s="27">
        <f>opex_orig!BY165</f>
        <v>8.4008251806134998E-8</v>
      </c>
      <c r="CI165" s="27">
        <f>opex_orig!BZ165</f>
        <v>4.1199999999999998E-7</v>
      </c>
      <c r="CJ165" s="27">
        <f>opex_orig!CA165</f>
        <v>3.72E-7</v>
      </c>
      <c r="CK165" s="27">
        <f>opex_orig!CB165</f>
        <v>3.72E-7</v>
      </c>
      <c r="CL165" s="27">
        <f>opex_orig!CC165</f>
        <v>2.2399999999999999E-7</v>
      </c>
      <c r="CM165" s="27">
        <f>opex_orig!CD165</f>
        <v>9.9900000000000009E-7</v>
      </c>
      <c r="CN165" s="27">
        <f>opex_orig!CE165</f>
        <v>7.6000000000000003E-7</v>
      </c>
      <c r="CO165" s="27">
        <f>opex_orig!CF165</f>
        <v>4.33E-6</v>
      </c>
      <c r="CP165" s="27">
        <f>opex_orig!CG165</f>
        <v>1.37E-7</v>
      </c>
    </row>
    <row r="166" spans="1:94" x14ac:dyDescent="0.25">
      <c r="A166" s="5" t="s">
        <v>323</v>
      </c>
      <c r="B166" s="2" t="s">
        <v>322</v>
      </c>
      <c r="C166" s="1" t="s">
        <v>335</v>
      </c>
      <c r="D166" s="188">
        <f>opex_orig!D166</f>
        <v>0</v>
      </c>
      <c r="E166" s="188">
        <f>opex_orig!E166</f>
        <v>0</v>
      </c>
      <c r="F166" s="188">
        <f>opex_orig!F166</f>
        <v>0</v>
      </c>
      <c r="G166" s="188">
        <f>opex_orig!G166</f>
        <v>0</v>
      </c>
      <c r="H166" s="188">
        <f>opex_orig!H166</f>
        <v>0</v>
      </c>
      <c r="I166" s="188">
        <f>opex_orig!I166</f>
        <v>0</v>
      </c>
      <c r="J166" s="188">
        <f>opex_orig!J166</f>
        <v>0</v>
      </c>
      <c r="K166" s="188">
        <f>opex_orig!K166</f>
        <v>0</v>
      </c>
      <c r="L166" s="188">
        <f>opex_orig!L166</f>
        <v>0</v>
      </c>
      <c r="M166" s="188">
        <f>opex_orig!M166</f>
        <v>0</v>
      </c>
      <c r="N166" s="188">
        <f>opex_orig!N166</f>
        <v>0</v>
      </c>
      <c r="O166" s="188">
        <f>opex_orig!O166</f>
        <v>0</v>
      </c>
      <c r="P166" s="188">
        <f>opex_orig!P166</f>
        <v>0</v>
      </c>
      <c r="Q166" s="188">
        <f>opex_orig!Q166</f>
        <v>0</v>
      </c>
      <c r="R166" s="188">
        <f>opex_orig!R166</f>
        <v>0</v>
      </c>
      <c r="S166" s="188">
        <f>opex_orig!S166</f>
        <v>0</v>
      </c>
      <c r="T166" s="188">
        <f>opex_orig!T166</f>
        <v>0</v>
      </c>
      <c r="U166" s="188">
        <f>opex_orig!U166</f>
        <v>0</v>
      </c>
      <c r="V166" s="188">
        <f>opex_orig!V166</f>
        <v>0</v>
      </c>
      <c r="W166" s="188">
        <f>opex_orig!W166</f>
        <v>0</v>
      </c>
      <c r="X166" s="188">
        <f>opex_orig!X166</f>
        <v>0</v>
      </c>
      <c r="Y166" s="188">
        <f>opex_orig!Y166</f>
        <v>0</v>
      </c>
      <c r="Z166" s="188">
        <f>opex_orig!Z166</f>
        <v>0</v>
      </c>
      <c r="AA166" s="188">
        <f>opex_orig!AA166</f>
        <v>0</v>
      </c>
      <c r="AB166" s="188">
        <f>opex_orig!$AB166</f>
        <v>0</v>
      </c>
      <c r="AC166" s="188">
        <f>opex_orig!$AB166</f>
        <v>0</v>
      </c>
      <c r="AD166" s="188">
        <f>opex_orig!$AB166</f>
        <v>0</v>
      </c>
      <c r="AE166" s="188">
        <f>opex_orig!$AC166</f>
        <v>0</v>
      </c>
      <c r="AF166" s="188">
        <f>opex_orig!$AD166</f>
        <v>0</v>
      </c>
      <c r="AG166" s="188">
        <f>opex_orig!$AD166</f>
        <v>0</v>
      </c>
      <c r="AH166" s="188">
        <f>opex_orig!$AD166</f>
        <v>0</v>
      </c>
      <c r="AI166" s="188">
        <f>opex_orig!AE166</f>
        <v>0</v>
      </c>
      <c r="AJ166" s="188">
        <f>opex_orig!AF166</f>
        <v>0</v>
      </c>
      <c r="AK166" s="188">
        <f>opex_orig!AG166</f>
        <v>0</v>
      </c>
      <c r="AL166" s="188">
        <f>opex_orig!AH166</f>
        <v>0</v>
      </c>
      <c r="AM166" s="188">
        <f>opex_orig!AI166</f>
        <v>0</v>
      </c>
      <c r="AN166" s="188">
        <f>opex_orig!AJ166</f>
        <v>0</v>
      </c>
      <c r="AO166" s="188">
        <f>opex_orig!AK166</f>
        <v>0</v>
      </c>
      <c r="AP166" s="188">
        <f>opex_orig!$AL166</f>
        <v>0</v>
      </c>
      <c r="AQ166" s="188">
        <f>opex_orig!$AL166</f>
        <v>0</v>
      </c>
      <c r="AR166" s="188">
        <f>opex_orig!$AL166</f>
        <v>0</v>
      </c>
      <c r="AS166" s="188">
        <f>opex_orig!$AM166</f>
        <v>0</v>
      </c>
      <c r="AT166" s="188">
        <f>opex_orig!AN166</f>
        <v>0</v>
      </c>
      <c r="AU166" s="188">
        <f>opex_orig!$AO166</f>
        <v>0</v>
      </c>
      <c r="AV166" s="188">
        <f>opex_orig!$AO166</f>
        <v>0</v>
      </c>
      <c r="AW166" s="188">
        <f>opex_orig!$AO166</f>
        <v>0</v>
      </c>
      <c r="AX166" s="188">
        <f>opex_orig!$AP166</f>
        <v>0</v>
      </c>
      <c r="AY166" s="188">
        <f>opex_orig!AQ166</f>
        <v>0</v>
      </c>
      <c r="AZ166" s="188">
        <f>opex_orig!AR166</f>
        <v>0</v>
      </c>
      <c r="BA166" s="188">
        <f>opex_orig!AS166</f>
        <v>0</v>
      </c>
      <c r="BB166" s="188">
        <f>opex_orig!AT166</f>
        <v>0</v>
      </c>
      <c r="BC166" s="188">
        <f>opex_orig!AU166</f>
        <v>0</v>
      </c>
      <c r="BD166" s="188">
        <f>opex_orig!AV166</f>
        <v>0</v>
      </c>
      <c r="BE166" s="188">
        <f>opex_orig!AW166</f>
        <v>0</v>
      </c>
      <c r="BF166" s="188">
        <f>opex_orig!AX166</f>
        <v>0</v>
      </c>
      <c r="BG166" s="188">
        <f>opex_orig!AY166</f>
        <v>0</v>
      </c>
      <c r="BH166" s="188">
        <f>opex_orig!AZ166</f>
        <v>0</v>
      </c>
      <c r="BI166" s="188">
        <f>opex_orig!BA166</f>
        <v>0</v>
      </c>
      <c r="BJ166" s="188">
        <f>opex_orig!BB166</f>
        <v>0</v>
      </c>
      <c r="BK166" s="188">
        <f>opex_orig!BC166</f>
        <v>0</v>
      </c>
      <c r="BL166" s="188">
        <f>opex_orig!BD166</f>
        <v>0</v>
      </c>
      <c r="BM166" s="188">
        <f>opex_orig!BE166</f>
        <v>0</v>
      </c>
      <c r="BN166" s="188">
        <f>opex_orig!BF166</f>
        <v>0</v>
      </c>
      <c r="BO166" s="188">
        <f>opex_orig!BG166</f>
        <v>0</v>
      </c>
      <c r="BP166" s="188">
        <f>opex_orig!$BH166</f>
        <v>0</v>
      </c>
      <c r="BQ166" s="188">
        <f>opex_orig!$BH166</f>
        <v>0</v>
      </c>
      <c r="BR166" s="188">
        <f>opex_orig!BI166</f>
        <v>0</v>
      </c>
      <c r="BS166" s="188">
        <f>opex_orig!BJ166</f>
        <v>0</v>
      </c>
      <c r="BT166" s="188">
        <f>opex_orig!BK166</f>
        <v>0</v>
      </c>
      <c r="BU166" s="188">
        <f>opex_orig!BL166</f>
        <v>0</v>
      </c>
      <c r="BV166" s="27">
        <f>opex_orig!BM166</f>
        <v>0</v>
      </c>
      <c r="BW166" s="27">
        <f>opex_orig!BN166</f>
        <v>0</v>
      </c>
      <c r="BX166" s="27">
        <f>opex_orig!BO166</f>
        <v>0</v>
      </c>
      <c r="BY166" s="27">
        <f>opex_orig!BP166</f>
        <v>0</v>
      </c>
      <c r="BZ166" s="27">
        <f>opex_orig!BQ166</f>
        <v>0</v>
      </c>
      <c r="CA166" s="27">
        <f>opex_orig!BR166</f>
        <v>0</v>
      </c>
      <c r="CB166" s="27">
        <f>opex_orig!BS166</f>
        <v>0</v>
      </c>
      <c r="CC166" s="27">
        <f>opex_orig!BT166</f>
        <v>0</v>
      </c>
      <c r="CD166" s="27">
        <f>opex_orig!BU166</f>
        <v>0</v>
      </c>
      <c r="CE166" s="27">
        <f>opex_orig!BV166</f>
        <v>0</v>
      </c>
      <c r="CF166" s="27">
        <f>opex_orig!BW166</f>
        <v>0</v>
      </c>
      <c r="CG166" s="27">
        <f>opex_orig!BX166</f>
        <v>0</v>
      </c>
      <c r="CH166" s="27">
        <f>opex_orig!BY166</f>
        <v>0</v>
      </c>
      <c r="CI166" s="27">
        <f>opex_orig!BZ166</f>
        <v>0</v>
      </c>
      <c r="CJ166" s="27">
        <f>opex_orig!CA166</f>
        <v>0</v>
      </c>
      <c r="CK166" s="27">
        <f>opex_orig!CB166</f>
        <v>0</v>
      </c>
      <c r="CL166" s="27">
        <f>opex_orig!CC166</f>
        <v>0</v>
      </c>
      <c r="CM166" s="27">
        <f>opex_orig!CD166</f>
        <v>0</v>
      </c>
      <c r="CN166" s="27">
        <f>opex_orig!CE166</f>
        <v>0</v>
      </c>
      <c r="CO166" s="27">
        <f>opex_orig!CF166</f>
        <v>0</v>
      </c>
      <c r="CP166" s="27">
        <f>opex_orig!CG166</f>
        <v>0</v>
      </c>
    </row>
    <row r="167" spans="1:94" x14ac:dyDescent="0.25">
      <c r="A167" s="43" t="s">
        <v>370</v>
      </c>
      <c r="B167" s="43">
        <v>1</v>
      </c>
      <c r="C167" s="43" t="s">
        <v>379</v>
      </c>
      <c r="D167" s="188">
        <f>opex_orig!D167</f>
        <v>1.1094641000000001E-2</v>
      </c>
      <c r="E167" s="188">
        <f>opex_orig!E167</f>
        <v>4.6216080000000001E-3</v>
      </c>
      <c r="F167" s="188">
        <f>opex_orig!F167</f>
        <v>1.1293766E-2</v>
      </c>
      <c r="G167" s="188">
        <f>opex_orig!G167</f>
        <v>2.8879779999999998E-3</v>
      </c>
      <c r="H167" s="188">
        <f>opex_orig!H167</f>
        <v>2.6131599999999999E-4</v>
      </c>
      <c r="I167" s="188">
        <f>opex_orig!I167</f>
        <v>1.3412949E-2</v>
      </c>
      <c r="J167" s="188">
        <f>opex_orig!J167</f>
        <v>1.3272533E-2</v>
      </c>
      <c r="K167" s="188">
        <f>opex_orig!K167</f>
        <v>4.7301800000000002E-4</v>
      </c>
      <c r="L167" s="188">
        <f>opex_orig!L167</f>
        <v>2.7519213000000001E-2</v>
      </c>
      <c r="M167" s="188">
        <f>opex_orig!M167</f>
        <v>1.6251565999999999E-2</v>
      </c>
      <c r="N167" s="188">
        <f>opex_orig!N167</f>
        <v>8.5591299999999999E-3</v>
      </c>
      <c r="O167" s="188">
        <f>opex_orig!O167</f>
        <v>5.3130499999999997E-3</v>
      </c>
      <c r="P167" s="188">
        <f>opex_orig!P167</f>
        <v>3.3073723999999999E-2</v>
      </c>
      <c r="Q167" s="188">
        <f>opex_orig!Q167</f>
        <v>5.7810674999999999E-2</v>
      </c>
      <c r="R167" s="188">
        <f>opex_orig!R167</f>
        <v>5.9012006999999998E-2</v>
      </c>
      <c r="S167" s="188">
        <f>opex_orig!S167</f>
        <v>2.2181962999999999E-2</v>
      </c>
      <c r="T167" s="188">
        <f>opex_orig!T167</f>
        <v>5.9909979000000002E-2</v>
      </c>
      <c r="U167" s="188">
        <f>opex_orig!U167</f>
        <v>1.1152987E-2</v>
      </c>
      <c r="V167" s="188">
        <f>opex_orig!V167</f>
        <v>-1.0856124999999999E-2</v>
      </c>
      <c r="W167" s="188">
        <f>opex_orig!W167</f>
        <v>2.1083039000000001E-2</v>
      </c>
      <c r="X167" s="188">
        <f>opex_orig!X167</f>
        <v>1.9118890999999999E-2</v>
      </c>
      <c r="Y167" s="188">
        <f>opex_orig!Y167</f>
        <v>2.2557173999999999E-2</v>
      </c>
      <c r="Z167" s="188">
        <f>opex_orig!Z167</f>
        <v>1.2734137E-2</v>
      </c>
      <c r="AA167" s="188">
        <f>opex_orig!AA167</f>
        <v>3.5246630000000001E-2</v>
      </c>
      <c r="AB167" s="188">
        <f>opex_orig!$AB167</f>
        <v>3.8373787899811301E-2</v>
      </c>
      <c r="AC167" s="188">
        <f>opex_orig!$AB167</f>
        <v>3.8373787899811301E-2</v>
      </c>
      <c r="AD167" s="188">
        <f>opex_orig!$AB167</f>
        <v>3.8373787899811301E-2</v>
      </c>
      <c r="AE167" s="188">
        <f>opex_orig!$AC167</f>
        <v>1.6426119751658801E-2</v>
      </c>
      <c r="AF167" s="188">
        <f>opex_orig!$AD167</f>
        <v>4.1252095697665803E-2</v>
      </c>
      <c r="AG167" s="188">
        <f>opex_orig!$AD167</f>
        <v>4.1252095697665803E-2</v>
      </c>
      <c r="AH167" s="188">
        <f>opex_orig!$AD167</f>
        <v>4.1252095697665803E-2</v>
      </c>
      <c r="AI167" s="188">
        <f>opex_orig!AE167</f>
        <v>4.3852934000000003E-2</v>
      </c>
      <c r="AJ167" s="188">
        <f>opex_orig!AF167</f>
        <v>4.7079289000000003E-2</v>
      </c>
      <c r="AK167" s="188">
        <f>opex_orig!AG167</f>
        <v>1.9997298E-2</v>
      </c>
      <c r="AL167" s="188">
        <f>opex_orig!AH167</f>
        <v>1.8428727999999998E-2</v>
      </c>
      <c r="AM167" s="188">
        <f>opex_orig!AI167</f>
        <v>1.2308176000000001E-2</v>
      </c>
      <c r="AN167" s="188">
        <f>opex_orig!AJ167</f>
        <v>3.3281481000000002E-2</v>
      </c>
      <c r="AO167" s="188">
        <f>opex_orig!AK167</f>
        <v>1.809361E-2</v>
      </c>
      <c r="AP167" s="188">
        <f>opex_orig!$AL167</f>
        <v>1.4590982803862699E-2</v>
      </c>
      <c r="AQ167" s="188">
        <f>opex_orig!$AL167</f>
        <v>1.4590982803862699E-2</v>
      </c>
      <c r="AR167" s="188">
        <f>opex_orig!$AL167</f>
        <v>1.4590982803862699E-2</v>
      </c>
      <c r="AS167" s="188">
        <f>opex_orig!$AM167</f>
        <v>1.3968475925001601E-2</v>
      </c>
      <c r="AT167" s="188">
        <f>opex_orig!AN167</f>
        <v>1.7255943999999999E-2</v>
      </c>
      <c r="AU167" s="188">
        <f>opex_orig!$AO167</f>
        <v>9.1212096186146403E-3</v>
      </c>
      <c r="AV167" s="188">
        <f>opex_orig!$AO167</f>
        <v>9.1212096186146403E-3</v>
      </c>
      <c r="AW167" s="188">
        <f>opex_orig!$AO167</f>
        <v>9.1212096186146403E-3</v>
      </c>
      <c r="AX167" s="188">
        <f>opex_orig!$AP167</f>
        <v>6.7200368914564698E-3</v>
      </c>
      <c r="AY167" s="188">
        <f>opex_orig!AQ167</f>
        <v>8.8108140000000001E-3</v>
      </c>
      <c r="AZ167" s="188">
        <f>opex_orig!AR167</f>
        <v>0</v>
      </c>
      <c r="BA167" s="188">
        <f>opex_orig!AS167</f>
        <v>1.5313128000000001E-2</v>
      </c>
      <c r="BB167" s="188">
        <f>opex_orig!AT167</f>
        <v>1.1940994999999999E-2</v>
      </c>
      <c r="BC167" s="188">
        <f>opex_orig!AU167</f>
        <v>8.7802569999999996E-3</v>
      </c>
      <c r="BD167" s="188">
        <f>opex_orig!AV167</f>
        <v>6.400284E-3</v>
      </c>
      <c r="BE167" s="188">
        <f>opex_orig!AW167</f>
        <v>8.5897200000000003E-3</v>
      </c>
      <c r="BF167" s="188">
        <f>opex_orig!AX167</f>
        <v>0</v>
      </c>
      <c r="BG167" s="188">
        <f>opex_orig!AY167</f>
        <v>5.9938680000000003E-3</v>
      </c>
      <c r="BH167" s="188">
        <f>opex_orig!AZ167</f>
        <v>0</v>
      </c>
      <c r="BI167" s="188">
        <f>opex_orig!BA167</f>
        <v>1.2311681E-2</v>
      </c>
      <c r="BJ167" s="188">
        <f>opex_orig!BB167</f>
        <v>9.1525719999999994E-3</v>
      </c>
      <c r="BK167" s="188">
        <f>opex_orig!BC167</f>
        <v>7.7226059999999999E-3</v>
      </c>
      <c r="BL167" s="188">
        <f>opex_orig!BD167</f>
        <v>1.9455324E-2</v>
      </c>
      <c r="BM167" s="188">
        <f>opex_orig!BE167</f>
        <v>8.2965069999999998E-3</v>
      </c>
      <c r="BN167" s="188">
        <f>opex_orig!BF167</f>
        <v>1.6568550000000001E-2</v>
      </c>
      <c r="BO167" s="188">
        <f>opex_orig!BG167</f>
        <v>1.3043165000000001E-2</v>
      </c>
      <c r="BP167" s="188">
        <f>opex_orig!$BH167</f>
        <v>1.4311192638375899E-2</v>
      </c>
      <c r="BQ167" s="188">
        <f>opex_orig!$BH167</f>
        <v>1.4311192638375899E-2</v>
      </c>
      <c r="BR167" s="188">
        <f>opex_orig!BI167</f>
        <v>1.5739138E-2</v>
      </c>
      <c r="BS167" s="188">
        <f>opex_orig!BJ167</f>
        <v>2.0712100000000001E-2</v>
      </c>
      <c r="BT167" s="188">
        <f>opex_orig!BK167</f>
        <v>6.3544500000000002E-3</v>
      </c>
      <c r="BU167" s="188">
        <f>opex_orig!BL167</f>
        <v>0</v>
      </c>
      <c r="BV167" s="27">
        <f>opex_orig!BM167</f>
        <v>1.9217877874260401E-2</v>
      </c>
      <c r="BW167" s="27">
        <f>opex_orig!BN167</f>
        <v>2.1220448352368498E-2</v>
      </c>
      <c r="BX167" s="27">
        <f>opex_orig!BO167</f>
        <v>9.3574532956588097E-4</v>
      </c>
      <c r="BY167" s="27">
        <f>opex_orig!BP167</f>
        <v>4.0371168910868999E-4</v>
      </c>
      <c r="BZ167" s="27">
        <f>opex_orig!BQ167</f>
        <v>-2.5512486208753999E-4</v>
      </c>
      <c r="CA167" s="27">
        <f>opex_orig!BR167</f>
        <v>2.03087027167414E-2</v>
      </c>
      <c r="CB167" s="27">
        <f>opex_orig!BS167</f>
        <v>3.9110640227603501E-2</v>
      </c>
      <c r="CC167" s="27">
        <f>opex_orig!BT167</f>
        <v>4.09221332653113E-2</v>
      </c>
      <c r="CD167" s="27">
        <f>opex_orig!BU167</f>
        <v>-3.2882927891388098E-3</v>
      </c>
      <c r="CE167" s="27">
        <f>opex_orig!BV167</f>
        <v>-3.2882927891387998E-3</v>
      </c>
      <c r="CF167" s="27">
        <f>opex_orig!BW167</f>
        <v>2.3256485429826401E-2</v>
      </c>
      <c r="CG167" s="27">
        <f>opex_orig!BX167</f>
        <v>2.0046903056631399E-2</v>
      </c>
      <c r="CH167" s="27">
        <f>opex_orig!BY167</f>
        <v>5.9474249329968497E-3</v>
      </c>
      <c r="CI167" s="27">
        <f>opex_orig!BZ167</f>
        <v>7.1576210000000003E-3</v>
      </c>
      <c r="CJ167" s="27">
        <f>opex_orig!CA167</f>
        <v>4.1212219999999999E-3</v>
      </c>
      <c r="CK167" s="27">
        <f>opex_orig!CB167</f>
        <v>4.8623620000000003E-3</v>
      </c>
      <c r="CL167" s="27">
        <f>opex_orig!CC167</f>
        <v>1.1264098E-2</v>
      </c>
      <c r="CM167" s="27">
        <f>opex_orig!CD167</f>
        <v>1.7738519000000001E-2</v>
      </c>
      <c r="CN167" s="27">
        <f>opex_orig!CE167</f>
        <v>1.9976437999999999E-2</v>
      </c>
      <c r="CO167" s="27">
        <f>opex_orig!CF167</f>
        <v>2.3290529000000001E-2</v>
      </c>
      <c r="CP167" s="27">
        <f>opex_orig!CG167</f>
        <v>2.601351E-3</v>
      </c>
    </row>
    <row r="168" spans="1:94" x14ac:dyDescent="0.25">
      <c r="A168" s="43" t="s">
        <v>371</v>
      </c>
      <c r="B168" s="43">
        <v>2</v>
      </c>
      <c r="C168" s="43" t="s">
        <v>379</v>
      </c>
      <c r="D168" s="188">
        <f>opex_orig!D168</f>
        <v>-1.0000000000000001E-5</v>
      </c>
      <c r="E168" s="188">
        <f>opex_orig!E168</f>
        <v>-2.0699999999999998E-5</v>
      </c>
      <c r="F168" s="188">
        <f>opex_orig!F168</f>
        <v>-3.54E-6</v>
      </c>
      <c r="G168" s="188">
        <f>opex_orig!G168</f>
        <v>-2.7499999999999999E-6</v>
      </c>
      <c r="H168" s="188">
        <f>opex_orig!H168</f>
        <v>-3.3000000000000002E-6</v>
      </c>
      <c r="I168" s="188">
        <f>opex_orig!I168</f>
        <v>-4.6900000000000002E-5</v>
      </c>
      <c r="J168" s="188">
        <f>opex_orig!J168</f>
        <v>-4.2299999999999998E-5</v>
      </c>
      <c r="K168" s="188">
        <f>opex_orig!K168</f>
        <v>-7.7500000000000003E-6</v>
      </c>
      <c r="L168" s="188">
        <f>opex_orig!L168</f>
        <v>-7.1699999999999995E-5</v>
      </c>
      <c r="M168" s="188">
        <f>opex_orig!M168</f>
        <v>-2.2211E-4</v>
      </c>
      <c r="N168" s="188">
        <f>opex_orig!N168</f>
        <v>-8.1899999999999999E-5</v>
      </c>
      <c r="O168" s="188">
        <f>opex_orig!O168</f>
        <v>-2.0082300000000001E-4</v>
      </c>
      <c r="P168" s="188">
        <f>opex_orig!P168</f>
        <v>-3.1050700000000001E-4</v>
      </c>
      <c r="Q168" s="188">
        <f>opex_orig!Q168</f>
        <v>-3.9355100000000001E-4</v>
      </c>
      <c r="R168" s="188">
        <f>opex_orig!R168</f>
        <v>-1.1220799999999999E-4</v>
      </c>
      <c r="S168" s="188">
        <f>opex_orig!S168</f>
        <v>-5.3235200000000004E-4</v>
      </c>
      <c r="T168" s="188">
        <f>opex_orig!T168</f>
        <v>-5.58082E-4</v>
      </c>
      <c r="U168" s="188">
        <f>opex_orig!U168</f>
        <v>-4.7798900000000001E-4</v>
      </c>
      <c r="V168" s="188">
        <f>opex_orig!V168</f>
        <v>-5.4825399999999997E-4</v>
      </c>
      <c r="W168" s="188">
        <f>opex_orig!W168</f>
        <v>-1.7002900000000001E-4</v>
      </c>
      <c r="X168" s="188">
        <f>opex_orig!X168</f>
        <v>-3.0037400000000001E-4</v>
      </c>
      <c r="Y168" s="188">
        <f>opex_orig!Y168</f>
        <v>2.0699999999999998E-5</v>
      </c>
      <c r="Z168" s="188">
        <f>opex_orig!Z168</f>
        <v>2.9296500000000001E-4</v>
      </c>
      <c r="AA168" s="188">
        <f>opex_orig!AA168</f>
        <v>3.7004399999999998E-4</v>
      </c>
      <c r="AB168" s="188">
        <f>opex_orig!$AB168</f>
        <v>-1.37692962018158E-3</v>
      </c>
      <c r="AC168" s="188">
        <f>opex_orig!$AB168</f>
        <v>-1.37692962018158E-3</v>
      </c>
      <c r="AD168" s="188">
        <f>opex_orig!$AB168</f>
        <v>-1.37692962018158E-3</v>
      </c>
      <c r="AE168" s="188">
        <f>opex_orig!$AC168</f>
        <v>-1.50305529414925E-3</v>
      </c>
      <c r="AF168" s="188">
        <f>opex_orig!$AD168</f>
        <v>-1.79799507611615E-3</v>
      </c>
      <c r="AG168" s="188">
        <f>opex_orig!$AD168</f>
        <v>-1.79799507611615E-3</v>
      </c>
      <c r="AH168" s="188">
        <f>opex_orig!$AD168</f>
        <v>-1.79799507611615E-3</v>
      </c>
      <c r="AI168" s="188">
        <f>opex_orig!AE168</f>
        <v>-2.035153E-3</v>
      </c>
      <c r="AJ168" s="188">
        <f>opex_orig!AF168</f>
        <v>-4.9239399999999995E-4</v>
      </c>
      <c r="AK168" s="188">
        <f>opex_orig!AG168</f>
        <v>-2.2181300000000001E-4</v>
      </c>
      <c r="AL168" s="188">
        <f>opex_orig!AH168</f>
        <v>-1.2977749999999999E-3</v>
      </c>
      <c r="AM168" s="188">
        <f>opex_orig!AI168</f>
        <v>-1.8425760000000001E-3</v>
      </c>
      <c r="AN168" s="188">
        <f>opex_orig!AJ168</f>
        <v>-1.8275959999999999E-3</v>
      </c>
      <c r="AO168" s="188">
        <f>opex_orig!AK168</f>
        <v>-1.41431E-3</v>
      </c>
      <c r="AP168" s="188">
        <f>opex_orig!$AL168</f>
        <v>-1.3269491119265E-3</v>
      </c>
      <c r="AQ168" s="188">
        <f>opex_orig!$AL168</f>
        <v>-1.3269491119265E-3</v>
      </c>
      <c r="AR168" s="188">
        <f>opex_orig!$AL168</f>
        <v>-1.3269491119265E-3</v>
      </c>
      <c r="AS168" s="188">
        <f>opex_orig!$AM168</f>
        <v>-1.35022049380928E-3</v>
      </c>
      <c r="AT168" s="188">
        <f>opex_orig!AN168</f>
        <v>-1.3119830000000001E-3</v>
      </c>
      <c r="AU168" s="188">
        <f>opex_orig!$AO168</f>
        <v>1.38613233379743E-5</v>
      </c>
      <c r="AV168" s="188">
        <f>opex_orig!$AO168</f>
        <v>1.38613233379743E-5</v>
      </c>
      <c r="AW168" s="188">
        <f>opex_orig!$AO168</f>
        <v>1.38613233379743E-5</v>
      </c>
      <c r="AX168" s="188">
        <f>opex_orig!$AP168</f>
        <v>1.5823821074542599E-5</v>
      </c>
      <c r="AY168" s="188">
        <f>opex_orig!AQ168</f>
        <v>4.7299999999999996E-6</v>
      </c>
      <c r="AZ168" s="188">
        <f>opex_orig!AR168</f>
        <v>0</v>
      </c>
      <c r="BA168" s="188">
        <f>opex_orig!AS168</f>
        <v>8.5900000000000008E-6</v>
      </c>
      <c r="BB168" s="188">
        <f>opex_orig!AT168</f>
        <v>1.06E-5</v>
      </c>
      <c r="BC168" s="188">
        <f>opex_orig!AU168</f>
        <v>1.3900000000000001E-5</v>
      </c>
      <c r="BD168" s="188">
        <f>opex_orig!AV168</f>
        <v>1.6799999999999998E-5</v>
      </c>
      <c r="BE168" s="188">
        <f>opex_orig!AW168</f>
        <v>1.33E-5</v>
      </c>
      <c r="BF168" s="188">
        <f>opex_orig!AX168</f>
        <v>0</v>
      </c>
      <c r="BG168" s="188">
        <f>opex_orig!AY168</f>
        <v>5.6699999999999999E-6</v>
      </c>
      <c r="BH168" s="188">
        <f>opex_orig!AZ168</f>
        <v>0</v>
      </c>
      <c r="BI168" s="188">
        <f>opex_orig!BA168</f>
        <v>7.3200000000000002E-6</v>
      </c>
      <c r="BJ168" s="188">
        <f>opex_orig!BB168</f>
        <v>-1.1472399999999999E-4</v>
      </c>
      <c r="BK168" s="188">
        <f>opex_orig!BC168</f>
        <v>-3.2050900000000002E-4</v>
      </c>
      <c r="BL168" s="188">
        <f>opex_orig!BD168</f>
        <v>-1.6699999999999999E-5</v>
      </c>
      <c r="BM168" s="188">
        <f>opex_orig!BE168</f>
        <v>-7.1600000000000006E-5</v>
      </c>
      <c r="BN168" s="188">
        <f>opex_orig!BF168</f>
        <v>-4.0819899999999999E-4</v>
      </c>
      <c r="BO168" s="188">
        <f>opex_orig!BG168</f>
        <v>-1.0143179999999999E-3</v>
      </c>
      <c r="BP168" s="188">
        <f>opex_orig!$BH168</f>
        <v>-1.6007953468615601E-4</v>
      </c>
      <c r="BQ168" s="188">
        <f>opex_orig!$BH168</f>
        <v>-1.6007953468615601E-4</v>
      </c>
      <c r="BR168" s="188">
        <f>opex_orig!BI168</f>
        <v>-7.3361200000000002E-4</v>
      </c>
      <c r="BS168" s="188">
        <f>opex_orig!BJ168</f>
        <v>-3.6077899999999998E-4</v>
      </c>
      <c r="BT168" s="188">
        <f>opex_orig!BK168</f>
        <v>-2.6847699999999998E-4</v>
      </c>
      <c r="BU168" s="188">
        <f>opex_orig!BL168</f>
        <v>0</v>
      </c>
      <c r="BV168" s="27">
        <f>opex_orig!BM168</f>
        <v>4.1393068854815897E-3</v>
      </c>
      <c r="BW168" s="27">
        <f>opex_orig!BN168</f>
        <v>2.2836270809513799E-2</v>
      </c>
      <c r="BX168" s="27">
        <f>opex_orig!BO168</f>
        <v>1.5624396048960301E-3</v>
      </c>
      <c r="BY168" s="27">
        <f>opex_orig!BP168</f>
        <v>1.48529342370016E-3</v>
      </c>
      <c r="BZ168" s="27">
        <f>opex_orig!BQ168</f>
        <v>1.56747473013872E-3</v>
      </c>
      <c r="CA168" s="27">
        <f>opex_orig!BR168</f>
        <v>5.5669920881360304E-4</v>
      </c>
      <c r="CB168" s="27">
        <f>opex_orig!BS168</f>
        <v>1.0066004416298201E-2</v>
      </c>
      <c r="CC168" s="27">
        <f>opex_orig!BT168</f>
        <v>2.8348540627027101E-3</v>
      </c>
      <c r="CD168" s="27">
        <f>opex_orig!BU168</f>
        <v>1.61013995642182E-3</v>
      </c>
      <c r="CE168" s="27">
        <f>opex_orig!BV168</f>
        <v>1.61013995642182E-3</v>
      </c>
      <c r="CF168" s="27">
        <f>opex_orig!BW168</f>
        <v>3.22247696629291E-3</v>
      </c>
      <c r="CG168" s="27">
        <f>opex_orig!BX168</f>
        <v>2.2521604509950701E-4</v>
      </c>
      <c r="CH168" s="27">
        <f>opex_orig!BY168</f>
        <v>4.4007112319954897E-4</v>
      </c>
      <c r="CI168" s="27">
        <f>opex_orig!BZ168</f>
        <v>6.7704439999999996E-3</v>
      </c>
      <c r="CJ168" s="27">
        <f>opex_orig!CA168</f>
        <v>2.0967920000000001E-3</v>
      </c>
      <c r="CK168" s="27">
        <f>opex_orig!CB168</f>
        <v>2.4892069999999998E-3</v>
      </c>
      <c r="CL168" s="27">
        <f>opex_orig!CC168</f>
        <v>5.4513230000000001E-3</v>
      </c>
      <c r="CM168" s="27">
        <f>opex_orig!CD168</f>
        <v>8.7165809999999993E-3</v>
      </c>
      <c r="CN168" s="27">
        <f>opex_orig!CE168</f>
        <v>3.2298370000000002E-3</v>
      </c>
      <c r="CO168" s="27">
        <f>opex_orig!CF168</f>
        <v>8.0546700000000003E-4</v>
      </c>
      <c r="CP168" s="27">
        <f>opex_orig!CG168</f>
        <v>1.8752630000000001E-3</v>
      </c>
    </row>
    <row r="169" spans="1:94" x14ac:dyDescent="0.25">
      <c r="A169" s="38" t="s">
        <v>372</v>
      </c>
      <c r="B169" s="38">
        <v>3</v>
      </c>
      <c r="C169" s="38" t="s">
        <v>379</v>
      </c>
      <c r="D169" s="188">
        <f>opex_orig!D169</f>
        <v>6.5532020000000002E-3</v>
      </c>
      <c r="E169" s="188">
        <f>opex_orig!E169</f>
        <v>1.1406179000000001E-2</v>
      </c>
      <c r="F169" s="188">
        <f>opex_orig!F169</f>
        <v>3.7727540000000001E-3</v>
      </c>
      <c r="G169" s="188">
        <f>opex_orig!G169</f>
        <v>1.4311269999999999E-3</v>
      </c>
      <c r="H169" s="188">
        <f>opex_orig!H169</f>
        <v>5.3929181999999999E-2</v>
      </c>
      <c r="I169" s="188">
        <f>opex_orig!I169</f>
        <v>6.5435440000000001E-3</v>
      </c>
      <c r="J169" s="188">
        <f>opex_orig!J169</f>
        <v>8.6924910000000001E-3</v>
      </c>
      <c r="K169" s="188">
        <f>opex_orig!K169</f>
        <v>2.1498171999999999E-2</v>
      </c>
      <c r="L169" s="188">
        <f>opex_orig!L169</f>
        <v>6.4801169999999996E-3</v>
      </c>
      <c r="M169" s="188">
        <f>opex_orig!M169</f>
        <v>8.4600379999999996E-3</v>
      </c>
      <c r="N169" s="188">
        <f>opex_orig!N169</f>
        <v>4.3551800000000002E-3</v>
      </c>
      <c r="O169" s="188">
        <f>opex_orig!O169</f>
        <v>3.1409799999999998E-3</v>
      </c>
      <c r="P169" s="188">
        <f>opex_orig!P169</f>
        <v>1.1379752E-2</v>
      </c>
      <c r="Q169" s="188">
        <f>opex_orig!Q169</f>
        <v>1.2001839E-2</v>
      </c>
      <c r="R169" s="188">
        <f>opex_orig!R169</f>
        <v>5.7799210000000004E-3</v>
      </c>
      <c r="S169" s="188">
        <f>opex_orig!S169</f>
        <v>5.416372E-3</v>
      </c>
      <c r="T169" s="188">
        <f>opex_orig!T169</f>
        <v>6.2026850000000003E-3</v>
      </c>
      <c r="U169" s="188">
        <f>opex_orig!U169</f>
        <v>9.5347120000000007E-3</v>
      </c>
      <c r="V169" s="188">
        <f>opex_orig!V169</f>
        <v>1.3258851E-2</v>
      </c>
      <c r="W169" s="188">
        <f>opex_orig!W169</f>
        <v>7.5331790000000001E-3</v>
      </c>
      <c r="X169" s="188">
        <f>opex_orig!X169</f>
        <v>1.214459E-2</v>
      </c>
      <c r="Y169" s="188">
        <f>opex_orig!Y169</f>
        <v>2.60914E-4</v>
      </c>
      <c r="Z169" s="188">
        <f>opex_orig!Z169</f>
        <v>1.2977349999999999E-3</v>
      </c>
      <c r="AA169" s="188">
        <f>opex_orig!AA169</f>
        <v>2.1418689999999998E-3</v>
      </c>
      <c r="AB169" s="245">
        <f>opex_concordance!M200</f>
        <v>2.0894772559803799E-3</v>
      </c>
      <c r="AC169" s="245">
        <f>opex_concordance!M245</f>
        <v>3.1649320574649751E-3</v>
      </c>
      <c r="AD169" s="245">
        <f>opex_concordance!M290</f>
        <v>3.6832739814603556E-3</v>
      </c>
      <c r="AE169" s="188">
        <f>opex_orig!$AC169</f>
        <v>8.8951152203076492E-3</v>
      </c>
      <c r="AF169" s="227">
        <f>opex_concordance!M326</f>
        <v>1.3590283572723801E-2</v>
      </c>
      <c r="AG169" s="227">
        <f>opex_concordance!M362</f>
        <v>6.0224452719306546E-3</v>
      </c>
      <c r="AH169" s="227">
        <f>opex_concordance!M398</f>
        <v>4.8317819931048079E-3</v>
      </c>
      <c r="AI169" s="188">
        <f>opex_orig!AE169</f>
        <v>1.4454549000000001E-2</v>
      </c>
      <c r="AJ169" s="188">
        <f>opex_orig!AF169</f>
        <v>5.4511079999999996E-3</v>
      </c>
      <c r="AK169" s="188">
        <f>opex_orig!AG169</f>
        <v>8.8320989999999995E-3</v>
      </c>
      <c r="AL169" s="188">
        <f>opex_orig!AH169</f>
        <v>6.5227469999999997E-3</v>
      </c>
      <c r="AM169" s="188">
        <f>opex_orig!AI169</f>
        <v>1.3083897000000001E-2</v>
      </c>
      <c r="AN169" s="188">
        <f>opex_orig!AJ169</f>
        <v>1.4390134000000001E-2</v>
      </c>
      <c r="AO169" s="188">
        <f>opex_orig!AK169</f>
        <v>1.0452293E-2</v>
      </c>
      <c r="AP169" s="227">
        <f>opex_concordance!M453</f>
        <v>1.05295467349773E-2</v>
      </c>
      <c r="AQ169" s="227">
        <f>opex_concordance!M507</f>
        <v>8.4740798731724274E-3</v>
      </c>
      <c r="AR169" s="227">
        <f>opex_concordance!M561</f>
        <v>9.2995621137247162E-3</v>
      </c>
      <c r="AS169" s="188">
        <f>opex_orig!$AM169</f>
        <v>1.0540024019467501E-2</v>
      </c>
      <c r="AT169" s="188">
        <f>opex_orig!AN169</f>
        <v>1.0981424E-2</v>
      </c>
      <c r="AU169" s="227">
        <f>opex_concordance!M606</f>
        <v>3.4890727097774501E-3</v>
      </c>
      <c r="AV169" s="227">
        <f>opex_concordance!M652</f>
        <v>4.7398929800778061E-3</v>
      </c>
      <c r="AW169" s="227">
        <f>opex_concordance!M698</f>
        <v>3.9128892728891472E-3</v>
      </c>
      <c r="AX169" s="188">
        <f>opex_orig!$AP169</f>
        <v>4.5823446607328299E-3</v>
      </c>
      <c r="AY169" s="188">
        <f>opex_orig!AQ169</f>
        <v>2.6920030000000001E-3</v>
      </c>
      <c r="AZ169" s="188">
        <f>opex_orig!AR169</f>
        <v>0</v>
      </c>
      <c r="BA169" s="188">
        <f>opex_orig!AS169</f>
        <v>3.9808680000000003E-3</v>
      </c>
      <c r="BB169" s="188">
        <f>opex_orig!AT169</f>
        <v>4.4061789999999997E-3</v>
      </c>
      <c r="BC169" s="188">
        <f>opex_orig!AU169</f>
        <v>4.5111739999999997E-3</v>
      </c>
      <c r="BD169" s="188">
        <f>opex_orig!AV169</f>
        <v>4.5659089999999999E-3</v>
      </c>
      <c r="BE169" s="188">
        <f>opex_orig!AW169</f>
        <v>4.5246119999999999E-3</v>
      </c>
      <c r="BF169" s="188">
        <f>opex_orig!AX169</f>
        <v>0</v>
      </c>
      <c r="BG169" s="188">
        <f>opex_orig!AY169</f>
        <v>1.0510669999999999E-3</v>
      </c>
      <c r="BH169" s="188">
        <f>opex_orig!AZ169</f>
        <v>0</v>
      </c>
      <c r="BI169" s="188">
        <f>opex_orig!BA169</f>
        <v>5.4425339999999997E-3</v>
      </c>
      <c r="BJ169" s="188">
        <f>opex_orig!BB169</f>
        <v>8.6842489999999998E-3</v>
      </c>
      <c r="BK169" s="188">
        <f>opex_orig!BC169</f>
        <v>8.1242339999999993E-3</v>
      </c>
      <c r="BL169" s="188">
        <f>opex_orig!BD169</f>
        <v>1.4842049999999999E-3</v>
      </c>
      <c r="BM169" s="188">
        <f>opex_orig!BE169</f>
        <v>9.3267220000000008E-3</v>
      </c>
      <c r="BN169" s="188">
        <f>opex_orig!BF169</f>
        <v>5.52317E-3</v>
      </c>
      <c r="BO169" s="188">
        <f>opex_orig!BG169</f>
        <v>1.9586411000000001E-2</v>
      </c>
      <c r="BP169" s="245">
        <f>opex_concordance!M97</f>
        <v>6.351985119297212E-3</v>
      </c>
      <c r="BQ169" s="245">
        <f>opex_concordance!M140</f>
        <v>3.5207869768284182E-3</v>
      </c>
      <c r="BR169" s="188">
        <f>opex_orig!BI169</f>
        <v>7.2820360000000004E-3</v>
      </c>
      <c r="BS169" s="188">
        <f>opex_orig!BJ169</f>
        <v>9.9469840000000007E-3</v>
      </c>
      <c r="BT169" s="188">
        <f>opex_orig!BK169</f>
        <v>3.4587649999999999E-3</v>
      </c>
      <c r="BU169" s="188">
        <f>opex_orig!BL169</f>
        <v>0</v>
      </c>
      <c r="BV169" s="27">
        <f>opex_orig!BM169</f>
        <v>1.5354003933229E-3</v>
      </c>
      <c r="BW169" s="27">
        <f>opex_orig!BN169</f>
        <v>9.0300792336197699E-4</v>
      </c>
      <c r="BX169" s="27">
        <f>opex_orig!BO169</f>
        <v>1.40423598384108E-3</v>
      </c>
      <c r="BY169" s="27">
        <f>opex_orig!BP169</f>
        <v>9.1941358960136003E-4</v>
      </c>
      <c r="BZ169" s="27">
        <f>opex_orig!BQ169</f>
        <v>6.2925704329554102E-4</v>
      </c>
      <c r="CA169" s="27">
        <f>opex_orig!BR169</f>
        <v>1.49948297489806E-3</v>
      </c>
      <c r="CB169" s="27">
        <f>opex_orig!BS169</f>
        <v>5.2574219357217798E-4</v>
      </c>
      <c r="CC169" s="27">
        <f>opex_orig!BT169</f>
        <v>3.5188500358481301E-5</v>
      </c>
      <c r="CD169" s="27">
        <f>opex_orig!BU169</f>
        <v>3.2858403239308901E-4</v>
      </c>
      <c r="CE169" s="27">
        <f>opex_orig!BV169</f>
        <v>3.2858403239308998E-4</v>
      </c>
      <c r="CF169" s="27">
        <f>opex_orig!BW169</f>
        <v>1.4154968383210699E-3</v>
      </c>
      <c r="CG169" s="27">
        <f>opex_orig!BX169</f>
        <v>7.0163303107703296E-5</v>
      </c>
      <c r="CH169" s="27">
        <f>opex_orig!BY169</f>
        <v>4.6726272755630803E-6</v>
      </c>
      <c r="CI169" s="27">
        <f>opex_orig!BZ169</f>
        <v>9.0061000000000004E-4</v>
      </c>
      <c r="CJ169" s="27">
        <f>opex_orig!CA169</f>
        <v>7.1392000000000005E-4</v>
      </c>
      <c r="CK169" s="27">
        <f>opex_orig!CB169</f>
        <v>8.53804E-4</v>
      </c>
      <c r="CL169" s="27">
        <f>opex_orig!CC169</f>
        <v>2.9946299999999998E-4</v>
      </c>
      <c r="CM169" s="27">
        <f>opex_orig!CD169</f>
        <v>1.155131E-3</v>
      </c>
      <c r="CN169" s="27">
        <f>opex_orig!CE169</f>
        <v>5.6532980000000002E-3</v>
      </c>
      <c r="CO169" s="27">
        <f>opex_orig!CF169</f>
        <v>3.757299E-3</v>
      </c>
      <c r="CP169" s="27">
        <f>opex_orig!CG169</f>
        <v>1.0304667E-2</v>
      </c>
    </row>
    <row r="170" spans="1:94" x14ac:dyDescent="0.25">
      <c r="A170" s="38" t="s">
        <v>373</v>
      </c>
      <c r="B170" s="38">
        <v>4</v>
      </c>
      <c r="C170" s="38" t="s">
        <v>379</v>
      </c>
      <c r="D170" s="188">
        <f>opex_orig!D170</f>
        <v>5.1618493000000001E-2</v>
      </c>
      <c r="E170" s="188">
        <f>opex_orig!E170</f>
        <v>8.9844591000000001E-2</v>
      </c>
      <c r="F170" s="188">
        <f>opex_orig!F170</f>
        <v>2.9717358999999999E-2</v>
      </c>
      <c r="G170" s="188">
        <f>opex_orig!G170</f>
        <v>1.1272752E-2</v>
      </c>
      <c r="H170" s="188">
        <f>opex_orig!H170</f>
        <v>0.42479125899999998</v>
      </c>
      <c r="I170" s="188">
        <f>opex_orig!I170</f>
        <v>5.1542417E-2</v>
      </c>
      <c r="J170" s="188">
        <f>opex_orig!J170</f>
        <v>6.846932E-2</v>
      </c>
      <c r="K170" s="188">
        <f>opex_orig!K170</f>
        <v>0.169337553</v>
      </c>
      <c r="L170" s="188">
        <f>opex_orig!L170</f>
        <v>5.1042812E-2</v>
      </c>
      <c r="M170" s="188">
        <f>opex_orig!M170</f>
        <v>6.6638321E-2</v>
      </c>
      <c r="N170" s="188">
        <f>opex_orig!N170</f>
        <v>3.4305031999999999E-2</v>
      </c>
      <c r="O170" s="188">
        <f>opex_orig!O170</f>
        <v>3.2155441999999999E-2</v>
      </c>
      <c r="P170" s="188">
        <f>opex_orig!P170</f>
        <v>7.7338494999999993E-2</v>
      </c>
      <c r="Q170" s="188">
        <f>opex_orig!Q170</f>
        <v>6.3284425000000005E-2</v>
      </c>
      <c r="R170" s="188">
        <f>opex_orig!R170</f>
        <v>3.7369977999999998E-2</v>
      </c>
      <c r="S170" s="188">
        <f>opex_orig!S170</f>
        <v>5.9899886999999999E-2</v>
      </c>
      <c r="T170" s="188">
        <f>opex_orig!T170</f>
        <v>6.8595762000000005E-2</v>
      </c>
      <c r="U170" s="188">
        <f>opex_orig!U170</f>
        <v>7.9269931000000002E-2</v>
      </c>
      <c r="V170" s="188">
        <f>opex_orig!V170</f>
        <v>0.110231774</v>
      </c>
      <c r="W170" s="188">
        <f>opex_orig!W170</f>
        <v>6.2629540999999997E-2</v>
      </c>
      <c r="X170" s="188">
        <f>opex_orig!X170</f>
        <v>0.104142605</v>
      </c>
      <c r="Y170" s="188">
        <f>opex_orig!Y170</f>
        <v>2.533432E-3</v>
      </c>
      <c r="Z170" s="188">
        <f>opex_orig!Z170</f>
        <v>1.2600787E-2</v>
      </c>
      <c r="AA170" s="188">
        <f>opex_orig!AA170</f>
        <v>2.0797184999999999E-2</v>
      </c>
      <c r="AB170" s="245">
        <f>opex_concordance!M201</f>
        <v>1.9118201818306101E-2</v>
      </c>
      <c r="AC170" s="245">
        <f>opex_concordance!M246</f>
        <v>2.8958348143134957E-2</v>
      </c>
      <c r="AD170" s="245">
        <f>opex_concordance!M291</f>
        <v>3.3701048971999985E-2</v>
      </c>
      <c r="AE170" s="188">
        <f>opex_orig!$AC170</f>
        <v>8.1388111543926694E-2</v>
      </c>
      <c r="AF170" s="227">
        <f>opex_concordance!M327</f>
        <v>0.131959371148891</v>
      </c>
      <c r="AG170" s="227">
        <f>opex_concordance!M363</f>
        <v>5.8476932185404097E-2</v>
      </c>
      <c r="AH170" s="227">
        <f>opex_concordance!M399</f>
        <v>4.6915791707123025E-2</v>
      </c>
      <c r="AI170" s="188">
        <f>opex_orig!AE170</f>
        <v>0.14035124800000001</v>
      </c>
      <c r="AJ170" s="188">
        <f>opex_orig!AF170</f>
        <v>5.2929341999999997E-2</v>
      </c>
      <c r="AK170" s="188">
        <f>opex_orig!AG170</f>
        <v>8.0811530000000006E-2</v>
      </c>
      <c r="AL170" s="188">
        <f>opex_orig!AH170</f>
        <v>6.3007526999999994E-2</v>
      </c>
      <c r="AM170" s="188">
        <f>opex_orig!AI170</f>
        <v>0.12638601799999999</v>
      </c>
      <c r="AN170" s="188">
        <f>opex_orig!AJ170</f>
        <v>0.139003827</v>
      </c>
      <c r="AO170" s="188">
        <f>opex_orig!AK170</f>
        <v>0.100965613</v>
      </c>
      <c r="AP170" s="227">
        <f>opex_concordance!M454</f>
        <v>0.101711858375403</v>
      </c>
      <c r="AQ170" s="227">
        <f>opex_concordance!M508</f>
        <v>8.1856744038073276E-2</v>
      </c>
      <c r="AR170" s="227">
        <f>opex_concordance!M562</f>
        <v>8.9830623147566166E-2</v>
      </c>
      <c r="AS170" s="188">
        <f>opex_orig!$AM170</f>
        <v>0.101813065398154</v>
      </c>
      <c r="AT170" s="188">
        <f>opex_orig!AN170</f>
        <v>0.10607684100000001</v>
      </c>
      <c r="AU170" s="227">
        <f>opex_concordance!M607</f>
        <v>4.1017073062728802E-2</v>
      </c>
      <c r="AV170" s="227">
        <f>opex_concordance!M653</f>
        <v>5.5721549203761794E-2</v>
      </c>
      <c r="AW170" s="227">
        <f>opex_concordance!M699</f>
        <v>4.599940400860808E-2</v>
      </c>
      <c r="AX170" s="188">
        <f>opex_orig!$AP170</f>
        <v>5.3869432190903302E-2</v>
      </c>
      <c r="AY170" s="188">
        <f>opex_orig!AQ170</f>
        <v>3.1646832E-2</v>
      </c>
      <c r="AZ170" s="188">
        <f>opex_orig!AR170</f>
        <v>0</v>
      </c>
      <c r="BA170" s="188">
        <f>opex_orig!AS170</f>
        <v>4.6798553E-2</v>
      </c>
      <c r="BB170" s="188">
        <f>opex_orig!AT170</f>
        <v>5.1798456999999999E-2</v>
      </c>
      <c r="BC170" s="188">
        <f>opex_orig!AU170</f>
        <v>5.3032758999999999E-2</v>
      </c>
      <c r="BD170" s="188">
        <f>opex_orig!AV170</f>
        <v>5.3676214999999999E-2</v>
      </c>
      <c r="BE170" s="188">
        <f>opex_orig!AW170</f>
        <v>5.3190732999999997E-2</v>
      </c>
      <c r="BF170" s="188">
        <f>opex_orig!AX170</f>
        <v>0</v>
      </c>
      <c r="BG170" s="188">
        <f>opex_orig!AY170</f>
        <v>1.2356205E-2</v>
      </c>
      <c r="BH170" s="188">
        <f>opex_orig!AZ170</f>
        <v>0</v>
      </c>
      <c r="BI170" s="188">
        <f>opex_orig!BA170</f>
        <v>6.3981706999999999E-2</v>
      </c>
      <c r="BJ170" s="188">
        <f>opex_orig!BB170</f>
        <v>9.4310986999999999E-2</v>
      </c>
      <c r="BK170" s="188">
        <f>opex_orig!BC170</f>
        <v>8.7404361E-2</v>
      </c>
      <c r="BL170" s="188">
        <f>opex_orig!BD170</f>
        <v>1.4693895E-2</v>
      </c>
      <c r="BM170" s="188">
        <f>opex_orig!BE170</f>
        <v>7.6008618E-2</v>
      </c>
      <c r="BN170" s="188">
        <f>opex_orig!BF170</f>
        <v>4.3643003E-2</v>
      </c>
      <c r="BO170" s="188">
        <f>opex_orig!BG170</f>
        <v>0.15510922299999999</v>
      </c>
      <c r="BP170" s="245">
        <f>opex_concordance!M98</f>
        <v>6.0050003470095481E-2</v>
      </c>
      <c r="BQ170" s="245">
        <f>opex_concordance!M141</f>
        <v>3.3284597839140645E-2</v>
      </c>
      <c r="BR170" s="188">
        <f>opex_orig!BI170</f>
        <v>8.3892715000000007E-2</v>
      </c>
      <c r="BS170" s="188">
        <f>opex_orig!BJ170</f>
        <v>8.6107845000000002E-2</v>
      </c>
      <c r="BT170" s="188">
        <f>opex_orig!BK170</f>
        <v>1.6569912999999999E-2</v>
      </c>
      <c r="BU170" s="188">
        <f>opex_orig!BL170</f>
        <v>0</v>
      </c>
      <c r="BV170" s="27">
        <f>opex_orig!BM170</f>
        <v>2.3872619079459801E-2</v>
      </c>
      <c r="BW170" s="27">
        <f>opex_orig!BN170</f>
        <v>1.4040092912497699E-2</v>
      </c>
      <c r="BX170" s="27">
        <f>opex_orig!BO170</f>
        <v>2.1833256579643402E-2</v>
      </c>
      <c r="BY170" s="27">
        <f>opex_orig!BP170</f>
        <v>1.4295170495225299E-2</v>
      </c>
      <c r="BZ170" s="27">
        <f>opex_orig!BQ170</f>
        <v>9.78377611665362E-3</v>
      </c>
      <c r="CA170" s="27">
        <f>opex_orig!BR170</f>
        <v>2.5602987428067998E-2</v>
      </c>
      <c r="CB170" s="27">
        <f>opex_orig!BS170</f>
        <v>8.1743128214047008E-3</v>
      </c>
      <c r="CC170" s="27">
        <f>opex_orig!BT170</f>
        <v>1.4602311602215101E-3</v>
      </c>
      <c r="CD170" s="27">
        <f>opex_orig!BU170</f>
        <v>5.1088702823233398E-3</v>
      </c>
      <c r="CE170" s="27">
        <f>opex_orig!BV170</f>
        <v>5.1088702823233398E-3</v>
      </c>
      <c r="CF170" s="27">
        <f>opex_orig!BW170</f>
        <v>1.2981058556713301E-2</v>
      </c>
      <c r="CG170" s="27">
        <f>opex_orig!BX170</f>
        <v>1.0265351011156201E-3</v>
      </c>
      <c r="CH170" s="27">
        <f>opex_orig!BY170</f>
        <v>1.9390186789404701E-4</v>
      </c>
      <c r="CI170" s="27">
        <f>opex_orig!BZ170</f>
        <v>1.4002809999999999E-2</v>
      </c>
      <c r="CJ170" s="27">
        <f>opex_orig!CA170</f>
        <v>1.110013E-2</v>
      </c>
      <c r="CK170" s="27">
        <f>opex_orig!CB170</f>
        <v>1.3275060999999999E-2</v>
      </c>
      <c r="CL170" s="27">
        <f>opex_orig!CC170</f>
        <v>4.656093E-3</v>
      </c>
      <c r="CM170" s="27">
        <f>opex_orig!CD170</f>
        <v>1.7960133E-2</v>
      </c>
      <c r="CN170" s="27">
        <f>opex_orig!CE170</f>
        <v>8.0504987E-2</v>
      </c>
      <c r="CO170" s="27">
        <f>opex_orig!CF170</f>
        <v>6.7552206000000004E-2</v>
      </c>
      <c r="CP170" s="27">
        <f>opex_orig!CG170</f>
        <v>0.18526683999999999</v>
      </c>
    </row>
    <row r="171" spans="1:94" x14ac:dyDescent="0.25">
      <c r="A171" s="38" t="s">
        <v>374</v>
      </c>
      <c r="B171" s="38">
        <v>5</v>
      </c>
      <c r="C171" s="38" t="s">
        <v>379</v>
      </c>
      <c r="D171" s="188">
        <f>opex_orig!D171</f>
        <v>4.1662375000000001E-2</v>
      </c>
      <c r="E171" s="188">
        <f>opex_orig!E171</f>
        <v>7.2515466000000001E-2</v>
      </c>
      <c r="F171" s="188">
        <f>opex_orig!F171</f>
        <v>2.3985507999999999E-2</v>
      </c>
      <c r="G171" s="188">
        <f>opex_orig!G171</f>
        <v>9.0984759999999994E-3</v>
      </c>
      <c r="H171" s="188">
        <f>opex_orig!H171</f>
        <v>0.342857992</v>
      </c>
      <c r="I171" s="188">
        <f>opex_orig!I171</f>
        <v>4.1600972E-2</v>
      </c>
      <c r="J171" s="188">
        <f>opex_orig!J171</f>
        <v>5.5263034000000003E-2</v>
      </c>
      <c r="K171" s="188">
        <f>opex_orig!K171</f>
        <v>0.13667591300000001</v>
      </c>
      <c r="L171" s="188">
        <f>opex_orig!L171</f>
        <v>4.1197731000000001E-2</v>
      </c>
      <c r="M171" s="188">
        <f>opex_orig!M171</f>
        <v>5.3785196E-2</v>
      </c>
      <c r="N171" s="188">
        <f>opex_orig!N171</f>
        <v>2.7688316000000001E-2</v>
      </c>
      <c r="O171" s="188">
        <f>opex_orig!O171</f>
        <v>2.6155127E-2</v>
      </c>
      <c r="P171" s="188">
        <f>opex_orig!P171</f>
        <v>6.2086834E-2</v>
      </c>
      <c r="Q171" s="188">
        <f>opex_orig!Q171</f>
        <v>5.0227645000000001E-2</v>
      </c>
      <c r="R171" s="188">
        <f>opex_orig!R171</f>
        <v>2.9940085000000002E-2</v>
      </c>
      <c r="S171" s="188">
        <f>opex_orig!S171</f>
        <v>4.8815554999999997E-2</v>
      </c>
      <c r="T171" s="188">
        <f>opex_orig!T171</f>
        <v>5.5902278999999999E-2</v>
      </c>
      <c r="U171" s="188">
        <f>opex_orig!U171</f>
        <v>6.4093831000000004E-2</v>
      </c>
      <c r="V171" s="188">
        <f>opex_orig!V171</f>
        <v>8.9128079999999998E-2</v>
      </c>
      <c r="W171" s="188">
        <f>opex_orig!W171</f>
        <v>5.0639217E-2</v>
      </c>
      <c r="X171" s="188">
        <f>opex_orig!X171</f>
        <v>8.4286530999999998E-2</v>
      </c>
      <c r="Y171" s="188">
        <f>opex_orig!Y171</f>
        <v>2.0578020000000001E-3</v>
      </c>
      <c r="Z171" s="188">
        <f>opex_orig!Z171</f>
        <v>1.0235101E-2</v>
      </c>
      <c r="AA171" s="188">
        <f>opex_orig!AA171</f>
        <v>1.6892697000000002E-2</v>
      </c>
      <c r="AB171" s="245">
        <f>opex_concordance!M202</f>
        <v>1.55030910219837E-2</v>
      </c>
      <c r="AC171" s="245">
        <f>opex_concordance!M247</f>
        <v>2.3482538335767546E-2</v>
      </c>
      <c r="AD171" s="245">
        <f>opex_concordance!M292</f>
        <v>2.7328429457678858E-2</v>
      </c>
      <c r="AE171" s="188">
        <f>opex_orig!$AC171</f>
        <v>6.5998220615631403E-2</v>
      </c>
      <c r="AF171" s="227">
        <f>opex_concordance!M328</f>
        <v>0.10718516514040501</v>
      </c>
      <c r="AG171" s="227">
        <f>opex_concordance!M364</f>
        <v>4.7498404839507138E-2</v>
      </c>
      <c r="AH171" s="227">
        <f>opex_concordance!M400</f>
        <v>3.8107766337768634E-2</v>
      </c>
      <c r="AI171" s="188">
        <f>opex_orig!AE171</f>
        <v>0.114001541</v>
      </c>
      <c r="AJ171" s="188">
        <f>opex_orig!AF171</f>
        <v>4.2992325999999997E-2</v>
      </c>
      <c r="AK171" s="188">
        <f>opex_orig!AG171</f>
        <v>6.5530667000000001E-2</v>
      </c>
      <c r="AL171" s="188">
        <f>opex_orig!AH171</f>
        <v>5.1171196000000002E-2</v>
      </c>
      <c r="AM171" s="188">
        <f>opex_orig!AI171</f>
        <v>0.10264366699999999</v>
      </c>
      <c r="AN171" s="188">
        <f>opex_orig!AJ171</f>
        <v>0.112891147</v>
      </c>
      <c r="AO171" s="188">
        <f>opex_orig!AK171</f>
        <v>8.1998634000000001E-2</v>
      </c>
      <c r="AP171" s="227">
        <f>opex_concordance!M455</f>
        <v>8.26046924153198E-2</v>
      </c>
      <c r="AQ171" s="227">
        <f>opex_concordance!M509</f>
        <v>6.6479477136559731E-2</v>
      </c>
      <c r="AR171" s="227">
        <f>opex_concordance!M563</f>
        <v>7.2955416537504689E-2</v>
      </c>
      <c r="AS171" s="188">
        <f>opex_orig!$AM171</f>
        <v>8.2686887108493201E-2</v>
      </c>
      <c r="AT171" s="188">
        <f>opex_orig!AN171</f>
        <v>8.6149688000000002E-2</v>
      </c>
      <c r="AU171" s="227">
        <f>opex_concordance!M608</f>
        <v>3.3474090041934301E-2</v>
      </c>
      <c r="AV171" s="227">
        <f>opex_concordance!M654</f>
        <v>4.5474433352917162E-2</v>
      </c>
      <c r="AW171" s="227">
        <f>opex_concordance!M700</f>
        <v>3.7540177216073181E-2</v>
      </c>
      <c r="AX171" s="188">
        <f>opex_orig!$AP171</f>
        <v>4.39629180976547E-2</v>
      </c>
      <c r="AY171" s="188">
        <f>opex_orig!AQ171</f>
        <v>2.5827023000000001E-2</v>
      </c>
      <c r="AZ171" s="188">
        <f>opex_orig!AR171</f>
        <v>0</v>
      </c>
      <c r="BA171" s="188">
        <f>opex_orig!AS171</f>
        <v>3.8192363999999999E-2</v>
      </c>
      <c r="BB171" s="188">
        <f>opex_orig!AT171</f>
        <v>4.2272791999999997E-2</v>
      </c>
      <c r="BC171" s="188">
        <f>opex_orig!AU171</f>
        <v>4.3280107999999998E-2</v>
      </c>
      <c r="BD171" s="188">
        <f>opex_orig!AV171</f>
        <v>4.3805232999999999E-2</v>
      </c>
      <c r="BE171" s="188">
        <f>opex_orig!AW171</f>
        <v>4.3409031000000001E-2</v>
      </c>
      <c r="BF171" s="188">
        <f>opex_orig!AX171</f>
        <v>0</v>
      </c>
      <c r="BG171" s="188">
        <f>opex_orig!AY171</f>
        <v>1.0083916E-2</v>
      </c>
      <c r="BH171" s="188">
        <f>opex_orig!AZ171</f>
        <v>0</v>
      </c>
      <c r="BI171" s="188">
        <f>opex_orig!BA171</f>
        <v>5.2215559000000002E-2</v>
      </c>
      <c r="BJ171" s="188">
        <f>opex_orig!BB171</f>
        <v>7.6825457E-2</v>
      </c>
      <c r="BK171" s="188">
        <f>opex_orig!BC171</f>
        <v>7.1183056999999994E-2</v>
      </c>
      <c r="BL171" s="188">
        <f>opex_orig!BD171</f>
        <v>1.1941482999999999E-2</v>
      </c>
      <c r="BM171" s="188">
        <f>opex_orig!BE171</f>
        <v>6.1417384999999998E-2</v>
      </c>
      <c r="BN171" s="188">
        <f>opex_orig!BF171</f>
        <v>3.5228942999999999E-2</v>
      </c>
      <c r="BO171" s="188">
        <f>opex_orig!BG171</f>
        <v>0.12521452499999999</v>
      </c>
      <c r="BP171" s="245">
        <f>opex_concordance!M99</f>
        <v>4.8740231391436364E-2</v>
      </c>
      <c r="BQ171" s="245">
        <f>opex_concordance!M142</f>
        <v>2.7015801943433899E-2</v>
      </c>
      <c r="BR171" s="188">
        <f>opex_orig!BI171</f>
        <v>6.8433706999999996E-2</v>
      </c>
      <c r="BS171" s="188">
        <f>opex_orig!BJ171</f>
        <v>6.9710573999999997E-2</v>
      </c>
      <c r="BT171" s="188">
        <f>opex_orig!BK171</f>
        <v>1.308342E-2</v>
      </c>
      <c r="BU171" s="188">
        <f>opex_orig!BL171</f>
        <v>0</v>
      </c>
      <c r="BV171" s="27">
        <f>opex_orig!BM171</f>
        <v>5.2417823993075499E-2</v>
      </c>
      <c r="BW171" s="27">
        <f>opex_orig!BN171</f>
        <v>3.08282520943058E-2</v>
      </c>
      <c r="BX171" s="27">
        <f>opex_orig!BO171</f>
        <v>4.7939934733401399E-2</v>
      </c>
      <c r="BY171" s="27">
        <f>opex_orig!BP171</f>
        <v>3.13883335748023E-2</v>
      </c>
      <c r="BZ171" s="27">
        <f>opex_orig!BQ171</f>
        <v>2.1482529954626801E-2</v>
      </c>
      <c r="CA171" s="27">
        <f>opex_orig!BR171</f>
        <v>3.6669761821682301E-2</v>
      </c>
      <c r="CB171" s="27">
        <f>opex_orig!BS171</f>
        <v>1.7948583241348799E-2</v>
      </c>
      <c r="CC171" s="27">
        <f>opex_orig!BT171</f>
        <v>1.6365853074895801E-3</v>
      </c>
      <c r="CD171" s="27">
        <f>opex_orig!BU171</f>
        <v>1.1217699338740899E-2</v>
      </c>
      <c r="CE171" s="27">
        <f>opex_orig!BV171</f>
        <v>1.1217699338741E-2</v>
      </c>
      <c r="CF171" s="27">
        <f>opex_orig!BW171</f>
        <v>1.6318747470693201E-2</v>
      </c>
      <c r="CG171" s="27">
        <f>opex_orig!BX171</f>
        <v>2.1835723980346898E-3</v>
      </c>
      <c r="CH171" s="27">
        <f>opex_orig!BY171</f>
        <v>2.1731966604625301E-4</v>
      </c>
      <c r="CI171" s="27">
        <f>opex_orig!BZ171</f>
        <v>3.0746389999999998E-2</v>
      </c>
      <c r="CJ171" s="27">
        <f>opex_orig!CA171</f>
        <v>2.4372887999999999E-2</v>
      </c>
      <c r="CK171" s="27">
        <f>opex_orig!CB171</f>
        <v>2.9148449E-2</v>
      </c>
      <c r="CL171" s="27">
        <f>opex_orig!CC171</f>
        <v>1.0223522000000001E-2</v>
      </c>
      <c r="CM171" s="27">
        <f>opex_orig!CD171</f>
        <v>3.9435600000000001E-2</v>
      </c>
      <c r="CN171" s="27">
        <f>opex_orig!CE171</f>
        <v>0.182927531</v>
      </c>
      <c r="CO171" s="27">
        <f>opex_orig!CF171</f>
        <v>4.3496106E-2</v>
      </c>
      <c r="CP171" s="27">
        <f>opex_orig!CG171</f>
        <v>0.119291235</v>
      </c>
    </row>
    <row r="172" spans="1:94" x14ac:dyDescent="0.25">
      <c r="A172" s="43" t="s">
        <v>375</v>
      </c>
      <c r="B172" s="43">
        <v>6</v>
      </c>
      <c r="C172" s="43" t="s">
        <v>379</v>
      </c>
      <c r="D172" s="188">
        <f>opex_orig!D172</f>
        <v>3.7616176000000001E-2</v>
      </c>
      <c r="E172" s="188">
        <f>opex_orig!E172</f>
        <v>3.5656532999999997E-2</v>
      </c>
      <c r="F172" s="188">
        <f>opex_orig!F172</f>
        <v>3.8810554999999997E-2</v>
      </c>
      <c r="G172" s="188">
        <f>opex_orig!G172</f>
        <v>4.9808804999999998E-2</v>
      </c>
      <c r="H172" s="188">
        <f>opex_orig!H172</f>
        <v>1.5923209000000001E-2</v>
      </c>
      <c r="I172" s="188">
        <f>opex_orig!I172</f>
        <v>4.4156775000000002E-2</v>
      </c>
      <c r="J172" s="188">
        <f>opex_orig!J172</f>
        <v>5.8707941E-2</v>
      </c>
      <c r="K172" s="188">
        <f>opex_orig!K172</f>
        <v>1.3055663E-2</v>
      </c>
      <c r="L172" s="188">
        <f>opex_orig!L172</f>
        <v>5.012349E-2</v>
      </c>
      <c r="M172" s="188">
        <f>opex_orig!M172</f>
        <v>4.0126920000000003E-2</v>
      </c>
      <c r="N172" s="188">
        <f>opex_orig!N172</f>
        <v>3.0698599E-2</v>
      </c>
      <c r="O172" s="188">
        <f>opex_orig!O172</f>
        <v>3.8896093999999999E-2</v>
      </c>
      <c r="P172" s="188">
        <f>opex_orig!P172</f>
        <v>7.5192202999999999E-2</v>
      </c>
      <c r="Q172" s="188">
        <f>opex_orig!Q172</f>
        <v>3.5726748000000003E-2</v>
      </c>
      <c r="R172" s="188">
        <f>opex_orig!R172</f>
        <v>2.0568030000000001E-2</v>
      </c>
      <c r="S172" s="188">
        <f>opex_orig!S172</f>
        <v>5.1451341999999997E-2</v>
      </c>
      <c r="T172" s="188">
        <f>opex_orig!T172</f>
        <v>5.8859899E-2</v>
      </c>
      <c r="U172" s="188">
        <f>opex_orig!U172</f>
        <v>9.0522117999999999E-2</v>
      </c>
      <c r="V172" s="188">
        <f>opex_orig!V172</f>
        <v>0.12632651</v>
      </c>
      <c r="W172" s="188">
        <f>opex_orig!W172</f>
        <v>4.6824007000000001E-2</v>
      </c>
      <c r="X172" s="188">
        <f>opex_orig!X172</f>
        <v>6.5886701000000006E-2</v>
      </c>
      <c r="Y172" s="188">
        <f>opex_orig!Y172</f>
        <v>1.1066133000000001E-2</v>
      </c>
      <c r="Z172" s="188">
        <f>opex_orig!Z172</f>
        <v>2.5041468000000001E-2</v>
      </c>
      <c r="AA172" s="188">
        <f>opex_orig!AA172</f>
        <v>0.237483271</v>
      </c>
      <c r="AB172" s="189">
        <f>opex_concordance!M203</f>
        <v>1.6966862703751199E-2</v>
      </c>
      <c r="AC172" s="189">
        <f>opex_concordance!M248</f>
        <v>2.6370975087125798E-2</v>
      </c>
      <c r="AD172" s="189">
        <f>opex_concordance!M293</f>
        <v>3.3679203038238514E-2</v>
      </c>
      <c r="AE172" s="188">
        <f>opex_orig!$AC172</f>
        <v>7.07507608489613E-2</v>
      </c>
      <c r="AF172" s="189">
        <f>opex_concordance!M329</f>
        <v>9.6972910774539706E-2</v>
      </c>
      <c r="AG172" s="189">
        <f>opex_concordance!M365</f>
        <v>2.1667014007606629E-2</v>
      </c>
      <c r="AH172" s="189">
        <f>opex_concordance!M401</f>
        <v>1.7383352342651027E-2</v>
      </c>
      <c r="AI172" s="188">
        <f>opex_orig!AE172</f>
        <v>0.103459739</v>
      </c>
      <c r="AJ172" s="188">
        <f>opex_orig!AF172</f>
        <v>5.0368270999999999E-2</v>
      </c>
      <c r="AK172" s="188">
        <f>opex_orig!AG172</f>
        <v>4.9159138999999998E-2</v>
      </c>
      <c r="AL172" s="188">
        <f>opex_orig!AH172</f>
        <v>7.4897470999999993E-2</v>
      </c>
      <c r="AM172" s="188">
        <f>opex_orig!AI172</f>
        <v>0.15127358299999999</v>
      </c>
      <c r="AN172" s="188">
        <f>opex_orig!AJ172</f>
        <v>0.122638104</v>
      </c>
      <c r="AO172" s="188">
        <f>opex_orig!AK172</f>
        <v>9.1016111999999996E-2</v>
      </c>
      <c r="AP172" s="189">
        <f>opex_concordance!M436</f>
        <v>8.9656316685048101E-2</v>
      </c>
      <c r="AQ172" s="189">
        <f>opex_concordance!M490</f>
        <v>8.7655792749954095E-2</v>
      </c>
      <c r="AR172" s="189">
        <f>opex_concordance!M544</f>
        <v>7.079920523626064E-2</v>
      </c>
      <c r="AS172" s="188">
        <f>opex_orig!$AM172</f>
        <v>8.9832462324537093E-2</v>
      </c>
      <c r="AT172" s="188">
        <f>opex_orig!AN172</f>
        <v>7.9225959999999998E-2</v>
      </c>
      <c r="AU172" s="189">
        <f>opex_concordance!M609</f>
        <v>6.4305291228469799E-2</v>
      </c>
      <c r="AV172" s="189">
        <f>opex_concordance!M655</f>
        <v>0.19869779088507472</v>
      </c>
      <c r="AW172" s="189">
        <f>opex_concordance!M701</f>
        <v>0.15677485804327543</v>
      </c>
      <c r="AX172" s="188">
        <f>opex_orig!$AP172</f>
        <v>8.4403785042961199E-2</v>
      </c>
      <c r="AY172" s="188">
        <f>opex_orig!AQ172</f>
        <v>4.9937247999999997E-2</v>
      </c>
      <c r="AZ172" s="188">
        <f>opex_orig!AR172</f>
        <v>0</v>
      </c>
      <c r="BA172" s="188">
        <f>opex_orig!AS172</f>
        <v>6.7300267999999996E-2</v>
      </c>
      <c r="BB172" s="188">
        <f>opex_orig!AT172</f>
        <v>7.3316016999999997E-2</v>
      </c>
      <c r="BC172" s="188">
        <f>opex_orig!AU172</f>
        <v>6.8841863000000003E-2</v>
      </c>
      <c r="BD172" s="188">
        <f>opex_orig!AV172</f>
        <v>6.8829944000000004E-2</v>
      </c>
      <c r="BE172" s="188">
        <f>opex_orig!AW172</f>
        <v>4.3962078000000002E-2</v>
      </c>
      <c r="BF172" s="188">
        <f>opex_orig!AX172</f>
        <v>0</v>
      </c>
      <c r="BG172" s="188">
        <f>opex_orig!AY172</f>
        <v>1.2968891999999999E-2</v>
      </c>
      <c r="BH172" s="188">
        <f>opex_orig!AZ172</f>
        <v>0</v>
      </c>
      <c r="BI172" s="188">
        <f>opex_orig!BA172</f>
        <v>2.7393292E-2</v>
      </c>
      <c r="BJ172" s="188">
        <f>opex_orig!BB172</f>
        <v>4.4349530999999998E-2</v>
      </c>
      <c r="BK172" s="188">
        <f>opex_orig!BC172</f>
        <v>3.6815788000000002E-2</v>
      </c>
      <c r="BL172" s="188">
        <f>opex_orig!BD172</f>
        <v>5.5330830000000003E-3</v>
      </c>
      <c r="BM172" s="188">
        <f>opex_orig!BE172</f>
        <v>2.9086240999999999E-2</v>
      </c>
      <c r="BN172" s="188">
        <f>opex_orig!BF172</f>
        <v>1.9830510999999999E-2</v>
      </c>
      <c r="BO172" s="188">
        <f>opex_orig!BG172</f>
        <v>5.6598955999999999E-2</v>
      </c>
      <c r="BP172" s="189">
        <f>opex_concordance!M100</f>
        <v>3.8361563177222439E-2</v>
      </c>
      <c r="BQ172" s="189">
        <f>opex_concordance!M143</f>
        <v>2.1263099567854278E-2</v>
      </c>
      <c r="BR172" s="188">
        <f>opex_orig!BI172</f>
        <v>2.0624667999999999E-2</v>
      </c>
      <c r="BS172" s="188">
        <f>opex_orig!BJ172</f>
        <v>3.3220697E-2</v>
      </c>
      <c r="BT172" s="188">
        <f>opex_orig!BK172</f>
        <v>3.5045889999999998E-3</v>
      </c>
      <c r="BU172" s="188">
        <f>opex_orig!BL172</f>
        <v>0</v>
      </c>
      <c r="BV172" s="27">
        <f>opex_orig!BM172</f>
        <v>8.5753400470552396E-2</v>
      </c>
      <c r="BW172" s="27">
        <f>opex_orig!BN172</f>
        <v>5.8101751216910899E-2</v>
      </c>
      <c r="BX172" s="27">
        <f>opex_orig!BO172</f>
        <v>0.28665823996199402</v>
      </c>
      <c r="BY172" s="27">
        <f>opex_orig!BP172</f>
        <v>0.40226381012782197</v>
      </c>
      <c r="BZ172" s="27">
        <f>opex_orig!BQ172</f>
        <v>0.38432064379752401</v>
      </c>
      <c r="CA172" s="27">
        <f>opex_orig!BR172</f>
        <v>0.42194821526933501</v>
      </c>
      <c r="CB172" s="27">
        <f>opex_orig!BS172</f>
        <v>3.3705098157663899E-2</v>
      </c>
      <c r="CC172" s="27">
        <f>opex_orig!BT172</f>
        <v>5.4764153480878503E-3</v>
      </c>
      <c r="CD172" s="27">
        <f>opex_orig!BU172</f>
        <v>0.46317330193951101</v>
      </c>
      <c r="CE172" s="27">
        <f>opex_orig!BV172</f>
        <v>0.46317330193951201</v>
      </c>
      <c r="CF172" s="27">
        <f>opex_orig!BW172</f>
        <v>0.50434904837405903</v>
      </c>
      <c r="CG172" s="27">
        <f>opex_orig!BX172</f>
        <v>0.70732922475813498</v>
      </c>
      <c r="CH172" s="27">
        <f>opex_orig!BY172</f>
        <v>0.14987762101875901</v>
      </c>
      <c r="CI172" s="27">
        <f>opex_orig!BZ172</f>
        <v>0.198982256</v>
      </c>
      <c r="CJ172" s="27">
        <f>opex_orig!CA172</f>
        <v>0.19343668899999999</v>
      </c>
      <c r="CK172" s="27">
        <f>opex_orig!CB172</f>
        <v>0.19427140700000001</v>
      </c>
      <c r="CL172" s="27">
        <f>opex_orig!CC172</f>
        <v>5.5653619999999999E-3</v>
      </c>
      <c r="CM172" s="27">
        <f>opex_orig!CD172</f>
        <v>3.5386885999999999E-2</v>
      </c>
      <c r="CN172" s="27">
        <f>opex_orig!CE172</f>
        <v>0.17053499999999999</v>
      </c>
      <c r="CO172" s="27">
        <f>opex_orig!CF172</f>
        <v>3.1262209999999999E-2</v>
      </c>
      <c r="CP172" s="27">
        <f>opex_orig!CG172</f>
        <v>5.1982584999999998E-2</v>
      </c>
    </row>
    <row r="173" spans="1:94" x14ac:dyDescent="0.25">
      <c r="A173" s="38" t="s">
        <v>376</v>
      </c>
      <c r="B173" s="38">
        <v>7</v>
      </c>
      <c r="C173" s="38" t="s">
        <v>379</v>
      </c>
      <c r="D173" s="188">
        <f>opex_orig!D173</f>
        <v>0</v>
      </c>
      <c r="E173" s="188">
        <f>opex_orig!E173</f>
        <v>0</v>
      </c>
      <c r="F173" s="188">
        <f>opex_orig!F173</f>
        <v>0</v>
      </c>
      <c r="G173" s="188">
        <f>opex_orig!G173</f>
        <v>0</v>
      </c>
      <c r="H173" s="188">
        <f>opex_orig!H173</f>
        <v>0</v>
      </c>
      <c r="I173" s="188">
        <f>opex_orig!I173</f>
        <v>0</v>
      </c>
      <c r="J173" s="188">
        <f>opex_orig!J173</f>
        <v>0</v>
      </c>
      <c r="K173" s="188">
        <f>opex_orig!K173</f>
        <v>0</v>
      </c>
      <c r="L173" s="188">
        <f>opex_orig!L173</f>
        <v>0</v>
      </c>
      <c r="M173" s="188">
        <f>opex_orig!M173</f>
        <v>0</v>
      </c>
      <c r="N173" s="188">
        <f>opex_orig!N173</f>
        <v>0</v>
      </c>
      <c r="O173" s="188">
        <f>opex_orig!O173</f>
        <v>0</v>
      </c>
      <c r="P173" s="188">
        <f>opex_orig!P173</f>
        <v>0</v>
      </c>
      <c r="Q173" s="188">
        <f>opex_orig!Q173</f>
        <v>0</v>
      </c>
      <c r="R173" s="188">
        <f>opex_orig!R173</f>
        <v>0</v>
      </c>
      <c r="S173" s="188">
        <f>opex_orig!S173</f>
        <v>0</v>
      </c>
      <c r="T173" s="188">
        <f>opex_orig!T173</f>
        <v>0</v>
      </c>
      <c r="U173" s="188">
        <f>opex_orig!U173</f>
        <v>0</v>
      </c>
      <c r="V173" s="188">
        <f>opex_orig!V173</f>
        <v>0</v>
      </c>
      <c r="W173" s="188">
        <f>opex_orig!W173</f>
        <v>0</v>
      </c>
      <c r="X173" s="188">
        <f>opex_orig!X173</f>
        <v>0</v>
      </c>
      <c r="Y173" s="188">
        <f>opex_orig!Y173</f>
        <v>0</v>
      </c>
      <c r="Z173" s="188">
        <f>opex_orig!Z173</f>
        <v>0</v>
      </c>
      <c r="AA173" s="188">
        <f>opex_orig!AA173</f>
        <v>0</v>
      </c>
      <c r="AB173" s="188">
        <f>opex_orig!$AB173</f>
        <v>0</v>
      </c>
      <c r="AC173" s="188">
        <f>opex_orig!$AB173</f>
        <v>0</v>
      </c>
      <c r="AD173" s="188">
        <f>opex_orig!$AB173</f>
        <v>0</v>
      </c>
      <c r="AE173" s="188">
        <f>opex_orig!$AC173</f>
        <v>0</v>
      </c>
      <c r="AF173" s="188">
        <f>opex_orig!$AD173</f>
        <v>0</v>
      </c>
      <c r="AG173" s="188">
        <f>opex_orig!$AD173</f>
        <v>0</v>
      </c>
      <c r="AH173" s="188">
        <f>opex_orig!$AD173</f>
        <v>0</v>
      </c>
      <c r="AI173" s="188">
        <f>opex_orig!AE173</f>
        <v>0</v>
      </c>
      <c r="AJ173" s="188">
        <f>opex_orig!AF173</f>
        <v>0</v>
      </c>
      <c r="AK173" s="188">
        <f>opex_orig!AG173</f>
        <v>0</v>
      </c>
      <c r="AL173" s="188">
        <f>opex_orig!AH173</f>
        <v>0</v>
      </c>
      <c r="AM173" s="188">
        <f>opex_orig!AI173</f>
        <v>0</v>
      </c>
      <c r="AN173" s="188">
        <f>opex_orig!AJ173</f>
        <v>0</v>
      </c>
      <c r="AO173" s="188">
        <f>opex_orig!AK173</f>
        <v>0</v>
      </c>
      <c r="AP173" s="188">
        <f>opex_orig!$AL173</f>
        <v>0</v>
      </c>
      <c r="AQ173" s="188">
        <f>opex_orig!$AL173</f>
        <v>0</v>
      </c>
      <c r="AR173" s="188">
        <f>opex_orig!$AL173</f>
        <v>0</v>
      </c>
      <c r="AS173" s="188">
        <f>opex_orig!$AM173</f>
        <v>0</v>
      </c>
      <c r="AT173" s="188">
        <f>opex_orig!AN173</f>
        <v>0</v>
      </c>
      <c r="AU173" s="188">
        <f>opex_orig!$AO173</f>
        <v>0</v>
      </c>
      <c r="AV173" s="188">
        <f>opex_orig!$AO173</f>
        <v>0</v>
      </c>
      <c r="AW173" s="188">
        <f>opex_orig!$AO173</f>
        <v>0</v>
      </c>
      <c r="AX173" s="188">
        <f>opex_orig!$AP173</f>
        <v>0</v>
      </c>
      <c r="AY173" s="188">
        <f>opex_orig!AQ173</f>
        <v>0</v>
      </c>
      <c r="AZ173" s="188">
        <f>opex_orig!AR173</f>
        <v>0</v>
      </c>
      <c r="BA173" s="188">
        <f>opex_orig!AS173</f>
        <v>0</v>
      </c>
      <c r="BB173" s="188">
        <f>opex_orig!AT173</f>
        <v>0</v>
      </c>
      <c r="BC173" s="188">
        <f>opex_orig!AU173</f>
        <v>0</v>
      </c>
      <c r="BD173" s="188">
        <f>opex_orig!AV173</f>
        <v>0</v>
      </c>
      <c r="BE173" s="188">
        <f>opex_orig!AW173</f>
        <v>0</v>
      </c>
      <c r="BF173" s="188">
        <f>opex_orig!AX173</f>
        <v>0</v>
      </c>
      <c r="BG173" s="188">
        <f>opex_orig!AY173</f>
        <v>0</v>
      </c>
      <c r="BH173" s="188">
        <f>opex_orig!AZ173</f>
        <v>0</v>
      </c>
      <c r="BI173" s="188">
        <f>opex_orig!BA173</f>
        <v>0</v>
      </c>
      <c r="BJ173" s="188">
        <f>opex_orig!BB173</f>
        <v>0</v>
      </c>
      <c r="BK173" s="188">
        <f>opex_orig!BC173</f>
        <v>0</v>
      </c>
      <c r="BL173" s="188">
        <f>opex_orig!BD173</f>
        <v>0</v>
      </c>
      <c r="BM173" s="188">
        <f>opex_orig!BE173</f>
        <v>0</v>
      </c>
      <c r="BN173" s="188">
        <f>opex_orig!BF173</f>
        <v>0</v>
      </c>
      <c r="BO173" s="188">
        <f>opex_orig!BG173</f>
        <v>0</v>
      </c>
      <c r="BP173" s="188">
        <f>opex_orig!$BH173</f>
        <v>0</v>
      </c>
      <c r="BQ173" s="188">
        <f>opex_orig!$BH173</f>
        <v>0</v>
      </c>
      <c r="BR173" s="188">
        <f>opex_orig!BI173</f>
        <v>0</v>
      </c>
      <c r="BS173" s="188">
        <f>opex_orig!BJ173</f>
        <v>0</v>
      </c>
      <c r="BT173" s="188">
        <f>opex_orig!BK173</f>
        <v>0</v>
      </c>
      <c r="BU173" s="188">
        <f>opex_orig!BL173</f>
        <v>0</v>
      </c>
      <c r="BV173" s="27">
        <f>opex_orig!BM173</f>
        <v>0</v>
      </c>
      <c r="BW173" s="27">
        <f>opex_orig!BN173</f>
        <v>0</v>
      </c>
      <c r="BX173" s="27">
        <f>opex_orig!BO173</f>
        <v>0</v>
      </c>
      <c r="BY173" s="27">
        <f>opex_orig!BP173</f>
        <v>0</v>
      </c>
      <c r="BZ173" s="27">
        <f>opex_orig!BQ173</f>
        <v>0</v>
      </c>
      <c r="CA173" s="27">
        <f>opex_orig!BR173</f>
        <v>0</v>
      </c>
      <c r="CB173" s="27">
        <f>opex_orig!BS173</f>
        <v>0</v>
      </c>
      <c r="CC173" s="27">
        <f>opex_orig!BT173</f>
        <v>0</v>
      </c>
      <c r="CD173" s="27">
        <f>opex_orig!BU173</f>
        <v>0</v>
      </c>
      <c r="CE173" s="27">
        <f>opex_orig!BV173</f>
        <v>0</v>
      </c>
      <c r="CF173" s="27">
        <f>opex_orig!BW173</f>
        <v>0</v>
      </c>
      <c r="CG173" s="27">
        <f>opex_orig!BX173</f>
        <v>0</v>
      </c>
      <c r="CH173" s="27">
        <f>opex_orig!BY173</f>
        <v>0</v>
      </c>
      <c r="CI173" s="27">
        <f>opex_orig!BZ173</f>
        <v>0</v>
      </c>
      <c r="CJ173" s="27">
        <f>opex_orig!CA173</f>
        <v>0</v>
      </c>
      <c r="CK173" s="27">
        <f>opex_orig!CB173</f>
        <v>0</v>
      </c>
      <c r="CL173" s="27">
        <f>opex_orig!CC173</f>
        <v>0</v>
      </c>
      <c r="CM173" s="27">
        <f>opex_orig!CD173</f>
        <v>0</v>
      </c>
      <c r="CN173" s="27">
        <f>opex_orig!CE173</f>
        <v>0</v>
      </c>
      <c r="CO173" s="27">
        <f>opex_orig!CF173</f>
        <v>0</v>
      </c>
      <c r="CP173" s="27">
        <f>opex_orig!CG173</f>
        <v>0</v>
      </c>
    </row>
    <row r="174" spans="1:94" x14ac:dyDescent="0.25">
      <c r="A174" s="43" t="s">
        <v>377</v>
      </c>
      <c r="B174" s="43">
        <v>8</v>
      </c>
      <c r="C174" s="43" t="s">
        <v>379</v>
      </c>
      <c r="D174" s="188">
        <f>opex_orig!D174</f>
        <v>0</v>
      </c>
      <c r="E174" s="188">
        <f>opex_orig!E174</f>
        <v>0</v>
      </c>
      <c r="F174" s="188">
        <f>opex_orig!F174</f>
        <v>0</v>
      </c>
      <c r="G174" s="188">
        <f>opex_orig!G174</f>
        <v>0</v>
      </c>
      <c r="H174" s="188">
        <f>opex_orig!H174</f>
        <v>0</v>
      </c>
      <c r="I174" s="188">
        <f>opex_orig!I174</f>
        <v>0</v>
      </c>
      <c r="J174" s="188">
        <f>opex_orig!J174</f>
        <v>0</v>
      </c>
      <c r="K174" s="188">
        <f>opex_orig!K174</f>
        <v>0</v>
      </c>
      <c r="L174" s="188">
        <f>opex_orig!L174</f>
        <v>0</v>
      </c>
      <c r="M174" s="188">
        <f>opex_orig!M174</f>
        <v>0</v>
      </c>
      <c r="N174" s="188">
        <f>opex_orig!N174</f>
        <v>0</v>
      </c>
      <c r="O174" s="188">
        <f>opex_orig!O174</f>
        <v>0</v>
      </c>
      <c r="P174" s="188">
        <f>opex_orig!P174</f>
        <v>0</v>
      </c>
      <c r="Q174" s="188">
        <f>opex_orig!Q174</f>
        <v>0</v>
      </c>
      <c r="R174" s="188">
        <f>opex_orig!R174</f>
        <v>0</v>
      </c>
      <c r="S174" s="188">
        <f>opex_orig!S174</f>
        <v>0</v>
      </c>
      <c r="T174" s="188">
        <f>opex_orig!T174</f>
        <v>0</v>
      </c>
      <c r="U174" s="188">
        <f>opex_orig!U174</f>
        <v>0</v>
      </c>
      <c r="V174" s="188">
        <f>opex_orig!V174</f>
        <v>0</v>
      </c>
      <c r="W174" s="188">
        <f>opex_orig!W174</f>
        <v>0</v>
      </c>
      <c r="X174" s="188">
        <f>opex_orig!X174</f>
        <v>0</v>
      </c>
      <c r="Y174" s="188">
        <f>opex_orig!Y174</f>
        <v>0</v>
      </c>
      <c r="Z174" s="188">
        <f>opex_orig!Z174</f>
        <v>0</v>
      </c>
      <c r="AA174" s="188">
        <f>opex_orig!AA174</f>
        <v>0</v>
      </c>
      <c r="AB174" s="188">
        <f>opex_orig!$AB174</f>
        <v>0</v>
      </c>
      <c r="AC174" s="188">
        <f>opex_orig!$AB174</f>
        <v>0</v>
      </c>
      <c r="AD174" s="188">
        <f>opex_orig!$AB174</f>
        <v>0</v>
      </c>
      <c r="AE174" s="188">
        <f>opex_orig!$AC174</f>
        <v>0</v>
      </c>
      <c r="AF174" s="188">
        <f>opex_orig!$AD174</f>
        <v>0</v>
      </c>
      <c r="AG174" s="188">
        <f>opex_orig!$AD174</f>
        <v>0</v>
      </c>
      <c r="AH174" s="188">
        <f>opex_orig!$AD174</f>
        <v>0</v>
      </c>
      <c r="AI174" s="188">
        <f>opex_orig!AE174</f>
        <v>0</v>
      </c>
      <c r="AJ174" s="188">
        <f>opex_orig!AF174</f>
        <v>0</v>
      </c>
      <c r="AK174" s="188">
        <f>opex_orig!AG174</f>
        <v>0</v>
      </c>
      <c r="AL174" s="188">
        <f>opex_orig!AH174</f>
        <v>0</v>
      </c>
      <c r="AM174" s="188">
        <f>opex_orig!AI174</f>
        <v>0</v>
      </c>
      <c r="AN174" s="188">
        <f>opex_orig!AJ174</f>
        <v>0</v>
      </c>
      <c r="AO174" s="188">
        <f>opex_orig!AK174</f>
        <v>0</v>
      </c>
      <c r="AP174" s="188">
        <f>opex_orig!$AL174</f>
        <v>0</v>
      </c>
      <c r="AQ174" s="188">
        <f>opex_orig!$AL174</f>
        <v>0</v>
      </c>
      <c r="AR174" s="188">
        <f>opex_orig!$AL174</f>
        <v>0</v>
      </c>
      <c r="AS174" s="188">
        <f>opex_orig!$AM174</f>
        <v>0</v>
      </c>
      <c r="AT174" s="188">
        <f>opex_orig!AN174</f>
        <v>0</v>
      </c>
      <c r="AU174" s="188">
        <f>opex_orig!$AO174</f>
        <v>0</v>
      </c>
      <c r="AV174" s="188">
        <f>opex_orig!$AO174</f>
        <v>0</v>
      </c>
      <c r="AW174" s="188">
        <f>opex_orig!$AO174</f>
        <v>0</v>
      </c>
      <c r="AX174" s="188">
        <f>opex_orig!$AP174</f>
        <v>0</v>
      </c>
      <c r="AY174" s="188">
        <f>opex_orig!AQ174</f>
        <v>0</v>
      </c>
      <c r="AZ174" s="188">
        <f>opex_orig!AR174</f>
        <v>0</v>
      </c>
      <c r="BA174" s="188">
        <f>opex_orig!AS174</f>
        <v>0</v>
      </c>
      <c r="BB174" s="188">
        <f>opex_orig!AT174</f>
        <v>0</v>
      </c>
      <c r="BC174" s="188">
        <f>opex_orig!AU174</f>
        <v>0</v>
      </c>
      <c r="BD174" s="188">
        <f>opex_orig!AV174</f>
        <v>0</v>
      </c>
      <c r="BE174" s="188">
        <f>opex_orig!AW174</f>
        <v>0</v>
      </c>
      <c r="BF174" s="188">
        <f>opex_orig!AX174</f>
        <v>0</v>
      </c>
      <c r="BG174" s="188">
        <f>opex_orig!AY174</f>
        <v>0</v>
      </c>
      <c r="BH174" s="188">
        <f>opex_orig!AZ174</f>
        <v>0</v>
      </c>
      <c r="BI174" s="188">
        <f>opex_orig!BA174</f>
        <v>0</v>
      </c>
      <c r="BJ174" s="188">
        <f>opex_orig!BB174</f>
        <v>0</v>
      </c>
      <c r="BK174" s="188">
        <f>opex_orig!BC174</f>
        <v>0</v>
      </c>
      <c r="BL174" s="188">
        <f>opex_orig!BD174</f>
        <v>0</v>
      </c>
      <c r="BM174" s="188">
        <f>opex_orig!BE174</f>
        <v>0</v>
      </c>
      <c r="BN174" s="188">
        <f>opex_orig!BF174</f>
        <v>0</v>
      </c>
      <c r="BO174" s="188">
        <f>opex_orig!BG174</f>
        <v>0</v>
      </c>
      <c r="BP174" s="188">
        <f>opex_orig!$BH174</f>
        <v>0</v>
      </c>
      <c r="BQ174" s="188">
        <f>opex_orig!$BH174</f>
        <v>0</v>
      </c>
      <c r="BR174" s="188">
        <f>opex_orig!BI174</f>
        <v>0</v>
      </c>
      <c r="BS174" s="188">
        <f>opex_orig!BJ174</f>
        <v>0</v>
      </c>
      <c r="BT174" s="188">
        <f>opex_orig!BK174</f>
        <v>0</v>
      </c>
      <c r="BU174" s="188">
        <f>opex_orig!BL174</f>
        <v>0</v>
      </c>
      <c r="BV174" s="27">
        <f>opex_orig!BM174</f>
        <v>0</v>
      </c>
      <c r="BW174" s="27">
        <f>opex_orig!BN174</f>
        <v>0</v>
      </c>
      <c r="BX174" s="27">
        <f>opex_orig!BO174</f>
        <v>0</v>
      </c>
      <c r="BY174" s="27">
        <f>opex_orig!BP174</f>
        <v>0</v>
      </c>
      <c r="BZ174" s="27">
        <f>opex_orig!BQ174</f>
        <v>0</v>
      </c>
      <c r="CA174" s="27">
        <f>opex_orig!BR174</f>
        <v>0</v>
      </c>
      <c r="CB174" s="27">
        <f>opex_orig!BS174</f>
        <v>0</v>
      </c>
      <c r="CC174" s="27">
        <f>opex_orig!BT174</f>
        <v>0</v>
      </c>
      <c r="CD174" s="27">
        <f>opex_orig!BU174</f>
        <v>0</v>
      </c>
      <c r="CE174" s="27">
        <f>opex_orig!BV174</f>
        <v>0</v>
      </c>
      <c r="CF174" s="27">
        <f>opex_orig!BW174</f>
        <v>0</v>
      </c>
      <c r="CG174" s="27">
        <f>opex_orig!BX174</f>
        <v>0</v>
      </c>
      <c r="CH174" s="27">
        <f>opex_orig!BY174</f>
        <v>0</v>
      </c>
      <c r="CI174" s="27">
        <f>opex_orig!BZ174</f>
        <v>0</v>
      </c>
      <c r="CJ174" s="27">
        <f>opex_orig!CA174</f>
        <v>0</v>
      </c>
      <c r="CK174" s="27">
        <f>opex_orig!CB174</f>
        <v>0</v>
      </c>
      <c r="CL174" s="27">
        <f>opex_orig!CC174</f>
        <v>0</v>
      </c>
      <c r="CM174" s="27">
        <f>opex_orig!CD174</f>
        <v>0</v>
      </c>
      <c r="CN174" s="27">
        <f>opex_orig!CE174</f>
        <v>0</v>
      </c>
      <c r="CO174" s="27">
        <f>opex_orig!CF174</f>
        <v>0</v>
      </c>
      <c r="CP174" s="27">
        <f>opex_orig!CG174</f>
        <v>0</v>
      </c>
    </row>
    <row r="175" spans="1:94" x14ac:dyDescent="0.25">
      <c r="A175" s="43" t="s">
        <v>378</v>
      </c>
      <c r="B175" s="43">
        <v>9</v>
      </c>
      <c r="C175" s="43" t="s">
        <v>379</v>
      </c>
      <c r="D175" s="188">
        <f>opex_orig!D175</f>
        <v>3.0952513000000001E-2</v>
      </c>
      <c r="E175" s="188">
        <f>opex_orig!E175</f>
        <v>5.0094341000000001E-2</v>
      </c>
      <c r="F175" s="188">
        <f>opex_orig!F175</f>
        <v>0.38141762899999998</v>
      </c>
      <c r="G175" s="188">
        <f>opex_orig!G175</f>
        <v>0.83545048799999999</v>
      </c>
      <c r="H175" s="188">
        <f>opex_orig!H175</f>
        <v>1.0747684E-2</v>
      </c>
      <c r="I175" s="188">
        <f>opex_orig!I175</f>
        <v>2.5513395000000001E-2</v>
      </c>
      <c r="J175" s="188">
        <f>opex_orig!J175</f>
        <v>5.2844174000000001E-2</v>
      </c>
      <c r="K175" s="188">
        <f>opex_orig!K175</f>
        <v>7.2142815999999998E-2</v>
      </c>
      <c r="L175" s="188">
        <f>opex_orig!L175</f>
        <v>2.7349254E-2</v>
      </c>
      <c r="M175" s="188">
        <f>opex_orig!M175</f>
        <v>3.2233487999999998E-2</v>
      </c>
      <c r="N175" s="188">
        <f>opex_orig!N175</f>
        <v>1.6662318999999998E-2</v>
      </c>
      <c r="O175" s="188">
        <f>opex_orig!O175</f>
        <v>0.13487027200000001</v>
      </c>
      <c r="P175" s="188">
        <f>opex_orig!P175</f>
        <v>5.4126549000000003E-2</v>
      </c>
      <c r="Q175" s="188">
        <f>opex_orig!Q175</f>
        <v>6.0455898000000001E-2</v>
      </c>
      <c r="R175" s="188">
        <f>opex_orig!R175</f>
        <v>3.1493156000000001E-2</v>
      </c>
      <c r="S175" s="188">
        <f>opex_orig!S175</f>
        <v>8.9304930000000005E-2</v>
      </c>
      <c r="T175" s="188">
        <f>opex_orig!T175</f>
        <v>0.102393532</v>
      </c>
      <c r="U175" s="188">
        <f>opex_orig!U175</f>
        <v>3.8400761999999998E-2</v>
      </c>
      <c r="V175" s="188">
        <f>opex_orig!V175</f>
        <v>5.3421637000000001E-2</v>
      </c>
      <c r="W175" s="188">
        <f>opex_orig!W175</f>
        <v>3.0294115999999999E-2</v>
      </c>
      <c r="X175" s="188">
        <f>opex_orig!X175</f>
        <v>0.11061180900000001</v>
      </c>
      <c r="Y175" s="188">
        <f>opex_orig!Y175</f>
        <v>-3.8496114999999997E-2</v>
      </c>
      <c r="Z175" s="188">
        <f>opex_orig!Z175</f>
        <v>-9.9263460000000008E-3</v>
      </c>
      <c r="AA175" s="188">
        <f>opex_orig!AA175</f>
        <v>-2.1740316999999999E-2</v>
      </c>
      <c r="AB175" s="188">
        <f>opex_orig!$AB175</f>
        <v>1.5677574550000201E-2</v>
      </c>
      <c r="AC175" s="188">
        <f>opex_orig!$AB175</f>
        <v>1.5677574550000201E-2</v>
      </c>
      <c r="AD175" s="188">
        <f>opex_orig!$AB175</f>
        <v>1.5677574550000201E-2</v>
      </c>
      <c r="AE175" s="188">
        <f>opex_orig!$AC175</f>
        <v>6.5654605634915E-2</v>
      </c>
      <c r="AF175" s="188">
        <f>opex_orig!$AD175</f>
        <v>0.16308611079326399</v>
      </c>
      <c r="AG175" s="188">
        <f>opex_orig!$AD175</f>
        <v>0.16308611079326399</v>
      </c>
      <c r="AH175" s="188">
        <f>opex_orig!$AD175</f>
        <v>0.16308611079326399</v>
      </c>
      <c r="AI175" s="188">
        <f>opex_orig!AE175</f>
        <v>0.173500398</v>
      </c>
      <c r="AJ175" s="188">
        <f>opex_orig!AF175</f>
        <v>6.8790061E-2</v>
      </c>
      <c r="AK175" s="188">
        <f>opex_orig!AG175</f>
        <v>0.14811727199999999</v>
      </c>
      <c r="AL175" s="188">
        <f>opex_orig!AH175</f>
        <v>6.3215387999999997E-2</v>
      </c>
      <c r="AM175" s="188">
        <f>opex_orig!AI175</f>
        <v>0.12758918499999999</v>
      </c>
      <c r="AN175" s="188">
        <f>opex_orig!AJ175</f>
        <v>4.7831307000000003E-2</v>
      </c>
      <c r="AO175" s="188">
        <f>opex_orig!AK175</f>
        <v>5.4951398999999998E-2</v>
      </c>
      <c r="AP175" s="188">
        <f>opex_orig!$AL175</f>
        <v>6.36384671503607E-2</v>
      </c>
      <c r="AQ175" s="188">
        <f>opex_orig!$AL175</f>
        <v>6.36384671503607E-2</v>
      </c>
      <c r="AR175" s="188">
        <f>opex_orig!$AL175</f>
        <v>6.36384671503607E-2</v>
      </c>
      <c r="AS175" s="188">
        <f>opex_orig!$AM175</f>
        <v>6.3690313630891102E-2</v>
      </c>
      <c r="AT175" s="188">
        <f>opex_orig!AN175</f>
        <v>9.2028012000000006E-2</v>
      </c>
      <c r="AU175" s="188">
        <f>opex_orig!$AO175</f>
        <v>2.64411298464235E-3</v>
      </c>
      <c r="AV175" s="188">
        <f>opex_orig!$AO175</f>
        <v>2.64411298464235E-3</v>
      </c>
      <c r="AW175" s="188">
        <f>opex_orig!$AO175</f>
        <v>2.64411298464235E-3</v>
      </c>
      <c r="AX175" s="188">
        <f>opex_orig!$AP175</f>
        <v>3.4945324240890901E-3</v>
      </c>
      <c r="AY175" s="188">
        <f>opex_orig!AQ175</f>
        <v>7.9759399999999999E-4</v>
      </c>
      <c r="AZ175" s="188">
        <f>opex_orig!AR175</f>
        <v>0</v>
      </c>
      <c r="BA175" s="188">
        <f>opex_orig!AS175</f>
        <v>1.8598600000000001E-3</v>
      </c>
      <c r="BB175" s="188">
        <f>opex_orig!AT175</f>
        <v>2.1140210000000002E-3</v>
      </c>
      <c r="BC175" s="188">
        <f>opex_orig!AU175</f>
        <v>6.1204200000000003E-4</v>
      </c>
      <c r="BD175" s="188">
        <f>opex_orig!AV175</f>
        <v>5.7530600000000004E-4</v>
      </c>
      <c r="BE175" s="188">
        <f>opex_orig!AW175</f>
        <v>1.2907439999999999E-3</v>
      </c>
      <c r="BF175" s="188">
        <f>opex_orig!AX175</f>
        <v>0</v>
      </c>
      <c r="BG175" s="188">
        <f>opex_orig!AY175</f>
        <v>2.5342600000000001E-4</v>
      </c>
      <c r="BH175" s="188">
        <f>opex_orig!AZ175</f>
        <v>0</v>
      </c>
      <c r="BI175" s="188">
        <f>opex_orig!BA175</f>
        <v>3.1777999999999998E-4</v>
      </c>
      <c r="BJ175" s="188">
        <f>opex_orig!BB175</f>
        <v>9.3027401999999995E-2</v>
      </c>
      <c r="BK175" s="188">
        <f>opex_orig!BC175</f>
        <v>7.6691798000000005E-2</v>
      </c>
      <c r="BL175" s="188">
        <f>opex_orig!BD175</f>
        <v>1.372912E-3</v>
      </c>
      <c r="BM175" s="188">
        <f>opex_orig!BE175</f>
        <v>7.7889587999999996E-2</v>
      </c>
      <c r="BN175" s="188">
        <f>opex_orig!BF175</f>
        <v>2.9870790000000001E-2</v>
      </c>
      <c r="BO175" s="188">
        <f>opex_orig!BG175</f>
        <v>0.13532033199999999</v>
      </c>
      <c r="BP175" s="189">
        <f>opex_concordance!M115</f>
        <v>8.5293908050613348E-2</v>
      </c>
      <c r="BQ175" s="189">
        <f>opex_concordance!M158</f>
        <v>7.3121487331764143E-2</v>
      </c>
      <c r="BR175" s="188">
        <f>opex_orig!BI175</f>
        <v>0.15978751199999999</v>
      </c>
      <c r="BS175" s="188">
        <f>opex_orig!BJ175</f>
        <v>0.12379754699999999</v>
      </c>
      <c r="BT175" s="188">
        <f>opex_orig!BK175</f>
        <v>0.119477341</v>
      </c>
      <c r="BU175" s="188">
        <f>opex_orig!BL175</f>
        <v>0</v>
      </c>
      <c r="BV175" s="27">
        <f>opex_orig!BM175</f>
        <v>0.14009712470071001</v>
      </c>
      <c r="BW175" s="27">
        <f>opex_orig!BN175</f>
        <v>0.234836223813777</v>
      </c>
      <c r="BX175" s="27">
        <f>opex_orig!BO175</f>
        <v>0.488338162635226</v>
      </c>
      <c r="BY175" s="27">
        <f>opex_orig!BP175</f>
        <v>0.32230837156694397</v>
      </c>
      <c r="BZ175" s="27">
        <f>opex_orig!BQ175</f>
        <v>0.31460392943249899</v>
      </c>
      <c r="CA175" s="27">
        <f>opex_orig!BR175</f>
        <v>0.297465391113024</v>
      </c>
      <c r="CB175" s="27">
        <f>opex_orig!BS175</f>
        <v>0.13662292856663799</v>
      </c>
      <c r="CC175" s="27">
        <f>opex_orig!BT175</f>
        <v>2.1511488365284302E-2</v>
      </c>
      <c r="CD175" s="27">
        <f>opex_orig!BU175</f>
        <v>0.333059271095485</v>
      </c>
      <c r="CE175" s="27">
        <f>opex_orig!BV175</f>
        <v>0.333059271095486</v>
      </c>
      <c r="CF175" s="27">
        <f>opex_orig!BW175</f>
        <v>6.2830168609727594E-2</v>
      </c>
      <c r="CG175" s="27">
        <f>opex_orig!BX175</f>
        <v>3.7523160432135299E-3</v>
      </c>
      <c r="CH175" s="27">
        <f>opex_orig!BY175</f>
        <v>1.75365994254091E-3</v>
      </c>
      <c r="CI175" s="27">
        <f>opex_orig!BZ175</f>
        <v>0.40122091700000001</v>
      </c>
      <c r="CJ175" s="27">
        <f>opex_orig!CA175</f>
        <v>0.35421503700000001</v>
      </c>
      <c r="CK175" s="27">
        <f>opex_orig!CB175</f>
        <v>0.37755069699999999</v>
      </c>
      <c r="CL175" s="27">
        <f>opex_orig!CC175</f>
        <v>9.7344134999999998E-2</v>
      </c>
      <c r="CM175" s="27">
        <f>opex_orig!CD175</f>
        <v>0.24967217899999999</v>
      </c>
      <c r="CN175" s="27">
        <f>opex_orig!CE175</f>
        <v>8.7914087000000002E-2</v>
      </c>
      <c r="CO175" s="27">
        <f>opex_orig!CF175</f>
        <v>0.13882391199999999</v>
      </c>
      <c r="CP175" s="27">
        <f>opex_orig!CG175</f>
        <v>0.50646185499999996</v>
      </c>
    </row>
    <row r="176" spans="1:94" x14ac:dyDescent="0.25">
      <c r="A176" s="4" t="s">
        <v>1068</v>
      </c>
      <c r="B176" s="355">
        <v>10</v>
      </c>
      <c r="C176" s="1" t="s">
        <v>1074</v>
      </c>
      <c r="D176" s="358">
        <f>opex_orig!D176</f>
        <v>2.24971E-4</v>
      </c>
      <c r="E176" s="358">
        <f>opex_orig!E176</f>
        <v>4.2425299999999998E-4</v>
      </c>
      <c r="F176" s="358">
        <f>opex_orig!F176</f>
        <v>1.34623E-4</v>
      </c>
      <c r="G176" s="358">
        <f>opex_orig!G176</f>
        <v>4.7599999999999998E-5</v>
      </c>
      <c r="H176" s="358">
        <f>opex_orig!H176</f>
        <v>1.74989E-3</v>
      </c>
      <c r="I176" s="358">
        <f>opex_orig!I176</f>
        <v>2.3518000000000001E-4</v>
      </c>
      <c r="J176" s="358">
        <f>opex_orig!J176</f>
        <v>3.1128500000000001E-4</v>
      </c>
      <c r="K176" s="358">
        <f>opex_orig!K176</f>
        <v>8.7381299999999998E-4</v>
      </c>
      <c r="L176" s="358">
        <f>opex_orig!L176</f>
        <v>2.4361900000000001E-4</v>
      </c>
      <c r="M176" s="358">
        <f>opex_orig!M176</f>
        <v>2.8376200000000001E-4</v>
      </c>
      <c r="N176" s="358">
        <f>opex_orig!N176</f>
        <v>1.7470800000000001E-4</v>
      </c>
      <c r="O176" s="358">
        <f>opex_orig!O176</f>
        <v>1.62285E-4</v>
      </c>
      <c r="P176" s="358">
        <f>opex_orig!P176</f>
        <v>2.5577100000000001E-4</v>
      </c>
      <c r="Q176" s="358">
        <f>opex_orig!Q176</f>
        <v>8.42E-5</v>
      </c>
      <c r="R176" s="358">
        <f>opex_orig!R176</f>
        <v>1.81015E-4</v>
      </c>
      <c r="S176" s="358">
        <f>opex_orig!S176</f>
        <v>6.7826500000000005E-4</v>
      </c>
      <c r="T176" s="358">
        <f>opex_orig!T176</f>
        <v>7.6338700000000003E-4</v>
      </c>
      <c r="U176" s="358">
        <f>opex_orig!U176</f>
        <v>2.8463099999999998E-4</v>
      </c>
      <c r="V176" s="358">
        <f>opex_orig!V176</f>
        <v>3.1583499999999999E-4</v>
      </c>
      <c r="W176" s="358">
        <f>opex_orig!W176</f>
        <v>1.7173500000000001E-4</v>
      </c>
      <c r="X176" s="358">
        <f>opex_orig!X176</f>
        <v>2.2904300000000001E-4</v>
      </c>
      <c r="Y176" s="358">
        <f>opex_orig!Y176</f>
        <v>7.9200000000000004E-6</v>
      </c>
      <c r="Z176" s="358">
        <f>opex_orig!Z176</f>
        <v>4.57E-5</v>
      </c>
      <c r="AA176" s="358">
        <f>opex_orig!AA176</f>
        <v>7.6000000000000004E-5</v>
      </c>
      <c r="AB176" s="358">
        <f>opex_orig!$AB176</f>
        <v>6.8416599191246001E-3</v>
      </c>
      <c r="AC176" s="358">
        <f>opex_orig!$AB176</f>
        <v>6.8416599191246001E-3</v>
      </c>
      <c r="AD176" s="358">
        <f>opex_orig!$AB176</f>
        <v>6.8416599191246001E-3</v>
      </c>
      <c r="AE176" s="358">
        <f>opex_orig!$AC176</f>
        <v>6.1579544640138796E-3</v>
      </c>
      <c r="AF176" s="358">
        <f>opex_orig!$AD176</f>
        <v>4.1257682955284103E-4</v>
      </c>
      <c r="AG176" s="358">
        <f>opex_orig!$AD176</f>
        <v>4.1257682955284103E-4</v>
      </c>
      <c r="AH176" s="358">
        <f>opex_orig!$AD176</f>
        <v>4.1257682955284103E-4</v>
      </c>
      <c r="AI176" s="358">
        <f>opex_orig!AE176</f>
        <v>3.1991799999999998E-4</v>
      </c>
      <c r="AJ176" s="358">
        <f>opex_orig!AF176</f>
        <v>2.18443E-4</v>
      </c>
      <c r="AK176" s="358">
        <f>opex_orig!AG176</f>
        <v>2.5620299999999999E-4</v>
      </c>
      <c r="AL176" s="358">
        <f>opex_orig!AH176</f>
        <v>2.5954100000000001E-4</v>
      </c>
      <c r="AM176" s="358">
        <f>opex_orig!AI176</f>
        <v>5.2824100000000004E-4</v>
      </c>
      <c r="AN176" s="358">
        <f>opex_orig!AJ176</f>
        <v>5.72088E-4</v>
      </c>
      <c r="AO176" s="358">
        <f>opex_orig!AK176</f>
        <v>4.2356300000000001E-4</v>
      </c>
      <c r="AP176" s="358">
        <f>opex_orig!$AL176</f>
        <v>7.1718872118275499E-5</v>
      </c>
      <c r="AQ176" s="358">
        <f>opex_orig!$AL176</f>
        <v>7.1718872118275499E-5</v>
      </c>
      <c r="AR176" s="358">
        <f>opex_orig!$AL176</f>
        <v>7.1718872118275499E-5</v>
      </c>
      <c r="AS176" s="358">
        <f>opex_orig!$AM176</f>
        <v>7.1669195021667605E-5</v>
      </c>
      <c r="AT176" s="358">
        <f>opex_orig!AN176</f>
        <v>4.2540900000000002E-4</v>
      </c>
      <c r="AU176" s="358">
        <f>opex_orig!$AO176</f>
        <v>3.7828056299533898E-4</v>
      </c>
      <c r="AV176" s="358">
        <f>opex_orig!$AO176</f>
        <v>3.7828056299533898E-4</v>
      </c>
      <c r="AW176" s="358">
        <f>opex_orig!$AO176</f>
        <v>3.7828056299533898E-4</v>
      </c>
      <c r="AX176" s="358">
        <f>opex_orig!$AP176</f>
        <v>3.6992528865454802E-4</v>
      </c>
      <c r="AY176" s="358">
        <f>opex_orig!AQ176</f>
        <v>1.74974E-4</v>
      </c>
      <c r="AZ176" s="358">
        <f>opex_orig!AR176</f>
        <v>0</v>
      </c>
      <c r="BA176" s="358">
        <f>opex_orig!AS176</f>
        <v>2.5293400000000001E-4</v>
      </c>
      <c r="BB176" s="358">
        <f>opex_orig!AT176</f>
        <v>2.7838400000000001E-4</v>
      </c>
      <c r="BC176" s="358">
        <f>opex_orig!AU176</f>
        <v>3.0676400000000001E-4</v>
      </c>
      <c r="BD176" s="358">
        <f>opex_orig!AV176</f>
        <v>3.2168000000000002E-4</v>
      </c>
      <c r="BE176" s="358">
        <f>opex_orig!AW176</f>
        <v>3.2230399999999998E-4</v>
      </c>
      <c r="BF176" s="358">
        <f>opex_orig!AX176</f>
        <v>0</v>
      </c>
      <c r="BG176" s="358">
        <f>opex_orig!AY176</f>
        <v>8.6199999999999995E-5</v>
      </c>
      <c r="BH176" s="358">
        <f>opex_orig!AZ176</f>
        <v>0</v>
      </c>
      <c r="BI176" s="358">
        <f>opex_orig!BA176</f>
        <v>3.1230400000000001E-4</v>
      </c>
      <c r="BJ176" s="358">
        <f>opex_orig!BB176</f>
        <v>5.7002699999999997E-4</v>
      </c>
      <c r="BK176" s="358">
        <f>opex_orig!BC176</f>
        <v>3.1975599999999998E-4</v>
      </c>
      <c r="BL176" s="358">
        <f>opex_orig!BD176</f>
        <v>3.8000000000000002E-5</v>
      </c>
      <c r="BM176" s="358">
        <f>opex_orig!BE176</f>
        <v>2.10041E-4</v>
      </c>
      <c r="BN176" s="358">
        <f>opex_orig!BF176</f>
        <v>7.8100000000000001E-5</v>
      </c>
      <c r="BO176" s="358">
        <f>opex_orig!BG176</f>
        <v>1.9252399999999999E-4</v>
      </c>
      <c r="BP176" s="358">
        <f>opex_orig!$BH176</f>
        <v>2.5293746933511603E-4</v>
      </c>
      <c r="BQ176" s="358">
        <f>opex_orig!$BH176</f>
        <v>2.5293746933511603E-4</v>
      </c>
      <c r="BR176" s="358">
        <f>opex_orig!BI176</f>
        <v>3.9806900000000003E-4</v>
      </c>
      <c r="BS176" s="358">
        <f>opex_orig!BJ176</f>
        <v>7.5515700000000001E-4</v>
      </c>
      <c r="BT176" s="358">
        <f>opex_orig!BK176</f>
        <v>0</v>
      </c>
      <c r="BU176" s="358">
        <f>opex_orig!BL176</f>
        <v>0</v>
      </c>
      <c r="BV176" s="359">
        <f>opex_orig!BM176</f>
        <v>1.09064739834762E-5</v>
      </c>
      <c r="BW176" s="359">
        <f>opex_orig!BN176</f>
        <v>3.8646043258471297E-5</v>
      </c>
      <c r="BX176" s="359">
        <f>opex_orig!BO176</f>
        <v>3.7989642375837803E-5</v>
      </c>
      <c r="BY176" s="359">
        <f>opex_orig!BP176</f>
        <v>5.2306425062487002E-5</v>
      </c>
      <c r="BZ176" s="359">
        <f>opex_orig!BQ176</f>
        <v>1.05097939659807E-4</v>
      </c>
      <c r="CA176" s="359">
        <f>opex_orig!BR176</f>
        <v>4.6494514553130002E-5</v>
      </c>
      <c r="CB176" s="359">
        <f>opex_orig!BS176</f>
        <v>6.01060058776879E-5</v>
      </c>
      <c r="CC176" s="359">
        <f>opex_orig!BT176</f>
        <v>1.5514070429880201E-5</v>
      </c>
      <c r="CD176" s="359">
        <f>opex_orig!BU176</f>
        <v>3.6046753502252601E-4</v>
      </c>
      <c r="CE176" s="359">
        <f>opex_orig!BV176</f>
        <v>7.6413469267740401E-4</v>
      </c>
      <c r="CF176" s="359">
        <f>opex_orig!BW176</f>
        <v>5.5357603499048801E-4</v>
      </c>
      <c r="CG176" s="359">
        <f>opex_orig!BX176</f>
        <v>2.8602382327974901E-5</v>
      </c>
      <c r="CH176" s="359">
        <f>opex_orig!BY176</f>
        <v>1.2676225041033401E-5</v>
      </c>
      <c r="CI176" s="359">
        <f>opex_orig!BZ176</f>
        <v>5.5300000000000002E-5</v>
      </c>
      <c r="CJ176" s="359">
        <f>opex_orig!CA176</f>
        <v>2.9499999999999999E-5</v>
      </c>
      <c r="CK176" s="359">
        <f>opex_orig!CB176</f>
        <v>3.3599999999999997E-5</v>
      </c>
      <c r="CL176" s="359">
        <f>opex_orig!CC176</f>
        <v>1.2999999999999999E-5</v>
      </c>
      <c r="CM176" s="359">
        <f>opex_orig!CD176</f>
        <v>5.5999999999999999E-5</v>
      </c>
      <c r="CN176" s="359">
        <f>opex_orig!CE176</f>
        <v>3.8949200000000002E-4</v>
      </c>
      <c r="CO176" s="359">
        <f>opex_orig!CF176</f>
        <v>6.1071499999999996E-4</v>
      </c>
      <c r="CP176" s="359">
        <f>opex_orig!CG176</f>
        <v>1.8959599999999999E-3</v>
      </c>
    </row>
    <row r="177" spans="1:94" x14ac:dyDescent="0.25">
      <c r="A177" s="4" t="s">
        <v>1069</v>
      </c>
      <c r="B177" s="355">
        <v>11</v>
      </c>
      <c r="C177" s="1" t="s">
        <v>1074</v>
      </c>
      <c r="D177" s="358">
        <f>opex_orig!D177</f>
        <v>5.5937300000000005E-4</v>
      </c>
      <c r="E177" s="358">
        <f>opex_orig!E177</f>
        <v>1.0394309999999999E-3</v>
      </c>
      <c r="F177" s="358">
        <f>opex_orig!F177</f>
        <v>3.35574E-4</v>
      </c>
      <c r="G177" s="358">
        <f>opex_orig!G177</f>
        <v>1.17427E-4</v>
      </c>
      <c r="H177" s="358">
        <f>opex_orig!H177</f>
        <v>4.1021779999999997E-3</v>
      </c>
      <c r="I177" s="358">
        <f>opex_orig!I177</f>
        <v>5.7457500000000002E-4</v>
      </c>
      <c r="J177" s="358">
        <f>opex_orig!J177</f>
        <v>7.79705E-4</v>
      </c>
      <c r="K177" s="358">
        <f>opex_orig!K177</f>
        <v>2.1074000000000002E-3</v>
      </c>
      <c r="L177" s="358">
        <f>opex_orig!L177</f>
        <v>6.0053999999999999E-4</v>
      </c>
      <c r="M177" s="358">
        <f>opex_orig!M177</f>
        <v>6.9913500000000003E-4</v>
      </c>
      <c r="N177" s="358">
        <f>opex_orig!N177</f>
        <v>4.25139E-4</v>
      </c>
      <c r="O177" s="358">
        <f>opex_orig!O177</f>
        <v>1.19431E-4</v>
      </c>
      <c r="P177" s="358">
        <f>opex_orig!P177</f>
        <v>1.363036E-3</v>
      </c>
      <c r="Q177" s="358">
        <f>opex_orig!Q177</f>
        <v>1.9075419999999999E-3</v>
      </c>
      <c r="R177" s="358">
        <f>opex_orig!R177</f>
        <v>1.0254960000000001E-3</v>
      </c>
      <c r="S177" s="358">
        <f>opex_orig!S177</f>
        <v>4.4411899999999998E-4</v>
      </c>
      <c r="T177" s="358">
        <f>opex_orig!T177</f>
        <v>5.7106400000000003E-4</v>
      </c>
      <c r="U177" s="358">
        <f>opex_orig!U177</f>
        <v>5.2905599999999997E-4</v>
      </c>
      <c r="V177" s="358">
        <f>opex_orig!V177</f>
        <v>6.64407E-4</v>
      </c>
      <c r="W177" s="358">
        <f>opex_orig!W177</f>
        <v>3.58938E-4</v>
      </c>
      <c r="X177" s="358">
        <f>opex_orig!X177</f>
        <v>3.6380100000000002E-4</v>
      </c>
      <c r="Y177" s="358">
        <f>opex_orig!Y177</f>
        <v>6.9399999999999996E-6</v>
      </c>
      <c r="Z177" s="358">
        <f>opex_orig!Z177</f>
        <v>4.6999999999999997E-5</v>
      </c>
      <c r="AA177" s="358">
        <f>opex_orig!AA177</f>
        <v>9.1700000000000006E-5</v>
      </c>
      <c r="AB177" s="358">
        <f>opex_orig!$AB177</f>
        <v>9.8085617875942298E-3</v>
      </c>
      <c r="AC177" s="358">
        <f>opex_orig!$AB177</f>
        <v>9.8085617875942298E-3</v>
      </c>
      <c r="AD177" s="358">
        <f>opex_orig!$AB177</f>
        <v>9.8085617875942298E-3</v>
      </c>
      <c r="AE177" s="358">
        <f>opex_orig!$AC177</f>
        <v>7.8664415809781493E-3</v>
      </c>
      <c r="AF177" s="358">
        <f>opex_orig!$AD177</f>
        <v>4.48445981606745E-4</v>
      </c>
      <c r="AG177" s="358">
        <f>opex_orig!$AD177</f>
        <v>4.48445981606745E-4</v>
      </c>
      <c r="AH177" s="358">
        <f>opex_orig!$AD177</f>
        <v>4.48445981606745E-4</v>
      </c>
      <c r="AI177" s="358">
        <f>opex_orig!AE177</f>
        <v>3.88203E-4</v>
      </c>
      <c r="AJ177" s="358">
        <f>opex_orig!AF177</f>
        <v>2.3055999999999999E-4</v>
      </c>
      <c r="AK177" s="358">
        <f>opex_orig!AG177</f>
        <v>4.1430299999999998E-4</v>
      </c>
      <c r="AL177" s="358">
        <f>opex_orig!AH177</f>
        <v>3.6569499999999997E-4</v>
      </c>
      <c r="AM177" s="358">
        <f>opex_orig!AI177</f>
        <v>6.8440199999999997E-4</v>
      </c>
      <c r="AN177" s="358">
        <f>opex_orig!AJ177</f>
        <v>7.5883799999999996E-4</v>
      </c>
      <c r="AO177" s="358">
        <f>opex_orig!AK177</f>
        <v>5.7047499999999998E-4</v>
      </c>
      <c r="AP177" s="358">
        <f>opex_orig!$AL177</f>
        <v>9.0901649153739202E-5</v>
      </c>
      <c r="AQ177" s="358">
        <f>opex_orig!$AL177</f>
        <v>9.0901649153739202E-5</v>
      </c>
      <c r="AR177" s="358">
        <f>opex_orig!$AL177</f>
        <v>9.0901649153739202E-5</v>
      </c>
      <c r="AS177" s="358">
        <f>opex_orig!$AM177</f>
        <v>9.1140223274622706E-5</v>
      </c>
      <c r="AT177" s="358">
        <f>opex_orig!AN177</f>
        <v>5.5480099999999995E-4</v>
      </c>
      <c r="AU177" s="358">
        <f>opex_orig!$AO177</f>
        <v>1.87585185778832E-4</v>
      </c>
      <c r="AV177" s="358">
        <f>opex_orig!$AO177</f>
        <v>1.87585185778832E-4</v>
      </c>
      <c r="AW177" s="358">
        <f>opex_orig!$AO177</f>
        <v>1.87585185778832E-4</v>
      </c>
      <c r="AX177" s="358">
        <f>opex_orig!$AP177</f>
        <v>1.8749408035536599E-4</v>
      </c>
      <c r="AY177" s="358">
        <f>opex_orig!AQ177</f>
        <v>8.6600000000000004E-5</v>
      </c>
      <c r="AZ177" s="358">
        <f>opex_orig!AR177</f>
        <v>0</v>
      </c>
      <c r="BA177" s="358">
        <f>opex_orig!AS177</f>
        <v>1.09497E-4</v>
      </c>
      <c r="BB177" s="358">
        <f>opex_orig!AT177</f>
        <v>1.2326500000000001E-4</v>
      </c>
      <c r="BC177" s="358">
        <f>opex_orig!AU177</f>
        <v>1.7140999999999999E-4</v>
      </c>
      <c r="BD177" s="358">
        <f>opex_orig!AV177</f>
        <v>1.7818399999999999E-4</v>
      </c>
      <c r="BE177" s="358">
        <f>opex_orig!AW177</f>
        <v>1.4368000000000001E-4</v>
      </c>
      <c r="BF177" s="358">
        <f>opex_orig!AX177</f>
        <v>0</v>
      </c>
      <c r="BG177" s="358">
        <f>opex_orig!AY177</f>
        <v>3.8399999999999998E-5</v>
      </c>
      <c r="BH177" s="358">
        <f>opex_orig!AZ177</f>
        <v>0</v>
      </c>
      <c r="BI177" s="358">
        <f>opex_orig!BA177</f>
        <v>1.65367E-4</v>
      </c>
      <c r="BJ177" s="358">
        <f>opex_orig!BB177</f>
        <v>3.66984E-4</v>
      </c>
      <c r="BK177" s="358">
        <f>opex_orig!BC177</f>
        <v>2.9456099999999999E-4</v>
      </c>
      <c r="BL177" s="358">
        <f>opex_orig!BD177</f>
        <v>3.9700000000000003E-5</v>
      </c>
      <c r="BM177" s="358">
        <f>opex_orig!BE177</f>
        <v>5.5149099999999998E-4</v>
      </c>
      <c r="BN177" s="358">
        <f>opex_orig!BF177</f>
        <v>1.9477700000000001E-4</v>
      </c>
      <c r="BO177" s="358">
        <f>opex_orig!BG177</f>
        <v>5.9715500000000004E-4</v>
      </c>
      <c r="BP177" s="358">
        <f>opex_orig!$BH177</f>
        <v>3.1909017360691E-4</v>
      </c>
      <c r="BQ177" s="358">
        <f>opex_orig!$BH177</f>
        <v>3.1909017360691E-4</v>
      </c>
      <c r="BR177" s="358">
        <f>opex_orig!BI177</f>
        <v>2.41325E-4</v>
      </c>
      <c r="BS177" s="358">
        <f>opex_orig!BJ177</f>
        <v>1.276964E-3</v>
      </c>
      <c r="BT177" s="358">
        <f>opex_orig!BK177</f>
        <v>8.2183799999999997E-4</v>
      </c>
      <c r="BU177" s="358">
        <f>opex_orig!BL177</f>
        <v>0</v>
      </c>
      <c r="BV177" s="359">
        <f>opex_orig!BM177</f>
        <v>8.1944936609517401E-6</v>
      </c>
      <c r="BW177" s="359">
        <f>opex_orig!BN177</f>
        <v>2.85557154164066E-5</v>
      </c>
      <c r="BX177" s="359">
        <f>opex_orig!BO177</f>
        <v>2.3830632020232299E-5</v>
      </c>
      <c r="BY177" s="359">
        <f>opex_orig!BP177</f>
        <v>3.6351536901749403E-5</v>
      </c>
      <c r="BZ177" s="359">
        <f>opex_orig!BQ177</f>
        <v>6.1607513435438E-5</v>
      </c>
      <c r="CA177" s="359">
        <f>opex_orig!BR177</f>
        <v>4.53995004570547E-5</v>
      </c>
      <c r="CB177" s="359">
        <f>opex_orig!BS177</f>
        <v>3.6960879786593897E-5</v>
      </c>
      <c r="CC177" s="359">
        <f>opex_orig!BT177</f>
        <v>3.8799494899978897E-6</v>
      </c>
      <c r="CD177" s="359">
        <f>opex_orig!BU177</f>
        <v>2.15541775499495E-4</v>
      </c>
      <c r="CE177" s="359">
        <f>opex_orig!BV177</f>
        <v>4.5691479087057503E-4</v>
      </c>
      <c r="CF177" s="359">
        <f>opex_orig!BW177</f>
        <v>1.8759257268544899E-4</v>
      </c>
      <c r="CG177" s="359">
        <f>opex_orig!BX177</f>
        <v>1.12857991940804E-5</v>
      </c>
      <c r="CH177" s="359">
        <f>opex_orig!BY177</f>
        <v>3.1702262217660201E-6</v>
      </c>
      <c r="CI177" s="359">
        <f>opex_orig!BZ177</f>
        <v>3.7400000000000001E-5</v>
      </c>
      <c r="CJ177" s="359">
        <f>opex_orig!CA177</f>
        <v>2.1100000000000001E-5</v>
      </c>
      <c r="CK177" s="359">
        <f>opex_orig!CB177</f>
        <v>2.3900000000000002E-5</v>
      </c>
      <c r="CL177" s="359">
        <f>opex_orig!CC177</f>
        <v>7.1600000000000001E-6</v>
      </c>
      <c r="CM177" s="359">
        <f>opex_orig!CD177</f>
        <v>4.1399999999999997E-5</v>
      </c>
      <c r="CN177" s="359">
        <f>opex_orig!CE177</f>
        <v>3.5002299999999998E-4</v>
      </c>
      <c r="CO177" s="359">
        <f>opex_orig!CF177</f>
        <v>5.0800000000000002E-5</v>
      </c>
      <c r="CP177" s="359">
        <f>opex_orig!CG177</f>
        <v>1.19193E-4</v>
      </c>
    </row>
    <row r="178" spans="1:94" x14ac:dyDescent="0.25">
      <c r="A178" s="4" t="s">
        <v>1070</v>
      </c>
      <c r="B178" s="355">
        <v>12</v>
      </c>
      <c r="C178" s="1" t="s">
        <v>1074</v>
      </c>
      <c r="D178" s="358">
        <f>opex_orig!D178</f>
        <v>2.6849040000000001E-3</v>
      </c>
      <c r="E178" s="358">
        <f>opex_orig!E178</f>
        <v>5.1695990000000004E-3</v>
      </c>
      <c r="F178" s="358">
        <f>opex_orig!F178</f>
        <v>1.6166329999999999E-3</v>
      </c>
      <c r="G178" s="358">
        <f>opex_orig!G178</f>
        <v>5.8073300000000005E-4</v>
      </c>
      <c r="H178" s="358">
        <f>opex_orig!H178</f>
        <v>2.1631851000000001E-2</v>
      </c>
      <c r="I178" s="358">
        <f>opex_orig!I178</f>
        <v>2.8567140000000002E-3</v>
      </c>
      <c r="J178" s="358">
        <f>opex_orig!J178</f>
        <v>3.7916640000000001E-3</v>
      </c>
      <c r="K178" s="358">
        <f>opex_orig!K178</f>
        <v>1.0625005999999999E-2</v>
      </c>
      <c r="L178" s="358">
        <f>opex_orig!L178</f>
        <v>2.9234980000000001E-3</v>
      </c>
      <c r="M178" s="358">
        <f>opex_orig!M178</f>
        <v>3.5103809999999999E-3</v>
      </c>
      <c r="N178" s="358">
        <f>opex_orig!N178</f>
        <v>2.0935989999999998E-3</v>
      </c>
      <c r="O178" s="358">
        <f>opex_orig!O178</f>
        <v>1.9616220000000001E-3</v>
      </c>
      <c r="P178" s="358">
        <f>opex_orig!P178</f>
        <v>3.2244959999999999E-3</v>
      </c>
      <c r="Q178" s="358">
        <f>opex_orig!Q178</f>
        <v>9.9462800000000001E-4</v>
      </c>
      <c r="R178" s="358">
        <f>opex_orig!R178</f>
        <v>2.138849E-3</v>
      </c>
      <c r="S178" s="358">
        <f>opex_orig!S178</f>
        <v>8.2828099999999998E-3</v>
      </c>
      <c r="T178" s="358">
        <f>opex_orig!T178</f>
        <v>9.5295699999999994E-3</v>
      </c>
      <c r="U178" s="358">
        <f>opex_orig!U178</f>
        <v>2.582913E-3</v>
      </c>
      <c r="V178" s="358">
        <f>opex_orig!V178</f>
        <v>4.0505360000000004E-3</v>
      </c>
      <c r="W178" s="358">
        <f>opex_orig!W178</f>
        <v>2.156243E-3</v>
      </c>
      <c r="X178" s="358">
        <f>opex_orig!X178</f>
        <v>2.7879100000000002E-3</v>
      </c>
      <c r="Y178" s="358">
        <f>opex_orig!Y178</f>
        <v>9.3599999999999998E-5</v>
      </c>
      <c r="Z178" s="358">
        <f>opex_orig!Z178</f>
        <v>4.8871400000000001E-4</v>
      </c>
      <c r="AA178" s="358">
        <f>opex_orig!AA178</f>
        <v>9.1006300000000002E-4</v>
      </c>
      <c r="AB178" s="358">
        <f>opex_orig!$AB178</f>
        <v>7.28309686749712E-2</v>
      </c>
      <c r="AC178" s="358">
        <f>opex_orig!$AB178</f>
        <v>7.28309686749712E-2</v>
      </c>
      <c r="AD178" s="358">
        <f>opex_orig!$AB178</f>
        <v>7.28309686749712E-2</v>
      </c>
      <c r="AE178" s="358">
        <f>opex_orig!$AC178</f>
        <v>7.61937727976396E-2</v>
      </c>
      <c r="AF178" s="358">
        <f>opex_orig!$AD178</f>
        <v>4.0669188983245399E-3</v>
      </c>
      <c r="AG178" s="358">
        <f>opex_orig!$AD178</f>
        <v>4.0669188983245399E-3</v>
      </c>
      <c r="AH178" s="358">
        <f>opex_orig!$AD178</f>
        <v>4.0669188983245399E-3</v>
      </c>
      <c r="AI178" s="358">
        <f>opex_orig!AE178</f>
        <v>3.599554E-3</v>
      </c>
      <c r="AJ178" s="358">
        <f>opex_orig!AF178</f>
        <v>2.1639839999999999E-3</v>
      </c>
      <c r="AK178" s="358">
        <f>opex_orig!AG178</f>
        <v>3.2673250000000002E-3</v>
      </c>
      <c r="AL178" s="358">
        <f>opex_orig!AH178</f>
        <v>3.3294850000000001E-3</v>
      </c>
      <c r="AM178" s="358">
        <f>opex_orig!AI178</f>
        <v>6.5338449999999999E-3</v>
      </c>
      <c r="AN178" s="358">
        <f>opex_orig!AJ178</f>
        <v>7.1711559999999997E-3</v>
      </c>
      <c r="AO178" s="358">
        <f>opex_orig!AK178</f>
        <v>5.3220949999999998E-3</v>
      </c>
      <c r="AP178" s="358">
        <f>opex_orig!$AL178</f>
        <v>8.8546909302365698E-4</v>
      </c>
      <c r="AQ178" s="358">
        <f>opex_orig!$AL178</f>
        <v>8.8546909302365698E-4</v>
      </c>
      <c r="AR178" s="358">
        <f>opex_orig!$AL178</f>
        <v>8.8546909302365698E-4</v>
      </c>
      <c r="AS178" s="358">
        <f>opex_orig!$AM178</f>
        <v>8.8621226144005704E-4</v>
      </c>
      <c r="AT178" s="358">
        <f>opex_orig!AN178</f>
        <v>5.2865380000000003E-3</v>
      </c>
      <c r="AU178" s="358">
        <f>opex_orig!$AO178</f>
        <v>4.5776163923563502E-3</v>
      </c>
      <c r="AV178" s="358">
        <f>opex_orig!$AO178</f>
        <v>4.5776163923563502E-3</v>
      </c>
      <c r="AW178" s="358">
        <f>opex_orig!$AO178</f>
        <v>4.5776163923563502E-3</v>
      </c>
      <c r="AX178" s="358">
        <f>opex_orig!$AP178</f>
        <v>4.5800303616456498E-3</v>
      </c>
      <c r="AY178" s="358">
        <f>opex_orig!AQ178</f>
        <v>2.11283E-3</v>
      </c>
      <c r="AZ178" s="358">
        <f>opex_orig!AR178</f>
        <v>0</v>
      </c>
      <c r="BA178" s="358">
        <f>opex_orig!AS178</f>
        <v>3.0944079999999999E-3</v>
      </c>
      <c r="BB178" s="358">
        <f>opex_orig!AT178</f>
        <v>3.4226460000000001E-3</v>
      </c>
      <c r="BC178" s="358">
        <f>opex_orig!AU178</f>
        <v>3.9594139999999996E-3</v>
      </c>
      <c r="BD178" s="358">
        <f>opex_orig!AV178</f>
        <v>4.1133589999999996E-3</v>
      </c>
      <c r="BE178" s="358">
        <f>opex_orig!AW178</f>
        <v>2.8758719999999998E-3</v>
      </c>
      <c r="BF178" s="358">
        <f>opex_orig!AX178</f>
        <v>0</v>
      </c>
      <c r="BG178" s="358">
        <f>opex_orig!AY178</f>
        <v>9.1906099999999999E-4</v>
      </c>
      <c r="BH178" s="358">
        <f>opex_orig!AZ178</f>
        <v>0</v>
      </c>
      <c r="BI178" s="358">
        <f>opex_orig!BA178</f>
        <v>3.8608929999999998E-3</v>
      </c>
      <c r="BJ178" s="358">
        <f>opex_orig!BB178</f>
        <v>7.0771999999999996E-3</v>
      </c>
      <c r="BK178" s="358">
        <f>opex_orig!BC178</f>
        <v>4.1411039999999996E-3</v>
      </c>
      <c r="BL178" s="358">
        <f>opex_orig!BD178</f>
        <v>4.4878000000000002E-4</v>
      </c>
      <c r="BM178" s="358">
        <f>opex_orig!BE178</f>
        <v>2.658793E-3</v>
      </c>
      <c r="BN178" s="358">
        <f>opex_orig!BF178</f>
        <v>9.23276E-4</v>
      </c>
      <c r="BO178" s="358">
        <f>opex_orig!BG178</f>
        <v>2.3678010000000001E-3</v>
      </c>
      <c r="BP178" s="358">
        <f>opex_orig!$BH178</f>
        <v>2.9886681459578802E-3</v>
      </c>
      <c r="BQ178" s="358">
        <f>opex_orig!$BH178</f>
        <v>2.9886681459578802E-3</v>
      </c>
      <c r="BR178" s="358">
        <f>opex_orig!BI178</f>
        <v>5.0583779999999997E-3</v>
      </c>
      <c r="BS178" s="358">
        <f>opex_orig!BJ178</f>
        <v>9.5319930000000008E-3</v>
      </c>
      <c r="BT178" s="358">
        <f>opex_orig!BK178</f>
        <v>0</v>
      </c>
      <c r="BU178" s="358">
        <f>opex_orig!BL178</f>
        <v>0</v>
      </c>
      <c r="BV178" s="359">
        <f>opex_orig!BM178</f>
        <v>1.96875649561672E-4</v>
      </c>
      <c r="BW178" s="359">
        <f>opex_orig!BN178</f>
        <v>6.8492247646510795E-4</v>
      </c>
      <c r="BX178" s="359">
        <f>opex_orig!BO178</f>
        <v>5.3736973256998395E-4</v>
      </c>
      <c r="BY178" s="359">
        <f>opex_orig!BP178</f>
        <v>7.4883184065273702E-4</v>
      </c>
      <c r="BZ178" s="359">
        <f>opex_orig!BQ178</f>
        <v>1.6583048993306299E-3</v>
      </c>
      <c r="CA178" s="359">
        <f>opex_orig!BR178</f>
        <v>7.1639687399868495E-4</v>
      </c>
      <c r="CB178" s="359">
        <f>opex_orig!BS178</f>
        <v>9.838404119987031E-4</v>
      </c>
      <c r="CC178" s="359">
        <f>opex_orig!BT178</f>
        <v>2.4853510024365E-4</v>
      </c>
      <c r="CD178" s="359">
        <f>opex_orig!BU178</f>
        <v>5.9002843890480798E-3</v>
      </c>
      <c r="CE178" s="359">
        <f>opex_orig!BV178</f>
        <v>1.25076783906568E-2</v>
      </c>
      <c r="CF178" s="359">
        <f>opex_orig!BW178</f>
        <v>5.0316107466097304E-3</v>
      </c>
      <c r="CG178" s="359">
        <f>opex_orig!BX178</f>
        <v>3.8426678866586099E-4</v>
      </c>
      <c r="CH178" s="359">
        <f>opex_orig!BY178</f>
        <v>2.5859499083645098E-4</v>
      </c>
      <c r="CI178" s="359">
        <f>opex_orig!BZ178</f>
        <v>8.31039E-4</v>
      </c>
      <c r="CJ178" s="359">
        <f>opex_orig!CA178</f>
        <v>4.3680800000000001E-4</v>
      </c>
      <c r="CK178" s="359">
        <f>opex_orig!CB178</f>
        <v>4.8725500000000002E-4</v>
      </c>
      <c r="CL178" s="359">
        <f>opex_orig!CC178</f>
        <v>2.04859E-4</v>
      </c>
      <c r="CM178" s="359">
        <f>opex_orig!CD178</f>
        <v>1.1015879999999999E-3</v>
      </c>
      <c r="CN178" s="359">
        <f>opex_orig!CE178</f>
        <v>6.4790819999999997E-3</v>
      </c>
      <c r="CO178" s="359">
        <f>opex_orig!CF178</f>
        <v>9.599659E-3</v>
      </c>
      <c r="CP178" s="359">
        <f>opex_orig!CG178</f>
        <v>3.0386661999999998E-2</v>
      </c>
    </row>
    <row r="179" spans="1:94" x14ac:dyDescent="0.25">
      <c r="A179" s="4" t="s">
        <v>1071</v>
      </c>
      <c r="B179" s="355">
        <v>13</v>
      </c>
      <c r="C179" s="1" t="s">
        <v>1074</v>
      </c>
      <c r="D179" s="358">
        <f>opex_orig!D179</f>
        <v>2.3544210000000002E-3</v>
      </c>
      <c r="E179" s="358">
        <f>opex_orig!E179</f>
        <v>4.4390239999999997E-3</v>
      </c>
      <c r="F179" s="358">
        <f>opex_orig!F179</f>
        <v>1.4185129999999999E-3</v>
      </c>
      <c r="G179" s="358">
        <f>opex_orig!G179</f>
        <v>5.06913E-4</v>
      </c>
      <c r="H179" s="358">
        <f>opex_orig!H179</f>
        <v>1.8070194000000001E-2</v>
      </c>
      <c r="I179" s="358">
        <f>opex_orig!I179</f>
        <v>2.4838009999999999E-3</v>
      </c>
      <c r="J179" s="358">
        <f>opex_orig!J179</f>
        <v>3.311596E-3</v>
      </c>
      <c r="K179" s="358">
        <f>opex_orig!K179</f>
        <v>8.9668809999999995E-3</v>
      </c>
      <c r="L179" s="358">
        <f>opex_orig!L179</f>
        <v>2.5549349999999999E-3</v>
      </c>
      <c r="M179" s="358">
        <f>opex_orig!M179</f>
        <v>3.0376399999999999E-3</v>
      </c>
      <c r="N179" s="358">
        <f>opex_orig!N179</f>
        <v>1.817817E-3</v>
      </c>
      <c r="O179" s="358">
        <f>opex_orig!O179</f>
        <v>5.2594000000000002E-4</v>
      </c>
      <c r="P179" s="358">
        <f>opex_orig!P179</f>
        <v>5.6798869999999998E-3</v>
      </c>
      <c r="Q179" s="358">
        <f>opex_orig!Q179</f>
        <v>7.9488920000000008E-3</v>
      </c>
      <c r="R179" s="358">
        <f>opex_orig!R179</f>
        <v>4.2733279999999998E-3</v>
      </c>
      <c r="S179" s="358">
        <f>opex_orig!S179</f>
        <v>1.599411E-3</v>
      </c>
      <c r="T179" s="358">
        <f>opex_orig!T179</f>
        <v>1.841978E-3</v>
      </c>
      <c r="U179" s="358">
        <f>opex_orig!U179</f>
        <v>1.8681380000000001E-3</v>
      </c>
      <c r="V179" s="358">
        <f>opex_orig!V179</f>
        <v>2.930818E-3</v>
      </c>
      <c r="W179" s="358">
        <f>opex_orig!W179</f>
        <v>1.5852189999999999E-3</v>
      </c>
      <c r="X179" s="358">
        <f>opex_orig!X179</f>
        <v>1.4242580000000001E-3</v>
      </c>
      <c r="Y179" s="358">
        <f>opex_orig!Y179</f>
        <v>2.9499999999999999E-5</v>
      </c>
      <c r="Z179" s="358">
        <f>opex_orig!Z179</f>
        <v>1.9583900000000001E-4</v>
      </c>
      <c r="AA179" s="358">
        <f>opex_orig!AA179</f>
        <v>3.8828300000000001E-4</v>
      </c>
      <c r="AB179" s="358">
        <f>opex_orig!$AB179</f>
        <v>4.08731148861965E-2</v>
      </c>
      <c r="AC179" s="358">
        <f>opex_orig!$AB179</f>
        <v>4.08731148861965E-2</v>
      </c>
      <c r="AD179" s="358">
        <f>opex_orig!$AB179</f>
        <v>4.08731148861965E-2</v>
      </c>
      <c r="AE179" s="358">
        <f>opex_orig!$AC179</f>
        <v>3.5082533233366103E-2</v>
      </c>
      <c r="AF179" s="358">
        <f>opex_orig!$AD179</f>
        <v>1.9559406591141801E-3</v>
      </c>
      <c r="AG179" s="358">
        <f>opex_orig!$AD179</f>
        <v>1.9559406591141801E-3</v>
      </c>
      <c r="AH179" s="358">
        <f>opex_orig!$AD179</f>
        <v>1.9559406591141801E-3</v>
      </c>
      <c r="AI179" s="358">
        <f>opex_orig!AE179</f>
        <v>1.6843489999999999E-3</v>
      </c>
      <c r="AJ179" s="358">
        <f>opex_orig!AF179</f>
        <v>1.014692E-3</v>
      </c>
      <c r="AK179" s="358">
        <f>opex_orig!AG179</f>
        <v>1.5177669999999999E-3</v>
      </c>
      <c r="AL179" s="358">
        <f>opex_orig!AH179</f>
        <v>1.5238820000000001E-3</v>
      </c>
      <c r="AM179" s="358">
        <f>opex_orig!AI179</f>
        <v>2.8519610000000001E-3</v>
      </c>
      <c r="AN179" s="358">
        <f>opex_orig!AJ179</f>
        <v>3.1621430000000001E-3</v>
      </c>
      <c r="AO179" s="358">
        <f>opex_orig!AK179</f>
        <v>2.377218E-3</v>
      </c>
      <c r="AP179" s="358">
        <f>opex_orig!$AL179</f>
        <v>3.7879493749067798E-4</v>
      </c>
      <c r="AQ179" s="358">
        <f>opex_orig!$AL179</f>
        <v>3.7879493749067798E-4</v>
      </c>
      <c r="AR179" s="358">
        <f>opex_orig!$AL179</f>
        <v>3.7879493749067798E-4</v>
      </c>
      <c r="AS179" s="358">
        <f>opex_orig!$AM179</f>
        <v>3.7978909623347898E-4</v>
      </c>
      <c r="AT179" s="358">
        <f>opex_orig!AN179</f>
        <v>2.3119019999999998E-3</v>
      </c>
      <c r="AU179" s="358">
        <f>opex_orig!$AO179</f>
        <v>7.0564123959574203E-4</v>
      </c>
      <c r="AV179" s="358">
        <f>opex_orig!$AO179</f>
        <v>7.0564123959574203E-4</v>
      </c>
      <c r="AW179" s="358">
        <f>opex_orig!$AO179</f>
        <v>7.0564123959574203E-4</v>
      </c>
      <c r="AX179" s="358">
        <f>opex_orig!$AP179</f>
        <v>6.4224919278275797E-4</v>
      </c>
      <c r="AY179" s="358">
        <f>opex_orig!AQ179</f>
        <v>3.6100200000000002E-4</v>
      </c>
      <c r="AZ179" s="358">
        <f>opex_orig!AR179</f>
        <v>0</v>
      </c>
      <c r="BA179" s="358">
        <f>opex_orig!AS179</f>
        <v>3.9955500000000001E-4</v>
      </c>
      <c r="BB179" s="358">
        <f>opex_orig!AT179</f>
        <v>4.29474E-4</v>
      </c>
      <c r="BC179" s="358">
        <f>opex_orig!AU179</f>
        <v>7.1427999999999997E-4</v>
      </c>
      <c r="BD179" s="358">
        <f>opex_orig!AV179</f>
        <v>7.42507E-4</v>
      </c>
      <c r="BE179" s="358">
        <f>opex_orig!AW179</f>
        <v>5.9872600000000005E-4</v>
      </c>
      <c r="BF179" s="358">
        <f>opex_orig!AX179</f>
        <v>0</v>
      </c>
      <c r="BG179" s="358">
        <f>opex_orig!AY179</f>
        <v>1.6020300000000001E-4</v>
      </c>
      <c r="BH179" s="358">
        <f>opex_orig!AZ179</f>
        <v>0</v>
      </c>
      <c r="BI179" s="358">
        <f>opex_orig!BA179</f>
        <v>6.8909899999999998E-4</v>
      </c>
      <c r="BJ179" s="358">
        <f>opex_orig!BB179</f>
        <v>1.5867920000000001E-3</v>
      </c>
      <c r="BK179" s="358">
        <f>opex_orig!BC179</f>
        <v>1.1073260000000001E-3</v>
      </c>
      <c r="BL179" s="358">
        <f>opex_orig!BD179</f>
        <v>1.65534E-4</v>
      </c>
      <c r="BM179" s="358">
        <f>opex_orig!BE179</f>
        <v>1.937214E-3</v>
      </c>
      <c r="BN179" s="358">
        <f>opex_orig!BF179</f>
        <v>8.1165299999999996E-4</v>
      </c>
      <c r="BO179" s="358">
        <f>opex_orig!BG179</f>
        <v>1.8824320000000001E-3</v>
      </c>
      <c r="BP179" s="358">
        <f>opex_orig!$BH179</f>
        <v>1.32967601237896E-3</v>
      </c>
      <c r="BQ179" s="358">
        <f>opex_orig!$BH179</f>
        <v>1.32967601237896E-3</v>
      </c>
      <c r="BR179" s="358">
        <f>opex_orig!BI179</f>
        <v>1.0056240000000001E-3</v>
      </c>
      <c r="BS179" s="358">
        <f>opex_orig!BJ179</f>
        <v>5.6360569999999999E-3</v>
      </c>
      <c r="BT179" s="358">
        <f>opex_orig!BK179</f>
        <v>3.4246699999999999E-3</v>
      </c>
      <c r="BU179" s="358">
        <f>opex_orig!BL179</f>
        <v>0</v>
      </c>
      <c r="BV179" s="359">
        <f>opex_orig!BM179</f>
        <v>1.92811615551389E-5</v>
      </c>
      <c r="BW179" s="359">
        <f>opex_orig!BN179</f>
        <v>6.7189918626761895E-5</v>
      </c>
      <c r="BX179" s="359">
        <f>opex_orig!BO179</f>
        <v>5.6072075341723103E-5</v>
      </c>
      <c r="BY179" s="359">
        <f>opex_orig!BP179</f>
        <v>8.5533028003629305E-5</v>
      </c>
      <c r="BZ179" s="359">
        <f>opex_orig!BQ179</f>
        <v>1.4495885514186901E-4</v>
      </c>
      <c r="CA179" s="359">
        <f>opex_orig!BR179</f>
        <v>2.4376822780900501E-4</v>
      </c>
      <c r="CB179" s="359">
        <f>opex_orig!BS179</f>
        <v>8.6966775968509995E-5</v>
      </c>
      <c r="CC179" s="359">
        <f>opex_orig!BT179</f>
        <v>1.11408554029922E-4</v>
      </c>
      <c r="CD179" s="359">
        <f>opex_orig!BU179</f>
        <v>5.0715711882397003E-4</v>
      </c>
      <c r="CE179" s="359">
        <f>opex_orig!BV179</f>
        <v>1.07509362558127E-3</v>
      </c>
      <c r="CF179" s="359">
        <f>opex_orig!BW179</f>
        <v>9.2623832763558296E-4</v>
      </c>
      <c r="CG179" s="359">
        <f>opex_orig!BX179</f>
        <v>1.4171613736630801E-4</v>
      </c>
      <c r="CH179" s="359">
        <f>opex_orig!BY179</f>
        <v>8.5041930162181302E-5</v>
      </c>
      <c r="CI179" s="359">
        <f>opex_orig!BZ179</f>
        <v>8.7999999999999998E-5</v>
      </c>
      <c r="CJ179" s="359">
        <f>opex_orig!CA179</f>
        <v>4.9700000000000002E-5</v>
      </c>
      <c r="CK179" s="359">
        <f>opex_orig!CB179</f>
        <v>5.63E-5</v>
      </c>
      <c r="CL179" s="359">
        <f>opex_orig!CC179</f>
        <v>2.0400000000000001E-5</v>
      </c>
      <c r="CM179" s="359">
        <f>opex_orig!CD179</f>
        <v>9.7399999999999996E-5</v>
      </c>
      <c r="CN179" s="359">
        <f>opex_orig!CE179</f>
        <v>7.76255E-4</v>
      </c>
      <c r="CO179" s="359">
        <f>opex_orig!CF179</f>
        <v>3.2418300000000002E-4</v>
      </c>
      <c r="CP179" s="359">
        <f>opex_orig!CG179</f>
        <v>1.041639E-3</v>
      </c>
    </row>
    <row r="180" spans="1:94" x14ac:dyDescent="0.25">
      <c r="A180" s="4" t="s">
        <v>1072</v>
      </c>
      <c r="B180" s="355">
        <v>14</v>
      </c>
      <c r="C180" s="1" t="s">
        <v>1074</v>
      </c>
      <c r="D180" s="358">
        <f>opex_orig!D180</f>
        <v>1.0432460000000001E-3</v>
      </c>
      <c r="E180" s="358">
        <f>opex_orig!E180</f>
        <v>2.0301849999999999E-3</v>
      </c>
      <c r="F180" s="358">
        <f>opex_orig!F180</f>
        <v>6.3400200000000005E-4</v>
      </c>
      <c r="G180" s="358">
        <f>opex_orig!G180</f>
        <v>2.2642699999999999E-4</v>
      </c>
      <c r="H180" s="358">
        <f>opex_orig!H180</f>
        <v>8.5498810000000005E-3</v>
      </c>
      <c r="I180" s="358">
        <f>opex_orig!I180</f>
        <v>1.127931E-3</v>
      </c>
      <c r="J180" s="358">
        <f>opex_orig!J180</f>
        <v>1.506206E-3</v>
      </c>
      <c r="K180" s="358">
        <f>opex_orig!K180</f>
        <v>4.2536120000000004E-3</v>
      </c>
      <c r="L180" s="358">
        <f>opex_orig!L180</f>
        <v>1.1459899999999999E-3</v>
      </c>
      <c r="M180" s="358">
        <f>opex_orig!M180</f>
        <v>1.405664E-3</v>
      </c>
      <c r="N180" s="358">
        <f>opex_orig!N180</f>
        <v>8.2458200000000003E-4</v>
      </c>
      <c r="O180" s="358">
        <f>opex_orig!O180</f>
        <v>7.7559799999999996E-4</v>
      </c>
      <c r="P180" s="358">
        <f>opex_orig!P180</f>
        <v>1.263894E-3</v>
      </c>
      <c r="Q180" s="358">
        <f>opex_orig!Q180</f>
        <v>2.9268700000000003E-4</v>
      </c>
      <c r="R180" s="358">
        <f>opex_orig!R180</f>
        <v>8.3107099999999996E-4</v>
      </c>
      <c r="S180" s="358">
        <f>opex_orig!S180</f>
        <v>3.3902250000000002E-3</v>
      </c>
      <c r="T180" s="358">
        <f>opex_orig!T180</f>
        <v>3.8721319999999999E-3</v>
      </c>
      <c r="U180" s="358">
        <f>opex_orig!U180</f>
        <v>1.0602470000000001E-3</v>
      </c>
      <c r="V180" s="358">
        <f>opex_orig!V180</f>
        <v>1.6083779999999999E-3</v>
      </c>
      <c r="W180" s="358">
        <f>opex_orig!W180</f>
        <v>8.7733899999999998E-4</v>
      </c>
      <c r="X180" s="358">
        <f>opex_orig!X180</f>
        <v>1.1027400000000001E-3</v>
      </c>
      <c r="Y180" s="358">
        <f>opex_orig!Y180</f>
        <v>3.6399999999999997E-5</v>
      </c>
      <c r="Z180" s="358">
        <f>opex_orig!Z180</f>
        <v>1.9024100000000001E-4</v>
      </c>
      <c r="AA180" s="358">
        <f>opex_orig!AA180</f>
        <v>3.6043000000000002E-4</v>
      </c>
      <c r="AB180" s="358">
        <f>opex_orig!$AB180</f>
        <v>2.84545258168175E-2</v>
      </c>
      <c r="AC180" s="358">
        <f>opex_orig!$AB180</f>
        <v>2.84545258168175E-2</v>
      </c>
      <c r="AD180" s="358">
        <f>opex_orig!$AB180</f>
        <v>2.84545258168175E-2</v>
      </c>
      <c r="AE180" s="358">
        <f>opex_orig!$AC180</f>
        <v>3.0133956640500701E-2</v>
      </c>
      <c r="AF180" s="358">
        <f>opex_orig!$AD180</f>
        <v>1.6238841283597999E-3</v>
      </c>
      <c r="AG180" s="358">
        <f>opex_orig!$AD180</f>
        <v>1.6238841283597999E-3</v>
      </c>
      <c r="AH180" s="358">
        <f>opex_orig!$AD180</f>
        <v>1.6238841283597999E-3</v>
      </c>
      <c r="AI180" s="358">
        <f>opex_orig!AE180</f>
        <v>1.4320509999999999E-3</v>
      </c>
      <c r="AJ180" s="358">
        <f>opex_orig!AF180</f>
        <v>8.9359800000000001E-4</v>
      </c>
      <c r="AK180" s="358">
        <f>opex_orig!AG180</f>
        <v>1.307957E-3</v>
      </c>
      <c r="AL180" s="358">
        <f>opex_orig!AH180</f>
        <v>1.3048739999999999E-3</v>
      </c>
      <c r="AM180" s="358">
        <f>opex_orig!AI180</f>
        <v>2.548748E-3</v>
      </c>
      <c r="AN180" s="358">
        <f>opex_orig!AJ180</f>
        <v>2.8086539999999998E-3</v>
      </c>
      <c r="AO180" s="358">
        <f>opex_orig!AK180</f>
        <v>2.1052380000000002E-3</v>
      </c>
      <c r="AP180" s="358">
        <f>opex_orig!$AL180</f>
        <v>3.4534530815274301E-4</v>
      </c>
      <c r="AQ180" s="358">
        <f>opex_orig!$AL180</f>
        <v>3.4534530815274301E-4</v>
      </c>
      <c r="AR180" s="358">
        <f>opex_orig!$AL180</f>
        <v>3.4534530815274301E-4</v>
      </c>
      <c r="AS180" s="358">
        <f>opex_orig!$AM180</f>
        <v>3.4564404819614498E-4</v>
      </c>
      <c r="AT180" s="358">
        <f>opex_orig!AN180</f>
        <v>2.0624580000000001E-3</v>
      </c>
      <c r="AU180" s="358">
        <f>opex_orig!$AO180</f>
        <v>1.7955768749206701E-3</v>
      </c>
      <c r="AV180" s="358">
        <f>opex_orig!$AO180</f>
        <v>1.7955768749206701E-3</v>
      </c>
      <c r="AW180" s="358">
        <f>opex_orig!$AO180</f>
        <v>1.7955768749206701E-3</v>
      </c>
      <c r="AX180" s="358">
        <f>opex_orig!$AP180</f>
        <v>1.8563095528323201E-3</v>
      </c>
      <c r="AY180" s="358">
        <f>opex_orig!AQ180</f>
        <v>8.4049700000000005E-4</v>
      </c>
      <c r="AZ180" s="358">
        <f>opex_orig!AR180</f>
        <v>0</v>
      </c>
      <c r="BA180" s="358">
        <f>opex_orig!AS180</f>
        <v>1.22211E-3</v>
      </c>
      <c r="BB180" s="358">
        <f>opex_orig!AT180</f>
        <v>1.352198E-3</v>
      </c>
      <c r="BC180" s="358">
        <f>opex_orig!AU180</f>
        <v>1.5709210000000001E-3</v>
      </c>
      <c r="BD180" s="358">
        <f>opex_orig!AV180</f>
        <v>1.6458989999999999E-3</v>
      </c>
      <c r="BE180" s="358">
        <f>opex_orig!AW180</f>
        <v>1.189374E-3</v>
      </c>
      <c r="BF180" s="358">
        <f>opex_orig!AX180</f>
        <v>0</v>
      </c>
      <c r="BG180" s="358">
        <f>opex_orig!AY180</f>
        <v>3.58594E-4</v>
      </c>
      <c r="BH180" s="358">
        <f>opex_orig!AZ180</f>
        <v>0</v>
      </c>
      <c r="BI180" s="358">
        <f>opex_orig!BA180</f>
        <v>1.546537E-3</v>
      </c>
      <c r="BJ180" s="358">
        <f>opex_orig!BB180</f>
        <v>2.8247860000000001E-3</v>
      </c>
      <c r="BK180" s="358">
        <f>opex_orig!BC180</f>
        <v>1.6244919999999999E-3</v>
      </c>
      <c r="BL180" s="358">
        <f>opex_orig!BD180</f>
        <v>1.7437799999999999E-4</v>
      </c>
      <c r="BM180" s="358">
        <f>opex_orig!BE180</f>
        <v>1.085309E-3</v>
      </c>
      <c r="BN180" s="358">
        <f>opex_orig!BF180</f>
        <v>3.5874799999999999E-4</v>
      </c>
      <c r="BO180" s="358">
        <f>opex_orig!BG180</f>
        <v>9.5949999999999996E-4</v>
      </c>
      <c r="BP180" s="358">
        <f>opex_orig!$BH180</f>
        <v>1.04798695233956E-3</v>
      </c>
      <c r="BQ180" s="358">
        <f>opex_orig!$BH180</f>
        <v>1.04798695233956E-3</v>
      </c>
      <c r="BR180" s="358">
        <f>opex_orig!BI180</f>
        <v>2.029271E-3</v>
      </c>
      <c r="BS180" s="358">
        <f>opex_orig!BJ180</f>
        <v>3.8426060000000001E-3</v>
      </c>
      <c r="BT180" s="358">
        <f>opex_orig!BK180</f>
        <v>0</v>
      </c>
      <c r="BU180" s="358">
        <f>opex_orig!BL180</f>
        <v>0</v>
      </c>
      <c r="BV180" s="359">
        <f>opex_orig!BM180</f>
        <v>1.9044632531111801E-4</v>
      </c>
      <c r="BW180" s="359">
        <f>opex_orig!BN180</f>
        <v>6.3990681274080595E-4</v>
      </c>
      <c r="BX180" s="359">
        <f>opex_orig!BO180</f>
        <v>5.9271673541817197E-4</v>
      </c>
      <c r="BY180" s="359">
        <f>opex_orig!BP180</f>
        <v>8.6731839361864501E-4</v>
      </c>
      <c r="BZ180" s="359">
        <f>opex_orig!BQ180</f>
        <v>1.5505395740113199E-3</v>
      </c>
      <c r="CA180" s="359">
        <f>opex_orig!BR180</f>
        <v>7.0227359882270703E-4</v>
      </c>
      <c r="CB180" s="359">
        <f>opex_orig!BS180</f>
        <v>8.9209966618462996E-4</v>
      </c>
      <c r="CC180" s="359">
        <f>opex_orig!BT180</f>
        <v>3.1586907358370497E-4</v>
      </c>
      <c r="CD180" s="359">
        <f>opex_orig!BU180</f>
        <v>5.3500970987472602E-3</v>
      </c>
      <c r="CE180" s="359">
        <f>opex_orig!BV180</f>
        <v>1.1341367543931599E-2</v>
      </c>
      <c r="CF180" s="359">
        <f>opex_orig!BW180</f>
        <v>3.5488177957405899E-3</v>
      </c>
      <c r="CG180" s="359">
        <f>opex_orig!BX180</f>
        <v>5.4966317343450302E-4</v>
      </c>
      <c r="CH180" s="359">
        <f>opex_orig!BY180</f>
        <v>2.63665480853938E-4</v>
      </c>
      <c r="CI180" s="359">
        <f>opex_orig!BZ180</f>
        <v>9.0787400000000003E-4</v>
      </c>
      <c r="CJ180" s="359">
        <f>opex_orig!CA180</f>
        <v>4.8357499999999998E-4</v>
      </c>
      <c r="CK180" s="359">
        <f>opex_orig!CB180</f>
        <v>5.4076500000000002E-4</v>
      </c>
      <c r="CL180" s="359">
        <f>opex_orig!CC180</f>
        <v>2.16109E-4</v>
      </c>
      <c r="CM180" s="359">
        <f>opex_orig!CD180</f>
        <v>9.3691300000000005E-4</v>
      </c>
      <c r="CN180" s="359">
        <f>opex_orig!CE180</f>
        <v>6.5292559999999998E-3</v>
      </c>
      <c r="CO180" s="359">
        <f>opex_orig!CF180</f>
        <v>2.9126460000000001E-3</v>
      </c>
      <c r="CP180" s="359">
        <f>opex_orig!CG180</f>
        <v>9.0310640000000001E-3</v>
      </c>
    </row>
    <row r="181" spans="1:94" x14ac:dyDescent="0.25">
      <c r="A181" s="4" t="s">
        <v>1073</v>
      </c>
      <c r="B181" s="355">
        <v>15</v>
      </c>
      <c r="C181" s="1" t="s">
        <v>1074</v>
      </c>
      <c r="D181" s="358">
        <f>opex_orig!D181</f>
        <v>1.0012459999999999E-3</v>
      </c>
      <c r="E181" s="358">
        <f>opex_orig!E181</f>
        <v>1.9317589999999999E-3</v>
      </c>
      <c r="F181" s="358">
        <f>opex_orig!F181</f>
        <v>6.0259099999999998E-4</v>
      </c>
      <c r="G181" s="358">
        <f>opex_orig!G181</f>
        <v>2.1917099999999999E-4</v>
      </c>
      <c r="H181" s="358">
        <f>opex_orig!H181</f>
        <v>8.182992E-3</v>
      </c>
      <c r="I181" s="358">
        <f>opex_orig!I181</f>
        <v>1.0640300000000001E-3</v>
      </c>
      <c r="J181" s="358">
        <f>opex_orig!J181</f>
        <v>1.4225850000000001E-3</v>
      </c>
      <c r="K181" s="358">
        <f>opex_orig!K181</f>
        <v>3.9943399999999999E-3</v>
      </c>
      <c r="L181" s="358">
        <f>opex_orig!L181</f>
        <v>1.1088750000000001E-3</v>
      </c>
      <c r="M181" s="358">
        <f>opex_orig!M181</f>
        <v>1.3358619999999999E-3</v>
      </c>
      <c r="N181" s="358">
        <f>opex_orig!N181</f>
        <v>7.8297299999999996E-4</v>
      </c>
      <c r="O181" s="358">
        <f>opex_orig!O181</f>
        <v>2.4867299999999998E-4</v>
      </c>
      <c r="P181" s="358">
        <f>opex_orig!P181</f>
        <v>1.935825E-3</v>
      </c>
      <c r="Q181" s="358">
        <f>opex_orig!Q181</f>
        <v>2.4432199999999999E-3</v>
      </c>
      <c r="R181" s="358">
        <f>opex_orig!R181</f>
        <v>1.725049E-3</v>
      </c>
      <c r="S181" s="358">
        <f>opex_orig!S181</f>
        <v>7.8275399999999998E-4</v>
      </c>
      <c r="T181" s="358">
        <f>opex_orig!T181</f>
        <v>9.0732699999999998E-4</v>
      </c>
      <c r="U181" s="358">
        <f>opex_orig!U181</f>
        <v>9.3470499999999998E-4</v>
      </c>
      <c r="V181" s="358">
        <f>opex_orig!V181</f>
        <v>1.3649790000000001E-3</v>
      </c>
      <c r="W181" s="358">
        <f>opex_orig!W181</f>
        <v>7.3853299999999998E-4</v>
      </c>
      <c r="X181" s="358">
        <f>opex_orig!X181</f>
        <v>6.9155099999999999E-4</v>
      </c>
      <c r="Y181" s="358">
        <f>opex_orig!Y181</f>
        <v>1.34E-5</v>
      </c>
      <c r="Z181" s="358">
        <f>opex_orig!Z181</f>
        <v>7.0199999999999999E-5</v>
      </c>
      <c r="AA181" s="358">
        <f>opex_orig!AA181</f>
        <v>1.68505E-4</v>
      </c>
      <c r="AB181" s="358">
        <f>opex_orig!$AB181</f>
        <v>1.2439681995484699E-2</v>
      </c>
      <c r="AC181" s="358">
        <f>opex_orig!$AB181</f>
        <v>1.2439681995484699E-2</v>
      </c>
      <c r="AD181" s="358">
        <f>opex_orig!$AB181</f>
        <v>1.2439681995484699E-2</v>
      </c>
      <c r="AE181" s="358">
        <f>opex_orig!$AC181</f>
        <v>1.5813854342637601E-2</v>
      </c>
      <c r="AF181" s="358">
        <f>opex_orig!$AD181</f>
        <v>8.7148272413930703E-4</v>
      </c>
      <c r="AG181" s="358">
        <f>opex_orig!$AD181</f>
        <v>8.7148272413930703E-4</v>
      </c>
      <c r="AH181" s="358">
        <f>opex_orig!$AD181</f>
        <v>8.7148272413930703E-4</v>
      </c>
      <c r="AI181" s="358">
        <f>opex_orig!AE181</f>
        <v>7.4528500000000004E-4</v>
      </c>
      <c r="AJ181" s="358">
        <f>opex_orig!AF181</f>
        <v>4.5423700000000002E-4</v>
      </c>
      <c r="AK181" s="358">
        <f>opex_orig!AG181</f>
        <v>7.0949700000000001E-4</v>
      </c>
      <c r="AL181" s="358">
        <f>opex_orig!AH181</f>
        <v>4.8343799999999999E-4</v>
      </c>
      <c r="AM181" s="358">
        <f>opex_orig!AI181</f>
        <v>1.0050739999999999E-3</v>
      </c>
      <c r="AN181" s="358">
        <f>opex_orig!AJ181</f>
        <v>1.0789160000000001E-3</v>
      </c>
      <c r="AO181" s="358">
        <f>opex_orig!AK181</f>
        <v>8.0385999999999999E-4</v>
      </c>
      <c r="AP181" s="358">
        <f>opex_orig!$AL181</f>
        <v>1.3742887021158401E-4</v>
      </c>
      <c r="AQ181" s="358">
        <f>opex_orig!$AL181</f>
        <v>1.3742887021158401E-4</v>
      </c>
      <c r="AR181" s="358">
        <f>opex_orig!$AL181</f>
        <v>1.3742887021158401E-4</v>
      </c>
      <c r="AS181" s="358">
        <f>opex_orig!$AM181</f>
        <v>1.3520390578673999E-4</v>
      </c>
      <c r="AT181" s="358">
        <f>opex_orig!AN181</f>
        <v>8.0410300000000002E-4</v>
      </c>
      <c r="AU181" s="358">
        <f>opex_orig!$AO181</f>
        <v>2.75610006443124E-4</v>
      </c>
      <c r="AV181" s="358">
        <f>opex_orig!$AO181</f>
        <v>2.75610006443124E-4</v>
      </c>
      <c r="AW181" s="358">
        <f>opex_orig!$AO181</f>
        <v>2.75610006443124E-4</v>
      </c>
      <c r="AX181" s="358">
        <f>opex_orig!$AP181</f>
        <v>2.8430178530263899E-4</v>
      </c>
      <c r="AY181" s="358">
        <f>opex_orig!AQ181</f>
        <v>1.2575600000000001E-4</v>
      </c>
      <c r="AZ181" s="358">
        <f>opex_orig!AR181</f>
        <v>0</v>
      </c>
      <c r="BA181" s="358">
        <f>opex_orig!AS181</f>
        <v>1.8821699999999999E-4</v>
      </c>
      <c r="BB181" s="358">
        <f>opex_orig!AT181</f>
        <v>2.0552999999999999E-4</v>
      </c>
      <c r="BC181" s="358">
        <f>opex_orig!AU181</f>
        <v>2.3750600000000001E-4</v>
      </c>
      <c r="BD181" s="358">
        <f>opex_orig!AV181</f>
        <v>2.5035900000000002E-4</v>
      </c>
      <c r="BE181" s="358">
        <f>opex_orig!AW181</f>
        <v>2.1927599999999999E-4</v>
      </c>
      <c r="BF181" s="358">
        <f>opex_orig!AX181</f>
        <v>0</v>
      </c>
      <c r="BG181" s="358">
        <f>opex_orig!AY181</f>
        <v>6.4700000000000001E-5</v>
      </c>
      <c r="BH181" s="358">
        <f>opex_orig!AZ181</f>
        <v>0</v>
      </c>
      <c r="BI181" s="358">
        <f>opex_orig!BA181</f>
        <v>2.3116799999999999E-4</v>
      </c>
      <c r="BJ181" s="358">
        <f>opex_orig!BB181</f>
        <v>7.5025199999999997E-4</v>
      </c>
      <c r="BK181" s="358">
        <f>opex_orig!BC181</f>
        <v>4.38023E-4</v>
      </c>
      <c r="BL181" s="358">
        <f>opex_orig!BD181</f>
        <v>6.6799999999999997E-5</v>
      </c>
      <c r="BM181" s="358">
        <f>opex_orig!BE181</f>
        <v>9.3526500000000001E-4</v>
      </c>
      <c r="BN181" s="358">
        <f>opex_orig!BF181</f>
        <v>3.2764600000000001E-4</v>
      </c>
      <c r="BO181" s="358">
        <f>opex_orig!BG181</f>
        <v>8.8863799999999997E-4</v>
      </c>
      <c r="BP181" s="358">
        <f>opex_orig!$BH181</f>
        <v>4.7685544881004099E-4</v>
      </c>
      <c r="BQ181" s="358">
        <f>opex_orig!$BH181</f>
        <v>4.7685544881004099E-4</v>
      </c>
      <c r="BR181" s="358">
        <f>opex_orig!BI181</f>
        <v>3.4291500000000001E-4</v>
      </c>
      <c r="BS181" s="358">
        <f>opex_orig!BJ181</f>
        <v>2.7126009999999998E-3</v>
      </c>
      <c r="BT181" s="358">
        <f>opex_orig!BK181</f>
        <v>1.509575E-3</v>
      </c>
      <c r="BU181" s="358">
        <f>opex_orig!BL181</f>
        <v>0</v>
      </c>
      <c r="BV181" s="359">
        <f>opex_orig!BM181</f>
        <v>4.7350482917290899E-5</v>
      </c>
      <c r="BW181" s="359">
        <f>opex_orig!BN181</f>
        <v>1.99890007914769E-4</v>
      </c>
      <c r="BX181" s="359">
        <f>opex_orig!BO181</f>
        <v>1.61076424834357E-4</v>
      </c>
      <c r="BY181" s="359">
        <f>opex_orig!BP181</f>
        <v>2.0842237371708101E-4</v>
      </c>
      <c r="BZ181" s="359">
        <f>opex_orig!BQ181</f>
        <v>4.4008601747723202E-4</v>
      </c>
      <c r="CA181" s="359">
        <f>opex_orig!BR181</f>
        <v>2.1501080993261801E-4</v>
      </c>
      <c r="CB181" s="359">
        <f>opex_orig!BS181</f>
        <v>2.5872615850600598E-4</v>
      </c>
      <c r="CC181" s="359">
        <f>opex_orig!BT181</f>
        <v>6.7249638333113099E-5</v>
      </c>
      <c r="CD181" s="359">
        <f>opex_orig!BU181</f>
        <v>1.5087924285052099E-3</v>
      </c>
      <c r="CE181" s="359">
        <f>opex_orig!BV181</f>
        <v>3.19840353611255E-3</v>
      </c>
      <c r="CF181" s="359">
        <f>opex_orig!BW181</f>
        <v>1.7352312973366001E-3</v>
      </c>
      <c r="CG181" s="359">
        <f>opex_orig!BX181</f>
        <v>1.5536781594964301E-4</v>
      </c>
      <c r="CH181" s="359">
        <f>opex_orig!BY181</f>
        <v>4.9882203842358697E-5</v>
      </c>
      <c r="CI181" s="359">
        <f>opex_orig!BZ181</f>
        <v>2.1724299999999999E-4</v>
      </c>
      <c r="CJ181" s="359">
        <f>opex_orig!CA181</f>
        <v>1.21248E-4</v>
      </c>
      <c r="CK181" s="359">
        <f>opex_orig!CB181</f>
        <v>1.37849E-4</v>
      </c>
      <c r="CL181" s="359">
        <f>opex_orig!CC181</f>
        <v>5.1100000000000002E-5</v>
      </c>
      <c r="CM181" s="359">
        <f>opex_orig!CD181</f>
        <v>2.8969100000000002E-4</v>
      </c>
      <c r="CN181" s="359">
        <f>opex_orig!CE181</f>
        <v>2.7404510000000001E-3</v>
      </c>
      <c r="CO181" s="359">
        <f>opex_orig!CF181</f>
        <v>7.45702E-4</v>
      </c>
      <c r="CP181" s="359">
        <f>opex_orig!CG181</f>
        <v>2.3485899999999998E-3</v>
      </c>
    </row>
  </sheetData>
  <conditionalFormatting sqref="BV1">
    <cfRule type="colorScale" priority="17">
      <colorScale>
        <cfvo type="min"/>
        <cfvo type="max"/>
        <color rgb="FFFCFCFF"/>
        <color rgb="FF63BE7B"/>
      </colorScale>
    </cfRule>
  </conditionalFormatting>
  <conditionalFormatting sqref="BW1">
    <cfRule type="colorScale" priority="16">
      <colorScale>
        <cfvo type="min"/>
        <cfvo type="max"/>
        <color rgb="FFFCFCFF"/>
        <color rgb="FF63BE7B"/>
      </colorScale>
    </cfRule>
  </conditionalFormatting>
  <conditionalFormatting sqref="BX1">
    <cfRule type="colorScale" priority="15">
      <colorScale>
        <cfvo type="min"/>
        <cfvo type="max"/>
        <color rgb="FFFCFCFF"/>
        <color rgb="FF63BE7B"/>
      </colorScale>
    </cfRule>
  </conditionalFormatting>
  <conditionalFormatting sqref="BY1">
    <cfRule type="colorScale" priority="14">
      <colorScale>
        <cfvo type="min"/>
        <cfvo type="max"/>
        <color rgb="FFFCFCFF"/>
        <color rgb="FF63BE7B"/>
      </colorScale>
    </cfRule>
  </conditionalFormatting>
  <conditionalFormatting sqref="BZ1">
    <cfRule type="colorScale" priority="13">
      <colorScale>
        <cfvo type="min"/>
        <cfvo type="max"/>
        <color rgb="FFFCFCFF"/>
        <color rgb="FF63BE7B"/>
      </colorScale>
    </cfRule>
  </conditionalFormatting>
  <conditionalFormatting sqref="CA1">
    <cfRule type="colorScale" priority="12">
      <colorScale>
        <cfvo type="min"/>
        <cfvo type="max"/>
        <color rgb="FFFCFCFF"/>
        <color rgb="FF63BE7B"/>
      </colorScale>
    </cfRule>
  </conditionalFormatting>
  <conditionalFormatting sqref="CB1">
    <cfRule type="colorScale" priority="11">
      <colorScale>
        <cfvo type="min"/>
        <cfvo type="max"/>
        <color rgb="FFFCFCFF"/>
        <color rgb="FF63BE7B"/>
      </colorScale>
    </cfRule>
  </conditionalFormatting>
  <conditionalFormatting sqref="CC1">
    <cfRule type="colorScale" priority="10">
      <colorScale>
        <cfvo type="min"/>
        <cfvo type="max"/>
        <color rgb="FFFCFCFF"/>
        <color rgb="FF63BE7B"/>
      </colorScale>
    </cfRule>
  </conditionalFormatting>
  <conditionalFormatting sqref="CE1">
    <cfRule type="colorScale" priority="9">
      <colorScale>
        <cfvo type="min"/>
        <cfvo type="max"/>
        <color rgb="FFFCFCFF"/>
        <color rgb="FF63BE7B"/>
      </colorScale>
    </cfRule>
  </conditionalFormatting>
  <conditionalFormatting sqref="CF1">
    <cfRule type="colorScale" priority="8">
      <colorScale>
        <cfvo type="min"/>
        <cfvo type="max"/>
        <color rgb="FFFCFCFF"/>
        <color rgb="FF63BE7B"/>
      </colorScale>
    </cfRule>
  </conditionalFormatting>
  <conditionalFormatting sqref="CG1">
    <cfRule type="colorScale" priority="7">
      <colorScale>
        <cfvo type="min"/>
        <cfvo type="max"/>
        <color rgb="FFFCFCFF"/>
        <color rgb="FF63BE7B"/>
      </colorScale>
    </cfRule>
  </conditionalFormatting>
  <conditionalFormatting sqref="CH1">
    <cfRule type="colorScale" priority="6">
      <colorScale>
        <cfvo type="min"/>
        <cfvo type="max"/>
        <color rgb="FFFCFCFF"/>
        <color rgb="FF63BE7B"/>
      </colorScale>
    </cfRule>
  </conditionalFormatting>
  <conditionalFormatting sqref="BV1:CH1 BV182:CH1048576">
    <cfRule type="colorScale" priority="5">
      <colorScale>
        <cfvo type="min"/>
        <cfvo type="max"/>
        <color rgb="FFFCFCFF"/>
        <color rgb="FF63BE7B"/>
      </colorScale>
    </cfRule>
  </conditionalFormatting>
  <conditionalFormatting sqref="CI1:CP1">
    <cfRule type="colorScale" priority="3">
      <colorScale>
        <cfvo type="min"/>
        <cfvo type="max"/>
        <color rgb="FFFCFCFF"/>
        <color rgb="FF63BE7B"/>
      </colorScale>
    </cfRule>
  </conditionalFormatting>
  <conditionalFormatting sqref="CI1:CP1 CI182:CP1048576">
    <cfRule type="colorScale" priority="2">
      <colorScale>
        <cfvo type="min"/>
        <cfvo type="max"/>
        <color rgb="FFFCFCFF"/>
        <color rgb="FF63BE7B"/>
      </colorScale>
    </cfRule>
  </conditionalFormatting>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81"/>
  <sheetViews>
    <sheetView zoomScale="75" zoomScaleNormal="75" workbookViewId="0">
      <pane xSplit="3" ySplit="1" topLeftCell="D134" activePane="bottomRight" state="frozen"/>
      <selection activeCell="D2" sqref="D2"/>
      <selection pane="topRight" activeCell="D2" sqref="D2"/>
      <selection pane="bottomLeft" activeCell="D2" sqref="D2"/>
      <selection pane="bottomRight" activeCell="D169" sqref="D169"/>
    </sheetView>
  </sheetViews>
  <sheetFormatPr defaultColWidth="8.75" defaultRowHeight="15" x14ac:dyDescent="0.25"/>
  <cols>
    <col min="1" max="1" width="45.75" style="4" customWidth="1"/>
    <col min="2" max="2" width="12.375" style="4" customWidth="1"/>
    <col min="3" max="3" width="25" style="1" bestFit="1" customWidth="1"/>
    <col min="4" max="67" width="9.625" style="1" customWidth="1"/>
    <col min="68" max="73" width="9.625" style="188" customWidth="1"/>
    <col min="74" max="86" width="9.625" style="25" customWidth="1"/>
    <col min="87" max="94" width="9.625" style="86" customWidth="1"/>
    <col min="95" max="16384" width="8.75" style="4"/>
  </cols>
  <sheetData>
    <row r="1" spans="1:94" ht="15" customHeight="1" x14ac:dyDescent="0.25">
      <c r="A1" s="3" t="s">
        <v>0</v>
      </c>
      <c r="B1" s="3" t="s">
        <v>1</v>
      </c>
      <c r="C1" s="10" t="s">
        <v>324</v>
      </c>
      <c r="D1" s="10" t="s">
        <v>90</v>
      </c>
      <c r="E1" s="10" t="s">
        <v>92</v>
      </c>
      <c r="F1" s="10" t="s">
        <v>94</v>
      </c>
      <c r="G1" s="10" t="s">
        <v>96</v>
      </c>
      <c r="H1" s="10" t="s">
        <v>98</v>
      </c>
      <c r="I1" s="10" t="s">
        <v>100</v>
      </c>
      <c r="J1" s="10" t="s">
        <v>102</v>
      </c>
      <c r="K1" s="10" t="s">
        <v>104</v>
      </c>
      <c r="L1" s="10" t="s">
        <v>106</v>
      </c>
      <c r="M1" s="10" t="s">
        <v>108</v>
      </c>
      <c r="N1" s="10" t="s">
        <v>110</v>
      </c>
      <c r="O1" s="10" t="s">
        <v>112</v>
      </c>
      <c r="P1" s="10" t="s">
        <v>114</v>
      </c>
      <c r="Q1" s="10" t="s">
        <v>116</v>
      </c>
      <c r="R1" s="10" t="s">
        <v>118</v>
      </c>
      <c r="S1" s="10" t="s">
        <v>120</v>
      </c>
      <c r="T1" s="10" t="s">
        <v>122</v>
      </c>
      <c r="U1" s="10" t="s">
        <v>124</v>
      </c>
      <c r="V1" s="10" t="s">
        <v>126</v>
      </c>
      <c r="W1" s="10" t="s">
        <v>128</v>
      </c>
      <c r="X1" s="10" t="s">
        <v>130</v>
      </c>
      <c r="Y1" s="10" t="s">
        <v>132</v>
      </c>
      <c r="Z1" s="10" t="s">
        <v>134</v>
      </c>
      <c r="AA1" s="10" t="s">
        <v>136</v>
      </c>
      <c r="AB1" s="24" t="s">
        <v>737</v>
      </c>
      <c r="AC1" s="24" t="s">
        <v>738</v>
      </c>
      <c r="AD1" s="24" t="s">
        <v>748</v>
      </c>
      <c r="AE1" s="24" t="s">
        <v>140</v>
      </c>
      <c r="AF1" s="24" t="s">
        <v>739</v>
      </c>
      <c r="AG1" s="24" t="s">
        <v>740</v>
      </c>
      <c r="AH1" s="24" t="s">
        <v>926</v>
      </c>
      <c r="AI1" s="26" t="s">
        <v>144</v>
      </c>
      <c r="AJ1" s="26" t="s">
        <v>146</v>
      </c>
      <c r="AK1" s="26" t="s">
        <v>148</v>
      </c>
      <c r="AL1" s="26" t="s">
        <v>150</v>
      </c>
      <c r="AM1" s="26" t="s">
        <v>152</v>
      </c>
      <c r="AN1" s="26" t="s">
        <v>154</v>
      </c>
      <c r="AO1" s="26" t="s">
        <v>156</v>
      </c>
      <c r="AP1" s="24" t="s">
        <v>735</v>
      </c>
      <c r="AQ1" s="24" t="s">
        <v>736</v>
      </c>
      <c r="AR1" s="24" t="s">
        <v>744</v>
      </c>
      <c r="AS1" s="24" t="s">
        <v>160</v>
      </c>
      <c r="AT1" s="26" t="s">
        <v>162</v>
      </c>
      <c r="AU1" s="24" t="s">
        <v>730</v>
      </c>
      <c r="AV1" s="24" t="s">
        <v>731</v>
      </c>
      <c r="AW1" s="24" t="s">
        <v>746</v>
      </c>
      <c r="AX1" s="24" t="s">
        <v>166</v>
      </c>
      <c r="AY1" s="26" t="s">
        <v>168</v>
      </c>
      <c r="AZ1" s="26" t="s">
        <v>170</v>
      </c>
      <c r="BA1" s="26" t="s">
        <v>172</v>
      </c>
      <c r="BB1" s="26" t="s">
        <v>174</v>
      </c>
      <c r="BC1" s="26" t="s">
        <v>176</v>
      </c>
      <c r="BD1" s="26" t="s">
        <v>178</v>
      </c>
      <c r="BE1" s="26" t="s">
        <v>180</v>
      </c>
      <c r="BF1" s="26" t="s">
        <v>182</v>
      </c>
      <c r="BG1" s="26" t="s">
        <v>184</v>
      </c>
      <c r="BH1" s="26" t="s">
        <v>186</v>
      </c>
      <c r="BI1" s="26" t="s">
        <v>188</v>
      </c>
      <c r="BJ1" s="26" t="s">
        <v>190</v>
      </c>
      <c r="BK1" s="26" t="s">
        <v>192</v>
      </c>
      <c r="BL1" s="26" t="s">
        <v>194</v>
      </c>
      <c r="BM1" s="26" t="s">
        <v>196</v>
      </c>
      <c r="BN1" s="26" t="s">
        <v>198</v>
      </c>
      <c r="BO1" s="26" t="s">
        <v>200</v>
      </c>
      <c r="BP1" s="190" t="s">
        <v>733</v>
      </c>
      <c r="BQ1" s="190" t="s">
        <v>734</v>
      </c>
      <c r="BR1" s="26" t="s">
        <v>204</v>
      </c>
      <c r="BS1" s="26" t="s">
        <v>206</v>
      </c>
      <c r="BT1" s="26" t="s">
        <v>208</v>
      </c>
      <c r="BU1" s="26" t="s">
        <v>210</v>
      </c>
      <c r="BV1" s="26" t="s">
        <v>3</v>
      </c>
      <c r="BW1" s="26" t="s">
        <v>5</v>
      </c>
      <c r="BX1" s="26" t="s">
        <v>7</v>
      </c>
      <c r="BY1" s="26" t="s">
        <v>9</v>
      </c>
      <c r="BZ1" s="26" t="s">
        <v>336</v>
      </c>
      <c r="CA1" s="26" t="s">
        <v>337</v>
      </c>
      <c r="CB1" s="26" t="s">
        <v>11</v>
      </c>
      <c r="CC1" s="26" t="s">
        <v>13</v>
      </c>
      <c r="CD1" s="28" t="s">
        <v>338</v>
      </c>
      <c r="CE1" s="26" t="s">
        <v>339</v>
      </c>
      <c r="CF1" s="26" t="s">
        <v>15</v>
      </c>
      <c r="CG1" s="26" t="s">
        <v>17</v>
      </c>
      <c r="CH1" s="26" t="s">
        <v>19</v>
      </c>
      <c r="CI1" s="26" t="s">
        <v>21</v>
      </c>
      <c r="CJ1" s="26" t="s">
        <v>212</v>
      </c>
      <c r="CK1" s="26" t="s">
        <v>214</v>
      </c>
      <c r="CL1" s="26" t="s">
        <v>216</v>
      </c>
      <c r="CM1" s="26" t="s">
        <v>218</v>
      </c>
      <c r="CN1" s="26" t="s">
        <v>220</v>
      </c>
      <c r="CO1" s="26" t="s">
        <v>222</v>
      </c>
      <c r="CP1" s="26" t="s">
        <v>224</v>
      </c>
    </row>
    <row r="2" spans="1:94" x14ac:dyDescent="0.25">
      <c r="A2" s="5" t="s">
        <v>23</v>
      </c>
      <c r="B2" s="2" t="s">
        <v>22</v>
      </c>
      <c r="C2" s="1" t="s">
        <v>325</v>
      </c>
      <c r="D2" s="188">
        <f>opex_orig!D2</f>
        <v>4.7099999999999998E-6</v>
      </c>
      <c r="E2" s="188">
        <f>opex_orig!E2</f>
        <v>5.4500000000000003E-6</v>
      </c>
      <c r="F2" s="188">
        <f>opex_orig!F2</f>
        <v>2.41E-5</v>
      </c>
      <c r="G2" s="188">
        <f>opex_orig!G2</f>
        <v>1.19E-6</v>
      </c>
      <c r="H2" s="188">
        <f>opex_orig!H2</f>
        <v>1.35E-6</v>
      </c>
      <c r="I2" s="188">
        <f>opex_orig!I2</f>
        <v>3.3900000000000002E-6</v>
      </c>
      <c r="J2" s="188">
        <f>opex_orig!J2</f>
        <v>1.7001830000000001E-3</v>
      </c>
      <c r="K2" s="188">
        <f>opex_orig!K2</f>
        <v>1.27E-5</v>
      </c>
      <c r="L2" s="188">
        <f>opex_orig!L2</f>
        <v>4.1969700000000002E-4</v>
      </c>
      <c r="M2" s="188">
        <f>opex_orig!M2</f>
        <v>4.0421899999999999E-4</v>
      </c>
      <c r="N2" s="188">
        <f>opex_orig!N2</f>
        <v>1.052297E-3</v>
      </c>
      <c r="O2" s="188">
        <f>opex_orig!O2</f>
        <v>1.0026785E-2</v>
      </c>
      <c r="P2" s="188">
        <f>opex_orig!P2</f>
        <v>1.4309069999999999E-3</v>
      </c>
      <c r="Q2" s="188">
        <f>opex_orig!Q2</f>
        <v>2.7500000000000001E-5</v>
      </c>
      <c r="R2" s="188">
        <f>opex_orig!R2</f>
        <v>1.24E-5</v>
      </c>
      <c r="S2" s="188">
        <f>opex_orig!S2</f>
        <v>2.3599999999999999E-6</v>
      </c>
      <c r="T2" s="188">
        <f>opex_orig!T2</f>
        <v>3.0900000000000001E-6</v>
      </c>
      <c r="U2" s="188">
        <f>opex_orig!U2</f>
        <v>2.5299999999999999E-6</v>
      </c>
      <c r="V2" s="188">
        <f>opex_orig!V2</f>
        <v>4.1699999999999999E-6</v>
      </c>
      <c r="W2" s="188">
        <f>opex_orig!W2</f>
        <v>2.7700000000000002E-6</v>
      </c>
      <c r="X2" s="188">
        <f>opex_orig!X2</f>
        <v>1.13E-5</v>
      </c>
      <c r="Y2" s="188">
        <f>opex_orig!Y2</f>
        <v>9.7300000000000004E-7</v>
      </c>
      <c r="Z2" s="188">
        <f>opex_orig!Z2</f>
        <v>1.0100000000000001E-6</v>
      </c>
      <c r="AA2" s="188">
        <f>opex_orig!AA2</f>
        <v>7.1799999999999999E-6</v>
      </c>
      <c r="AB2" s="188">
        <f>opex_orig!$AB2</f>
        <v>2.5635095410803999E-4</v>
      </c>
      <c r="AC2" s="188">
        <f>opex_orig!$AB2</f>
        <v>2.5635095410803999E-4</v>
      </c>
      <c r="AD2" s="188">
        <f>opex_orig!$AB2</f>
        <v>2.5635095410803999E-4</v>
      </c>
      <c r="AE2" s="188">
        <f>opex_orig!$AC2</f>
        <v>8.8072851094694998E-5</v>
      </c>
      <c r="AF2" s="188">
        <f>opex_orig!$AD2</f>
        <v>6.2079689877585098E-5</v>
      </c>
      <c r="AG2" s="188">
        <f>opex_orig!$AD2</f>
        <v>6.2079689877585098E-5</v>
      </c>
      <c r="AH2" s="188">
        <f>opex_orig!$AD2</f>
        <v>6.2079689877585098E-5</v>
      </c>
      <c r="AI2" s="188">
        <f>opex_orig!AE2</f>
        <v>5.0300000000000003E-5</v>
      </c>
      <c r="AJ2" s="188">
        <f>opex_orig!AF2</f>
        <v>6.3399999999999996E-5</v>
      </c>
      <c r="AK2" s="188">
        <f>opex_orig!AG2</f>
        <v>1.95E-6</v>
      </c>
      <c r="AL2" s="188">
        <f>opex_orig!AH2</f>
        <v>8.4399999999999999E-7</v>
      </c>
      <c r="AM2" s="188">
        <f>opex_orig!AI2</f>
        <v>2.83E-6</v>
      </c>
      <c r="AN2" s="188">
        <f>opex_orig!AJ2</f>
        <v>5.4899999999999995E-7</v>
      </c>
      <c r="AO2" s="188">
        <f>opex_orig!AK2</f>
        <v>3.4300000000000002E-6</v>
      </c>
      <c r="AP2" s="188">
        <f>opex_orig!$AL2</f>
        <v>1.32070289340045E-6</v>
      </c>
      <c r="AQ2" s="188">
        <f>opex_orig!$AL2</f>
        <v>1.32070289340045E-6</v>
      </c>
      <c r="AR2" s="188">
        <f>opex_orig!$AL2</f>
        <v>1.32070289340045E-6</v>
      </c>
      <c r="AS2" s="188">
        <f>opex_orig!$AM2</f>
        <v>2.2462385770093401E-6</v>
      </c>
      <c r="AT2" s="188">
        <f>opex_orig!AN2</f>
        <v>5.3600000000000004E-6</v>
      </c>
      <c r="AU2" s="188">
        <f>opex_orig!$AO2</f>
        <v>6.0340918307895499E-7</v>
      </c>
      <c r="AV2" s="188">
        <f>opex_orig!$AO2</f>
        <v>6.0340918307895499E-7</v>
      </c>
      <c r="AW2" s="188">
        <f>opex_orig!$AO2</f>
        <v>6.0340918307895499E-7</v>
      </c>
      <c r="AX2" s="188">
        <f>opex_orig!$AP2</f>
        <v>9.4895279719534805E-7</v>
      </c>
      <c r="AY2" s="188">
        <f>opex_orig!AQ2</f>
        <v>1.2699999999999999E-6</v>
      </c>
      <c r="AZ2" s="188">
        <f>opex_orig!AR2</f>
        <v>0</v>
      </c>
      <c r="BA2" s="188">
        <f>opex_orig!AS2</f>
        <v>9.8599999999999996E-7</v>
      </c>
      <c r="BB2" s="188">
        <f>opex_orig!AT2</f>
        <v>5.8899999999999999E-7</v>
      </c>
      <c r="BC2" s="188">
        <f>opex_orig!AU2</f>
        <v>1.3400000000000001E-6</v>
      </c>
      <c r="BD2" s="188">
        <f>opex_orig!AV2</f>
        <v>1.3200000000000001E-6</v>
      </c>
      <c r="BE2" s="188">
        <f>opex_orig!AW2</f>
        <v>9.0100000000000003E-7</v>
      </c>
      <c r="BF2" s="188">
        <f>opex_orig!AX2</f>
        <v>0</v>
      </c>
      <c r="BG2" s="188">
        <f>opex_orig!AY2</f>
        <v>5.9000000000000003E-6</v>
      </c>
      <c r="BH2" s="188">
        <f>opex_orig!AZ2</f>
        <v>0</v>
      </c>
      <c r="BI2" s="188">
        <f>opex_orig!BA2</f>
        <v>5.5400000000000001E-7</v>
      </c>
      <c r="BJ2" s="188">
        <f>opex_orig!BB2</f>
        <v>4.15E-7</v>
      </c>
      <c r="BK2" s="188">
        <f>opex_orig!BC2</f>
        <v>7.7899999999999997E-7</v>
      </c>
      <c r="BL2" s="188">
        <f>opex_orig!BD2</f>
        <v>2.5800000000000001E-7</v>
      </c>
      <c r="BM2" s="188">
        <f>opex_orig!BE2</f>
        <v>1.29E-5</v>
      </c>
      <c r="BN2" s="188">
        <f>opex_orig!BF2</f>
        <v>6.5000000000000002E-7</v>
      </c>
      <c r="BO2" s="188">
        <f>opex_orig!BG2</f>
        <v>3.3899999999999997E-5</v>
      </c>
      <c r="BP2" s="188">
        <f>opex_orig!$BH2</f>
        <v>9.2354873016701E-7</v>
      </c>
      <c r="BQ2" s="188">
        <f>opex_orig!$BH2</f>
        <v>9.2354873016701E-7</v>
      </c>
      <c r="BR2" s="188">
        <f>opex_orig!BI2</f>
        <v>6.92E-7</v>
      </c>
      <c r="BS2" s="188">
        <f>opex_orig!BJ2</f>
        <v>1.48E-6</v>
      </c>
      <c r="BT2" s="188">
        <f>opex_orig!BK2</f>
        <v>2.8524300000000002E-4</v>
      </c>
      <c r="BU2" s="188">
        <f>opex_orig!BL2</f>
        <v>0</v>
      </c>
      <c r="BV2" s="27">
        <f>opex_orig!BM2</f>
        <v>4.0059935488491897E-6</v>
      </c>
      <c r="BW2" s="27">
        <f>opex_orig!BN2</f>
        <v>2.3666686553420099E-5</v>
      </c>
      <c r="BX2" s="27">
        <f>opex_orig!BO2</f>
        <v>6.2480255108572701E-7</v>
      </c>
      <c r="BY2" s="27">
        <f>opex_orig!BP2</f>
        <v>2.5199845595808698E-6</v>
      </c>
      <c r="BZ2" s="27">
        <f>opex_orig!BQ2</f>
        <v>8.0720609694100406E-6</v>
      </c>
      <c r="CA2" s="27">
        <f>opex_orig!BR2</f>
        <v>1.70104992858016E-7</v>
      </c>
      <c r="CB2" s="27">
        <f>opex_orig!BS2</f>
        <v>3.14424888827703E-5</v>
      </c>
      <c r="CC2" s="27">
        <f>opex_orig!BT2</f>
        <v>4.2065437282019902E-7</v>
      </c>
      <c r="CD2" s="27">
        <f>opex_orig!BU2</f>
        <v>3.0333085193102798E-7</v>
      </c>
      <c r="CE2" s="27">
        <f>opex_orig!BV2</f>
        <v>3.0333085193102899E-7</v>
      </c>
      <c r="CF2" s="27">
        <f>opex_orig!BW2</f>
        <v>1.51719488873251E-6</v>
      </c>
      <c r="CG2" s="27">
        <f>opex_orig!BX2</f>
        <v>3.8051596501042501E-7</v>
      </c>
      <c r="CH2" s="27">
        <f>opex_orig!BY2</f>
        <v>3.9724160144309002E-5</v>
      </c>
      <c r="CI2" s="27">
        <f>opex_orig!BZ2</f>
        <v>4.5399999999999997E-6</v>
      </c>
      <c r="CJ2" s="27">
        <f>opex_orig!CA2</f>
        <v>1.5099999999999999E-6</v>
      </c>
      <c r="CK2" s="27">
        <f>opex_orig!CB2</f>
        <v>1.02E-6</v>
      </c>
      <c r="CL2" s="27">
        <f>opex_orig!CC2</f>
        <v>7.9100000000000003E-7</v>
      </c>
      <c r="CM2" s="27">
        <f>opex_orig!CD2</f>
        <v>2.3900000000000002E-5</v>
      </c>
      <c r="CN2" s="27">
        <f>opex_orig!CE2</f>
        <v>1.1988400000000001E-4</v>
      </c>
      <c r="CO2" s="27">
        <f>opex_orig!CF2</f>
        <v>1.48E-6</v>
      </c>
      <c r="CP2" s="27">
        <f>opex_orig!CG2</f>
        <v>1.9800000000000001E-6</v>
      </c>
    </row>
    <row r="3" spans="1:94" x14ac:dyDescent="0.25">
      <c r="A3" s="5" t="s">
        <v>25</v>
      </c>
      <c r="B3" s="2" t="s">
        <v>24</v>
      </c>
      <c r="C3" s="1" t="s">
        <v>325</v>
      </c>
      <c r="D3" s="188">
        <f>opex_orig!D3</f>
        <v>4.5700000000000003E-6</v>
      </c>
      <c r="E3" s="188">
        <f>opex_orig!E3</f>
        <v>6.7900000000000002E-6</v>
      </c>
      <c r="F3" s="188">
        <f>opex_orig!F3</f>
        <v>2.3300000000000001E-5</v>
      </c>
      <c r="G3" s="188">
        <f>opex_orig!G3</f>
        <v>6.6400000000000002E-7</v>
      </c>
      <c r="H3" s="188">
        <f>opex_orig!H3</f>
        <v>6.75E-7</v>
      </c>
      <c r="I3" s="188">
        <f>opex_orig!I3</f>
        <v>3.6200000000000001E-6</v>
      </c>
      <c r="J3" s="188">
        <f>opex_orig!J3</f>
        <v>1.8099999999999999E-5</v>
      </c>
      <c r="K3" s="188">
        <f>opex_orig!K3</f>
        <v>2.0700000000000001E-6</v>
      </c>
      <c r="L3" s="188">
        <f>opex_orig!L3</f>
        <v>3.0303534999999999E-2</v>
      </c>
      <c r="M3" s="188">
        <f>opex_orig!M3</f>
        <v>3.5543452000000003E-2</v>
      </c>
      <c r="N3" s="188">
        <f>opex_orig!N3</f>
        <v>3.2944673000000001E-2</v>
      </c>
      <c r="O3" s="188">
        <f>opex_orig!O3</f>
        <v>1.2748373E-2</v>
      </c>
      <c r="P3" s="188">
        <f>opex_orig!P3</f>
        <v>2.451342E-3</v>
      </c>
      <c r="Q3" s="188">
        <f>opex_orig!Q3</f>
        <v>9.9500000000000006E-5</v>
      </c>
      <c r="R3" s="188">
        <f>opex_orig!R3</f>
        <v>1.8499999999999999E-5</v>
      </c>
      <c r="S3" s="188">
        <f>opex_orig!S3</f>
        <v>2.8799999999999999E-5</v>
      </c>
      <c r="T3" s="188">
        <f>opex_orig!T3</f>
        <v>2.6299999999999999E-5</v>
      </c>
      <c r="U3" s="188">
        <f>opex_orig!U3</f>
        <v>4.7099999999999998E-6</v>
      </c>
      <c r="V3" s="188">
        <f>opex_orig!V3</f>
        <v>4.9400000000000001E-6</v>
      </c>
      <c r="W3" s="188">
        <f>opex_orig!W3</f>
        <v>2.9500000000000001E-6</v>
      </c>
      <c r="X3" s="188">
        <f>opex_orig!X3</f>
        <v>5.2800000000000003E-6</v>
      </c>
      <c r="Y3" s="188">
        <f>opex_orig!Y3</f>
        <v>8.6400000000000001E-7</v>
      </c>
      <c r="Z3" s="188">
        <f>opex_orig!Z3</f>
        <v>4.2872899999999998E-4</v>
      </c>
      <c r="AA3" s="188">
        <f>opex_orig!AA3</f>
        <v>3.7000000000000002E-6</v>
      </c>
      <c r="AB3" s="188">
        <f>opex_orig!$AB3</f>
        <v>6.9137020226511402E-4</v>
      </c>
      <c r="AC3" s="188">
        <f>opex_orig!$AB3</f>
        <v>6.9137020226511402E-4</v>
      </c>
      <c r="AD3" s="188">
        <f>opex_orig!$AB3</f>
        <v>6.9137020226511402E-4</v>
      </c>
      <c r="AE3" s="188">
        <f>opex_orig!$AC3</f>
        <v>1.08333817586238E-2</v>
      </c>
      <c r="AF3" s="188">
        <f>opex_orig!$AD3</f>
        <v>5.3969859103065601E-3</v>
      </c>
      <c r="AG3" s="188">
        <f>opex_orig!$AD3</f>
        <v>5.3969859103065601E-3</v>
      </c>
      <c r="AH3" s="188">
        <f>opex_orig!$AD3</f>
        <v>5.3969859103065601E-3</v>
      </c>
      <c r="AI3" s="188">
        <f>opex_orig!AE3</f>
        <v>5.3668919999999998E-3</v>
      </c>
      <c r="AJ3" s="188">
        <f>opex_orig!AF3</f>
        <v>4.5390669999999999E-3</v>
      </c>
      <c r="AK3" s="188">
        <f>opex_orig!AG3</f>
        <v>1.6099999999999998E-5</v>
      </c>
      <c r="AL3" s="188">
        <f>opex_orig!AH3</f>
        <v>1.1800000000000001E-5</v>
      </c>
      <c r="AM3" s="188">
        <f>opex_orig!AI3</f>
        <v>4.6399999999999996E-6</v>
      </c>
      <c r="AN3" s="188">
        <f>opex_orig!AJ3</f>
        <v>3.1700000000000001E-6</v>
      </c>
      <c r="AO3" s="188">
        <f>opex_orig!AK3</f>
        <v>5.4999999999999999E-6</v>
      </c>
      <c r="AP3" s="188">
        <f>opex_orig!$AL3</f>
        <v>3.6502467033151902E-6</v>
      </c>
      <c r="AQ3" s="188">
        <f>opex_orig!$AL3</f>
        <v>3.6502467033151902E-6</v>
      </c>
      <c r="AR3" s="188">
        <f>opex_orig!$AL3</f>
        <v>3.6502467033151902E-6</v>
      </c>
      <c r="AS3" s="188">
        <f>opex_orig!$AM3</f>
        <v>3.14474142906157E-6</v>
      </c>
      <c r="AT3" s="188">
        <f>opex_orig!AN3</f>
        <v>1.1199999999999999E-5</v>
      </c>
      <c r="AU3" s="188">
        <f>opex_orig!$AO3</f>
        <v>1.75393432855517E-6</v>
      </c>
      <c r="AV3" s="188">
        <f>opex_orig!$AO3</f>
        <v>1.75393432855517E-6</v>
      </c>
      <c r="AW3" s="188">
        <f>opex_orig!$AO3</f>
        <v>1.75393432855517E-6</v>
      </c>
      <c r="AX3" s="188">
        <f>opex_orig!$AP3</f>
        <v>2.0158827936232199E-6</v>
      </c>
      <c r="AY3" s="188">
        <f>opex_orig!AQ3</f>
        <v>3.0800000000000002E-6</v>
      </c>
      <c r="AZ3" s="188">
        <f>opex_orig!AR3</f>
        <v>0</v>
      </c>
      <c r="BA3" s="188">
        <f>opex_orig!AS3</f>
        <v>5.5799999999999999E-6</v>
      </c>
      <c r="BB3" s="188">
        <f>opex_orig!AT3</f>
        <v>4.7199999999999997E-6</v>
      </c>
      <c r="BC3" s="188">
        <f>opex_orig!AU3</f>
        <v>1.5E-6</v>
      </c>
      <c r="BD3" s="188">
        <f>opex_orig!AV3</f>
        <v>5.3499999999999996E-7</v>
      </c>
      <c r="BE3" s="188">
        <f>opex_orig!AW3</f>
        <v>1.5600000000000001E-6</v>
      </c>
      <c r="BF3" s="188">
        <f>opex_orig!AX3</f>
        <v>0</v>
      </c>
      <c r="BG3" s="188">
        <f>opex_orig!AY3</f>
        <v>2.7199999999999998E-6</v>
      </c>
      <c r="BH3" s="188">
        <f>opex_orig!AZ3</f>
        <v>0</v>
      </c>
      <c r="BI3" s="188">
        <f>opex_orig!BA3</f>
        <v>1.22E-6</v>
      </c>
      <c r="BJ3" s="188">
        <f>opex_orig!BB3</f>
        <v>1.2100000000000001E-6</v>
      </c>
      <c r="BK3" s="188">
        <f>opex_orig!BC3</f>
        <v>2.3800000000000001E-6</v>
      </c>
      <c r="BL3" s="188">
        <f>opex_orig!BD3</f>
        <v>3.7400000000000002E-6</v>
      </c>
      <c r="BM3" s="188">
        <f>opex_orig!BE3</f>
        <v>4.3699999999999997E-6</v>
      </c>
      <c r="BN3" s="188">
        <f>opex_orig!BF3</f>
        <v>1.66E-6</v>
      </c>
      <c r="BO3" s="188">
        <f>opex_orig!BG3</f>
        <v>1.4399999999999999E-5</v>
      </c>
      <c r="BP3" s="188">
        <f>opex_orig!$BH3</f>
        <v>1.3095730095945599E-6</v>
      </c>
      <c r="BQ3" s="188">
        <f>opex_orig!$BH3</f>
        <v>1.3095730095945599E-6</v>
      </c>
      <c r="BR3" s="188">
        <f>opex_orig!BI3</f>
        <v>2.4499999999999998E-6</v>
      </c>
      <c r="BS3" s="188">
        <f>opex_orig!BJ3</f>
        <v>1.24249E-4</v>
      </c>
      <c r="BT3" s="188">
        <f>opex_orig!BK3</f>
        <v>7.7799999999999994E-5</v>
      </c>
      <c r="BU3" s="188">
        <f>opex_orig!BL3</f>
        <v>0</v>
      </c>
      <c r="BV3" s="27">
        <f>opex_orig!BM3</f>
        <v>8.1506668659692803E-6</v>
      </c>
      <c r="BW3" s="27">
        <f>opex_orig!BN3</f>
        <v>3.81311848483976E-5</v>
      </c>
      <c r="BX3" s="27">
        <f>opex_orig!BO3</f>
        <v>1.9405806420825001E-6</v>
      </c>
      <c r="BY3" s="27">
        <f>opex_orig!BP3</f>
        <v>5.9106631693904599E-6</v>
      </c>
      <c r="BZ3" s="27">
        <f>opex_orig!BQ3</f>
        <v>3.5311531227553401E-6</v>
      </c>
      <c r="CA3" s="27">
        <f>opex_orig!BR3</f>
        <v>1.0981743401556701E-7</v>
      </c>
      <c r="CB3" s="27">
        <f>opex_orig!BS3</f>
        <v>2.0882865983200501E-5</v>
      </c>
      <c r="CC3" s="27">
        <f>opex_orig!BT3</f>
        <v>5.8279733294884198E-7</v>
      </c>
      <c r="CD3" s="27">
        <f>opex_orig!BU3</f>
        <v>7.4809859392345E-7</v>
      </c>
      <c r="CE3" s="27">
        <f>opex_orig!BV3</f>
        <v>7.4809859392345095E-7</v>
      </c>
      <c r="CF3" s="27">
        <f>opex_orig!BW3</f>
        <v>7.4116903318488501E-6</v>
      </c>
      <c r="CG3" s="27">
        <f>opex_orig!BX3</f>
        <v>4.88461904935668E-7</v>
      </c>
      <c r="CH3" s="27">
        <f>opex_orig!BY3</f>
        <v>3.4349817764955398E-6</v>
      </c>
      <c r="CI3" s="27">
        <f>opex_orig!BZ3</f>
        <v>1.0000000000000001E-5</v>
      </c>
      <c r="CJ3" s="27">
        <f>opex_orig!CA3</f>
        <v>3.14E-6</v>
      </c>
      <c r="CK3" s="27">
        <f>opex_orig!CB3</f>
        <v>3.2399999999999999E-6</v>
      </c>
      <c r="CL3" s="27">
        <f>opex_orig!CC3</f>
        <v>2.04E-6</v>
      </c>
      <c r="CM3" s="27">
        <f>opex_orig!CD3</f>
        <v>3.8999999999999999E-5</v>
      </c>
      <c r="CN3" s="27">
        <f>opex_orig!CE3</f>
        <v>3.3800000000000002E-5</v>
      </c>
      <c r="CO3" s="27">
        <f>opex_orig!CF3</f>
        <v>2.3099999999999999E-6</v>
      </c>
      <c r="CP3" s="27">
        <f>opex_orig!CG3</f>
        <v>3.0299999999999998E-6</v>
      </c>
    </row>
    <row r="4" spans="1:94" x14ac:dyDescent="0.25">
      <c r="A4" s="5" t="s">
        <v>27</v>
      </c>
      <c r="B4" s="2" t="s">
        <v>26</v>
      </c>
      <c r="C4" s="1" t="s">
        <v>325</v>
      </c>
      <c r="D4" s="188">
        <f>opex_orig!D4</f>
        <v>5.6400000000000002E-6</v>
      </c>
      <c r="E4" s="188">
        <f>opex_orig!E4</f>
        <v>5.4299999999999997E-6</v>
      </c>
      <c r="F4" s="188">
        <f>opex_orig!F4</f>
        <v>1.4800000000000001E-5</v>
      </c>
      <c r="G4" s="188">
        <f>opex_orig!G4</f>
        <v>1.0899999999999999E-6</v>
      </c>
      <c r="H4" s="188">
        <f>opex_orig!H4</f>
        <v>1.22E-6</v>
      </c>
      <c r="I4" s="188">
        <f>opex_orig!I4</f>
        <v>4.7199999999999997E-6</v>
      </c>
      <c r="J4" s="188">
        <f>opex_orig!J4</f>
        <v>1.5800000000000001E-5</v>
      </c>
      <c r="K4" s="188">
        <f>opex_orig!K4</f>
        <v>2.7800000000000001E-6</v>
      </c>
      <c r="L4" s="188">
        <f>opex_orig!L4</f>
        <v>4.4177942999999997E-2</v>
      </c>
      <c r="M4" s="188">
        <f>opex_orig!M4</f>
        <v>5.2844980999999999E-2</v>
      </c>
      <c r="N4" s="188">
        <f>opex_orig!N4</f>
        <v>5.5589567999999999E-2</v>
      </c>
      <c r="O4" s="188">
        <f>opex_orig!O4</f>
        <v>9.8015359999999996E-3</v>
      </c>
      <c r="P4" s="188">
        <f>opex_orig!P4</f>
        <v>1.7074950000000001E-3</v>
      </c>
      <c r="Q4" s="188">
        <f>opex_orig!Q4</f>
        <v>1.21818E-4</v>
      </c>
      <c r="R4" s="188">
        <f>opex_orig!R4</f>
        <v>3.3599999999999997E-5</v>
      </c>
      <c r="S4" s="188">
        <f>opex_orig!S4</f>
        <v>2.4300000000000001E-5</v>
      </c>
      <c r="T4" s="188">
        <f>opex_orig!T4</f>
        <v>2.34E-5</v>
      </c>
      <c r="U4" s="188">
        <f>opex_orig!U4</f>
        <v>1.0699999999999999E-5</v>
      </c>
      <c r="V4" s="188">
        <f>opex_orig!V4</f>
        <v>1.3200000000000001E-5</v>
      </c>
      <c r="W4" s="188">
        <f>opex_orig!W4</f>
        <v>3.2200000000000001E-6</v>
      </c>
      <c r="X4" s="188">
        <f>opex_orig!X4</f>
        <v>3.3500000000000001E-6</v>
      </c>
      <c r="Y4" s="188">
        <f>opex_orig!Y4</f>
        <v>1.7099999999999999E-6</v>
      </c>
      <c r="Z4" s="188">
        <f>opex_orig!Z4</f>
        <v>1.8328299999999999E-4</v>
      </c>
      <c r="AA4" s="188">
        <f>opex_orig!AA4</f>
        <v>1.03E-5</v>
      </c>
      <c r="AB4" s="188">
        <f>opex_orig!$AB4</f>
        <v>3.9091818214950498E-4</v>
      </c>
      <c r="AC4" s="188">
        <f>opex_orig!$AB4</f>
        <v>3.9091818214950498E-4</v>
      </c>
      <c r="AD4" s="188">
        <f>opex_orig!$AB4</f>
        <v>3.9091818214950498E-4</v>
      </c>
      <c r="AE4" s="188">
        <f>opex_orig!$AC4</f>
        <v>7.6306391172149398E-3</v>
      </c>
      <c r="AF4" s="188">
        <f>opex_orig!$AD4</f>
        <v>3.9053434058628502E-3</v>
      </c>
      <c r="AG4" s="188">
        <f>opex_orig!$AD4</f>
        <v>3.9053434058628502E-3</v>
      </c>
      <c r="AH4" s="188">
        <f>opex_orig!$AD4</f>
        <v>3.9053434058628502E-3</v>
      </c>
      <c r="AI4" s="188">
        <f>opex_orig!AE4</f>
        <v>3.8017530000000002E-3</v>
      </c>
      <c r="AJ4" s="188">
        <f>opex_orig!AF4</f>
        <v>3.569301E-3</v>
      </c>
      <c r="AK4" s="188">
        <f>opex_orig!AG4</f>
        <v>5.9800000000000003E-6</v>
      </c>
      <c r="AL4" s="188">
        <f>opex_orig!AH4</f>
        <v>4.0799999999999999E-6</v>
      </c>
      <c r="AM4" s="188">
        <f>opex_orig!AI4</f>
        <v>4.16E-6</v>
      </c>
      <c r="AN4" s="188">
        <f>opex_orig!AJ4</f>
        <v>2.17E-6</v>
      </c>
      <c r="AO4" s="188">
        <f>opex_orig!AK4</f>
        <v>5.1599999999999997E-6</v>
      </c>
      <c r="AP4" s="188">
        <f>opex_orig!$AL4</f>
        <v>2.8878020605785502E-6</v>
      </c>
      <c r="AQ4" s="188">
        <f>opex_orig!$AL4</f>
        <v>2.8878020605785502E-6</v>
      </c>
      <c r="AR4" s="188">
        <f>opex_orig!$AL4</f>
        <v>2.8878020605785502E-6</v>
      </c>
      <c r="AS4" s="188">
        <f>opex_orig!$AM4</f>
        <v>3.4022056056284901E-6</v>
      </c>
      <c r="AT4" s="188">
        <f>opex_orig!AN4</f>
        <v>7.8900000000000007E-6</v>
      </c>
      <c r="AU4" s="188">
        <f>opex_orig!$AO4</f>
        <v>1.54396575275685E-6</v>
      </c>
      <c r="AV4" s="188">
        <f>opex_orig!$AO4</f>
        <v>1.54396575275685E-6</v>
      </c>
      <c r="AW4" s="188">
        <f>opex_orig!$AO4</f>
        <v>1.54396575275685E-6</v>
      </c>
      <c r="AX4" s="188">
        <f>opex_orig!$AP4</f>
        <v>2.0200053433418101E-6</v>
      </c>
      <c r="AY4" s="188">
        <f>opex_orig!AQ4</f>
        <v>2.8700000000000001E-6</v>
      </c>
      <c r="AZ4" s="188">
        <f>opex_orig!AR4</f>
        <v>0</v>
      </c>
      <c r="BA4" s="188">
        <f>opex_orig!AS4</f>
        <v>3.23E-6</v>
      </c>
      <c r="BB4" s="188">
        <f>opex_orig!AT4</f>
        <v>2.6199999999999999E-6</v>
      </c>
      <c r="BC4" s="188">
        <f>opex_orig!AU4</f>
        <v>1.8700000000000001E-6</v>
      </c>
      <c r="BD4" s="188">
        <f>opex_orig!AV4</f>
        <v>1.5999999999999999E-6</v>
      </c>
      <c r="BE4" s="188">
        <f>opex_orig!AW4</f>
        <v>1.79E-6</v>
      </c>
      <c r="BF4" s="188">
        <f>opex_orig!AX4</f>
        <v>0</v>
      </c>
      <c r="BG4" s="188">
        <f>opex_orig!AY4</f>
        <v>5.7899999999999996E-6</v>
      </c>
      <c r="BH4" s="188">
        <f>opex_orig!AZ4</f>
        <v>0</v>
      </c>
      <c r="BI4" s="188">
        <f>opex_orig!BA4</f>
        <v>1.4899999999999999E-6</v>
      </c>
      <c r="BJ4" s="188">
        <f>opex_orig!BB4</f>
        <v>8.6099999999999999E-7</v>
      </c>
      <c r="BK4" s="188">
        <f>opex_orig!BC4</f>
        <v>2.6299999999999998E-6</v>
      </c>
      <c r="BL4" s="188">
        <f>opex_orig!BD4</f>
        <v>3.2600000000000001E-6</v>
      </c>
      <c r="BM4" s="188">
        <f>opex_orig!BE4</f>
        <v>3.9500000000000003E-6</v>
      </c>
      <c r="BN4" s="188">
        <f>opex_orig!BF4</f>
        <v>1.6899999999999999E-6</v>
      </c>
      <c r="BO4" s="188">
        <f>opex_orig!BG4</f>
        <v>8.0600000000000008E-6</v>
      </c>
      <c r="BP4" s="188">
        <f>opex_orig!$BH4</f>
        <v>2.7738992921792502E-6</v>
      </c>
      <c r="BQ4" s="188">
        <f>opex_orig!$BH4</f>
        <v>2.7738992921792502E-6</v>
      </c>
      <c r="BR4" s="188">
        <f>opex_orig!BI4</f>
        <v>2.0600000000000002E-6</v>
      </c>
      <c r="BS4" s="188">
        <f>opex_orig!BJ4</f>
        <v>5.6400000000000002E-5</v>
      </c>
      <c r="BT4" s="188">
        <f>opex_orig!BK4</f>
        <v>4.6499999999999999E-5</v>
      </c>
      <c r="BU4" s="188">
        <f>opex_orig!BL4</f>
        <v>0</v>
      </c>
      <c r="BV4" s="27">
        <f>opex_orig!BM4</f>
        <v>9.2554371606333499E-6</v>
      </c>
      <c r="BW4" s="27">
        <f>opex_orig!BN4</f>
        <v>3.0004397944589501E-5</v>
      </c>
      <c r="BX4" s="27">
        <f>opex_orig!BO4</f>
        <v>2.71744830176484E-6</v>
      </c>
      <c r="BY4" s="27">
        <f>opex_orig!BP4</f>
        <v>6.7608806709892103E-6</v>
      </c>
      <c r="BZ4" s="27">
        <f>opex_orig!BQ4</f>
        <v>9.0764697549774002E-6</v>
      </c>
      <c r="CA4" s="27">
        <f>opex_orig!BR4</f>
        <v>2.54580738085961E-7</v>
      </c>
      <c r="CB4" s="27">
        <f>opex_orig!BS4</f>
        <v>2.8600295128253999E-5</v>
      </c>
      <c r="CC4" s="27">
        <f>opex_orig!BT4</f>
        <v>9.4552827812069497E-7</v>
      </c>
      <c r="CD4" s="27">
        <f>opex_orig!BU4</f>
        <v>3.0021769808777601E-6</v>
      </c>
      <c r="CE4" s="27">
        <f>opex_orig!BV4</f>
        <v>3.0021769808777601E-6</v>
      </c>
      <c r="CF4" s="27">
        <f>opex_orig!BW4</f>
        <v>8.6419249570513802E-6</v>
      </c>
      <c r="CG4" s="27">
        <f>opex_orig!BX4</f>
        <v>1.01706811526365E-6</v>
      </c>
      <c r="CH4" s="27">
        <f>opex_orig!BY4</f>
        <v>1.48411691079235E-5</v>
      </c>
      <c r="CI4" s="27">
        <f>opex_orig!BZ4</f>
        <v>9.8500000000000006E-6</v>
      </c>
      <c r="CJ4" s="27">
        <f>opex_orig!CA4</f>
        <v>4.7500000000000003E-6</v>
      </c>
      <c r="CK4" s="27">
        <f>opex_orig!CB4</f>
        <v>4.7999999999999998E-6</v>
      </c>
      <c r="CL4" s="27">
        <f>opex_orig!CC4</f>
        <v>2.9799999999999998E-6</v>
      </c>
      <c r="CM4" s="27">
        <f>opex_orig!CD4</f>
        <v>2.9200000000000002E-5</v>
      </c>
      <c r="CN4" s="27">
        <f>opex_orig!CE4</f>
        <v>2.1399999999999998E-5</v>
      </c>
      <c r="CO4" s="27">
        <f>opex_orig!CF4</f>
        <v>4.0199999999999996E-6</v>
      </c>
      <c r="CP4" s="27">
        <f>opex_orig!CG4</f>
        <v>2.8100000000000002E-6</v>
      </c>
    </row>
    <row r="5" spans="1:94" x14ac:dyDescent="0.25">
      <c r="A5" s="5" t="s">
        <v>29</v>
      </c>
      <c r="B5" s="2" t="s">
        <v>28</v>
      </c>
      <c r="C5" s="1" t="s">
        <v>325</v>
      </c>
      <c r="D5" s="188">
        <f>opex_orig!D5</f>
        <v>2.3799999999999999E-5</v>
      </c>
      <c r="E5" s="188">
        <f>opex_orig!E5</f>
        <v>3.9799999999999998E-5</v>
      </c>
      <c r="F5" s="188">
        <f>opex_orig!F5</f>
        <v>1.05468E-4</v>
      </c>
      <c r="G5" s="188">
        <f>opex_orig!G5</f>
        <v>3.8999999999999999E-6</v>
      </c>
      <c r="H5" s="188">
        <f>opex_orig!H5</f>
        <v>3.19E-6</v>
      </c>
      <c r="I5" s="188">
        <f>opex_orig!I5</f>
        <v>2.37E-5</v>
      </c>
      <c r="J5" s="188">
        <f>opex_orig!J5</f>
        <v>3.1600000000000002E-5</v>
      </c>
      <c r="K5" s="188">
        <f>opex_orig!K5</f>
        <v>7.1600000000000001E-6</v>
      </c>
      <c r="L5" s="188">
        <f>opex_orig!L5</f>
        <v>4.8133914E-2</v>
      </c>
      <c r="M5" s="188">
        <f>opex_orig!M5</f>
        <v>4.5783371000000003E-2</v>
      </c>
      <c r="N5" s="188">
        <f>opex_orig!N5</f>
        <v>3.9651406E-2</v>
      </c>
      <c r="O5" s="188">
        <f>opex_orig!O5</f>
        <v>2.917003E-3</v>
      </c>
      <c r="P5" s="188">
        <f>opex_orig!P5</f>
        <v>4.58932E-4</v>
      </c>
      <c r="Q5" s="188">
        <f>opex_orig!Q5</f>
        <v>2.2037900000000001E-4</v>
      </c>
      <c r="R5" s="188">
        <f>opex_orig!R5</f>
        <v>5.52E-5</v>
      </c>
      <c r="S5" s="188">
        <f>opex_orig!S5</f>
        <v>1.9400000000000001E-5</v>
      </c>
      <c r="T5" s="188">
        <f>opex_orig!T5</f>
        <v>2.55E-5</v>
      </c>
      <c r="U5" s="188">
        <f>opex_orig!U5</f>
        <v>5.0099999999999998E-5</v>
      </c>
      <c r="V5" s="188">
        <f>opex_orig!V5</f>
        <v>8.5000000000000006E-5</v>
      </c>
      <c r="W5" s="188">
        <f>opex_orig!W5</f>
        <v>1.73E-5</v>
      </c>
      <c r="X5" s="188">
        <f>opex_orig!X5</f>
        <v>1.33E-5</v>
      </c>
      <c r="Y5" s="188">
        <f>opex_orig!Y5</f>
        <v>6.7499999999999997E-6</v>
      </c>
      <c r="Z5" s="188">
        <f>opex_orig!Z5</f>
        <v>4.3512999999999999E-4</v>
      </c>
      <c r="AA5" s="188">
        <f>opex_orig!AA5</f>
        <v>3.0700000000000001E-5</v>
      </c>
      <c r="AB5" s="188">
        <f>opex_orig!$AB5</f>
        <v>2.6398995416881997E-4</v>
      </c>
      <c r="AC5" s="188">
        <f>opex_orig!$AB5</f>
        <v>2.6398995416881997E-4</v>
      </c>
      <c r="AD5" s="188">
        <f>opex_orig!$AB5</f>
        <v>2.6398995416881997E-4</v>
      </c>
      <c r="AE5" s="188">
        <f>opex_orig!$AC5</f>
        <v>2.6223217922986901E-3</v>
      </c>
      <c r="AF5" s="188">
        <f>opex_orig!$AD5</f>
        <v>1.47731003015292E-3</v>
      </c>
      <c r="AG5" s="188">
        <f>opex_orig!$AD5</f>
        <v>1.47731003015292E-3</v>
      </c>
      <c r="AH5" s="188">
        <f>opex_orig!$AD5</f>
        <v>1.47731003015292E-3</v>
      </c>
      <c r="AI5" s="188">
        <f>opex_orig!AE5</f>
        <v>1.492461E-3</v>
      </c>
      <c r="AJ5" s="188">
        <f>opex_orig!AF5</f>
        <v>1.382805E-3</v>
      </c>
      <c r="AK5" s="188">
        <f>opex_orig!AG5</f>
        <v>5.2099999999999999E-5</v>
      </c>
      <c r="AL5" s="188">
        <f>opex_orig!AH5</f>
        <v>4.1699999999999997E-5</v>
      </c>
      <c r="AM5" s="188">
        <f>opex_orig!AI5</f>
        <v>1.52E-5</v>
      </c>
      <c r="AN5" s="188">
        <f>opex_orig!AJ5</f>
        <v>2.58E-5</v>
      </c>
      <c r="AO5" s="188">
        <f>opex_orig!AK5</f>
        <v>3.26E-5</v>
      </c>
      <c r="AP5" s="188">
        <f>opex_orig!$AL5</f>
        <v>2.13902961806828E-5</v>
      </c>
      <c r="AQ5" s="188">
        <f>opex_orig!$AL5</f>
        <v>2.13902961806828E-5</v>
      </c>
      <c r="AR5" s="188">
        <f>opex_orig!$AL5</f>
        <v>2.13902961806828E-5</v>
      </c>
      <c r="AS5" s="188">
        <f>opex_orig!$AM5</f>
        <v>2.0163970879711499E-5</v>
      </c>
      <c r="AT5" s="188">
        <f>opex_orig!AN5</f>
        <v>2.9799999999999999E-5</v>
      </c>
      <c r="AU5" s="188">
        <f>opex_orig!$AO5</f>
        <v>1.1329822884584199E-5</v>
      </c>
      <c r="AV5" s="188">
        <f>opex_orig!$AO5</f>
        <v>1.1329822884584199E-5</v>
      </c>
      <c r="AW5" s="188">
        <f>opex_orig!$AO5</f>
        <v>1.1329822884584199E-5</v>
      </c>
      <c r="AX5" s="188">
        <f>opex_orig!$AP5</f>
        <v>2.4637383657795899E-5</v>
      </c>
      <c r="AY5" s="188">
        <f>opex_orig!AQ5</f>
        <v>3.3899999999999997E-5</v>
      </c>
      <c r="AZ5" s="188">
        <f>opex_orig!AR5</f>
        <v>0</v>
      </c>
      <c r="BA5" s="188">
        <f>opex_orig!AS5</f>
        <v>3.4600000000000001E-5</v>
      </c>
      <c r="BB5" s="188">
        <f>opex_orig!AT5</f>
        <v>2.4000000000000001E-5</v>
      </c>
      <c r="BC5" s="188">
        <f>opex_orig!AU5</f>
        <v>2.6699999999999998E-5</v>
      </c>
      <c r="BD5" s="188">
        <f>opex_orig!AV5</f>
        <v>1.1600000000000001E-5</v>
      </c>
      <c r="BE5" s="188">
        <f>opex_orig!AW5</f>
        <v>2.41E-5</v>
      </c>
      <c r="BF5" s="188">
        <f>opex_orig!AX5</f>
        <v>0</v>
      </c>
      <c r="BG5" s="188">
        <f>opex_orig!AY5</f>
        <v>2.1399999999999998E-5</v>
      </c>
      <c r="BH5" s="188">
        <f>opex_orig!AZ5</f>
        <v>0</v>
      </c>
      <c r="BI5" s="188">
        <f>opex_orig!BA5</f>
        <v>1.01E-5</v>
      </c>
      <c r="BJ5" s="188">
        <f>opex_orig!BB5</f>
        <v>1.3200000000000001E-5</v>
      </c>
      <c r="BK5" s="188">
        <f>opex_orig!BC5</f>
        <v>1.31E-5</v>
      </c>
      <c r="BL5" s="188">
        <f>opex_orig!BD5</f>
        <v>1.2300000000000001E-5</v>
      </c>
      <c r="BM5" s="188">
        <f>opex_orig!BE5</f>
        <v>1.34E-5</v>
      </c>
      <c r="BN5" s="188">
        <f>opex_orig!BF5</f>
        <v>3.0899999999999999E-5</v>
      </c>
      <c r="BO5" s="188">
        <f>opex_orig!BG5</f>
        <v>3.6300000000000001E-5</v>
      </c>
      <c r="BP5" s="188">
        <f>opex_orig!$BH5</f>
        <v>1.4437854679112399E-5</v>
      </c>
      <c r="BQ5" s="188">
        <f>opex_orig!$BH5</f>
        <v>1.4437854679112399E-5</v>
      </c>
      <c r="BR5" s="188">
        <f>opex_orig!BI5</f>
        <v>1.2999999999999999E-5</v>
      </c>
      <c r="BS5" s="188">
        <f>opex_orig!BJ5</f>
        <v>1.83454E-4</v>
      </c>
      <c r="BT5" s="188">
        <f>opex_orig!BK5</f>
        <v>1.6259E-4</v>
      </c>
      <c r="BU5" s="188">
        <f>opex_orig!BL5</f>
        <v>0</v>
      </c>
      <c r="BV5" s="27">
        <f>opex_orig!BM5</f>
        <v>2.7029491260443198E-5</v>
      </c>
      <c r="BW5" s="27">
        <f>opex_orig!BN5</f>
        <v>1.34404858140836E-4</v>
      </c>
      <c r="BX5" s="27">
        <f>opex_orig!BO5</f>
        <v>1.7514496997939899E-5</v>
      </c>
      <c r="BY5" s="27">
        <f>opex_orig!BP5</f>
        <v>1.07024393829226E-4</v>
      </c>
      <c r="BZ5" s="27">
        <f>opex_orig!BQ5</f>
        <v>3.2927106211466703E-5</v>
      </c>
      <c r="CA5" s="27">
        <f>opex_orig!BR5</f>
        <v>1.1145424608715299E-6</v>
      </c>
      <c r="CB5" s="27">
        <f>opex_orig!BS5</f>
        <v>7.52960943890219E-5</v>
      </c>
      <c r="CC5" s="27">
        <f>opex_orig!BT5</f>
        <v>3.0969534561804899E-6</v>
      </c>
      <c r="CD5" s="27">
        <f>opex_orig!BU5</f>
        <v>9.4255485452580808E-6</v>
      </c>
      <c r="CE5" s="27">
        <f>opex_orig!BV5</f>
        <v>9.4255485452581096E-6</v>
      </c>
      <c r="CF5" s="27">
        <f>opex_orig!BW5</f>
        <v>2.4014948795505301E-5</v>
      </c>
      <c r="CG5" s="27">
        <f>opex_orig!BX5</f>
        <v>5.6662083579293398E-6</v>
      </c>
      <c r="CH5" s="27">
        <f>opex_orig!BY5</f>
        <v>4.9506988337283403E-5</v>
      </c>
      <c r="CI5" s="27">
        <f>opex_orig!BZ5</f>
        <v>6.9499999999999995E-5</v>
      </c>
      <c r="CJ5" s="27">
        <f>opex_orig!CA5</f>
        <v>2.5700000000000001E-5</v>
      </c>
      <c r="CK5" s="27">
        <f>opex_orig!CB5</f>
        <v>2.3499999999999999E-5</v>
      </c>
      <c r="CL5" s="27">
        <f>opex_orig!CC5</f>
        <v>1.63E-5</v>
      </c>
      <c r="CM5" s="27">
        <f>opex_orig!CD5</f>
        <v>6.7700000000000006E-5</v>
      </c>
      <c r="CN5" s="27">
        <f>opex_orig!CE5</f>
        <v>6.1600000000000007E-5</v>
      </c>
      <c r="CO5" s="27">
        <f>opex_orig!CF5</f>
        <v>1.17E-5</v>
      </c>
      <c r="CP5" s="27">
        <f>opex_orig!CG5</f>
        <v>5.02E-5</v>
      </c>
    </row>
    <row r="6" spans="1:94" x14ac:dyDescent="0.25">
      <c r="A6" s="5" t="s">
        <v>31</v>
      </c>
      <c r="B6" s="2" t="s">
        <v>30</v>
      </c>
      <c r="C6" s="1" t="s">
        <v>325</v>
      </c>
      <c r="D6" s="188">
        <f>opex_orig!D6</f>
        <v>5.3900000000000001E-6</v>
      </c>
      <c r="E6" s="188">
        <f>opex_orig!E6</f>
        <v>6.6000000000000003E-6</v>
      </c>
      <c r="F6" s="188">
        <f>opex_orig!F6</f>
        <v>2.2799999999999999E-5</v>
      </c>
      <c r="G6" s="188">
        <f>opex_orig!G6</f>
        <v>7.2900000000000003E-7</v>
      </c>
      <c r="H6" s="188">
        <f>opex_orig!H6</f>
        <v>8.7167596999999999E-2</v>
      </c>
      <c r="I6" s="188">
        <f>opex_orig!I6</f>
        <v>5.5999999999999997E-6</v>
      </c>
      <c r="J6" s="188">
        <f>opex_orig!J6</f>
        <v>5.8999999999999998E-5</v>
      </c>
      <c r="K6" s="188">
        <f>opex_orig!K6</f>
        <v>1.37E-6</v>
      </c>
      <c r="L6" s="188">
        <f>opex_orig!L6</f>
        <v>4.2637011000000002E-2</v>
      </c>
      <c r="M6" s="188">
        <f>opex_orig!M6</f>
        <v>1.3523300000000001E-4</v>
      </c>
      <c r="N6" s="188">
        <f>opex_orig!N6</f>
        <v>4.7779838999999998E-2</v>
      </c>
      <c r="O6" s="188">
        <f>opex_orig!O6</f>
        <v>5.2529499999999995E-4</v>
      </c>
      <c r="P6" s="188">
        <f>opex_orig!P6</f>
        <v>8.2000000000000001E-5</v>
      </c>
      <c r="Q6" s="188">
        <f>opex_orig!Q6</f>
        <v>1.1746700000000001E-4</v>
      </c>
      <c r="R6" s="188">
        <f>opex_orig!R6</f>
        <v>1.52E-5</v>
      </c>
      <c r="S6" s="188">
        <f>opex_orig!S6</f>
        <v>1.1800000000000001E-5</v>
      </c>
      <c r="T6" s="188">
        <f>opex_orig!T6</f>
        <v>7.3799999999999996E-6</v>
      </c>
      <c r="U6" s="188">
        <f>opex_orig!U6</f>
        <v>1.6500000000000001E-5</v>
      </c>
      <c r="V6" s="188">
        <f>opex_orig!V6</f>
        <v>1.42E-5</v>
      </c>
      <c r="W6" s="188">
        <f>opex_orig!W6</f>
        <v>5.5799999999999999E-6</v>
      </c>
      <c r="X6" s="188">
        <f>opex_orig!X6</f>
        <v>7.9400000000000002E-6</v>
      </c>
      <c r="Y6" s="188">
        <f>opex_orig!Y6</f>
        <v>1.4699999999999999E-6</v>
      </c>
      <c r="Z6" s="188">
        <f>opex_orig!Z6</f>
        <v>6.0136100000000002E-4</v>
      </c>
      <c r="AA6" s="188">
        <f>opex_orig!AA6</f>
        <v>6.9299999999999997E-6</v>
      </c>
      <c r="AB6" s="188">
        <f>opex_orig!$AB6</f>
        <v>1.9295825082987501E-3</v>
      </c>
      <c r="AC6" s="188">
        <f>opex_orig!$AB6</f>
        <v>1.9295825082987501E-3</v>
      </c>
      <c r="AD6" s="188">
        <f>opex_orig!$AB6</f>
        <v>1.9295825082987501E-3</v>
      </c>
      <c r="AE6" s="188">
        <f>opex_orig!$AC6</f>
        <v>1.03276120516338E-2</v>
      </c>
      <c r="AF6" s="188">
        <f>opex_orig!$AD6</f>
        <v>5.4057003692516903E-3</v>
      </c>
      <c r="AG6" s="188">
        <f>opex_orig!$AD6</f>
        <v>5.4057003692516903E-3</v>
      </c>
      <c r="AH6" s="188">
        <f>opex_orig!$AD6</f>
        <v>5.4057003692516903E-3</v>
      </c>
      <c r="AI6" s="188">
        <f>opex_orig!AE6</f>
        <v>5.6725090000000001E-3</v>
      </c>
      <c r="AJ6" s="188">
        <f>opex_orig!AF6</f>
        <v>3.9565829999999996E-3</v>
      </c>
      <c r="AK6" s="188">
        <f>opex_orig!AG6</f>
        <v>9.1400000000000006E-6</v>
      </c>
      <c r="AL6" s="188">
        <f>opex_orig!AH6</f>
        <v>1.1000000000000001E-6</v>
      </c>
      <c r="AM6" s="188">
        <f>opex_orig!AI6</f>
        <v>1.55E-6</v>
      </c>
      <c r="AN6" s="188">
        <f>opex_orig!AJ6</f>
        <v>1.7E-6</v>
      </c>
      <c r="AO6" s="188">
        <f>opex_orig!AK6</f>
        <v>2.08E-6</v>
      </c>
      <c r="AP6" s="188">
        <f>opex_orig!$AL6</f>
        <v>1.87170251141367E-6</v>
      </c>
      <c r="AQ6" s="188">
        <f>opex_orig!$AL6</f>
        <v>1.87170251141367E-6</v>
      </c>
      <c r="AR6" s="188">
        <f>opex_orig!$AL6</f>
        <v>1.87170251141367E-6</v>
      </c>
      <c r="AS6" s="188">
        <f>opex_orig!$AM6</f>
        <v>1.6159411099682499E-6</v>
      </c>
      <c r="AT6" s="188">
        <f>opex_orig!AN6</f>
        <v>1.9800000000000001E-6</v>
      </c>
      <c r="AU6" s="188">
        <f>opex_orig!$AO6</f>
        <v>1.9999439975512799E-6</v>
      </c>
      <c r="AV6" s="188">
        <f>opex_orig!$AO6</f>
        <v>1.9999439975512799E-6</v>
      </c>
      <c r="AW6" s="188">
        <f>opex_orig!$AO6</f>
        <v>1.9999439975512799E-6</v>
      </c>
      <c r="AX6" s="188">
        <f>opex_orig!$AP6</f>
        <v>2.4471023060981198E-6</v>
      </c>
      <c r="AY6" s="188">
        <f>opex_orig!AQ6</f>
        <v>3.5599999999999998E-6</v>
      </c>
      <c r="AZ6" s="188">
        <f>opex_orig!AR6</f>
        <v>0</v>
      </c>
      <c r="BA6" s="188">
        <f>opex_orig!AS6</f>
        <v>3.9500000000000003E-6</v>
      </c>
      <c r="BB6" s="188">
        <f>opex_orig!AT6</f>
        <v>3.1300000000000001E-6</v>
      </c>
      <c r="BC6" s="188">
        <f>opex_orig!AU6</f>
        <v>2.1299999999999999E-6</v>
      </c>
      <c r="BD6" s="188">
        <f>opex_orig!AV6</f>
        <v>1.1400000000000001E-6</v>
      </c>
      <c r="BE6" s="188">
        <f>opex_orig!AW6</f>
        <v>2.1399999999999998E-6</v>
      </c>
      <c r="BF6" s="188">
        <f>opex_orig!AX6</f>
        <v>0</v>
      </c>
      <c r="BG6" s="188">
        <f>opex_orig!AY6</f>
        <v>4.1899999999999997E-6</v>
      </c>
      <c r="BH6" s="188">
        <f>opex_orig!AZ6</f>
        <v>0</v>
      </c>
      <c r="BI6" s="188">
        <f>opex_orig!BA6</f>
        <v>2.0999999999999998E-6</v>
      </c>
      <c r="BJ6" s="188">
        <f>opex_orig!BB6</f>
        <v>8.78E-7</v>
      </c>
      <c r="BK6" s="188">
        <f>opex_orig!BC6</f>
        <v>2.6800000000000002E-6</v>
      </c>
      <c r="BL6" s="188">
        <f>opex_orig!BD6</f>
        <v>3.6899999999999998E-6</v>
      </c>
      <c r="BM6" s="188">
        <f>opex_orig!BE6</f>
        <v>2.0800000000000001E-5</v>
      </c>
      <c r="BN6" s="188">
        <f>opex_orig!BF6</f>
        <v>7.7000000000000008E-6</v>
      </c>
      <c r="BO6" s="188">
        <f>opex_orig!BG6</f>
        <v>5.3300000000000001E-5</v>
      </c>
      <c r="BP6" s="188">
        <f>opex_orig!$BH6</f>
        <v>2.6870260228513101E-6</v>
      </c>
      <c r="BQ6" s="188">
        <f>opex_orig!$BH6</f>
        <v>2.6870260228513101E-6</v>
      </c>
      <c r="BR6" s="188">
        <f>opex_orig!BI6</f>
        <v>2.7300000000000001E-6</v>
      </c>
      <c r="BS6" s="188">
        <f>opex_orig!BJ6</f>
        <v>1.9512800000000001E-4</v>
      </c>
      <c r="BT6" s="188">
        <f>opex_orig!BK6</f>
        <v>4.3272699999999999E-4</v>
      </c>
      <c r="BU6" s="188">
        <f>opex_orig!BL6</f>
        <v>0</v>
      </c>
      <c r="BV6" s="27">
        <f>opex_orig!BM6</f>
        <v>4.9947610782088204E-6</v>
      </c>
      <c r="BW6" s="27">
        <f>opex_orig!BN6</f>
        <v>1.0544534882370699E-5</v>
      </c>
      <c r="BX6" s="27">
        <f>opex_orig!BO6</f>
        <v>1.95910026709198E-6</v>
      </c>
      <c r="BY6" s="27">
        <f>opex_orig!BP6</f>
        <v>7.4302451879980997E-6</v>
      </c>
      <c r="BZ6" s="27">
        <f>opex_orig!BQ6</f>
        <v>5.7747763410687196E-6</v>
      </c>
      <c r="CA6" s="27">
        <f>opex_orig!BR6</f>
        <v>1.6831819767579501E-7</v>
      </c>
      <c r="CB6" s="27">
        <f>opex_orig!BS6</f>
        <v>1.10339496318347E-5</v>
      </c>
      <c r="CC6" s="27">
        <f>opex_orig!BT6</f>
        <v>8.52288166039791E-7</v>
      </c>
      <c r="CD6" s="27">
        <f>opex_orig!BU6</f>
        <v>2.6148531584017501E-6</v>
      </c>
      <c r="CE6" s="27">
        <f>opex_orig!BV6</f>
        <v>2.6148531584017599E-6</v>
      </c>
      <c r="CF6" s="27">
        <f>opex_orig!BW6</f>
        <v>1.3867375652559399E-6</v>
      </c>
      <c r="CG6" s="27">
        <f>opex_orig!BX6</f>
        <v>3.0910267754775402E-6</v>
      </c>
      <c r="CH6" s="27">
        <f>opex_orig!BY6</f>
        <v>4.8163447629127004E-6</v>
      </c>
      <c r="CI6" s="27">
        <f>opex_orig!BZ6</f>
        <v>5.7699999999999998E-6</v>
      </c>
      <c r="CJ6" s="27">
        <f>opex_orig!CA6</f>
        <v>3.36E-6</v>
      </c>
      <c r="CK6" s="27">
        <f>opex_orig!CB6</f>
        <v>3.2799999999999999E-6</v>
      </c>
      <c r="CL6" s="27">
        <f>opex_orig!CC6</f>
        <v>2.5500000000000001E-6</v>
      </c>
      <c r="CM6" s="27">
        <f>opex_orig!CD6</f>
        <v>6.4500000000000001E-6</v>
      </c>
      <c r="CN6" s="27">
        <f>opex_orig!CE6</f>
        <v>1.8190799999999999E-4</v>
      </c>
      <c r="CO6" s="27">
        <f>opex_orig!CF6</f>
        <v>3.2899999999999998E-6</v>
      </c>
      <c r="CP6" s="27">
        <f>opex_orig!CG6</f>
        <v>3.3799999999999998E-6</v>
      </c>
    </row>
    <row r="7" spans="1:94" x14ac:dyDescent="0.25">
      <c r="A7" s="5" t="s">
        <v>33</v>
      </c>
      <c r="B7" s="2" t="s">
        <v>32</v>
      </c>
      <c r="C7" s="1" t="s">
        <v>325</v>
      </c>
      <c r="D7" s="188">
        <f>opex_orig!D7</f>
        <v>2.6100000000000001E-5</v>
      </c>
      <c r="E7" s="188">
        <f>opex_orig!E7</f>
        <v>9.6900000000000004E-6</v>
      </c>
      <c r="F7" s="188">
        <f>opex_orig!F7</f>
        <v>2.05E-5</v>
      </c>
      <c r="G7" s="188">
        <f>opex_orig!G7</f>
        <v>8.8000000000000004E-7</v>
      </c>
      <c r="H7" s="188">
        <f>opex_orig!H7</f>
        <v>1.06E-6</v>
      </c>
      <c r="I7" s="188">
        <f>opex_orig!I7</f>
        <v>9.7599999999999997E-6</v>
      </c>
      <c r="J7" s="188">
        <f>opex_orig!J7</f>
        <v>4.9499999999999997E-5</v>
      </c>
      <c r="K7" s="188">
        <f>opex_orig!K7</f>
        <v>0.459987743</v>
      </c>
      <c r="L7" s="188">
        <f>opex_orig!L7</f>
        <v>5.4299999999999998E-5</v>
      </c>
      <c r="M7" s="188">
        <f>opex_orig!M7</f>
        <v>3.6999999999999998E-5</v>
      </c>
      <c r="N7" s="188">
        <f>opex_orig!N7</f>
        <v>1.059606E-3</v>
      </c>
      <c r="O7" s="188">
        <f>opex_orig!O7</f>
        <v>6.02E-5</v>
      </c>
      <c r="P7" s="188">
        <f>opex_orig!P7</f>
        <v>1.3699999999999999E-5</v>
      </c>
      <c r="Q7" s="188">
        <f>opex_orig!Q7</f>
        <v>3.3899999999999997E-5</v>
      </c>
      <c r="R7" s="188">
        <f>opex_orig!R7</f>
        <v>3.5200000000000002E-6</v>
      </c>
      <c r="S7" s="188">
        <f>opex_orig!S7</f>
        <v>5.7899999999999996E-6</v>
      </c>
      <c r="T7" s="188">
        <f>opex_orig!T7</f>
        <v>5.6099999999999997E-6</v>
      </c>
      <c r="U7" s="188">
        <f>opex_orig!U7</f>
        <v>1.19E-5</v>
      </c>
      <c r="V7" s="188">
        <f>opex_orig!V7</f>
        <v>1.326303E-3</v>
      </c>
      <c r="W7" s="188">
        <f>opex_orig!W7</f>
        <v>1.42473E-4</v>
      </c>
      <c r="X7" s="188">
        <f>opex_orig!X7</f>
        <v>5.2100000000000001E-6</v>
      </c>
      <c r="Y7" s="188">
        <f>opex_orig!Y7</f>
        <v>9.3600000000000002E-7</v>
      </c>
      <c r="Z7" s="188">
        <f>opex_orig!Z7</f>
        <v>1.4023599999999999E-4</v>
      </c>
      <c r="AA7" s="188">
        <f>opex_orig!AA7</f>
        <v>4.6199999999999998E-6</v>
      </c>
      <c r="AB7" s="188">
        <f>opex_orig!$AB7</f>
        <v>5.4961139789089296E-4</v>
      </c>
      <c r="AC7" s="188">
        <f>opex_orig!$AB7</f>
        <v>5.4961139789089296E-4</v>
      </c>
      <c r="AD7" s="188">
        <f>opex_orig!$AB7</f>
        <v>5.4961139789089296E-4</v>
      </c>
      <c r="AE7" s="188">
        <f>opex_orig!$AC7</f>
        <v>1.54751358076817E-5</v>
      </c>
      <c r="AF7" s="188">
        <f>opex_orig!$AD7</f>
        <v>1.05746440436805E-4</v>
      </c>
      <c r="AG7" s="188">
        <f>opex_orig!$AD7</f>
        <v>1.05746440436805E-4</v>
      </c>
      <c r="AH7" s="188">
        <f>opex_orig!$AD7</f>
        <v>1.05746440436805E-4</v>
      </c>
      <c r="AI7" s="188">
        <f>opex_orig!AE7</f>
        <v>1.1459E-4</v>
      </c>
      <c r="AJ7" s="188">
        <f>opex_orig!AF7</f>
        <v>8.3399999999999994E-5</v>
      </c>
      <c r="AK7" s="188">
        <f>opex_orig!AG7</f>
        <v>1.03E-5</v>
      </c>
      <c r="AL7" s="188">
        <f>opex_orig!AH7</f>
        <v>5.6899999999999997E-6</v>
      </c>
      <c r="AM7" s="188">
        <f>opex_orig!AI7</f>
        <v>3.0400000000000001E-6</v>
      </c>
      <c r="AN7" s="188">
        <f>opex_orig!AJ7</f>
        <v>2.96E-6</v>
      </c>
      <c r="AO7" s="188">
        <f>opex_orig!AK7</f>
        <v>3.2600000000000001E-6</v>
      </c>
      <c r="AP7" s="188">
        <f>opex_orig!$AL7</f>
        <v>3.7196890334302801E-6</v>
      </c>
      <c r="AQ7" s="188">
        <f>opex_orig!$AL7</f>
        <v>3.7196890334302801E-6</v>
      </c>
      <c r="AR7" s="188">
        <f>opex_orig!$AL7</f>
        <v>3.7196890334302801E-6</v>
      </c>
      <c r="AS7" s="188">
        <f>opex_orig!$AM7</f>
        <v>2.6377320507412798E-6</v>
      </c>
      <c r="AT7" s="188">
        <f>opex_orig!AN7</f>
        <v>3.6500000000000002E-6</v>
      </c>
      <c r="AU7" s="188">
        <f>opex_orig!$AO7</f>
        <v>1.43266590334269E-6</v>
      </c>
      <c r="AV7" s="188">
        <f>opex_orig!$AO7</f>
        <v>1.43266590334269E-6</v>
      </c>
      <c r="AW7" s="188">
        <f>opex_orig!$AO7</f>
        <v>1.43266590334269E-6</v>
      </c>
      <c r="AX7" s="188">
        <f>opex_orig!$AP7</f>
        <v>1.9078844683532999E-6</v>
      </c>
      <c r="AY7" s="188">
        <f>opex_orig!AQ7</f>
        <v>2.7999999999999999E-6</v>
      </c>
      <c r="AZ7" s="188">
        <f>opex_orig!AR7</f>
        <v>0</v>
      </c>
      <c r="BA7" s="188">
        <f>opex_orig!AS7</f>
        <v>3.98E-6</v>
      </c>
      <c r="BB7" s="188">
        <f>opex_orig!AT7</f>
        <v>3.1700000000000001E-6</v>
      </c>
      <c r="BC7" s="188">
        <f>opex_orig!AU7</f>
        <v>1.3599999999999999E-6</v>
      </c>
      <c r="BD7" s="188">
        <f>opex_orig!AV7</f>
        <v>6.61E-7</v>
      </c>
      <c r="BE7" s="188">
        <f>opex_orig!AW7</f>
        <v>1.61E-6</v>
      </c>
      <c r="BF7" s="188">
        <f>opex_orig!AX7</f>
        <v>0</v>
      </c>
      <c r="BG7" s="188">
        <f>opex_orig!AY7</f>
        <v>3.5599999999999998E-6</v>
      </c>
      <c r="BH7" s="188">
        <f>opex_orig!AZ7</f>
        <v>0</v>
      </c>
      <c r="BI7" s="188">
        <f>opex_orig!BA7</f>
        <v>1.7099999999999999E-6</v>
      </c>
      <c r="BJ7" s="188">
        <f>opex_orig!BB7</f>
        <v>2.65E-6</v>
      </c>
      <c r="BK7" s="188">
        <f>opex_orig!BC7</f>
        <v>4.1200000000000004E-6</v>
      </c>
      <c r="BL7" s="188">
        <f>opex_orig!BD7</f>
        <v>1.4699999999999999E-6</v>
      </c>
      <c r="BM7" s="188">
        <f>opex_orig!BE7</f>
        <v>3.7799999999999997E-5</v>
      </c>
      <c r="BN7" s="188">
        <f>opex_orig!BF7</f>
        <v>4.8600000000000002E-5</v>
      </c>
      <c r="BO7" s="188">
        <f>opex_orig!BG7</f>
        <v>9.8800000000000003E-5</v>
      </c>
      <c r="BP7" s="188">
        <f>opex_orig!$BH7</f>
        <v>2.20630357283205E-6</v>
      </c>
      <c r="BQ7" s="188">
        <f>opex_orig!$BH7</f>
        <v>2.20630357283205E-6</v>
      </c>
      <c r="BR7" s="188">
        <f>opex_orig!BI7</f>
        <v>2.4600000000000002E-6</v>
      </c>
      <c r="BS7" s="188">
        <f>opex_orig!BJ7</f>
        <v>5.8699999999999997E-5</v>
      </c>
      <c r="BT7" s="188">
        <f>opex_orig!BK7</f>
        <v>8.1945900000000003E-4</v>
      </c>
      <c r="BU7" s="188">
        <f>opex_orig!BL7</f>
        <v>0</v>
      </c>
      <c r="BV7" s="27">
        <f>opex_orig!BM7</f>
        <v>3.0062628985074001E-6</v>
      </c>
      <c r="BW7" s="27">
        <f>opex_orig!BN7</f>
        <v>8.4958291046238802E-6</v>
      </c>
      <c r="BX7" s="27">
        <f>opex_orig!BO7</f>
        <v>1.5028367101685401E-6</v>
      </c>
      <c r="BY7" s="27">
        <f>opex_orig!BP7</f>
        <v>6.0015416432402698E-6</v>
      </c>
      <c r="BZ7" s="27">
        <f>opex_orig!BQ7</f>
        <v>4.29964705279371E-6</v>
      </c>
      <c r="CA7" s="27">
        <f>opex_orig!BR7</f>
        <v>1.91207364275816E-7</v>
      </c>
      <c r="CB7" s="27">
        <f>opex_orig!BS7</f>
        <v>1.00610884072258E-5</v>
      </c>
      <c r="CC7" s="27">
        <f>opex_orig!BT7</f>
        <v>3.7374336664819197E-5</v>
      </c>
      <c r="CD7" s="27">
        <f>opex_orig!BU7</f>
        <v>1.6894299205273301E-6</v>
      </c>
      <c r="CE7" s="27">
        <f>opex_orig!BV7</f>
        <v>1.68942992052734E-6</v>
      </c>
      <c r="CF7" s="27">
        <f>opex_orig!BW7</f>
        <v>2.5534183777905799E-6</v>
      </c>
      <c r="CG7" s="27">
        <f>opex_orig!BX7</f>
        <v>4.9346653140120699E-6</v>
      </c>
      <c r="CH7" s="27">
        <f>opex_orig!BY7</f>
        <v>2.49407832468011E-6</v>
      </c>
      <c r="CI7" s="27">
        <f>opex_orig!BZ7</f>
        <v>3.9700000000000001E-6</v>
      </c>
      <c r="CJ7" s="27">
        <f>opex_orig!CA7</f>
        <v>2.3199999999999998E-6</v>
      </c>
      <c r="CK7" s="27">
        <f>opex_orig!CB7</f>
        <v>2.1299999999999999E-6</v>
      </c>
      <c r="CL7" s="27">
        <f>opex_orig!CC7</f>
        <v>1.73E-6</v>
      </c>
      <c r="CM7" s="27">
        <f>opex_orig!CD7</f>
        <v>4.8999999999999997E-6</v>
      </c>
      <c r="CN7" s="27">
        <f>opex_orig!CE7</f>
        <v>3.49332E-4</v>
      </c>
      <c r="CO7" s="27">
        <f>opex_orig!CF7</f>
        <v>1.63E-5</v>
      </c>
      <c r="CP7" s="27">
        <f>opex_orig!CG7</f>
        <v>4.34E-6</v>
      </c>
    </row>
    <row r="8" spans="1:94" x14ac:dyDescent="0.25">
      <c r="A8" s="5" t="s">
        <v>35</v>
      </c>
      <c r="B8" s="2" t="s">
        <v>34</v>
      </c>
      <c r="C8" s="1" t="s">
        <v>325</v>
      </c>
      <c r="D8" s="188">
        <f>opex_orig!D8</f>
        <v>8.6700000000000002E-7</v>
      </c>
      <c r="E8" s="188">
        <f>opex_orig!E8</f>
        <v>1.53E-6</v>
      </c>
      <c r="F8" s="188">
        <f>opex_orig!F8</f>
        <v>7.0099999999999998E-6</v>
      </c>
      <c r="G8" s="188">
        <f>opex_orig!G8</f>
        <v>4.3799999999999998E-7</v>
      </c>
      <c r="H8" s="188">
        <f>opex_orig!H8</f>
        <v>6.9299999999999997E-6</v>
      </c>
      <c r="I8" s="188">
        <f>opex_orig!I8</f>
        <v>9.1200000000000001E-7</v>
      </c>
      <c r="J8" s="188">
        <f>opex_orig!J8</f>
        <v>8.2400000000000007E-6</v>
      </c>
      <c r="K8" s="188">
        <f>opex_orig!K8</f>
        <v>2.62E-8</v>
      </c>
      <c r="L8" s="188">
        <f>opex_orig!L8</f>
        <v>1.5061E-4</v>
      </c>
      <c r="M8" s="188">
        <f>opex_orig!M8</f>
        <v>5.2499999999999997E-6</v>
      </c>
      <c r="N8" s="188">
        <f>opex_orig!N8</f>
        <v>2.5597E-4</v>
      </c>
      <c r="O8" s="188">
        <f>opex_orig!O8</f>
        <v>8.7100000000000003E-5</v>
      </c>
      <c r="P8" s="188">
        <f>opex_orig!P8</f>
        <v>7.2260900000000003E-4</v>
      </c>
      <c r="Q8" s="188">
        <f>opex_orig!Q8</f>
        <v>2.6900000000000001E-6</v>
      </c>
      <c r="R8" s="188">
        <f>opex_orig!R8</f>
        <v>2.1E-7</v>
      </c>
      <c r="S8" s="188">
        <f>opex_orig!S8</f>
        <v>4.2800000000000002E-7</v>
      </c>
      <c r="T8" s="188">
        <f>opex_orig!T8</f>
        <v>3.1699999999999999E-7</v>
      </c>
      <c r="U8" s="188">
        <f>opex_orig!U8</f>
        <v>2.1299999999999999E-7</v>
      </c>
      <c r="V8" s="188">
        <f>opex_orig!V8</f>
        <v>2.5699999999999999E-7</v>
      </c>
      <c r="W8" s="188">
        <f>opex_orig!W8</f>
        <v>2.3900000000000001E-7</v>
      </c>
      <c r="X8" s="188">
        <f>opex_orig!X8</f>
        <v>9.3299999999999995E-8</v>
      </c>
      <c r="Y8" s="188">
        <f>opex_orig!Y8</f>
        <v>2.1500000000000001E-8</v>
      </c>
      <c r="Z8" s="188">
        <f>opex_orig!Z8</f>
        <v>7.0500000000000003E-8</v>
      </c>
      <c r="AA8" s="188">
        <f>opex_orig!AA8</f>
        <v>1.4000000000000001E-7</v>
      </c>
      <c r="AB8" s="188">
        <f>opex_orig!$AB8</f>
        <v>1.75606128250703E-5</v>
      </c>
      <c r="AC8" s="188">
        <f>opex_orig!$AB8</f>
        <v>1.75606128250703E-5</v>
      </c>
      <c r="AD8" s="188">
        <f>opex_orig!$AB8</f>
        <v>1.75606128250703E-5</v>
      </c>
      <c r="AE8" s="188">
        <f>opex_orig!$AC8</f>
        <v>2.5198025670741999E-5</v>
      </c>
      <c r="AF8" s="188">
        <f>opex_orig!$AD8</f>
        <v>1.2237764747378399E-5</v>
      </c>
      <c r="AG8" s="188">
        <f>opex_orig!$AD8</f>
        <v>1.2237764747378399E-5</v>
      </c>
      <c r="AH8" s="188">
        <f>opex_orig!$AD8</f>
        <v>1.2237764747378399E-5</v>
      </c>
      <c r="AI8" s="188">
        <f>opex_orig!AE8</f>
        <v>1.1800000000000001E-5</v>
      </c>
      <c r="AJ8" s="188">
        <f>opex_orig!AF8</f>
        <v>1.15E-5</v>
      </c>
      <c r="AK8" s="188">
        <f>opex_orig!AG8</f>
        <v>9.1100000000000004E-7</v>
      </c>
      <c r="AL8" s="188">
        <f>opex_orig!AH8</f>
        <v>3.3599999999999999E-7</v>
      </c>
      <c r="AM8" s="188">
        <f>opex_orig!AI8</f>
        <v>5.4899999999999995E-7</v>
      </c>
      <c r="AN8" s="188">
        <f>opex_orig!AJ8</f>
        <v>1.2700000000000001E-7</v>
      </c>
      <c r="AO8" s="188">
        <f>opex_orig!AK8</f>
        <v>5.3300000000000002E-7</v>
      </c>
      <c r="AP8" s="188">
        <f>opex_orig!$AL8</f>
        <v>3.4898193225122803E-7</v>
      </c>
      <c r="AQ8" s="188">
        <f>opex_orig!$AL8</f>
        <v>3.4898193225122803E-7</v>
      </c>
      <c r="AR8" s="188">
        <f>opex_orig!$AL8</f>
        <v>3.4898193225122803E-7</v>
      </c>
      <c r="AS8" s="188">
        <f>opex_orig!$AM8</f>
        <v>4.0234554027215903E-8</v>
      </c>
      <c r="AT8" s="188">
        <f>opex_orig!AN8</f>
        <v>1.33E-6</v>
      </c>
      <c r="AU8" s="188">
        <f>opex_orig!$AO8</f>
        <v>7.3040998371177704E-8</v>
      </c>
      <c r="AV8" s="188">
        <f>opex_orig!$AO8</f>
        <v>7.3040998371177704E-8</v>
      </c>
      <c r="AW8" s="188">
        <f>opex_orig!$AO8</f>
        <v>7.3040998371177704E-8</v>
      </c>
      <c r="AX8" s="188">
        <f>opex_orig!$AP8</f>
        <v>7.5418212669092298E-8</v>
      </c>
      <c r="AY8" s="188">
        <f>opex_orig!AQ8</f>
        <v>1.3899999999999999E-7</v>
      </c>
      <c r="AZ8" s="188">
        <f>opex_orig!AR8</f>
        <v>0</v>
      </c>
      <c r="BA8" s="188">
        <f>opex_orig!AS8</f>
        <v>2.11E-7</v>
      </c>
      <c r="BB8" s="188">
        <f>opex_orig!AT8</f>
        <v>1.8199999999999999E-7</v>
      </c>
      <c r="BC8" s="188">
        <f>opex_orig!AU8</f>
        <v>1.89E-8</v>
      </c>
      <c r="BD8" s="188">
        <f>opex_orig!AV8</f>
        <v>1.59E-8</v>
      </c>
      <c r="BE8" s="188">
        <f>opex_orig!AW8</f>
        <v>5.2299999999999998E-8</v>
      </c>
      <c r="BF8" s="188">
        <f>opex_orig!AX8</f>
        <v>0</v>
      </c>
      <c r="BG8" s="188">
        <f>opex_orig!AY8</f>
        <v>1.61E-7</v>
      </c>
      <c r="BH8" s="188">
        <f>opex_orig!AZ8</f>
        <v>0</v>
      </c>
      <c r="BI8" s="188">
        <f>opex_orig!BA8</f>
        <v>9.1300000000000004E-8</v>
      </c>
      <c r="BJ8" s="188">
        <f>opex_orig!BB8</f>
        <v>4.14E-8</v>
      </c>
      <c r="BK8" s="188">
        <f>opex_orig!BC8</f>
        <v>1.1600000000000001E-7</v>
      </c>
      <c r="BL8" s="188">
        <f>opex_orig!BD8</f>
        <v>1.24E-7</v>
      </c>
      <c r="BM8" s="188">
        <f>opex_orig!BE8</f>
        <v>9.2699999999999998E-7</v>
      </c>
      <c r="BN8" s="188">
        <f>opex_orig!BF8</f>
        <v>9.7800000000000002E-8</v>
      </c>
      <c r="BO8" s="188">
        <f>opex_orig!BG8</f>
        <v>2.6400000000000001E-6</v>
      </c>
      <c r="BP8" s="188">
        <f>opex_orig!$BH8</f>
        <v>7.7032511048254499E-8</v>
      </c>
      <c r="BQ8" s="188">
        <f>opex_orig!$BH8</f>
        <v>7.7032511048254499E-8</v>
      </c>
      <c r="BR8" s="188">
        <f>opex_orig!BI8</f>
        <v>9.2399999999999994E-8</v>
      </c>
      <c r="BS8" s="188">
        <f>opex_orig!BJ8</f>
        <v>3.0499999999999999E-7</v>
      </c>
      <c r="BT8" s="188">
        <f>opex_orig!BK8</f>
        <v>2.0299999999999999E-5</v>
      </c>
      <c r="BU8" s="188">
        <f>opex_orig!BL8</f>
        <v>0</v>
      </c>
      <c r="BV8" s="27">
        <f>opex_orig!BM8</f>
        <v>1.0555221273605E-7</v>
      </c>
      <c r="BW8" s="27">
        <f>opex_orig!BN8</f>
        <v>3.6737280402816802E-7</v>
      </c>
      <c r="BX8" s="27">
        <f>opex_orig!BO8</f>
        <v>3.2161222639475197E-8</v>
      </c>
      <c r="BY8" s="27">
        <f>opex_orig!BP8</f>
        <v>8.5694378812688495E-8</v>
      </c>
      <c r="BZ8" s="27">
        <f>opex_orig!BQ8</f>
        <v>9.1905614577162498E-8</v>
      </c>
      <c r="CA8" s="27">
        <f>opex_orig!BR8</f>
        <v>4.0688750127938799E-9</v>
      </c>
      <c r="CB8" s="27">
        <f>opex_orig!BS8</f>
        <v>3.7461556278706799E-7</v>
      </c>
      <c r="CC8" s="27">
        <f>opex_orig!BT8</f>
        <v>2.30770657486689E-8</v>
      </c>
      <c r="CD8" s="27">
        <f>opex_orig!BU8</f>
        <v>3.3939728049769503E-8</v>
      </c>
      <c r="CE8" s="27">
        <f>opex_orig!BV8</f>
        <v>3.3939728049769602E-8</v>
      </c>
      <c r="CF8" s="27">
        <f>opex_orig!BW8</f>
        <v>8.8459240977324305E-8</v>
      </c>
      <c r="CG8" s="27">
        <f>opex_orig!BX8</f>
        <v>1.55624417851064E-7</v>
      </c>
      <c r="CH8" s="27">
        <f>opex_orig!BY8</f>
        <v>1.52892156164356E-8</v>
      </c>
      <c r="CI8" s="27">
        <f>opex_orig!BZ8</f>
        <v>7.8600000000000002E-8</v>
      </c>
      <c r="CJ8" s="27">
        <f>opex_orig!CA8</f>
        <v>5.39E-8</v>
      </c>
      <c r="CK8" s="27">
        <f>opex_orig!CB8</f>
        <v>6.1700000000000003E-8</v>
      </c>
      <c r="CL8" s="27">
        <f>opex_orig!CC8</f>
        <v>5.4200000000000002E-8</v>
      </c>
      <c r="CM8" s="27">
        <f>opex_orig!CD8</f>
        <v>4.2800000000000002E-7</v>
      </c>
      <c r="CN8" s="27">
        <f>opex_orig!CE8</f>
        <v>8.5199999999999997E-6</v>
      </c>
      <c r="CO8" s="27">
        <f>opex_orig!CF8</f>
        <v>2.9900000000000002E-7</v>
      </c>
      <c r="CP8" s="27">
        <f>opex_orig!CG8</f>
        <v>4.6700000000000001E-8</v>
      </c>
    </row>
    <row r="9" spans="1:94" x14ac:dyDescent="0.25">
      <c r="A9" s="5" t="s">
        <v>37</v>
      </c>
      <c r="B9" s="2" t="s">
        <v>36</v>
      </c>
      <c r="C9" s="1" t="s">
        <v>325</v>
      </c>
      <c r="D9" s="188">
        <f>opex_orig!D9</f>
        <v>1.7099999999999999E-5</v>
      </c>
      <c r="E9" s="188">
        <f>opex_orig!E9</f>
        <v>2.19E-5</v>
      </c>
      <c r="F9" s="188">
        <f>opex_orig!F9</f>
        <v>5.02E-5</v>
      </c>
      <c r="G9" s="188">
        <f>opex_orig!G9</f>
        <v>5.48E-6</v>
      </c>
      <c r="H9" s="188">
        <f>opex_orig!H9</f>
        <v>1.5500000000000001E-5</v>
      </c>
      <c r="I9" s="188">
        <f>opex_orig!I9</f>
        <v>2.2399999999999999E-5</v>
      </c>
      <c r="J9" s="188">
        <f>opex_orig!J9</f>
        <v>5.41E-5</v>
      </c>
      <c r="K9" s="188">
        <f>opex_orig!K9</f>
        <v>1.6799999999999998E-5</v>
      </c>
      <c r="L9" s="188">
        <f>opex_orig!L9</f>
        <v>3.4660429999999998E-3</v>
      </c>
      <c r="M9" s="188">
        <f>opex_orig!M9</f>
        <v>3.5306619999999999E-3</v>
      </c>
      <c r="N9" s="188">
        <f>opex_orig!N9</f>
        <v>5.7242170000000002E-3</v>
      </c>
      <c r="O9" s="188">
        <f>opex_orig!O9</f>
        <v>7.9365669999999999E-2</v>
      </c>
      <c r="P9" s="188">
        <f>opex_orig!P9</f>
        <v>1.2195546E-2</v>
      </c>
      <c r="Q9" s="188">
        <f>opex_orig!Q9</f>
        <v>1.9171100000000001E-4</v>
      </c>
      <c r="R9" s="188">
        <f>opex_orig!R9</f>
        <v>1.2836299999999999E-4</v>
      </c>
      <c r="S9" s="188">
        <f>opex_orig!S9</f>
        <v>8.53E-5</v>
      </c>
      <c r="T9" s="188">
        <f>opex_orig!T9</f>
        <v>3.3699999999999999E-5</v>
      </c>
      <c r="U9" s="188">
        <f>opex_orig!U9</f>
        <v>4.6900000000000002E-5</v>
      </c>
      <c r="V9" s="188">
        <f>opex_orig!V9</f>
        <v>2.7800000000000001E-5</v>
      </c>
      <c r="W9" s="188">
        <f>opex_orig!W9</f>
        <v>2.3200000000000001E-5</v>
      </c>
      <c r="X9" s="188">
        <f>opex_orig!X9</f>
        <v>1.9599999999999999E-5</v>
      </c>
      <c r="Y9" s="188">
        <f>opex_orig!Y9</f>
        <v>1.6399999999999999E-5</v>
      </c>
      <c r="Z9" s="188">
        <f>opex_orig!Z9</f>
        <v>1.6399999999999999E-5</v>
      </c>
      <c r="AA9" s="188">
        <f>opex_orig!AA9</f>
        <v>5.91E-5</v>
      </c>
      <c r="AB9" s="188">
        <f>opex_orig!$AB9</f>
        <v>6.8300018472459002E-5</v>
      </c>
      <c r="AC9" s="188">
        <f>opex_orig!$AB9</f>
        <v>6.8300018472459002E-5</v>
      </c>
      <c r="AD9" s="188">
        <f>opex_orig!$AB9</f>
        <v>6.8300018472459002E-5</v>
      </c>
      <c r="AE9" s="188">
        <f>opex_orig!$AC9</f>
        <v>7.9347477517161804E-4</v>
      </c>
      <c r="AF9" s="188">
        <f>opex_orig!$AD9</f>
        <v>2.6895197862001301E-4</v>
      </c>
      <c r="AG9" s="188">
        <f>opex_orig!$AD9</f>
        <v>2.6895197862001301E-4</v>
      </c>
      <c r="AH9" s="188">
        <f>opex_orig!$AD9</f>
        <v>2.6895197862001301E-4</v>
      </c>
      <c r="AI9" s="188">
        <f>opex_orig!AE9</f>
        <v>1.5848500000000001E-4</v>
      </c>
      <c r="AJ9" s="188">
        <f>opex_orig!AF9</f>
        <v>3.86785E-4</v>
      </c>
      <c r="AK9" s="188">
        <f>opex_orig!AG9</f>
        <v>1.8700000000000001E-5</v>
      </c>
      <c r="AL9" s="188">
        <f>opex_orig!AH9</f>
        <v>2.0800000000000001E-5</v>
      </c>
      <c r="AM9" s="188">
        <f>opex_orig!AI9</f>
        <v>3.3300000000000003E-5</v>
      </c>
      <c r="AN9" s="188">
        <f>opex_orig!AJ9</f>
        <v>1.4800000000000001E-5</v>
      </c>
      <c r="AO9" s="188">
        <f>opex_orig!AK9</f>
        <v>3.7599999999999999E-5</v>
      </c>
      <c r="AP9" s="188">
        <f>opex_orig!$AL9</f>
        <v>2.1780617985482599E-5</v>
      </c>
      <c r="AQ9" s="188">
        <f>opex_orig!$AL9</f>
        <v>2.1780617985482599E-5</v>
      </c>
      <c r="AR9" s="188">
        <f>opex_orig!$AL9</f>
        <v>2.1780617985482599E-5</v>
      </c>
      <c r="AS9" s="188">
        <f>opex_orig!$AM9</f>
        <v>2.77916238542939E-5</v>
      </c>
      <c r="AT9" s="188">
        <f>opex_orig!AN9</f>
        <v>5.8600000000000001E-5</v>
      </c>
      <c r="AU9" s="188">
        <f>opex_orig!$AO9</f>
        <v>1.31731680429376E-5</v>
      </c>
      <c r="AV9" s="188">
        <f>opex_orig!$AO9</f>
        <v>1.31731680429376E-5</v>
      </c>
      <c r="AW9" s="188">
        <f>opex_orig!$AO9</f>
        <v>1.31731680429376E-5</v>
      </c>
      <c r="AX9" s="188">
        <f>opex_orig!$AP9</f>
        <v>2.08574421188413E-5</v>
      </c>
      <c r="AY9" s="188">
        <f>opex_orig!AQ9</f>
        <v>2.6999999999999999E-5</v>
      </c>
      <c r="AZ9" s="188">
        <f>opex_orig!AR9</f>
        <v>0</v>
      </c>
      <c r="BA9" s="188">
        <f>opex_orig!AS9</f>
        <v>2.1399999999999998E-5</v>
      </c>
      <c r="BB9" s="188">
        <f>opex_orig!AT9</f>
        <v>1.6799999999999998E-5</v>
      </c>
      <c r="BC9" s="188">
        <f>opex_orig!AU9</f>
        <v>1.2799999999999999E-5</v>
      </c>
      <c r="BD9" s="188">
        <f>opex_orig!AV9</f>
        <v>9.9499999999999996E-6</v>
      </c>
      <c r="BE9" s="188">
        <f>opex_orig!AW9</f>
        <v>1.8700000000000001E-5</v>
      </c>
      <c r="BF9" s="188">
        <f>opex_orig!AX9</f>
        <v>0</v>
      </c>
      <c r="BG9" s="188">
        <f>opex_orig!AY9</f>
        <v>5.3999999999999998E-5</v>
      </c>
      <c r="BH9" s="188">
        <f>opex_orig!AZ9</f>
        <v>0</v>
      </c>
      <c r="BI9" s="188">
        <f>opex_orig!BA9</f>
        <v>1.5800000000000001E-5</v>
      </c>
      <c r="BJ9" s="188">
        <f>opex_orig!BB9</f>
        <v>1.5099999999999999E-5</v>
      </c>
      <c r="BK9" s="188">
        <f>opex_orig!BC9</f>
        <v>1.5500000000000001E-5</v>
      </c>
      <c r="BL9" s="188">
        <f>opex_orig!BD9</f>
        <v>1.66E-5</v>
      </c>
      <c r="BM9" s="188">
        <f>opex_orig!BE9</f>
        <v>1.22E-5</v>
      </c>
      <c r="BN9" s="188">
        <f>opex_orig!BF9</f>
        <v>1.5400000000000002E-5</v>
      </c>
      <c r="BO9" s="188">
        <f>opex_orig!BG9</f>
        <v>2.2399999999999999E-5</v>
      </c>
      <c r="BP9" s="188">
        <f>opex_orig!$BH9</f>
        <v>1.5694151735061099E-5</v>
      </c>
      <c r="BQ9" s="188">
        <f>opex_orig!$BH9</f>
        <v>1.5694151735061099E-5</v>
      </c>
      <c r="BR9" s="188">
        <f>opex_orig!BI9</f>
        <v>9.9000000000000001E-6</v>
      </c>
      <c r="BS9" s="188">
        <f>opex_orig!BJ9</f>
        <v>9.8700000000000004E-6</v>
      </c>
      <c r="BT9" s="188">
        <f>opex_orig!BK9</f>
        <v>3.7499999999999997E-5</v>
      </c>
      <c r="BU9" s="188">
        <f>opex_orig!BL9</f>
        <v>0</v>
      </c>
      <c r="BV9" s="27">
        <f>opex_orig!BM9</f>
        <v>4.0475561448742303E-5</v>
      </c>
      <c r="BW9" s="27">
        <f>opex_orig!BN9</f>
        <v>1.99757728456767E-4</v>
      </c>
      <c r="BX9" s="27">
        <f>opex_orig!BO9</f>
        <v>7.9562447175385305E-6</v>
      </c>
      <c r="BY9" s="27">
        <f>opex_orig!BP9</f>
        <v>2.5729757899980798E-5</v>
      </c>
      <c r="BZ9" s="27">
        <f>opex_orig!BQ9</f>
        <v>1.7798462658515301E-5</v>
      </c>
      <c r="CA9" s="27">
        <f>opex_orig!BR9</f>
        <v>9.8027025201533409E-7</v>
      </c>
      <c r="CB9" s="27">
        <f>opex_orig!BS9</f>
        <v>1.21667092573394E-4</v>
      </c>
      <c r="CC9" s="27">
        <f>opex_orig!BT9</f>
        <v>6.8333262620606603E-6</v>
      </c>
      <c r="CD9" s="27">
        <f>opex_orig!BU9</f>
        <v>7.7966844605378704E-6</v>
      </c>
      <c r="CE9" s="27">
        <f>opex_orig!BV9</f>
        <v>7.7966844605378805E-6</v>
      </c>
      <c r="CF9" s="27">
        <f>opex_orig!BW9</f>
        <v>5.0074867288667003E-6</v>
      </c>
      <c r="CG9" s="27">
        <f>opex_orig!BX9</f>
        <v>4.2602464618092303E-7</v>
      </c>
      <c r="CH9" s="27">
        <f>opex_orig!BY9</f>
        <v>2.1268313759980102E-5</v>
      </c>
      <c r="CI9" s="27">
        <f>opex_orig!BZ9</f>
        <v>4.88E-5</v>
      </c>
      <c r="CJ9" s="27">
        <f>opex_orig!CA9</f>
        <v>1.6900000000000001E-5</v>
      </c>
      <c r="CK9" s="27">
        <f>opex_orig!CB9</f>
        <v>1.3699999999999999E-5</v>
      </c>
      <c r="CL9" s="27">
        <f>opex_orig!CC9</f>
        <v>7.1500000000000002E-6</v>
      </c>
      <c r="CM9" s="27">
        <f>opex_orig!CD9</f>
        <v>2.0667E-4</v>
      </c>
      <c r="CN9" s="27">
        <f>opex_orig!CE9</f>
        <v>2.0299999999999999E-5</v>
      </c>
      <c r="CO9" s="27">
        <f>opex_orig!CF9</f>
        <v>4.18E-5</v>
      </c>
      <c r="CP9" s="27">
        <f>opex_orig!CG9</f>
        <v>1.22E-5</v>
      </c>
    </row>
    <row r="10" spans="1:94" x14ac:dyDescent="0.25">
      <c r="A10" s="5" t="s">
        <v>39</v>
      </c>
      <c r="B10" s="2" t="s">
        <v>38</v>
      </c>
      <c r="C10" s="1" t="s">
        <v>325</v>
      </c>
      <c r="D10" s="188">
        <f>opex_orig!D10</f>
        <v>0.30680001499999998</v>
      </c>
      <c r="E10" s="188">
        <f>opex_orig!E10</f>
        <v>1.8700000000000001E-5</v>
      </c>
      <c r="F10" s="188">
        <f>opex_orig!F10</f>
        <v>4.57E-5</v>
      </c>
      <c r="G10" s="188">
        <f>opex_orig!G10</f>
        <v>5.804877E-3</v>
      </c>
      <c r="H10" s="188">
        <f>opex_orig!H10</f>
        <v>1.1999999999999999E-6</v>
      </c>
      <c r="I10" s="188">
        <f>opex_orig!I10</f>
        <v>1.7759949000000001E-2</v>
      </c>
      <c r="J10" s="188">
        <f>opex_orig!J10</f>
        <v>2.5000000000000001E-5</v>
      </c>
      <c r="K10" s="188">
        <f>opex_orig!K10</f>
        <v>1.22E-6</v>
      </c>
      <c r="L10" s="188">
        <f>opex_orig!L10</f>
        <v>1.3591231E-2</v>
      </c>
      <c r="M10" s="188">
        <f>opex_orig!M10</f>
        <v>5.4345499999999998E-4</v>
      </c>
      <c r="N10" s="188">
        <f>opex_orig!N10</f>
        <v>1.8597507999999999E-2</v>
      </c>
      <c r="O10" s="188">
        <f>opex_orig!O10</f>
        <v>1.381712E-3</v>
      </c>
      <c r="P10" s="188">
        <f>opex_orig!P10</f>
        <v>2.0892799999999999E-4</v>
      </c>
      <c r="Q10" s="188">
        <f>opex_orig!Q10</f>
        <v>8.1899999999999999E-5</v>
      </c>
      <c r="R10" s="188">
        <f>opex_orig!R10</f>
        <v>6.3488709999999999E-3</v>
      </c>
      <c r="S10" s="188">
        <f>opex_orig!S10</f>
        <v>1.15E-5</v>
      </c>
      <c r="T10" s="188">
        <f>opex_orig!T10</f>
        <v>9.38E-6</v>
      </c>
      <c r="U10" s="188">
        <f>opex_orig!U10</f>
        <v>1.08E-5</v>
      </c>
      <c r="V10" s="188">
        <f>opex_orig!V10</f>
        <v>1.2E-5</v>
      </c>
      <c r="W10" s="188">
        <f>opex_orig!W10</f>
        <v>5.0699999999999997E-6</v>
      </c>
      <c r="X10" s="188">
        <f>opex_orig!X10</f>
        <v>1.3900000000000001E-5</v>
      </c>
      <c r="Y10" s="188">
        <f>opex_orig!Y10</f>
        <v>2.2400000000000002E-6</v>
      </c>
      <c r="Z10" s="188">
        <f>opex_orig!Z10</f>
        <v>3.6814600000000002E-4</v>
      </c>
      <c r="AA10" s="188">
        <f>opex_orig!AA10</f>
        <v>6.4699999999999999E-6</v>
      </c>
      <c r="AB10" s="188">
        <f>opex_orig!$AB10</f>
        <v>1.5051218643121999E-4</v>
      </c>
      <c r="AC10" s="188">
        <f>opex_orig!$AB10</f>
        <v>1.5051218643121999E-4</v>
      </c>
      <c r="AD10" s="188">
        <f>opex_orig!$AB10</f>
        <v>1.5051218643121999E-4</v>
      </c>
      <c r="AE10" s="188">
        <f>opex_orig!$AC10</f>
        <v>2.9685817651921899E-5</v>
      </c>
      <c r="AF10" s="188">
        <f>opex_orig!$AD10</f>
        <v>3.9248443445086702E-5</v>
      </c>
      <c r="AG10" s="188">
        <f>opex_orig!$AD10</f>
        <v>3.9248443445086702E-5</v>
      </c>
      <c r="AH10" s="188">
        <f>opex_orig!$AD10</f>
        <v>3.9248443445086702E-5</v>
      </c>
      <c r="AI10" s="188">
        <f>opex_orig!AE10</f>
        <v>3.8999999999999999E-5</v>
      </c>
      <c r="AJ10" s="188">
        <f>opex_orig!AF10</f>
        <v>4.2500000000000003E-5</v>
      </c>
      <c r="AK10" s="188">
        <f>opex_orig!AG10</f>
        <v>7.5700000000000004E-6</v>
      </c>
      <c r="AL10" s="188">
        <f>opex_orig!AH10</f>
        <v>2.76E-5</v>
      </c>
      <c r="AM10" s="188">
        <f>opex_orig!AI10</f>
        <v>6.6000000000000003E-6</v>
      </c>
      <c r="AN10" s="188">
        <f>opex_orig!AJ10</f>
        <v>1.01E-5</v>
      </c>
      <c r="AO10" s="188">
        <f>opex_orig!AK10</f>
        <v>1.26E-5</v>
      </c>
      <c r="AP10" s="188">
        <f>opex_orig!$AL10</f>
        <v>6.5707614208099398E-6</v>
      </c>
      <c r="AQ10" s="188">
        <f>opex_orig!$AL10</f>
        <v>6.5707614208099398E-6</v>
      </c>
      <c r="AR10" s="188">
        <f>opex_orig!$AL10</f>
        <v>6.5707614208099398E-6</v>
      </c>
      <c r="AS10" s="188">
        <f>opex_orig!$AM10</f>
        <v>5.7284523888278197E-6</v>
      </c>
      <c r="AT10" s="188">
        <f>opex_orig!AN10</f>
        <v>1.15E-5</v>
      </c>
      <c r="AU10" s="188">
        <f>opex_orig!$AO10</f>
        <v>2.5104817050889702E-6</v>
      </c>
      <c r="AV10" s="188">
        <f>opex_orig!$AO10</f>
        <v>2.5104817050889702E-6</v>
      </c>
      <c r="AW10" s="188">
        <f>opex_orig!$AO10</f>
        <v>2.5104817050889702E-6</v>
      </c>
      <c r="AX10" s="188">
        <f>opex_orig!$AP10</f>
        <v>3.0537104704655202E-6</v>
      </c>
      <c r="AY10" s="188">
        <f>opex_orig!AQ10</f>
        <v>3.9500000000000003E-6</v>
      </c>
      <c r="AZ10" s="188">
        <f>opex_orig!AR10</f>
        <v>0</v>
      </c>
      <c r="BA10" s="188">
        <f>opex_orig!AS10</f>
        <v>4.8099999999999997E-6</v>
      </c>
      <c r="BB10" s="188">
        <f>opex_orig!AT10</f>
        <v>4.3000000000000003E-6</v>
      </c>
      <c r="BC10" s="188">
        <f>opex_orig!AU10</f>
        <v>2.1500000000000002E-6</v>
      </c>
      <c r="BD10" s="188">
        <f>opex_orig!AV10</f>
        <v>1.0499999999999999E-6</v>
      </c>
      <c r="BE10" s="188">
        <f>opex_orig!AW10</f>
        <v>2.3199999999999998E-6</v>
      </c>
      <c r="BF10" s="188">
        <f>opex_orig!AX10</f>
        <v>0</v>
      </c>
      <c r="BG10" s="188">
        <f>opex_orig!AY10</f>
        <v>4.0600000000000001E-6</v>
      </c>
      <c r="BH10" s="188">
        <f>opex_orig!AZ10</f>
        <v>0</v>
      </c>
      <c r="BI10" s="188">
        <f>opex_orig!BA10</f>
        <v>3.2600000000000001E-6</v>
      </c>
      <c r="BJ10" s="188">
        <f>opex_orig!BB10</f>
        <v>4.3599999999999998E-6</v>
      </c>
      <c r="BK10" s="188">
        <f>opex_orig!BC10</f>
        <v>4.5199999999999999E-6</v>
      </c>
      <c r="BL10" s="188">
        <f>opex_orig!BD10</f>
        <v>3.0599999999999999E-6</v>
      </c>
      <c r="BM10" s="188">
        <f>opex_orig!BE10</f>
        <v>1.1800000000000001E-5</v>
      </c>
      <c r="BN10" s="188">
        <f>opex_orig!BF10</f>
        <v>3.0199999999999999E-6</v>
      </c>
      <c r="BO10" s="188">
        <f>opex_orig!BG10</f>
        <v>2.62E-5</v>
      </c>
      <c r="BP10" s="188">
        <f>opex_orig!$BH10</f>
        <v>2.8237569616865799E-6</v>
      </c>
      <c r="BQ10" s="188">
        <f>opex_orig!$BH10</f>
        <v>2.8237569616865799E-6</v>
      </c>
      <c r="BR10" s="188">
        <f>opex_orig!BI10</f>
        <v>4.6199999999999998E-6</v>
      </c>
      <c r="BS10" s="188">
        <f>opex_orig!BJ10</f>
        <v>1.2291599999999999E-4</v>
      </c>
      <c r="BT10" s="188">
        <f>opex_orig!BK10</f>
        <v>1.9084399999999999E-4</v>
      </c>
      <c r="BU10" s="188">
        <f>opex_orig!BL10</f>
        <v>0</v>
      </c>
      <c r="BV10" s="27">
        <f>opex_orig!BM10</f>
        <v>5.7486924260052897E-6</v>
      </c>
      <c r="BW10" s="27">
        <f>opex_orig!BN10</f>
        <v>1.1281052135699199E-5</v>
      </c>
      <c r="BX10" s="27">
        <f>opex_orig!BO10</f>
        <v>2.52563232342309E-6</v>
      </c>
      <c r="BY10" s="27">
        <f>opex_orig!BP10</f>
        <v>6.8244168730467096E-6</v>
      </c>
      <c r="BZ10" s="27">
        <f>opex_orig!BQ10</f>
        <v>4.5174781901651801E-6</v>
      </c>
      <c r="CA10" s="27">
        <f>opex_orig!BR10</f>
        <v>2.4691803696459298E-7</v>
      </c>
      <c r="CB10" s="27">
        <f>opex_orig!BS10</f>
        <v>9.8477740930591592E-6</v>
      </c>
      <c r="CC10" s="27">
        <f>opex_orig!BT10</f>
        <v>9.8489023406946605E-7</v>
      </c>
      <c r="CD10" s="27">
        <f>opex_orig!BU10</f>
        <v>2.6130358624211E-6</v>
      </c>
      <c r="CE10" s="27">
        <f>opex_orig!BV10</f>
        <v>2.6130358624211E-6</v>
      </c>
      <c r="CF10" s="27">
        <f>opex_orig!BW10</f>
        <v>5.90891427211575E-6</v>
      </c>
      <c r="CG10" s="27">
        <f>opex_orig!BX10</f>
        <v>1.7841140580640401E-6</v>
      </c>
      <c r="CH10" s="27">
        <f>opex_orig!BY10</f>
        <v>6.8634367760156597E-6</v>
      </c>
      <c r="CI10" s="27">
        <f>opex_orig!BZ10</f>
        <v>5.8599999999999998E-6</v>
      </c>
      <c r="CJ10" s="27">
        <f>opex_orig!CA10</f>
        <v>3.5999999999999998E-6</v>
      </c>
      <c r="CK10" s="27">
        <f>opex_orig!CB10</f>
        <v>3.5700000000000001E-6</v>
      </c>
      <c r="CL10" s="27">
        <f>opex_orig!CC10</f>
        <v>2.3E-6</v>
      </c>
      <c r="CM10" s="27">
        <f>opex_orig!CD10</f>
        <v>7.9000000000000006E-6</v>
      </c>
      <c r="CN10" s="27">
        <f>opex_orig!CE10</f>
        <v>8.2899999999999996E-5</v>
      </c>
      <c r="CO10" s="27">
        <f>opex_orig!CF10</f>
        <v>4.4299999999999999E-6</v>
      </c>
      <c r="CP10" s="27">
        <f>opex_orig!CG10</f>
        <v>3.3400000000000002E-6</v>
      </c>
    </row>
    <row r="11" spans="1:94" x14ac:dyDescent="0.25">
      <c r="A11" s="5" t="s">
        <v>41</v>
      </c>
      <c r="B11" s="2" t="s">
        <v>40</v>
      </c>
      <c r="C11" s="1" t="s">
        <v>325</v>
      </c>
      <c r="D11" s="188">
        <f>opex_orig!D11</f>
        <v>1.8199999999999999E-5</v>
      </c>
      <c r="E11" s="188">
        <f>opex_orig!E11</f>
        <v>0.49671729399999998</v>
      </c>
      <c r="F11" s="188">
        <f>opex_orig!F11</f>
        <v>3.54E-5</v>
      </c>
      <c r="G11" s="188">
        <f>opex_orig!G11</f>
        <v>9.2122600000000003E-4</v>
      </c>
      <c r="H11" s="188">
        <f>opex_orig!H11</f>
        <v>2.83E-6</v>
      </c>
      <c r="I11" s="188">
        <f>opex_orig!I11</f>
        <v>1.31E-5</v>
      </c>
      <c r="J11" s="188">
        <f>opex_orig!J11</f>
        <v>1.0700399999999999E-4</v>
      </c>
      <c r="K11" s="188">
        <f>opex_orig!K11</f>
        <v>5.2599999999999996E-6</v>
      </c>
      <c r="L11" s="188">
        <f>opex_orig!L11</f>
        <v>1.2561263E-2</v>
      </c>
      <c r="M11" s="188">
        <f>opex_orig!M11</f>
        <v>1.03669E-4</v>
      </c>
      <c r="N11" s="188">
        <f>opex_orig!N11</f>
        <v>1.7294224E-2</v>
      </c>
      <c r="O11" s="188">
        <f>opex_orig!O11</f>
        <v>2.0646140000000002E-3</v>
      </c>
      <c r="P11" s="188">
        <f>opex_orig!P11</f>
        <v>3.0454599999999999E-4</v>
      </c>
      <c r="Q11" s="188">
        <f>opex_orig!Q11</f>
        <v>8.9699999999999998E-5</v>
      </c>
      <c r="R11" s="188">
        <f>opex_orig!R11</f>
        <v>8.0866200000000003E-4</v>
      </c>
      <c r="S11" s="188">
        <f>opex_orig!S11</f>
        <v>1.84E-5</v>
      </c>
      <c r="T11" s="188">
        <f>opex_orig!T11</f>
        <v>1.88E-5</v>
      </c>
      <c r="U11" s="188">
        <f>opex_orig!U11</f>
        <v>3.3300000000000003E-5</v>
      </c>
      <c r="V11" s="188">
        <f>opex_orig!V11</f>
        <v>7.8899999999999993E-5</v>
      </c>
      <c r="W11" s="188">
        <f>opex_orig!W11</f>
        <v>3.8500000000000001E-5</v>
      </c>
      <c r="X11" s="188">
        <f>opex_orig!X11</f>
        <v>4.5300000000000003E-5</v>
      </c>
      <c r="Y11" s="188">
        <f>opex_orig!Y11</f>
        <v>9.5999999999999996E-6</v>
      </c>
      <c r="Z11" s="188">
        <f>opex_orig!Z11</f>
        <v>1.2495760000000001E-3</v>
      </c>
      <c r="AA11" s="188">
        <f>opex_orig!AA11</f>
        <v>1.4800000000000001E-5</v>
      </c>
      <c r="AB11" s="188">
        <f>opex_orig!$AB11</f>
        <v>7.7945012262194705E-5</v>
      </c>
      <c r="AC11" s="188">
        <f>opex_orig!$AB11</f>
        <v>7.7945012262194705E-5</v>
      </c>
      <c r="AD11" s="188">
        <f>opex_orig!$AB11</f>
        <v>7.7945012262194705E-5</v>
      </c>
      <c r="AE11" s="188">
        <f>opex_orig!$AC11</f>
        <v>3.4568210543324898E-4</v>
      </c>
      <c r="AF11" s="188">
        <f>opex_orig!$AD11</f>
        <v>1.2886983380055501E-4</v>
      </c>
      <c r="AG11" s="188">
        <f>opex_orig!$AD11</f>
        <v>1.2886983380055501E-4</v>
      </c>
      <c r="AH11" s="188">
        <f>opex_orig!$AD11</f>
        <v>1.2886983380055501E-4</v>
      </c>
      <c r="AI11" s="188">
        <f>opex_orig!AE11</f>
        <v>1.15443E-4</v>
      </c>
      <c r="AJ11" s="188">
        <f>opex_orig!AF11</f>
        <v>2.8099999999999999E-5</v>
      </c>
      <c r="AK11" s="188">
        <f>opex_orig!AG11</f>
        <v>5.3700000000000003E-6</v>
      </c>
      <c r="AL11" s="188">
        <f>opex_orig!AH11</f>
        <v>1.9476500000000001E-4</v>
      </c>
      <c r="AM11" s="188">
        <f>opex_orig!AI11</f>
        <v>3.4600000000000001E-5</v>
      </c>
      <c r="AN11" s="188">
        <f>opex_orig!AJ11</f>
        <v>7.5900000000000002E-5</v>
      </c>
      <c r="AO11" s="188">
        <f>opex_orig!AK11</f>
        <v>8.6000000000000003E-5</v>
      </c>
      <c r="AP11" s="188">
        <f>opex_orig!$AL11</f>
        <v>4.16584815545092E-5</v>
      </c>
      <c r="AQ11" s="188">
        <f>opex_orig!$AL11</f>
        <v>4.16584815545092E-5</v>
      </c>
      <c r="AR11" s="188">
        <f>opex_orig!$AL11</f>
        <v>4.16584815545092E-5</v>
      </c>
      <c r="AS11" s="188">
        <f>opex_orig!$AM11</f>
        <v>3.6137758667588702E-5</v>
      </c>
      <c r="AT11" s="188">
        <f>opex_orig!AN11</f>
        <v>7.4400000000000006E-5</v>
      </c>
      <c r="AU11" s="188">
        <f>opex_orig!$AO11</f>
        <v>8.9161567717198893E-6</v>
      </c>
      <c r="AV11" s="188">
        <f>opex_orig!$AO11</f>
        <v>8.9161567717198893E-6</v>
      </c>
      <c r="AW11" s="188">
        <f>opex_orig!$AO11</f>
        <v>8.9161567717198893E-6</v>
      </c>
      <c r="AX11" s="188">
        <f>opex_orig!$AP11</f>
        <v>2.0262286038513401E-5</v>
      </c>
      <c r="AY11" s="188">
        <f>opex_orig!AQ11</f>
        <v>2.5299999999999998E-5</v>
      </c>
      <c r="AZ11" s="188">
        <f>opex_orig!AR11</f>
        <v>0</v>
      </c>
      <c r="BA11" s="188">
        <f>opex_orig!AS11</f>
        <v>2.55E-5</v>
      </c>
      <c r="BB11" s="188">
        <f>opex_orig!AT11</f>
        <v>1.91E-5</v>
      </c>
      <c r="BC11" s="188">
        <f>opex_orig!AU11</f>
        <v>2.0299999999999999E-5</v>
      </c>
      <c r="BD11" s="188">
        <f>opex_orig!AV11</f>
        <v>7.2300000000000002E-6</v>
      </c>
      <c r="BE11" s="188">
        <f>opex_orig!AW11</f>
        <v>1.9300000000000002E-5</v>
      </c>
      <c r="BF11" s="188">
        <f>opex_orig!AX11</f>
        <v>0</v>
      </c>
      <c r="BG11" s="188">
        <f>opex_orig!AY11</f>
        <v>8.7800000000000006E-6</v>
      </c>
      <c r="BH11" s="188">
        <f>opex_orig!AZ11</f>
        <v>0</v>
      </c>
      <c r="BI11" s="188">
        <f>opex_orig!BA11</f>
        <v>1.15E-5</v>
      </c>
      <c r="BJ11" s="188">
        <f>opex_orig!BB11</f>
        <v>1.6500000000000001E-5</v>
      </c>
      <c r="BK11" s="188">
        <f>opex_orig!BC11</f>
        <v>1.3699999999999999E-5</v>
      </c>
      <c r="BL11" s="188">
        <f>opex_orig!BD11</f>
        <v>7.6699999999999994E-6</v>
      </c>
      <c r="BM11" s="188">
        <f>opex_orig!BE11</f>
        <v>1.1199999999999999E-5</v>
      </c>
      <c r="BN11" s="188">
        <f>opex_orig!BF11</f>
        <v>1.45E-5</v>
      </c>
      <c r="BO11" s="188">
        <f>opex_orig!BG11</f>
        <v>1.04E-5</v>
      </c>
      <c r="BP11" s="188">
        <f>opex_orig!$BH11</f>
        <v>5.0951967360878102E-6</v>
      </c>
      <c r="BQ11" s="188">
        <f>opex_orig!$BH11</f>
        <v>5.0951967360878102E-6</v>
      </c>
      <c r="BR11" s="188">
        <f>opex_orig!BI11</f>
        <v>1.5699999999999999E-5</v>
      </c>
      <c r="BS11" s="188">
        <f>opex_orig!BJ11</f>
        <v>1.50815E-4</v>
      </c>
      <c r="BT11" s="188">
        <f>opex_orig!BK11</f>
        <v>9.4499999999999993E-6</v>
      </c>
      <c r="BU11" s="188">
        <f>opex_orig!BL11</f>
        <v>0</v>
      </c>
      <c r="BV11" s="27">
        <f>opex_orig!BM11</f>
        <v>1.35945836774948E-5</v>
      </c>
      <c r="BW11" s="27">
        <f>opex_orig!BN11</f>
        <v>9.7459627490837695E-5</v>
      </c>
      <c r="BX11" s="27">
        <f>opex_orig!BO11</f>
        <v>1.09427694524679E-5</v>
      </c>
      <c r="BY11" s="27">
        <f>opex_orig!BP11</f>
        <v>8.6423362833220902E-5</v>
      </c>
      <c r="BZ11" s="27">
        <f>opex_orig!BQ11</f>
        <v>1.7201854165105302E-5</v>
      </c>
      <c r="CA11" s="27">
        <f>opex_orig!BR11</f>
        <v>1.1906531688928001E-6</v>
      </c>
      <c r="CB11" s="27">
        <f>opex_orig!BS11</f>
        <v>2.6906909862313001E-5</v>
      </c>
      <c r="CC11" s="27">
        <f>opex_orig!BT11</f>
        <v>3.0843566856520298E-6</v>
      </c>
      <c r="CD11" s="27">
        <f>opex_orig!BU11</f>
        <v>4.4573768899576904E-6</v>
      </c>
      <c r="CE11" s="27">
        <f>opex_orig!BV11</f>
        <v>4.4573768899577099E-6</v>
      </c>
      <c r="CF11" s="27">
        <f>opex_orig!BW11</f>
        <v>2.25390338206324E-5</v>
      </c>
      <c r="CG11" s="27">
        <f>opex_orig!BX11</f>
        <v>2.1681588641072298E-6</v>
      </c>
      <c r="CH11" s="27">
        <f>opex_orig!BY11</f>
        <v>5.9305368938858399E-6</v>
      </c>
      <c r="CI11" s="27">
        <f>opex_orig!BZ11</f>
        <v>5.0699999999999999E-5</v>
      </c>
      <c r="CJ11" s="27">
        <f>opex_orig!CA11</f>
        <v>1.45E-5</v>
      </c>
      <c r="CK11" s="27">
        <f>opex_orig!CB11</f>
        <v>9.6800000000000005E-6</v>
      </c>
      <c r="CL11" s="27">
        <f>opex_orig!CC11</f>
        <v>9.0599999999999997E-6</v>
      </c>
      <c r="CM11" s="27">
        <f>opex_orig!CD11</f>
        <v>2.51E-5</v>
      </c>
      <c r="CN11" s="27">
        <f>opex_orig!CE11</f>
        <v>2.2099999999999998E-5</v>
      </c>
      <c r="CO11" s="27">
        <f>opex_orig!CF11</f>
        <v>1.19E-5</v>
      </c>
      <c r="CP11" s="27">
        <f>opex_orig!CG11</f>
        <v>4.0500000000000002E-5</v>
      </c>
    </row>
    <row r="12" spans="1:94" x14ac:dyDescent="0.25">
      <c r="A12" s="5" t="s">
        <v>43</v>
      </c>
      <c r="B12" s="2" t="s">
        <v>42</v>
      </c>
      <c r="C12" s="1" t="s">
        <v>325</v>
      </c>
      <c r="D12" s="188">
        <f>opex_orig!D12</f>
        <v>1.38E-5</v>
      </c>
      <c r="E12" s="188">
        <f>opex_orig!E12</f>
        <v>3.2700000000000002E-5</v>
      </c>
      <c r="F12" s="188">
        <f>opex_orig!F12</f>
        <v>0.16682038900000001</v>
      </c>
      <c r="G12" s="188">
        <f>opex_orig!G12</f>
        <v>3.9579539999999996E-3</v>
      </c>
      <c r="H12" s="188">
        <f>opex_orig!H12</f>
        <v>1.4699999999999999E-6</v>
      </c>
      <c r="I12" s="188">
        <f>opex_orig!I12</f>
        <v>1.6699999999999999E-5</v>
      </c>
      <c r="J12" s="188">
        <f>opex_orig!J12</f>
        <v>2.3200000000000001E-5</v>
      </c>
      <c r="K12" s="188">
        <f>opex_orig!K12</f>
        <v>1.15E-6</v>
      </c>
      <c r="L12" s="188">
        <f>opex_orig!L12</f>
        <v>2.5642205000000001E-2</v>
      </c>
      <c r="M12" s="188">
        <f>opex_orig!M12</f>
        <v>3.1608682999999999E-2</v>
      </c>
      <c r="N12" s="188">
        <f>opex_orig!N12</f>
        <v>3.2791763000000002E-2</v>
      </c>
      <c r="O12" s="188">
        <f>opex_orig!O12</f>
        <v>5.38416E-4</v>
      </c>
      <c r="P12" s="188">
        <f>opex_orig!P12</f>
        <v>1.05945E-4</v>
      </c>
      <c r="Q12" s="188">
        <f>opex_orig!Q12</f>
        <v>1.14275E-4</v>
      </c>
      <c r="R12" s="188">
        <f>opex_orig!R12</f>
        <v>5.1980400000000001E-4</v>
      </c>
      <c r="S12" s="188">
        <f>opex_orig!S12</f>
        <v>2.7699999999999999E-5</v>
      </c>
      <c r="T12" s="188">
        <f>opex_orig!T12</f>
        <v>2.6400000000000001E-5</v>
      </c>
      <c r="U12" s="188">
        <f>opex_orig!U12</f>
        <v>1.7200000000000001E-5</v>
      </c>
      <c r="V12" s="188">
        <f>opex_orig!V12</f>
        <v>1.3200000000000001E-5</v>
      </c>
      <c r="W12" s="188">
        <f>opex_orig!W12</f>
        <v>8.2600000000000005E-6</v>
      </c>
      <c r="X12" s="188">
        <f>opex_orig!X12</f>
        <v>7.8299999999999996E-6</v>
      </c>
      <c r="Y12" s="188">
        <f>opex_orig!Y12</f>
        <v>2.7300000000000001E-6</v>
      </c>
      <c r="Z12" s="188">
        <f>opex_orig!Z12</f>
        <v>4.72404E-4</v>
      </c>
      <c r="AA12" s="188">
        <f>opex_orig!AA12</f>
        <v>1.0000000000000001E-5</v>
      </c>
      <c r="AB12" s="188">
        <f>opex_orig!$AB12</f>
        <v>6.3587340005322101E-5</v>
      </c>
      <c r="AC12" s="188">
        <f>opex_orig!$AB12</f>
        <v>6.3587340005322101E-5</v>
      </c>
      <c r="AD12" s="188">
        <f>opex_orig!$AB12</f>
        <v>6.3587340005322101E-5</v>
      </c>
      <c r="AE12" s="188">
        <f>opex_orig!$AC12</f>
        <v>4.5550212098428897E-5</v>
      </c>
      <c r="AF12" s="188">
        <f>opex_orig!$AD12</f>
        <v>2.8995459319350501E-5</v>
      </c>
      <c r="AG12" s="188">
        <f>opex_orig!$AD12</f>
        <v>2.8995459319350501E-5</v>
      </c>
      <c r="AH12" s="188">
        <f>opex_orig!$AD12</f>
        <v>2.8995459319350501E-5</v>
      </c>
      <c r="AI12" s="188">
        <f>opex_orig!AE12</f>
        <v>2.9200000000000002E-5</v>
      </c>
      <c r="AJ12" s="188">
        <f>opex_orig!AF12</f>
        <v>1.1750400000000001E-4</v>
      </c>
      <c r="AK12" s="188">
        <f>opex_orig!AG12</f>
        <v>3.0599999999999998E-5</v>
      </c>
      <c r="AL12" s="188">
        <f>opex_orig!AH12</f>
        <v>3.2199999999999997E-5</v>
      </c>
      <c r="AM12" s="188">
        <f>opex_orig!AI12</f>
        <v>7.6399999999999997E-6</v>
      </c>
      <c r="AN12" s="188">
        <f>opex_orig!AJ12</f>
        <v>1.2500000000000001E-5</v>
      </c>
      <c r="AO12" s="188">
        <f>opex_orig!AK12</f>
        <v>1.49E-5</v>
      </c>
      <c r="AP12" s="188">
        <f>opex_orig!$AL12</f>
        <v>8.2384688723707604E-6</v>
      </c>
      <c r="AQ12" s="188">
        <f>opex_orig!$AL12</f>
        <v>8.2384688723707604E-6</v>
      </c>
      <c r="AR12" s="188">
        <f>opex_orig!$AL12</f>
        <v>8.2384688723707604E-6</v>
      </c>
      <c r="AS12" s="188">
        <f>opex_orig!$AM12</f>
        <v>6.3378684464660198E-6</v>
      </c>
      <c r="AT12" s="188">
        <f>opex_orig!AN12</f>
        <v>1.33E-5</v>
      </c>
      <c r="AU12" s="188">
        <f>opex_orig!$AO12</f>
        <v>7.9638240677743898E-6</v>
      </c>
      <c r="AV12" s="188">
        <f>opex_orig!$AO12</f>
        <v>7.9638240677743898E-6</v>
      </c>
      <c r="AW12" s="188">
        <f>opex_orig!$AO12</f>
        <v>7.9638240677743898E-6</v>
      </c>
      <c r="AX12" s="188">
        <f>opex_orig!$AP12</f>
        <v>8.0277025505255606E-6</v>
      </c>
      <c r="AY12" s="188">
        <f>opex_orig!AQ12</f>
        <v>1.2E-5</v>
      </c>
      <c r="AZ12" s="188">
        <f>opex_orig!AR12</f>
        <v>0</v>
      </c>
      <c r="BA12" s="188">
        <f>opex_orig!AS12</f>
        <v>1.4600000000000001E-5</v>
      </c>
      <c r="BB12" s="188">
        <f>opex_orig!AT12</f>
        <v>1.29E-5</v>
      </c>
      <c r="BC12" s="188">
        <f>opex_orig!AU12</f>
        <v>4.1200000000000004E-6</v>
      </c>
      <c r="BD12" s="188">
        <f>opex_orig!AV12</f>
        <v>1.6199999999999999E-6</v>
      </c>
      <c r="BE12" s="188">
        <f>opex_orig!AW12</f>
        <v>5.8200000000000002E-6</v>
      </c>
      <c r="BF12" s="188">
        <f>opex_orig!AX12</f>
        <v>0</v>
      </c>
      <c r="BG12" s="188">
        <f>opex_orig!AY12</f>
        <v>1.01E-5</v>
      </c>
      <c r="BH12" s="188">
        <f>opex_orig!AZ12</f>
        <v>0</v>
      </c>
      <c r="BI12" s="188">
        <f>opex_orig!BA12</f>
        <v>8.4300000000000006E-6</v>
      </c>
      <c r="BJ12" s="188">
        <f>opex_orig!BB12</f>
        <v>5.75E-6</v>
      </c>
      <c r="BK12" s="188">
        <f>opex_orig!BC12</f>
        <v>6.8399999999999997E-6</v>
      </c>
      <c r="BL12" s="188">
        <f>opex_orig!BD12</f>
        <v>4.5600000000000004E-6</v>
      </c>
      <c r="BM12" s="188">
        <f>opex_orig!BE12</f>
        <v>3.3500000000000001E-6</v>
      </c>
      <c r="BN12" s="188">
        <f>opex_orig!BF12</f>
        <v>1.8700000000000001E-6</v>
      </c>
      <c r="BO12" s="188">
        <f>opex_orig!BG12</f>
        <v>1.1399999999999999E-5</v>
      </c>
      <c r="BP12" s="188">
        <f>opex_orig!$BH12</f>
        <v>4.2967988923090602E-6</v>
      </c>
      <c r="BQ12" s="188">
        <f>opex_orig!$BH12</f>
        <v>4.2967988923090602E-6</v>
      </c>
      <c r="BR12" s="188">
        <f>opex_orig!BI12</f>
        <v>7.8199999999999997E-6</v>
      </c>
      <c r="BS12" s="188">
        <f>opex_orig!BJ12</f>
        <v>1.7311E-4</v>
      </c>
      <c r="BT12" s="188">
        <f>opex_orig!BK12</f>
        <v>3.8399999999999997E-6</v>
      </c>
      <c r="BU12" s="188">
        <f>opex_orig!BL12</f>
        <v>0</v>
      </c>
      <c r="BV12" s="27">
        <f>opex_orig!BM12</f>
        <v>6.69657766286421E-6</v>
      </c>
      <c r="BW12" s="27">
        <f>opex_orig!BN12</f>
        <v>1.8908780649113599E-5</v>
      </c>
      <c r="BX12" s="27">
        <f>opex_orig!BO12</f>
        <v>2.6578816196440101E-6</v>
      </c>
      <c r="BY12" s="27">
        <f>opex_orig!BP12</f>
        <v>1.15383009240367E-5</v>
      </c>
      <c r="BZ12" s="27">
        <f>opex_orig!BQ12</f>
        <v>4.9018960117277204E-6</v>
      </c>
      <c r="CA12" s="27">
        <f>opex_orig!BR12</f>
        <v>2.17444103891164E-7</v>
      </c>
      <c r="CB12" s="27">
        <f>opex_orig!BS12</f>
        <v>1.2339696014075899E-5</v>
      </c>
      <c r="CC12" s="27">
        <f>opex_orig!BT12</f>
        <v>9.3326752528708198E-7</v>
      </c>
      <c r="CD12" s="27">
        <f>opex_orig!BU12</f>
        <v>2.37899400350489E-6</v>
      </c>
      <c r="CE12" s="27">
        <f>opex_orig!BV12</f>
        <v>2.3789940035049002E-6</v>
      </c>
      <c r="CF12" s="27">
        <f>opex_orig!BW12</f>
        <v>4.1476410596135304E-6</v>
      </c>
      <c r="CG12" s="27">
        <f>opex_orig!BX12</f>
        <v>1.88491280804234E-6</v>
      </c>
      <c r="CH12" s="27">
        <f>opex_orig!BY12</f>
        <v>8.9963376128656205E-6</v>
      </c>
      <c r="CI12" s="27">
        <f>opex_orig!BZ12</f>
        <v>7.8699999999999992E-6</v>
      </c>
      <c r="CJ12" s="27">
        <f>opex_orig!CA12</f>
        <v>3.8999999999999999E-6</v>
      </c>
      <c r="CK12" s="27">
        <f>opex_orig!CB12</f>
        <v>3.7100000000000001E-6</v>
      </c>
      <c r="CL12" s="27">
        <f>opex_orig!CC12</f>
        <v>3.6200000000000001E-6</v>
      </c>
      <c r="CM12" s="27">
        <f>opex_orig!CD12</f>
        <v>1.3200000000000001E-5</v>
      </c>
      <c r="CN12" s="27">
        <f>opex_orig!CE12</f>
        <v>4.16E-6</v>
      </c>
      <c r="CO12" s="27">
        <f>opex_orig!CF12</f>
        <v>4.7899999999999999E-6</v>
      </c>
      <c r="CP12" s="27">
        <f>opex_orig!CG12</f>
        <v>5.8900000000000004E-6</v>
      </c>
    </row>
    <row r="13" spans="1:94" x14ac:dyDescent="0.25">
      <c r="A13" s="5" t="s">
        <v>45</v>
      </c>
      <c r="B13" s="2" t="s">
        <v>44</v>
      </c>
      <c r="C13" s="1" t="s">
        <v>325</v>
      </c>
      <c r="D13" s="188">
        <f>opex_orig!D13</f>
        <v>1.2251440000000001E-3</v>
      </c>
      <c r="E13" s="188">
        <f>opex_orig!E13</f>
        <v>2.7980253E-2</v>
      </c>
      <c r="F13" s="188">
        <f>opex_orig!F13</f>
        <v>2.3871470000000001E-3</v>
      </c>
      <c r="G13" s="188">
        <f>opex_orig!G13</f>
        <v>1.1947401E-2</v>
      </c>
      <c r="H13" s="188">
        <f>opex_orig!H13</f>
        <v>1.8300000000000001E-5</v>
      </c>
      <c r="I13" s="188">
        <f>opex_orig!I13</f>
        <v>9.8180360000000005E-3</v>
      </c>
      <c r="J13" s="188">
        <f>opex_orig!J13</f>
        <v>3.03166E-4</v>
      </c>
      <c r="K13" s="188">
        <f>opex_orig!K13</f>
        <v>3.6300000000000001E-5</v>
      </c>
      <c r="L13" s="188">
        <f>opex_orig!L13</f>
        <v>4.9153620000000004E-3</v>
      </c>
      <c r="M13" s="188">
        <f>opex_orig!M13</f>
        <v>8.4320399999999996E-4</v>
      </c>
      <c r="N13" s="188">
        <f>opex_orig!N13</f>
        <v>5.9541300000000002E-3</v>
      </c>
      <c r="O13" s="188">
        <f>opex_orig!O13</f>
        <v>6.1522699999999998E-4</v>
      </c>
      <c r="P13" s="188">
        <f>opex_orig!P13</f>
        <v>3.00921E-4</v>
      </c>
      <c r="Q13" s="188">
        <f>opex_orig!Q13</f>
        <v>2.24415E-4</v>
      </c>
      <c r="R13" s="188">
        <f>opex_orig!R13</f>
        <v>2.76741E-4</v>
      </c>
      <c r="S13" s="188">
        <f>opex_orig!S13</f>
        <v>1.0256599999999999E-4</v>
      </c>
      <c r="T13" s="188">
        <f>opex_orig!T13</f>
        <v>1.13539E-4</v>
      </c>
      <c r="U13" s="188">
        <f>opex_orig!U13</f>
        <v>2.7725500000000001E-4</v>
      </c>
      <c r="V13" s="188">
        <f>opex_orig!V13</f>
        <v>5.1504399999999998E-4</v>
      </c>
      <c r="W13" s="188">
        <f>opex_orig!W13</f>
        <v>1.2682500000000001E-4</v>
      </c>
      <c r="X13" s="188">
        <f>opex_orig!X13</f>
        <v>1.44516E-4</v>
      </c>
      <c r="Y13" s="188">
        <f>opex_orig!Y13</f>
        <v>4.49E-5</v>
      </c>
      <c r="Z13" s="188">
        <f>opex_orig!Z13</f>
        <v>7.4085199999999996E-4</v>
      </c>
      <c r="AA13" s="188">
        <f>opex_orig!AA13</f>
        <v>1.6386600000000001E-4</v>
      </c>
      <c r="AB13" s="188">
        <f>opex_orig!$AB13</f>
        <v>5.9862125154225699E-4</v>
      </c>
      <c r="AC13" s="188">
        <f>opex_orig!$AB13</f>
        <v>5.9862125154225699E-4</v>
      </c>
      <c r="AD13" s="188">
        <f>opex_orig!$AB13</f>
        <v>5.9862125154225699E-4</v>
      </c>
      <c r="AE13" s="188">
        <f>opex_orig!$AC13</f>
        <v>2.03200183827213E-3</v>
      </c>
      <c r="AF13" s="188">
        <f>opex_orig!$AD13</f>
        <v>6.02849990165906E-4</v>
      </c>
      <c r="AG13" s="188">
        <f>opex_orig!$AD13</f>
        <v>6.02849990165906E-4</v>
      </c>
      <c r="AH13" s="188">
        <f>opex_orig!$AD13</f>
        <v>6.02849990165906E-4</v>
      </c>
      <c r="AI13" s="188">
        <f>opex_orig!AE13</f>
        <v>4.0793900000000001E-4</v>
      </c>
      <c r="AJ13" s="188">
        <f>opex_orig!AF13</f>
        <v>2.0705499999999999E-4</v>
      </c>
      <c r="AK13" s="188">
        <f>opex_orig!AG13</f>
        <v>7.4099999999999999E-5</v>
      </c>
      <c r="AL13" s="188">
        <f>opex_orig!AH13</f>
        <v>4.1174499999999998E-4</v>
      </c>
      <c r="AM13" s="188">
        <f>opex_orig!AI13</f>
        <v>1.02434E-4</v>
      </c>
      <c r="AN13" s="188">
        <f>opex_orig!AJ13</f>
        <v>2.9339900000000001E-4</v>
      </c>
      <c r="AO13" s="188">
        <f>opex_orig!AK13</f>
        <v>1.9161199999999999E-4</v>
      </c>
      <c r="AP13" s="188">
        <f>opex_orig!$AL13</f>
        <v>1.6725877606595601E-4</v>
      </c>
      <c r="AQ13" s="188">
        <f>opex_orig!$AL13</f>
        <v>1.6725877606595601E-4</v>
      </c>
      <c r="AR13" s="188">
        <f>opex_orig!$AL13</f>
        <v>1.6725877606595601E-4</v>
      </c>
      <c r="AS13" s="188">
        <f>opex_orig!$AM13</f>
        <v>1.02432135031415E-4</v>
      </c>
      <c r="AT13" s="188">
        <f>opex_orig!AN13</f>
        <v>2.1703200000000001E-4</v>
      </c>
      <c r="AU13" s="188">
        <f>opex_orig!$AO13</f>
        <v>9.8723033692773503E-5</v>
      </c>
      <c r="AV13" s="188">
        <f>opex_orig!$AO13</f>
        <v>9.8723033692773503E-5</v>
      </c>
      <c r="AW13" s="188">
        <f>opex_orig!$AO13</f>
        <v>9.8723033692773503E-5</v>
      </c>
      <c r="AX13" s="188">
        <f>opex_orig!$AP13</f>
        <v>2.0647885871765E-4</v>
      </c>
      <c r="AY13" s="188">
        <f>opex_orig!AQ13</f>
        <v>2.82532E-4</v>
      </c>
      <c r="AZ13" s="188">
        <f>opex_orig!AR13</f>
        <v>0</v>
      </c>
      <c r="BA13" s="188">
        <f>opex_orig!AS13</f>
        <v>2.5874699999999998E-4</v>
      </c>
      <c r="BB13" s="188">
        <f>opex_orig!AT13</f>
        <v>1.98736E-4</v>
      </c>
      <c r="BC13" s="188">
        <f>opex_orig!AU13</f>
        <v>1.85947E-4</v>
      </c>
      <c r="BD13" s="188">
        <f>opex_orig!AV13</f>
        <v>4.5300000000000003E-5</v>
      </c>
      <c r="BE13" s="188">
        <f>opex_orig!AW13</f>
        <v>3.4925400000000001E-4</v>
      </c>
      <c r="BF13" s="188">
        <f>opex_orig!AX13</f>
        <v>0</v>
      </c>
      <c r="BG13" s="188">
        <f>opex_orig!AY13</f>
        <v>1.2864699999999999E-4</v>
      </c>
      <c r="BH13" s="188">
        <f>opex_orig!AZ13</f>
        <v>0</v>
      </c>
      <c r="BI13" s="188">
        <f>opex_orig!BA13</f>
        <v>1.3606299999999999E-4</v>
      </c>
      <c r="BJ13" s="188">
        <f>opex_orig!BB13</f>
        <v>9.2399999999999996E-5</v>
      </c>
      <c r="BK13" s="188">
        <f>opex_orig!BC13</f>
        <v>1.16876E-4</v>
      </c>
      <c r="BL13" s="188">
        <f>opex_orig!BD13</f>
        <v>1.27529E-4</v>
      </c>
      <c r="BM13" s="188">
        <f>opex_orig!BE13</f>
        <v>1.08952E-4</v>
      </c>
      <c r="BN13" s="188">
        <f>opex_orig!BF13</f>
        <v>1.3937500000000001E-4</v>
      </c>
      <c r="BO13" s="188">
        <f>opex_orig!BG13</f>
        <v>1.08554E-4</v>
      </c>
      <c r="BP13" s="188">
        <f>opex_orig!$BH13</f>
        <v>1.05049162046147E-4</v>
      </c>
      <c r="BQ13" s="188">
        <f>opex_orig!$BH13</f>
        <v>1.05049162046147E-4</v>
      </c>
      <c r="BR13" s="188">
        <f>opex_orig!BI13</f>
        <v>9.8200000000000002E-5</v>
      </c>
      <c r="BS13" s="188">
        <f>opex_orig!BJ13</f>
        <v>1.1018099999999999E-4</v>
      </c>
      <c r="BT13" s="188">
        <f>opex_orig!BK13</f>
        <v>1.6132399999999999E-4</v>
      </c>
      <c r="BU13" s="188">
        <f>opex_orig!BL13</f>
        <v>0</v>
      </c>
      <c r="BV13" s="27">
        <f>opex_orig!BM13</f>
        <v>1.13775652616053E-4</v>
      </c>
      <c r="BW13" s="27">
        <f>opex_orig!BN13</f>
        <v>8.6590994480378197E-4</v>
      </c>
      <c r="BX13" s="27">
        <f>opex_orig!BO13</f>
        <v>8.6357232148240003E-5</v>
      </c>
      <c r="BY13" s="27">
        <f>opex_orig!BP13</f>
        <v>7.7691296612167099E-4</v>
      </c>
      <c r="BZ13" s="27">
        <f>opex_orig!BQ13</f>
        <v>1.2256470862852001E-4</v>
      </c>
      <c r="CA13" s="27">
        <f>opex_orig!BR13</f>
        <v>2.3110012343302599E-5</v>
      </c>
      <c r="CB13" s="27">
        <f>opex_orig!BS13</f>
        <v>2.3350818995089001E-4</v>
      </c>
      <c r="CC13" s="27">
        <f>opex_orig!BT13</f>
        <v>3.0394576239496001E-5</v>
      </c>
      <c r="CD13" s="27">
        <f>opex_orig!BU13</f>
        <v>5.32550584164694E-5</v>
      </c>
      <c r="CE13" s="27">
        <f>opex_orig!BV13</f>
        <v>5.3255058416469501E-5</v>
      </c>
      <c r="CF13" s="27">
        <f>opex_orig!BW13</f>
        <v>1.1701265118850301E-4</v>
      </c>
      <c r="CG13" s="27">
        <f>opex_orig!BX13</f>
        <v>2.10816740454389E-5</v>
      </c>
      <c r="CH13" s="27">
        <f>opex_orig!BY13</f>
        <v>3.6380746754708997E-4</v>
      </c>
      <c r="CI13" s="27">
        <f>opex_orig!BZ13</f>
        <v>4.6096199999999998E-4</v>
      </c>
      <c r="CJ13" s="27">
        <f>opex_orig!CA13</f>
        <v>1.36976E-4</v>
      </c>
      <c r="CK13" s="27">
        <f>opex_orig!CB13</f>
        <v>9.1299999999999997E-5</v>
      </c>
      <c r="CL13" s="27">
        <f>opex_orig!CC13</f>
        <v>8.6799999999999996E-5</v>
      </c>
      <c r="CM13" s="27">
        <f>opex_orig!CD13</f>
        <v>2.1528500000000001E-4</v>
      </c>
      <c r="CN13" s="27">
        <f>opex_orig!CE13</f>
        <v>1.6216399999999999E-4</v>
      </c>
      <c r="CO13" s="27">
        <f>opex_orig!CF13</f>
        <v>9.6700000000000006E-5</v>
      </c>
      <c r="CP13" s="27">
        <f>opex_orig!CG13</f>
        <v>2.9287600000000002E-4</v>
      </c>
    </row>
    <row r="14" spans="1:94" x14ac:dyDescent="0.25">
      <c r="A14" s="5" t="s">
        <v>47</v>
      </c>
      <c r="B14" s="2" t="s">
        <v>46</v>
      </c>
      <c r="C14" s="1" t="s">
        <v>325</v>
      </c>
      <c r="D14" s="188">
        <f>opex_orig!D14</f>
        <v>3.1496999999999997E-4</v>
      </c>
      <c r="E14" s="188">
        <f>opex_orig!E14</f>
        <v>6.5200850000000001E-3</v>
      </c>
      <c r="F14" s="188">
        <f>opex_orig!F14</f>
        <v>4.9657E-4</v>
      </c>
      <c r="G14" s="188">
        <f>opex_orig!G14</f>
        <v>1.37396E-3</v>
      </c>
      <c r="H14" s="188">
        <f>opex_orig!H14</f>
        <v>8.4800000000000001E-6</v>
      </c>
      <c r="I14" s="188">
        <f>opex_orig!I14</f>
        <v>2.2704359999999998E-3</v>
      </c>
      <c r="J14" s="188">
        <f>opex_orig!J14</f>
        <v>5.5500000000000001E-5</v>
      </c>
      <c r="K14" s="188">
        <f>opex_orig!K14</f>
        <v>1.9000000000000001E-5</v>
      </c>
      <c r="L14" s="188">
        <f>opex_orig!L14</f>
        <v>7.6957600000000001E-4</v>
      </c>
      <c r="M14" s="188">
        <f>opex_orig!M14</f>
        <v>2.2602899999999999E-4</v>
      </c>
      <c r="N14" s="188">
        <f>opex_orig!N14</f>
        <v>9.4909200000000001E-4</v>
      </c>
      <c r="O14" s="188">
        <f>opex_orig!O14</f>
        <v>4.1100000000000003E-5</v>
      </c>
      <c r="P14" s="188">
        <f>opex_orig!P14</f>
        <v>1.9599999999999999E-5</v>
      </c>
      <c r="Q14" s="188">
        <f>opex_orig!Q14</f>
        <v>3.29E-5</v>
      </c>
      <c r="R14" s="188">
        <f>opex_orig!R14</f>
        <v>6.5500000000000006E-5</v>
      </c>
      <c r="S14" s="188">
        <f>opex_orig!S14</f>
        <v>1.6200000000000001E-5</v>
      </c>
      <c r="T14" s="188">
        <f>opex_orig!T14</f>
        <v>3.65E-5</v>
      </c>
      <c r="U14" s="188">
        <f>opex_orig!U14</f>
        <v>1.8600000000000001E-5</v>
      </c>
      <c r="V14" s="188">
        <f>opex_orig!V14</f>
        <v>2.26E-5</v>
      </c>
      <c r="W14" s="188">
        <f>opex_orig!W14</f>
        <v>1.33E-5</v>
      </c>
      <c r="X14" s="188">
        <f>opex_orig!X14</f>
        <v>2.0100000000000001E-5</v>
      </c>
      <c r="Y14" s="188">
        <f>opex_orig!Y14</f>
        <v>1.8E-5</v>
      </c>
      <c r="Z14" s="188">
        <f>opex_orig!Z14</f>
        <v>8.1000000000000004E-6</v>
      </c>
      <c r="AA14" s="188">
        <f>opex_orig!AA14</f>
        <v>5.7000000000000003E-5</v>
      </c>
      <c r="AB14" s="188">
        <f>opex_orig!$AB14</f>
        <v>4.9308516102304498E-5</v>
      </c>
      <c r="AC14" s="188">
        <f>opex_orig!$AB14</f>
        <v>4.9308516102304498E-5</v>
      </c>
      <c r="AD14" s="188">
        <f>opex_orig!$AB14</f>
        <v>4.9308516102304498E-5</v>
      </c>
      <c r="AE14" s="188">
        <f>opex_orig!$AC14</f>
        <v>6.8756552819594603E-5</v>
      </c>
      <c r="AF14" s="188">
        <f>opex_orig!$AD14</f>
        <v>2.17060825538901E-5</v>
      </c>
      <c r="AG14" s="188">
        <f>opex_orig!$AD14</f>
        <v>2.17060825538901E-5</v>
      </c>
      <c r="AH14" s="188">
        <f>opex_orig!$AD14</f>
        <v>2.17060825538901E-5</v>
      </c>
      <c r="AI14" s="188">
        <f>opex_orig!AE14</f>
        <v>1.6099999999999998E-5</v>
      </c>
      <c r="AJ14" s="188">
        <f>opex_orig!AF14</f>
        <v>3.0199999999999999E-5</v>
      </c>
      <c r="AK14" s="188">
        <f>opex_orig!AG14</f>
        <v>2.16E-5</v>
      </c>
      <c r="AL14" s="188">
        <f>opex_orig!AH14</f>
        <v>1.17E-5</v>
      </c>
      <c r="AM14" s="188">
        <f>opex_orig!AI14</f>
        <v>2.4000000000000001E-5</v>
      </c>
      <c r="AN14" s="188">
        <f>opex_orig!AJ14</f>
        <v>1.43E-5</v>
      </c>
      <c r="AO14" s="188">
        <f>opex_orig!AK14</f>
        <v>3.0499999999999999E-5</v>
      </c>
      <c r="AP14" s="188">
        <f>opex_orig!$AL14</f>
        <v>1.52380921851642E-5</v>
      </c>
      <c r="AQ14" s="188">
        <f>opex_orig!$AL14</f>
        <v>1.52380921851642E-5</v>
      </c>
      <c r="AR14" s="188">
        <f>opex_orig!$AL14</f>
        <v>1.52380921851642E-5</v>
      </c>
      <c r="AS14" s="188">
        <f>opex_orig!$AM14</f>
        <v>2.48794865472445E-5</v>
      </c>
      <c r="AT14" s="188">
        <f>opex_orig!AN14</f>
        <v>1.7099999999999999E-5</v>
      </c>
      <c r="AU14" s="188">
        <f>opex_orig!$AO14</f>
        <v>1.51973948154517E-5</v>
      </c>
      <c r="AV14" s="188">
        <f>opex_orig!$AO14</f>
        <v>1.51973948154517E-5</v>
      </c>
      <c r="AW14" s="188">
        <f>opex_orig!$AO14</f>
        <v>1.51973948154517E-5</v>
      </c>
      <c r="AX14" s="188">
        <f>opex_orig!$AP14</f>
        <v>2.2665363203160399E-5</v>
      </c>
      <c r="AY14" s="188">
        <f>opex_orig!AQ14</f>
        <v>2.9899999999999998E-5</v>
      </c>
      <c r="AZ14" s="188">
        <f>opex_orig!AR14</f>
        <v>0</v>
      </c>
      <c r="BA14" s="188">
        <f>opex_orig!AS14</f>
        <v>2.3600000000000001E-5</v>
      </c>
      <c r="BB14" s="188">
        <f>opex_orig!AT14</f>
        <v>1.98E-5</v>
      </c>
      <c r="BC14" s="188">
        <f>opex_orig!AU14</f>
        <v>1.1600000000000001E-5</v>
      </c>
      <c r="BD14" s="188">
        <f>opex_orig!AV14</f>
        <v>1.11E-5</v>
      </c>
      <c r="BE14" s="188">
        <f>opex_orig!AW14</f>
        <v>1.8099999999999999E-5</v>
      </c>
      <c r="BF14" s="188">
        <f>opex_orig!AX14</f>
        <v>0</v>
      </c>
      <c r="BG14" s="188">
        <f>opex_orig!AY14</f>
        <v>5.9599999999999999E-5</v>
      </c>
      <c r="BH14" s="188">
        <f>opex_orig!AZ14</f>
        <v>0</v>
      </c>
      <c r="BI14" s="188">
        <f>opex_orig!BA14</f>
        <v>1.8600000000000001E-5</v>
      </c>
      <c r="BJ14" s="188">
        <f>opex_orig!BB14</f>
        <v>1.47E-5</v>
      </c>
      <c r="BK14" s="188">
        <f>opex_orig!BC14</f>
        <v>1.5699999999999999E-5</v>
      </c>
      <c r="BL14" s="188">
        <f>opex_orig!BD14</f>
        <v>1.1600000000000001E-5</v>
      </c>
      <c r="BM14" s="188">
        <f>opex_orig!BE14</f>
        <v>9.1900000000000001E-6</v>
      </c>
      <c r="BN14" s="188">
        <f>opex_orig!BF14</f>
        <v>1.24E-5</v>
      </c>
      <c r="BO14" s="188">
        <f>opex_orig!BG14</f>
        <v>2.37E-5</v>
      </c>
      <c r="BP14" s="188">
        <f>opex_orig!$BH14</f>
        <v>2.02263696121965E-5</v>
      </c>
      <c r="BQ14" s="188">
        <f>opex_orig!$BH14</f>
        <v>2.02263696121965E-5</v>
      </c>
      <c r="BR14" s="188">
        <f>opex_orig!BI14</f>
        <v>1.03E-5</v>
      </c>
      <c r="BS14" s="188">
        <f>opex_orig!BJ14</f>
        <v>1.0499999999999999E-5</v>
      </c>
      <c r="BT14" s="188">
        <f>opex_orig!BK14</f>
        <v>2.5000000000000001E-5</v>
      </c>
      <c r="BU14" s="188">
        <f>opex_orig!BL14</f>
        <v>0</v>
      </c>
      <c r="BV14" s="27">
        <f>opex_orig!BM14</f>
        <v>9.48582179931853E-6</v>
      </c>
      <c r="BW14" s="27">
        <f>opex_orig!BN14</f>
        <v>2.3921215976045699E-5</v>
      </c>
      <c r="BX14" s="27">
        <f>opex_orig!BO14</f>
        <v>3.3633318161821098E-6</v>
      </c>
      <c r="BY14" s="27">
        <f>opex_orig!BP14</f>
        <v>1.14510312256993E-5</v>
      </c>
      <c r="BZ14" s="27">
        <f>opex_orig!BQ14</f>
        <v>1.7338088346896499E-5</v>
      </c>
      <c r="CA14" s="27">
        <f>opex_orig!BR14</f>
        <v>1.3561729073329599E-5</v>
      </c>
      <c r="CB14" s="27">
        <f>opex_orig!BS14</f>
        <v>6.5957562521505104E-5</v>
      </c>
      <c r="CC14" s="27">
        <f>opex_orig!BT14</f>
        <v>4.09161192952233E-6</v>
      </c>
      <c r="CD14" s="27">
        <f>opex_orig!BU14</f>
        <v>7.0749000051864003E-6</v>
      </c>
      <c r="CE14" s="27">
        <f>opex_orig!BV14</f>
        <v>7.0749000051864096E-6</v>
      </c>
      <c r="CF14" s="27">
        <f>opex_orig!BW14</f>
        <v>6.6493854841455597E-6</v>
      </c>
      <c r="CG14" s="27">
        <f>opex_orig!BX14</f>
        <v>1.89599648389596E-7</v>
      </c>
      <c r="CH14" s="27">
        <f>opex_orig!BY14</f>
        <v>8.7213870526461499E-7</v>
      </c>
      <c r="CI14" s="27">
        <f>opex_orig!BZ14</f>
        <v>1.26E-5</v>
      </c>
      <c r="CJ14" s="27">
        <f>opex_orig!CA14</f>
        <v>6.1299999999999998E-6</v>
      </c>
      <c r="CK14" s="27">
        <f>opex_orig!CB14</f>
        <v>4.8400000000000002E-6</v>
      </c>
      <c r="CL14" s="27">
        <f>opex_orig!CC14</f>
        <v>3.3500000000000001E-6</v>
      </c>
      <c r="CM14" s="27">
        <f>opex_orig!CD14</f>
        <v>1.2799999999999999E-5</v>
      </c>
      <c r="CN14" s="27">
        <f>opex_orig!CE14</f>
        <v>1.26E-5</v>
      </c>
      <c r="CO14" s="27">
        <f>opex_orig!CF14</f>
        <v>2.0099999999999998E-6</v>
      </c>
      <c r="CP14" s="27">
        <f>opex_orig!CG14</f>
        <v>6.1800000000000001E-6</v>
      </c>
    </row>
    <row r="15" spans="1:94" x14ac:dyDescent="0.25">
      <c r="A15" s="5" t="s">
        <v>49</v>
      </c>
      <c r="B15" s="2" t="s">
        <v>48</v>
      </c>
      <c r="C15" s="1" t="s">
        <v>325</v>
      </c>
      <c r="D15" s="188">
        <f>opex_orig!D15</f>
        <v>1.9603060000000002E-3</v>
      </c>
      <c r="E15" s="188">
        <f>opex_orig!E15</f>
        <v>1.36E-5</v>
      </c>
      <c r="F15" s="188">
        <f>opex_orig!F15</f>
        <v>2.9099999999999999E-5</v>
      </c>
      <c r="G15" s="188">
        <f>opex_orig!G15</f>
        <v>7.6639120000000002E-3</v>
      </c>
      <c r="H15" s="188">
        <f>opex_orig!H15</f>
        <v>9.850000000000001E-7</v>
      </c>
      <c r="I15" s="188">
        <f>opex_orig!I15</f>
        <v>0.33535817200000001</v>
      </c>
      <c r="J15" s="188">
        <f>opex_orig!J15</f>
        <v>1.8899999999999999E-5</v>
      </c>
      <c r="K15" s="188">
        <f>opex_orig!K15</f>
        <v>1.3799999999999999E-6</v>
      </c>
      <c r="L15" s="188">
        <f>opex_orig!L15</f>
        <v>3.045376E-2</v>
      </c>
      <c r="M15" s="188">
        <f>opex_orig!M15</f>
        <v>8.9630049999999996E-3</v>
      </c>
      <c r="N15" s="188">
        <f>opex_orig!N15</f>
        <v>3.3670537E-2</v>
      </c>
      <c r="O15" s="188">
        <f>opex_orig!O15</f>
        <v>5.3335199999999996E-4</v>
      </c>
      <c r="P15" s="188">
        <f>opex_orig!P15</f>
        <v>8.92E-5</v>
      </c>
      <c r="Q15" s="188">
        <f>opex_orig!Q15</f>
        <v>2.0440899999999999E-4</v>
      </c>
      <c r="R15" s="188">
        <f>opex_orig!R15</f>
        <v>8.6899999999999998E-5</v>
      </c>
      <c r="S15" s="188">
        <f>opex_orig!S15</f>
        <v>1.15E-5</v>
      </c>
      <c r="T15" s="188">
        <f>opex_orig!T15</f>
        <v>6.5599999999999999E-6</v>
      </c>
      <c r="U15" s="188">
        <f>opex_orig!U15</f>
        <v>9.6800000000000005E-6</v>
      </c>
      <c r="V15" s="188">
        <f>opex_orig!V15</f>
        <v>1.3200000000000001E-5</v>
      </c>
      <c r="W15" s="188">
        <f>opex_orig!W15</f>
        <v>4.6E-6</v>
      </c>
      <c r="X15" s="188">
        <f>opex_orig!X15</f>
        <v>9.3100000000000006E-6</v>
      </c>
      <c r="Y15" s="188">
        <f>opex_orig!Y15</f>
        <v>1.9700000000000002E-6</v>
      </c>
      <c r="Z15" s="188">
        <f>opex_orig!Z15</f>
        <v>1.014966E-3</v>
      </c>
      <c r="AA15" s="188">
        <f>opex_orig!AA15</f>
        <v>6.3500000000000002E-6</v>
      </c>
      <c r="AB15" s="188">
        <f>opex_orig!$AB15</f>
        <v>1.07657519302187E-4</v>
      </c>
      <c r="AC15" s="188">
        <f>opex_orig!$AB15</f>
        <v>1.07657519302187E-4</v>
      </c>
      <c r="AD15" s="188">
        <f>opex_orig!$AB15</f>
        <v>1.07657519302187E-4</v>
      </c>
      <c r="AE15" s="188">
        <f>opex_orig!$AC15</f>
        <v>5.8585800164570801E-5</v>
      </c>
      <c r="AF15" s="188">
        <f>opex_orig!$AD15</f>
        <v>4.9656906127345398E-5</v>
      </c>
      <c r="AG15" s="188">
        <f>opex_orig!$AD15</f>
        <v>4.9656906127345398E-5</v>
      </c>
      <c r="AH15" s="188">
        <f>opex_orig!$AD15</f>
        <v>4.9656906127345398E-5</v>
      </c>
      <c r="AI15" s="188">
        <f>opex_orig!AE15</f>
        <v>5.0899999999999997E-5</v>
      </c>
      <c r="AJ15" s="188">
        <f>opex_orig!AF15</f>
        <v>3.2299999999999999E-5</v>
      </c>
      <c r="AK15" s="188">
        <f>opex_orig!AG15</f>
        <v>6.1299999999999998E-6</v>
      </c>
      <c r="AL15" s="188">
        <f>opex_orig!AH15</f>
        <v>2.2799999999999999E-5</v>
      </c>
      <c r="AM15" s="188">
        <f>opex_orig!AI15</f>
        <v>4.8199999999999996E-6</v>
      </c>
      <c r="AN15" s="188">
        <f>opex_orig!AJ15</f>
        <v>7.9899999999999997E-6</v>
      </c>
      <c r="AO15" s="188">
        <f>opex_orig!AK15</f>
        <v>9.0699999999999996E-6</v>
      </c>
      <c r="AP15" s="188">
        <f>opex_orig!$AL15</f>
        <v>5.6594203690750201E-6</v>
      </c>
      <c r="AQ15" s="188">
        <f>opex_orig!$AL15</f>
        <v>5.6594203690750201E-6</v>
      </c>
      <c r="AR15" s="188">
        <f>opex_orig!$AL15</f>
        <v>5.6594203690750201E-6</v>
      </c>
      <c r="AS15" s="188">
        <f>opex_orig!$AM15</f>
        <v>4.34858867431015E-6</v>
      </c>
      <c r="AT15" s="188">
        <f>opex_orig!AN15</f>
        <v>8.8000000000000004E-6</v>
      </c>
      <c r="AU15" s="188">
        <f>opex_orig!$AO15</f>
        <v>2.9500354567151198E-6</v>
      </c>
      <c r="AV15" s="188">
        <f>opex_orig!$AO15</f>
        <v>2.9500354567151198E-6</v>
      </c>
      <c r="AW15" s="188">
        <f>opex_orig!$AO15</f>
        <v>2.9500354567151198E-6</v>
      </c>
      <c r="AX15" s="188">
        <f>opex_orig!$AP15</f>
        <v>4.3238104465157202E-6</v>
      </c>
      <c r="AY15" s="188">
        <f>opex_orig!AQ15</f>
        <v>5.4399999999999996E-6</v>
      </c>
      <c r="AZ15" s="188">
        <f>opex_orig!AR15</f>
        <v>0</v>
      </c>
      <c r="BA15" s="188">
        <f>opex_orig!AS15</f>
        <v>5.5799999999999999E-6</v>
      </c>
      <c r="BB15" s="188">
        <f>opex_orig!AT15</f>
        <v>4.3000000000000003E-6</v>
      </c>
      <c r="BC15" s="188">
        <f>opex_orig!AU15</f>
        <v>4.4100000000000001E-6</v>
      </c>
      <c r="BD15" s="188">
        <f>opex_orig!AV15</f>
        <v>1.1200000000000001E-6</v>
      </c>
      <c r="BE15" s="188">
        <f>opex_orig!AW15</f>
        <v>3.7500000000000001E-6</v>
      </c>
      <c r="BF15" s="188">
        <f>opex_orig!AX15</f>
        <v>0</v>
      </c>
      <c r="BG15" s="188">
        <f>opex_orig!AY15</f>
        <v>3.9299999999999996E-6</v>
      </c>
      <c r="BH15" s="188">
        <f>opex_orig!AZ15</f>
        <v>0</v>
      </c>
      <c r="BI15" s="188">
        <f>opex_orig!BA15</f>
        <v>3.36E-6</v>
      </c>
      <c r="BJ15" s="188">
        <f>opex_orig!BB15</f>
        <v>4.9699999999999998E-6</v>
      </c>
      <c r="BK15" s="188">
        <f>opex_orig!BC15</f>
        <v>4.42E-6</v>
      </c>
      <c r="BL15" s="188">
        <f>opex_orig!BD15</f>
        <v>3.49E-6</v>
      </c>
      <c r="BM15" s="188">
        <f>opex_orig!BE15</f>
        <v>7.8800000000000008E-6</v>
      </c>
      <c r="BN15" s="188">
        <f>opex_orig!BF15</f>
        <v>2.51E-5</v>
      </c>
      <c r="BO15" s="188">
        <f>opex_orig!BG15</f>
        <v>1.6200000000000001E-5</v>
      </c>
      <c r="BP15" s="188">
        <f>opex_orig!$BH15</f>
        <v>3.0340668660825402E-6</v>
      </c>
      <c r="BQ15" s="188">
        <f>opex_orig!$BH15</f>
        <v>3.0340668660825402E-6</v>
      </c>
      <c r="BR15" s="188">
        <f>opex_orig!BI15</f>
        <v>3.8399999999999997E-6</v>
      </c>
      <c r="BS15" s="188">
        <f>opex_orig!BJ15</f>
        <v>3.1381399999999999E-4</v>
      </c>
      <c r="BT15" s="188">
        <f>opex_orig!BK15</f>
        <v>1.09412E-4</v>
      </c>
      <c r="BU15" s="188">
        <f>opex_orig!BL15</f>
        <v>0</v>
      </c>
      <c r="BV15" s="27">
        <f>opex_orig!BM15</f>
        <v>4.67258516452962E-6</v>
      </c>
      <c r="BW15" s="27">
        <f>opex_orig!BN15</f>
        <v>1.7232094584709599E-5</v>
      </c>
      <c r="BX15" s="27">
        <f>opex_orig!BO15</f>
        <v>2.4273660630615599E-6</v>
      </c>
      <c r="BY15" s="27">
        <f>opex_orig!BP15</f>
        <v>1.41749446190871E-5</v>
      </c>
      <c r="BZ15" s="27">
        <f>opex_orig!BQ15</f>
        <v>5.59192666834081E-6</v>
      </c>
      <c r="CA15" s="27">
        <f>opex_orig!BR15</f>
        <v>2.2172558711310999E-7</v>
      </c>
      <c r="CB15" s="27">
        <f>opex_orig!BS15</f>
        <v>1.1588758844039099E-5</v>
      </c>
      <c r="CC15" s="27">
        <f>opex_orig!BT15</f>
        <v>7.6399962066904095E-7</v>
      </c>
      <c r="CD15" s="27">
        <f>opex_orig!BU15</f>
        <v>1.9560697756414E-6</v>
      </c>
      <c r="CE15" s="27">
        <f>opex_orig!BV15</f>
        <v>1.9560697756414E-6</v>
      </c>
      <c r="CF15" s="27">
        <f>opex_orig!BW15</f>
        <v>1.02981651211895E-5</v>
      </c>
      <c r="CG15" s="27">
        <f>opex_orig!BX15</f>
        <v>1.0202442963802199E-6</v>
      </c>
      <c r="CH15" s="27">
        <f>opex_orig!BY15</f>
        <v>4.6902846262415303E-6</v>
      </c>
      <c r="CI15" s="27">
        <f>opex_orig!BZ15</f>
        <v>9.1400000000000006E-6</v>
      </c>
      <c r="CJ15" s="27">
        <f>opex_orig!CA15</f>
        <v>3.6200000000000001E-6</v>
      </c>
      <c r="CK15" s="27">
        <f>opex_orig!CB15</f>
        <v>2.9399999999999998E-6</v>
      </c>
      <c r="CL15" s="27">
        <f>opex_orig!CC15</f>
        <v>2.4499999999999998E-6</v>
      </c>
      <c r="CM15" s="27">
        <f>opex_orig!CD15</f>
        <v>6.72E-6</v>
      </c>
      <c r="CN15" s="27">
        <f>opex_orig!CE15</f>
        <v>4.8900000000000003E-5</v>
      </c>
      <c r="CO15" s="27">
        <f>opex_orig!CF15</f>
        <v>3.1499999999999999E-6</v>
      </c>
      <c r="CP15" s="27">
        <f>opex_orig!CG15</f>
        <v>8.2099999999999993E-6</v>
      </c>
    </row>
    <row r="16" spans="1:94" x14ac:dyDescent="0.25">
      <c r="A16" s="5" t="s">
        <v>51</v>
      </c>
      <c r="B16" s="2" t="s">
        <v>50</v>
      </c>
      <c r="C16" s="1" t="s">
        <v>325</v>
      </c>
      <c r="D16" s="188">
        <f>opex_orig!D16</f>
        <v>5.8699999999999995E-7</v>
      </c>
      <c r="E16" s="188">
        <f>opex_orig!E16</f>
        <v>6.3799999999999997E-7</v>
      </c>
      <c r="F16" s="188">
        <f>opex_orig!F16</f>
        <v>9.1999999999999998E-7</v>
      </c>
      <c r="G16" s="188">
        <f>opex_orig!G16</f>
        <v>1.04E-7</v>
      </c>
      <c r="H16" s="188">
        <f>opex_orig!H16</f>
        <v>6.73E-8</v>
      </c>
      <c r="I16" s="188">
        <f>opex_orig!I16</f>
        <v>5.8100000000000003E-6</v>
      </c>
      <c r="J16" s="188">
        <f>opex_orig!J16</f>
        <v>1.15E-6</v>
      </c>
      <c r="K16" s="188">
        <f>opex_orig!K16</f>
        <v>7.4200000000000003E-8</v>
      </c>
      <c r="L16" s="188">
        <f>opex_orig!L16</f>
        <v>6.3099999999999997E-6</v>
      </c>
      <c r="M16" s="188">
        <f>opex_orig!M16</f>
        <v>1.17E-5</v>
      </c>
      <c r="N16" s="188">
        <f>opex_orig!N16</f>
        <v>1.9020714000000001E-2</v>
      </c>
      <c r="O16" s="188">
        <f>opex_orig!O16</f>
        <v>1.4500000000000001E-6</v>
      </c>
      <c r="P16" s="188">
        <f>opex_orig!P16</f>
        <v>2.0699999999999998E-5</v>
      </c>
      <c r="Q16" s="188">
        <f>opex_orig!Q16</f>
        <v>6.0800000000000002E-8</v>
      </c>
      <c r="R16" s="188">
        <f>opex_orig!R16</f>
        <v>7.8600000000000002E-8</v>
      </c>
      <c r="S16" s="188">
        <f>opex_orig!S16</f>
        <v>1.0699999999999999E-6</v>
      </c>
      <c r="T16" s="188">
        <f>opex_orig!T16</f>
        <v>1.6899999999999999E-7</v>
      </c>
      <c r="U16" s="188">
        <f>opex_orig!U16</f>
        <v>8.4900000000000005E-7</v>
      </c>
      <c r="V16" s="188">
        <f>opex_orig!V16</f>
        <v>6.3499999999999996E-7</v>
      </c>
      <c r="W16" s="188">
        <f>opex_orig!W16</f>
        <v>2.4999999999999999E-7</v>
      </c>
      <c r="X16" s="188">
        <f>opex_orig!X16</f>
        <v>1.54E-7</v>
      </c>
      <c r="Y16" s="188">
        <f>opex_orig!Y16</f>
        <v>6.7099999999999999E-8</v>
      </c>
      <c r="Z16" s="188">
        <f>opex_orig!Z16</f>
        <v>1.9599999999999999E-6</v>
      </c>
      <c r="AA16" s="188">
        <f>opex_orig!AA16</f>
        <v>2.96E-7</v>
      </c>
      <c r="AB16" s="188">
        <f>opex_orig!$AB16</f>
        <v>8.9654649341802794E-3</v>
      </c>
      <c r="AC16" s="188">
        <f>opex_orig!$AB16</f>
        <v>8.9654649341802794E-3</v>
      </c>
      <c r="AD16" s="188">
        <f>opex_orig!$AB16</f>
        <v>8.9654649341802794E-3</v>
      </c>
      <c r="AE16" s="188">
        <f>opex_orig!$AC16</f>
        <v>3.71038346291847E-7</v>
      </c>
      <c r="AF16" s="188">
        <f>opex_orig!$AD16</f>
        <v>1.81683672834203E-3</v>
      </c>
      <c r="AG16" s="188">
        <f>opex_orig!$AD16</f>
        <v>1.81683672834203E-3</v>
      </c>
      <c r="AH16" s="188">
        <f>opex_orig!$AD16</f>
        <v>1.81683672834203E-3</v>
      </c>
      <c r="AI16" s="188">
        <f>opex_orig!AE16</f>
        <v>2.0014350000000002E-3</v>
      </c>
      <c r="AJ16" s="188">
        <f>opex_orig!AF16</f>
        <v>8.9146099999999997E-4</v>
      </c>
      <c r="AK16" s="188">
        <f>opex_orig!AG16</f>
        <v>1.6500000000000001E-7</v>
      </c>
      <c r="AL16" s="188">
        <f>opex_orig!AH16</f>
        <v>3.4100000000000001E-8</v>
      </c>
      <c r="AM16" s="188">
        <f>opex_orig!AI16</f>
        <v>7.3900000000000007E-8</v>
      </c>
      <c r="AN16" s="188">
        <f>opex_orig!AJ16</f>
        <v>6.6899999999999997E-8</v>
      </c>
      <c r="AO16" s="188">
        <f>opex_orig!AK16</f>
        <v>8.9000000000000003E-8</v>
      </c>
      <c r="AP16" s="188">
        <f>opex_orig!$AL16</f>
        <v>7.5242867691451605E-8</v>
      </c>
      <c r="AQ16" s="188">
        <f>opex_orig!$AL16</f>
        <v>7.5242867691451605E-8</v>
      </c>
      <c r="AR16" s="188">
        <f>opex_orig!$AL16</f>
        <v>7.5242867691451605E-8</v>
      </c>
      <c r="AS16" s="188">
        <f>opex_orig!$AM16</f>
        <v>8.3601813747779195E-8</v>
      </c>
      <c r="AT16" s="188">
        <f>opex_orig!AN16</f>
        <v>1.03E-7</v>
      </c>
      <c r="AU16" s="188">
        <f>opex_orig!$AO16</f>
        <v>4.4885538010246002E-8</v>
      </c>
      <c r="AV16" s="188">
        <f>opex_orig!$AO16</f>
        <v>4.4885538010246002E-8</v>
      </c>
      <c r="AW16" s="188">
        <f>opex_orig!$AO16</f>
        <v>4.4885538010246002E-8</v>
      </c>
      <c r="AX16" s="188">
        <f>opex_orig!$AP16</f>
        <v>5.4115545258125003E-8</v>
      </c>
      <c r="AY16" s="188">
        <f>opex_orig!AQ16</f>
        <v>7.24E-8</v>
      </c>
      <c r="AZ16" s="188">
        <f>opex_orig!AR16</f>
        <v>0</v>
      </c>
      <c r="BA16" s="188">
        <f>opex_orig!AS16</f>
        <v>8.5500000000000005E-8</v>
      </c>
      <c r="BB16" s="188">
        <f>opex_orig!AT16</f>
        <v>7.2100000000000004E-8</v>
      </c>
      <c r="BC16" s="188">
        <f>opex_orig!AU16</f>
        <v>4.1799999999999997E-8</v>
      </c>
      <c r="BD16" s="188">
        <f>opex_orig!AV16</f>
        <v>3.7300000000000003E-8</v>
      </c>
      <c r="BE16" s="188">
        <f>opex_orig!AW16</f>
        <v>4.6900000000000003E-8</v>
      </c>
      <c r="BF16" s="188">
        <f>opex_orig!AX16</f>
        <v>0</v>
      </c>
      <c r="BG16" s="188">
        <f>opex_orig!AY16</f>
        <v>1.8199999999999999E-7</v>
      </c>
      <c r="BH16" s="188">
        <f>opex_orig!AZ16</f>
        <v>0</v>
      </c>
      <c r="BI16" s="188">
        <f>opex_orig!BA16</f>
        <v>3.6300000000000001E-8</v>
      </c>
      <c r="BJ16" s="188">
        <f>opex_orig!BB16</f>
        <v>5.4499999999999998E-8</v>
      </c>
      <c r="BK16" s="188">
        <f>opex_orig!BC16</f>
        <v>2.23E-7</v>
      </c>
      <c r="BL16" s="188">
        <f>opex_orig!BD16</f>
        <v>2.9499999999999998E-7</v>
      </c>
      <c r="BM16" s="188">
        <f>opex_orig!BE16</f>
        <v>6.68222E-4</v>
      </c>
      <c r="BN16" s="188">
        <f>opex_orig!BF16</f>
        <v>6.5999999999999995E-8</v>
      </c>
      <c r="BO16" s="188">
        <f>opex_orig!BG16</f>
        <v>1.7362689999999999E-3</v>
      </c>
      <c r="BP16" s="188">
        <f>opex_orig!$BH16</f>
        <v>2.2320383265746601E-7</v>
      </c>
      <c r="BQ16" s="188">
        <f>opex_orig!$BH16</f>
        <v>2.2320383265746601E-7</v>
      </c>
      <c r="BR16" s="188">
        <f>opex_orig!BI16</f>
        <v>5.02E-8</v>
      </c>
      <c r="BS16" s="188">
        <f>opex_orig!BJ16</f>
        <v>1.5200000000000001E-7</v>
      </c>
      <c r="BT16" s="188">
        <f>opex_orig!BK16</f>
        <v>1.5077165E-2</v>
      </c>
      <c r="BU16" s="188">
        <f>opex_orig!BL16</f>
        <v>0</v>
      </c>
      <c r="BV16" s="27">
        <f>opex_orig!BM16</f>
        <v>2.6485428201044202E-7</v>
      </c>
      <c r="BW16" s="27">
        <f>opex_orig!BN16</f>
        <v>3.0915730962423102E-7</v>
      </c>
      <c r="BX16" s="27">
        <f>opex_orig!BO16</f>
        <v>1.0718678750979199E-7</v>
      </c>
      <c r="BY16" s="27">
        <f>opex_orig!BP16</f>
        <v>1.8501068362486399E-7</v>
      </c>
      <c r="BZ16" s="27">
        <f>opex_orig!BQ16</f>
        <v>2.0637923133594001E-7</v>
      </c>
      <c r="CA16" s="27">
        <f>opex_orig!BR16</f>
        <v>2.4577290246118101E-8</v>
      </c>
      <c r="CB16" s="27">
        <f>opex_orig!BS16</f>
        <v>4.6585109773163002E-7</v>
      </c>
      <c r="CC16" s="27">
        <f>opex_orig!BT16</f>
        <v>1.78244045380164E-7</v>
      </c>
      <c r="CD16" s="27">
        <f>opex_orig!BU16</f>
        <v>1.71043557286977E-7</v>
      </c>
      <c r="CE16" s="27">
        <f>opex_orig!BV16</f>
        <v>1.7104355728697801E-7</v>
      </c>
      <c r="CF16" s="27">
        <f>opex_orig!BW16</f>
        <v>1.2128038684720101E-6</v>
      </c>
      <c r="CG16" s="27">
        <f>opex_orig!BX16</f>
        <v>4.8952177857585999E-8</v>
      </c>
      <c r="CH16" s="27">
        <f>opex_orig!BY16</f>
        <v>2.7977296955742199E-8</v>
      </c>
      <c r="CI16" s="27">
        <f>opex_orig!BZ16</f>
        <v>2.2100000000000001E-7</v>
      </c>
      <c r="CJ16" s="27">
        <f>opex_orig!CA16</f>
        <v>1.85E-7</v>
      </c>
      <c r="CK16" s="27">
        <f>opex_orig!CB16</f>
        <v>1.9500000000000001E-7</v>
      </c>
      <c r="CL16" s="27">
        <f>opex_orig!CC16</f>
        <v>1.2499999999999999E-7</v>
      </c>
      <c r="CM16" s="27">
        <f>opex_orig!CD16</f>
        <v>2.03E-7</v>
      </c>
      <c r="CN16" s="27">
        <f>opex_orig!CE16</f>
        <v>6.2873479999999999E-3</v>
      </c>
      <c r="CO16" s="27">
        <f>opex_orig!CF16</f>
        <v>3.39E-7</v>
      </c>
      <c r="CP16" s="27">
        <f>opex_orig!CG16</f>
        <v>1.14E-7</v>
      </c>
    </row>
    <row r="17" spans="1:94" x14ac:dyDescent="0.25">
      <c r="A17" s="5" t="s">
        <v>53</v>
      </c>
      <c r="B17" s="2" t="s">
        <v>52</v>
      </c>
      <c r="C17" s="1" t="s">
        <v>325</v>
      </c>
      <c r="D17" s="188">
        <f>opex_orig!D17</f>
        <v>0</v>
      </c>
      <c r="E17" s="188">
        <f>opex_orig!E17</f>
        <v>0</v>
      </c>
      <c r="F17" s="188">
        <f>opex_orig!F17</f>
        <v>0</v>
      </c>
      <c r="G17" s="188">
        <f>opex_orig!G17</f>
        <v>0</v>
      </c>
      <c r="H17" s="188">
        <f>opex_orig!H17</f>
        <v>0</v>
      </c>
      <c r="I17" s="188">
        <f>opex_orig!I17</f>
        <v>0</v>
      </c>
      <c r="J17" s="188">
        <f>opex_orig!J17</f>
        <v>0</v>
      </c>
      <c r="K17" s="188">
        <f>opex_orig!K17</f>
        <v>0</v>
      </c>
      <c r="L17" s="188">
        <f>opex_orig!L17</f>
        <v>0</v>
      </c>
      <c r="M17" s="188">
        <f>opex_orig!M17</f>
        <v>0</v>
      </c>
      <c r="N17" s="188">
        <f>opex_orig!N17</f>
        <v>0</v>
      </c>
      <c r="O17" s="188">
        <f>opex_orig!O17</f>
        <v>0</v>
      </c>
      <c r="P17" s="188">
        <f>opex_orig!P17</f>
        <v>0</v>
      </c>
      <c r="Q17" s="188">
        <f>opex_orig!Q17</f>
        <v>0</v>
      </c>
      <c r="R17" s="188">
        <f>opex_orig!R17</f>
        <v>0</v>
      </c>
      <c r="S17" s="188">
        <f>opex_orig!S17</f>
        <v>0</v>
      </c>
      <c r="T17" s="188">
        <f>opex_orig!T17</f>
        <v>0</v>
      </c>
      <c r="U17" s="188">
        <f>opex_orig!U17</f>
        <v>0</v>
      </c>
      <c r="V17" s="188">
        <f>opex_orig!V17</f>
        <v>0</v>
      </c>
      <c r="W17" s="188">
        <f>opex_orig!W17</f>
        <v>0</v>
      </c>
      <c r="X17" s="188">
        <f>opex_orig!X17</f>
        <v>0</v>
      </c>
      <c r="Y17" s="188">
        <f>opex_orig!Y17</f>
        <v>0</v>
      </c>
      <c r="Z17" s="188">
        <f>opex_orig!Z17</f>
        <v>0</v>
      </c>
      <c r="AA17" s="188">
        <f>opex_orig!AA17</f>
        <v>0</v>
      </c>
      <c r="AB17" s="224">
        <f>opex_concordance!M183</f>
        <v>0</v>
      </c>
      <c r="AC17" s="224">
        <f>opex_concordance!M228</f>
        <v>0</v>
      </c>
      <c r="AD17" s="224">
        <f>opex_concordance!M273</f>
        <v>7.4813005906688212E-2</v>
      </c>
      <c r="AE17" s="188">
        <f>opex_orig!$AC17</f>
        <v>0</v>
      </c>
      <c r="AF17" s="188">
        <f>opex_orig!$AD17</f>
        <v>0</v>
      </c>
      <c r="AG17" s="188">
        <f>opex_orig!$AD17</f>
        <v>0</v>
      </c>
      <c r="AH17" s="188">
        <f>opex_orig!$AD17</f>
        <v>0</v>
      </c>
      <c r="AI17" s="188">
        <f>opex_orig!AE17</f>
        <v>0</v>
      </c>
      <c r="AJ17" s="188">
        <f>opex_orig!AF17</f>
        <v>0</v>
      </c>
      <c r="AK17" s="188">
        <f>opex_orig!AG17</f>
        <v>0</v>
      </c>
      <c r="AL17" s="188">
        <f>opex_orig!AH17</f>
        <v>0</v>
      </c>
      <c r="AM17" s="188">
        <f>opex_orig!AI17</f>
        <v>0</v>
      </c>
      <c r="AN17" s="188">
        <f>opex_orig!AJ17</f>
        <v>0</v>
      </c>
      <c r="AO17" s="188">
        <f>opex_orig!AK17</f>
        <v>0</v>
      </c>
      <c r="AP17" s="188">
        <f>opex_orig!$AL17</f>
        <v>0</v>
      </c>
      <c r="AQ17" s="188">
        <f>opex_orig!$AL17</f>
        <v>0</v>
      </c>
      <c r="AR17" s="188">
        <f>opex_orig!$AL17</f>
        <v>0</v>
      </c>
      <c r="AS17" s="188">
        <f>opex_orig!$AM17</f>
        <v>0</v>
      </c>
      <c r="AT17" s="188">
        <f>opex_orig!AN17</f>
        <v>0</v>
      </c>
      <c r="AU17" s="188">
        <f>opex_orig!$AO17</f>
        <v>0</v>
      </c>
      <c r="AV17" s="188">
        <f>opex_orig!$AO17</f>
        <v>0</v>
      </c>
      <c r="AW17" s="188">
        <f>opex_orig!$AO17</f>
        <v>0</v>
      </c>
      <c r="AX17" s="188">
        <f>opex_orig!$AP17</f>
        <v>0</v>
      </c>
      <c r="AY17" s="188">
        <f>opex_orig!AQ17</f>
        <v>0</v>
      </c>
      <c r="AZ17" s="188">
        <f>opex_orig!AR17</f>
        <v>0</v>
      </c>
      <c r="BA17" s="188">
        <f>opex_orig!AS17</f>
        <v>0</v>
      </c>
      <c r="BB17" s="188">
        <f>opex_orig!AT17</f>
        <v>0</v>
      </c>
      <c r="BC17" s="188">
        <f>opex_orig!AU17</f>
        <v>0</v>
      </c>
      <c r="BD17" s="188">
        <f>opex_orig!AV17</f>
        <v>0</v>
      </c>
      <c r="BE17" s="188">
        <f>opex_orig!AW17</f>
        <v>0</v>
      </c>
      <c r="BF17" s="188">
        <f>opex_orig!AX17</f>
        <v>0</v>
      </c>
      <c r="BG17" s="188">
        <f>opex_orig!AY17</f>
        <v>0</v>
      </c>
      <c r="BH17" s="188">
        <f>opex_orig!AZ17</f>
        <v>0</v>
      </c>
      <c r="BI17" s="188">
        <f>opex_orig!BA17</f>
        <v>0</v>
      </c>
      <c r="BJ17" s="188">
        <f>opex_orig!BB17</f>
        <v>0</v>
      </c>
      <c r="BK17" s="188">
        <f>opex_orig!BC17</f>
        <v>0</v>
      </c>
      <c r="BL17" s="188">
        <f>opex_orig!BD17</f>
        <v>0</v>
      </c>
      <c r="BM17" s="188">
        <f>opex_orig!BE17</f>
        <v>0</v>
      </c>
      <c r="BN17" s="188">
        <f>opex_orig!BF17</f>
        <v>0</v>
      </c>
      <c r="BO17" s="188">
        <f>opex_orig!BG17</f>
        <v>0</v>
      </c>
      <c r="BP17" s="188">
        <f>opex_orig!$BH17</f>
        <v>0</v>
      </c>
      <c r="BQ17" s="188">
        <f>opex_orig!$BH17</f>
        <v>0</v>
      </c>
      <c r="BR17" s="188">
        <f>opex_orig!BI17</f>
        <v>0</v>
      </c>
      <c r="BS17" s="188">
        <f>opex_orig!BJ17</f>
        <v>0</v>
      </c>
      <c r="BT17" s="188">
        <f>opex_orig!BK17</f>
        <v>0</v>
      </c>
      <c r="BU17" s="188">
        <f>opex_orig!BL17</f>
        <v>0</v>
      </c>
      <c r="BV17" s="27">
        <f>opex_orig!BM17</f>
        <v>0</v>
      </c>
      <c r="BW17" s="27">
        <f>opex_orig!BN17</f>
        <v>0</v>
      </c>
      <c r="BX17" s="27">
        <f>opex_orig!BO17</f>
        <v>0</v>
      </c>
      <c r="BY17" s="27">
        <f>opex_orig!BP17</f>
        <v>0</v>
      </c>
      <c r="BZ17" s="27">
        <f>opex_orig!BQ17</f>
        <v>0</v>
      </c>
      <c r="CA17" s="27">
        <f>opex_orig!BR17</f>
        <v>0</v>
      </c>
      <c r="CB17" s="27">
        <f>opex_orig!BS17</f>
        <v>0</v>
      </c>
      <c r="CC17" s="27">
        <f>opex_orig!BT17</f>
        <v>0</v>
      </c>
      <c r="CD17" s="27">
        <f>opex_orig!BU17</f>
        <v>0</v>
      </c>
      <c r="CE17" s="27">
        <f>opex_orig!BV17</f>
        <v>0</v>
      </c>
      <c r="CF17" s="27">
        <f>opex_orig!BW17</f>
        <v>0</v>
      </c>
      <c r="CG17" s="27">
        <f>opex_orig!BX17</f>
        <v>0</v>
      </c>
      <c r="CH17" s="27">
        <f>opex_orig!BY17</f>
        <v>0</v>
      </c>
      <c r="CI17" s="27">
        <f>opex_orig!BZ17</f>
        <v>0</v>
      </c>
      <c r="CJ17" s="27">
        <f>opex_orig!CA17</f>
        <v>0</v>
      </c>
      <c r="CK17" s="27">
        <f>opex_orig!CB17</f>
        <v>0</v>
      </c>
      <c r="CL17" s="27">
        <f>opex_orig!CC17</f>
        <v>0</v>
      </c>
      <c r="CM17" s="27">
        <f>opex_orig!CD17</f>
        <v>0</v>
      </c>
      <c r="CN17" s="27">
        <f>opex_orig!CE17</f>
        <v>0</v>
      </c>
      <c r="CO17" s="27">
        <f>opex_orig!CF17</f>
        <v>0</v>
      </c>
      <c r="CP17" s="27">
        <f>opex_orig!CG17</f>
        <v>0</v>
      </c>
    </row>
    <row r="18" spans="1:94" x14ac:dyDescent="0.25">
      <c r="A18" s="5" t="s">
        <v>55</v>
      </c>
      <c r="B18" s="2" t="s">
        <v>54</v>
      </c>
      <c r="C18" s="1" t="s">
        <v>325</v>
      </c>
      <c r="D18" s="188">
        <f>opex_orig!D18</f>
        <v>0</v>
      </c>
      <c r="E18" s="188">
        <f>opex_orig!E18</f>
        <v>0</v>
      </c>
      <c r="F18" s="188">
        <f>opex_orig!F18</f>
        <v>0</v>
      </c>
      <c r="G18" s="188">
        <f>opex_orig!G18</f>
        <v>0</v>
      </c>
      <c r="H18" s="188">
        <f>opex_orig!H18</f>
        <v>0</v>
      </c>
      <c r="I18" s="188">
        <f>opex_orig!I18</f>
        <v>0</v>
      </c>
      <c r="J18" s="188">
        <f>opex_orig!J18</f>
        <v>0</v>
      </c>
      <c r="K18" s="188">
        <f>opex_orig!K18</f>
        <v>0</v>
      </c>
      <c r="L18" s="188">
        <f>opex_orig!L18</f>
        <v>0</v>
      </c>
      <c r="M18" s="188">
        <f>opex_orig!M18</f>
        <v>0</v>
      </c>
      <c r="N18" s="188">
        <f>opex_orig!N18</f>
        <v>0</v>
      </c>
      <c r="O18" s="188">
        <f>opex_orig!O18</f>
        <v>0</v>
      </c>
      <c r="P18" s="188">
        <f>opex_orig!P18</f>
        <v>0</v>
      </c>
      <c r="Q18" s="188">
        <f>opex_orig!Q18</f>
        <v>0</v>
      </c>
      <c r="R18" s="188">
        <f>opex_orig!R18</f>
        <v>0</v>
      </c>
      <c r="S18" s="188">
        <f>opex_orig!S18</f>
        <v>0</v>
      </c>
      <c r="T18" s="188">
        <f>opex_orig!T18</f>
        <v>0</v>
      </c>
      <c r="U18" s="188">
        <f>opex_orig!U18</f>
        <v>0</v>
      </c>
      <c r="V18" s="188">
        <f>opex_orig!V18</f>
        <v>0</v>
      </c>
      <c r="W18" s="188">
        <f>opex_orig!W18</f>
        <v>0</v>
      </c>
      <c r="X18" s="188">
        <f>opex_orig!X18</f>
        <v>0</v>
      </c>
      <c r="Y18" s="188">
        <f>opex_orig!Y18</f>
        <v>0</v>
      </c>
      <c r="Z18" s="188">
        <f>opex_orig!Z18</f>
        <v>0</v>
      </c>
      <c r="AA18" s="188">
        <f>opex_orig!AA18</f>
        <v>0</v>
      </c>
      <c r="AB18" s="234">
        <f>opex_concordance!M184</f>
        <v>0</v>
      </c>
      <c r="AC18" s="234">
        <f>opex_concordance!M229</f>
        <v>0</v>
      </c>
      <c r="AD18" s="234">
        <f>opex_concordance!M274</f>
        <v>7.4813005906688212E-2</v>
      </c>
      <c r="AE18" s="188">
        <f>opex_orig!$AC18</f>
        <v>0</v>
      </c>
      <c r="AF18" s="188">
        <f>opex_orig!$AD18</f>
        <v>0</v>
      </c>
      <c r="AG18" s="188">
        <f>opex_orig!$AD18</f>
        <v>0</v>
      </c>
      <c r="AH18" s="188">
        <f>opex_orig!$AD18</f>
        <v>0</v>
      </c>
      <c r="AI18" s="188">
        <f>opex_orig!AE18</f>
        <v>0</v>
      </c>
      <c r="AJ18" s="188">
        <f>opex_orig!AF18</f>
        <v>0</v>
      </c>
      <c r="AK18" s="188">
        <f>opex_orig!AG18</f>
        <v>0</v>
      </c>
      <c r="AL18" s="188">
        <f>opex_orig!AH18</f>
        <v>0</v>
      </c>
      <c r="AM18" s="188">
        <f>opex_orig!AI18</f>
        <v>0</v>
      </c>
      <c r="AN18" s="188">
        <f>opex_orig!AJ18</f>
        <v>0</v>
      </c>
      <c r="AO18" s="188">
        <f>opex_orig!AK18</f>
        <v>0</v>
      </c>
      <c r="AP18" s="188">
        <f>opex_orig!$AL18</f>
        <v>0</v>
      </c>
      <c r="AQ18" s="188">
        <f>opex_orig!$AL18</f>
        <v>0</v>
      </c>
      <c r="AR18" s="188">
        <f>opex_orig!$AL18</f>
        <v>0</v>
      </c>
      <c r="AS18" s="188">
        <f>opex_orig!$AM18</f>
        <v>0</v>
      </c>
      <c r="AT18" s="188">
        <f>opex_orig!AN18</f>
        <v>0</v>
      </c>
      <c r="AU18" s="188">
        <f>opex_orig!$AO18</f>
        <v>0</v>
      </c>
      <c r="AV18" s="188">
        <f>opex_orig!$AO18</f>
        <v>0</v>
      </c>
      <c r="AW18" s="188">
        <f>opex_orig!$AO18</f>
        <v>0</v>
      </c>
      <c r="AX18" s="188">
        <f>opex_orig!$AP18</f>
        <v>0</v>
      </c>
      <c r="AY18" s="188">
        <f>opex_orig!AQ18</f>
        <v>0</v>
      </c>
      <c r="AZ18" s="188">
        <f>opex_orig!AR18</f>
        <v>0</v>
      </c>
      <c r="BA18" s="188">
        <f>opex_orig!AS18</f>
        <v>0</v>
      </c>
      <c r="BB18" s="188">
        <f>opex_orig!AT18</f>
        <v>0</v>
      </c>
      <c r="BC18" s="188">
        <f>opex_orig!AU18</f>
        <v>0</v>
      </c>
      <c r="BD18" s="188">
        <f>opex_orig!AV18</f>
        <v>0</v>
      </c>
      <c r="BE18" s="188">
        <f>opex_orig!AW18</f>
        <v>0</v>
      </c>
      <c r="BF18" s="188">
        <f>opex_orig!AX18</f>
        <v>0</v>
      </c>
      <c r="BG18" s="188">
        <f>opex_orig!AY18</f>
        <v>0</v>
      </c>
      <c r="BH18" s="188">
        <f>opex_orig!AZ18</f>
        <v>0</v>
      </c>
      <c r="BI18" s="188">
        <f>opex_orig!BA18</f>
        <v>0</v>
      </c>
      <c r="BJ18" s="188">
        <f>opex_orig!BB18</f>
        <v>0</v>
      </c>
      <c r="BK18" s="188">
        <f>opex_orig!BC18</f>
        <v>0</v>
      </c>
      <c r="BL18" s="188">
        <f>opex_orig!BD18</f>
        <v>0</v>
      </c>
      <c r="BM18" s="188">
        <f>opex_orig!BE18</f>
        <v>0</v>
      </c>
      <c r="BN18" s="188">
        <f>opex_orig!BF18</f>
        <v>0</v>
      </c>
      <c r="BO18" s="188">
        <f>opex_orig!BG18</f>
        <v>0</v>
      </c>
      <c r="BP18" s="188">
        <f>opex_orig!$BH18</f>
        <v>0</v>
      </c>
      <c r="BQ18" s="188">
        <f>opex_orig!$BH18</f>
        <v>0</v>
      </c>
      <c r="BR18" s="188">
        <f>opex_orig!BI18</f>
        <v>0</v>
      </c>
      <c r="BS18" s="188">
        <f>opex_orig!BJ18</f>
        <v>0</v>
      </c>
      <c r="BT18" s="188">
        <f>opex_orig!BK18</f>
        <v>0</v>
      </c>
      <c r="BU18" s="188">
        <f>opex_orig!BL18</f>
        <v>0</v>
      </c>
      <c r="BV18" s="27">
        <f>opex_orig!BM18</f>
        <v>0</v>
      </c>
      <c r="BW18" s="27">
        <f>opex_orig!BN18</f>
        <v>0</v>
      </c>
      <c r="BX18" s="27">
        <f>opex_orig!BO18</f>
        <v>0</v>
      </c>
      <c r="BY18" s="27">
        <f>opex_orig!BP18</f>
        <v>0</v>
      </c>
      <c r="BZ18" s="27">
        <f>opex_orig!BQ18</f>
        <v>0</v>
      </c>
      <c r="CA18" s="27">
        <f>opex_orig!BR18</f>
        <v>0</v>
      </c>
      <c r="CB18" s="27">
        <f>opex_orig!BS18</f>
        <v>0</v>
      </c>
      <c r="CC18" s="27">
        <f>opex_orig!BT18</f>
        <v>0</v>
      </c>
      <c r="CD18" s="27">
        <f>opex_orig!BU18</f>
        <v>0</v>
      </c>
      <c r="CE18" s="27">
        <f>opex_orig!BV18</f>
        <v>0</v>
      </c>
      <c r="CF18" s="27">
        <f>opex_orig!BW18</f>
        <v>0</v>
      </c>
      <c r="CG18" s="27">
        <f>opex_orig!BX18</f>
        <v>0</v>
      </c>
      <c r="CH18" s="27">
        <f>opex_orig!BY18</f>
        <v>0</v>
      </c>
      <c r="CI18" s="27">
        <f>opex_orig!BZ18</f>
        <v>0</v>
      </c>
      <c r="CJ18" s="27">
        <f>opex_orig!CA18</f>
        <v>0</v>
      </c>
      <c r="CK18" s="27">
        <f>opex_orig!CB18</f>
        <v>0</v>
      </c>
      <c r="CL18" s="27">
        <f>opex_orig!CC18</f>
        <v>0</v>
      </c>
      <c r="CM18" s="27">
        <f>opex_orig!CD18</f>
        <v>0</v>
      </c>
      <c r="CN18" s="27">
        <f>opex_orig!CE18</f>
        <v>0</v>
      </c>
      <c r="CO18" s="27">
        <f>opex_orig!CF18</f>
        <v>0</v>
      </c>
      <c r="CP18" s="27">
        <f>opex_orig!CG18</f>
        <v>0</v>
      </c>
    </row>
    <row r="19" spans="1:94" x14ac:dyDescent="0.25">
      <c r="A19" s="5" t="s">
        <v>57</v>
      </c>
      <c r="B19" s="2" t="s">
        <v>56</v>
      </c>
      <c r="C19" s="1" t="s">
        <v>325</v>
      </c>
      <c r="D19" s="188">
        <f>opex_orig!D19</f>
        <v>4.6561399999999999E-4</v>
      </c>
      <c r="E19" s="188">
        <f>opex_orig!E19</f>
        <v>2.49025E-4</v>
      </c>
      <c r="F19" s="188">
        <f>opex_orig!F19</f>
        <v>1.67646E-4</v>
      </c>
      <c r="G19" s="188">
        <f>opex_orig!G19</f>
        <v>3.7200000000000003E-5</v>
      </c>
      <c r="H19" s="188">
        <f>opex_orig!H19</f>
        <v>4.5599999999999997E-5</v>
      </c>
      <c r="I19" s="188">
        <f>opex_orig!I19</f>
        <v>4.71309E-4</v>
      </c>
      <c r="J19" s="188">
        <f>opex_orig!J19</f>
        <v>3.7603400000000003E-4</v>
      </c>
      <c r="K19" s="188">
        <f>opex_orig!K19</f>
        <v>1.11092E-4</v>
      </c>
      <c r="L19" s="188">
        <f>opex_orig!L19</f>
        <v>6.7024770000000001E-3</v>
      </c>
      <c r="M19" s="188">
        <f>opex_orig!M19</f>
        <v>7.7543070000000002E-3</v>
      </c>
      <c r="N19" s="188">
        <f>opex_orig!N19</f>
        <v>8.710476E-3</v>
      </c>
      <c r="O19" s="188">
        <f>opex_orig!O19</f>
        <v>8.6841167999999996E-2</v>
      </c>
      <c r="P19" s="188">
        <f>opex_orig!P19</f>
        <v>1.9023878000000001E-2</v>
      </c>
      <c r="Q19" s="188">
        <f>opex_orig!Q19</f>
        <v>3.2443800000000003E-4</v>
      </c>
      <c r="R19" s="188">
        <f>opex_orig!R19</f>
        <v>2.31096E-4</v>
      </c>
      <c r="S19" s="188">
        <f>opex_orig!S19</f>
        <v>0.24746127000000001</v>
      </c>
      <c r="T19" s="188">
        <f>opex_orig!T19</f>
        <v>5.1552849999999999E-3</v>
      </c>
      <c r="U19" s="188">
        <f>opex_orig!U19</f>
        <v>9.0172163999999999E-2</v>
      </c>
      <c r="V19" s="188">
        <f>opex_orig!V19</f>
        <v>4.2904199999999998E-4</v>
      </c>
      <c r="W19" s="188">
        <f>opex_orig!W19</f>
        <v>3.7532677E-2</v>
      </c>
      <c r="X19" s="188">
        <f>opex_orig!X19</f>
        <v>1.00865E-4</v>
      </c>
      <c r="Y19" s="188">
        <f>opex_orig!Y19</f>
        <v>8.3954199999999998E-4</v>
      </c>
      <c r="Z19" s="188">
        <f>opex_orig!Z19</f>
        <v>3.1935399999999999E-4</v>
      </c>
      <c r="AA19" s="188">
        <f>opex_orig!AA19</f>
        <v>4.1841900000000001E-4</v>
      </c>
      <c r="AB19" s="284">
        <f>opex_concordance!M185</f>
        <v>1.7549611960191201E-4</v>
      </c>
      <c r="AC19" s="284">
        <f>opex_concordance!M230</f>
        <v>2.2111873259401461E-4</v>
      </c>
      <c r="AD19" s="284">
        <f>opex_concordance!M275</f>
        <v>7.5015607405401863E-2</v>
      </c>
      <c r="AE19" s="188">
        <f>opex_orig!$AC19</f>
        <v>1.4250602959395701E-3</v>
      </c>
      <c r="AF19" s="188">
        <f>opex_orig!$AD19</f>
        <v>6.7032224155254402E-4</v>
      </c>
      <c r="AG19" s="188">
        <f>opex_orig!$AD19</f>
        <v>6.7032224155254402E-4</v>
      </c>
      <c r="AH19" s="188">
        <f>opex_orig!$AD19</f>
        <v>6.7032224155254402E-4</v>
      </c>
      <c r="AI19" s="188">
        <f>opex_orig!AE19</f>
        <v>5.9234999999999995E-4</v>
      </c>
      <c r="AJ19" s="188">
        <f>opex_orig!AF19</f>
        <v>8.0176200000000003E-4</v>
      </c>
      <c r="AK19" s="188">
        <f>opex_orig!AG19</f>
        <v>2.28648E-4</v>
      </c>
      <c r="AL19" s="188">
        <f>opex_orig!AH19</f>
        <v>2.9703999999999999E-4</v>
      </c>
      <c r="AM19" s="188">
        <f>opex_orig!AI19</f>
        <v>3.8532099999999999E-4</v>
      </c>
      <c r="AN19" s="188">
        <f>opex_orig!AJ19</f>
        <v>5.3403100000000002E-4</v>
      </c>
      <c r="AO19" s="188">
        <f>opex_orig!AK19</f>
        <v>4.4494499999999998E-4</v>
      </c>
      <c r="AP19" s="188">
        <f>opex_orig!$AL19</f>
        <v>4.2813913786746502E-4</v>
      </c>
      <c r="AQ19" s="188">
        <f>opex_orig!$AL19</f>
        <v>4.2813913786746502E-4</v>
      </c>
      <c r="AR19" s="188">
        <f>opex_orig!$AL19</f>
        <v>4.2813913786746502E-4</v>
      </c>
      <c r="AS19" s="188">
        <f>opex_orig!$AM19</f>
        <v>4.4223446280562499E-4</v>
      </c>
      <c r="AT19" s="188">
        <f>opex_orig!AN19</f>
        <v>3.1315800000000001E-4</v>
      </c>
      <c r="AU19" s="188">
        <f>opex_orig!$AO19</f>
        <v>6.7085912738136402E-4</v>
      </c>
      <c r="AV19" s="188">
        <f>opex_orig!$AO19</f>
        <v>6.7085912738136402E-4</v>
      </c>
      <c r="AW19" s="188">
        <f>opex_orig!$AO19</f>
        <v>6.7085912738136402E-4</v>
      </c>
      <c r="AX19" s="188">
        <f>opex_orig!$AP19</f>
        <v>6.9130115227240504E-4</v>
      </c>
      <c r="AY19" s="188">
        <f>opex_orig!AQ19</f>
        <v>1.3127289999999999E-3</v>
      </c>
      <c r="AZ19" s="188">
        <f>opex_orig!AR19</f>
        <v>0</v>
      </c>
      <c r="BA19" s="188">
        <f>opex_orig!AS19</f>
        <v>7.4404199999999999E-4</v>
      </c>
      <c r="BB19" s="188">
        <f>opex_orig!AT19</f>
        <v>7.2008800000000002E-4</v>
      </c>
      <c r="BC19" s="188">
        <f>opex_orig!AU19</f>
        <v>1.69653E-4</v>
      </c>
      <c r="BD19" s="188">
        <f>opex_orig!AV19</f>
        <v>1.33206E-4</v>
      </c>
      <c r="BE19" s="188">
        <f>opex_orig!AW19</f>
        <v>4.8679600000000001E-4</v>
      </c>
      <c r="BF19" s="188">
        <f>opex_orig!AX19</f>
        <v>0</v>
      </c>
      <c r="BG19" s="188">
        <f>opex_orig!AY19</f>
        <v>1.041099E-3</v>
      </c>
      <c r="BH19" s="188">
        <f>opex_orig!AZ19</f>
        <v>0</v>
      </c>
      <c r="BI19" s="188">
        <f>opex_orig!BA19</f>
        <v>1.1355989999999999E-3</v>
      </c>
      <c r="BJ19" s="188">
        <f>opex_orig!BB19</f>
        <v>7.7299999999999995E-5</v>
      </c>
      <c r="BK19" s="188">
        <f>opex_orig!BC19</f>
        <v>1.6690100000000001E-4</v>
      </c>
      <c r="BL19" s="188">
        <f>opex_orig!BD19</f>
        <v>2.76E-5</v>
      </c>
      <c r="BM19" s="188">
        <f>opex_orig!BE19</f>
        <v>1.1511E-4</v>
      </c>
      <c r="BN19" s="188">
        <f>opex_orig!BF19</f>
        <v>6.5099999999999997E-5</v>
      </c>
      <c r="BO19" s="188">
        <f>opex_orig!BG19</f>
        <v>1.6452900000000001E-4</v>
      </c>
      <c r="BP19" s="188">
        <f>opex_orig!$BH19</f>
        <v>3.9651344089566202E-4</v>
      </c>
      <c r="BQ19" s="188">
        <f>opex_orig!$BH19</f>
        <v>3.9651344089566202E-4</v>
      </c>
      <c r="BR19" s="188">
        <f>opex_orig!BI19</f>
        <v>1.06993E-4</v>
      </c>
      <c r="BS19" s="188">
        <f>opex_orig!BJ19</f>
        <v>1.5136819999999999E-3</v>
      </c>
      <c r="BT19" s="188">
        <f>opex_orig!BK19</f>
        <v>1.46773E-4</v>
      </c>
      <c r="BU19" s="188">
        <f>opex_orig!BL19</f>
        <v>0</v>
      </c>
      <c r="BV19" s="27">
        <f>opex_orig!BM19</f>
        <v>5.0507675663744099E-4</v>
      </c>
      <c r="BW19" s="27">
        <f>opex_orig!BN19</f>
        <v>6.1548312352514704E-4</v>
      </c>
      <c r="BX19" s="27">
        <f>opex_orig!BO19</f>
        <v>9.5120772548679499E-5</v>
      </c>
      <c r="BY19" s="27">
        <f>opex_orig!BP19</f>
        <v>1.4704930705303299E-4</v>
      </c>
      <c r="BZ19" s="27">
        <f>opex_orig!BQ19</f>
        <v>2.0290411604863601E-4</v>
      </c>
      <c r="CA19" s="27">
        <f>opex_orig!BR19</f>
        <v>1.2697500778590599E-6</v>
      </c>
      <c r="CB19" s="27">
        <f>opex_orig!BS19</f>
        <v>7.3312490790736098E-4</v>
      </c>
      <c r="CC19" s="27">
        <f>opex_orig!BT19</f>
        <v>4.8827758569412301E-2</v>
      </c>
      <c r="CD19" s="27">
        <f>opex_orig!BU19</f>
        <v>1.12252453274693E-4</v>
      </c>
      <c r="CE19" s="27">
        <f>opex_orig!BV19</f>
        <v>1.12252453274693E-4</v>
      </c>
      <c r="CF19" s="27">
        <f>opex_orig!BW19</f>
        <v>1.00161804171293E-6</v>
      </c>
      <c r="CG19" s="27">
        <f>opex_orig!BX19</f>
        <v>7.2637337954216603E-7</v>
      </c>
      <c r="CH19" s="27">
        <f>opex_orig!BY19</f>
        <v>1.45073822464957E-5</v>
      </c>
      <c r="CI19" s="27">
        <f>opex_orig!BZ19</f>
        <v>2.75698E-4</v>
      </c>
      <c r="CJ19" s="27">
        <f>opex_orig!CA19</f>
        <v>1.6327599999999999E-4</v>
      </c>
      <c r="CK19" s="27">
        <f>opex_orig!CB19</f>
        <v>1.6791899999999999E-4</v>
      </c>
      <c r="CL19" s="27">
        <f>opex_orig!CC19</f>
        <v>9.8099999999999999E-5</v>
      </c>
      <c r="CM19" s="27">
        <f>opex_orig!CD19</f>
        <v>6.7571600000000003E-4</v>
      </c>
      <c r="CN19" s="27">
        <f>opex_orig!CE19</f>
        <v>2.6160499999999999E-4</v>
      </c>
      <c r="CO19" s="27">
        <f>opex_orig!CF19</f>
        <v>1.062513E-3</v>
      </c>
      <c r="CP19" s="27">
        <f>opex_orig!CG19</f>
        <v>2.09316E-4</v>
      </c>
    </row>
    <row r="20" spans="1:94" x14ac:dyDescent="0.25">
      <c r="A20" s="5" t="s">
        <v>59</v>
      </c>
      <c r="B20" s="2" t="s">
        <v>58</v>
      </c>
      <c r="C20" s="1" t="s">
        <v>325</v>
      </c>
      <c r="D20" s="188">
        <f>opex_orig!D20</f>
        <v>5.7839299999999996E-4</v>
      </c>
      <c r="E20" s="188">
        <f>opex_orig!E20</f>
        <v>1.18088E-3</v>
      </c>
      <c r="F20" s="188">
        <f>opex_orig!F20</f>
        <v>4.5255099999999998E-4</v>
      </c>
      <c r="G20" s="188">
        <f>opex_orig!G20</f>
        <v>1.7189500000000001E-4</v>
      </c>
      <c r="H20" s="188">
        <f>opex_orig!H20</f>
        <v>1.7523699999999999E-4</v>
      </c>
      <c r="I20" s="188">
        <f>opex_orig!I20</f>
        <v>2.7258040000000001E-3</v>
      </c>
      <c r="J20" s="188">
        <f>opex_orig!J20</f>
        <v>1.21103E-4</v>
      </c>
      <c r="K20" s="188">
        <f>opex_orig!K20</f>
        <v>2.6762500000000001E-4</v>
      </c>
      <c r="L20" s="188">
        <f>opex_orig!L20</f>
        <v>4.7003899999999996E-3</v>
      </c>
      <c r="M20" s="188">
        <f>opex_orig!M20</f>
        <v>1.3217378E-2</v>
      </c>
      <c r="N20" s="188">
        <f>opex_orig!N20</f>
        <v>5.8931820000000003E-3</v>
      </c>
      <c r="O20" s="188">
        <f>opex_orig!O20</f>
        <v>4.8172550000000003E-3</v>
      </c>
      <c r="P20" s="188">
        <f>opex_orig!P20</f>
        <v>1.0243769999999999E-3</v>
      </c>
      <c r="Q20" s="188">
        <f>opex_orig!Q20</f>
        <v>1.3200000000000001E-5</v>
      </c>
      <c r="R20" s="188">
        <f>opex_orig!R20</f>
        <v>1.36E-5</v>
      </c>
      <c r="S20" s="188">
        <f>opex_orig!S20</f>
        <v>5.58819E-4</v>
      </c>
      <c r="T20" s="188">
        <f>opex_orig!T20</f>
        <v>8.4600000000000003E-6</v>
      </c>
      <c r="U20" s="188">
        <f>opex_orig!U20</f>
        <v>2.0222400000000001E-4</v>
      </c>
      <c r="V20" s="188">
        <f>opex_orig!V20</f>
        <v>7.2599999999999999E-6</v>
      </c>
      <c r="W20" s="188">
        <f>opex_orig!W20</f>
        <v>8.8399999999999994E-5</v>
      </c>
      <c r="X20" s="188">
        <f>opex_orig!X20</f>
        <v>6.3199999999999996E-6</v>
      </c>
      <c r="Y20" s="188">
        <f>opex_orig!Y20</f>
        <v>2.6800000000000002E-6</v>
      </c>
      <c r="Z20" s="188">
        <f>opex_orig!Z20</f>
        <v>4.6099999999999999E-6</v>
      </c>
      <c r="AA20" s="188">
        <f>opex_orig!AA20</f>
        <v>7.7200000000000006E-6</v>
      </c>
      <c r="AB20" s="188">
        <f>opex_orig!$AB20</f>
        <v>7.1600679228081903E-6</v>
      </c>
      <c r="AC20" s="188">
        <f>opex_orig!$AB20</f>
        <v>7.1600679228081903E-6</v>
      </c>
      <c r="AD20" s="188">
        <f>opex_orig!$AB20</f>
        <v>7.1600679228081903E-6</v>
      </c>
      <c r="AE20" s="188">
        <f>opex_orig!$AC20</f>
        <v>7.5975921821049198E-5</v>
      </c>
      <c r="AF20" s="188">
        <f>opex_orig!$AD20</f>
        <v>3.4627153017206103E-5</v>
      </c>
      <c r="AG20" s="188">
        <f>opex_orig!$AD20</f>
        <v>3.4627153017206103E-5</v>
      </c>
      <c r="AH20" s="188">
        <f>opex_orig!$AD20</f>
        <v>3.4627153017206103E-5</v>
      </c>
      <c r="AI20" s="188">
        <f>opex_orig!AE20</f>
        <v>3.0899999999999999E-5</v>
      </c>
      <c r="AJ20" s="188">
        <f>opex_orig!AF20</f>
        <v>4.7899999999999999E-5</v>
      </c>
      <c r="AK20" s="188">
        <f>opex_orig!AG20</f>
        <v>5.5899999999999998E-6</v>
      </c>
      <c r="AL20" s="188">
        <f>opex_orig!AH20</f>
        <v>4.6500000000000004E-6</v>
      </c>
      <c r="AM20" s="188">
        <f>opex_orig!AI20</f>
        <v>9.3600000000000002E-6</v>
      </c>
      <c r="AN20" s="188">
        <f>opex_orig!AJ20</f>
        <v>3.4300000000000002E-6</v>
      </c>
      <c r="AO20" s="188">
        <f>opex_orig!AK20</f>
        <v>7.3200000000000002E-6</v>
      </c>
      <c r="AP20" s="188">
        <f>opex_orig!$AL20</f>
        <v>6.0452200706155197E-6</v>
      </c>
      <c r="AQ20" s="188">
        <f>opex_orig!$AL20</f>
        <v>6.0452200706155197E-6</v>
      </c>
      <c r="AR20" s="188">
        <f>opex_orig!$AL20</f>
        <v>6.0452200706155197E-6</v>
      </c>
      <c r="AS20" s="188">
        <f>opex_orig!$AM20</f>
        <v>6.6625534867270503E-6</v>
      </c>
      <c r="AT20" s="188">
        <f>opex_orig!AN20</f>
        <v>1.06E-5</v>
      </c>
      <c r="AU20" s="188">
        <f>opex_orig!$AO20</f>
        <v>1.7166881729968899E-6</v>
      </c>
      <c r="AV20" s="188">
        <f>opex_orig!$AO20</f>
        <v>1.7166881729968899E-6</v>
      </c>
      <c r="AW20" s="188">
        <f>opex_orig!$AO20</f>
        <v>1.7166881729968899E-6</v>
      </c>
      <c r="AX20" s="188">
        <f>opex_orig!$AP20</f>
        <v>2.69388690246048E-6</v>
      </c>
      <c r="AY20" s="188">
        <f>opex_orig!AQ20</f>
        <v>3.6899999999999998E-6</v>
      </c>
      <c r="AZ20" s="188">
        <f>opex_orig!AR20</f>
        <v>0</v>
      </c>
      <c r="BA20" s="188">
        <f>opex_orig!AS20</f>
        <v>3.2600000000000001E-6</v>
      </c>
      <c r="BB20" s="188">
        <f>opex_orig!AT20</f>
        <v>2.6400000000000001E-6</v>
      </c>
      <c r="BC20" s="188">
        <f>opex_orig!AU20</f>
        <v>1.4500000000000001E-6</v>
      </c>
      <c r="BD20" s="188">
        <f>opex_orig!AV20</f>
        <v>1.39E-6</v>
      </c>
      <c r="BE20" s="188">
        <f>opex_orig!AW20</f>
        <v>2.2199999999999999E-6</v>
      </c>
      <c r="BF20" s="188">
        <f>opex_orig!AX20</f>
        <v>0</v>
      </c>
      <c r="BG20" s="188">
        <f>opex_orig!AY20</f>
        <v>6.9399999999999996E-6</v>
      </c>
      <c r="BH20" s="188">
        <f>opex_orig!AZ20</f>
        <v>0</v>
      </c>
      <c r="BI20" s="188">
        <f>opex_orig!BA20</f>
        <v>1.9599999999999999E-6</v>
      </c>
      <c r="BJ20" s="188">
        <f>opex_orig!BB20</f>
        <v>5.4299999999999997E-6</v>
      </c>
      <c r="BK20" s="188">
        <f>opex_orig!BC20</f>
        <v>6.1800000000000001E-6</v>
      </c>
      <c r="BL20" s="188">
        <f>opex_orig!BD20</f>
        <v>4.0300000000000004E-6</v>
      </c>
      <c r="BM20" s="188">
        <f>opex_orig!BE20</f>
        <v>2.87E-5</v>
      </c>
      <c r="BN20" s="188">
        <f>opex_orig!BF20</f>
        <v>2.65E-6</v>
      </c>
      <c r="BO20" s="188">
        <f>opex_orig!BG20</f>
        <v>9.8400000000000007E-6</v>
      </c>
      <c r="BP20" s="188">
        <f>opex_orig!$BH20</f>
        <v>4.8903273210541702E-6</v>
      </c>
      <c r="BQ20" s="188">
        <f>opex_orig!$BH20</f>
        <v>4.8903273210541702E-6</v>
      </c>
      <c r="BR20" s="188">
        <f>opex_orig!BI20</f>
        <v>5.93E-6</v>
      </c>
      <c r="BS20" s="188">
        <f>opex_orig!BJ20</f>
        <v>7.4399999999999999E-6</v>
      </c>
      <c r="BT20" s="188">
        <f>opex_orig!BK20</f>
        <v>1.88E-5</v>
      </c>
      <c r="BU20" s="188">
        <f>opex_orig!BL20</f>
        <v>0</v>
      </c>
      <c r="BV20" s="27">
        <f>opex_orig!BM20</f>
        <v>9.4746081205695794E-6</v>
      </c>
      <c r="BW20" s="27">
        <f>opex_orig!BN20</f>
        <v>1.9972045732100901E-5</v>
      </c>
      <c r="BX20" s="27">
        <f>opex_orig!BO20</f>
        <v>3.85771627470666E-6</v>
      </c>
      <c r="BY20" s="27">
        <f>opex_orig!BP20</f>
        <v>3.8128463710641402E-6</v>
      </c>
      <c r="BZ20" s="27">
        <f>opex_orig!BQ20</f>
        <v>3.9714738943353602E-6</v>
      </c>
      <c r="CA20" s="27">
        <f>opex_orig!BR20</f>
        <v>2.24226677237464E-8</v>
      </c>
      <c r="CB20" s="27">
        <f>opex_orig!BS20</f>
        <v>1.5027876289866099E-5</v>
      </c>
      <c r="CC20" s="27">
        <f>opex_orig!BT20</f>
        <v>1.06320272710343E-5</v>
      </c>
      <c r="CD20" s="27">
        <f>opex_orig!BU20</f>
        <v>2.8366259606008799E-6</v>
      </c>
      <c r="CE20" s="27">
        <f>opex_orig!BV20</f>
        <v>2.8366259606008799E-6</v>
      </c>
      <c r="CF20" s="27">
        <f>opex_orig!BW20</f>
        <v>1.9754376532101099E-7</v>
      </c>
      <c r="CG20" s="27">
        <f>opex_orig!BX20</f>
        <v>9.6151655691459309E-7</v>
      </c>
      <c r="CH20" s="27">
        <f>opex_orig!BY20</f>
        <v>1.5034340374470801E-6</v>
      </c>
      <c r="CI20" s="27">
        <f>opex_orig!BZ20</f>
        <v>8.5799999999999992E-6</v>
      </c>
      <c r="CJ20" s="27">
        <f>opex_orig!CA20</f>
        <v>6.3799999999999999E-6</v>
      </c>
      <c r="CK20" s="27">
        <f>opex_orig!CB20</f>
        <v>6.63E-6</v>
      </c>
      <c r="CL20" s="27">
        <f>opex_orig!CC20</f>
        <v>6.3500000000000002E-6</v>
      </c>
      <c r="CM20" s="27">
        <f>opex_orig!CD20</f>
        <v>2.5999999999999998E-5</v>
      </c>
      <c r="CN20" s="27">
        <f>opex_orig!CE20</f>
        <v>1.9000000000000001E-5</v>
      </c>
      <c r="CO20" s="27">
        <f>opex_orig!CF20</f>
        <v>2.0599999999999999E-5</v>
      </c>
      <c r="CP20" s="27">
        <f>opex_orig!CG20</f>
        <v>4.3800000000000004E-6</v>
      </c>
    </row>
    <row r="21" spans="1:94" x14ac:dyDescent="0.25">
      <c r="A21" s="5" t="s">
        <v>61</v>
      </c>
      <c r="B21" s="2" t="s">
        <v>60</v>
      </c>
      <c r="C21" s="1" t="s">
        <v>326</v>
      </c>
      <c r="D21" s="188">
        <f>opex_orig!D21</f>
        <v>1.11265E-4</v>
      </c>
      <c r="E21" s="188">
        <f>opex_orig!E21</f>
        <v>1.98865E-4</v>
      </c>
      <c r="F21" s="188">
        <f>opex_orig!F21</f>
        <v>1.8306600000000001E-4</v>
      </c>
      <c r="G21" s="188">
        <f>opex_orig!G21</f>
        <v>4.6E-5</v>
      </c>
      <c r="H21" s="188">
        <f>opex_orig!H21</f>
        <v>1.3786899999999999E-4</v>
      </c>
      <c r="I21" s="188">
        <f>opex_orig!I21</f>
        <v>5.0590900000000002E-4</v>
      </c>
      <c r="J21" s="188">
        <f>opex_orig!J21</f>
        <v>2.6846919999999998E-3</v>
      </c>
      <c r="K21" s="188">
        <f>opex_orig!K21</f>
        <v>1.0641099999999999E-4</v>
      </c>
      <c r="L21" s="188">
        <f>opex_orig!L21</f>
        <v>4.4276299999999999E-4</v>
      </c>
      <c r="M21" s="188">
        <f>opex_orig!M21</f>
        <v>9.7793899999999994E-4</v>
      </c>
      <c r="N21" s="188">
        <f>opex_orig!N21</f>
        <v>1.1900089999999999E-3</v>
      </c>
      <c r="O21" s="188">
        <f>opex_orig!O21</f>
        <v>1.1699849999999999E-3</v>
      </c>
      <c r="P21" s="188">
        <f>opex_orig!P21</f>
        <v>1.4826590000000001E-3</v>
      </c>
      <c r="Q21" s="188">
        <f>opex_orig!Q21</f>
        <v>1.1966380000000001E-3</v>
      </c>
      <c r="R21" s="188">
        <f>opex_orig!R21</f>
        <v>2.4142599999999999E-4</v>
      </c>
      <c r="S21" s="188">
        <f>opex_orig!S21</f>
        <v>7.5180199999999998E-4</v>
      </c>
      <c r="T21" s="188">
        <f>opex_orig!T21</f>
        <v>1.0777670000000001E-3</v>
      </c>
      <c r="U21" s="188">
        <f>opex_orig!U21</f>
        <v>8.5248019999999997E-3</v>
      </c>
      <c r="V21" s="188">
        <f>opex_orig!V21</f>
        <v>1.521746E-3</v>
      </c>
      <c r="W21" s="188">
        <f>opex_orig!W21</f>
        <v>1.1230649999999999E-3</v>
      </c>
      <c r="X21" s="188">
        <f>opex_orig!X21</f>
        <v>3.43197E-4</v>
      </c>
      <c r="Y21" s="188">
        <f>opex_orig!Y21</f>
        <v>0.74952171099999998</v>
      </c>
      <c r="Z21" s="188">
        <f>opex_orig!Z21</f>
        <v>4.6142379999999997E-3</v>
      </c>
      <c r="AA21" s="188">
        <f>opex_orig!AA21</f>
        <v>4.1452600000000002E-4</v>
      </c>
      <c r="AB21" s="272">
        <f>opex_concordance!M189</f>
        <v>1.89845054350701E-2</v>
      </c>
      <c r="AC21" s="272">
        <f>opex_concordance!M234</f>
        <v>1.5079009570138094E-2</v>
      </c>
      <c r="AD21" s="272">
        <f>opex_concordance!M279</f>
        <v>0</v>
      </c>
      <c r="AE21" s="188">
        <f>opex_orig!$AC21</f>
        <v>3.6500668637103502E-3</v>
      </c>
      <c r="AF21" s="272">
        <f>opex_concordance!$M$311</f>
        <v>1.5464210803373898E-2</v>
      </c>
      <c r="AG21" s="272">
        <f>opex_concordance!$M$347</f>
        <v>0</v>
      </c>
      <c r="AH21" s="272">
        <f>opex_concordance!$M$383</f>
        <v>0</v>
      </c>
      <c r="AI21" s="188">
        <f>opex_orig!AE21</f>
        <v>1.2895808E-2</v>
      </c>
      <c r="AJ21" s="188">
        <f>opex_orig!AF21</f>
        <v>1.4097790000000001E-2</v>
      </c>
      <c r="AK21" s="188">
        <f>opex_orig!AG21</f>
        <v>4.3518499999999999E-4</v>
      </c>
      <c r="AL21" s="188">
        <f>opex_orig!AH21</f>
        <v>2.81823E-4</v>
      </c>
      <c r="AM21" s="188">
        <f>opex_orig!AI21</f>
        <v>6.0976599999999998E-4</v>
      </c>
      <c r="AN21" s="188">
        <f>opex_orig!AJ21</f>
        <v>2.72637E-4</v>
      </c>
      <c r="AO21" s="188">
        <f>opex_orig!AK21</f>
        <v>2.5366659999999999E-3</v>
      </c>
      <c r="AP21" s="272">
        <f>opex_concordance!M421</f>
        <v>9.28829150639718E-3</v>
      </c>
      <c r="AQ21" s="272">
        <f>opex_concordance!M475</f>
        <v>6.1751068755063901E-3</v>
      </c>
      <c r="AR21" s="272">
        <f>opex_concordance!M529</f>
        <v>0</v>
      </c>
      <c r="AS21" s="188">
        <f>opex_orig!$AM21</f>
        <v>7.8601087448428395E-3</v>
      </c>
      <c r="AT21" s="188">
        <f>opex_orig!AN21</f>
        <v>5.2291660000000004E-3</v>
      </c>
      <c r="AU21" s="272">
        <f>opex_concordance!M595</f>
        <v>0.14362150773701499</v>
      </c>
      <c r="AV21" s="272">
        <f>opex_concordance!M641</f>
        <v>0</v>
      </c>
      <c r="AW21" s="272">
        <f>opex_concordance!M687</f>
        <v>5.4698485635967617E-2</v>
      </c>
      <c r="AX21" s="188">
        <f>opex_orig!$AP21</f>
        <v>2.32954737541964E-2</v>
      </c>
      <c r="AY21" s="188">
        <f>opex_orig!AQ21</f>
        <v>5.8274995000000003E-2</v>
      </c>
      <c r="AZ21" s="188">
        <f>opex_orig!AR21</f>
        <v>0</v>
      </c>
      <c r="BA21" s="188">
        <f>opex_orig!AS21</f>
        <v>4.1237013000000003E-2</v>
      </c>
      <c r="BB21" s="188">
        <f>opex_orig!AT21</f>
        <v>3.0875217999999999E-2</v>
      </c>
      <c r="BC21" s="188">
        <f>opex_orig!AU21</f>
        <v>1.3601600000000001E-4</v>
      </c>
      <c r="BD21" s="188">
        <f>opex_orig!AV21</f>
        <v>6.2299999999999996E-5</v>
      </c>
      <c r="BE21" s="188">
        <f>opex_orig!AW21</f>
        <v>3.3230331000000002E-2</v>
      </c>
      <c r="BF21" s="188">
        <f>opex_orig!AX21</f>
        <v>0</v>
      </c>
      <c r="BG21" s="188">
        <f>opex_orig!AY21</f>
        <v>1.6968438999999998E-2</v>
      </c>
      <c r="BH21" s="188">
        <f>opex_orig!AZ21</f>
        <v>0</v>
      </c>
      <c r="BI21" s="188">
        <f>opex_orig!BA21</f>
        <v>1.6326762000000002E-2</v>
      </c>
      <c r="BJ21" s="188">
        <f>opex_orig!BB21</f>
        <v>3.6836399999999999E-4</v>
      </c>
      <c r="BK21" s="188">
        <f>opex_orig!BC21</f>
        <v>6.7534300000000002E-4</v>
      </c>
      <c r="BL21" s="188">
        <f>opex_orig!BD21</f>
        <v>7.2999999999999999E-5</v>
      </c>
      <c r="BM21" s="188">
        <f>opex_orig!BE21</f>
        <v>4.9372299999999995E-4</v>
      </c>
      <c r="BN21" s="188">
        <f>opex_orig!BF21</f>
        <v>1.2435300000000001E-4</v>
      </c>
      <c r="BO21" s="188">
        <f>opex_orig!BG21</f>
        <v>1.1078240000000001E-3</v>
      </c>
      <c r="BP21" s="188">
        <f>opex_orig!$BH21</f>
        <v>5.2455349802427501E-4</v>
      </c>
      <c r="BQ21" s="188">
        <f>opex_orig!$BH21</f>
        <v>5.2455349802427501E-4</v>
      </c>
      <c r="BR21" s="188">
        <f>opex_orig!BI21</f>
        <v>3.0427900000000002E-4</v>
      </c>
      <c r="BS21" s="188">
        <f>opex_orig!BJ21</f>
        <v>1.5199689999999999E-3</v>
      </c>
      <c r="BT21" s="188">
        <f>opex_orig!BK21</f>
        <v>1.9796500000000001E-4</v>
      </c>
      <c r="BU21" s="188">
        <f>opex_orig!BL21</f>
        <v>0</v>
      </c>
      <c r="BV21" s="27">
        <f>opex_orig!BM21</f>
        <v>0.29194198068030602</v>
      </c>
      <c r="BW21" s="27">
        <f>opex_orig!BN21</f>
        <v>5.8680678078267701E-3</v>
      </c>
      <c r="BX21" s="27">
        <f>opex_orig!BO21</f>
        <v>1.25989973558254E-4</v>
      </c>
      <c r="BY21" s="27">
        <f>opex_orig!BP21</f>
        <v>1.65596604292033E-4</v>
      </c>
      <c r="BZ21" s="27">
        <f>opex_orig!BQ21</f>
        <v>1.9319724742737599E-4</v>
      </c>
      <c r="CA21" s="27">
        <f>opex_orig!BR21</f>
        <v>8.6425054310028602E-5</v>
      </c>
      <c r="CB21" s="27">
        <f>opex_orig!BS21</f>
        <v>3.2388546617861699E-3</v>
      </c>
      <c r="CC21" s="27">
        <f>opex_orig!BT21</f>
        <v>3.1673056224531301E-4</v>
      </c>
      <c r="CD21" s="27">
        <f>opex_orig!BU21</f>
        <v>1.1182378651294299E-4</v>
      </c>
      <c r="CE21" s="27">
        <f>opex_orig!BV21</f>
        <v>1.1182378651294299E-4</v>
      </c>
      <c r="CF21" s="27">
        <f>opex_orig!BW21</f>
        <v>3.55016962824601E-6</v>
      </c>
      <c r="CG21" s="27">
        <f>opex_orig!BX21</f>
        <v>6.9320112861441103E-6</v>
      </c>
      <c r="CH21" s="27">
        <f>opex_orig!BY21</f>
        <v>1.32293776707256E-5</v>
      </c>
      <c r="CI21" s="27">
        <f>opex_orig!BZ21</f>
        <v>1.060929E-3</v>
      </c>
      <c r="CJ21" s="27">
        <f>opex_orig!CA21</f>
        <v>3.5234469999999999E-3</v>
      </c>
      <c r="CK21" s="27">
        <f>opex_orig!CB21</f>
        <v>3.021063E-3</v>
      </c>
      <c r="CL21" s="27">
        <f>opex_orig!CC21</f>
        <v>1.3415725E-2</v>
      </c>
      <c r="CM21" s="27">
        <f>opex_orig!CD21</f>
        <v>6.8480889999999999E-3</v>
      </c>
      <c r="CN21" s="27">
        <f>opex_orig!CE21</f>
        <v>6.2275099999999995E-4</v>
      </c>
      <c r="CO21" s="27">
        <f>opex_orig!CF21</f>
        <v>3.4112299999999998E-4</v>
      </c>
      <c r="CP21" s="27">
        <f>opex_orig!CG21</f>
        <v>2.9012999999999999E-4</v>
      </c>
    </row>
    <row r="22" spans="1:94" x14ac:dyDescent="0.25">
      <c r="A22" s="5" t="s">
        <v>63</v>
      </c>
      <c r="B22" s="2" t="s">
        <v>62</v>
      </c>
      <c r="C22" s="1" t="s">
        <v>326</v>
      </c>
      <c r="D22" s="188">
        <f>opex_orig!D22</f>
        <v>5.2200000000000002E-5</v>
      </c>
      <c r="E22" s="188">
        <f>opex_orig!E22</f>
        <v>7.0299999999999996E-6</v>
      </c>
      <c r="F22" s="188">
        <f>opex_orig!F22</f>
        <v>1.03E-5</v>
      </c>
      <c r="G22" s="188">
        <f>opex_orig!G22</f>
        <v>1.28E-6</v>
      </c>
      <c r="H22" s="188">
        <f>opex_orig!H22</f>
        <v>2.2800000000000002E-6</v>
      </c>
      <c r="I22" s="188">
        <f>opex_orig!I22</f>
        <v>8.1999999999999994E-6</v>
      </c>
      <c r="J22" s="188">
        <f>opex_orig!J22</f>
        <v>3.1000000000000001E-5</v>
      </c>
      <c r="K22" s="188">
        <f>opex_orig!K22</f>
        <v>2.92E-6</v>
      </c>
      <c r="L22" s="188">
        <f>opex_orig!L22</f>
        <v>1.33E-5</v>
      </c>
      <c r="M22" s="188">
        <f>opex_orig!M22</f>
        <v>1.6699999999999999E-5</v>
      </c>
      <c r="N22" s="188">
        <f>opex_orig!N22</f>
        <v>1.8E-5</v>
      </c>
      <c r="O22" s="188">
        <f>opex_orig!O22</f>
        <v>2.27E-5</v>
      </c>
      <c r="P22" s="188">
        <f>opex_orig!P22</f>
        <v>2.4199999999999999E-5</v>
      </c>
      <c r="Q22" s="188">
        <f>opex_orig!Q22</f>
        <v>9.0810499999999998E-4</v>
      </c>
      <c r="R22" s="188">
        <f>opex_orig!R22</f>
        <v>1.3499999999999999E-5</v>
      </c>
      <c r="S22" s="188">
        <f>opex_orig!S22</f>
        <v>3.65E-5</v>
      </c>
      <c r="T22" s="188">
        <f>opex_orig!T22</f>
        <v>1.6799999999999998E-5</v>
      </c>
      <c r="U22" s="188">
        <f>opex_orig!U22</f>
        <v>1.3900000000000001E-5</v>
      </c>
      <c r="V22" s="188">
        <f>opex_orig!V22</f>
        <v>1.77E-5</v>
      </c>
      <c r="W22" s="188">
        <f>opex_orig!W22</f>
        <v>1.4399999999999999E-5</v>
      </c>
      <c r="X22" s="188">
        <f>opex_orig!X22</f>
        <v>9.8400000000000007E-6</v>
      </c>
      <c r="Y22" s="188">
        <f>opex_orig!Y22</f>
        <v>4.0899999999999998E-6</v>
      </c>
      <c r="Z22" s="188">
        <f>opex_orig!Z22</f>
        <v>0.226576469</v>
      </c>
      <c r="AA22" s="188">
        <f>opex_orig!AA22</f>
        <v>1.4100000000000001E-5</v>
      </c>
      <c r="AB22" s="188">
        <f>opex_orig!$AB22</f>
        <v>4.37093967398956E-5</v>
      </c>
      <c r="AC22" s="188">
        <f>opex_orig!$AB22</f>
        <v>4.37093967398956E-5</v>
      </c>
      <c r="AD22" s="188">
        <f>opex_orig!$AB22</f>
        <v>4.37093967398956E-5</v>
      </c>
      <c r="AE22" s="188">
        <f>opex_orig!$AC22</f>
        <v>1.9715214114265499E-5</v>
      </c>
      <c r="AF22" s="188">
        <f>opex_orig!$AD22</f>
        <v>3.4479180013033301E-5</v>
      </c>
      <c r="AG22" s="188">
        <f>opex_orig!$AD22</f>
        <v>3.4479180013033301E-5</v>
      </c>
      <c r="AH22" s="188">
        <f>opex_orig!$AD22</f>
        <v>3.4479180013033301E-5</v>
      </c>
      <c r="AI22" s="188">
        <f>opex_orig!AE22</f>
        <v>3.7499999999999997E-5</v>
      </c>
      <c r="AJ22" s="188">
        <f>opex_orig!AF22</f>
        <v>5.2165499999999999E-4</v>
      </c>
      <c r="AK22" s="188">
        <f>opex_orig!AG22</f>
        <v>1.3742E-4</v>
      </c>
      <c r="AL22" s="188">
        <f>opex_orig!AH22</f>
        <v>3.68E-5</v>
      </c>
      <c r="AM22" s="188">
        <f>opex_orig!AI22</f>
        <v>6.2600000000000004E-5</v>
      </c>
      <c r="AN22" s="188">
        <f>opex_orig!AJ22</f>
        <v>4.9200000000000003E-5</v>
      </c>
      <c r="AO22" s="188">
        <f>opex_orig!AK22</f>
        <v>3.29E-5</v>
      </c>
      <c r="AP22" s="348">
        <f>opex_concordance!M422</f>
        <v>3.88904385596317E-5</v>
      </c>
      <c r="AQ22" s="348">
        <f>opex_concordance!M476</f>
        <v>2.5855413169971983E-5</v>
      </c>
      <c r="AR22" s="348">
        <f>opex_concordance!M530</f>
        <v>0</v>
      </c>
      <c r="AS22" s="188">
        <f>opex_orig!$AM22</f>
        <v>3.5689665029099298E-5</v>
      </c>
      <c r="AT22" s="188">
        <f>opex_orig!AN22</f>
        <v>5.5399999999999998E-5</v>
      </c>
      <c r="AU22" s="188">
        <f>opex_orig!$AO22</f>
        <v>1.9161459907773901E-5</v>
      </c>
      <c r="AV22" s="188">
        <f>opex_orig!$AO22</f>
        <v>1.9161459907773901E-5</v>
      </c>
      <c r="AW22" s="188">
        <f>opex_orig!$AO22</f>
        <v>1.9161459907773901E-5</v>
      </c>
      <c r="AX22" s="188">
        <f>opex_orig!$AP22</f>
        <v>1.66710746731291E-5</v>
      </c>
      <c r="AY22" s="188">
        <f>opex_orig!AQ22</f>
        <v>2.3099999999999999E-5</v>
      </c>
      <c r="AZ22" s="188">
        <f>opex_orig!AR22</f>
        <v>0</v>
      </c>
      <c r="BA22" s="188">
        <f>opex_orig!AS22</f>
        <v>4.46E-5</v>
      </c>
      <c r="BB22" s="188">
        <f>opex_orig!AT22</f>
        <v>4.0399999999999999E-5</v>
      </c>
      <c r="BC22" s="188">
        <f>opex_orig!AU22</f>
        <v>1.2300000000000001E-5</v>
      </c>
      <c r="BD22" s="188">
        <f>opex_orig!AV22</f>
        <v>1.1800000000000001E-5</v>
      </c>
      <c r="BE22" s="188">
        <f>opex_orig!AW22</f>
        <v>1.1600000000000001E-5</v>
      </c>
      <c r="BF22" s="188">
        <f>opex_orig!AX22</f>
        <v>0</v>
      </c>
      <c r="BG22" s="188">
        <f>opex_orig!AY22</f>
        <v>1.4800000000000001E-5</v>
      </c>
      <c r="BH22" s="188">
        <f>opex_orig!AZ22</f>
        <v>0</v>
      </c>
      <c r="BI22" s="188">
        <f>opex_orig!BA22</f>
        <v>2.3799999999999999E-5</v>
      </c>
      <c r="BJ22" s="188">
        <f>opex_orig!BB22</f>
        <v>3.26E-5</v>
      </c>
      <c r="BK22" s="188">
        <f>opex_orig!BC22</f>
        <v>4.07E-5</v>
      </c>
      <c r="BL22" s="188">
        <f>opex_orig!BD22</f>
        <v>3.7299999999999999E-5</v>
      </c>
      <c r="BM22" s="188">
        <f>opex_orig!BE22</f>
        <v>5.5300000000000002E-5</v>
      </c>
      <c r="BN22" s="188">
        <f>opex_orig!BF22</f>
        <v>2.6599999999999999E-5</v>
      </c>
      <c r="BO22" s="188">
        <f>opex_orig!BG22</f>
        <v>7.8499999999999997E-5</v>
      </c>
      <c r="BP22" s="188">
        <f>opex_orig!$BH22</f>
        <v>2.3390310783438801E-5</v>
      </c>
      <c r="BQ22" s="188">
        <f>opex_orig!$BH22</f>
        <v>2.3390310783438801E-5</v>
      </c>
      <c r="BR22" s="188">
        <f>opex_orig!BI22</f>
        <v>7.0300000000000001E-5</v>
      </c>
      <c r="BS22" s="188">
        <f>opex_orig!BJ22</f>
        <v>1.702985E-3</v>
      </c>
      <c r="BT22" s="188">
        <f>opex_orig!BK22</f>
        <v>8.3399999999999998E-6</v>
      </c>
      <c r="BU22" s="188">
        <f>opex_orig!BL22</f>
        <v>0</v>
      </c>
      <c r="BV22" s="27">
        <f>opex_orig!BM22</f>
        <v>4.1349560849230603E-5</v>
      </c>
      <c r="BW22" s="27">
        <f>opex_orig!BN22</f>
        <v>5.3760654252330501E-5</v>
      </c>
      <c r="BX22" s="27">
        <f>opex_orig!BO22</f>
        <v>2.4892221796272702E-5</v>
      </c>
      <c r="BY22" s="27">
        <f>opex_orig!BP22</f>
        <v>1.1117066608954801E-5</v>
      </c>
      <c r="BZ22" s="27">
        <f>opex_orig!BQ22</f>
        <v>9.0403126082155297E-6</v>
      </c>
      <c r="CA22" s="27">
        <f>opex_orig!BR22</f>
        <v>1.4618620674975899E-5</v>
      </c>
      <c r="CB22" s="27">
        <f>opex_orig!BS22</f>
        <v>3.8759686665575602E-5</v>
      </c>
      <c r="CC22" s="27">
        <f>opex_orig!BT22</f>
        <v>3.63307388147685E-4</v>
      </c>
      <c r="CD22" s="27">
        <f>opex_orig!BU22</f>
        <v>1.07917541842892E-5</v>
      </c>
      <c r="CE22" s="27">
        <f>opex_orig!BV22</f>
        <v>1.07917541842892E-5</v>
      </c>
      <c r="CF22" s="27">
        <f>opex_orig!BW22</f>
        <v>1.07147097561042E-4</v>
      </c>
      <c r="CG22" s="27">
        <f>opex_orig!BX22</f>
        <v>4.0542645059232103E-5</v>
      </c>
      <c r="CH22" s="27">
        <f>opex_orig!BY22</f>
        <v>5.1891912757954697E-5</v>
      </c>
      <c r="CI22" s="27">
        <f>opex_orig!BZ22</f>
        <v>2.0100000000000001E-5</v>
      </c>
      <c r="CJ22" s="27">
        <f>opex_orig!CA22</f>
        <v>1.84E-5</v>
      </c>
      <c r="CK22" s="27">
        <f>opex_orig!CB22</f>
        <v>2.0299999999999999E-5</v>
      </c>
      <c r="CL22" s="27">
        <f>opex_orig!CC22</f>
        <v>1.7499999999999998E-5</v>
      </c>
      <c r="CM22" s="27">
        <f>opex_orig!CD22</f>
        <v>3.2140399E-2</v>
      </c>
      <c r="CN22" s="27">
        <f>opex_orig!CE22</f>
        <v>6.2000000000000003E-5</v>
      </c>
      <c r="CO22" s="27">
        <f>opex_orig!CF22</f>
        <v>4.5200000000000001E-5</v>
      </c>
      <c r="CP22" s="27">
        <f>opex_orig!CG22</f>
        <v>8.4700000000000002E-6</v>
      </c>
    </row>
    <row r="23" spans="1:94" x14ac:dyDescent="0.25">
      <c r="A23" s="5" t="s">
        <v>65</v>
      </c>
      <c r="B23" s="2" t="s">
        <v>64</v>
      </c>
      <c r="C23" s="1" t="s">
        <v>326</v>
      </c>
      <c r="D23" s="188">
        <f>opex_orig!D23</f>
        <v>1.0719500000000001E-4</v>
      </c>
      <c r="E23" s="188">
        <f>opex_orig!E23</f>
        <v>1.8899999999999999E-5</v>
      </c>
      <c r="F23" s="188">
        <f>opex_orig!F23</f>
        <v>2.3900000000000002E-5</v>
      </c>
      <c r="G23" s="188">
        <f>opex_orig!G23</f>
        <v>4.0600000000000001E-6</v>
      </c>
      <c r="H23" s="188">
        <f>opex_orig!H23</f>
        <v>6.3799999999999999E-6</v>
      </c>
      <c r="I23" s="188">
        <f>opex_orig!I23</f>
        <v>3.01E-5</v>
      </c>
      <c r="J23" s="188">
        <f>opex_orig!J23</f>
        <v>7.9900000000000004E-5</v>
      </c>
      <c r="K23" s="188">
        <f>opex_orig!K23</f>
        <v>9.9000000000000001E-6</v>
      </c>
      <c r="L23" s="188">
        <f>opex_orig!L23</f>
        <v>3.5200000000000002E-5</v>
      </c>
      <c r="M23" s="188">
        <f>opex_orig!M23</f>
        <v>4.6E-5</v>
      </c>
      <c r="N23" s="188">
        <f>opex_orig!N23</f>
        <v>4.6100000000000002E-5</v>
      </c>
      <c r="O23" s="188">
        <f>opex_orig!O23</f>
        <v>4.6199999999999998E-5</v>
      </c>
      <c r="P23" s="188">
        <f>opex_orig!P23</f>
        <v>1.8848399999999999E-4</v>
      </c>
      <c r="Q23" s="188">
        <f>opex_orig!Q23</f>
        <v>1.5505298000000001E-2</v>
      </c>
      <c r="R23" s="188">
        <f>opex_orig!R23</f>
        <v>3.5299999999999997E-5</v>
      </c>
      <c r="S23" s="188">
        <f>opex_orig!S23</f>
        <v>4.8155700000000002E-4</v>
      </c>
      <c r="T23" s="188">
        <f>opex_orig!T23</f>
        <v>1.2613899999999999E-4</v>
      </c>
      <c r="U23" s="188">
        <f>opex_orig!U23</f>
        <v>8.1799999999999996E-5</v>
      </c>
      <c r="V23" s="188">
        <f>opex_orig!V23</f>
        <v>8.8399999999999994E-5</v>
      </c>
      <c r="W23" s="188">
        <f>opex_orig!W23</f>
        <v>4.2700000000000001E-5</v>
      </c>
      <c r="X23" s="188">
        <f>opex_orig!X23</f>
        <v>2.19E-5</v>
      </c>
      <c r="Y23" s="188">
        <f>opex_orig!Y23</f>
        <v>1.6399999999999999E-5</v>
      </c>
      <c r="Z23" s="188">
        <f>opex_orig!Z23</f>
        <v>9.5199999999999997E-5</v>
      </c>
      <c r="AA23" s="188">
        <f>opex_orig!AA23</f>
        <v>5.52E-5</v>
      </c>
      <c r="AB23" s="188">
        <f>opex_orig!$AB23</f>
        <v>1.23299211956506E-4</v>
      </c>
      <c r="AC23" s="188">
        <f>opex_orig!$AB23</f>
        <v>1.23299211956506E-4</v>
      </c>
      <c r="AD23" s="188">
        <f>opex_orig!$AB23</f>
        <v>1.23299211956506E-4</v>
      </c>
      <c r="AE23" s="188">
        <f>opex_orig!$AC23</f>
        <v>5.4895872104014698E-5</v>
      </c>
      <c r="AF23" s="293">
        <f>opex_concordance!$M$312</f>
        <v>5.7937683640318899E-5</v>
      </c>
      <c r="AG23" s="293">
        <f>opex_concordance!$M$348</f>
        <v>0</v>
      </c>
      <c r="AH23" s="293">
        <f>opex_concordance!$M$384</f>
        <v>0</v>
      </c>
      <c r="AI23" s="188">
        <f>opex_orig!AE23</f>
        <v>5.9299999999999998E-5</v>
      </c>
      <c r="AJ23" s="188">
        <f>opex_orig!AF23</f>
        <v>1.1987160000000001E-3</v>
      </c>
      <c r="AK23" s="188">
        <f>opex_orig!AG23</f>
        <v>3.0606999999999997E-4</v>
      </c>
      <c r="AL23" s="188">
        <f>opex_orig!AH23</f>
        <v>6.4900000000000005E-5</v>
      </c>
      <c r="AM23" s="188">
        <f>opex_orig!AI23</f>
        <v>7.6899999999999999E-5</v>
      </c>
      <c r="AN23" s="188">
        <f>opex_orig!AJ23</f>
        <v>7.4800000000000002E-5</v>
      </c>
      <c r="AO23" s="188">
        <f>opex_orig!AK23</f>
        <v>5.2800000000000003E-5</v>
      </c>
      <c r="AP23" s="348">
        <f>opex_concordance!M423</f>
        <v>5.2649147008735097E-5</v>
      </c>
      <c r="AQ23" s="348">
        <f>opex_concordance!M477</f>
        <v>3.5002573881242747E-5</v>
      </c>
      <c r="AR23" s="348">
        <f>opex_concordance!M531</f>
        <v>0</v>
      </c>
      <c r="AS23" s="188">
        <f>opex_orig!$AM23</f>
        <v>4.9804804504434797E-5</v>
      </c>
      <c r="AT23" s="188">
        <f>opex_orig!AN23</f>
        <v>7.5599999999999994E-5</v>
      </c>
      <c r="AU23" s="188">
        <f>opex_orig!$AO23</f>
        <v>2.0532099398601499E-4</v>
      </c>
      <c r="AV23" s="188">
        <f>opex_orig!$AO23</f>
        <v>2.0532099398601499E-4</v>
      </c>
      <c r="AW23" s="188">
        <f>opex_orig!$AO23</f>
        <v>2.0532099398601499E-4</v>
      </c>
      <c r="AX23" s="188">
        <f>opex_orig!$AP23</f>
        <v>3.5250759183475501E-5</v>
      </c>
      <c r="AY23" s="188">
        <f>opex_orig!AQ23</f>
        <v>5.13E-5</v>
      </c>
      <c r="AZ23" s="188">
        <f>opex_orig!AR23</f>
        <v>0</v>
      </c>
      <c r="BA23" s="188">
        <f>opex_orig!AS23</f>
        <v>1.0453E-4</v>
      </c>
      <c r="BB23" s="188">
        <f>opex_orig!AT23</f>
        <v>9.1899999999999998E-5</v>
      </c>
      <c r="BC23" s="188">
        <f>opex_orig!AU23</f>
        <v>2.7399999999999999E-5</v>
      </c>
      <c r="BD23" s="188">
        <f>opex_orig!AV23</f>
        <v>2.5700000000000001E-5</v>
      </c>
      <c r="BE23" s="188">
        <f>opex_orig!AW23</f>
        <v>2.4199999999999999E-5</v>
      </c>
      <c r="BF23" s="188">
        <f>opex_orig!AX23</f>
        <v>0</v>
      </c>
      <c r="BG23" s="188">
        <f>opex_orig!AY23</f>
        <v>1.10171E-4</v>
      </c>
      <c r="BH23" s="188">
        <f>opex_orig!AZ23</f>
        <v>0</v>
      </c>
      <c r="BI23" s="188">
        <f>opex_orig!BA23</f>
        <v>4.3099999999999997E-5</v>
      </c>
      <c r="BJ23" s="188">
        <f>opex_orig!BB23</f>
        <v>4.5800000000000002E-5</v>
      </c>
      <c r="BK23" s="188">
        <f>opex_orig!BC23</f>
        <v>9.4699999999999998E-5</v>
      </c>
      <c r="BL23" s="188">
        <f>opex_orig!BD23</f>
        <v>1.11879E-4</v>
      </c>
      <c r="BM23" s="188">
        <f>opex_orig!BE23</f>
        <v>1.04621E-4</v>
      </c>
      <c r="BN23" s="188">
        <f>opex_orig!BF23</f>
        <v>7.9900000000000004E-5</v>
      </c>
      <c r="BO23" s="188">
        <f>opex_orig!BG23</f>
        <v>1.4765500000000001E-4</v>
      </c>
      <c r="BP23" s="188">
        <f>opex_orig!$BH23</f>
        <v>5.65782206551005E-5</v>
      </c>
      <c r="BQ23" s="188">
        <f>opex_orig!$BH23</f>
        <v>5.65782206551005E-5</v>
      </c>
      <c r="BR23" s="188">
        <f>opex_orig!BI23</f>
        <v>1.10988E-4</v>
      </c>
      <c r="BS23" s="188">
        <f>opex_orig!BJ23</f>
        <v>2.6680717E-2</v>
      </c>
      <c r="BT23" s="188">
        <f>opex_orig!BK23</f>
        <v>1.63E-5</v>
      </c>
      <c r="BU23" s="188">
        <f>opex_orig!BL23</f>
        <v>0</v>
      </c>
      <c r="BV23" s="27">
        <f>opex_orig!BM23</f>
        <v>1.0545997880040001E-4</v>
      </c>
      <c r="BW23" s="27">
        <f>opex_orig!BN23</f>
        <v>1.7219299274710999E-4</v>
      </c>
      <c r="BX23" s="27">
        <f>opex_orig!BO23</f>
        <v>3.9761454309178203E-5</v>
      </c>
      <c r="BY23" s="27">
        <f>opex_orig!BP23</f>
        <v>3.5398760556679297E-5</v>
      </c>
      <c r="BZ23" s="27">
        <f>opex_orig!BQ23</f>
        <v>3.5978476572175E-5</v>
      </c>
      <c r="CA23" s="27">
        <f>opex_orig!BR23</f>
        <v>7.0125071885459699E-5</v>
      </c>
      <c r="CB23" s="27">
        <f>opex_orig!BS23</f>
        <v>1.3738394857886E-4</v>
      </c>
      <c r="CC23" s="27">
        <f>opex_orig!BT23</f>
        <v>2.1398877427752801E-3</v>
      </c>
      <c r="CD23" s="27">
        <f>opex_orig!BU23</f>
        <v>3.0732919006324203E-5</v>
      </c>
      <c r="CE23" s="27">
        <f>opex_orig!BV23</f>
        <v>3.0732919006324203E-5</v>
      </c>
      <c r="CF23" s="27">
        <f>opex_orig!BW23</f>
        <v>2.1746832607788999E-4</v>
      </c>
      <c r="CG23" s="27">
        <f>opex_orig!BX23</f>
        <v>7.7638325067733505E-5</v>
      </c>
      <c r="CH23" s="27">
        <f>opex_orig!BY23</f>
        <v>4.1175999723422601E-5</v>
      </c>
      <c r="CI23" s="27">
        <f>opex_orig!BZ23</f>
        <v>6.3E-5</v>
      </c>
      <c r="CJ23" s="27">
        <f>opex_orig!CA23</f>
        <v>4.3099999999999997E-5</v>
      </c>
      <c r="CK23" s="27">
        <f>opex_orig!CB23</f>
        <v>4.7599999999999998E-5</v>
      </c>
      <c r="CL23" s="27">
        <f>opex_orig!CC23</f>
        <v>5.2800000000000003E-5</v>
      </c>
      <c r="CM23" s="27">
        <f>opex_orig!CD23</f>
        <v>1.96348E-4</v>
      </c>
      <c r="CN23" s="27">
        <f>opex_orig!CE23</f>
        <v>8.3399999999999994E-5</v>
      </c>
      <c r="CO23" s="27">
        <f>opex_orig!CF23</f>
        <v>8.9300000000000002E-5</v>
      </c>
      <c r="CP23" s="27">
        <f>opex_orig!CG23</f>
        <v>1.8300000000000001E-5</v>
      </c>
    </row>
    <row r="24" spans="1:94" x14ac:dyDescent="0.25">
      <c r="A24" s="5" t="s">
        <v>67</v>
      </c>
      <c r="B24" s="2" t="s">
        <v>66</v>
      </c>
      <c r="C24" s="1" t="s">
        <v>326</v>
      </c>
      <c r="D24" s="188">
        <f>opex_orig!D24</f>
        <v>2.9499999999999998E-7</v>
      </c>
      <c r="E24" s="188">
        <f>opex_orig!E24</f>
        <v>2.11E-7</v>
      </c>
      <c r="F24" s="188">
        <f>opex_orig!F24</f>
        <v>1.43E-7</v>
      </c>
      <c r="G24" s="188">
        <f>opex_orig!G24</f>
        <v>9.76E-8</v>
      </c>
      <c r="H24" s="188">
        <f>opex_orig!H24</f>
        <v>1.1300000000000001E-7</v>
      </c>
      <c r="I24" s="188">
        <f>opex_orig!I24</f>
        <v>4.82E-7</v>
      </c>
      <c r="J24" s="188">
        <f>opex_orig!J24</f>
        <v>1.02E-6</v>
      </c>
      <c r="K24" s="188">
        <f>opex_orig!K24</f>
        <v>2.8299999999999998E-7</v>
      </c>
      <c r="L24" s="188">
        <f>opex_orig!L24</f>
        <v>2.1799999999999999E-7</v>
      </c>
      <c r="M24" s="188">
        <f>opex_orig!M24</f>
        <v>4.4400000000000001E-7</v>
      </c>
      <c r="N24" s="188">
        <f>opex_orig!N24</f>
        <v>5.0299999999999999E-7</v>
      </c>
      <c r="O24" s="188">
        <f>opex_orig!O24</f>
        <v>1.72E-7</v>
      </c>
      <c r="P24" s="188">
        <f>opex_orig!P24</f>
        <v>2.6800000000000002E-7</v>
      </c>
      <c r="Q24" s="188">
        <f>opex_orig!Q24</f>
        <v>5.5500000000000001E-8</v>
      </c>
      <c r="R24" s="188">
        <f>opex_orig!R24</f>
        <v>2.0100000000000001E-7</v>
      </c>
      <c r="S24" s="188">
        <f>opex_orig!S24</f>
        <v>4.5600000000000001E-7</v>
      </c>
      <c r="T24" s="188">
        <f>opex_orig!T24</f>
        <v>6.8400000000000004E-7</v>
      </c>
      <c r="U24" s="188">
        <f>opex_orig!U24</f>
        <v>1.6300000000000001E-6</v>
      </c>
      <c r="V24" s="188">
        <f>opex_orig!V24</f>
        <v>2.3499999999999999E-6</v>
      </c>
      <c r="W24" s="188">
        <f>opex_orig!W24</f>
        <v>3.2500000000000001E-7</v>
      </c>
      <c r="X24" s="188">
        <f>opex_orig!X24</f>
        <v>1.9600000000000001E-7</v>
      </c>
      <c r="Y24" s="188">
        <f>opex_orig!Y24</f>
        <v>3.0699999999999998E-7</v>
      </c>
      <c r="Z24" s="188">
        <f>opex_orig!Z24</f>
        <v>1.2899999999999999E-6</v>
      </c>
      <c r="AA24" s="188">
        <f>opex_orig!AA24</f>
        <v>1.7400000000000001E-6</v>
      </c>
      <c r="AB24" s="188">
        <f>opex_orig!$AB24</f>
        <v>5.2362642652402097E-6</v>
      </c>
      <c r="AC24" s="188">
        <f>opex_orig!$AB24</f>
        <v>5.2362642652402097E-6</v>
      </c>
      <c r="AD24" s="188">
        <f>opex_orig!$AB24</f>
        <v>5.2362642652402097E-6</v>
      </c>
      <c r="AE24" s="188">
        <f>opex_orig!$AC24</f>
        <v>1.2213668326568499E-6</v>
      </c>
      <c r="AF24" s="188">
        <f>opex_orig!$AD24</f>
        <v>5.8375204116164799E-7</v>
      </c>
      <c r="AG24" s="188">
        <f>opex_orig!$AD24</f>
        <v>5.8375204116164799E-7</v>
      </c>
      <c r="AH24" s="188">
        <f>opex_orig!$AD24</f>
        <v>5.8375204116164799E-7</v>
      </c>
      <c r="AI24" s="188">
        <f>opex_orig!AE24</f>
        <v>5.5799999999999999E-7</v>
      </c>
      <c r="AJ24" s="188">
        <f>opex_orig!AF24</f>
        <v>4.75E-7</v>
      </c>
      <c r="AK24" s="188">
        <f>opex_orig!AG24</f>
        <v>1.2599999999999999E-7</v>
      </c>
      <c r="AL24" s="188">
        <f>opex_orig!AH24</f>
        <v>2.7500000000000001E-7</v>
      </c>
      <c r="AM24" s="188">
        <f>opex_orig!AI24</f>
        <v>5.3399999999999999E-7</v>
      </c>
      <c r="AN24" s="188">
        <f>opex_orig!AJ24</f>
        <v>4.0400000000000002E-7</v>
      </c>
      <c r="AO24" s="188">
        <f>opex_orig!AK24</f>
        <v>4.7599999999999997E-7</v>
      </c>
      <c r="AP24" s="348">
        <f>opex_concordance!M424</f>
        <v>3.27917057013687E-7</v>
      </c>
      <c r="AQ24" s="348">
        <f>opex_concordance!M478</f>
        <v>2.1800810966865138E-7</v>
      </c>
      <c r="AR24" s="348">
        <f>opex_concordance!M532</f>
        <v>0</v>
      </c>
      <c r="AS24" s="188">
        <f>opex_orig!$AM24</f>
        <v>4.3347905772532899E-7</v>
      </c>
      <c r="AT24" s="188">
        <f>opex_orig!AN24</f>
        <v>4.01E-7</v>
      </c>
      <c r="AU24" s="188">
        <f>opex_orig!$AO24</f>
        <v>1.60314168903746E-7</v>
      </c>
      <c r="AV24" s="188">
        <f>opex_orig!$AO24</f>
        <v>1.60314168903746E-7</v>
      </c>
      <c r="AW24" s="188">
        <f>opex_orig!$AO24</f>
        <v>1.60314168903746E-7</v>
      </c>
      <c r="AX24" s="188">
        <f>opex_orig!$AP24</f>
        <v>2.1244611155283699E-7</v>
      </c>
      <c r="AY24" s="188">
        <f>opex_orig!AQ24</f>
        <v>2.4600000000000001E-7</v>
      </c>
      <c r="AZ24" s="188">
        <f>opex_orig!AR24</f>
        <v>0</v>
      </c>
      <c r="BA24" s="188">
        <f>opex_orig!AS24</f>
        <v>2.2000000000000001E-7</v>
      </c>
      <c r="BB24" s="188">
        <f>opex_orig!AT24</f>
        <v>1.91E-7</v>
      </c>
      <c r="BC24" s="188">
        <f>opex_orig!AU24</f>
        <v>2.22E-7</v>
      </c>
      <c r="BD24" s="188">
        <f>opex_orig!AV24</f>
        <v>2.22E-7</v>
      </c>
      <c r="BE24" s="188">
        <f>opex_orig!AW24</f>
        <v>1.99E-7</v>
      </c>
      <c r="BF24" s="188">
        <f>opex_orig!AX24</f>
        <v>0</v>
      </c>
      <c r="BG24" s="188">
        <f>opex_orig!AY24</f>
        <v>6.7999999999999995E-7</v>
      </c>
      <c r="BH24" s="188">
        <f>opex_orig!AZ24</f>
        <v>0</v>
      </c>
      <c r="BI24" s="188">
        <f>opex_orig!BA24</f>
        <v>2.3099999999999999E-7</v>
      </c>
      <c r="BJ24" s="188">
        <f>opex_orig!BB24</f>
        <v>1.6999999999999999E-7</v>
      </c>
      <c r="BK24" s="188">
        <f>opex_orig!BC24</f>
        <v>3.2899999999999999E-7</v>
      </c>
      <c r="BL24" s="188">
        <f>opex_orig!BD24</f>
        <v>1.6999999999999999E-7</v>
      </c>
      <c r="BM24" s="188">
        <f>opex_orig!BE24</f>
        <v>4.8699999999999995E-7</v>
      </c>
      <c r="BN24" s="188">
        <f>opex_orig!BF24</f>
        <v>1.18E-7</v>
      </c>
      <c r="BO24" s="188">
        <f>opex_orig!BG24</f>
        <v>3.4299999999999999E-7</v>
      </c>
      <c r="BP24" s="188">
        <f>opex_orig!$BH24</f>
        <v>2.7362521902359301E-7</v>
      </c>
      <c r="BQ24" s="188">
        <f>opex_orig!$BH24</f>
        <v>2.7362521902359301E-7</v>
      </c>
      <c r="BR24" s="188">
        <f>opex_orig!BI24</f>
        <v>3.96E-7</v>
      </c>
      <c r="BS24" s="188">
        <f>opex_orig!BJ24</f>
        <v>1.73E-7</v>
      </c>
      <c r="BT24" s="188">
        <f>opex_orig!BK24</f>
        <v>1.48E-7</v>
      </c>
      <c r="BU24" s="188">
        <f>opex_orig!BL24</f>
        <v>0</v>
      </c>
      <c r="BV24" s="27">
        <f>opex_orig!BM24</f>
        <v>1.16240307273316E-6</v>
      </c>
      <c r="BW24" s="27">
        <f>opex_orig!BN24</f>
        <v>1.18203024059604E-6</v>
      </c>
      <c r="BX24" s="27">
        <f>opex_orig!BO24</f>
        <v>4.9844305641103203E-7</v>
      </c>
      <c r="BY24" s="27">
        <f>opex_orig!BP24</f>
        <v>7.6550058821843702E-7</v>
      </c>
      <c r="BZ24" s="27">
        <f>opex_orig!BQ24</f>
        <v>1.1910926338215999E-6</v>
      </c>
      <c r="CA24" s="27">
        <f>opex_orig!BR24</f>
        <v>4.67201823025258E-8</v>
      </c>
      <c r="CB24" s="27">
        <f>opex_orig!BS24</f>
        <v>2.1585067224318701E-6</v>
      </c>
      <c r="CC24" s="27">
        <f>opex_orig!BT24</f>
        <v>4.7587164082679898E-7</v>
      </c>
      <c r="CD24" s="27">
        <f>opex_orig!BU24</f>
        <v>6.5533633547143798E-7</v>
      </c>
      <c r="CE24" s="27">
        <f>opex_orig!BV24</f>
        <v>6.5533633547144105E-7</v>
      </c>
      <c r="CF24" s="27">
        <f>opex_orig!BW24</f>
        <v>1.00691333690043E-7</v>
      </c>
      <c r="CG24" s="27">
        <f>opex_orig!BX24</f>
        <v>1.0095853595881E-7</v>
      </c>
      <c r="CH24" s="27">
        <f>opex_orig!BY24</f>
        <v>1.6093042923231299E-7</v>
      </c>
      <c r="CI24" s="27">
        <f>opex_orig!BZ24</f>
        <v>9.7999999999999993E-7</v>
      </c>
      <c r="CJ24" s="27">
        <f>opex_orig!CA24</f>
        <v>7.2699999999999999E-7</v>
      </c>
      <c r="CK24" s="27">
        <f>opex_orig!CB24</f>
        <v>7.8400000000000003E-7</v>
      </c>
      <c r="CL24" s="27">
        <f>opex_orig!CC24</f>
        <v>4.1699999999999999E-7</v>
      </c>
      <c r="CM24" s="27">
        <f>opex_orig!CD24</f>
        <v>8.7400000000000002E-7</v>
      </c>
      <c r="CN24" s="27">
        <f>opex_orig!CE24</f>
        <v>4.6600000000000002E-7</v>
      </c>
      <c r="CO24" s="27">
        <f>opex_orig!CF24</f>
        <v>4.51E-7</v>
      </c>
      <c r="CP24" s="27">
        <f>opex_orig!CG24</f>
        <v>2.34E-7</v>
      </c>
    </row>
    <row r="25" spans="1:94" x14ac:dyDescent="0.25">
      <c r="A25" s="5" t="s">
        <v>69</v>
      </c>
      <c r="B25" s="2" t="s">
        <v>68</v>
      </c>
      <c r="C25" s="1" t="s">
        <v>326</v>
      </c>
      <c r="D25" s="188">
        <f>opex_orig!D25</f>
        <v>2.4517000000000001E-4</v>
      </c>
      <c r="E25" s="188">
        <f>opex_orig!E25</f>
        <v>7.47E-5</v>
      </c>
      <c r="F25" s="188">
        <f>opex_orig!F25</f>
        <v>4.1100000000000003E-5</v>
      </c>
      <c r="G25" s="188">
        <f>opex_orig!G25</f>
        <v>6.4200000000000004E-6</v>
      </c>
      <c r="H25" s="188">
        <f>opex_orig!H25</f>
        <v>1.33E-5</v>
      </c>
      <c r="I25" s="188">
        <f>opex_orig!I25</f>
        <v>1.68271E-4</v>
      </c>
      <c r="J25" s="188">
        <f>opex_orig!J25</f>
        <v>3.9854300000000001E-4</v>
      </c>
      <c r="K25" s="188">
        <f>opex_orig!K25</f>
        <v>1.8600000000000001E-5</v>
      </c>
      <c r="L25" s="188">
        <f>opex_orig!L25</f>
        <v>1.4455800000000001E-4</v>
      </c>
      <c r="M25" s="188">
        <f>opex_orig!M25</f>
        <v>4.2656399999999999E-4</v>
      </c>
      <c r="N25" s="188">
        <f>opex_orig!N25</f>
        <v>2.0926399999999999E-4</v>
      </c>
      <c r="O25" s="188">
        <f>opex_orig!O25</f>
        <v>2.9155799999999998E-4</v>
      </c>
      <c r="P25" s="188">
        <f>opex_orig!P25</f>
        <v>3.1367400000000001E-4</v>
      </c>
      <c r="Q25" s="188">
        <f>opex_orig!Q25</f>
        <v>1.9826800000000001E-4</v>
      </c>
      <c r="R25" s="188">
        <f>opex_orig!R25</f>
        <v>3.9100000000000002E-5</v>
      </c>
      <c r="S25" s="188">
        <f>opex_orig!S25</f>
        <v>1.33938E-4</v>
      </c>
      <c r="T25" s="188">
        <f>opex_orig!T25</f>
        <v>1.66212E-4</v>
      </c>
      <c r="U25" s="188">
        <f>opex_orig!U25</f>
        <v>4.9059600000000004E-4</v>
      </c>
      <c r="V25" s="188">
        <f>opex_orig!V25</f>
        <v>3.75588E-4</v>
      </c>
      <c r="W25" s="188">
        <f>opex_orig!W25</f>
        <v>1.6208499999999999E-4</v>
      </c>
      <c r="X25" s="188">
        <f>opex_orig!X25</f>
        <v>9.5099999999999994E-5</v>
      </c>
      <c r="Y25" s="188">
        <f>opex_orig!Y25</f>
        <v>2.2097100000000001E-4</v>
      </c>
      <c r="Z25" s="188">
        <f>opex_orig!Z25</f>
        <v>4.6756400000000001E-4</v>
      </c>
      <c r="AA25" s="188">
        <f>opex_orig!AA25</f>
        <v>2.0090099999999999E-4</v>
      </c>
      <c r="AB25" s="188">
        <f>opex_orig!$AB25</f>
        <v>4.0134028601514697E-5</v>
      </c>
      <c r="AC25" s="188">
        <f>opex_orig!$AB25</f>
        <v>4.0134028601514697E-5</v>
      </c>
      <c r="AD25" s="188">
        <f>opex_orig!$AB25</f>
        <v>4.0134028601514697E-5</v>
      </c>
      <c r="AE25" s="188">
        <f>opex_orig!$AC25</f>
        <v>4.4743317631299698E-4</v>
      </c>
      <c r="AF25" s="188">
        <f>opex_orig!$AD25</f>
        <v>5.0096477416577999E-4</v>
      </c>
      <c r="AG25" s="188">
        <f>opex_orig!$AD25</f>
        <v>5.0096477416577999E-4</v>
      </c>
      <c r="AH25" s="188">
        <f>opex_orig!$AD25</f>
        <v>5.0096477416577999E-4</v>
      </c>
      <c r="AI25" s="188">
        <f>opex_orig!AE25</f>
        <v>4.8139500000000002E-4</v>
      </c>
      <c r="AJ25" s="188">
        <f>opex_orig!AF25</f>
        <v>4.6055400000000001E-4</v>
      </c>
      <c r="AK25" s="188">
        <f>opex_orig!AG25</f>
        <v>9.7E-5</v>
      </c>
      <c r="AL25" s="188">
        <f>opex_orig!AH25</f>
        <v>5.8799999999999999E-5</v>
      </c>
      <c r="AM25" s="188">
        <f>opex_orig!AI25</f>
        <v>1.2656200000000001E-4</v>
      </c>
      <c r="AN25" s="188">
        <f>opex_orig!AJ25</f>
        <v>5.13E-5</v>
      </c>
      <c r="AO25" s="188">
        <f>opex_orig!AK25</f>
        <v>9.1799999999999995E-5</v>
      </c>
      <c r="AP25" s="188">
        <f>opex_orig!$AL25</f>
        <v>1.5542377010820699E-4</v>
      </c>
      <c r="AQ25" s="188">
        <f>opex_orig!$AL25</f>
        <v>1.5542377010820699E-4</v>
      </c>
      <c r="AR25" s="188">
        <f>opex_orig!$AL25</f>
        <v>1.5542377010820699E-4</v>
      </c>
      <c r="AS25" s="188">
        <f>opex_orig!$AM25</f>
        <v>9.7343174444135806E-5</v>
      </c>
      <c r="AT25" s="188">
        <f>opex_orig!AN25</f>
        <v>2.1473099999999999E-4</v>
      </c>
      <c r="AU25" s="188">
        <f>opex_orig!$AO25</f>
        <v>1.1474294107694601E-4</v>
      </c>
      <c r="AV25" s="188">
        <f>opex_orig!$AO25</f>
        <v>1.1474294107694601E-4</v>
      </c>
      <c r="AW25" s="188">
        <f>opex_orig!$AO25</f>
        <v>1.1474294107694601E-4</v>
      </c>
      <c r="AX25" s="188">
        <f>opex_orig!$AP25</f>
        <v>2.1774112390585099E-4</v>
      </c>
      <c r="AY25" s="188">
        <f>opex_orig!AQ25</f>
        <v>1.3376999999999999E-4</v>
      </c>
      <c r="AZ25" s="188">
        <f>opex_orig!AR25</f>
        <v>0</v>
      </c>
      <c r="BA25" s="188">
        <f>opex_orig!AS25</f>
        <v>1.5182499999999999E-4</v>
      </c>
      <c r="BB25" s="188">
        <f>opex_orig!AT25</f>
        <v>4.7800000000000003E-5</v>
      </c>
      <c r="BC25" s="188">
        <f>opex_orig!AU25</f>
        <v>2.0800000000000001E-5</v>
      </c>
      <c r="BD25" s="188">
        <f>opex_orig!AV25</f>
        <v>1.6500000000000001E-5</v>
      </c>
      <c r="BE25" s="188">
        <f>opex_orig!AW25</f>
        <v>7.2999999999999999E-5</v>
      </c>
      <c r="BF25" s="188">
        <f>opex_orig!AX25</f>
        <v>0</v>
      </c>
      <c r="BG25" s="188">
        <f>opex_orig!AY25</f>
        <v>6.7999999999999999E-5</v>
      </c>
      <c r="BH25" s="188">
        <f>opex_orig!AZ25</f>
        <v>0</v>
      </c>
      <c r="BI25" s="188">
        <f>opex_orig!BA25</f>
        <v>1.0904900000000001E-4</v>
      </c>
      <c r="BJ25" s="188">
        <f>opex_orig!BB25</f>
        <v>2.4080600000000001E-4</v>
      </c>
      <c r="BK25" s="188">
        <f>opex_orig!BC25</f>
        <v>4.4273799999999997E-4</v>
      </c>
      <c r="BL25" s="188">
        <f>opex_orig!BD25</f>
        <v>5.9299999999999998E-5</v>
      </c>
      <c r="BM25" s="188">
        <f>opex_orig!BE25</f>
        <v>2.1548199999999999E-4</v>
      </c>
      <c r="BN25" s="188">
        <f>opex_orig!BF25</f>
        <v>4.5200000000000001E-5</v>
      </c>
      <c r="BO25" s="188">
        <f>opex_orig!BG25</f>
        <v>2.5255999999999998E-4</v>
      </c>
      <c r="BP25" s="188">
        <f>opex_orig!$BH25</f>
        <v>1.5232161484567301E-4</v>
      </c>
      <c r="BQ25" s="188">
        <f>opex_orig!$BH25</f>
        <v>1.5232161484567301E-4</v>
      </c>
      <c r="BR25" s="188">
        <f>opex_orig!BI25</f>
        <v>1.7933700000000001E-4</v>
      </c>
      <c r="BS25" s="188">
        <f>opex_orig!BJ25</f>
        <v>1.77837E-4</v>
      </c>
      <c r="BT25" s="188">
        <f>opex_orig!BK25</f>
        <v>1.42476E-4</v>
      </c>
      <c r="BU25" s="188">
        <f>opex_orig!BL25</f>
        <v>0</v>
      </c>
      <c r="BV25" s="27">
        <f>opex_orig!BM25</f>
        <v>1.6002869877843799E-4</v>
      </c>
      <c r="BW25" s="27">
        <f>opex_orig!BN25</f>
        <v>2.5186506284692898E-4</v>
      </c>
      <c r="BX25" s="27">
        <f>opex_orig!BO25</f>
        <v>1.14219387489516E-4</v>
      </c>
      <c r="BY25" s="27">
        <f>opex_orig!BP25</f>
        <v>8.3745667609641403E-5</v>
      </c>
      <c r="BZ25" s="27">
        <f>opex_orig!BQ25</f>
        <v>8.9234600161322406E-5</v>
      </c>
      <c r="CA25" s="27">
        <f>opex_orig!BR25</f>
        <v>4.2884317864775998E-7</v>
      </c>
      <c r="CB25" s="27">
        <f>opex_orig!BS25</f>
        <v>1.75791744095147E-4</v>
      </c>
      <c r="CC25" s="27">
        <f>opex_orig!BT25</f>
        <v>1.12169283837012E-6</v>
      </c>
      <c r="CD25" s="27">
        <f>opex_orig!BU25</f>
        <v>4.5565258932628202E-5</v>
      </c>
      <c r="CE25" s="27">
        <f>opex_orig!BV25</f>
        <v>4.5565258932628202E-5</v>
      </c>
      <c r="CF25" s="27">
        <f>opex_orig!BW25</f>
        <v>2.5338256662939301E-6</v>
      </c>
      <c r="CG25" s="27">
        <f>opex_orig!BX25</f>
        <v>8.5972434349110105E-8</v>
      </c>
      <c r="CH25" s="27">
        <f>opex_orig!BY25</f>
        <v>8.14505876605582E-7</v>
      </c>
      <c r="CI25" s="27">
        <f>opex_orig!BZ25</f>
        <v>1.4871599999999999E-4</v>
      </c>
      <c r="CJ25" s="27">
        <f>opex_orig!CA25</f>
        <v>7.5217899999999996E-4</v>
      </c>
      <c r="CK25" s="27">
        <f>opex_orig!CB25</f>
        <v>6.43398E-4</v>
      </c>
      <c r="CL25" s="27">
        <f>opex_orig!CC25</f>
        <v>2.3647719999999998E-3</v>
      </c>
      <c r="CM25" s="27">
        <f>opex_orig!CD25</f>
        <v>2.8367399999999998E-4</v>
      </c>
      <c r="CN25" s="27">
        <f>opex_orig!CE25</f>
        <v>1.671063E-3</v>
      </c>
      <c r="CO25" s="27">
        <f>opex_orig!CF25</f>
        <v>8.0830400000000003E-4</v>
      </c>
      <c r="CP25" s="27">
        <f>opex_orig!CG25</f>
        <v>1.01482E-4</v>
      </c>
    </row>
    <row r="26" spans="1:94" x14ac:dyDescent="0.25">
      <c r="A26" s="5" t="s">
        <v>71</v>
      </c>
      <c r="B26" s="2" t="s">
        <v>70</v>
      </c>
      <c r="C26" s="1" t="s">
        <v>326</v>
      </c>
      <c r="D26" s="188">
        <f>opex_orig!D26</f>
        <v>4.7500000000000003E-6</v>
      </c>
      <c r="E26" s="188">
        <f>opex_orig!E26</f>
        <v>7.9999999999999996E-7</v>
      </c>
      <c r="F26" s="188">
        <f>opex_orig!F26</f>
        <v>1.8899999999999999E-6</v>
      </c>
      <c r="G26" s="188">
        <f>opex_orig!G26</f>
        <v>2.8700000000000002E-7</v>
      </c>
      <c r="H26" s="188">
        <f>opex_orig!H26</f>
        <v>1.2200000000000001E-7</v>
      </c>
      <c r="I26" s="188">
        <f>opex_orig!I26</f>
        <v>9.6599999999999994E-7</v>
      </c>
      <c r="J26" s="188">
        <f>opex_orig!J26</f>
        <v>3.9199999999999997E-6</v>
      </c>
      <c r="K26" s="188">
        <f>opex_orig!K26</f>
        <v>2.2000000000000001E-7</v>
      </c>
      <c r="L26" s="188">
        <f>opex_orig!L26</f>
        <v>3.3100000000000001E-6</v>
      </c>
      <c r="M26" s="188">
        <f>opex_orig!M26</f>
        <v>1.48E-6</v>
      </c>
      <c r="N26" s="188">
        <f>opex_orig!N26</f>
        <v>1.57E-6</v>
      </c>
      <c r="O26" s="188">
        <f>opex_orig!O26</f>
        <v>2.03E-6</v>
      </c>
      <c r="P26" s="188">
        <f>opex_orig!P26</f>
        <v>1.42E-6</v>
      </c>
      <c r="Q26" s="188">
        <f>opex_orig!Q26</f>
        <v>6.7999999999999995E-7</v>
      </c>
      <c r="R26" s="188">
        <f>opex_orig!R26</f>
        <v>6.2799999999999996E-7</v>
      </c>
      <c r="S26" s="188">
        <f>opex_orig!S26</f>
        <v>8.6400000000000001E-7</v>
      </c>
      <c r="T26" s="188">
        <f>opex_orig!T26</f>
        <v>1.4300000000000001E-6</v>
      </c>
      <c r="U26" s="188">
        <f>opex_orig!U26</f>
        <v>6.1600000000000001E-7</v>
      </c>
      <c r="V26" s="188">
        <f>opex_orig!V26</f>
        <v>4.9900000000000001E-7</v>
      </c>
      <c r="W26" s="188">
        <f>opex_orig!W26</f>
        <v>6.8800000000000002E-7</v>
      </c>
      <c r="X26" s="188">
        <f>opex_orig!X26</f>
        <v>7.3799999999999996E-7</v>
      </c>
      <c r="Y26" s="188">
        <f>opex_orig!Y26</f>
        <v>3.3599999999999999E-7</v>
      </c>
      <c r="Z26" s="188">
        <f>opex_orig!Z26</f>
        <v>1.1599999999999999E-6</v>
      </c>
      <c r="AA26" s="188">
        <f>opex_orig!AA26</f>
        <v>7.23E-7</v>
      </c>
      <c r="AB26" s="188">
        <f>opex_orig!$AB26</f>
        <v>3.7692057145822001E-6</v>
      </c>
      <c r="AC26" s="188">
        <f>opex_orig!$AB26</f>
        <v>3.7692057145822001E-6</v>
      </c>
      <c r="AD26" s="188">
        <f>opex_orig!$AB26</f>
        <v>3.7692057145822001E-6</v>
      </c>
      <c r="AE26" s="188">
        <f>opex_orig!$AC26</f>
        <v>1.3216069819405901E-6</v>
      </c>
      <c r="AF26" s="188">
        <f>opex_orig!$AD26</f>
        <v>1.1613598891655601E-6</v>
      </c>
      <c r="AG26" s="188">
        <f>opex_orig!$AD26</f>
        <v>1.1613598891655601E-6</v>
      </c>
      <c r="AH26" s="188">
        <f>opex_orig!$AD26</f>
        <v>1.1613598891655601E-6</v>
      </c>
      <c r="AI26" s="188">
        <f>opex_orig!AE26</f>
        <v>9.7699999999999992E-7</v>
      </c>
      <c r="AJ26" s="188">
        <f>opex_orig!AF26</f>
        <v>1.7099999999999999E-5</v>
      </c>
      <c r="AK26" s="188">
        <f>opex_orig!AG26</f>
        <v>4.0999999999999997E-6</v>
      </c>
      <c r="AL26" s="188">
        <f>opex_orig!AH26</f>
        <v>9.91E-6</v>
      </c>
      <c r="AM26" s="188">
        <f>opex_orig!AI26</f>
        <v>6.3899999999999998E-6</v>
      </c>
      <c r="AN26" s="188">
        <f>opex_orig!AJ26</f>
        <v>3.4800000000000001E-6</v>
      </c>
      <c r="AO26" s="188">
        <f>opex_orig!AK26</f>
        <v>6.0100000000000001E-6</v>
      </c>
      <c r="AP26" s="188">
        <f>opex_orig!$AL26</f>
        <v>3.7848046652276698E-6</v>
      </c>
      <c r="AQ26" s="188">
        <f>opex_orig!$AL26</f>
        <v>3.7848046652276698E-6</v>
      </c>
      <c r="AR26" s="188">
        <f>opex_orig!$AL26</f>
        <v>3.7848046652276698E-6</v>
      </c>
      <c r="AS26" s="188">
        <f>opex_orig!$AM26</f>
        <v>3.5134631998571202E-6</v>
      </c>
      <c r="AT26" s="188">
        <f>opex_orig!AN26</f>
        <v>7.2300000000000002E-6</v>
      </c>
      <c r="AU26" s="349">
        <f>opex_concordance!M588</f>
        <v>3.6259517943428798E-2</v>
      </c>
      <c r="AV26" s="349">
        <f>opex_concordance!M634</f>
        <v>3.42072412088337E-2</v>
      </c>
      <c r="AW26" s="349">
        <f>opex_concordance!M680</f>
        <v>3.0055963167240164E-2</v>
      </c>
      <c r="AX26" s="188">
        <f>opex_orig!$AP26</f>
        <v>3.9280943539919702E-5</v>
      </c>
      <c r="AY26" s="188">
        <f>opex_orig!AQ26</f>
        <v>1.9700000000000002E-6</v>
      </c>
      <c r="AZ26" s="188">
        <f>opex_orig!AR26</f>
        <v>0</v>
      </c>
      <c r="BA26" s="188">
        <f>opex_orig!AS26</f>
        <v>1.39574E-4</v>
      </c>
      <c r="BB26" s="188">
        <f>opex_orig!AT26</f>
        <v>6.2899999999999999E-6</v>
      </c>
      <c r="BC26" s="188">
        <f>opex_orig!AU26</f>
        <v>3.3599999999999999E-7</v>
      </c>
      <c r="BD26" s="188">
        <f>opex_orig!AV26</f>
        <v>3.0600000000000001E-7</v>
      </c>
      <c r="BE26" s="188">
        <f>opex_orig!AW26</f>
        <v>5.6400000000000002E-5</v>
      </c>
      <c r="BF26" s="188">
        <f>opex_orig!AX26</f>
        <v>0</v>
      </c>
      <c r="BG26" s="188">
        <f>opex_orig!AY26</f>
        <v>3.8079759999999998E-3</v>
      </c>
      <c r="BH26" s="188">
        <f>opex_orig!AZ26</f>
        <v>0</v>
      </c>
      <c r="BI26" s="188">
        <f>opex_orig!BA26</f>
        <v>5.2899999999999998E-5</v>
      </c>
      <c r="BJ26" s="188">
        <f>opex_orig!BB26</f>
        <v>5.5500000000000002E-6</v>
      </c>
      <c r="BK26" s="188">
        <f>opex_orig!BC26</f>
        <v>3.54E-6</v>
      </c>
      <c r="BL26" s="188">
        <f>opex_orig!BD26</f>
        <v>9.3200000000000003E-7</v>
      </c>
      <c r="BM26" s="188">
        <f>opex_orig!BE26</f>
        <v>4.6099999999999999E-6</v>
      </c>
      <c r="BN26" s="188">
        <f>opex_orig!BF26</f>
        <v>5.0299999999999999E-7</v>
      </c>
      <c r="BO26" s="188">
        <f>opex_orig!BG26</f>
        <v>1.7600000000000001E-5</v>
      </c>
      <c r="BP26" s="188">
        <f>opex_orig!$BH26</f>
        <v>1.6041660002017001E-6</v>
      </c>
      <c r="BQ26" s="188">
        <f>opex_orig!$BH26</f>
        <v>1.6041660002017001E-6</v>
      </c>
      <c r="BR26" s="188">
        <f>opex_orig!BI26</f>
        <v>1.53E-6</v>
      </c>
      <c r="BS26" s="188">
        <f>opex_orig!BJ26</f>
        <v>2.83E-6</v>
      </c>
      <c r="BT26" s="188">
        <f>opex_orig!BK26</f>
        <v>5.8199999999999998E-5</v>
      </c>
      <c r="BU26" s="188">
        <f>opex_orig!BL26</f>
        <v>0</v>
      </c>
      <c r="BV26" s="27">
        <f>opex_orig!BM26</f>
        <v>8.6487324284757695E-7</v>
      </c>
      <c r="BW26" s="27">
        <f>opex_orig!BN26</f>
        <v>1.71104287717088E-6</v>
      </c>
      <c r="BX26" s="27">
        <f>opex_orig!BO26</f>
        <v>2.6009928414700601E-7</v>
      </c>
      <c r="BY26" s="27">
        <f>opex_orig!BP26</f>
        <v>3.8241554477217301E-7</v>
      </c>
      <c r="BZ26" s="27">
        <f>opex_orig!BQ26</f>
        <v>6.2052445643076498E-7</v>
      </c>
      <c r="CA26" s="27">
        <f>opex_orig!BR26</f>
        <v>4.8780531428149099E-7</v>
      </c>
      <c r="CB26" s="27">
        <f>opex_orig!BS26</f>
        <v>1.7846903984326301E-6</v>
      </c>
      <c r="CC26" s="27">
        <f>opex_orig!BT26</f>
        <v>3.7217126365995501E-4</v>
      </c>
      <c r="CD26" s="27">
        <f>opex_orig!BU26</f>
        <v>2.6725053503300898E-7</v>
      </c>
      <c r="CE26" s="27">
        <f>opex_orig!BV26</f>
        <v>2.6725053503300898E-7</v>
      </c>
      <c r="CF26" s="27">
        <f>opex_orig!BW26</f>
        <v>2.71911194589889E-6</v>
      </c>
      <c r="CG26" s="27">
        <f>opex_orig!BX26</f>
        <v>5.3153332391133603E-8</v>
      </c>
      <c r="CH26" s="27">
        <f>opex_orig!BY26</f>
        <v>1.0707152638512001E-6</v>
      </c>
      <c r="CI26" s="27">
        <f>opex_orig!BZ26</f>
        <v>5.4199999999999996E-7</v>
      </c>
      <c r="CJ26" s="27">
        <f>opex_orig!CA26</f>
        <v>3.1699999999999999E-7</v>
      </c>
      <c r="CK26" s="27">
        <f>opex_orig!CB26</f>
        <v>3.22E-7</v>
      </c>
      <c r="CL26" s="27">
        <f>opex_orig!CC26</f>
        <v>2.8000000000000002E-7</v>
      </c>
      <c r="CM26" s="27">
        <f>opex_orig!CD26</f>
        <v>1.9099999999999999E-6</v>
      </c>
      <c r="CN26" s="27">
        <f>opex_orig!CE26</f>
        <v>2.1799999999999999E-6</v>
      </c>
      <c r="CO26" s="27">
        <f>opex_orig!CF26</f>
        <v>3.1499999999999999E-6</v>
      </c>
      <c r="CP26" s="27">
        <f>opex_orig!CG26</f>
        <v>6.6700000000000003E-7</v>
      </c>
    </row>
    <row r="27" spans="1:94" x14ac:dyDescent="0.25">
      <c r="A27" s="5" t="s">
        <v>73</v>
      </c>
      <c r="B27" s="2" t="s">
        <v>72</v>
      </c>
      <c r="C27" s="1" t="s">
        <v>326</v>
      </c>
      <c r="D27" s="188">
        <f>opex_orig!D27</f>
        <v>7.5292399999999998E-4</v>
      </c>
      <c r="E27" s="188">
        <f>opex_orig!E27</f>
        <v>3.7982199999999998E-4</v>
      </c>
      <c r="F27" s="188">
        <f>opex_orig!F27</f>
        <v>2.32205E-4</v>
      </c>
      <c r="G27" s="188">
        <f>opex_orig!G27</f>
        <v>5.0599999999999997E-5</v>
      </c>
      <c r="H27" s="188">
        <f>opex_orig!H27</f>
        <v>6.7700000000000006E-5</v>
      </c>
      <c r="I27" s="188">
        <f>opex_orig!I27</f>
        <v>3.19403E-4</v>
      </c>
      <c r="J27" s="188">
        <f>opex_orig!J27</f>
        <v>6.75094E-4</v>
      </c>
      <c r="K27" s="188">
        <f>opex_orig!K27</f>
        <v>1.4751E-4</v>
      </c>
      <c r="L27" s="188">
        <f>opex_orig!L27</f>
        <v>3.61527E-4</v>
      </c>
      <c r="M27" s="188">
        <f>opex_orig!M27</f>
        <v>4.5915799999999998E-4</v>
      </c>
      <c r="N27" s="188">
        <f>opex_orig!N27</f>
        <v>1.3683790000000001E-3</v>
      </c>
      <c r="O27" s="188">
        <f>opex_orig!O27</f>
        <v>1.197077E-3</v>
      </c>
      <c r="P27" s="188">
        <f>opex_orig!P27</f>
        <v>6.2939300000000001E-4</v>
      </c>
      <c r="Q27" s="188">
        <f>opex_orig!Q27</f>
        <v>2.9366100000000002E-4</v>
      </c>
      <c r="R27" s="188">
        <f>opex_orig!R27</f>
        <v>8.61998E-4</v>
      </c>
      <c r="S27" s="188">
        <f>opex_orig!S27</f>
        <v>2.7930300000000001E-4</v>
      </c>
      <c r="T27" s="188">
        <f>opex_orig!T27</f>
        <v>3.8345799999999999E-4</v>
      </c>
      <c r="U27" s="188">
        <f>opex_orig!U27</f>
        <v>8.7423700000000004E-4</v>
      </c>
      <c r="V27" s="188">
        <f>opex_orig!V27</f>
        <v>1.522135E-3</v>
      </c>
      <c r="W27" s="188">
        <f>opex_orig!W27</f>
        <v>4.7186899999999998E-4</v>
      </c>
      <c r="X27" s="188">
        <f>opex_orig!X27</f>
        <v>2.6769899999999999E-4</v>
      </c>
      <c r="Y27" s="188">
        <f>opex_orig!Y27</f>
        <v>2.2000399999999999E-4</v>
      </c>
      <c r="Z27" s="188">
        <f>opex_orig!Z27</f>
        <v>1.6277970000000001E-3</v>
      </c>
      <c r="AA27" s="188">
        <f>opex_orig!AA27</f>
        <v>7.7959600000000002E-4</v>
      </c>
      <c r="AB27" s="188">
        <f>opex_orig!$AB27</f>
        <v>2.8196528439808901E-3</v>
      </c>
      <c r="AC27" s="188">
        <f>opex_orig!$AB27</f>
        <v>2.8196528439808901E-3</v>
      </c>
      <c r="AD27" s="188">
        <f>opex_orig!$AB27</f>
        <v>2.8196528439808901E-3</v>
      </c>
      <c r="AE27" s="188">
        <f>opex_orig!$AC27</f>
        <v>4.1927615297094297E-3</v>
      </c>
      <c r="AF27" s="188">
        <f>opex_orig!$AD27</f>
        <v>1.22735178037086E-3</v>
      </c>
      <c r="AG27" s="188">
        <f>opex_orig!$AD27</f>
        <v>1.22735178037086E-3</v>
      </c>
      <c r="AH27" s="188">
        <f>opex_orig!$AD27</f>
        <v>1.22735178037086E-3</v>
      </c>
      <c r="AI27" s="188">
        <f>opex_orig!AE27</f>
        <v>7.6270600000000004E-4</v>
      </c>
      <c r="AJ27" s="188">
        <f>opex_orig!AF27</f>
        <v>2.0389459999999998E-3</v>
      </c>
      <c r="AK27" s="188">
        <f>opex_orig!AG27</f>
        <v>8.6207799999999995E-4</v>
      </c>
      <c r="AL27" s="188">
        <f>opex_orig!AH27</f>
        <v>2.3857629999999999E-3</v>
      </c>
      <c r="AM27" s="188">
        <f>opex_orig!AI27</f>
        <v>6.3729599999999998E-4</v>
      </c>
      <c r="AN27" s="188">
        <f>opex_orig!AJ27</f>
        <v>1.780326E-3</v>
      </c>
      <c r="AO27" s="188">
        <f>opex_orig!AK27</f>
        <v>1.2380410000000001E-3</v>
      </c>
      <c r="AP27" s="188">
        <f>opex_orig!$AL27</f>
        <v>1.01605961309375E-3</v>
      </c>
      <c r="AQ27" s="188">
        <f>opex_orig!$AL27</f>
        <v>1.01605961309375E-3</v>
      </c>
      <c r="AR27" s="188">
        <f>opex_orig!$AL27</f>
        <v>1.01605961309375E-3</v>
      </c>
      <c r="AS27" s="188">
        <f>opex_orig!$AM27</f>
        <v>8.7712617532300903E-4</v>
      </c>
      <c r="AT27" s="188">
        <f>opex_orig!AN27</f>
        <v>1.162375E-3</v>
      </c>
      <c r="AU27" s="349">
        <f>opex_concordance!M589</f>
        <v>2.3574331783123001E-2</v>
      </c>
      <c r="AV27" s="349">
        <f>opex_concordance!M635</f>
        <v>2.2240032393715449E-2</v>
      </c>
      <c r="AW27" s="349">
        <f>opex_concordance!M681</f>
        <v>1.954105536844988E-2</v>
      </c>
      <c r="AX27" s="188">
        <f>opex_orig!$AP27</f>
        <v>1.5942947992159999E-2</v>
      </c>
      <c r="AY27" s="188">
        <f>opex_orig!AQ27</f>
        <v>1.8966862000000001E-2</v>
      </c>
      <c r="AZ27" s="188">
        <f>opex_orig!AR27</f>
        <v>0</v>
      </c>
      <c r="BA27" s="188">
        <f>opex_orig!AS27</f>
        <v>1.1336254E-2</v>
      </c>
      <c r="BB27" s="188">
        <f>opex_orig!AT27</f>
        <v>1.2041744E-2</v>
      </c>
      <c r="BC27" s="188">
        <f>opex_orig!AU27</f>
        <v>9.8695529000000004E-2</v>
      </c>
      <c r="BD27" s="188">
        <f>opex_orig!AV27</f>
        <v>0.10335649399999999</v>
      </c>
      <c r="BE27" s="188">
        <f>opex_orig!AW27</f>
        <v>1.1759923E-2</v>
      </c>
      <c r="BF27" s="188">
        <f>opex_orig!AX27</f>
        <v>0</v>
      </c>
      <c r="BG27" s="188">
        <f>opex_orig!AY27</f>
        <v>1.5130329E-2</v>
      </c>
      <c r="BH27" s="188">
        <f>opex_orig!AZ27</f>
        <v>0</v>
      </c>
      <c r="BI27" s="188">
        <f>opex_orig!BA27</f>
        <v>1.6733690999999998E-2</v>
      </c>
      <c r="BJ27" s="188">
        <f>opex_orig!BB27</f>
        <v>4.9636350000000001E-3</v>
      </c>
      <c r="BK27" s="188">
        <f>opex_orig!BC27</f>
        <v>6.4068379999999998E-3</v>
      </c>
      <c r="BL27" s="188">
        <f>opex_orig!BD27</f>
        <v>8.6194400000000001E-4</v>
      </c>
      <c r="BM27" s="188">
        <f>opex_orig!BE27</f>
        <v>4.2554969999999996E-3</v>
      </c>
      <c r="BN27" s="188">
        <f>opex_orig!BF27</f>
        <v>3.6370800000000002E-4</v>
      </c>
      <c r="BO27" s="188">
        <f>opex_orig!BG27</f>
        <v>1.2163899999999999E-3</v>
      </c>
      <c r="BP27" s="188">
        <f>opex_orig!$BH27</f>
        <v>1.5049664309949801E-3</v>
      </c>
      <c r="BQ27" s="188">
        <f>opex_orig!$BH27</f>
        <v>1.5049664309949801E-3</v>
      </c>
      <c r="BR27" s="188">
        <f>opex_orig!BI27</f>
        <v>4.0513279999999999E-3</v>
      </c>
      <c r="BS27" s="188">
        <f>opex_orig!BJ27</f>
        <v>3.144399E-3</v>
      </c>
      <c r="BT27" s="188">
        <f>opex_orig!BK27</f>
        <v>1.9298154000000001E-2</v>
      </c>
      <c r="BU27" s="188">
        <f>opex_orig!BL27</f>
        <v>0</v>
      </c>
      <c r="BV27" s="27">
        <f>opex_orig!BM27</f>
        <v>4.6568632111485399E-4</v>
      </c>
      <c r="BW27" s="27">
        <f>opex_orig!BN27</f>
        <v>2.1537630356342299E-3</v>
      </c>
      <c r="BX27" s="27">
        <f>opex_orig!BO27</f>
        <v>2.74574544439246E-4</v>
      </c>
      <c r="BY27" s="27">
        <f>opex_orig!BP27</f>
        <v>1.7574731328117901E-3</v>
      </c>
      <c r="BZ27" s="27">
        <f>opex_orig!BQ27</f>
        <v>5.0039683589188995E-4</v>
      </c>
      <c r="CA27" s="27">
        <f>opex_orig!BR27</f>
        <v>6.9029404911065702E-5</v>
      </c>
      <c r="CB27" s="27">
        <f>opex_orig!BS27</f>
        <v>1.0489511690257301E-3</v>
      </c>
      <c r="CC27" s="27">
        <f>opex_orig!BT27</f>
        <v>1.1565365646315501E-4</v>
      </c>
      <c r="CD27" s="27">
        <f>opex_orig!BU27</f>
        <v>2.0960724725442399E-4</v>
      </c>
      <c r="CE27" s="27">
        <f>opex_orig!BV27</f>
        <v>2.0960724725442399E-4</v>
      </c>
      <c r="CF27" s="27">
        <f>opex_orig!BW27</f>
        <v>4.6435979842765002E-4</v>
      </c>
      <c r="CG27" s="27">
        <f>opex_orig!BX27</f>
        <v>7.3477634767652396E-5</v>
      </c>
      <c r="CH27" s="27">
        <f>opex_orig!BY27</f>
        <v>2.9611193060801299E-3</v>
      </c>
      <c r="CI27" s="27">
        <f>opex_orig!BZ27</f>
        <v>1.1441069999999999E-3</v>
      </c>
      <c r="CJ27" s="27">
        <f>opex_orig!CA27</f>
        <v>4.1948799999999998E-4</v>
      </c>
      <c r="CK27" s="27">
        <f>opex_orig!CB27</f>
        <v>3.4294099999999998E-4</v>
      </c>
      <c r="CL27" s="27">
        <f>opex_orig!CC27</f>
        <v>3.00752E-4</v>
      </c>
      <c r="CM27" s="27">
        <f>opex_orig!CD27</f>
        <v>8.1261099999999998E-4</v>
      </c>
      <c r="CN27" s="27">
        <f>opex_orig!CE27</f>
        <v>5.6496900000000002E-4</v>
      </c>
      <c r="CO27" s="27">
        <f>opex_orig!CF27</f>
        <v>8.5638999999999995E-4</v>
      </c>
      <c r="CP27" s="27">
        <f>opex_orig!CG27</f>
        <v>6.1017000000000005E-4</v>
      </c>
    </row>
    <row r="28" spans="1:94" x14ac:dyDescent="0.25">
      <c r="A28" s="5" t="s">
        <v>75</v>
      </c>
      <c r="B28" s="2" t="s">
        <v>74</v>
      </c>
      <c r="C28" s="1" t="s">
        <v>326</v>
      </c>
      <c r="D28" s="188">
        <f>opex_orig!D28</f>
        <v>6.9499999999999995E-5</v>
      </c>
      <c r="E28" s="188">
        <f>opex_orig!E28</f>
        <v>1.7900000000000001E-5</v>
      </c>
      <c r="F28" s="188">
        <f>opex_orig!F28</f>
        <v>1.08E-5</v>
      </c>
      <c r="G28" s="188">
        <f>opex_orig!G28</f>
        <v>8.4799999999999997E-7</v>
      </c>
      <c r="H28" s="188">
        <f>opex_orig!H28</f>
        <v>1.57E-6</v>
      </c>
      <c r="I28" s="188">
        <f>opex_orig!I28</f>
        <v>2.3099999999999999E-5</v>
      </c>
      <c r="J28" s="188">
        <f>opex_orig!J28</f>
        <v>2.8099999999999999E-5</v>
      </c>
      <c r="K28" s="188">
        <f>opex_orig!K28</f>
        <v>2.5799999999999999E-6</v>
      </c>
      <c r="L28" s="188">
        <f>opex_orig!L28</f>
        <v>1.9400000000000001E-5</v>
      </c>
      <c r="M28" s="188">
        <f>opex_orig!M28</f>
        <v>3.5099999999999999E-5</v>
      </c>
      <c r="N28" s="188">
        <f>opex_orig!N28</f>
        <v>7.4800000000000002E-5</v>
      </c>
      <c r="O28" s="188">
        <f>opex_orig!O28</f>
        <v>3.2499999999999997E-5</v>
      </c>
      <c r="P28" s="188">
        <f>opex_orig!P28</f>
        <v>7.5599999999999994E-5</v>
      </c>
      <c r="Q28" s="188">
        <f>opex_orig!Q28</f>
        <v>3.4300000000000002E-6</v>
      </c>
      <c r="R28" s="188">
        <f>opex_orig!R28</f>
        <v>2.5500000000000001E-6</v>
      </c>
      <c r="S28" s="188">
        <f>opex_orig!S28</f>
        <v>2.6100000000000001E-5</v>
      </c>
      <c r="T28" s="188">
        <f>opex_orig!T28</f>
        <v>3.9900000000000001E-5</v>
      </c>
      <c r="U28" s="188">
        <f>opex_orig!U28</f>
        <v>2.1399999999999998E-5</v>
      </c>
      <c r="V28" s="188">
        <f>opex_orig!V28</f>
        <v>3.82E-5</v>
      </c>
      <c r="W28" s="188">
        <f>opex_orig!W28</f>
        <v>1.6699999999999999E-5</v>
      </c>
      <c r="X28" s="188">
        <f>opex_orig!X28</f>
        <v>1.8199999999999999E-5</v>
      </c>
      <c r="Y28" s="188">
        <f>opex_orig!Y28</f>
        <v>2.4000000000000001E-5</v>
      </c>
      <c r="Z28" s="188">
        <f>opex_orig!Z28</f>
        <v>5.0399999999999999E-5</v>
      </c>
      <c r="AA28" s="188">
        <f>opex_orig!AA28</f>
        <v>2.5899999999999999E-5</v>
      </c>
      <c r="AB28" s="188">
        <f>opex_orig!$AB28</f>
        <v>2.1596097588619499E-5</v>
      </c>
      <c r="AC28" s="188">
        <f>opex_orig!$AB28</f>
        <v>2.1596097588619499E-5</v>
      </c>
      <c r="AD28" s="188">
        <f>opex_orig!$AB28</f>
        <v>2.1596097588619499E-5</v>
      </c>
      <c r="AE28" s="188">
        <f>opex_orig!$AC28</f>
        <v>2.40027303160956E-4</v>
      </c>
      <c r="AF28" s="188">
        <f>opex_orig!$AD28</f>
        <v>9.6294733803209504E-5</v>
      </c>
      <c r="AG28" s="188">
        <f>opex_orig!$AD28</f>
        <v>9.6294733803209504E-5</v>
      </c>
      <c r="AH28" s="188">
        <f>opex_orig!$AD28</f>
        <v>9.6294733803209504E-5</v>
      </c>
      <c r="AI28" s="188">
        <f>opex_orig!AE28</f>
        <v>8.5699999999999996E-5</v>
      </c>
      <c r="AJ28" s="188">
        <f>opex_orig!AF28</f>
        <v>5.4799999999999997E-5</v>
      </c>
      <c r="AK28" s="188">
        <f>opex_orig!AG28</f>
        <v>4.1399999999999997E-5</v>
      </c>
      <c r="AL28" s="188">
        <f>opex_orig!AH28</f>
        <v>5.0983500000000004E-4</v>
      </c>
      <c r="AM28" s="188">
        <f>opex_orig!AI28</f>
        <v>1.2845000000000001E-4</v>
      </c>
      <c r="AN28" s="188">
        <f>opex_orig!AJ28</f>
        <v>3.9866400000000002E-4</v>
      </c>
      <c r="AO28" s="188">
        <f>opex_orig!AK28</f>
        <v>2.68554E-4</v>
      </c>
      <c r="AP28" s="188">
        <f>opex_orig!$AL28</f>
        <v>1.00870113392055E-4</v>
      </c>
      <c r="AQ28" s="188">
        <f>opex_orig!$AL28</f>
        <v>1.00870113392055E-4</v>
      </c>
      <c r="AR28" s="188">
        <f>opex_orig!$AL28</f>
        <v>1.00870113392055E-4</v>
      </c>
      <c r="AS28" s="188">
        <f>opex_orig!$AM28</f>
        <v>1.21363559672192E-4</v>
      </c>
      <c r="AT28" s="188">
        <f>opex_orig!AN28</f>
        <v>4.2489999999999997E-4</v>
      </c>
      <c r="AU28" s="188">
        <f>opex_orig!$AO28</f>
        <v>3.6136538497839898E-3</v>
      </c>
      <c r="AV28" s="188">
        <f>opex_orig!$AO28</f>
        <v>3.6136538497839898E-3</v>
      </c>
      <c r="AW28" s="188">
        <f>opex_orig!$AO28</f>
        <v>3.6136538497839898E-3</v>
      </c>
      <c r="AX28" s="188">
        <f>opex_orig!$AP28</f>
        <v>3.6730918128268001E-3</v>
      </c>
      <c r="AY28" s="188">
        <f>opex_orig!AQ28</f>
        <v>6.2399999999999999E-5</v>
      </c>
      <c r="AZ28" s="188">
        <f>opex_orig!AR28</f>
        <v>0</v>
      </c>
      <c r="BA28" s="188">
        <f>opex_orig!AS28</f>
        <v>1.6482399999999999E-4</v>
      </c>
      <c r="BB28" s="188">
        <f>opex_orig!AT28</f>
        <v>1.6609700000000001E-4</v>
      </c>
      <c r="BC28" s="188">
        <f>opex_orig!AU28</f>
        <v>4.6211599999999999E-4</v>
      </c>
      <c r="BD28" s="188">
        <f>opex_orig!AV28</f>
        <v>4.7314699999999999E-4</v>
      </c>
      <c r="BE28" s="188">
        <f>opex_orig!AW28</f>
        <v>3.4420300000000001E-4</v>
      </c>
      <c r="BF28" s="188">
        <f>opex_orig!AX28</f>
        <v>0</v>
      </c>
      <c r="BG28" s="188">
        <f>opex_orig!AY28</f>
        <v>3.3301076999999998E-2</v>
      </c>
      <c r="BH28" s="188">
        <f>opex_orig!AZ28</f>
        <v>0</v>
      </c>
      <c r="BI28" s="188">
        <f>opex_orig!BA28</f>
        <v>2.3485100000000001E-4</v>
      </c>
      <c r="BJ28" s="188">
        <f>opex_orig!BB28</f>
        <v>1.20158E-4</v>
      </c>
      <c r="BK28" s="188">
        <f>opex_orig!BC28</f>
        <v>9.7499999999999998E-5</v>
      </c>
      <c r="BL28" s="188">
        <f>opex_orig!BD28</f>
        <v>5.52E-5</v>
      </c>
      <c r="BM28" s="188">
        <f>opex_orig!BE28</f>
        <v>7.7299999999999995E-5</v>
      </c>
      <c r="BN28" s="188">
        <f>opex_orig!BF28</f>
        <v>1.91492E-4</v>
      </c>
      <c r="BO28" s="188">
        <f>opex_orig!BG28</f>
        <v>6.1199999999999997E-5</v>
      </c>
      <c r="BP28" s="188">
        <f>opex_orig!$BH28</f>
        <v>5.3326345474494502E-5</v>
      </c>
      <c r="BQ28" s="188">
        <f>opex_orig!$BH28</f>
        <v>5.3326345474494502E-5</v>
      </c>
      <c r="BR28" s="188">
        <f>opex_orig!BI28</f>
        <v>7.8399999999999995E-5</v>
      </c>
      <c r="BS28" s="188">
        <f>opex_orig!BJ28</f>
        <v>5.1999999999999997E-5</v>
      </c>
      <c r="BT28" s="188">
        <f>opex_orig!BK28</f>
        <v>3.31505E-4</v>
      </c>
      <c r="BU28" s="188">
        <f>opex_orig!BL28</f>
        <v>0</v>
      </c>
      <c r="BV28" s="27">
        <f>opex_orig!BM28</f>
        <v>1.6627866795222701E-5</v>
      </c>
      <c r="BW28" s="27">
        <f>opex_orig!BN28</f>
        <v>7.3922308623119304E-5</v>
      </c>
      <c r="BX28" s="27">
        <f>opex_orig!BO28</f>
        <v>1.15640286646895E-5</v>
      </c>
      <c r="BY28" s="27">
        <f>opex_orig!BP28</f>
        <v>6.33717624668385E-5</v>
      </c>
      <c r="BZ28" s="27">
        <f>opex_orig!BQ28</f>
        <v>9.7621357122860397E-5</v>
      </c>
      <c r="CA28" s="27">
        <f>opex_orig!BR28</f>
        <v>4.2383442771946398E-6</v>
      </c>
      <c r="CB28" s="27">
        <f>opex_orig!BS28</f>
        <v>2.3733213484927501E-5</v>
      </c>
      <c r="CC28" s="27">
        <f>opex_orig!BT28</f>
        <v>5.0565466224840003E-6</v>
      </c>
      <c r="CD28" s="27">
        <f>opex_orig!BU28</f>
        <v>4.2800455632920297E-6</v>
      </c>
      <c r="CE28" s="27">
        <f>opex_orig!BV28</f>
        <v>4.2800455632920501E-6</v>
      </c>
      <c r="CF28" s="27">
        <f>opex_orig!BW28</f>
        <v>3.6387479216900898E-5</v>
      </c>
      <c r="CG28" s="27">
        <f>opex_orig!BX28</f>
        <v>7.1548645717624798E-6</v>
      </c>
      <c r="CH28" s="27">
        <f>opex_orig!BY28</f>
        <v>4.5093446745452898E-7</v>
      </c>
      <c r="CI28" s="27">
        <f>opex_orig!BZ28</f>
        <v>3.9400000000000002E-5</v>
      </c>
      <c r="CJ28" s="27">
        <f>opex_orig!CA28</f>
        <v>1.3699999999999999E-5</v>
      </c>
      <c r="CK28" s="27">
        <f>opex_orig!CB28</f>
        <v>1.0200000000000001E-5</v>
      </c>
      <c r="CL28" s="27">
        <f>opex_orig!CC28</f>
        <v>1.0200000000000001E-5</v>
      </c>
      <c r="CM28" s="27">
        <f>opex_orig!CD28</f>
        <v>2.19E-5</v>
      </c>
      <c r="CN28" s="27">
        <f>opex_orig!CE28</f>
        <v>3.9799999999999998E-5</v>
      </c>
      <c r="CO28" s="27">
        <f>opex_orig!CF28</f>
        <v>5.1100000000000002E-5</v>
      </c>
      <c r="CP28" s="27">
        <f>opex_orig!CG28</f>
        <v>6.2700000000000006E-5</v>
      </c>
    </row>
    <row r="29" spans="1:94" x14ac:dyDescent="0.25">
      <c r="A29" s="5" t="s">
        <v>77</v>
      </c>
      <c r="B29" s="2" t="s">
        <v>76</v>
      </c>
      <c r="C29" s="1" t="s">
        <v>326</v>
      </c>
      <c r="D29" s="188">
        <f>opex_orig!D29</f>
        <v>1.2300000000000001E-6</v>
      </c>
      <c r="E29" s="188">
        <f>opex_orig!E29</f>
        <v>2.4600000000000001E-7</v>
      </c>
      <c r="F29" s="188">
        <f>opex_orig!F29</f>
        <v>3.3599999999999999E-7</v>
      </c>
      <c r="G29" s="188">
        <f>opex_orig!G29</f>
        <v>3.47E-8</v>
      </c>
      <c r="H29" s="188">
        <f>opex_orig!H29</f>
        <v>5.6400000000000002E-8</v>
      </c>
      <c r="I29" s="188">
        <f>opex_orig!I29</f>
        <v>4.7300000000000001E-7</v>
      </c>
      <c r="J29" s="188">
        <f>opex_orig!J29</f>
        <v>7.3300000000000001E-7</v>
      </c>
      <c r="K29" s="188">
        <f>opex_orig!K29</f>
        <v>9.9E-8</v>
      </c>
      <c r="L29" s="188">
        <f>opex_orig!L29</f>
        <v>5.9400000000000005E-7</v>
      </c>
      <c r="M29" s="188">
        <f>opex_orig!M29</f>
        <v>8.8299999999999995E-7</v>
      </c>
      <c r="N29" s="188">
        <f>opex_orig!N29</f>
        <v>5.06E-7</v>
      </c>
      <c r="O29" s="188">
        <f>opex_orig!O29</f>
        <v>8.2500000000000004E-7</v>
      </c>
      <c r="P29" s="188">
        <f>opex_orig!P29</f>
        <v>1.0699999999999999E-6</v>
      </c>
      <c r="Q29" s="188">
        <f>opex_orig!Q29</f>
        <v>1.29E-7</v>
      </c>
      <c r="R29" s="188">
        <f>opex_orig!R29</f>
        <v>2.3699999999999999E-7</v>
      </c>
      <c r="S29" s="188">
        <f>opex_orig!S29</f>
        <v>6.61E-7</v>
      </c>
      <c r="T29" s="188">
        <f>opex_orig!T29</f>
        <v>7.0399999999999995E-7</v>
      </c>
      <c r="U29" s="188">
        <f>opex_orig!U29</f>
        <v>3.7099999999999997E-7</v>
      </c>
      <c r="V29" s="188">
        <f>opex_orig!V29</f>
        <v>3.7099999999999997E-7</v>
      </c>
      <c r="W29" s="188">
        <f>opex_orig!W29</f>
        <v>6.7100000000000001E-7</v>
      </c>
      <c r="X29" s="188">
        <f>opex_orig!X29</f>
        <v>5.5899999999999996E-7</v>
      </c>
      <c r="Y29" s="188">
        <f>opex_orig!Y29</f>
        <v>4.6199999999999998E-7</v>
      </c>
      <c r="Z29" s="188">
        <f>opex_orig!Z29</f>
        <v>3.8600000000000003E-6</v>
      </c>
      <c r="AA29" s="188">
        <f>opex_orig!AA29</f>
        <v>1.7400000000000001E-6</v>
      </c>
      <c r="AB29" s="188">
        <f>opex_orig!$AB29</f>
        <v>2.5426933172991801E-6</v>
      </c>
      <c r="AC29" s="188">
        <f>opex_orig!$AB29</f>
        <v>2.5426933172991801E-6</v>
      </c>
      <c r="AD29" s="188">
        <f>opex_orig!$AB29</f>
        <v>2.5426933172991801E-6</v>
      </c>
      <c r="AE29" s="188">
        <f>opex_orig!$AC29</f>
        <v>4.8239182424342797E-7</v>
      </c>
      <c r="AF29" s="188">
        <f>opex_orig!$AD29</f>
        <v>8.9225946156324803E-7</v>
      </c>
      <c r="AG29" s="188">
        <f>opex_orig!$AD29</f>
        <v>8.9225946156324803E-7</v>
      </c>
      <c r="AH29" s="188">
        <f>opex_orig!$AD29</f>
        <v>8.9225946156324803E-7</v>
      </c>
      <c r="AI29" s="188">
        <f>opex_orig!AE29</f>
        <v>7.1299999999999999E-7</v>
      </c>
      <c r="AJ29" s="188">
        <f>opex_orig!AF29</f>
        <v>3.2700000000000002E-5</v>
      </c>
      <c r="AK29" s="188">
        <f>opex_orig!AG29</f>
        <v>2.26E-6</v>
      </c>
      <c r="AL29" s="188">
        <f>opex_orig!AH29</f>
        <v>4.4299999999999999E-5</v>
      </c>
      <c r="AM29" s="188">
        <f>opex_orig!AI29</f>
        <v>7.5500000000000006E-5</v>
      </c>
      <c r="AN29" s="188">
        <f>opex_orig!AJ29</f>
        <v>7.96E-6</v>
      </c>
      <c r="AO29" s="188">
        <f>opex_orig!AK29</f>
        <v>9.0599999999999997E-6</v>
      </c>
      <c r="AP29" s="188">
        <f>opex_orig!$AL29</f>
        <v>5.9954304026264903E-6</v>
      </c>
      <c r="AQ29" s="188">
        <f>opex_orig!$AL29</f>
        <v>5.9954304026264903E-6</v>
      </c>
      <c r="AR29" s="188">
        <f>opex_orig!$AL29</f>
        <v>5.9954304026264903E-6</v>
      </c>
      <c r="AS29" s="188">
        <f>opex_orig!$AM29</f>
        <v>5.6325159227175604E-6</v>
      </c>
      <c r="AT29" s="188">
        <f>opex_orig!AN29</f>
        <v>1.8099999999999999E-5</v>
      </c>
      <c r="AU29" s="188">
        <f>opex_orig!$AO29</f>
        <v>3.8825347295320898E-6</v>
      </c>
      <c r="AV29" s="188">
        <f>opex_orig!$AO29</f>
        <v>3.8825347295320898E-6</v>
      </c>
      <c r="AW29" s="188">
        <f>opex_orig!$AO29</f>
        <v>3.8825347295320898E-6</v>
      </c>
      <c r="AX29" s="188">
        <f>opex_orig!$AP29</f>
        <v>1.7231548397229101E-6</v>
      </c>
      <c r="AY29" s="188">
        <f>opex_orig!AQ29</f>
        <v>2.5100000000000001E-6</v>
      </c>
      <c r="AZ29" s="188">
        <f>opex_orig!AR29</f>
        <v>0</v>
      </c>
      <c r="BA29" s="188">
        <f>opex_orig!AS29</f>
        <v>3.8212350000000001E-3</v>
      </c>
      <c r="BB29" s="188">
        <f>opex_orig!AT29</f>
        <v>1.4100000000000001E-6</v>
      </c>
      <c r="BC29" s="188">
        <f>opex_orig!AU29</f>
        <v>2.5100000000000001E-7</v>
      </c>
      <c r="BD29" s="188">
        <f>opex_orig!AV29</f>
        <v>1.73E-7</v>
      </c>
      <c r="BE29" s="188">
        <f>opex_orig!AW29</f>
        <v>1.24E-6</v>
      </c>
      <c r="BF29" s="188">
        <f>opex_orig!AX29</f>
        <v>0</v>
      </c>
      <c r="BG29" s="188">
        <f>opex_orig!AY29</f>
        <v>9.7699999999999992E-7</v>
      </c>
      <c r="BH29" s="188">
        <f>opex_orig!AZ29</f>
        <v>0</v>
      </c>
      <c r="BI29" s="188">
        <f>opex_orig!BA29</f>
        <v>9.9900000000000002E-5</v>
      </c>
      <c r="BJ29" s="188">
        <f>opex_orig!BB29</f>
        <v>6.1099999999999999E-6</v>
      </c>
      <c r="BK29" s="188">
        <f>opex_orig!BC29</f>
        <v>3.0800000000000002E-6</v>
      </c>
      <c r="BL29" s="188">
        <f>opex_orig!BD29</f>
        <v>7.3300000000000001E-6</v>
      </c>
      <c r="BM29" s="188">
        <f>opex_orig!BE29</f>
        <v>5.1599999999999997E-6</v>
      </c>
      <c r="BN29" s="188">
        <f>opex_orig!BF29</f>
        <v>2.4899999999999999E-6</v>
      </c>
      <c r="BO29" s="188">
        <f>opex_orig!BG29</f>
        <v>1.04E-5</v>
      </c>
      <c r="BP29" s="188">
        <f>opex_orig!$BH29</f>
        <v>4.3186031390151298E-6</v>
      </c>
      <c r="BQ29" s="188">
        <f>opex_orig!$BH29</f>
        <v>4.3186031390151298E-6</v>
      </c>
      <c r="BR29" s="188">
        <f>opex_orig!BI29</f>
        <v>3.1099999999999999E-6</v>
      </c>
      <c r="BS29" s="188">
        <f>opex_orig!BJ29</f>
        <v>1.86E-6</v>
      </c>
      <c r="BT29" s="188">
        <f>opex_orig!BK29</f>
        <v>1.05096E-4</v>
      </c>
      <c r="BU29" s="188">
        <f>opex_orig!BL29</f>
        <v>0</v>
      </c>
      <c r="BV29" s="27">
        <f>opex_orig!BM29</f>
        <v>1.05211222108481E-6</v>
      </c>
      <c r="BW29" s="27">
        <f>opex_orig!BN29</f>
        <v>1.85355595265987E-6</v>
      </c>
      <c r="BX29" s="27">
        <f>opex_orig!BO29</f>
        <v>3.71586232102512E-7</v>
      </c>
      <c r="BY29" s="27">
        <f>opex_orig!BP29</f>
        <v>3.0436622981304702E-7</v>
      </c>
      <c r="BZ29" s="27">
        <f>opex_orig!BQ29</f>
        <v>3.66910732948531E-7</v>
      </c>
      <c r="CA29" s="27">
        <f>opex_orig!BR29</f>
        <v>3.0021044782812902E-7</v>
      </c>
      <c r="CB29" s="27">
        <f>opex_orig!BS29</f>
        <v>1.5231435831521799E-6</v>
      </c>
      <c r="CC29" s="27">
        <f>opex_orig!BT29</f>
        <v>6.0566992662685895E-7</v>
      </c>
      <c r="CD29" s="27">
        <f>opex_orig!BU29</f>
        <v>2.8754383216396199E-7</v>
      </c>
      <c r="CE29" s="27">
        <f>opex_orig!BV29</f>
        <v>2.8754383216396199E-7</v>
      </c>
      <c r="CF29" s="27">
        <f>opex_orig!BW29</f>
        <v>1.6665367535863099E-6</v>
      </c>
      <c r="CG29" s="27">
        <f>opex_orig!BX29</f>
        <v>1.8945697207439599E-7</v>
      </c>
      <c r="CH29" s="27">
        <f>opex_orig!BY29</f>
        <v>9.4602635973339406E-8</v>
      </c>
      <c r="CI29" s="27">
        <f>opex_orig!BZ29</f>
        <v>6.8100000000000002E-7</v>
      </c>
      <c r="CJ29" s="27">
        <f>opex_orig!CA29</f>
        <v>3.9400000000000001E-7</v>
      </c>
      <c r="CK29" s="27">
        <f>opex_orig!CB29</f>
        <v>4.5299999999999999E-7</v>
      </c>
      <c r="CL29" s="27">
        <f>opex_orig!CC29</f>
        <v>1.9399999999999999E-7</v>
      </c>
      <c r="CM29" s="27">
        <f>opex_orig!CD29</f>
        <v>1.9599999999999999E-6</v>
      </c>
      <c r="CN29" s="27">
        <f>opex_orig!CE29</f>
        <v>1.33E-6</v>
      </c>
      <c r="CO29" s="27">
        <f>opex_orig!CF29</f>
        <v>2.9399999999999998E-6</v>
      </c>
      <c r="CP29" s="27">
        <f>opex_orig!CG29</f>
        <v>9.5900000000000005E-7</v>
      </c>
    </row>
    <row r="30" spans="1:94" x14ac:dyDescent="0.25">
      <c r="A30" s="5" t="s">
        <v>79</v>
      </c>
      <c r="B30" s="2" t="s">
        <v>78</v>
      </c>
      <c r="C30" s="1" t="s">
        <v>326</v>
      </c>
      <c r="D30" s="188">
        <f>opex_orig!D30</f>
        <v>3.2121199999999997E-4</v>
      </c>
      <c r="E30" s="188">
        <f>opex_orig!E30</f>
        <v>7.3399999999999995E-5</v>
      </c>
      <c r="F30" s="188">
        <f>opex_orig!F30</f>
        <v>1.0084100000000001E-4</v>
      </c>
      <c r="G30" s="188">
        <f>opex_orig!G30</f>
        <v>1.4800000000000001E-5</v>
      </c>
      <c r="H30" s="188">
        <f>opex_orig!H30</f>
        <v>2.09E-5</v>
      </c>
      <c r="I30" s="188">
        <f>opex_orig!I30</f>
        <v>1.1457E-4</v>
      </c>
      <c r="J30" s="188">
        <f>opex_orig!J30</f>
        <v>1.7083500000000001E-4</v>
      </c>
      <c r="K30" s="188">
        <f>opex_orig!K30</f>
        <v>3.5899999999999998E-5</v>
      </c>
      <c r="L30" s="188">
        <f>opex_orig!L30</f>
        <v>1.6541700000000001E-4</v>
      </c>
      <c r="M30" s="188">
        <f>opex_orig!M30</f>
        <v>1.7083800000000001E-4</v>
      </c>
      <c r="N30" s="188">
        <f>opex_orig!N30</f>
        <v>2.1023E-4</v>
      </c>
      <c r="O30" s="188">
        <f>opex_orig!O30</f>
        <v>2.5870800000000002E-4</v>
      </c>
      <c r="P30" s="188">
        <f>opex_orig!P30</f>
        <v>2.43217E-4</v>
      </c>
      <c r="Q30" s="188">
        <f>opex_orig!Q30</f>
        <v>4.57E-5</v>
      </c>
      <c r="R30" s="188">
        <f>opex_orig!R30</f>
        <v>1.2804900000000001E-4</v>
      </c>
      <c r="S30" s="188">
        <f>opex_orig!S30</f>
        <v>2.4996699999999997E-4</v>
      </c>
      <c r="T30" s="188">
        <f>opex_orig!T30</f>
        <v>2.8664899999999999E-4</v>
      </c>
      <c r="U30" s="188">
        <f>opex_orig!U30</f>
        <v>2.6164100000000001E-4</v>
      </c>
      <c r="V30" s="188">
        <f>opex_orig!V30</f>
        <v>2.9317900000000002E-4</v>
      </c>
      <c r="W30" s="188">
        <f>opex_orig!W30</f>
        <v>3.5760099999999998E-4</v>
      </c>
      <c r="X30" s="188">
        <f>opex_orig!X30</f>
        <v>1.2593700000000001E-4</v>
      </c>
      <c r="Y30" s="188">
        <f>opex_orig!Y30</f>
        <v>1.87655E-4</v>
      </c>
      <c r="Z30" s="188">
        <f>opex_orig!Z30</f>
        <v>1.9804100000000001E-4</v>
      </c>
      <c r="AA30" s="188">
        <f>opex_orig!AA30</f>
        <v>2.28703E-4</v>
      </c>
      <c r="AB30" s="188">
        <f>opex_orig!$AB30</f>
        <v>5.2427569028656504E-4</v>
      </c>
      <c r="AC30" s="188">
        <f>opex_orig!$AB30</f>
        <v>5.2427569028656504E-4</v>
      </c>
      <c r="AD30" s="188">
        <f>opex_orig!$AB30</f>
        <v>5.2427569028656504E-4</v>
      </c>
      <c r="AE30" s="188">
        <f>opex_orig!$AC30</f>
        <v>2.8630270859252E-4</v>
      </c>
      <c r="AF30" s="188">
        <f>opex_orig!$AD30</f>
        <v>1.07888591946831E-4</v>
      </c>
      <c r="AG30" s="188">
        <f>opex_orig!$AD30</f>
        <v>1.07888591946831E-4</v>
      </c>
      <c r="AH30" s="188">
        <f>opex_orig!$AD30</f>
        <v>1.07888591946831E-4</v>
      </c>
      <c r="AI30" s="188">
        <f>opex_orig!AE30</f>
        <v>9.0400000000000002E-5</v>
      </c>
      <c r="AJ30" s="188">
        <f>opex_orig!AF30</f>
        <v>3.8960119999999999E-3</v>
      </c>
      <c r="AK30" s="188">
        <f>opex_orig!AG30</f>
        <v>1.8416680000000001E-3</v>
      </c>
      <c r="AL30" s="188">
        <f>opex_orig!AH30</f>
        <v>9.9677800000000003E-4</v>
      </c>
      <c r="AM30" s="188">
        <f>opex_orig!AI30</f>
        <v>6.0687899999999995E-4</v>
      </c>
      <c r="AN30" s="188">
        <f>opex_orig!AJ30</f>
        <v>9.7659799999999996E-4</v>
      </c>
      <c r="AO30" s="188">
        <f>opex_orig!AK30</f>
        <v>1.379412E-3</v>
      </c>
      <c r="AP30" s="188">
        <f>opex_orig!$AL30</f>
        <v>6.6108658524873204E-4</v>
      </c>
      <c r="AQ30" s="188">
        <f>opex_orig!$AL30</f>
        <v>6.6108658524873204E-4</v>
      </c>
      <c r="AR30" s="188">
        <f>opex_orig!$AL30</f>
        <v>6.6108658524873204E-4</v>
      </c>
      <c r="AS30" s="188">
        <f>opex_orig!$AM30</f>
        <v>6.24846178165957E-4</v>
      </c>
      <c r="AT30" s="188">
        <f>opex_orig!AN30</f>
        <v>1.0342560000000001E-3</v>
      </c>
      <c r="AU30" s="349">
        <f>opex_concordance!M590</f>
        <v>6.7444747463274298E-3</v>
      </c>
      <c r="AV30" s="349">
        <f>opex_concordance!M636</f>
        <v>6.3627397042193912E-3</v>
      </c>
      <c r="AW30" s="349">
        <f>opex_concordance!M682</f>
        <v>5.5905785861319083E-3</v>
      </c>
      <c r="AX30" s="188">
        <f>opex_orig!$AP30</f>
        <v>7.0342769915321002E-3</v>
      </c>
      <c r="AY30" s="188">
        <f>opex_orig!AQ30</f>
        <v>7.2524670000000003E-3</v>
      </c>
      <c r="AZ30" s="188">
        <f>opex_orig!AR30</f>
        <v>0</v>
      </c>
      <c r="BA30" s="188">
        <f>opex_orig!AS30</f>
        <v>4.4905819999999999E-3</v>
      </c>
      <c r="BB30" s="188">
        <f>opex_orig!AT30</f>
        <v>5.0038119999999998E-3</v>
      </c>
      <c r="BC30" s="188">
        <f>opex_orig!AU30</f>
        <v>4.1318519999999997E-2</v>
      </c>
      <c r="BD30" s="188">
        <f>opex_orig!AV30</f>
        <v>4.3362451000000003E-2</v>
      </c>
      <c r="BE30" s="188">
        <f>opex_orig!AW30</f>
        <v>3.7979379999999998E-3</v>
      </c>
      <c r="BF30" s="188">
        <f>opex_orig!AX30</f>
        <v>0</v>
      </c>
      <c r="BG30" s="188">
        <f>opex_orig!AY30</f>
        <v>5.03401E-4</v>
      </c>
      <c r="BH30" s="188">
        <f>opex_orig!AZ30</f>
        <v>0</v>
      </c>
      <c r="BI30" s="188">
        <f>opex_orig!BA30</f>
        <v>7.0853110000000004E-3</v>
      </c>
      <c r="BJ30" s="188">
        <f>opex_orig!BB30</f>
        <v>2.335003E-3</v>
      </c>
      <c r="BK30" s="188">
        <f>opex_orig!BC30</f>
        <v>2.8617069999999998E-3</v>
      </c>
      <c r="BL30" s="188">
        <f>opex_orig!BD30</f>
        <v>1.2280200000000001E-4</v>
      </c>
      <c r="BM30" s="188">
        <f>opex_orig!BE30</f>
        <v>1.94915E-3</v>
      </c>
      <c r="BN30" s="188">
        <f>opex_orig!BF30</f>
        <v>1.4790100000000001E-4</v>
      </c>
      <c r="BO30" s="188">
        <f>opex_orig!BG30</f>
        <v>8.9150000000000004E-4</v>
      </c>
      <c r="BP30" s="188">
        <f>opex_orig!$BH30</f>
        <v>9.3037823267944704E-4</v>
      </c>
      <c r="BQ30" s="188">
        <f>opex_orig!$BH30</f>
        <v>9.3037823267944704E-4</v>
      </c>
      <c r="BR30" s="188">
        <f>opex_orig!BI30</f>
        <v>2.3507710000000002E-3</v>
      </c>
      <c r="BS30" s="188">
        <f>opex_orig!BJ30</f>
        <v>1.8272430000000001E-3</v>
      </c>
      <c r="BT30" s="188">
        <f>opex_orig!BK30</f>
        <v>8.2750250000000001E-3</v>
      </c>
      <c r="BU30" s="188">
        <f>opex_orig!BL30</f>
        <v>0</v>
      </c>
      <c r="BV30" s="27">
        <f>opex_orig!BM30</f>
        <v>1.7184175310904E-4</v>
      </c>
      <c r="BW30" s="27">
        <f>opex_orig!BN30</f>
        <v>3.6808335208619099E-4</v>
      </c>
      <c r="BX30" s="27">
        <f>opex_orig!BO30</f>
        <v>6.5132852541496504E-5</v>
      </c>
      <c r="BY30" s="27">
        <f>opex_orig!BP30</f>
        <v>1.21791183863813E-4</v>
      </c>
      <c r="BZ30" s="27">
        <f>opex_orig!BQ30</f>
        <v>1.4755088167342899E-4</v>
      </c>
      <c r="CA30" s="27">
        <f>opex_orig!BR30</f>
        <v>2.2667259183317202E-5</v>
      </c>
      <c r="CB30" s="27">
        <f>opex_orig!BS30</f>
        <v>3.0668701482005001E-4</v>
      </c>
      <c r="CC30" s="27">
        <f>opex_orig!BT30</f>
        <v>3.1671119109134403E-5</v>
      </c>
      <c r="CD30" s="27">
        <f>opex_orig!BU30</f>
        <v>8.4442282292561304E-5</v>
      </c>
      <c r="CE30" s="27">
        <f>opex_orig!BV30</f>
        <v>8.4442282292561399E-5</v>
      </c>
      <c r="CF30" s="27">
        <f>opex_orig!BW30</f>
        <v>2.21952462770045E-4</v>
      </c>
      <c r="CG30" s="27">
        <f>opex_orig!BX30</f>
        <v>1.09077130003885E-5</v>
      </c>
      <c r="CH30" s="27">
        <f>opex_orig!BY30</f>
        <v>3.12106352737079E-4</v>
      </c>
      <c r="CI30" s="27">
        <f>opex_orig!BZ30</f>
        <v>1.3925999999999999E-4</v>
      </c>
      <c r="CJ30" s="27">
        <f>opex_orig!CA30</f>
        <v>9.9900000000000002E-5</v>
      </c>
      <c r="CK30" s="27">
        <f>opex_orig!CB30</f>
        <v>1.0340699999999999E-4</v>
      </c>
      <c r="CL30" s="27">
        <f>opex_orig!CC30</f>
        <v>9.6600000000000003E-5</v>
      </c>
      <c r="CM30" s="27">
        <f>opex_orig!CD30</f>
        <v>3.8495800000000002E-4</v>
      </c>
      <c r="CN30" s="27">
        <f>opex_orig!CE30</f>
        <v>1.4653299999999999E-4</v>
      </c>
      <c r="CO30" s="27">
        <f>opex_orig!CF30</f>
        <v>3.06908E-4</v>
      </c>
      <c r="CP30" s="27">
        <f>opex_orig!CG30</f>
        <v>7.9400000000000006E-5</v>
      </c>
    </row>
    <row r="31" spans="1:94" x14ac:dyDescent="0.25">
      <c r="A31" s="5" t="s">
        <v>81</v>
      </c>
      <c r="B31" s="2" t="s">
        <v>80</v>
      </c>
      <c r="C31" s="1" t="s">
        <v>326</v>
      </c>
      <c r="D31" s="188">
        <f>opex_orig!D31</f>
        <v>1.7499999999999998E-5</v>
      </c>
      <c r="E31" s="188">
        <f>opex_orig!E31</f>
        <v>1.1199999999999999E-5</v>
      </c>
      <c r="F31" s="188">
        <f>opex_orig!F31</f>
        <v>8.9800000000000004E-6</v>
      </c>
      <c r="G31" s="188">
        <f>opex_orig!G31</f>
        <v>2.26E-6</v>
      </c>
      <c r="H31" s="188">
        <f>opex_orig!H31</f>
        <v>2.9399999999999998E-6</v>
      </c>
      <c r="I31" s="188">
        <f>opex_orig!I31</f>
        <v>8.0099999999999995E-6</v>
      </c>
      <c r="J31" s="188">
        <f>opex_orig!J31</f>
        <v>1.6900000000000001E-5</v>
      </c>
      <c r="K31" s="188">
        <f>opex_orig!K31</f>
        <v>5.0799999999999996E-6</v>
      </c>
      <c r="L31" s="188">
        <f>opex_orig!L31</f>
        <v>1.43E-5</v>
      </c>
      <c r="M31" s="188">
        <f>opex_orig!M31</f>
        <v>1.43E-5</v>
      </c>
      <c r="N31" s="188">
        <f>opex_orig!N31</f>
        <v>6.2100000000000005E-5</v>
      </c>
      <c r="O31" s="188">
        <f>opex_orig!O31</f>
        <v>4.8099999999999997E-5</v>
      </c>
      <c r="P31" s="188">
        <f>opex_orig!P31</f>
        <v>2.02E-5</v>
      </c>
      <c r="Q31" s="188">
        <f>opex_orig!Q31</f>
        <v>3.4300000000000002E-6</v>
      </c>
      <c r="R31" s="188">
        <f>opex_orig!R31</f>
        <v>8.7199999999999995E-6</v>
      </c>
      <c r="S31" s="188">
        <f>opex_orig!S31</f>
        <v>9.0100000000000001E-6</v>
      </c>
      <c r="T31" s="188">
        <f>opex_orig!T31</f>
        <v>1.08E-5</v>
      </c>
      <c r="U31" s="188">
        <f>opex_orig!U31</f>
        <v>1.5500000000000001E-5</v>
      </c>
      <c r="V31" s="188">
        <f>opex_orig!V31</f>
        <v>3.0499999999999999E-5</v>
      </c>
      <c r="W31" s="188">
        <f>opex_orig!W31</f>
        <v>6.3100000000000002E-5</v>
      </c>
      <c r="X31" s="188">
        <f>opex_orig!X31</f>
        <v>9.8400000000000007E-6</v>
      </c>
      <c r="Y31" s="188">
        <f>opex_orig!Y31</f>
        <v>7.96E-6</v>
      </c>
      <c r="Z31" s="188">
        <f>opex_orig!Z31</f>
        <v>4.0099999999999999E-5</v>
      </c>
      <c r="AA31" s="188">
        <f>opex_orig!AA31</f>
        <v>1.9700000000000001E-5</v>
      </c>
      <c r="AB31" s="188">
        <f>opex_orig!$AB31</f>
        <v>1.3561961498246899E-4</v>
      </c>
      <c r="AC31" s="188">
        <f>opex_orig!$AB31</f>
        <v>1.3561961498246899E-4</v>
      </c>
      <c r="AD31" s="188">
        <f>opex_orig!$AB31</f>
        <v>1.3561961498246899E-4</v>
      </c>
      <c r="AE31" s="188">
        <f>opex_orig!$AC31</f>
        <v>1.9290262230909499E-4</v>
      </c>
      <c r="AF31" s="188">
        <f>opex_orig!$AD31</f>
        <v>4.1313424733213399E-5</v>
      </c>
      <c r="AG31" s="188">
        <f>opex_orig!$AD31</f>
        <v>4.1313424733213399E-5</v>
      </c>
      <c r="AH31" s="188">
        <f>opex_orig!$AD31</f>
        <v>4.1313424733213399E-5</v>
      </c>
      <c r="AI31" s="188">
        <f>opex_orig!AE31</f>
        <v>2.4199999999999999E-5</v>
      </c>
      <c r="AJ31" s="188">
        <f>opex_orig!AF31</f>
        <v>8.3200000000000003E-5</v>
      </c>
      <c r="AK31" s="188">
        <f>opex_orig!AG31</f>
        <v>4.1199999999999999E-5</v>
      </c>
      <c r="AL31" s="188">
        <f>opex_orig!AH31</f>
        <v>1.5694E-4</v>
      </c>
      <c r="AM31" s="188">
        <f>opex_orig!AI31</f>
        <v>3.3699999999999999E-5</v>
      </c>
      <c r="AN31" s="188">
        <f>opex_orig!AJ31</f>
        <v>9.7E-5</v>
      </c>
      <c r="AO31" s="188">
        <f>opex_orig!AK31</f>
        <v>7.1199999999999996E-5</v>
      </c>
      <c r="AP31" s="188">
        <f>opex_orig!$AL31</f>
        <v>4.7181987372213898E-5</v>
      </c>
      <c r="AQ31" s="188">
        <f>opex_orig!$AL31</f>
        <v>4.7181987372213898E-5</v>
      </c>
      <c r="AR31" s="188">
        <f>opex_orig!$AL31</f>
        <v>4.7181987372213898E-5</v>
      </c>
      <c r="AS31" s="188">
        <f>opex_orig!$AM31</f>
        <v>4.3953328550958999E-5</v>
      </c>
      <c r="AT31" s="188">
        <f>opex_orig!AN31</f>
        <v>1.4008900000000001E-4</v>
      </c>
      <c r="AU31" s="188">
        <f>opex_orig!$AO31</f>
        <v>6.4072934243100395E-4</v>
      </c>
      <c r="AV31" s="188">
        <f>opex_orig!$AO31</f>
        <v>6.4072934243100395E-4</v>
      </c>
      <c r="AW31" s="188">
        <f>opex_orig!$AO31</f>
        <v>6.4072934243100395E-4</v>
      </c>
      <c r="AX31" s="188">
        <f>opex_orig!$AP31</f>
        <v>5.7671480153063102E-4</v>
      </c>
      <c r="AY31" s="188">
        <f>opex_orig!AQ31</f>
        <v>6.6713999999999999E-4</v>
      </c>
      <c r="AZ31" s="188">
        <f>opex_orig!AR31</f>
        <v>0</v>
      </c>
      <c r="BA31" s="188">
        <f>opex_orig!AS31</f>
        <v>3.5218199999999998E-4</v>
      </c>
      <c r="BB31" s="188">
        <f>opex_orig!AT31</f>
        <v>3.7137200000000002E-4</v>
      </c>
      <c r="BC31" s="188">
        <f>opex_orig!AU31</f>
        <v>3.493454E-3</v>
      </c>
      <c r="BD31" s="188">
        <f>opex_orig!AV31</f>
        <v>3.6541439999999998E-3</v>
      </c>
      <c r="BE31" s="188">
        <f>opex_orig!AW31</f>
        <v>6.6470600000000004E-4</v>
      </c>
      <c r="BF31" s="188">
        <f>opex_orig!AX31</f>
        <v>0</v>
      </c>
      <c r="BG31" s="188">
        <f>opex_orig!AY31</f>
        <v>1.493601E-3</v>
      </c>
      <c r="BH31" s="188">
        <f>opex_orig!AZ31</f>
        <v>0</v>
      </c>
      <c r="BI31" s="188">
        <f>opex_orig!BA31</f>
        <v>9.7911900000000008E-4</v>
      </c>
      <c r="BJ31" s="188">
        <f>opex_orig!BB31</f>
        <v>1.8385100000000001E-4</v>
      </c>
      <c r="BK31" s="188">
        <f>opex_orig!BC31</f>
        <v>2.2150499999999999E-4</v>
      </c>
      <c r="BL31" s="188">
        <f>opex_orig!BD31</f>
        <v>2.8E-5</v>
      </c>
      <c r="BM31" s="188">
        <f>opex_orig!BE31</f>
        <v>1.5976200000000001E-4</v>
      </c>
      <c r="BN31" s="188">
        <f>opex_orig!BF31</f>
        <v>1.38E-5</v>
      </c>
      <c r="BO31" s="188">
        <f>opex_orig!BG31</f>
        <v>4.9799999999999998E-5</v>
      </c>
      <c r="BP31" s="188">
        <f>opex_orig!$BH31</f>
        <v>5.2520850081344E-5</v>
      </c>
      <c r="BQ31" s="188">
        <f>opex_orig!$BH31</f>
        <v>5.2520850081344E-5</v>
      </c>
      <c r="BR31" s="188">
        <f>opex_orig!BI31</f>
        <v>1.4376600000000001E-4</v>
      </c>
      <c r="BS31" s="188">
        <f>opex_orig!BJ31</f>
        <v>1.05944E-4</v>
      </c>
      <c r="BT31" s="188">
        <f>opex_orig!BK31</f>
        <v>8.10409E-4</v>
      </c>
      <c r="BU31" s="188">
        <f>opex_orig!BL31</f>
        <v>0</v>
      </c>
      <c r="BV31" s="27">
        <f>opex_orig!BM31</f>
        <v>7.4244990703828801E-6</v>
      </c>
      <c r="BW31" s="27">
        <f>opex_orig!BN31</f>
        <v>7.0311780988442996E-5</v>
      </c>
      <c r="BX31" s="27">
        <f>opex_orig!BO31</f>
        <v>5.8891177497475498E-6</v>
      </c>
      <c r="BY31" s="27">
        <f>opex_orig!BP31</f>
        <v>5.4192345893193603E-5</v>
      </c>
      <c r="BZ31" s="27">
        <f>opex_orig!BQ31</f>
        <v>1.8686868312892E-5</v>
      </c>
      <c r="CA31" s="27">
        <f>opex_orig!BR31</f>
        <v>8.3954645436840004E-6</v>
      </c>
      <c r="CB31" s="27">
        <f>opex_orig!BS31</f>
        <v>4.4486311114153903E-5</v>
      </c>
      <c r="CC31" s="27">
        <f>opex_orig!BT31</f>
        <v>3.54957230690824E-6</v>
      </c>
      <c r="CD31" s="27">
        <f>opex_orig!BU31</f>
        <v>1.9107370317976301E-6</v>
      </c>
      <c r="CE31" s="27">
        <f>opex_orig!BV31</f>
        <v>1.9107370317976301E-6</v>
      </c>
      <c r="CF31" s="27">
        <f>opex_orig!BW31</f>
        <v>6.6281514690317699E-4</v>
      </c>
      <c r="CG31" s="27">
        <f>opex_orig!BX31</f>
        <v>1.8613584103502199E-6</v>
      </c>
      <c r="CH31" s="27">
        <f>opex_orig!BY31</f>
        <v>8.1052858422628996E-5</v>
      </c>
      <c r="CI31" s="27">
        <f>opex_orig!BZ31</f>
        <v>3.1999999999999999E-5</v>
      </c>
      <c r="CJ31" s="27">
        <f>opex_orig!CA31</f>
        <v>8.7299999999999994E-6</v>
      </c>
      <c r="CK31" s="27">
        <f>opex_orig!CB31</f>
        <v>5.6300000000000003E-6</v>
      </c>
      <c r="CL31" s="27">
        <f>opex_orig!CC31</f>
        <v>6.72E-6</v>
      </c>
      <c r="CM31" s="27">
        <f>opex_orig!CD31</f>
        <v>2.3900000000000002E-5</v>
      </c>
      <c r="CN31" s="27">
        <f>opex_orig!CE31</f>
        <v>1.6200000000000001E-5</v>
      </c>
      <c r="CO31" s="27">
        <f>opex_orig!CF31</f>
        <v>2.7699999999999999E-5</v>
      </c>
      <c r="CP31" s="27">
        <f>opex_orig!CG31</f>
        <v>3.2499999999999997E-5</v>
      </c>
    </row>
    <row r="32" spans="1:94" x14ac:dyDescent="0.25">
      <c r="A32" s="5" t="s">
        <v>83</v>
      </c>
      <c r="B32" s="2" t="s">
        <v>82</v>
      </c>
      <c r="C32" s="1" t="s">
        <v>326</v>
      </c>
      <c r="D32" s="188">
        <f>opex_orig!D32</f>
        <v>1.01E-5</v>
      </c>
      <c r="E32" s="188">
        <f>opex_orig!E32</f>
        <v>2.3999999999999999E-6</v>
      </c>
      <c r="F32" s="188">
        <f>opex_orig!F32</f>
        <v>3.2399999999999999E-6</v>
      </c>
      <c r="G32" s="188">
        <f>opex_orig!G32</f>
        <v>2.8900000000000001E-7</v>
      </c>
      <c r="H32" s="188">
        <f>opex_orig!H32</f>
        <v>4.3500000000000002E-7</v>
      </c>
      <c r="I32" s="188">
        <f>opex_orig!I32</f>
        <v>3.4599999999999999E-6</v>
      </c>
      <c r="J32" s="188">
        <f>opex_orig!J32</f>
        <v>2.2500000000000001E-5</v>
      </c>
      <c r="K32" s="188">
        <f>opex_orig!K32</f>
        <v>8.23E-7</v>
      </c>
      <c r="L32" s="188">
        <f>opex_orig!L32</f>
        <v>7.2600000000000003E-5</v>
      </c>
      <c r="M32" s="188">
        <f>opex_orig!M32</f>
        <v>5.8300000000000001E-6</v>
      </c>
      <c r="N32" s="188">
        <f>opex_orig!N32</f>
        <v>1.59E-5</v>
      </c>
      <c r="O32" s="188">
        <f>opex_orig!O32</f>
        <v>7.1400000000000002E-6</v>
      </c>
      <c r="P32" s="188">
        <f>opex_orig!P32</f>
        <v>8.5099999999999998E-6</v>
      </c>
      <c r="Q32" s="188">
        <f>opex_orig!Q32</f>
        <v>1.5E-6</v>
      </c>
      <c r="R32" s="188">
        <f>opex_orig!R32</f>
        <v>2.8899999999999999E-6</v>
      </c>
      <c r="S32" s="188">
        <f>opex_orig!S32</f>
        <v>4.3699999999999997E-6</v>
      </c>
      <c r="T32" s="188">
        <f>opex_orig!T32</f>
        <v>1.0200000000000001E-5</v>
      </c>
      <c r="U32" s="188">
        <f>opex_orig!U32</f>
        <v>4.1500000000000001E-6</v>
      </c>
      <c r="V32" s="188">
        <f>opex_orig!V32</f>
        <v>5.0499999999999999E-6</v>
      </c>
      <c r="W32" s="188">
        <f>opex_orig!W32</f>
        <v>3.1499999999999999E-6</v>
      </c>
      <c r="X32" s="188">
        <f>opex_orig!X32</f>
        <v>2.9699999999999999E-6</v>
      </c>
      <c r="Y32" s="188">
        <f>opex_orig!Y32</f>
        <v>3.05E-6</v>
      </c>
      <c r="Z32" s="188">
        <f>opex_orig!Z32</f>
        <v>9.0000000000000002E-6</v>
      </c>
      <c r="AA32" s="188">
        <f>opex_orig!AA32</f>
        <v>9.73E-6</v>
      </c>
      <c r="AB32" s="188">
        <f>opex_orig!$AB32</f>
        <v>1.60132226993228E-5</v>
      </c>
      <c r="AC32" s="188">
        <f>opex_orig!$AB32</f>
        <v>1.60132226993228E-5</v>
      </c>
      <c r="AD32" s="188">
        <f>opex_orig!$AB32</f>
        <v>1.60132226993228E-5</v>
      </c>
      <c r="AE32" s="188">
        <f>opex_orig!$AC32</f>
        <v>1.5966992588181501E-5</v>
      </c>
      <c r="AF32" s="188">
        <f>opex_orig!$AD32</f>
        <v>6.7588696847659401E-6</v>
      </c>
      <c r="AG32" s="188">
        <f>opex_orig!$AD32</f>
        <v>6.7588696847659401E-6</v>
      </c>
      <c r="AH32" s="188">
        <f>opex_orig!$AD32</f>
        <v>6.7588696847659401E-6</v>
      </c>
      <c r="AI32" s="188">
        <f>opex_orig!AE32</f>
        <v>5.75E-6</v>
      </c>
      <c r="AJ32" s="188">
        <f>opex_orig!AF32</f>
        <v>4.7599999999999998E-5</v>
      </c>
      <c r="AK32" s="188">
        <f>opex_orig!AG32</f>
        <v>1.29E-5</v>
      </c>
      <c r="AL32" s="188">
        <f>opex_orig!AH32</f>
        <v>6.8899999999999994E-5</v>
      </c>
      <c r="AM32" s="188">
        <f>opex_orig!AI32</f>
        <v>1.63E-5</v>
      </c>
      <c r="AN32" s="188">
        <f>opex_orig!AJ32</f>
        <v>5.5500000000000001E-5</v>
      </c>
      <c r="AO32" s="188">
        <f>opex_orig!AK32</f>
        <v>4.2599999999999999E-5</v>
      </c>
      <c r="AP32" s="188">
        <f>opex_orig!$AL32</f>
        <v>2.7445612840193302E-5</v>
      </c>
      <c r="AQ32" s="188">
        <f>opex_orig!$AL32</f>
        <v>2.7445612840193302E-5</v>
      </c>
      <c r="AR32" s="188">
        <f>opex_orig!$AL32</f>
        <v>2.7445612840193302E-5</v>
      </c>
      <c r="AS32" s="188">
        <f>opex_orig!$AM32</f>
        <v>2.6970741298199699E-5</v>
      </c>
      <c r="AT32" s="188">
        <f>opex_orig!AN32</f>
        <v>3.57E-5</v>
      </c>
      <c r="AU32" s="188">
        <f>opex_orig!$AO32</f>
        <v>2.0943543525430799E-3</v>
      </c>
      <c r="AV32" s="188">
        <f>opex_orig!$AO32</f>
        <v>2.0943543525430799E-3</v>
      </c>
      <c r="AW32" s="188">
        <f>opex_orig!$AO32</f>
        <v>2.0943543525430799E-3</v>
      </c>
      <c r="AX32" s="188">
        <f>opex_orig!$AP32</f>
        <v>1.46457519736504E-3</v>
      </c>
      <c r="AY32" s="188">
        <f>opex_orig!AQ32</f>
        <v>2.5999999999999998E-5</v>
      </c>
      <c r="AZ32" s="188">
        <f>opex_orig!AR32</f>
        <v>0</v>
      </c>
      <c r="BA32" s="188">
        <f>opex_orig!AS32</f>
        <v>4.07E-5</v>
      </c>
      <c r="BB32" s="188">
        <f>opex_orig!AT32</f>
        <v>4.1E-5</v>
      </c>
      <c r="BC32" s="188">
        <f>opex_orig!AU32</f>
        <v>3.7666899999999999E-4</v>
      </c>
      <c r="BD32" s="188">
        <f>opex_orig!AV32</f>
        <v>3.94714E-4</v>
      </c>
      <c r="BE32" s="188">
        <f>opex_orig!AW32</f>
        <v>1.48262E-4</v>
      </c>
      <c r="BF32" s="188">
        <f>opex_orig!AX32</f>
        <v>0</v>
      </c>
      <c r="BG32" s="188">
        <f>opex_orig!AY32</f>
        <v>0.125664307</v>
      </c>
      <c r="BH32" s="188">
        <f>opex_orig!AZ32</f>
        <v>0</v>
      </c>
      <c r="BI32" s="188">
        <f>opex_orig!BA32</f>
        <v>7.8500900000000003E-4</v>
      </c>
      <c r="BJ32" s="188">
        <f>opex_orig!BB32</f>
        <v>4.5300000000000003E-5</v>
      </c>
      <c r="BK32" s="188">
        <f>opex_orig!BC32</f>
        <v>4.9100000000000001E-5</v>
      </c>
      <c r="BL32" s="188">
        <f>opex_orig!BD32</f>
        <v>1.9400000000000001E-5</v>
      </c>
      <c r="BM32" s="188">
        <f>opex_orig!BE32</f>
        <v>4.1E-5</v>
      </c>
      <c r="BN32" s="188">
        <f>opex_orig!BF32</f>
        <v>1.4800000000000001E-5</v>
      </c>
      <c r="BO32" s="188">
        <f>opex_orig!BG32</f>
        <v>1.9300000000000002E-5</v>
      </c>
      <c r="BP32" s="188">
        <f>opex_orig!$BH32</f>
        <v>2.0129316787357099E-5</v>
      </c>
      <c r="BQ32" s="188">
        <f>opex_orig!$BH32</f>
        <v>2.0129316787357099E-5</v>
      </c>
      <c r="BR32" s="188">
        <f>opex_orig!BI32</f>
        <v>3.9400000000000002E-5</v>
      </c>
      <c r="BS32" s="188">
        <f>opex_orig!BJ32</f>
        <v>2.1299999999999999E-5</v>
      </c>
      <c r="BT32" s="188">
        <f>opex_orig!BK32</f>
        <v>1.96701E-4</v>
      </c>
      <c r="BU32" s="188">
        <f>opex_orig!BL32</f>
        <v>0</v>
      </c>
      <c r="BV32" s="27">
        <f>opex_orig!BM32</f>
        <v>5.2963786326722903E-6</v>
      </c>
      <c r="BW32" s="27">
        <f>opex_orig!BN32</f>
        <v>1.15487004423204E-5</v>
      </c>
      <c r="BX32" s="27">
        <f>opex_orig!BO32</f>
        <v>2.3283273633339301E-6</v>
      </c>
      <c r="BY32" s="27">
        <f>opex_orig!BP32</f>
        <v>5.11549469902427E-6</v>
      </c>
      <c r="BZ32" s="27">
        <f>opex_orig!BQ32</f>
        <v>8.5781722776040798E-6</v>
      </c>
      <c r="CA32" s="27">
        <f>opex_orig!BR32</f>
        <v>2.15170799772743E-6</v>
      </c>
      <c r="CB32" s="27">
        <f>opex_orig!BS32</f>
        <v>9.9910169231071397E-6</v>
      </c>
      <c r="CC32" s="27">
        <f>opex_orig!BT32</f>
        <v>2.6234949962634199E-3</v>
      </c>
      <c r="CD32" s="27">
        <f>opex_orig!BU32</f>
        <v>1.5432766328910899E-6</v>
      </c>
      <c r="CE32" s="27">
        <f>opex_orig!BV32</f>
        <v>1.5432766328910899E-6</v>
      </c>
      <c r="CF32" s="27">
        <f>opex_orig!BW32</f>
        <v>6.7011978622276303E-6</v>
      </c>
      <c r="CG32" s="27">
        <f>opex_orig!BX32</f>
        <v>1.07704737870192E-6</v>
      </c>
      <c r="CH32" s="27">
        <f>opex_orig!BY32</f>
        <v>2.0405883952220799E-5</v>
      </c>
      <c r="CI32" s="27">
        <f>opex_orig!BZ32</f>
        <v>5.3199999999999999E-6</v>
      </c>
      <c r="CJ32" s="27">
        <f>opex_orig!CA32</f>
        <v>2.6400000000000001E-6</v>
      </c>
      <c r="CK32" s="27">
        <f>opex_orig!CB32</f>
        <v>2.79E-6</v>
      </c>
      <c r="CL32" s="27">
        <f>opex_orig!CC32</f>
        <v>1.48E-6</v>
      </c>
      <c r="CM32" s="27">
        <f>opex_orig!CD32</f>
        <v>1.06E-5</v>
      </c>
      <c r="CN32" s="27">
        <f>opex_orig!CE32</f>
        <v>6.9199999999999998E-6</v>
      </c>
      <c r="CO32" s="27">
        <f>opex_orig!CF32</f>
        <v>1.1800000000000001E-5</v>
      </c>
      <c r="CP32" s="27">
        <f>opex_orig!CG32</f>
        <v>4.6700000000000002E-6</v>
      </c>
    </row>
    <row r="33" spans="1:94" x14ac:dyDescent="0.25">
      <c r="A33" s="5" t="s">
        <v>85</v>
      </c>
      <c r="B33" s="2" t="s">
        <v>84</v>
      </c>
      <c r="C33" s="1" t="s">
        <v>326</v>
      </c>
      <c r="D33" s="188">
        <f>opex_orig!D33</f>
        <v>1.8983199999999999E-4</v>
      </c>
      <c r="E33" s="188">
        <f>opex_orig!E33</f>
        <v>2.0869899999999999E-4</v>
      </c>
      <c r="F33" s="188">
        <f>opex_orig!F33</f>
        <v>3.4271699999999998E-4</v>
      </c>
      <c r="G33" s="188">
        <f>opex_orig!G33</f>
        <v>4.6499999999999999E-5</v>
      </c>
      <c r="H33" s="188">
        <f>opex_orig!H33</f>
        <v>5.9299999999999998E-5</v>
      </c>
      <c r="I33" s="188">
        <f>opex_orig!I33</f>
        <v>4.4376600000000001E-4</v>
      </c>
      <c r="J33" s="188">
        <f>opex_orig!J33</f>
        <v>5.4316599999999998E-4</v>
      </c>
      <c r="K33" s="188">
        <f>opex_orig!K33</f>
        <v>1.11263E-4</v>
      </c>
      <c r="L33" s="188">
        <f>opex_orig!L33</f>
        <v>9.3853299999999997E-4</v>
      </c>
      <c r="M33" s="188">
        <f>opex_orig!M33</f>
        <v>9.04567E-4</v>
      </c>
      <c r="N33" s="188">
        <f>opex_orig!N33</f>
        <v>6.6097400000000005E-4</v>
      </c>
      <c r="O33" s="188">
        <f>opex_orig!O33</f>
        <v>2.55887E-4</v>
      </c>
      <c r="P33" s="188">
        <f>opex_orig!P33</f>
        <v>6.89465E-4</v>
      </c>
      <c r="Q33" s="188">
        <f>opex_orig!Q33</f>
        <v>1.59937E-4</v>
      </c>
      <c r="R33" s="188">
        <f>opex_orig!R33</f>
        <v>2.3257200000000001E-4</v>
      </c>
      <c r="S33" s="188">
        <f>opex_orig!S33</f>
        <v>3.4523799999999999E-4</v>
      </c>
      <c r="T33" s="188">
        <f>opex_orig!T33</f>
        <v>4.6172999999999999E-4</v>
      </c>
      <c r="U33" s="188">
        <f>opex_orig!U33</f>
        <v>7.5492699999999996E-4</v>
      </c>
      <c r="V33" s="188">
        <f>opex_orig!V33</f>
        <v>1.03998E-3</v>
      </c>
      <c r="W33" s="188">
        <f>opex_orig!W33</f>
        <v>1.99719E-4</v>
      </c>
      <c r="X33" s="188">
        <f>opex_orig!X33</f>
        <v>1.2790999999999999E-4</v>
      </c>
      <c r="Y33" s="188">
        <f>opex_orig!Y33</f>
        <v>1.4080900000000001E-3</v>
      </c>
      <c r="Z33" s="188">
        <f>opex_orig!Z33</f>
        <v>1.5879170000000001E-3</v>
      </c>
      <c r="AA33" s="188">
        <f>opex_orig!AA33</f>
        <v>6.6688999999999995E-4</v>
      </c>
      <c r="AB33" s="188">
        <f>opex_orig!$AB33</f>
        <v>8.2281510767581397E-4</v>
      </c>
      <c r="AC33" s="188">
        <f>opex_orig!$AB33</f>
        <v>8.2281510767581397E-4</v>
      </c>
      <c r="AD33" s="188">
        <f>opex_orig!$AB33</f>
        <v>8.2281510767581397E-4</v>
      </c>
      <c r="AE33" s="188">
        <f>opex_orig!$AC33</f>
        <v>6.2705115159581804E-4</v>
      </c>
      <c r="AF33" s="188">
        <f>opex_orig!$AD33</f>
        <v>3.3624147129786598E-3</v>
      </c>
      <c r="AG33" s="188">
        <f>opex_orig!$AD33</f>
        <v>3.3624147129786598E-3</v>
      </c>
      <c r="AH33" s="188">
        <f>opex_orig!$AD33</f>
        <v>3.3624147129786598E-3</v>
      </c>
      <c r="AI33" s="188">
        <f>opex_orig!AE33</f>
        <v>3.4291809999999999E-3</v>
      </c>
      <c r="AJ33" s="188">
        <f>opex_orig!AF33</f>
        <v>7.6217600000000004E-4</v>
      </c>
      <c r="AK33" s="188">
        <f>opex_orig!AG33</f>
        <v>1.4554100000000001E-4</v>
      </c>
      <c r="AL33" s="188">
        <f>opex_orig!AH33</f>
        <v>2.3442162999999999E-2</v>
      </c>
      <c r="AM33" s="188">
        <f>opex_orig!AI33</f>
        <v>1.3968380000000001E-3</v>
      </c>
      <c r="AN33" s="188">
        <f>opex_orig!AJ33</f>
        <v>4.5529539999999997E-3</v>
      </c>
      <c r="AO33" s="188">
        <f>opex_orig!AK33</f>
        <v>4.9184770000000001E-3</v>
      </c>
      <c r="AP33" s="339">
        <f>opex_concordance!M437</f>
        <v>2.2176248757376602E-2</v>
      </c>
      <c r="AQ33" s="339">
        <f>opex_concordance!M491</f>
        <v>1.784723578205907E-2</v>
      </c>
      <c r="AR33" s="339">
        <f>opex_concordance!M545</f>
        <v>1.9585781606683648E-2</v>
      </c>
      <c r="AS33" s="188">
        <f>opex_orig!$AM33</f>
        <v>2.1188770794543101E-2</v>
      </c>
      <c r="AT33" s="188">
        <f>opex_orig!AN33</f>
        <v>4.3246827000000002E-2</v>
      </c>
      <c r="AU33" s="188">
        <f>opex_orig!$AO33</f>
        <v>1.6402065656385501E-3</v>
      </c>
      <c r="AV33" s="188">
        <f>opex_orig!$AO33</f>
        <v>1.6402065656385501E-3</v>
      </c>
      <c r="AW33" s="188">
        <f>opex_orig!$AO33</f>
        <v>1.6402065656385501E-3</v>
      </c>
      <c r="AX33" s="188">
        <f>opex_orig!$AP33</f>
        <v>1.7581214910091601E-3</v>
      </c>
      <c r="AY33" s="188">
        <f>opex_orig!AQ33</f>
        <v>1.9975739999999998E-3</v>
      </c>
      <c r="AZ33" s="188">
        <f>opex_orig!AR33</f>
        <v>0</v>
      </c>
      <c r="BA33" s="188">
        <f>opex_orig!AS33</f>
        <v>1.7073139999999999E-3</v>
      </c>
      <c r="BB33" s="188">
        <f>opex_orig!AT33</f>
        <v>1.880261E-3</v>
      </c>
      <c r="BC33" s="188">
        <f>opex_orig!AU33</f>
        <v>5.7292860000000001E-3</v>
      </c>
      <c r="BD33" s="188">
        <f>opex_orig!AV33</f>
        <v>5.9573739999999997E-3</v>
      </c>
      <c r="BE33" s="188">
        <f>opex_orig!AW33</f>
        <v>1.1299400000000001E-3</v>
      </c>
      <c r="BF33" s="188">
        <f>opex_orig!AX33</f>
        <v>0</v>
      </c>
      <c r="BG33" s="188">
        <f>opex_orig!AY33</f>
        <v>9.3134900000000004E-4</v>
      </c>
      <c r="BH33" s="188">
        <f>opex_orig!AZ33</f>
        <v>0</v>
      </c>
      <c r="BI33" s="188">
        <f>opex_orig!BA33</f>
        <v>3.7958255000000003E-2</v>
      </c>
      <c r="BJ33" s="188">
        <f>opex_orig!BB33</f>
        <v>5.7030700000000004E-4</v>
      </c>
      <c r="BK33" s="188">
        <f>opex_orig!BC33</f>
        <v>1.196576E-3</v>
      </c>
      <c r="BL33" s="188">
        <f>opex_orig!BD33</f>
        <v>5.3999999999999998E-5</v>
      </c>
      <c r="BM33" s="188">
        <f>opex_orig!BE33</f>
        <v>7.2836600000000004E-4</v>
      </c>
      <c r="BN33" s="188">
        <f>opex_orig!BF33</f>
        <v>2.9985899999999998E-4</v>
      </c>
      <c r="BO33" s="188">
        <f>opex_orig!BG33</f>
        <v>2.9589200000000002E-4</v>
      </c>
      <c r="BP33" s="188">
        <f>opex_orig!$BH33</f>
        <v>1.9785214949937901E-4</v>
      </c>
      <c r="BQ33" s="188">
        <f>opex_orig!$BH33</f>
        <v>1.9785214949937901E-4</v>
      </c>
      <c r="BR33" s="188">
        <f>opex_orig!BI33</f>
        <v>4.1041899999999997E-4</v>
      </c>
      <c r="BS33" s="188">
        <f>opex_orig!BJ33</f>
        <v>2.9767200000000002E-4</v>
      </c>
      <c r="BT33" s="188">
        <f>opex_orig!BK33</f>
        <v>2.4259379999999999E-3</v>
      </c>
      <c r="BU33" s="188">
        <f>opex_orig!BL33</f>
        <v>0</v>
      </c>
      <c r="BV33" s="27">
        <f>opex_orig!BM33</f>
        <v>1.2189917940024901E-3</v>
      </c>
      <c r="BW33" s="27">
        <f>opex_orig!BN33</f>
        <v>1.9657155623624498E-3</v>
      </c>
      <c r="BX33" s="27">
        <f>opex_orig!BO33</f>
        <v>3.1538588676767302E-4</v>
      </c>
      <c r="BY33" s="27">
        <f>opex_orig!BP33</f>
        <v>4.1172497033233898E-4</v>
      </c>
      <c r="BZ33" s="27">
        <f>opex_orig!BQ33</f>
        <v>4.2461697830672101E-4</v>
      </c>
      <c r="CA33" s="27">
        <f>opex_orig!BR33</f>
        <v>1.13830492979031E-3</v>
      </c>
      <c r="CB33" s="27">
        <f>opex_orig!BS33</f>
        <v>1.80440708561987E-3</v>
      </c>
      <c r="CC33" s="27">
        <f>opex_orig!BT33</f>
        <v>5.5516886945424296E-4</v>
      </c>
      <c r="CD33" s="27">
        <f>opex_orig!BU33</f>
        <v>2.7430925676028001E-4</v>
      </c>
      <c r="CE33" s="27">
        <f>opex_orig!BV33</f>
        <v>2.7430925676028098E-4</v>
      </c>
      <c r="CF33" s="27">
        <f>opex_orig!BW33</f>
        <v>1.0828598792083899E-3</v>
      </c>
      <c r="CG33" s="27">
        <f>opex_orig!BX33</f>
        <v>5.7006941005823701E-5</v>
      </c>
      <c r="CH33" s="27">
        <f>opex_orig!BY33</f>
        <v>4.0810409469084101E-4</v>
      </c>
      <c r="CI33" s="27">
        <f>opex_orig!BZ33</f>
        <v>8.6592600000000004E-4</v>
      </c>
      <c r="CJ33" s="27">
        <f>opex_orig!CA33</f>
        <v>4.9694799999999999E-4</v>
      </c>
      <c r="CK33" s="27">
        <f>opex_orig!CB33</f>
        <v>5.6555400000000001E-4</v>
      </c>
      <c r="CL33" s="27">
        <f>opex_orig!CC33</f>
        <v>3.8516400000000001E-4</v>
      </c>
      <c r="CM33" s="27">
        <f>opex_orig!CD33</f>
        <v>1.6843699999999999E-3</v>
      </c>
      <c r="CN33" s="27">
        <f>opex_orig!CE33</f>
        <v>1.5552960000000001E-3</v>
      </c>
      <c r="CO33" s="27">
        <f>opex_orig!CF33</f>
        <v>7.9328360000000004E-3</v>
      </c>
      <c r="CP33" s="27">
        <f>opex_orig!CG33</f>
        <v>9.6000000000000002E-5</v>
      </c>
    </row>
    <row r="34" spans="1:94" x14ac:dyDescent="0.25">
      <c r="A34" s="5" t="s">
        <v>87</v>
      </c>
      <c r="B34" s="2" t="s">
        <v>86</v>
      </c>
      <c r="C34" s="1" t="s">
        <v>326</v>
      </c>
      <c r="D34" s="188">
        <f>opex_orig!D34</f>
        <v>3.9660800000000001E-4</v>
      </c>
      <c r="E34" s="188">
        <f>opex_orig!E34</f>
        <v>2.6425999999999999E-4</v>
      </c>
      <c r="F34" s="188">
        <f>opex_orig!F34</f>
        <v>2.3109899999999999E-4</v>
      </c>
      <c r="G34" s="188">
        <f>opex_orig!G34</f>
        <v>5.49E-5</v>
      </c>
      <c r="H34" s="188">
        <f>opex_orig!H34</f>
        <v>8.5099999999999995E-5</v>
      </c>
      <c r="I34" s="188">
        <f>opex_orig!I34</f>
        <v>5.1475499999999999E-4</v>
      </c>
      <c r="J34" s="188">
        <f>opex_orig!J34</f>
        <v>6.7720400000000004E-4</v>
      </c>
      <c r="K34" s="188">
        <f>opex_orig!K34</f>
        <v>1.53778E-4</v>
      </c>
      <c r="L34" s="188">
        <f>opex_orig!L34</f>
        <v>5.0157999999999995E-4</v>
      </c>
      <c r="M34" s="188">
        <f>opex_orig!M34</f>
        <v>7.6856099999999996E-4</v>
      </c>
      <c r="N34" s="188">
        <f>opex_orig!N34</f>
        <v>7.9398999999999995E-4</v>
      </c>
      <c r="O34" s="188">
        <f>opex_orig!O34</f>
        <v>4.18319E-4</v>
      </c>
      <c r="P34" s="188">
        <f>opex_orig!P34</f>
        <v>9.1674400000000004E-4</v>
      </c>
      <c r="Q34" s="188">
        <f>opex_orig!Q34</f>
        <v>3.1717799999999999E-4</v>
      </c>
      <c r="R34" s="188">
        <f>opex_orig!R34</f>
        <v>4.6719099999999999E-4</v>
      </c>
      <c r="S34" s="188">
        <f>opex_orig!S34</f>
        <v>4.4961399999999998E-4</v>
      </c>
      <c r="T34" s="188">
        <f>opex_orig!T34</f>
        <v>5.8620999999999999E-4</v>
      </c>
      <c r="U34" s="188">
        <f>opex_orig!U34</f>
        <v>1.0581589999999999E-3</v>
      </c>
      <c r="V34" s="188">
        <f>opex_orig!V34</f>
        <v>1.476694E-3</v>
      </c>
      <c r="W34" s="188">
        <f>opex_orig!W34</f>
        <v>3.1626499999999998E-4</v>
      </c>
      <c r="X34" s="188">
        <f>opex_orig!X34</f>
        <v>1.8941300000000001E-4</v>
      </c>
      <c r="Y34" s="188">
        <f>opex_orig!Y34</f>
        <v>1.569396E-3</v>
      </c>
      <c r="Z34" s="188">
        <f>opex_orig!Z34</f>
        <v>1.4186610000000001E-3</v>
      </c>
      <c r="AA34" s="188">
        <f>opex_orig!AA34</f>
        <v>8.2014100000000003E-4</v>
      </c>
      <c r="AB34" s="188">
        <f>opex_orig!$AB34</f>
        <v>1.6858694531621499E-3</v>
      </c>
      <c r="AC34" s="188">
        <f>opex_orig!$AB34</f>
        <v>1.6858694531621499E-3</v>
      </c>
      <c r="AD34" s="188">
        <f>opex_orig!$AB34</f>
        <v>1.6858694531621499E-3</v>
      </c>
      <c r="AE34" s="188">
        <f>opex_orig!$AC34</f>
        <v>1.6014469324412499E-3</v>
      </c>
      <c r="AF34" s="188">
        <f>opex_orig!$AD34</f>
        <v>1.10386798288958E-3</v>
      </c>
      <c r="AG34" s="188">
        <f>opex_orig!$AD34</f>
        <v>1.10386798288958E-3</v>
      </c>
      <c r="AH34" s="188">
        <f>opex_orig!$AD34</f>
        <v>1.10386798288958E-3</v>
      </c>
      <c r="AI34" s="188">
        <f>opex_orig!AE34</f>
        <v>1.03199E-3</v>
      </c>
      <c r="AJ34" s="188">
        <f>opex_orig!AF34</f>
        <v>1.1336156999999999E-2</v>
      </c>
      <c r="AK34" s="188">
        <f>opex_orig!AG34</f>
        <v>3.5931500000000002E-4</v>
      </c>
      <c r="AL34" s="188">
        <f>opex_orig!AH34</f>
        <v>3.2010626E-2</v>
      </c>
      <c r="AM34" s="188">
        <f>opex_orig!AI34</f>
        <v>2.1507449999999999E-3</v>
      </c>
      <c r="AN34" s="188">
        <f>opex_orig!AJ34</f>
        <v>4.6189886999999999E-2</v>
      </c>
      <c r="AO34" s="188">
        <f>opex_orig!AK34</f>
        <v>4.0445801000000003E-2</v>
      </c>
      <c r="AP34" s="340">
        <f>opex_concordance!M438</f>
        <v>6.4188829194859104E-2</v>
      </c>
      <c r="AQ34" s="340">
        <f>opex_concordance!M492</f>
        <v>5.1658564157921548E-2</v>
      </c>
      <c r="AR34" s="340">
        <f>opex_concordance!M546</f>
        <v>5.669075973821066E-2</v>
      </c>
      <c r="AS34" s="188">
        <f>opex_orig!$AM34</f>
        <v>6.1428413510679902E-2</v>
      </c>
      <c r="AT34" s="188">
        <f>opex_orig!AN34</f>
        <v>4.8941569999999997E-3</v>
      </c>
      <c r="AU34" s="188">
        <f>opex_orig!$AO34</f>
        <v>4.1076245809831798E-3</v>
      </c>
      <c r="AV34" s="188">
        <f>opex_orig!$AO34</f>
        <v>4.1076245809831798E-3</v>
      </c>
      <c r="AW34" s="188">
        <f>opex_orig!$AO34</f>
        <v>4.1076245809831798E-3</v>
      </c>
      <c r="AX34" s="188">
        <f>opex_orig!$AP34</f>
        <v>3.2200671927913602E-3</v>
      </c>
      <c r="AY34" s="188">
        <f>opex_orig!AQ34</f>
        <v>2.865088E-3</v>
      </c>
      <c r="AZ34" s="188">
        <f>opex_orig!AR34</f>
        <v>0</v>
      </c>
      <c r="BA34" s="188">
        <f>opex_orig!AS34</f>
        <v>2.8520189999999999E-3</v>
      </c>
      <c r="BB34" s="188">
        <f>opex_orig!AT34</f>
        <v>3.0595000000000002E-3</v>
      </c>
      <c r="BC34" s="188">
        <f>opex_orig!AU34</f>
        <v>4.9773559999999996E-3</v>
      </c>
      <c r="BD34" s="188">
        <f>opex_orig!AV34</f>
        <v>5.1098410000000004E-3</v>
      </c>
      <c r="BE34" s="188">
        <f>opex_orig!AW34</f>
        <v>1.9797700000000001E-3</v>
      </c>
      <c r="BF34" s="188">
        <f>opex_orig!AX34</f>
        <v>0</v>
      </c>
      <c r="BG34" s="188">
        <f>opex_orig!AY34</f>
        <v>3.3815479999999998E-3</v>
      </c>
      <c r="BH34" s="188">
        <f>opex_orig!AZ34</f>
        <v>0</v>
      </c>
      <c r="BI34" s="188">
        <f>opex_orig!BA34</f>
        <v>7.6865630000000004E-3</v>
      </c>
      <c r="BJ34" s="188">
        <f>opex_orig!BB34</f>
        <v>5.99198E-4</v>
      </c>
      <c r="BK34" s="188">
        <f>opex_orig!BC34</f>
        <v>1.150875E-3</v>
      </c>
      <c r="BL34" s="188">
        <f>opex_orig!BD34</f>
        <v>1.7491800000000001E-4</v>
      </c>
      <c r="BM34" s="188">
        <f>opex_orig!BE34</f>
        <v>2.8999849999999999E-3</v>
      </c>
      <c r="BN34" s="188">
        <f>opex_orig!BF34</f>
        <v>7.6851700000000003E-4</v>
      </c>
      <c r="BO34" s="188">
        <f>opex_orig!BG34</f>
        <v>8.0975199999999995E-4</v>
      </c>
      <c r="BP34" s="188">
        <f>opex_orig!$BH34</f>
        <v>2.5384749258750499E-4</v>
      </c>
      <c r="BQ34" s="188">
        <f>opex_orig!$BH34</f>
        <v>2.5384749258750499E-4</v>
      </c>
      <c r="BR34" s="188">
        <f>opex_orig!BI34</f>
        <v>4.67501E-4</v>
      </c>
      <c r="BS34" s="188">
        <f>opex_orig!BJ34</f>
        <v>4.2617499999999999E-4</v>
      </c>
      <c r="BT34" s="188">
        <f>opex_orig!BK34</f>
        <v>2.5665129999999999E-3</v>
      </c>
      <c r="BU34" s="188">
        <f>opex_orig!BL34</f>
        <v>0</v>
      </c>
      <c r="BV34" s="27">
        <f>opex_orig!BM34</f>
        <v>1.62115797321454E-3</v>
      </c>
      <c r="BW34" s="27">
        <f>opex_orig!BN34</f>
        <v>3.0601200657460899E-3</v>
      </c>
      <c r="BX34" s="27">
        <f>opex_orig!BO34</f>
        <v>5.0307721206164396E-4</v>
      </c>
      <c r="BY34" s="27">
        <f>opex_orig!BP34</f>
        <v>7.2987987536962098E-4</v>
      </c>
      <c r="BZ34" s="27">
        <f>opex_orig!BQ34</f>
        <v>6.2742698975131004E-4</v>
      </c>
      <c r="CA34" s="27">
        <f>opex_orig!BR34</f>
        <v>7.7944429716747998E-4</v>
      </c>
      <c r="CB34" s="27">
        <f>opex_orig!BS34</f>
        <v>2.0880351639240898E-3</v>
      </c>
      <c r="CC34" s="27">
        <f>opex_orig!BT34</f>
        <v>2.9710660847477702E-4</v>
      </c>
      <c r="CD34" s="27">
        <f>opex_orig!BU34</f>
        <v>3.2969757225450902E-4</v>
      </c>
      <c r="CE34" s="27">
        <f>opex_orig!BV34</f>
        <v>3.2969757225450799E-4</v>
      </c>
      <c r="CF34" s="27">
        <f>opex_orig!BW34</f>
        <v>7.3590574668390706E-5</v>
      </c>
      <c r="CG34" s="27">
        <f>opex_orig!BX34</f>
        <v>1.4055352348933E-4</v>
      </c>
      <c r="CH34" s="27">
        <f>opex_orig!BY34</f>
        <v>3.6390477454428902E-4</v>
      </c>
      <c r="CI34" s="27">
        <f>opex_orig!BZ34</f>
        <v>1.37896E-3</v>
      </c>
      <c r="CJ34" s="27">
        <f>opex_orig!CA34</f>
        <v>7.4439099999999995E-4</v>
      </c>
      <c r="CK34" s="27">
        <f>opex_orig!CB34</f>
        <v>8.8418899999999996E-4</v>
      </c>
      <c r="CL34" s="27">
        <f>opex_orig!CC34</f>
        <v>5.0620400000000001E-4</v>
      </c>
      <c r="CM34" s="27">
        <f>opex_orig!CD34</f>
        <v>3.3563429999999999E-3</v>
      </c>
      <c r="CN34" s="27">
        <f>opex_orig!CE34</f>
        <v>2.0021940000000001E-3</v>
      </c>
      <c r="CO34" s="27">
        <f>opex_orig!CF34</f>
        <v>7.8585589999999993E-3</v>
      </c>
      <c r="CP34" s="27">
        <f>opex_orig!CG34</f>
        <v>2.3758500000000001E-4</v>
      </c>
    </row>
    <row r="35" spans="1:94" x14ac:dyDescent="0.25">
      <c r="A35" s="5" t="s">
        <v>89</v>
      </c>
      <c r="B35" s="2" t="s">
        <v>88</v>
      </c>
      <c r="C35" s="1" t="s">
        <v>326</v>
      </c>
      <c r="D35" s="188">
        <f>opex_orig!D35</f>
        <v>3.3399999999999999E-5</v>
      </c>
      <c r="E35" s="188">
        <f>opex_orig!E35</f>
        <v>5.5899999999999997E-5</v>
      </c>
      <c r="F35" s="188">
        <f>opex_orig!F35</f>
        <v>2.4064400000000001E-4</v>
      </c>
      <c r="G35" s="188">
        <f>opex_orig!G35</f>
        <v>8.2600000000000005E-6</v>
      </c>
      <c r="H35" s="188">
        <f>opex_orig!H35</f>
        <v>2.2699999999999999E-6</v>
      </c>
      <c r="I35" s="188">
        <f>opex_orig!I35</f>
        <v>6.7500000000000001E-5</v>
      </c>
      <c r="J35" s="188">
        <f>opex_orig!J35</f>
        <v>8.0199999999999998E-5</v>
      </c>
      <c r="K35" s="188">
        <f>opex_orig!K35</f>
        <v>4.4299999999999999E-6</v>
      </c>
      <c r="L35" s="188">
        <f>opex_orig!L35</f>
        <v>6.2817400000000001E-4</v>
      </c>
      <c r="M35" s="188">
        <f>opex_orig!M35</f>
        <v>3.7361799999999999E-4</v>
      </c>
      <c r="N35" s="188">
        <f>opex_orig!N35</f>
        <v>1.89326E-4</v>
      </c>
      <c r="O35" s="188">
        <f>opex_orig!O35</f>
        <v>1.1399999999999999E-5</v>
      </c>
      <c r="P35" s="188">
        <f>opex_orig!P35</f>
        <v>8.6399999999999999E-5</v>
      </c>
      <c r="Q35" s="188">
        <f>opex_orig!Q35</f>
        <v>6.8000000000000001E-6</v>
      </c>
      <c r="R35" s="188">
        <f>opex_orig!R35</f>
        <v>2.16E-5</v>
      </c>
      <c r="S35" s="188">
        <f>opex_orig!S35</f>
        <v>2.97E-5</v>
      </c>
      <c r="T35" s="188">
        <f>opex_orig!T35</f>
        <v>3.43E-5</v>
      </c>
      <c r="U35" s="188">
        <f>opex_orig!U35</f>
        <v>2.6400000000000001E-5</v>
      </c>
      <c r="V35" s="188">
        <f>opex_orig!V35</f>
        <v>3.54E-5</v>
      </c>
      <c r="W35" s="188">
        <f>opex_orig!W35</f>
        <v>1.52E-5</v>
      </c>
      <c r="X35" s="188">
        <f>opex_orig!X35</f>
        <v>5.4500000000000003E-6</v>
      </c>
      <c r="Y35" s="188">
        <f>opex_orig!Y35</f>
        <v>8.1199999999999995E-5</v>
      </c>
      <c r="Z35" s="188">
        <f>opex_orig!Z35</f>
        <v>3.8800000000000001E-5</v>
      </c>
      <c r="AA35" s="188">
        <f>opex_orig!AA35</f>
        <v>2.3799999999999999E-5</v>
      </c>
      <c r="AB35" s="188">
        <f>opex_orig!$AB35</f>
        <v>2.3914124155645398E-5</v>
      </c>
      <c r="AC35" s="188">
        <f>opex_orig!$AB35</f>
        <v>2.3914124155645398E-5</v>
      </c>
      <c r="AD35" s="188">
        <f>opex_orig!$AB35</f>
        <v>2.3914124155645398E-5</v>
      </c>
      <c r="AE35" s="188">
        <f>opex_orig!$AC35</f>
        <v>1.2628041236443699E-4</v>
      </c>
      <c r="AF35" s="188">
        <f>opex_orig!$AD35</f>
        <v>1.11389283935398E-3</v>
      </c>
      <c r="AG35" s="188">
        <f>opex_orig!$AD35</f>
        <v>1.11389283935398E-3</v>
      </c>
      <c r="AH35" s="188">
        <f>opex_orig!$AD35</f>
        <v>1.11389283935398E-3</v>
      </c>
      <c r="AI35" s="188">
        <f>opex_orig!AE35</f>
        <v>8.6029300000000004E-4</v>
      </c>
      <c r="AJ35" s="188">
        <f>opex_orig!AF35</f>
        <v>9.3089399999999999E-3</v>
      </c>
      <c r="AK35" s="188">
        <f>opex_orig!AG35</f>
        <v>1.4215199999999999E-4</v>
      </c>
      <c r="AL35" s="188">
        <f>opex_orig!AH35</f>
        <v>1.1628840000000001E-3</v>
      </c>
      <c r="AM35" s="188">
        <f>opex_orig!AI35</f>
        <v>1.6711499999999999E-4</v>
      </c>
      <c r="AN35" s="188">
        <f>opex_orig!AJ35</f>
        <v>5.2874699999999998E-4</v>
      </c>
      <c r="AO35" s="188">
        <f>opex_orig!AK35</f>
        <v>6.3113100000000005E-4</v>
      </c>
      <c r="AP35" s="188">
        <f>opex_orig!$AL35</f>
        <v>3.4357479288574098E-4</v>
      </c>
      <c r="AQ35" s="188">
        <f>opex_orig!$AL35</f>
        <v>3.4357479288574098E-4</v>
      </c>
      <c r="AR35" s="188">
        <f>opex_orig!$AL35</f>
        <v>3.4357479288574098E-4</v>
      </c>
      <c r="AS35" s="188">
        <f>opex_orig!$AM35</f>
        <v>3.0624416735736999E-4</v>
      </c>
      <c r="AT35" s="188">
        <f>opex_orig!AN35</f>
        <v>6.7784099999999999E-4</v>
      </c>
      <c r="AU35" s="188">
        <f>opex_orig!$AO35</f>
        <v>9.1363976234760198E-5</v>
      </c>
      <c r="AV35" s="188">
        <f>opex_orig!$AO35</f>
        <v>9.1363976234760198E-5</v>
      </c>
      <c r="AW35" s="188">
        <f>opex_orig!$AO35</f>
        <v>9.1363976234760198E-5</v>
      </c>
      <c r="AX35" s="188">
        <f>opex_orig!$AP35</f>
        <v>7.4420923880102002E-5</v>
      </c>
      <c r="AY35" s="188">
        <f>opex_orig!AQ35</f>
        <v>1.15269E-4</v>
      </c>
      <c r="AZ35" s="188">
        <f>opex_orig!AR35</f>
        <v>0</v>
      </c>
      <c r="BA35" s="188">
        <f>opex_orig!AS35</f>
        <v>1.3356199999999999E-4</v>
      </c>
      <c r="BB35" s="188">
        <f>opex_orig!AT35</f>
        <v>1.4289399999999999E-4</v>
      </c>
      <c r="BC35" s="188">
        <f>opex_orig!AU35</f>
        <v>1.17514E-4</v>
      </c>
      <c r="BD35" s="188">
        <f>opex_orig!AV35</f>
        <v>1.2218900000000001E-4</v>
      </c>
      <c r="BE35" s="188">
        <f>opex_orig!AW35</f>
        <v>5.9799999999999997E-5</v>
      </c>
      <c r="BF35" s="188">
        <f>opex_orig!AX35</f>
        <v>0</v>
      </c>
      <c r="BG35" s="188">
        <f>opex_orig!AY35</f>
        <v>6.0600000000000003E-5</v>
      </c>
      <c r="BH35" s="188">
        <f>opex_orig!AZ35</f>
        <v>0</v>
      </c>
      <c r="BI35" s="188">
        <f>opex_orig!BA35</f>
        <v>2.947079E-3</v>
      </c>
      <c r="BJ35" s="188">
        <f>opex_orig!BB35</f>
        <v>3.6100000000000003E-5</v>
      </c>
      <c r="BK35" s="188">
        <f>opex_orig!BC35</f>
        <v>1.0550100000000001E-4</v>
      </c>
      <c r="BL35" s="188">
        <f>opex_orig!BD35</f>
        <v>1.2300000000000001E-5</v>
      </c>
      <c r="BM35" s="188">
        <f>opex_orig!BE35</f>
        <v>4.3600000000000003E-5</v>
      </c>
      <c r="BN35" s="188">
        <f>opex_orig!BF35</f>
        <v>2.6299999999999999E-5</v>
      </c>
      <c r="BO35" s="188">
        <f>opex_orig!BG35</f>
        <v>6.2500000000000001E-5</v>
      </c>
      <c r="BP35" s="188">
        <f>opex_orig!$BH35</f>
        <v>1.2462557888889899E-5</v>
      </c>
      <c r="BQ35" s="188">
        <f>opex_orig!$BH35</f>
        <v>1.2462557888889899E-5</v>
      </c>
      <c r="BR35" s="188">
        <f>opex_orig!BI35</f>
        <v>3.6199999999999999E-5</v>
      </c>
      <c r="BS35" s="188">
        <f>opex_orig!BJ35</f>
        <v>1.469599E-3</v>
      </c>
      <c r="BT35" s="188">
        <f>opex_orig!BK35</f>
        <v>1.26558E-4</v>
      </c>
      <c r="BU35" s="188">
        <f>opex_orig!BL35</f>
        <v>0</v>
      </c>
      <c r="BV35" s="27">
        <f>opex_orig!BM35</f>
        <v>5.15522467795291E-5</v>
      </c>
      <c r="BW35" s="27">
        <f>opex_orig!BN35</f>
        <v>2.4831889486767798E-4</v>
      </c>
      <c r="BX35" s="27">
        <f>opex_orig!BO35</f>
        <v>1.14256901649986E-5</v>
      </c>
      <c r="BY35" s="27">
        <f>opex_orig!BP35</f>
        <v>1.5270325361265902E-5</v>
      </c>
      <c r="BZ35" s="27">
        <f>opex_orig!BQ35</f>
        <v>1.7266062016557099E-5</v>
      </c>
      <c r="CA35" s="27">
        <f>opex_orig!BR35</f>
        <v>1.02802650732401E-4</v>
      </c>
      <c r="CB35" s="27">
        <f>opex_orig!BS35</f>
        <v>1.5789079071686801E-4</v>
      </c>
      <c r="CC35" s="27">
        <f>opex_orig!BT35</f>
        <v>7.6707671621549604E-5</v>
      </c>
      <c r="CD35" s="27">
        <f>opex_orig!BU35</f>
        <v>9.4574932816532506E-6</v>
      </c>
      <c r="CE35" s="27">
        <f>opex_orig!BV35</f>
        <v>9.4574932816532692E-6</v>
      </c>
      <c r="CF35" s="27">
        <f>opex_orig!BW35</f>
        <v>1.04793879378905E-5</v>
      </c>
      <c r="CG35" s="27">
        <f>opex_orig!BX35</f>
        <v>9.2638879535854592E-6</v>
      </c>
      <c r="CH35" s="27">
        <f>opex_orig!BY35</f>
        <v>3.1957414290853102E-6</v>
      </c>
      <c r="CI35" s="27">
        <f>opex_orig!BZ35</f>
        <v>3.0899999999999999E-5</v>
      </c>
      <c r="CJ35" s="27">
        <f>opex_orig!CA35</f>
        <v>1.95E-5</v>
      </c>
      <c r="CK35" s="27">
        <f>opex_orig!CB35</f>
        <v>2.1399999999999998E-5</v>
      </c>
      <c r="CL35" s="27">
        <f>opex_orig!CC35</f>
        <v>2.76E-5</v>
      </c>
      <c r="CM35" s="27">
        <f>opex_orig!CD35</f>
        <v>4.0838099999999998E-4</v>
      </c>
      <c r="CN35" s="27">
        <f>opex_orig!CE35</f>
        <v>2.9499999999999999E-5</v>
      </c>
      <c r="CO35" s="27">
        <f>opex_orig!CF35</f>
        <v>6.86E-5</v>
      </c>
      <c r="CP35" s="27">
        <f>opex_orig!CG35</f>
        <v>5.1399999999999999E-6</v>
      </c>
    </row>
    <row r="36" spans="1:94" x14ac:dyDescent="0.25">
      <c r="A36" s="5" t="s">
        <v>91</v>
      </c>
      <c r="B36" s="2" t="s">
        <v>90</v>
      </c>
      <c r="C36" s="1" t="s">
        <v>327</v>
      </c>
      <c r="D36" s="188">
        <f>opex_orig!D36</f>
        <v>8.9115199999999998E-4</v>
      </c>
      <c r="E36" s="188">
        <f>opex_orig!E36</f>
        <v>1.1169369999999999E-3</v>
      </c>
      <c r="F36" s="188">
        <f>opex_orig!F36</f>
        <v>6.838472E-3</v>
      </c>
      <c r="G36" s="188">
        <f>opex_orig!G36</f>
        <v>7.8700000000000002E-5</v>
      </c>
      <c r="H36" s="188">
        <f>opex_orig!H36</f>
        <v>2.4899999999999999E-5</v>
      </c>
      <c r="I36" s="188">
        <f>opex_orig!I36</f>
        <v>6.1936300000000005E-4</v>
      </c>
      <c r="J36" s="188">
        <f>opex_orig!J36</f>
        <v>6.4988100000000005E-4</v>
      </c>
      <c r="K36" s="188">
        <f>opex_orig!K36</f>
        <v>5.0500000000000001E-5</v>
      </c>
      <c r="L36" s="188">
        <f>opex_orig!L36</f>
        <v>1.0654587E-2</v>
      </c>
      <c r="M36" s="188">
        <f>opex_orig!M36</f>
        <v>9.7879799999999991E-4</v>
      </c>
      <c r="N36" s="188">
        <f>opex_orig!N36</f>
        <v>2.4894100000000001E-3</v>
      </c>
      <c r="O36" s="188">
        <f>opex_orig!O36</f>
        <v>1.263431E-3</v>
      </c>
      <c r="P36" s="188">
        <f>opex_orig!P36</f>
        <v>3.9776600000000003E-4</v>
      </c>
      <c r="Q36" s="188">
        <f>opex_orig!Q36</f>
        <v>4.0805799999999999E-4</v>
      </c>
      <c r="R36" s="188">
        <f>opex_orig!R36</f>
        <v>4.3490599999999999E-4</v>
      </c>
      <c r="S36" s="188">
        <f>opex_orig!S36</f>
        <v>6.5699999999999998E-5</v>
      </c>
      <c r="T36" s="188">
        <f>opex_orig!T36</f>
        <v>1.11258E-4</v>
      </c>
      <c r="U36" s="188">
        <f>opex_orig!U36</f>
        <v>1.0980399999999999E-4</v>
      </c>
      <c r="V36" s="188">
        <f>opex_orig!V36</f>
        <v>1.6589600000000001E-4</v>
      </c>
      <c r="W36" s="188">
        <f>opex_orig!W36</f>
        <v>9.6399999999999999E-5</v>
      </c>
      <c r="X36" s="188">
        <f>opex_orig!X36</f>
        <v>9.5500000000000004E-5</v>
      </c>
      <c r="Y36" s="188">
        <f>opex_orig!Y36</f>
        <v>4.9599999999999999E-5</v>
      </c>
      <c r="Z36" s="188">
        <f>opex_orig!Z36</f>
        <v>2.1403500000000001E-4</v>
      </c>
      <c r="AA36" s="188">
        <f>opex_orig!AA36</f>
        <v>1.6176600000000001E-4</v>
      </c>
      <c r="AB36" s="188">
        <f>opex_orig!$AB36</f>
        <v>5.08534392158695E-4</v>
      </c>
      <c r="AC36" s="188">
        <f>opex_orig!$AB36</f>
        <v>5.08534392158695E-4</v>
      </c>
      <c r="AD36" s="188">
        <f>opex_orig!$AB36</f>
        <v>5.08534392158695E-4</v>
      </c>
      <c r="AE36" s="188">
        <f>opex_orig!$AC36</f>
        <v>7.9959097130697504E-4</v>
      </c>
      <c r="AF36" s="188">
        <f>opex_orig!$AD36</f>
        <v>2.9042981904939599E-4</v>
      </c>
      <c r="AG36" s="188">
        <f>opex_orig!$AD36</f>
        <v>2.9042981904939599E-4</v>
      </c>
      <c r="AH36" s="188">
        <f>opex_orig!$AD36</f>
        <v>2.9042981904939599E-4</v>
      </c>
      <c r="AI36" s="188">
        <f>opex_orig!AE36</f>
        <v>2.5387400000000002E-4</v>
      </c>
      <c r="AJ36" s="188">
        <f>opex_orig!AF36</f>
        <v>3.1221200000000003E-4</v>
      </c>
      <c r="AK36" s="188">
        <f>opex_orig!AG36</f>
        <v>1.17243E-4</v>
      </c>
      <c r="AL36" s="188">
        <f>opex_orig!AH36</f>
        <v>6.8999999999999997E-5</v>
      </c>
      <c r="AM36" s="188">
        <f>opex_orig!AI36</f>
        <v>9.3900000000000006E-5</v>
      </c>
      <c r="AN36" s="188">
        <f>opex_orig!AJ36</f>
        <v>7.0699999999999997E-5</v>
      </c>
      <c r="AO36" s="188">
        <f>opex_orig!AK36</f>
        <v>1.14032E-4</v>
      </c>
      <c r="AP36" s="188">
        <f>opex_orig!$AL36</f>
        <v>6.9166382577343999E-5</v>
      </c>
      <c r="AQ36" s="188">
        <f>opex_orig!$AL36</f>
        <v>6.9166382577343999E-5</v>
      </c>
      <c r="AR36" s="188">
        <f>opex_orig!$AL36</f>
        <v>6.9166382577343999E-5</v>
      </c>
      <c r="AS36" s="188">
        <f>opex_orig!$AM36</f>
        <v>8.9835562654913895E-5</v>
      </c>
      <c r="AT36" s="188">
        <f>opex_orig!AN36</f>
        <v>9.4300000000000002E-5</v>
      </c>
      <c r="AU36" s="188">
        <f>opex_orig!$AO36</f>
        <v>4.7616318346772798E-5</v>
      </c>
      <c r="AV36" s="188">
        <f>opex_orig!$AO36</f>
        <v>4.7616318346772798E-5</v>
      </c>
      <c r="AW36" s="188">
        <f>opex_orig!$AO36</f>
        <v>4.7616318346772798E-5</v>
      </c>
      <c r="AX36" s="188">
        <f>opex_orig!$AP36</f>
        <v>7.9690036814502894E-5</v>
      </c>
      <c r="AY36" s="188">
        <f>opex_orig!AQ36</f>
        <v>1.0005699999999999E-4</v>
      </c>
      <c r="AZ36" s="188">
        <f>opex_orig!AR36</f>
        <v>0</v>
      </c>
      <c r="BA36" s="188">
        <f>opex_orig!AS36</f>
        <v>9.3399999999999993E-5</v>
      </c>
      <c r="BB36" s="188">
        <f>opex_orig!AT36</f>
        <v>7.0300000000000001E-5</v>
      </c>
      <c r="BC36" s="188">
        <f>opex_orig!AU36</f>
        <v>6.9900000000000005E-5</v>
      </c>
      <c r="BD36" s="188">
        <f>opex_orig!AV36</f>
        <v>4.3999999999999999E-5</v>
      </c>
      <c r="BE36" s="188">
        <f>opex_orig!AW36</f>
        <v>8.9300000000000002E-5</v>
      </c>
      <c r="BF36" s="188">
        <f>opex_orig!AX36</f>
        <v>0</v>
      </c>
      <c r="BG36" s="188">
        <f>opex_orig!AY36</f>
        <v>1.5091599999999999E-4</v>
      </c>
      <c r="BH36" s="188">
        <f>opex_orig!AZ36</f>
        <v>0</v>
      </c>
      <c r="BI36" s="188">
        <f>opex_orig!BA36</f>
        <v>5.3900000000000002E-5</v>
      </c>
      <c r="BJ36" s="188">
        <f>opex_orig!BB36</f>
        <v>6.1400000000000002E-5</v>
      </c>
      <c r="BK36" s="188">
        <f>opex_orig!BC36</f>
        <v>7.8999999999999996E-5</v>
      </c>
      <c r="BL36" s="188">
        <f>opex_orig!BD36</f>
        <v>8.0900000000000001E-5</v>
      </c>
      <c r="BM36" s="188">
        <f>opex_orig!BE36</f>
        <v>7.25E-5</v>
      </c>
      <c r="BN36" s="188">
        <f>opex_orig!BF36</f>
        <v>4.6900000000000002E-5</v>
      </c>
      <c r="BO36" s="188">
        <f>opex_orig!BG36</f>
        <v>1.2877900000000001E-4</v>
      </c>
      <c r="BP36" s="188">
        <f>opex_orig!$BH36</f>
        <v>7.8949740274024296E-5</v>
      </c>
      <c r="BQ36" s="188">
        <f>opex_orig!$BH36</f>
        <v>7.8949740274024296E-5</v>
      </c>
      <c r="BR36" s="188">
        <f>opex_orig!BI36</f>
        <v>7.1899999999999999E-5</v>
      </c>
      <c r="BS36" s="188">
        <f>opex_orig!BJ36</f>
        <v>8.0500000000000005E-5</v>
      </c>
      <c r="BT36" s="188">
        <f>opex_orig!BK36</f>
        <v>2.8391499999999998E-4</v>
      </c>
      <c r="BU36" s="188">
        <f>opex_orig!BL36</f>
        <v>0</v>
      </c>
      <c r="BV36" s="27">
        <f>opex_orig!BM36</f>
        <v>6.6080229003064996E-5</v>
      </c>
      <c r="BW36" s="27">
        <f>opex_orig!BN36</f>
        <v>2.5801610015121102E-4</v>
      </c>
      <c r="BX36" s="27">
        <f>opex_orig!BO36</f>
        <v>3.5254039437526797E-5</v>
      </c>
      <c r="BY36" s="27">
        <f>opex_orig!BP36</f>
        <v>1.8132612865642901E-4</v>
      </c>
      <c r="BZ36" s="27">
        <f>opex_orig!BQ36</f>
        <v>9.2129566227845696E-5</v>
      </c>
      <c r="CA36" s="27">
        <f>opex_orig!BR36</f>
        <v>6.6372237260418702E-6</v>
      </c>
      <c r="CB36" s="27">
        <f>opex_orig!BS36</f>
        <v>2.4718275648784701E-4</v>
      </c>
      <c r="CC36" s="27">
        <f>opex_orig!BT36</f>
        <v>7.09428004509033E-5</v>
      </c>
      <c r="CD36" s="27">
        <f>opex_orig!BU36</f>
        <v>2.6620843731734401E-5</v>
      </c>
      <c r="CE36" s="27">
        <f>opex_orig!BV36</f>
        <v>2.6620843731734401E-5</v>
      </c>
      <c r="CF36" s="27">
        <f>opex_orig!BW36</f>
        <v>4.72034873240872E-5</v>
      </c>
      <c r="CG36" s="27">
        <f>opex_orig!BX36</f>
        <v>9.6991227695475796E-6</v>
      </c>
      <c r="CH36" s="27">
        <f>opex_orig!BY36</f>
        <v>6.2197760602174105E-4</v>
      </c>
      <c r="CI36" s="27">
        <f>opex_orig!BZ36</f>
        <v>1.3213100000000001E-4</v>
      </c>
      <c r="CJ36" s="27">
        <f>opex_orig!CA36</f>
        <v>5.5600000000000003E-5</v>
      </c>
      <c r="CK36" s="27">
        <f>opex_orig!CB36</f>
        <v>4.85E-5</v>
      </c>
      <c r="CL36" s="27">
        <f>opex_orig!CC36</f>
        <v>4.0200000000000001E-5</v>
      </c>
      <c r="CM36" s="27">
        <f>opex_orig!CD36</f>
        <v>1.45692E-4</v>
      </c>
      <c r="CN36" s="27">
        <f>opex_orig!CE36</f>
        <v>1.45112E-4</v>
      </c>
      <c r="CO36" s="27">
        <f>opex_orig!CF36</f>
        <v>5.27E-5</v>
      </c>
      <c r="CP36" s="27">
        <f>opex_orig!CG36</f>
        <v>9.2700000000000004E-5</v>
      </c>
    </row>
    <row r="37" spans="1:94" x14ac:dyDescent="0.25">
      <c r="A37" s="5" t="s">
        <v>93</v>
      </c>
      <c r="B37" s="2" t="s">
        <v>92</v>
      </c>
      <c r="C37" s="1" t="s">
        <v>327</v>
      </c>
      <c r="D37" s="188">
        <f>opex_orig!D37</f>
        <v>5.9942199999999995E-4</v>
      </c>
      <c r="E37" s="188">
        <f>opex_orig!E37</f>
        <v>1.0181032E-2</v>
      </c>
      <c r="F37" s="188">
        <f>opex_orig!F37</f>
        <v>4.2885470000000002E-3</v>
      </c>
      <c r="G37" s="188">
        <f>opex_orig!G37</f>
        <v>1.7132599999999999E-4</v>
      </c>
      <c r="H37" s="188">
        <f>opex_orig!H37</f>
        <v>1.7034400000000001E-4</v>
      </c>
      <c r="I37" s="188">
        <f>opex_orig!I37</f>
        <v>8.19216E-4</v>
      </c>
      <c r="J37" s="188">
        <f>opex_orig!J37</f>
        <v>1.529704E-3</v>
      </c>
      <c r="K37" s="188">
        <f>opex_orig!K37</f>
        <v>3.7936300000000002E-4</v>
      </c>
      <c r="L37" s="188">
        <f>opex_orig!L37</f>
        <v>1.7054219999999998E-2</v>
      </c>
      <c r="M37" s="188">
        <f>opex_orig!M37</f>
        <v>2.1486370000000001E-3</v>
      </c>
      <c r="N37" s="188">
        <f>opex_orig!N37</f>
        <v>1.1645343000000001E-2</v>
      </c>
      <c r="O37" s="188">
        <f>opex_orig!O37</f>
        <v>2.4725459999999999E-3</v>
      </c>
      <c r="P37" s="188">
        <f>opex_orig!P37</f>
        <v>8.8837599999999997E-4</v>
      </c>
      <c r="Q37" s="188">
        <f>opex_orig!Q37</f>
        <v>6.9471099999999998E-4</v>
      </c>
      <c r="R37" s="188">
        <f>opex_orig!R37</f>
        <v>1.1300780000000001E-3</v>
      </c>
      <c r="S37" s="188">
        <f>opex_orig!S37</f>
        <v>3.5453200000000001E-4</v>
      </c>
      <c r="T37" s="188">
        <f>opex_orig!T37</f>
        <v>7.5299600000000003E-4</v>
      </c>
      <c r="U37" s="188">
        <f>opex_orig!U37</f>
        <v>4.6707200000000002E-4</v>
      </c>
      <c r="V37" s="188">
        <f>opex_orig!V37</f>
        <v>6.2480100000000002E-4</v>
      </c>
      <c r="W37" s="188">
        <f>opex_orig!W37</f>
        <v>2.8098799999999997E-4</v>
      </c>
      <c r="X37" s="188">
        <f>opex_orig!X37</f>
        <v>4.3299799999999998E-4</v>
      </c>
      <c r="Y37" s="188">
        <f>opex_orig!Y37</f>
        <v>3.5974100000000001E-4</v>
      </c>
      <c r="Z37" s="188">
        <f>opex_orig!Z37</f>
        <v>2.0781400000000001E-4</v>
      </c>
      <c r="AA37" s="188">
        <f>opex_orig!AA37</f>
        <v>1.106686E-3</v>
      </c>
      <c r="AB37" s="188">
        <f>opex_orig!$AB37</f>
        <v>1.0890404676379901E-3</v>
      </c>
      <c r="AC37" s="188">
        <f>opex_orig!$AB37</f>
        <v>1.0890404676379901E-3</v>
      </c>
      <c r="AD37" s="188">
        <f>opex_orig!$AB37</f>
        <v>1.0890404676379901E-3</v>
      </c>
      <c r="AE37" s="188">
        <f>opex_orig!$AC37</f>
        <v>2.6765512889738601E-3</v>
      </c>
      <c r="AF37" s="188">
        <f>opex_orig!$AD37</f>
        <v>6.99452959996311E-4</v>
      </c>
      <c r="AG37" s="188">
        <f>opex_orig!$AD37</f>
        <v>6.99452959996311E-4</v>
      </c>
      <c r="AH37" s="188">
        <f>opex_orig!$AD37</f>
        <v>6.99452959996311E-4</v>
      </c>
      <c r="AI37" s="188">
        <f>opex_orig!AE37</f>
        <v>4.9685099999999998E-4</v>
      </c>
      <c r="AJ37" s="188">
        <f>opex_orig!AF37</f>
        <v>1.781707E-3</v>
      </c>
      <c r="AK37" s="188">
        <f>opex_orig!AG37</f>
        <v>7.8961600000000004E-4</v>
      </c>
      <c r="AL37" s="188">
        <f>opex_orig!AH37</f>
        <v>2.6904499999999998E-4</v>
      </c>
      <c r="AM37" s="188">
        <f>opex_orig!AI37</f>
        <v>5.2042400000000002E-4</v>
      </c>
      <c r="AN37" s="188">
        <f>opex_orig!AJ37</f>
        <v>2.7947699999999998E-4</v>
      </c>
      <c r="AO37" s="188">
        <f>opex_orig!AK37</f>
        <v>6.2777600000000003E-4</v>
      </c>
      <c r="AP37" s="188">
        <f>opex_orig!$AL37</f>
        <v>3.2157478218731398E-4</v>
      </c>
      <c r="AQ37" s="188">
        <f>opex_orig!$AL37</f>
        <v>3.2157478218731398E-4</v>
      </c>
      <c r="AR37" s="188">
        <f>opex_orig!$AL37</f>
        <v>3.2157478218731398E-4</v>
      </c>
      <c r="AS37" s="188">
        <f>opex_orig!$AM37</f>
        <v>5.0176333488626305E-4</v>
      </c>
      <c r="AT37" s="188">
        <f>opex_orig!AN37</f>
        <v>4.9551399999999996E-4</v>
      </c>
      <c r="AU37" s="188">
        <f>opex_orig!$AO37</f>
        <v>2.4034740308726801E-4</v>
      </c>
      <c r="AV37" s="188">
        <f>opex_orig!$AO37</f>
        <v>2.4034740308726801E-4</v>
      </c>
      <c r="AW37" s="188">
        <f>opex_orig!$AO37</f>
        <v>2.4034740308726801E-4</v>
      </c>
      <c r="AX37" s="188">
        <f>opex_orig!$AP37</f>
        <v>3.97525087486422E-4</v>
      </c>
      <c r="AY37" s="188">
        <f>opex_orig!AQ37</f>
        <v>4.9818300000000002E-4</v>
      </c>
      <c r="AZ37" s="188">
        <f>opex_orig!AR37</f>
        <v>0</v>
      </c>
      <c r="BA37" s="188">
        <f>opex_orig!AS37</f>
        <v>5.0688299999999996E-4</v>
      </c>
      <c r="BB37" s="188">
        <f>opex_orig!AT37</f>
        <v>4.2182599999999998E-4</v>
      </c>
      <c r="BC37" s="188">
        <f>opex_orig!AU37</f>
        <v>2.7742799999999997E-4</v>
      </c>
      <c r="BD37" s="188">
        <f>opex_orig!AV37</f>
        <v>2.23169E-4</v>
      </c>
      <c r="BE37" s="188">
        <f>opex_orig!AW37</f>
        <v>5.8770399999999998E-4</v>
      </c>
      <c r="BF37" s="188">
        <f>opex_orig!AX37</f>
        <v>0</v>
      </c>
      <c r="BG37" s="188">
        <f>opex_orig!AY37</f>
        <v>1.1394630000000001E-3</v>
      </c>
      <c r="BH37" s="188">
        <f>opex_orig!AZ37</f>
        <v>0</v>
      </c>
      <c r="BI37" s="188">
        <f>opex_orig!BA37</f>
        <v>2.32773E-4</v>
      </c>
      <c r="BJ37" s="188">
        <f>opex_orig!BB37</f>
        <v>1.7013799999999999E-4</v>
      </c>
      <c r="BK37" s="188">
        <f>opex_orig!BC37</f>
        <v>2.8394899999999997E-4</v>
      </c>
      <c r="BL37" s="188">
        <f>opex_orig!BD37</f>
        <v>1.6661200000000001E-4</v>
      </c>
      <c r="BM37" s="188">
        <f>opex_orig!BE37</f>
        <v>1.4836E-4</v>
      </c>
      <c r="BN37" s="188">
        <f>opex_orig!BF37</f>
        <v>2.0826199999999999E-4</v>
      </c>
      <c r="BO37" s="188">
        <f>opex_orig!BG37</f>
        <v>5.90962E-4</v>
      </c>
      <c r="BP37" s="188">
        <f>opex_orig!$BH37</f>
        <v>3.0517123328212698E-4</v>
      </c>
      <c r="BQ37" s="188">
        <f>opex_orig!$BH37</f>
        <v>3.0517123328212698E-4</v>
      </c>
      <c r="BR37" s="188">
        <f>opex_orig!BI37</f>
        <v>2.4579300000000001E-4</v>
      </c>
      <c r="BS37" s="188">
        <f>opex_orig!BJ37</f>
        <v>3.0181000000000001E-4</v>
      </c>
      <c r="BT37" s="188">
        <f>opex_orig!BK37</f>
        <v>4.9648800000000001E-4</v>
      </c>
      <c r="BU37" s="188">
        <f>opex_orig!BL37</f>
        <v>0</v>
      </c>
      <c r="BV37" s="27">
        <f>opex_orig!BM37</f>
        <v>2.3018410114402301E-4</v>
      </c>
      <c r="BW37" s="27">
        <f>opex_orig!BN37</f>
        <v>7.6040799804422295E-4</v>
      </c>
      <c r="BX37" s="27">
        <f>opex_orig!BO37</f>
        <v>7.9063451608296601E-5</v>
      </c>
      <c r="BY37" s="27">
        <f>opex_orig!BP37</f>
        <v>4.3722537212892199E-4</v>
      </c>
      <c r="BZ37" s="27">
        <f>opex_orig!BQ37</f>
        <v>3.6522529730801301E-4</v>
      </c>
      <c r="CA37" s="27">
        <f>opex_orig!BR37</f>
        <v>2.9899100813160201E-5</v>
      </c>
      <c r="CB37" s="27">
        <f>opex_orig!BS37</f>
        <v>1.3632621342988701E-3</v>
      </c>
      <c r="CC37" s="27">
        <f>opex_orig!BT37</f>
        <v>2.6841829413253E-5</v>
      </c>
      <c r="CD37" s="27">
        <f>opex_orig!BU37</f>
        <v>1.3309271554056801E-4</v>
      </c>
      <c r="CE37" s="27">
        <f>opex_orig!BV37</f>
        <v>1.3309271554056801E-4</v>
      </c>
      <c r="CF37" s="27">
        <f>opex_orig!BW37</f>
        <v>2.1142417778256901E-4</v>
      </c>
      <c r="CG37" s="27">
        <f>opex_orig!BX37</f>
        <v>6.4499909462131703E-6</v>
      </c>
      <c r="CH37" s="27">
        <f>opex_orig!BY37</f>
        <v>1.4489163343161499E-4</v>
      </c>
      <c r="CI37" s="27">
        <f>opex_orig!BZ37</f>
        <v>3.7911299999999999E-4</v>
      </c>
      <c r="CJ37" s="27">
        <f>opex_orig!CA37</f>
        <v>1.6336700000000001E-4</v>
      </c>
      <c r="CK37" s="27">
        <f>opex_orig!CB37</f>
        <v>1.17606E-4</v>
      </c>
      <c r="CL37" s="27">
        <f>opex_orig!CC37</f>
        <v>1.01992E-4</v>
      </c>
      <c r="CM37" s="27">
        <f>opex_orig!CD37</f>
        <v>4.3715900000000001E-4</v>
      </c>
      <c r="CN37" s="27">
        <f>opex_orig!CE37</f>
        <v>3.0693400000000003E-4</v>
      </c>
      <c r="CO37" s="27">
        <f>opex_orig!CF37</f>
        <v>5.9299999999999998E-5</v>
      </c>
      <c r="CP37" s="27">
        <f>opex_orig!CG37</f>
        <v>2.2154999999999999E-4</v>
      </c>
    </row>
    <row r="38" spans="1:94" x14ac:dyDescent="0.25">
      <c r="A38" s="5" t="s">
        <v>95</v>
      </c>
      <c r="B38" s="2" t="s">
        <v>94</v>
      </c>
      <c r="C38" s="1" t="s">
        <v>327</v>
      </c>
      <c r="D38" s="188">
        <f>opex_orig!D38</f>
        <v>4.5500000000000001E-5</v>
      </c>
      <c r="E38" s="188">
        <f>opex_orig!E38</f>
        <v>7.2899999999999997E-5</v>
      </c>
      <c r="F38" s="188">
        <f>opex_orig!F38</f>
        <v>3.2922600000000001E-4</v>
      </c>
      <c r="G38" s="188">
        <f>opex_orig!G38</f>
        <v>7.3599999999999998E-6</v>
      </c>
      <c r="H38" s="188">
        <f>opex_orig!H38</f>
        <v>3.5899999999999999E-6</v>
      </c>
      <c r="I38" s="188">
        <f>opex_orig!I38</f>
        <v>3.4799999999999999E-5</v>
      </c>
      <c r="J38" s="188">
        <f>opex_orig!J38</f>
        <v>1.1029799999999999E-4</v>
      </c>
      <c r="K38" s="188">
        <f>opex_orig!K38</f>
        <v>5.5199999999999997E-6</v>
      </c>
      <c r="L38" s="188">
        <f>opex_orig!L38</f>
        <v>4.7808799999999999E-4</v>
      </c>
      <c r="M38" s="188">
        <f>opex_orig!M38</f>
        <v>6.05E-5</v>
      </c>
      <c r="N38" s="188">
        <f>opex_orig!N38</f>
        <v>9.0593800000000001E-4</v>
      </c>
      <c r="O38" s="188">
        <f>opex_orig!O38</f>
        <v>1.2040300000000001E-4</v>
      </c>
      <c r="P38" s="188">
        <f>opex_orig!P38</f>
        <v>7.6500000000000003E-5</v>
      </c>
      <c r="Q38" s="188">
        <f>opex_orig!Q38</f>
        <v>1.35876E-4</v>
      </c>
      <c r="R38" s="188">
        <f>opex_orig!R38</f>
        <v>1.2889600000000001E-4</v>
      </c>
      <c r="S38" s="188">
        <f>opex_orig!S38</f>
        <v>3.96E-5</v>
      </c>
      <c r="T38" s="188">
        <f>opex_orig!T38</f>
        <v>3.9799999999999998E-5</v>
      </c>
      <c r="U38" s="188">
        <f>opex_orig!U38</f>
        <v>4.8699999999999998E-5</v>
      </c>
      <c r="V38" s="188">
        <f>opex_orig!V38</f>
        <v>7.0400000000000004E-5</v>
      </c>
      <c r="W38" s="188">
        <f>opex_orig!W38</f>
        <v>3.9799999999999998E-5</v>
      </c>
      <c r="X38" s="188">
        <f>opex_orig!X38</f>
        <v>2.72E-5</v>
      </c>
      <c r="Y38" s="188">
        <f>opex_orig!Y38</f>
        <v>8.5399999999999996E-6</v>
      </c>
      <c r="Z38" s="188">
        <f>opex_orig!Z38</f>
        <v>1.39214E-4</v>
      </c>
      <c r="AA38" s="188">
        <f>opex_orig!AA38</f>
        <v>2.6699999999999998E-5</v>
      </c>
      <c r="AB38" s="188">
        <f>opex_orig!$AB38</f>
        <v>4.4897929942433202E-4</v>
      </c>
      <c r="AC38" s="188">
        <f>opex_orig!$AB38</f>
        <v>4.4897929942433202E-4</v>
      </c>
      <c r="AD38" s="188">
        <f>opex_orig!$AB38</f>
        <v>4.4897929942433202E-4</v>
      </c>
      <c r="AE38" s="188">
        <f>opex_orig!$AC38</f>
        <v>4.2336191851296602E-4</v>
      </c>
      <c r="AF38" s="188">
        <f>opex_orig!$AD38</f>
        <v>2.02183578993548E-4</v>
      </c>
      <c r="AG38" s="188">
        <f>opex_orig!$AD38</f>
        <v>2.02183578993548E-4</v>
      </c>
      <c r="AH38" s="188">
        <f>opex_orig!$AD38</f>
        <v>2.02183578993548E-4</v>
      </c>
      <c r="AI38" s="188">
        <f>opex_orig!AE38</f>
        <v>1.8769300000000001E-4</v>
      </c>
      <c r="AJ38" s="188">
        <f>opex_orig!AF38</f>
        <v>3.2254799999999998E-4</v>
      </c>
      <c r="AK38" s="188">
        <f>opex_orig!AG38</f>
        <v>8.6799999999999996E-5</v>
      </c>
      <c r="AL38" s="188">
        <f>opex_orig!AH38</f>
        <v>6.9200000000000002E-5</v>
      </c>
      <c r="AM38" s="188">
        <f>opex_orig!AI38</f>
        <v>2.4499999999999999E-5</v>
      </c>
      <c r="AN38" s="188">
        <f>opex_orig!AJ38</f>
        <v>4.3000000000000002E-5</v>
      </c>
      <c r="AO38" s="188">
        <f>opex_orig!AK38</f>
        <v>3.6600000000000002E-5</v>
      </c>
      <c r="AP38" s="188">
        <f>opex_orig!$AL38</f>
        <v>3.1692626215953903E-5</v>
      </c>
      <c r="AQ38" s="188">
        <f>opex_orig!$AL38</f>
        <v>3.1692626215953903E-5</v>
      </c>
      <c r="AR38" s="188">
        <f>opex_orig!$AL38</f>
        <v>3.1692626215953903E-5</v>
      </c>
      <c r="AS38" s="188">
        <f>opex_orig!$AM38</f>
        <v>2.2795440304493499E-5</v>
      </c>
      <c r="AT38" s="188">
        <f>opex_orig!AN38</f>
        <v>4.46E-5</v>
      </c>
      <c r="AU38" s="188">
        <f>opex_orig!$AO38</f>
        <v>3.76943327412314E-5</v>
      </c>
      <c r="AV38" s="188">
        <f>opex_orig!$AO38</f>
        <v>3.76943327412314E-5</v>
      </c>
      <c r="AW38" s="188">
        <f>opex_orig!$AO38</f>
        <v>3.76943327412314E-5</v>
      </c>
      <c r="AX38" s="188">
        <f>opex_orig!$AP38</f>
        <v>4.46832039584569E-5</v>
      </c>
      <c r="AY38" s="188">
        <f>opex_orig!AQ38</f>
        <v>4.9599999999999999E-5</v>
      </c>
      <c r="AZ38" s="188">
        <f>opex_orig!AR38</f>
        <v>0</v>
      </c>
      <c r="BA38" s="188">
        <f>opex_orig!AS38</f>
        <v>5.5699999999999999E-5</v>
      </c>
      <c r="BB38" s="188">
        <f>opex_orig!AT38</f>
        <v>4.18E-5</v>
      </c>
      <c r="BC38" s="188">
        <f>opex_orig!AU38</f>
        <v>3.4999999999999997E-5</v>
      </c>
      <c r="BD38" s="188">
        <f>opex_orig!AV38</f>
        <v>9.6600000000000007E-6</v>
      </c>
      <c r="BE38" s="188">
        <f>opex_orig!AW38</f>
        <v>1.3677700000000001E-4</v>
      </c>
      <c r="BF38" s="188">
        <f>opex_orig!AX38</f>
        <v>0</v>
      </c>
      <c r="BG38" s="188">
        <f>opex_orig!AY38</f>
        <v>2.4600000000000002E-5</v>
      </c>
      <c r="BH38" s="188">
        <f>opex_orig!AZ38</f>
        <v>0</v>
      </c>
      <c r="BI38" s="188">
        <f>opex_orig!BA38</f>
        <v>4.1199999999999999E-5</v>
      </c>
      <c r="BJ38" s="188">
        <f>opex_orig!BB38</f>
        <v>2.2900000000000001E-5</v>
      </c>
      <c r="BK38" s="188">
        <f>opex_orig!BC38</f>
        <v>5.1600000000000001E-5</v>
      </c>
      <c r="BL38" s="188">
        <f>opex_orig!BD38</f>
        <v>8.4400000000000005E-5</v>
      </c>
      <c r="BM38" s="188">
        <f>opex_orig!BE38</f>
        <v>7.1400000000000001E-5</v>
      </c>
      <c r="BN38" s="188">
        <f>opex_orig!BF38</f>
        <v>6.9300000000000004E-5</v>
      </c>
      <c r="BO38" s="188">
        <f>opex_orig!BG38</f>
        <v>1.04694E-4</v>
      </c>
      <c r="BP38" s="188">
        <f>opex_orig!$BH38</f>
        <v>3.5790768720660702E-5</v>
      </c>
      <c r="BQ38" s="188">
        <f>opex_orig!$BH38</f>
        <v>3.5790768720660702E-5</v>
      </c>
      <c r="BR38" s="188">
        <f>opex_orig!BI38</f>
        <v>7.5699999999999997E-5</v>
      </c>
      <c r="BS38" s="188">
        <f>opex_orig!BJ38</f>
        <v>7.6199999999999995E-5</v>
      </c>
      <c r="BT38" s="188">
        <f>opex_orig!BK38</f>
        <v>5.0808400000000001E-4</v>
      </c>
      <c r="BU38" s="188">
        <f>opex_orig!BL38</f>
        <v>0</v>
      </c>
      <c r="BV38" s="27">
        <f>opex_orig!BM38</f>
        <v>3.6727187574824098E-5</v>
      </c>
      <c r="BW38" s="27">
        <f>opex_orig!BN38</f>
        <v>1.7451644867169099E-4</v>
      </c>
      <c r="BX38" s="27">
        <f>opex_orig!BO38</f>
        <v>1.54043643137606E-5</v>
      </c>
      <c r="BY38" s="27">
        <f>opex_orig!BP38</f>
        <v>1.20040039423257E-4</v>
      </c>
      <c r="BZ38" s="27">
        <f>opex_orig!BQ38</f>
        <v>2.2902680287970001E-5</v>
      </c>
      <c r="CA38" s="27">
        <f>opex_orig!BR38</f>
        <v>4.1234828645181098E-6</v>
      </c>
      <c r="CB38" s="27">
        <f>opex_orig!BS38</f>
        <v>5.8071222380606402E-5</v>
      </c>
      <c r="CC38" s="27">
        <f>opex_orig!BT38</f>
        <v>1.6975760208845699E-5</v>
      </c>
      <c r="CD38" s="27">
        <f>opex_orig!BU38</f>
        <v>5.5324437050663703E-6</v>
      </c>
      <c r="CE38" s="27">
        <f>opex_orig!BV38</f>
        <v>5.5324437050663796E-6</v>
      </c>
      <c r="CF38" s="27">
        <f>opex_orig!BW38</f>
        <v>3.2503939594610297E-5</v>
      </c>
      <c r="CG38" s="27">
        <f>opex_orig!BX38</f>
        <v>8.8661626827225003E-6</v>
      </c>
      <c r="CH38" s="27">
        <f>opex_orig!BY38</f>
        <v>1.80686762497684E-4</v>
      </c>
      <c r="CI38" s="27">
        <f>opex_orig!BZ38</f>
        <v>7.6799999999999997E-5</v>
      </c>
      <c r="CJ38" s="27">
        <f>opex_orig!CA38</f>
        <v>2.0800000000000001E-5</v>
      </c>
      <c r="CK38" s="27">
        <f>opex_orig!CB38</f>
        <v>1.49E-5</v>
      </c>
      <c r="CL38" s="27">
        <f>opex_orig!CC38</f>
        <v>1.7600000000000001E-5</v>
      </c>
      <c r="CM38" s="27">
        <f>opex_orig!CD38</f>
        <v>8.3700000000000002E-5</v>
      </c>
      <c r="CN38" s="27">
        <f>opex_orig!CE38</f>
        <v>2.2826300000000001E-4</v>
      </c>
      <c r="CO38" s="27">
        <f>opex_orig!CF38</f>
        <v>2.2500000000000001E-5</v>
      </c>
      <c r="CP38" s="27">
        <f>opex_orig!CG38</f>
        <v>5.8600000000000001E-5</v>
      </c>
    </row>
    <row r="39" spans="1:94" x14ac:dyDescent="0.25">
      <c r="A39" s="5" t="s">
        <v>97</v>
      </c>
      <c r="B39" s="2" t="s">
        <v>96</v>
      </c>
      <c r="C39" s="1" t="s">
        <v>327</v>
      </c>
      <c r="D39" s="188">
        <f>opex_orig!D39</f>
        <v>3.6170000000000001E-4</v>
      </c>
      <c r="E39" s="188">
        <f>opex_orig!E39</f>
        <v>8.5697099999999999E-4</v>
      </c>
      <c r="F39" s="188">
        <f>opex_orig!F39</f>
        <v>5.6755299999999998E-3</v>
      </c>
      <c r="G39" s="188">
        <f>opex_orig!G39</f>
        <v>3.9115920000000002E-3</v>
      </c>
      <c r="H39" s="188">
        <f>opex_orig!H39</f>
        <v>1.1799999999999999E-6</v>
      </c>
      <c r="I39" s="188">
        <f>opex_orig!I39</f>
        <v>4.3712200000000002E-4</v>
      </c>
      <c r="J39" s="188">
        <f>opex_orig!J39</f>
        <v>1.8294606000000001E-2</v>
      </c>
      <c r="K39" s="188">
        <f>opex_orig!K39</f>
        <v>1.81E-6</v>
      </c>
      <c r="L39" s="188">
        <f>opex_orig!L39</f>
        <v>6.9846020000000003E-3</v>
      </c>
      <c r="M39" s="188">
        <f>opex_orig!M39</f>
        <v>6.2554799999999997E-4</v>
      </c>
      <c r="N39" s="188">
        <f>opex_orig!N39</f>
        <v>6.8300230000000002E-3</v>
      </c>
      <c r="O39" s="188">
        <f>opex_orig!O39</f>
        <v>7.0429100000000001E-4</v>
      </c>
      <c r="P39" s="188">
        <f>opex_orig!P39</f>
        <v>1.66286E-4</v>
      </c>
      <c r="Q39" s="188">
        <f>opex_orig!Q39</f>
        <v>1.9952199999999999E-4</v>
      </c>
      <c r="R39" s="188">
        <f>opex_orig!R39</f>
        <v>9.0912899999999995E-4</v>
      </c>
      <c r="S39" s="188">
        <f>opex_orig!S39</f>
        <v>1.24E-5</v>
      </c>
      <c r="T39" s="188">
        <f>opex_orig!T39</f>
        <v>1.7E-5</v>
      </c>
      <c r="U39" s="188">
        <f>opex_orig!U39</f>
        <v>1.2E-5</v>
      </c>
      <c r="V39" s="188">
        <f>opex_orig!V39</f>
        <v>1.33E-5</v>
      </c>
      <c r="W39" s="188">
        <f>opex_orig!W39</f>
        <v>1.0499999999999999E-5</v>
      </c>
      <c r="X39" s="188">
        <f>opex_orig!X39</f>
        <v>1.7127099999999999E-4</v>
      </c>
      <c r="Y39" s="188">
        <f>opex_orig!Y39</f>
        <v>5.4500000000000003E-6</v>
      </c>
      <c r="Z39" s="188">
        <f>opex_orig!Z39</f>
        <v>6.5500000000000006E-5</v>
      </c>
      <c r="AA39" s="188">
        <f>opex_orig!AA39</f>
        <v>8.3399999999999998E-6</v>
      </c>
      <c r="AB39" s="188">
        <f>opex_orig!$AB39</f>
        <v>4.70373126065955E-5</v>
      </c>
      <c r="AC39" s="188">
        <f>opex_orig!$AB39</f>
        <v>4.70373126065955E-5</v>
      </c>
      <c r="AD39" s="188">
        <f>opex_orig!$AB39</f>
        <v>4.70373126065955E-5</v>
      </c>
      <c r="AE39" s="188">
        <f>opex_orig!$AC39</f>
        <v>1.02657340176088E-4</v>
      </c>
      <c r="AF39" s="188">
        <f>opex_orig!$AD39</f>
        <v>9.51510827239466E-5</v>
      </c>
      <c r="AG39" s="188">
        <f>opex_orig!$AD39</f>
        <v>9.51510827239466E-5</v>
      </c>
      <c r="AH39" s="188">
        <f>opex_orig!$AD39</f>
        <v>9.51510827239466E-5</v>
      </c>
      <c r="AI39" s="188">
        <f>opex_orig!AE39</f>
        <v>1.0575E-4</v>
      </c>
      <c r="AJ39" s="188">
        <f>opex_orig!AF39</f>
        <v>7.2299999999999996E-5</v>
      </c>
      <c r="AK39" s="188">
        <f>opex_orig!AG39</f>
        <v>1.8899999999999999E-5</v>
      </c>
      <c r="AL39" s="188">
        <f>opex_orig!AH39</f>
        <v>2.7399999999999999E-5</v>
      </c>
      <c r="AM39" s="188">
        <f>opex_orig!AI39</f>
        <v>1.7200000000000001E-5</v>
      </c>
      <c r="AN39" s="188">
        <f>opex_orig!AJ39</f>
        <v>2.8099999999999999E-5</v>
      </c>
      <c r="AO39" s="188">
        <f>opex_orig!AK39</f>
        <v>1.8700000000000001E-5</v>
      </c>
      <c r="AP39" s="188">
        <f>opex_orig!$AL39</f>
        <v>1.1227597519042201E-5</v>
      </c>
      <c r="AQ39" s="188">
        <f>opex_orig!$AL39</f>
        <v>1.1227597519042201E-5</v>
      </c>
      <c r="AR39" s="188">
        <f>opex_orig!$AL39</f>
        <v>1.1227597519042201E-5</v>
      </c>
      <c r="AS39" s="188">
        <f>opex_orig!$AM39</f>
        <v>1.39399967884562E-5</v>
      </c>
      <c r="AT39" s="188">
        <f>opex_orig!AN39</f>
        <v>1.7900000000000001E-5</v>
      </c>
      <c r="AU39" s="188">
        <f>opex_orig!$AO39</f>
        <v>1.93281512225959E-5</v>
      </c>
      <c r="AV39" s="188">
        <f>opex_orig!$AO39</f>
        <v>1.93281512225959E-5</v>
      </c>
      <c r="AW39" s="188">
        <f>opex_orig!$AO39</f>
        <v>1.93281512225959E-5</v>
      </c>
      <c r="AX39" s="188">
        <f>opex_orig!$AP39</f>
        <v>9.8027047196092099E-6</v>
      </c>
      <c r="AY39" s="188">
        <f>opex_orig!AQ39</f>
        <v>1.26E-5</v>
      </c>
      <c r="AZ39" s="188">
        <f>opex_orig!AR39</f>
        <v>0</v>
      </c>
      <c r="BA39" s="188">
        <f>opex_orig!AS39</f>
        <v>1.26E-5</v>
      </c>
      <c r="BB39" s="188">
        <f>opex_orig!AT39</f>
        <v>9.2399999999999996E-6</v>
      </c>
      <c r="BC39" s="188">
        <f>opex_orig!AU39</f>
        <v>1.13E-5</v>
      </c>
      <c r="BD39" s="188">
        <f>opex_orig!AV39</f>
        <v>7.2400000000000001E-6</v>
      </c>
      <c r="BE39" s="188">
        <f>opex_orig!AW39</f>
        <v>2.34E-5</v>
      </c>
      <c r="BF39" s="188">
        <f>opex_orig!AX39</f>
        <v>0</v>
      </c>
      <c r="BG39" s="188">
        <f>opex_orig!AY39</f>
        <v>9.7799999999999995E-6</v>
      </c>
      <c r="BH39" s="188">
        <f>opex_orig!AZ39</f>
        <v>0</v>
      </c>
      <c r="BI39" s="188">
        <f>opex_orig!BA39</f>
        <v>3.1699999999999998E-5</v>
      </c>
      <c r="BJ39" s="188">
        <f>opex_orig!BB39</f>
        <v>1.4800000000000001E-5</v>
      </c>
      <c r="BK39" s="188">
        <f>opex_orig!BC39</f>
        <v>1.2099999999999999E-5</v>
      </c>
      <c r="BL39" s="188">
        <f>opex_orig!BD39</f>
        <v>7.2000000000000002E-5</v>
      </c>
      <c r="BM39" s="188">
        <f>opex_orig!BE39</f>
        <v>1.8600000000000001E-5</v>
      </c>
      <c r="BN39" s="188">
        <f>opex_orig!BF39</f>
        <v>3.1699999999999998E-5</v>
      </c>
      <c r="BO39" s="188">
        <f>opex_orig!BG39</f>
        <v>2.9348599999999997E-4</v>
      </c>
      <c r="BP39" s="188">
        <f>opex_orig!$BH39</f>
        <v>1.9730672957058001E-5</v>
      </c>
      <c r="BQ39" s="188">
        <f>opex_orig!$BH39</f>
        <v>1.9730672957058001E-5</v>
      </c>
      <c r="BR39" s="188">
        <f>opex_orig!BI39</f>
        <v>2.5599999999999999E-5</v>
      </c>
      <c r="BS39" s="188">
        <f>opex_orig!BJ39</f>
        <v>2.2099999999999998E-5</v>
      </c>
      <c r="BT39" s="188">
        <f>opex_orig!BK39</f>
        <v>7.2299999999999996E-5</v>
      </c>
      <c r="BU39" s="188">
        <f>opex_orig!BL39</f>
        <v>0</v>
      </c>
      <c r="BV39" s="27">
        <f>opex_orig!BM39</f>
        <v>1.79352521212262E-5</v>
      </c>
      <c r="BW39" s="27">
        <f>opex_orig!BN39</f>
        <v>3.7693846861225297E-5</v>
      </c>
      <c r="BX39" s="27">
        <f>opex_orig!BO39</f>
        <v>8.5319930502933993E-6</v>
      </c>
      <c r="BY39" s="27">
        <f>opex_orig!BP39</f>
        <v>1.9243851426679501E-5</v>
      </c>
      <c r="BZ39" s="27">
        <f>opex_orig!BQ39</f>
        <v>5.9608516997033797E-6</v>
      </c>
      <c r="CA39" s="27">
        <f>opex_orig!BR39</f>
        <v>1.40587549953676E-6</v>
      </c>
      <c r="CB39" s="27">
        <f>opex_orig!BS39</f>
        <v>2.90409164639782E-5</v>
      </c>
      <c r="CC39" s="27">
        <f>opex_orig!BT39</f>
        <v>3.4122546516434001E-6</v>
      </c>
      <c r="CD39" s="27">
        <f>opex_orig!BU39</f>
        <v>2.0081437339065201E-6</v>
      </c>
      <c r="CE39" s="27">
        <f>opex_orig!BV39</f>
        <v>2.0081437339065298E-6</v>
      </c>
      <c r="CF39" s="27">
        <f>opex_orig!BW39</f>
        <v>1.23511541698636E-5</v>
      </c>
      <c r="CG39" s="27">
        <f>opex_orig!BX39</f>
        <v>6.3962466752788702E-6</v>
      </c>
      <c r="CH39" s="27">
        <f>opex_orig!BY39</f>
        <v>5.2457164511223203E-5</v>
      </c>
      <c r="CI39" s="27">
        <f>opex_orig!BZ39</f>
        <v>1.84E-5</v>
      </c>
      <c r="CJ39" s="27">
        <f>opex_orig!CA39</f>
        <v>9.2799999999999992E-6</v>
      </c>
      <c r="CK39" s="27">
        <f>opex_orig!CB39</f>
        <v>1.22E-5</v>
      </c>
      <c r="CL39" s="27">
        <f>opex_orig!CC39</f>
        <v>4.9599999999999999E-6</v>
      </c>
      <c r="CM39" s="27">
        <f>opex_orig!CD39</f>
        <v>4.3699999999999998E-5</v>
      </c>
      <c r="CN39" s="27">
        <f>opex_orig!CE39</f>
        <v>1.31E-5</v>
      </c>
      <c r="CO39" s="27">
        <f>opex_orig!CF39</f>
        <v>8.9199999999999993E-6</v>
      </c>
      <c r="CP39" s="27">
        <f>opex_orig!CG39</f>
        <v>1.13E-5</v>
      </c>
    </row>
    <row r="40" spans="1:94" x14ac:dyDescent="0.25">
      <c r="A40" s="5" t="s">
        <v>99</v>
      </c>
      <c r="B40" s="2" t="s">
        <v>98</v>
      </c>
      <c r="C40" s="1" t="s">
        <v>327</v>
      </c>
      <c r="D40" s="188">
        <f>opex_orig!D40</f>
        <v>2.5925299999999998E-4</v>
      </c>
      <c r="E40" s="188">
        <f>opex_orig!E40</f>
        <v>4.5013600000000001E-4</v>
      </c>
      <c r="F40" s="188">
        <f>opex_orig!F40</f>
        <v>2.5941430000000001E-3</v>
      </c>
      <c r="G40" s="188">
        <f>opex_orig!G40</f>
        <v>5.7899999999999998E-5</v>
      </c>
      <c r="H40" s="188">
        <f>opex_orig!H40</f>
        <v>4.2899999999999999E-5</v>
      </c>
      <c r="I40" s="188">
        <f>opex_orig!I40</f>
        <v>3.04715E-4</v>
      </c>
      <c r="J40" s="188">
        <f>opex_orig!J40</f>
        <v>2.886577E-3</v>
      </c>
      <c r="K40" s="188">
        <f>opex_orig!K40</f>
        <v>9.2100000000000003E-5</v>
      </c>
      <c r="L40" s="188">
        <f>opex_orig!L40</f>
        <v>1.2556774999999999E-2</v>
      </c>
      <c r="M40" s="188">
        <f>opex_orig!M40</f>
        <v>6.6267699999999997E-4</v>
      </c>
      <c r="N40" s="188">
        <f>opex_orig!N40</f>
        <v>1.758349E-3</v>
      </c>
      <c r="O40" s="188">
        <f>opex_orig!O40</f>
        <v>5.82933E-4</v>
      </c>
      <c r="P40" s="188">
        <f>opex_orig!P40</f>
        <v>2.1138E-4</v>
      </c>
      <c r="Q40" s="188">
        <f>opex_orig!Q40</f>
        <v>2.4814200000000002E-4</v>
      </c>
      <c r="R40" s="188">
        <f>opex_orig!R40</f>
        <v>3.5800799999999999E-4</v>
      </c>
      <c r="S40" s="188">
        <f>opex_orig!S40</f>
        <v>8.9099999999999997E-5</v>
      </c>
      <c r="T40" s="188">
        <f>opex_orig!T40</f>
        <v>1.8557799999999999E-4</v>
      </c>
      <c r="U40" s="188">
        <f>opex_orig!U40</f>
        <v>1.17656E-4</v>
      </c>
      <c r="V40" s="188">
        <f>opex_orig!V40</f>
        <v>1.44089E-4</v>
      </c>
      <c r="W40" s="188">
        <f>opex_orig!W40</f>
        <v>7.0300000000000001E-5</v>
      </c>
      <c r="X40" s="188">
        <f>opex_orig!X40</f>
        <v>1.0712799999999999E-4</v>
      </c>
      <c r="Y40" s="188">
        <f>opex_orig!Y40</f>
        <v>8.8999999999999995E-5</v>
      </c>
      <c r="Z40" s="188">
        <f>opex_orig!Z40</f>
        <v>7.1500000000000003E-5</v>
      </c>
      <c r="AA40" s="188">
        <f>opex_orig!AA40</f>
        <v>2.78545E-4</v>
      </c>
      <c r="AB40" s="188">
        <f>opex_orig!$AB40</f>
        <v>2.7751497386964798E-4</v>
      </c>
      <c r="AC40" s="188">
        <f>opex_orig!$AB40</f>
        <v>2.7751497386964798E-4</v>
      </c>
      <c r="AD40" s="188">
        <f>opex_orig!$AB40</f>
        <v>2.7751497386964798E-4</v>
      </c>
      <c r="AE40" s="188">
        <f>opex_orig!$AC40</f>
        <v>4.8848037080251598E-4</v>
      </c>
      <c r="AF40" s="188">
        <f>opex_orig!$AD40</f>
        <v>1.5520945376436599E-4</v>
      </c>
      <c r="AG40" s="188">
        <f>opex_orig!$AD40</f>
        <v>1.5520945376436599E-4</v>
      </c>
      <c r="AH40" s="188">
        <f>opex_orig!$AD40</f>
        <v>1.5520945376436599E-4</v>
      </c>
      <c r="AI40" s="188">
        <f>opex_orig!AE40</f>
        <v>1.22929E-4</v>
      </c>
      <c r="AJ40" s="188">
        <f>opex_orig!AF40</f>
        <v>5.8723499999999997E-4</v>
      </c>
      <c r="AK40" s="188">
        <f>opex_orig!AG40</f>
        <v>2.2031000000000001E-4</v>
      </c>
      <c r="AL40" s="188">
        <f>opex_orig!AH40</f>
        <v>5.8999999999999998E-5</v>
      </c>
      <c r="AM40" s="188">
        <f>opex_orig!AI40</f>
        <v>1.3101500000000001E-4</v>
      </c>
      <c r="AN40" s="188">
        <f>opex_orig!AJ40</f>
        <v>6.3299999999999994E-5</v>
      </c>
      <c r="AO40" s="188">
        <f>opex_orig!AK40</f>
        <v>1.51411E-4</v>
      </c>
      <c r="AP40" s="188">
        <f>opex_orig!$AL40</f>
        <v>7.7237790407528605E-5</v>
      </c>
      <c r="AQ40" s="188">
        <f>opex_orig!$AL40</f>
        <v>7.7237790407528605E-5</v>
      </c>
      <c r="AR40" s="188">
        <f>opex_orig!$AL40</f>
        <v>7.7237790407528605E-5</v>
      </c>
      <c r="AS40" s="188">
        <f>opex_orig!$AM40</f>
        <v>1.2285847097019399E-4</v>
      </c>
      <c r="AT40" s="188">
        <f>opex_orig!AN40</f>
        <v>1.2548299999999999E-4</v>
      </c>
      <c r="AU40" s="188">
        <f>opex_orig!$AO40</f>
        <v>5.6446478323691197E-5</v>
      </c>
      <c r="AV40" s="188">
        <f>opex_orig!$AO40</f>
        <v>5.6446478323691197E-5</v>
      </c>
      <c r="AW40" s="188">
        <f>opex_orig!$AO40</f>
        <v>5.6446478323691197E-5</v>
      </c>
      <c r="AX40" s="188">
        <f>opex_orig!$AP40</f>
        <v>8.8379073486974998E-5</v>
      </c>
      <c r="AY40" s="188">
        <f>opex_orig!AQ40</f>
        <v>1.1320299999999999E-4</v>
      </c>
      <c r="AZ40" s="188">
        <f>opex_orig!AR40</f>
        <v>0</v>
      </c>
      <c r="BA40" s="188">
        <f>opex_orig!AS40</f>
        <v>1.22531E-4</v>
      </c>
      <c r="BB40" s="188">
        <f>opex_orig!AT40</f>
        <v>1.06313E-4</v>
      </c>
      <c r="BC40" s="188">
        <f>opex_orig!AU40</f>
        <v>5.0800000000000002E-5</v>
      </c>
      <c r="BD40" s="188">
        <f>opex_orig!AV40</f>
        <v>5.1E-5</v>
      </c>
      <c r="BE40" s="188">
        <f>opex_orig!AW40</f>
        <v>8.6299999999999997E-5</v>
      </c>
      <c r="BF40" s="188">
        <f>opex_orig!AX40</f>
        <v>0</v>
      </c>
      <c r="BG40" s="188">
        <f>opex_orig!AY40</f>
        <v>2.7756699999999999E-4</v>
      </c>
      <c r="BH40" s="188">
        <f>opex_orig!AZ40</f>
        <v>0</v>
      </c>
      <c r="BI40" s="188">
        <f>opex_orig!BA40</f>
        <v>5.3699999999999997E-5</v>
      </c>
      <c r="BJ40" s="188">
        <f>opex_orig!BB40</f>
        <v>4.9799999999999998E-5</v>
      </c>
      <c r="BK40" s="188">
        <f>opex_orig!BC40</f>
        <v>7.4200000000000001E-5</v>
      </c>
      <c r="BL40" s="188">
        <f>opex_orig!BD40</f>
        <v>7.4900000000000005E-5</v>
      </c>
      <c r="BM40" s="188">
        <f>opex_orig!BE40</f>
        <v>3.6399999999999997E-5</v>
      </c>
      <c r="BN40" s="188">
        <f>opex_orig!BF40</f>
        <v>4.9299999999999999E-5</v>
      </c>
      <c r="BO40" s="188">
        <f>opex_orig!BG40</f>
        <v>1.59679E-4</v>
      </c>
      <c r="BP40" s="188">
        <f>opex_orig!$BH40</f>
        <v>7.6049224855771606E-5</v>
      </c>
      <c r="BQ40" s="188">
        <f>opex_orig!$BH40</f>
        <v>7.6049224855771606E-5</v>
      </c>
      <c r="BR40" s="188">
        <f>opex_orig!BI40</f>
        <v>5.0599999999999997E-5</v>
      </c>
      <c r="BS40" s="188">
        <f>opex_orig!BJ40</f>
        <v>7.9300000000000003E-5</v>
      </c>
      <c r="BT40" s="188">
        <f>opex_orig!BK40</f>
        <v>1.83291E-4</v>
      </c>
      <c r="BU40" s="188">
        <f>opex_orig!BL40</f>
        <v>0</v>
      </c>
      <c r="BV40" s="27">
        <f>opex_orig!BM40</f>
        <v>6.8440871639733293E-5</v>
      </c>
      <c r="BW40" s="27">
        <f>opex_orig!BN40</f>
        <v>1.4652922641508501E-4</v>
      </c>
      <c r="BX40" s="27">
        <f>opex_orig!BO40</f>
        <v>2.1145171197583801E-5</v>
      </c>
      <c r="BY40" s="27">
        <f>opex_orig!BP40</f>
        <v>5.7340147095378998E-5</v>
      </c>
      <c r="BZ40" s="27">
        <f>opex_orig!BQ40</f>
        <v>8.9972418089612205E-5</v>
      </c>
      <c r="CA40" s="27">
        <f>opex_orig!BR40</f>
        <v>8.4129819216585297E-7</v>
      </c>
      <c r="CB40" s="27">
        <f>opex_orig!BS40</f>
        <v>3.4743575853558601E-4</v>
      </c>
      <c r="CC40" s="27">
        <f>opex_orig!BT40</f>
        <v>1.8054538723256999E-6</v>
      </c>
      <c r="CD40" s="27">
        <f>opex_orig!BU40</f>
        <v>3.7189795315361798E-5</v>
      </c>
      <c r="CE40" s="27">
        <f>opex_orig!BV40</f>
        <v>3.71897953153619E-5</v>
      </c>
      <c r="CF40" s="27">
        <f>opex_orig!BW40</f>
        <v>9.0611237171247204E-6</v>
      </c>
      <c r="CG40" s="27">
        <f>opex_orig!BX40</f>
        <v>1.7941261123334099E-6</v>
      </c>
      <c r="CH40" s="27">
        <f>opex_orig!BY40</f>
        <v>3.7453143762885699E-5</v>
      </c>
      <c r="CI40" s="27">
        <f>opex_orig!BZ40</f>
        <v>7.47E-5</v>
      </c>
      <c r="CJ40" s="27">
        <f>opex_orig!CA40</f>
        <v>5.02E-5</v>
      </c>
      <c r="CK40" s="27">
        <f>opex_orig!CB40</f>
        <v>4.1900000000000002E-5</v>
      </c>
      <c r="CL40" s="27">
        <f>opex_orig!CC40</f>
        <v>4.8999999999999998E-5</v>
      </c>
      <c r="CM40" s="27">
        <f>opex_orig!CD40</f>
        <v>1.4798E-4</v>
      </c>
      <c r="CN40" s="27">
        <f>opex_orig!CE40</f>
        <v>9.4500000000000007E-5</v>
      </c>
      <c r="CO40" s="27">
        <f>opex_orig!CF40</f>
        <v>4.1399999999999997E-5</v>
      </c>
      <c r="CP40" s="27">
        <f>opex_orig!CG40</f>
        <v>3.68E-5</v>
      </c>
    </row>
    <row r="41" spans="1:94" x14ac:dyDescent="0.25">
      <c r="A41" s="5" t="s">
        <v>101</v>
      </c>
      <c r="B41" s="2" t="s">
        <v>100</v>
      </c>
      <c r="C41" s="1" t="s">
        <v>327</v>
      </c>
      <c r="D41" s="188">
        <f>opex_orig!D41</f>
        <v>5.8129000000000004E-4</v>
      </c>
      <c r="E41" s="188">
        <f>opex_orig!E41</f>
        <v>7.2517899999999995E-4</v>
      </c>
      <c r="F41" s="188">
        <f>opex_orig!F41</f>
        <v>4.1791069999999996E-3</v>
      </c>
      <c r="G41" s="188">
        <f>opex_orig!G41</f>
        <v>3.12947E-4</v>
      </c>
      <c r="H41" s="188">
        <f>opex_orig!H41</f>
        <v>5.5899999999999997E-5</v>
      </c>
      <c r="I41" s="188">
        <f>opex_orig!I41</f>
        <v>0.14339216299999999</v>
      </c>
      <c r="J41" s="188">
        <f>opex_orig!J41</f>
        <v>2.3368219999999999E-2</v>
      </c>
      <c r="K41" s="188">
        <f>opex_orig!K41</f>
        <v>1.1943300000000001E-4</v>
      </c>
      <c r="L41" s="188">
        <f>opex_orig!L41</f>
        <v>2.2991685000000001E-2</v>
      </c>
      <c r="M41" s="188">
        <f>opex_orig!M41</f>
        <v>2.100345E-3</v>
      </c>
      <c r="N41" s="188">
        <f>opex_orig!N41</f>
        <v>1.0416409999999999E-2</v>
      </c>
      <c r="O41" s="188">
        <f>opex_orig!O41</f>
        <v>1.7608704999999999E-2</v>
      </c>
      <c r="P41" s="188">
        <f>opex_orig!P41</f>
        <v>3.8428239999999999E-3</v>
      </c>
      <c r="Q41" s="188">
        <f>opex_orig!Q41</f>
        <v>2.7951400000000002E-4</v>
      </c>
      <c r="R41" s="188">
        <f>opex_orig!R41</f>
        <v>3.2532999999999998E-4</v>
      </c>
      <c r="S41" s="188">
        <f>opex_orig!S41</f>
        <v>1.5049900000000001E-4</v>
      </c>
      <c r="T41" s="188">
        <f>opex_orig!T41</f>
        <v>2.6147399999999998E-4</v>
      </c>
      <c r="U41" s="188">
        <f>opex_orig!U41</f>
        <v>2.2167199999999999E-4</v>
      </c>
      <c r="V41" s="188">
        <f>opex_orig!V41</f>
        <v>2.6475100000000003E-4</v>
      </c>
      <c r="W41" s="188">
        <f>opex_orig!W41</f>
        <v>1.2692700000000001E-4</v>
      </c>
      <c r="X41" s="188">
        <f>opex_orig!X41</f>
        <v>1.87014E-4</v>
      </c>
      <c r="Y41" s="188">
        <f>opex_orig!Y41</f>
        <v>1.2835200000000001E-4</v>
      </c>
      <c r="Z41" s="188">
        <f>opex_orig!Z41</f>
        <v>1.6718700000000001E-4</v>
      </c>
      <c r="AA41" s="188">
        <f>opex_orig!AA41</f>
        <v>4.0565099999999998E-4</v>
      </c>
      <c r="AB41" s="188">
        <f>opex_orig!$AB41</f>
        <v>3.1692935562888298E-4</v>
      </c>
      <c r="AC41" s="188">
        <f>opex_orig!$AB41</f>
        <v>3.1692935562888298E-4</v>
      </c>
      <c r="AD41" s="188">
        <f>opex_orig!$AB41</f>
        <v>3.1692935562888298E-4</v>
      </c>
      <c r="AE41" s="188">
        <f>opex_orig!$AC41</f>
        <v>8.1549068616111598E-4</v>
      </c>
      <c r="AF41" s="188">
        <f>opex_orig!$AD41</f>
        <v>3.1174778824754598E-4</v>
      </c>
      <c r="AG41" s="188">
        <f>opex_orig!$AD41</f>
        <v>3.1174778824754598E-4</v>
      </c>
      <c r="AH41" s="188">
        <f>opex_orig!$AD41</f>
        <v>3.1174778824754598E-4</v>
      </c>
      <c r="AI41" s="188">
        <f>opex_orig!AE41</f>
        <v>2.5804499999999999E-4</v>
      </c>
      <c r="AJ41" s="188">
        <f>opex_orig!AF41</f>
        <v>7.17243E-4</v>
      </c>
      <c r="AK41" s="188">
        <f>opex_orig!AG41</f>
        <v>2.9427199999999999E-4</v>
      </c>
      <c r="AL41" s="188">
        <f>opex_orig!AH41</f>
        <v>1.06469E-4</v>
      </c>
      <c r="AM41" s="188">
        <f>opex_orig!AI41</f>
        <v>2.0567099999999999E-4</v>
      </c>
      <c r="AN41" s="188">
        <f>opex_orig!AJ41</f>
        <v>1.0932100000000001E-4</v>
      </c>
      <c r="AO41" s="188">
        <f>opex_orig!AK41</f>
        <v>2.21709E-4</v>
      </c>
      <c r="AP41" s="188">
        <f>opex_orig!$AL41</f>
        <v>1.4121644197346401E-4</v>
      </c>
      <c r="AQ41" s="188">
        <f>opex_orig!$AL41</f>
        <v>1.4121644197346401E-4</v>
      </c>
      <c r="AR41" s="188">
        <f>opex_orig!$AL41</f>
        <v>1.4121644197346401E-4</v>
      </c>
      <c r="AS41" s="188">
        <f>opex_orig!$AM41</f>
        <v>1.91634005869707E-4</v>
      </c>
      <c r="AT41" s="188">
        <f>opex_orig!AN41</f>
        <v>2.1007E-4</v>
      </c>
      <c r="AU41" s="188">
        <f>opex_orig!$AO41</f>
        <v>8.5311345708781003E-5</v>
      </c>
      <c r="AV41" s="188">
        <f>opex_orig!$AO41</f>
        <v>8.5311345708781003E-5</v>
      </c>
      <c r="AW41" s="188">
        <f>opex_orig!$AO41</f>
        <v>8.5311345708781003E-5</v>
      </c>
      <c r="AX41" s="188">
        <f>opex_orig!$AP41</f>
        <v>1.3062275479023701E-4</v>
      </c>
      <c r="AY41" s="188">
        <f>opex_orig!AQ41</f>
        <v>1.61989E-4</v>
      </c>
      <c r="AZ41" s="188">
        <f>opex_orig!AR41</f>
        <v>0</v>
      </c>
      <c r="BA41" s="188">
        <f>opex_orig!AS41</f>
        <v>1.58111E-4</v>
      </c>
      <c r="BB41" s="188">
        <f>opex_orig!AT41</f>
        <v>1.33886E-4</v>
      </c>
      <c r="BC41" s="188">
        <f>opex_orig!AU41</f>
        <v>6.7799999999999995E-5</v>
      </c>
      <c r="BD41" s="188">
        <f>opex_orig!AV41</f>
        <v>6.5699999999999998E-5</v>
      </c>
      <c r="BE41" s="188">
        <f>opex_orig!AW41</f>
        <v>1.80442E-4</v>
      </c>
      <c r="BF41" s="188">
        <f>opex_orig!AX41</f>
        <v>0</v>
      </c>
      <c r="BG41" s="188">
        <f>opex_orig!AY41</f>
        <v>3.55361E-4</v>
      </c>
      <c r="BH41" s="188">
        <f>opex_orig!AZ41</f>
        <v>0</v>
      </c>
      <c r="BI41" s="188">
        <f>opex_orig!BA41</f>
        <v>9.5199999999999997E-5</v>
      </c>
      <c r="BJ41" s="188">
        <f>opex_orig!BB41</f>
        <v>9.8900000000000005E-5</v>
      </c>
      <c r="BK41" s="188">
        <f>opex_orig!BC41</f>
        <v>1.5757299999999999E-4</v>
      </c>
      <c r="BL41" s="188">
        <f>opex_orig!BD41</f>
        <v>1.92769E-4</v>
      </c>
      <c r="BM41" s="188">
        <f>opex_orig!BE41</f>
        <v>8.6899999999999998E-5</v>
      </c>
      <c r="BN41" s="188">
        <f>opex_orig!BF41</f>
        <v>7.6199999999999995E-5</v>
      </c>
      <c r="BO41" s="188">
        <f>opex_orig!BG41</f>
        <v>3.8033700000000001E-4</v>
      </c>
      <c r="BP41" s="188">
        <f>opex_orig!$BH41</f>
        <v>1.2823655170626601E-4</v>
      </c>
      <c r="BQ41" s="188">
        <f>opex_orig!$BH41</f>
        <v>1.2823655170626601E-4</v>
      </c>
      <c r="BR41" s="188">
        <f>opex_orig!BI41</f>
        <v>9.7499999999999998E-5</v>
      </c>
      <c r="BS41" s="188">
        <f>opex_orig!BJ41</f>
        <v>2.0754899999999999E-4</v>
      </c>
      <c r="BT41" s="188">
        <f>opex_orig!BK41</f>
        <v>2.0781200000000001E-4</v>
      </c>
      <c r="BU41" s="188">
        <f>opex_orig!BL41</f>
        <v>0</v>
      </c>
      <c r="BV41" s="27">
        <f>opex_orig!BM41</f>
        <v>1.3893226498499901E-4</v>
      </c>
      <c r="BW41" s="27">
        <f>opex_orig!BN41</f>
        <v>2.6383059879564398E-4</v>
      </c>
      <c r="BX41" s="27">
        <f>opex_orig!BO41</f>
        <v>4.8987722006800101E-5</v>
      </c>
      <c r="BY41" s="27">
        <f>opex_orig!BP41</f>
        <v>1.0034361077220701E-4</v>
      </c>
      <c r="BZ41" s="27">
        <f>opex_orig!BQ41</f>
        <v>1.34046930234914E-4</v>
      </c>
      <c r="CA41" s="27">
        <f>opex_orig!BR41</f>
        <v>6.9661816290604702E-6</v>
      </c>
      <c r="CB41" s="27">
        <f>opex_orig!BS41</f>
        <v>4.5202881296952898E-4</v>
      </c>
      <c r="CC41" s="27">
        <f>opex_orig!BT41</f>
        <v>2.70423030055878E-5</v>
      </c>
      <c r="CD41" s="27">
        <f>opex_orig!BU41</f>
        <v>7.4987050592248305E-5</v>
      </c>
      <c r="CE41" s="27">
        <f>opex_orig!BV41</f>
        <v>7.49870505922484E-5</v>
      </c>
      <c r="CF41" s="27">
        <f>opex_orig!BW41</f>
        <v>1.05957784442496E-4</v>
      </c>
      <c r="CG41" s="27">
        <f>opex_orig!BX41</f>
        <v>2.0366794157958898E-6</v>
      </c>
      <c r="CH41" s="27">
        <f>opex_orig!BY41</f>
        <v>2.1201621360302599E-5</v>
      </c>
      <c r="CI41" s="27">
        <f>opex_orig!BZ41</f>
        <v>1.4179199999999999E-4</v>
      </c>
      <c r="CJ41" s="27">
        <f>opex_orig!CA41</f>
        <v>1.21371E-4</v>
      </c>
      <c r="CK41" s="27">
        <f>opex_orig!CB41</f>
        <v>1.06418E-4</v>
      </c>
      <c r="CL41" s="27">
        <f>opex_orig!CC41</f>
        <v>1.7729900000000001E-4</v>
      </c>
      <c r="CM41" s="27">
        <f>opex_orig!CD41</f>
        <v>2.3749400000000001E-4</v>
      </c>
      <c r="CN41" s="27">
        <f>opex_orig!CE41</f>
        <v>2.57877E-4</v>
      </c>
      <c r="CO41" s="27">
        <f>opex_orig!CF41</f>
        <v>1.98965E-4</v>
      </c>
      <c r="CP41" s="27">
        <f>opex_orig!CG41</f>
        <v>8.6899999999999998E-5</v>
      </c>
    </row>
    <row r="42" spans="1:94" x14ac:dyDescent="0.25">
      <c r="A42" s="5" t="s">
        <v>103</v>
      </c>
      <c r="B42" s="2" t="s">
        <v>102</v>
      </c>
      <c r="C42" s="1" t="s">
        <v>327</v>
      </c>
      <c r="D42" s="188">
        <f>opex_orig!D42</f>
        <v>1.22E-5</v>
      </c>
      <c r="E42" s="188">
        <f>opex_orig!E42</f>
        <v>2.76E-5</v>
      </c>
      <c r="F42" s="188">
        <f>opex_orig!F42</f>
        <v>1.25043E-4</v>
      </c>
      <c r="G42" s="188">
        <f>opex_orig!G42</f>
        <v>1.95E-6</v>
      </c>
      <c r="H42" s="188">
        <f>opex_orig!H42</f>
        <v>7.0100000000000004E-7</v>
      </c>
      <c r="I42" s="188">
        <f>opex_orig!I42</f>
        <v>1.5299999999999999E-5</v>
      </c>
      <c r="J42" s="188">
        <f>opex_orig!J42</f>
        <v>1.4191779999999999E-2</v>
      </c>
      <c r="K42" s="188">
        <f>opex_orig!K42</f>
        <v>7.0299999999999998E-7</v>
      </c>
      <c r="L42" s="188">
        <f>opex_orig!L42</f>
        <v>3.310534E-3</v>
      </c>
      <c r="M42" s="188">
        <f>opex_orig!M42</f>
        <v>1.8499999999999999E-5</v>
      </c>
      <c r="N42" s="188">
        <f>opex_orig!N42</f>
        <v>9.7646600000000005E-4</v>
      </c>
      <c r="O42" s="188">
        <f>opex_orig!O42</f>
        <v>2.7500000000000001E-5</v>
      </c>
      <c r="P42" s="188">
        <f>opex_orig!P42</f>
        <v>2.6800000000000002E-6</v>
      </c>
      <c r="Q42" s="188">
        <f>opex_orig!Q42</f>
        <v>5.0699999999999997E-6</v>
      </c>
      <c r="R42" s="188">
        <f>opex_orig!R42</f>
        <v>7.2200000000000003E-6</v>
      </c>
      <c r="S42" s="188">
        <f>opex_orig!S42</f>
        <v>8.09E-7</v>
      </c>
      <c r="T42" s="188">
        <f>opex_orig!T42</f>
        <v>9.9199999999999999E-7</v>
      </c>
      <c r="U42" s="188">
        <f>opex_orig!U42</f>
        <v>8.3799999999999996E-7</v>
      </c>
      <c r="V42" s="188">
        <f>opex_orig!V42</f>
        <v>8.2399999999999997E-7</v>
      </c>
      <c r="W42" s="188">
        <f>opex_orig!W42</f>
        <v>1.42E-6</v>
      </c>
      <c r="X42" s="188">
        <f>opex_orig!X42</f>
        <v>1.99E-6</v>
      </c>
      <c r="Y42" s="188">
        <f>opex_orig!Y42</f>
        <v>4.0999999999999999E-7</v>
      </c>
      <c r="Z42" s="188">
        <f>opex_orig!Z42</f>
        <v>1.2899999999999999E-6</v>
      </c>
      <c r="AA42" s="188">
        <f>opex_orig!AA42</f>
        <v>9.2900000000000002E-7</v>
      </c>
      <c r="AB42" s="188">
        <f>opex_orig!$AB42</f>
        <v>2.50788993246955E-5</v>
      </c>
      <c r="AC42" s="188">
        <f>opex_orig!$AB42</f>
        <v>2.50788993246955E-5</v>
      </c>
      <c r="AD42" s="188">
        <f>opex_orig!$AB42</f>
        <v>2.50788993246955E-5</v>
      </c>
      <c r="AE42" s="188">
        <f>opex_orig!$AC42</f>
        <v>1.6334375954098401E-6</v>
      </c>
      <c r="AF42" s="188">
        <f>opex_orig!$AD42</f>
        <v>4.1687488279428897E-7</v>
      </c>
      <c r="AG42" s="188">
        <f>opex_orig!$AD42</f>
        <v>4.1687488279428897E-7</v>
      </c>
      <c r="AH42" s="188">
        <f>opex_orig!$AD42</f>
        <v>4.1687488279428897E-7</v>
      </c>
      <c r="AI42" s="188">
        <f>opex_orig!AE42</f>
        <v>4.5699999999999998E-7</v>
      </c>
      <c r="AJ42" s="188">
        <f>opex_orig!AF42</f>
        <v>1.9300000000000002E-5</v>
      </c>
      <c r="AK42" s="188">
        <f>opex_orig!AG42</f>
        <v>5.5999999999999997E-6</v>
      </c>
      <c r="AL42" s="188">
        <f>opex_orig!AH42</f>
        <v>1.37E-6</v>
      </c>
      <c r="AM42" s="188">
        <f>opex_orig!AI42</f>
        <v>5.4499999999999997E-7</v>
      </c>
      <c r="AN42" s="188">
        <f>opex_orig!AJ42</f>
        <v>4.34E-7</v>
      </c>
      <c r="AO42" s="188">
        <f>opex_orig!AK42</f>
        <v>6.5199999999999996E-7</v>
      </c>
      <c r="AP42" s="188">
        <f>opex_orig!$AL42</f>
        <v>5.1650524376581595E-7</v>
      </c>
      <c r="AQ42" s="188">
        <f>opex_orig!$AL42</f>
        <v>5.1650524376581595E-7</v>
      </c>
      <c r="AR42" s="188">
        <f>opex_orig!$AL42</f>
        <v>5.1650524376581595E-7</v>
      </c>
      <c r="AS42" s="188">
        <f>opex_orig!$AM42</f>
        <v>4.0878955327236399E-7</v>
      </c>
      <c r="AT42" s="188">
        <f>opex_orig!AN42</f>
        <v>6.8899999999999999E-7</v>
      </c>
      <c r="AU42" s="188">
        <f>opex_orig!$AO42</f>
        <v>8.7437349574312195E-7</v>
      </c>
      <c r="AV42" s="188">
        <f>opex_orig!$AO42</f>
        <v>8.7437349574312195E-7</v>
      </c>
      <c r="AW42" s="188">
        <f>opex_orig!$AO42</f>
        <v>8.7437349574312195E-7</v>
      </c>
      <c r="AX42" s="188">
        <f>opex_orig!$AP42</f>
        <v>7.7091515802774301E-7</v>
      </c>
      <c r="AY42" s="188">
        <f>opex_orig!AQ42</f>
        <v>9.9999999999999995E-7</v>
      </c>
      <c r="AZ42" s="188">
        <f>opex_orig!AR42</f>
        <v>0</v>
      </c>
      <c r="BA42" s="188">
        <f>opex_orig!AS42</f>
        <v>1.7099999999999999E-6</v>
      </c>
      <c r="BB42" s="188">
        <f>opex_orig!AT42</f>
        <v>1.35E-6</v>
      </c>
      <c r="BC42" s="188">
        <f>opex_orig!AU42</f>
        <v>2.17E-7</v>
      </c>
      <c r="BD42" s="188">
        <f>opex_orig!AV42</f>
        <v>1.37E-7</v>
      </c>
      <c r="BE42" s="188">
        <f>opex_orig!AW42</f>
        <v>7.9299999999999997E-7</v>
      </c>
      <c r="BF42" s="188">
        <f>opex_orig!AX42</f>
        <v>0</v>
      </c>
      <c r="BG42" s="188">
        <f>opex_orig!AY42</f>
        <v>3.1099999999999999E-6</v>
      </c>
      <c r="BH42" s="188">
        <f>opex_orig!AZ42</f>
        <v>0</v>
      </c>
      <c r="BI42" s="188">
        <f>opex_orig!BA42</f>
        <v>5.8400000000000004E-7</v>
      </c>
      <c r="BJ42" s="188">
        <f>opex_orig!BB42</f>
        <v>8.3699999999999999E-7</v>
      </c>
      <c r="BK42" s="188">
        <f>opex_orig!BC42</f>
        <v>1.66E-6</v>
      </c>
      <c r="BL42" s="188">
        <f>opex_orig!BD42</f>
        <v>2.1500000000000002E-6</v>
      </c>
      <c r="BM42" s="188">
        <f>opex_orig!BE42</f>
        <v>2.04E-6</v>
      </c>
      <c r="BN42" s="188">
        <f>opex_orig!BF42</f>
        <v>1.13E-6</v>
      </c>
      <c r="BO42" s="188">
        <f>opex_orig!BG42</f>
        <v>4.3800000000000001E-5</v>
      </c>
      <c r="BP42" s="188">
        <f>opex_orig!$BH42</f>
        <v>1.53241572193619E-6</v>
      </c>
      <c r="BQ42" s="188">
        <f>opex_orig!$BH42</f>
        <v>1.53241572193619E-6</v>
      </c>
      <c r="BR42" s="188">
        <f>opex_orig!BI42</f>
        <v>1.44E-6</v>
      </c>
      <c r="BS42" s="188">
        <f>opex_orig!BJ42</f>
        <v>4.16E-6</v>
      </c>
      <c r="BT42" s="188">
        <f>opex_orig!BK42</f>
        <v>1.9999999999999999E-6</v>
      </c>
      <c r="BU42" s="188">
        <f>opex_orig!BL42</f>
        <v>0</v>
      </c>
      <c r="BV42" s="27">
        <f>opex_orig!BM42</f>
        <v>8.6917305098168E-7</v>
      </c>
      <c r="BW42" s="27">
        <f>opex_orig!BN42</f>
        <v>4.5104610627546901E-6</v>
      </c>
      <c r="BX42" s="27">
        <f>opex_orig!BO42</f>
        <v>3.2363257336780501E-7</v>
      </c>
      <c r="BY42" s="27">
        <f>opex_orig!BP42</f>
        <v>4.8669753512952297E-7</v>
      </c>
      <c r="BZ42" s="27">
        <f>opex_orig!BQ42</f>
        <v>5.2968353743399605E-7</v>
      </c>
      <c r="CA42" s="27">
        <f>opex_orig!BR42</f>
        <v>1.62037678778242E-7</v>
      </c>
      <c r="CB42" s="27">
        <f>opex_orig!BS42</f>
        <v>7.5261851836934203E-6</v>
      </c>
      <c r="CC42" s="27">
        <f>opex_orig!BT42</f>
        <v>3.72837031091361E-7</v>
      </c>
      <c r="CD42" s="27">
        <f>opex_orig!BU42</f>
        <v>1.9172663076015999E-7</v>
      </c>
      <c r="CE42" s="27">
        <f>opex_orig!BV42</f>
        <v>1.9172663076015999E-7</v>
      </c>
      <c r="CF42" s="27">
        <f>opex_orig!BW42</f>
        <v>4.3298511617304499E-6</v>
      </c>
      <c r="CG42" s="27">
        <f>opex_orig!BX42</f>
        <v>3.7581093396848601E-7</v>
      </c>
      <c r="CH42" s="27">
        <f>opex_orig!BY42</f>
        <v>3.5018550971023601E-6</v>
      </c>
      <c r="CI42" s="27">
        <f>opex_orig!BZ42</f>
        <v>6.9100000000000003E-7</v>
      </c>
      <c r="CJ42" s="27">
        <f>opex_orig!CA42</f>
        <v>4.1600000000000002E-7</v>
      </c>
      <c r="CK42" s="27">
        <f>opex_orig!CB42</f>
        <v>5.7800000000000001E-7</v>
      </c>
      <c r="CL42" s="27">
        <f>opex_orig!CC42</f>
        <v>5.2900000000000004E-7</v>
      </c>
      <c r="CM42" s="27">
        <f>opex_orig!CD42</f>
        <v>3.3799999999999998E-6</v>
      </c>
      <c r="CN42" s="27">
        <f>opex_orig!CE42</f>
        <v>3.46E-7</v>
      </c>
      <c r="CO42" s="27">
        <f>opex_orig!CF42</f>
        <v>6.75E-7</v>
      </c>
      <c r="CP42" s="27">
        <f>opex_orig!CG42</f>
        <v>2.0200000000000001E-7</v>
      </c>
    </row>
    <row r="43" spans="1:94" x14ac:dyDescent="0.25">
      <c r="A43" s="5" t="s">
        <v>105</v>
      </c>
      <c r="B43" s="2" t="s">
        <v>104</v>
      </c>
      <c r="C43" s="1" t="s">
        <v>327</v>
      </c>
      <c r="D43" s="188">
        <f>opex_orig!D43</f>
        <v>1.23316E-4</v>
      </c>
      <c r="E43" s="188">
        <f>opex_orig!E43</f>
        <v>2.7858400000000001E-4</v>
      </c>
      <c r="F43" s="188">
        <f>opex_orig!F43</f>
        <v>1.5179010000000001E-3</v>
      </c>
      <c r="G43" s="188">
        <f>opex_orig!G43</f>
        <v>1.95E-5</v>
      </c>
      <c r="H43" s="188">
        <f>opex_orig!H43</f>
        <v>3.5700000000000001E-6</v>
      </c>
      <c r="I43" s="188">
        <f>opex_orig!I43</f>
        <v>3.4058500000000002E-4</v>
      </c>
      <c r="J43" s="188">
        <f>opex_orig!J43</f>
        <v>7.1799999999999997E-5</v>
      </c>
      <c r="K43" s="188">
        <f>opex_orig!K43</f>
        <v>1.6399999999999999E-5</v>
      </c>
      <c r="L43" s="188">
        <f>opex_orig!L43</f>
        <v>2.3160490000000001E-3</v>
      </c>
      <c r="M43" s="188">
        <f>opex_orig!M43</f>
        <v>1.069717E-3</v>
      </c>
      <c r="N43" s="188">
        <f>opex_orig!N43</f>
        <v>7.0145099999999996E-4</v>
      </c>
      <c r="O43" s="188">
        <f>opex_orig!O43</f>
        <v>2.05668E-4</v>
      </c>
      <c r="P43" s="188">
        <f>opex_orig!P43</f>
        <v>5.8100000000000003E-5</v>
      </c>
      <c r="Q43" s="188">
        <f>opex_orig!Q43</f>
        <v>2.2900000000000001E-5</v>
      </c>
      <c r="R43" s="188">
        <f>opex_orig!R43</f>
        <v>2.8E-5</v>
      </c>
      <c r="S43" s="188">
        <f>opex_orig!S43</f>
        <v>1.0900000000000001E-5</v>
      </c>
      <c r="T43" s="188">
        <f>opex_orig!T43</f>
        <v>1.8300000000000001E-5</v>
      </c>
      <c r="U43" s="188">
        <f>opex_orig!U43</f>
        <v>1.2500000000000001E-5</v>
      </c>
      <c r="V43" s="188">
        <f>opex_orig!V43</f>
        <v>1.4800000000000001E-5</v>
      </c>
      <c r="W43" s="188">
        <f>opex_orig!W43</f>
        <v>8.7399999999999993E-6</v>
      </c>
      <c r="X43" s="188">
        <f>opex_orig!X43</f>
        <v>1.0200000000000001E-5</v>
      </c>
      <c r="Y43" s="188">
        <f>opex_orig!Y43</f>
        <v>8.14E-6</v>
      </c>
      <c r="Z43" s="188">
        <f>opex_orig!Z43</f>
        <v>9.3200000000000006E-6</v>
      </c>
      <c r="AA43" s="188">
        <f>opex_orig!AA43</f>
        <v>2.2200000000000001E-5</v>
      </c>
      <c r="AB43" s="188">
        <f>opex_orig!$AB43</f>
        <v>4.3235524219791499E-5</v>
      </c>
      <c r="AC43" s="188">
        <f>opex_orig!$AB43</f>
        <v>4.3235524219791499E-5</v>
      </c>
      <c r="AD43" s="188">
        <f>opex_orig!$AB43</f>
        <v>4.3235524219791499E-5</v>
      </c>
      <c r="AE43" s="188">
        <f>opex_orig!$AC43</f>
        <v>6.1802105681910396E-5</v>
      </c>
      <c r="AF43" s="188">
        <f>opex_orig!$AD43</f>
        <v>2.2628106915426501E-5</v>
      </c>
      <c r="AG43" s="188">
        <f>opex_orig!$AD43</f>
        <v>2.2628106915426501E-5</v>
      </c>
      <c r="AH43" s="188">
        <f>opex_orig!$AD43</f>
        <v>2.2628106915426501E-5</v>
      </c>
      <c r="AI43" s="188">
        <f>opex_orig!AE43</f>
        <v>1.98E-5</v>
      </c>
      <c r="AJ43" s="188">
        <f>opex_orig!AF43</f>
        <v>7.4400000000000006E-5</v>
      </c>
      <c r="AK43" s="188">
        <f>opex_orig!AG43</f>
        <v>2.6400000000000001E-5</v>
      </c>
      <c r="AL43" s="188">
        <f>opex_orig!AH43</f>
        <v>1.6200000000000001E-5</v>
      </c>
      <c r="AM43" s="188">
        <f>opex_orig!AI43</f>
        <v>1.2E-5</v>
      </c>
      <c r="AN43" s="188">
        <f>opex_orig!AJ43</f>
        <v>1.03E-5</v>
      </c>
      <c r="AO43" s="188">
        <f>opex_orig!AK43</f>
        <v>1.6799999999999998E-5</v>
      </c>
      <c r="AP43" s="188">
        <f>opex_orig!$AL43</f>
        <v>8.8324777328697697E-6</v>
      </c>
      <c r="AQ43" s="188">
        <f>opex_orig!$AL43</f>
        <v>8.8324777328697697E-6</v>
      </c>
      <c r="AR43" s="188">
        <f>opex_orig!$AL43</f>
        <v>8.8324777328697697E-6</v>
      </c>
      <c r="AS43" s="188">
        <f>opex_orig!$AM43</f>
        <v>1.11937355994483E-5</v>
      </c>
      <c r="AT43" s="188">
        <f>opex_orig!AN43</f>
        <v>1.42E-5</v>
      </c>
      <c r="AU43" s="188">
        <f>opex_orig!$AO43</f>
        <v>1.0988654687501399E-5</v>
      </c>
      <c r="AV43" s="188">
        <f>opex_orig!$AO43</f>
        <v>1.0988654687501399E-5</v>
      </c>
      <c r="AW43" s="188">
        <f>opex_orig!$AO43</f>
        <v>1.0988654687501399E-5</v>
      </c>
      <c r="AX43" s="188">
        <f>opex_orig!$AP43</f>
        <v>1.24509747716503E-5</v>
      </c>
      <c r="AY43" s="188">
        <f>opex_orig!AQ43</f>
        <v>1.3200000000000001E-5</v>
      </c>
      <c r="AZ43" s="188">
        <f>opex_orig!AR43</f>
        <v>0</v>
      </c>
      <c r="BA43" s="188">
        <f>opex_orig!AS43</f>
        <v>1.4399999999999999E-5</v>
      </c>
      <c r="BB43" s="188">
        <f>opex_orig!AT43</f>
        <v>1.24E-5</v>
      </c>
      <c r="BC43" s="188">
        <f>opex_orig!AU43</f>
        <v>6.1099999999999999E-6</v>
      </c>
      <c r="BD43" s="188">
        <f>opex_orig!AV43</f>
        <v>4.2599999999999999E-6</v>
      </c>
      <c r="BE43" s="188">
        <f>opex_orig!AW43</f>
        <v>4.0599999999999998E-5</v>
      </c>
      <c r="BF43" s="188">
        <f>opex_orig!AX43</f>
        <v>0</v>
      </c>
      <c r="BG43" s="188">
        <f>opex_orig!AY43</f>
        <v>2.9E-5</v>
      </c>
      <c r="BH43" s="188">
        <f>opex_orig!AZ43</f>
        <v>0</v>
      </c>
      <c r="BI43" s="188">
        <f>opex_orig!BA43</f>
        <v>9.1800000000000002E-6</v>
      </c>
      <c r="BJ43" s="188">
        <f>opex_orig!BB43</f>
        <v>8.0499999999999992E-6</v>
      </c>
      <c r="BK43" s="188">
        <f>opex_orig!BC43</f>
        <v>1.0200000000000001E-5</v>
      </c>
      <c r="BL43" s="188">
        <f>opex_orig!BD43</f>
        <v>2.16E-5</v>
      </c>
      <c r="BM43" s="188">
        <f>opex_orig!BE43</f>
        <v>8.6400000000000003E-6</v>
      </c>
      <c r="BN43" s="188">
        <f>opex_orig!BF43</f>
        <v>6.9800000000000001E-6</v>
      </c>
      <c r="BO43" s="188">
        <f>opex_orig!BG43</f>
        <v>1.56E-5</v>
      </c>
      <c r="BP43" s="188">
        <f>opex_orig!$BH43</f>
        <v>8.7466409082964107E-6</v>
      </c>
      <c r="BQ43" s="188">
        <f>opex_orig!$BH43</f>
        <v>8.7466409082964107E-6</v>
      </c>
      <c r="BR43" s="188">
        <f>opex_orig!BI43</f>
        <v>9.1500000000000005E-6</v>
      </c>
      <c r="BS43" s="188">
        <f>opex_orig!BJ43</f>
        <v>1.2799999999999999E-5</v>
      </c>
      <c r="BT43" s="188">
        <f>opex_orig!BK43</f>
        <v>3.3699999999999999E-5</v>
      </c>
      <c r="BU43" s="188">
        <f>opex_orig!BL43</f>
        <v>0</v>
      </c>
      <c r="BV43" s="27">
        <f>opex_orig!BM43</f>
        <v>8.5428240751972993E-6</v>
      </c>
      <c r="BW43" s="27">
        <f>opex_orig!BN43</f>
        <v>2.5006533804589701E-5</v>
      </c>
      <c r="BX43" s="27">
        <f>opex_orig!BO43</f>
        <v>3.31115380479307E-6</v>
      </c>
      <c r="BY43" s="27">
        <f>opex_orig!BP43</f>
        <v>1.1590891887562799E-5</v>
      </c>
      <c r="BZ43" s="27">
        <f>opex_orig!BQ43</f>
        <v>8.2143081086572006E-6</v>
      </c>
      <c r="CA43" s="27">
        <f>opex_orig!BR43</f>
        <v>8.63197207354356E-7</v>
      </c>
      <c r="CB43" s="27">
        <f>opex_orig!BS43</f>
        <v>3.50198373864013E-5</v>
      </c>
      <c r="CC43" s="27">
        <f>opex_orig!BT43</f>
        <v>5.2326166208617902E-6</v>
      </c>
      <c r="CD43" s="27">
        <f>opex_orig!BU43</f>
        <v>3.1927490520525999E-6</v>
      </c>
      <c r="CE43" s="27">
        <f>opex_orig!BV43</f>
        <v>3.1927490520525902E-6</v>
      </c>
      <c r="CF43" s="27">
        <f>opex_orig!BW43</f>
        <v>4.9330537853015198E-6</v>
      </c>
      <c r="CG43" s="27">
        <f>opex_orig!BX43</f>
        <v>1.14151853502777E-6</v>
      </c>
      <c r="CH43" s="27">
        <f>opex_orig!BY43</f>
        <v>8.6703238164700997E-6</v>
      </c>
      <c r="CI43" s="27">
        <f>opex_orig!BZ43</f>
        <v>1.11E-5</v>
      </c>
      <c r="CJ43" s="27">
        <f>opex_orig!CA43</f>
        <v>5.6500000000000001E-6</v>
      </c>
      <c r="CK43" s="27">
        <f>opex_orig!CB43</f>
        <v>5.8499999999999999E-6</v>
      </c>
      <c r="CL43" s="27">
        <f>opex_orig!CC43</f>
        <v>5.4E-6</v>
      </c>
      <c r="CM43" s="27">
        <f>opex_orig!CD43</f>
        <v>2.0800000000000001E-5</v>
      </c>
      <c r="CN43" s="27">
        <f>opex_orig!CE43</f>
        <v>8.4700000000000002E-6</v>
      </c>
      <c r="CO43" s="27">
        <f>opex_orig!CF43</f>
        <v>4.8400000000000002E-6</v>
      </c>
      <c r="CP43" s="27">
        <f>opex_orig!CG43</f>
        <v>6.5699999999999998E-6</v>
      </c>
    </row>
    <row r="44" spans="1:94" x14ac:dyDescent="0.25">
      <c r="A44" s="5" t="s">
        <v>107</v>
      </c>
      <c r="B44" s="2" t="s">
        <v>106</v>
      </c>
      <c r="C44" s="1" t="s">
        <v>327</v>
      </c>
      <c r="D44" s="188">
        <f>opex_orig!D44</f>
        <v>8.0256990000000007E-3</v>
      </c>
      <c r="E44" s="188">
        <f>opex_orig!E44</f>
        <v>1.9785009999999999E-2</v>
      </c>
      <c r="F44" s="188">
        <f>opex_orig!F44</f>
        <v>0.109782162</v>
      </c>
      <c r="G44" s="188">
        <f>opex_orig!G44</f>
        <v>1.0122300000000001E-2</v>
      </c>
      <c r="H44" s="188">
        <f>opex_orig!H44</f>
        <v>4.0099999999999999E-5</v>
      </c>
      <c r="I44" s="188">
        <f>opex_orig!I44</f>
        <v>3.5431526999999997E-2</v>
      </c>
      <c r="J44" s="188">
        <f>opex_orig!J44</f>
        <v>4.2870255000000003E-2</v>
      </c>
      <c r="K44" s="188">
        <f>opex_orig!K44</f>
        <v>1.5729399999999999E-4</v>
      </c>
      <c r="L44" s="188">
        <f>opex_orig!L44</f>
        <v>0.161484077</v>
      </c>
      <c r="M44" s="188">
        <f>opex_orig!M44</f>
        <v>2.7793314E-2</v>
      </c>
      <c r="N44" s="188">
        <f>opex_orig!N44</f>
        <v>3.1211928999999999E-2</v>
      </c>
      <c r="O44" s="188">
        <f>opex_orig!O44</f>
        <v>1.3545269999999999E-3</v>
      </c>
      <c r="P44" s="188">
        <f>opex_orig!P44</f>
        <v>4.2962399999999998E-4</v>
      </c>
      <c r="Q44" s="188">
        <f>opex_orig!Q44</f>
        <v>2.2720600000000001E-4</v>
      </c>
      <c r="R44" s="188">
        <f>opex_orig!R44</f>
        <v>7.1587899999999999E-4</v>
      </c>
      <c r="S44" s="188">
        <f>opex_orig!S44</f>
        <v>1.07475E-4</v>
      </c>
      <c r="T44" s="188">
        <f>opex_orig!T44</f>
        <v>1.8813900000000001E-4</v>
      </c>
      <c r="U44" s="188">
        <f>opex_orig!U44</f>
        <v>2.2156399999999999E-4</v>
      </c>
      <c r="V44" s="188">
        <f>opex_orig!V44</f>
        <v>2.39025E-4</v>
      </c>
      <c r="W44" s="188">
        <f>opex_orig!W44</f>
        <v>1.8782400000000001E-4</v>
      </c>
      <c r="X44" s="188">
        <f>opex_orig!X44</f>
        <v>4.4826300000000001E-4</v>
      </c>
      <c r="Y44" s="188">
        <f>opex_orig!Y44</f>
        <v>8.9699999999999998E-5</v>
      </c>
      <c r="Z44" s="188">
        <f>opex_orig!Z44</f>
        <v>1.3265299999999999E-4</v>
      </c>
      <c r="AA44" s="188">
        <f>opex_orig!AA44</f>
        <v>2.7860599999999998E-4</v>
      </c>
      <c r="AB44" s="188">
        <f>opex_orig!$AB44</f>
        <v>5.4931201256912601E-4</v>
      </c>
      <c r="AC44" s="188">
        <f>opex_orig!$AB44</f>
        <v>5.4931201256912601E-4</v>
      </c>
      <c r="AD44" s="188">
        <f>opex_orig!$AB44</f>
        <v>5.4931201256912601E-4</v>
      </c>
      <c r="AE44" s="188">
        <f>opex_orig!$AC44</f>
        <v>6.8883279066313903E-4</v>
      </c>
      <c r="AF44" s="188">
        <f>opex_orig!$AD44</f>
        <v>2.16133726746049E-4</v>
      </c>
      <c r="AG44" s="188">
        <f>opex_orig!$AD44</f>
        <v>2.16133726746049E-4</v>
      </c>
      <c r="AH44" s="188">
        <f>opex_orig!$AD44</f>
        <v>2.16133726746049E-4</v>
      </c>
      <c r="AI44" s="188">
        <f>opex_orig!AE44</f>
        <v>1.8882099999999999E-4</v>
      </c>
      <c r="AJ44" s="188">
        <f>opex_orig!AF44</f>
        <v>2.1562339999999999E-3</v>
      </c>
      <c r="AK44" s="188">
        <f>opex_orig!AG44</f>
        <v>3.7051299999999999E-4</v>
      </c>
      <c r="AL44" s="188">
        <f>opex_orig!AH44</f>
        <v>1.2026E-4</v>
      </c>
      <c r="AM44" s="188">
        <f>opex_orig!AI44</f>
        <v>1.6354499999999999E-4</v>
      </c>
      <c r="AN44" s="188">
        <f>opex_orig!AJ44</f>
        <v>1.6430000000000001E-4</v>
      </c>
      <c r="AO44" s="188">
        <f>opex_orig!AK44</f>
        <v>2.5861100000000001E-4</v>
      </c>
      <c r="AP44" s="188">
        <f>opex_orig!$AL44</f>
        <v>1.8575375675936999E-4</v>
      </c>
      <c r="AQ44" s="188">
        <f>opex_orig!$AL44</f>
        <v>1.8575375675936999E-4</v>
      </c>
      <c r="AR44" s="188">
        <f>opex_orig!$AL44</f>
        <v>1.8575375675936999E-4</v>
      </c>
      <c r="AS44" s="188">
        <f>opex_orig!$AM44</f>
        <v>2.18608532328113E-4</v>
      </c>
      <c r="AT44" s="188">
        <f>opex_orig!AN44</f>
        <v>2.2257399999999999E-4</v>
      </c>
      <c r="AU44" s="188">
        <f>opex_orig!$AO44</f>
        <v>8.3854560403720201E-5</v>
      </c>
      <c r="AV44" s="188">
        <f>opex_orig!$AO44</f>
        <v>8.3854560403720201E-5</v>
      </c>
      <c r="AW44" s="188">
        <f>opex_orig!$AO44</f>
        <v>8.3854560403720201E-5</v>
      </c>
      <c r="AX44" s="188">
        <f>opex_orig!$AP44</f>
        <v>1.13617993927235E-4</v>
      </c>
      <c r="AY44" s="188">
        <f>opex_orig!AQ44</f>
        <v>1.7784300000000001E-4</v>
      </c>
      <c r="AZ44" s="188">
        <f>opex_orig!AR44</f>
        <v>0</v>
      </c>
      <c r="BA44" s="188">
        <f>opex_orig!AS44</f>
        <v>1.7501600000000001E-4</v>
      </c>
      <c r="BB44" s="188">
        <f>opex_orig!AT44</f>
        <v>1.48364E-4</v>
      </c>
      <c r="BC44" s="188">
        <f>opex_orig!AU44</f>
        <v>6.3600000000000001E-5</v>
      </c>
      <c r="BD44" s="188">
        <f>opex_orig!AV44</f>
        <v>5.7500000000000002E-5</v>
      </c>
      <c r="BE44" s="188">
        <f>opex_orig!AW44</f>
        <v>1.6541200000000001E-4</v>
      </c>
      <c r="BF44" s="188">
        <f>opex_orig!AX44</f>
        <v>0</v>
      </c>
      <c r="BG44" s="188">
        <f>opex_orig!AY44</f>
        <v>3.1476200000000001E-4</v>
      </c>
      <c r="BH44" s="188">
        <f>opex_orig!AZ44</f>
        <v>0</v>
      </c>
      <c r="BI44" s="188">
        <f>opex_orig!BA44</f>
        <v>1.07361E-4</v>
      </c>
      <c r="BJ44" s="188">
        <f>opex_orig!BB44</f>
        <v>3.3301199999999999E-4</v>
      </c>
      <c r="BK44" s="188">
        <f>opex_orig!BC44</f>
        <v>1.2359E-4</v>
      </c>
      <c r="BL44" s="188">
        <f>opex_orig!BD44</f>
        <v>1.7128900000000001E-4</v>
      </c>
      <c r="BM44" s="188">
        <f>opex_orig!BE44</f>
        <v>7.5799999999999999E-5</v>
      </c>
      <c r="BN44" s="188">
        <f>opex_orig!BF44</f>
        <v>5.41E-5</v>
      </c>
      <c r="BO44" s="188">
        <f>opex_orig!BG44</f>
        <v>8.4106299999999997E-4</v>
      </c>
      <c r="BP44" s="188">
        <f>opex_orig!$BH44</f>
        <v>1.01331409118245E-4</v>
      </c>
      <c r="BQ44" s="188">
        <f>opex_orig!$BH44</f>
        <v>1.01331409118245E-4</v>
      </c>
      <c r="BR44" s="188">
        <f>opex_orig!BI44</f>
        <v>8.0099999999999995E-5</v>
      </c>
      <c r="BS44" s="188">
        <f>opex_orig!BJ44</f>
        <v>1.7908999999999999E-4</v>
      </c>
      <c r="BT44" s="188">
        <f>opex_orig!BK44</f>
        <v>2.4872639999999999E-3</v>
      </c>
      <c r="BU44" s="188">
        <f>opex_orig!BL44</f>
        <v>0</v>
      </c>
      <c r="BV44" s="27">
        <f>opex_orig!BM44</f>
        <v>3.2488835516578302E-4</v>
      </c>
      <c r="BW44" s="27">
        <f>opex_orig!BN44</f>
        <v>3.7744577211497099E-4</v>
      </c>
      <c r="BX44" s="27">
        <f>opex_orig!BO44</f>
        <v>1.57976033023162E-4</v>
      </c>
      <c r="BY44" s="27">
        <f>opex_orig!BP44</f>
        <v>1.3958039912495199E-4</v>
      </c>
      <c r="BZ44" s="27">
        <f>opex_orig!BQ44</f>
        <v>1.6985209600038699E-4</v>
      </c>
      <c r="CA44" s="27">
        <f>opex_orig!BR44</f>
        <v>1.2302907880213199E-5</v>
      </c>
      <c r="CB44" s="27">
        <f>opex_orig!BS44</f>
        <v>6.1884500758940201E-4</v>
      </c>
      <c r="CC44" s="27">
        <f>opex_orig!BT44</f>
        <v>6.3701674300512906E-5</v>
      </c>
      <c r="CD44" s="27">
        <f>opex_orig!BU44</f>
        <v>5.1545580031620901E-5</v>
      </c>
      <c r="CE44" s="27">
        <f>opex_orig!BV44</f>
        <v>5.1545580031620799E-5</v>
      </c>
      <c r="CF44" s="27">
        <f>opex_orig!BW44</f>
        <v>2.36204066609458E-4</v>
      </c>
      <c r="CG44" s="27">
        <f>opex_orig!BX44</f>
        <v>5.7077820250907299E-5</v>
      </c>
      <c r="CH44" s="27">
        <f>opex_orig!BY44</f>
        <v>3.22187466275605E-5</v>
      </c>
      <c r="CI44" s="27">
        <f>opex_orig!BZ44</f>
        <v>2.5594799999999998E-4</v>
      </c>
      <c r="CJ44" s="27">
        <f>opex_orig!CA44</f>
        <v>2.3649899999999999E-4</v>
      </c>
      <c r="CK44" s="27">
        <f>opex_orig!CB44</f>
        <v>3.3465300000000002E-4</v>
      </c>
      <c r="CL44" s="27">
        <f>opex_orig!CC44</f>
        <v>1.6463200000000001E-4</v>
      </c>
      <c r="CM44" s="27">
        <f>opex_orig!CD44</f>
        <v>1.08519E-3</v>
      </c>
      <c r="CN44" s="27">
        <f>opex_orig!CE44</f>
        <v>2.2729799999999999E-4</v>
      </c>
      <c r="CO44" s="27">
        <f>opex_orig!CF44</f>
        <v>1.6262000000000001E-4</v>
      </c>
      <c r="CP44" s="27">
        <f>opex_orig!CG44</f>
        <v>6.3999999999999997E-5</v>
      </c>
    </row>
    <row r="45" spans="1:94" x14ac:dyDescent="0.25">
      <c r="A45" s="5" t="s">
        <v>109</v>
      </c>
      <c r="B45" s="2" t="s">
        <v>108</v>
      </c>
      <c r="C45" s="1" t="s">
        <v>327</v>
      </c>
      <c r="D45" s="188">
        <f>opex_orig!D45</f>
        <v>2.5243459999999998E-3</v>
      </c>
      <c r="E45" s="188">
        <f>opex_orig!E45</f>
        <v>5.7192889999999998E-3</v>
      </c>
      <c r="F45" s="188">
        <f>opex_orig!F45</f>
        <v>3.6702515999999998E-2</v>
      </c>
      <c r="G45" s="188">
        <f>opex_orig!G45</f>
        <v>3.3268300000000001E-4</v>
      </c>
      <c r="H45" s="188">
        <f>opex_orig!H45</f>
        <v>2.19E-5</v>
      </c>
      <c r="I45" s="188">
        <f>opex_orig!I45</f>
        <v>3.051762E-3</v>
      </c>
      <c r="J45" s="188">
        <f>opex_orig!J45</f>
        <v>8.0949899999999998E-4</v>
      </c>
      <c r="K45" s="188">
        <f>opex_orig!K45</f>
        <v>4.6300000000000001E-5</v>
      </c>
      <c r="L45" s="188">
        <f>opex_orig!L45</f>
        <v>5.8803144000000002E-2</v>
      </c>
      <c r="M45" s="188">
        <f>opex_orig!M45</f>
        <v>2.50079E-2</v>
      </c>
      <c r="N45" s="188">
        <f>opex_orig!N45</f>
        <v>1.1650456999999999E-2</v>
      </c>
      <c r="O45" s="188">
        <f>opex_orig!O45</f>
        <v>4.0178460000000003E-3</v>
      </c>
      <c r="P45" s="188">
        <f>opex_orig!P45</f>
        <v>9.5461500000000002E-4</v>
      </c>
      <c r="Q45" s="188">
        <f>opex_orig!Q45</f>
        <v>1.2906699999999999E-4</v>
      </c>
      <c r="R45" s="188">
        <f>opex_orig!R45</f>
        <v>5.8862200000000002E-4</v>
      </c>
      <c r="S45" s="188">
        <f>opex_orig!S45</f>
        <v>5.9500000000000003E-5</v>
      </c>
      <c r="T45" s="188">
        <f>opex_orig!T45</f>
        <v>1.06184E-4</v>
      </c>
      <c r="U45" s="188">
        <f>opex_orig!U45</f>
        <v>1.6106200000000001E-4</v>
      </c>
      <c r="V45" s="188">
        <f>opex_orig!V45</f>
        <v>1.77307E-4</v>
      </c>
      <c r="W45" s="188">
        <f>opex_orig!W45</f>
        <v>1.4071999999999999E-4</v>
      </c>
      <c r="X45" s="188">
        <f>opex_orig!X45</f>
        <v>8.25E-5</v>
      </c>
      <c r="Y45" s="188">
        <f>opex_orig!Y45</f>
        <v>5.13E-5</v>
      </c>
      <c r="Z45" s="188">
        <f>opex_orig!Z45</f>
        <v>8.03E-5</v>
      </c>
      <c r="AA45" s="188">
        <f>opex_orig!AA45</f>
        <v>1.6537400000000001E-4</v>
      </c>
      <c r="AB45" s="188">
        <f>opex_orig!$AB45</f>
        <v>4.0549841286129199E-4</v>
      </c>
      <c r="AC45" s="188">
        <f>opex_orig!$AB45</f>
        <v>4.0549841286129199E-4</v>
      </c>
      <c r="AD45" s="188">
        <f>opex_orig!$AB45</f>
        <v>4.0549841286129199E-4</v>
      </c>
      <c r="AE45" s="188">
        <f>opex_orig!$AC45</f>
        <v>5.6970768009780601E-4</v>
      </c>
      <c r="AF45" s="188">
        <f>opex_orig!$AD45</f>
        <v>1.65984705481639E-4</v>
      </c>
      <c r="AG45" s="188">
        <f>opex_orig!$AD45</f>
        <v>1.65984705481639E-4</v>
      </c>
      <c r="AH45" s="188">
        <f>opex_orig!$AD45</f>
        <v>1.65984705481639E-4</v>
      </c>
      <c r="AI45" s="188">
        <f>opex_orig!AE45</f>
        <v>1.4840900000000001E-4</v>
      </c>
      <c r="AJ45" s="188">
        <f>opex_orig!AF45</f>
        <v>1.7883129999999999E-3</v>
      </c>
      <c r="AK45" s="188">
        <f>opex_orig!AG45</f>
        <v>2.4007299999999999E-4</v>
      </c>
      <c r="AL45" s="188">
        <f>opex_orig!AH45</f>
        <v>5.5000000000000002E-5</v>
      </c>
      <c r="AM45" s="188">
        <f>opex_orig!AI45</f>
        <v>9.7800000000000006E-5</v>
      </c>
      <c r="AN45" s="188">
        <f>opex_orig!AJ45</f>
        <v>7.1299999999999998E-5</v>
      </c>
      <c r="AO45" s="188">
        <f>opex_orig!AK45</f>
        <v>1.5101599999999999E-4</v>
      </c>
      <c r="AP45" s="188">
        <f>opex_orig!$AL45</f>
        <v>6.8138125223026803E-5</v>
      </c>
      <c r="AQ45" s="188">
        <f>opex_orig!$AL45</f>
        <v>6.8138125223026803E-5</v>
      </c>
      <c r="AR45" s="188">
        <f>opex_orig!$AL45</f>
        <v>6.8138125223026803E-5</v>
      </c>
      <c r="AS45" s="188">
        <f>opex_orig!$AM45</f>
        <v>8.8794775514604998E-5</v>
      </c>
      <c r="AT45" s="188">
        <f>opex_orig!AN45</f>
        <v>1.5438100000000001E-4</v>
      </c>
      <c r="AU45" s="188">
        <f>opex_orig!$AO45</f>
        <v>5.03635435534127E-5</v>
      </c>
      <c r="AV45" s="188">
        <f>opex_orig!$AO45</f>
        <v>5.03635435534127E-5</v>
      </c>
      <c r="AW45" s="188">
        <f>opex_orig!$AO45</f>
        <v>5.03635435534127E-5</v>
      </c>
      <c r="AX45" s="188">
        <f>opex_orig!$AP45</f>
        <v>6.8591698039085499E-5</v>
      </c>
      <c r="AY45" s="188">
        <f>opex_orig!AQ45</f>
        <v>1.20494E-4</v>
      </c>
      <c r="AZ45" s="188">
        <f>opex_orig!AR45</f>
        <v>0</v>
      </c>
      <c r="BA45" s="188">
        <f>opex_orig!AS45</f>
        <v>1.16502E-4</v>
      </c>
      <c r="BB45" s="188">
        <f>opex_orig!AT45</f>
        <v>9.7800000000000006E-5</v>
      </c>
      <c r="BC45" s="188">
        <f>opex_orig!AU45</f>
        <v>4.3900000000000003E-5</v>
      </c>
      <c r="BD45" s="188">
        <f>opex_orig!AV45</f>
        <v>3.6999999999999998E-5</v>
      </c>
      <c r="BE45" s="188">
        <f>opex_orig!AW45</f>
        <v>8.5000000000000006E-5</v>
      </c>
      <c r="BF45" s="188">
        <f>opex_orig!AX45</f>
        <v>0</v>
      </c>
      <c r="BG45" s="188">
        <f>opex_orig!AY45</f>
        <v>1.95687E-4</v>
      </c>
      <c r="BH45" s="188">
        <f>opex_orig!AZ45</f>
        <v>0</v>
      </c>
      <c r="BI45" s="188">
        <f>opex_orig!BA45</f>
        <v>5.9299999999999998E-5</v>
      </c>
      <c r="BJ45" s="188">
        <f>opex_orig!BB45</f>
        <v>2.8046499999999998E-4</v>
      </c>
      <c r="BK45" s="188">
        <f>opex_orig!BC45</f>
        <v>7.1799999999999997E-5</v>
      </c>
      <c r="BL45" s="188">
        <f>opex_orig!BD45</f>
        <v>7.8999999999999996E-5</v>
      </c>
      <c r="BM45" s="188">
        <f>opex_orig!BE45</f>
        <v>3.9499999999999998E-5</v>
      </c>
      <c r="BN45" s="188">
        <f>opex_orig!BF45</f>
        <v>2.9499999999999999E-5</v>
      </c>
      <c r="BO45" s="188">
        <f>opex_orig!BG45</f>
        <v>2.5577500000000002E-4</v>
      </c>
      <c r="BP45" s="188">
        <f>opex_orig!$BH45</f>
        <v>5.5391507880371601E-5</v>
      </c>
      <c r="BQ45" s="188">
        <f>opex_orig!$BH45</f>
        <v>5.5391507880371601E-5</v>
      </c>
      <c r="BR45" s="188">
        <f>opex_orig!BI45</f>
        <v>4.0399999999999999E-5</v>
      </c>
      <c r="BS45" s="188">
        <f>opex_orig!BJ45</f>
        <v>8.0099999999999995E-5</v>
      </c>
      <c r="BT45" s="188">
        <f>opex_orig!BK45</f>
        <v>2.3083489999999999E-3</v>
      </c>
      <c r="BU45" s="188">
        <f>opex_orig!BL45</f>
        <v>0</v>
      </c>
      <c r="BV45" s="27">
        <f>opex_orig!BM45</f>
        <v>2.7942718823773302E-4</v>
      </c>
      <c r="BW45" s="27">
        <f>opex_orig!BN45</f>
        <v>3.1964073953143099E-4</v>
      </c>
      <c r="BX45" s="27">
        <f>opex_orig!BO45</f>
        <v>1.4987546916463799E-4</v>
      </c>
      <c r="BY45" s="27">
        <f>opex_orig!BP45</f>
        <v>1.18320608089078E-4</v>
      </c>
      <c r="BZ45" s="27">
        <f>opex_orig!BQ45</f>
        <v>1.3528157218702E-4</v>
      </c>
      <c r="CA45" s="27">
        <f>opex_orig!BR45</f>
        <v>3.1010203662618899E-6</v>
      </c>
      <c r="CB45" s="27">
        <f>opex_orig!BS45</f>
        <v>4.5302675977604301E-4</v>
      </c>
      <c r="CC45" s="27">
        <f>opex_orig!BT45</f>
        <v>2.6195787292967699E-5</v>
      </c>
      <c r="CD45" s="27">
        <f>opex_orig!BU45</f>
        <v>3.3370221798256303E-5</v>
      </c>
      <c r="CE45" s="27">
        <f>opex_orig!BV45</f>
        <v>3.3370221798256201E-5</v>
      </c>
      <c r="CF45" s="27">
        <f>opex_orig!BW45</f>
        <v>9.2254820469869699E-5</v>
      </c>
      <c r="CG45" s="27">
        <f>opex_orig!BX45</f>
        <v>2.3973601904049601E-5</v>
      </c>
      <c r="CH45" s="27">
        <f>opex_orig!BY45</f>
        <v>2.1562214554855702E-5</v>
      </c>
      <c r="CI45" s="27">
        <f>opex_orig!BZ45</f>
        <v>2.3188199999999999E-4</v>
      </c>
      <c r="CJ45" s="27">
        <f>opex_orig!CA45</f>
        <v>2.1094899999999999E-4</v>
      </c>
      <c r="CK45" s="27">
        <f>opex_orig!CB45</f>
        <v>3.0454700000000001E-4</v>
      </c>
      <c r="CL45" s="27">
        <f>opex_orig!CC45</f>
        <v>9.9199999999999999E-5</v>
      </c>
      <c r="CM45" s="27">
        <f>opex_orig!CD45</f>
        <v>1.0565290000000001E-3</v>
      </c>
      <c r="CN45" s="27">
        <f>opex_orig!CE45</f>
        <v>1.3454999999999999E-4</v>
      </c>
      <c r="CO45" s="27">
        <f>opex_orig!CF45</f>
        <v>9.1899999999999998E-5</v>
      </c>
      <c r="CP45" s="27">
        <f>opex_orig!CG45</f>
        <v>4.1399999999999997E-5</v>
      </c>
    </row>
    <row r="46" spans="1:94" x14ac:dyDescent="0.25">
      <c r="A46" s="5" t="s">
        <v>111</v>
      </c>
      <c r="B46" s="2" t="s">
        <v>110</v>
      </c>
      <c r="C46" s="1" t="s">
        <v>327</v>
      </c>
      <c r="D46" s="188">
        <f>opex_orig!D46</f>
        <v>5.0306400000000001E-4</v>
      </c>
      <c r="E46" s="188">
        <f>opex_orig!E46</f>
        <v>1.0096040000000001E-3</v>
      </c>
      <c r="F46" s="188">
        <f>opex_orig!F46</f>
        <v>6.5053079999999996E-3</v>
      </c>
      <c r="G46" s="188">
        <f>opex_orig!G46</f>
        <v>5.7099999999999999E-5</v>
      </c>
      <c r="H46" s="188">
        <f>opex_orig!H46</f>
        <v>8.7199999999999995E-6</v>
      </c>
      <c r="I46" s="188">
        <f>opex_orig!I46</f>
        <v>5.6251300000000005E-4</v>
      </c>
      <c r="J46" s="188">
        <f>opex_orig!J46</f>
        <v>1.6019100000000001E-4</v>
      </c>
      <c r="K46" s="188">
        <f>opex_orig!K46</f>
        <v>1.6900000000000001E-5</v>
      </c>
      <c r="L46" s="188">
        <f>opex_orig!L46</f>
        <v>7.2986960000000004E-3</v>
      </c>
      <c r="M46" s="188">
        <f>opex_orig!M46</f>
        <v>8.9349600000000003E-4</v>
      </c>
      <c r="N46" s="188">
        <f>opex_orig!N46</f>
        <v>3.69632E-4</v>
      </c>
      <c r="O46" s="188">
        <f>opex_orig!O46</f>
        <v>7.7299999999999995E-5</v>
      </c>
      <c r="P46" s="188">
        <f>opex_orig!P46</f>
        <v>3.8399999999999998E-5</v>
      </c>
      <c r="Q46" s="188">
        <f>opex_orig!Q46</f>
        <v>3.5899999999999998E-5</v>
      </c>
      <c r="R46" s="188">
        <f>opex_orig!R46</f>
        <v>3.6199999999999999E-5</v>
      </c>
      <c r="S46" s="188">
        <f>opex_orig!S46</f>
        <v>2.2399999999999999E-5</v>
      </c>
      <c r="T46" s="188">
        <f>opex_orig!T46</f>
        <v>3.54E-5</v>
      </c>
      <c r="U46" s="188">
        <f>opex_orig!U46</f>
        <v>3.2799999999999998E-5</v>
      </c>
      <c r="V46" s="188">
        <f>opex_orig!V46</f>
        <v>3.7499999999999997E-5</v>
      </c>
      <c r="W46" s="188">
        <f>opex_orig!W46</f>
        <v>2.2500000000000001E-5</v>
      </c>
      <c r="X46" s="188">
        <f>opex_orig!X46</f>
        <v>2.9499999999999999E-5</v>
      </c>
      <c r="Y46" s="188">
        <f>opex_orig!Y46</f>
        <v>1.66E-5</v>
      </c>
      <c r="Z46" s="188">
        <f>opex_orig!Z46</f>
        <v>2.72E-5</v>
      </c>
      <c r="AA46" s="188">
        <f>opex_orig!AA46</f>
        <v>4.9499999999999997E-5</v>
      </c>
      <c r="AB46" s="188">
        <f>opex_orig!$AB46</f>
        <v>3.8211669910012998E-5</v>
      </c>
      <c r="AC46" s="188">
        <f>opex_orig!$AB46</f>
        <v>3.8211669910012998E-5</v>
      </c>
      <c r="AD46" s="188">
        <f>opex_orig!$AB46</f>
        <v>3.8211669910012998E-5</v>
      </c>
      <c r="AE46" s="188">
        <f>opex_orig!$AC46</f>
        <v>9.0413877773178297E-5</v>
      </c>
      <c r="AF46" s="188">
        <f>opex_orig!$AD46</f>
        <v>3.6593708435870602E-5</v>
      </c>
      <c r="AG46" s="188">
        <f>opex_orig!$AD46</f>
        <v>3.6593708435870602E-5</v>
      </c>
      <c r="AH46" s="188">
        <f>opex_orig!$AD46</f>
        <v>3.6593708435870602E-5</v>
      </c>
      <c r="AI46" s="188">
        <f>opex_orig!AE46</f>
        <v>3.04E-5</v>
      </c>
      <c r="AJ46" s="188">
        <f>opex_orig!AF46</f>
        <v>1.84339E-4</v>
      </c>
      <c r="AK46" s="188">
        <f>opex_orig!AG46</f>
        <v>5.38E-5</v>
      </c>
      <c r="AL46" s="188">
        <f>opex_orig!AH46</f>
        <v>2.3E-5</v>
      </c>
      <c r="AM46" s="188">
        <f>opex_orig!AI46</f>
        <v>3.1699999999999998E-5</v>
      </c>
      <c r="AN46" s="188">
        <f>opex_orig!AJ46</f>
        <v>2.87E-5</v>
      </c>
      <c r="AO46" s="188">
        <f>opex_orig!AK46</f>
        <v>3.9400000000000002E-5</v>
      </c>
      <c r="AP46" s="188">
        <f>opex_orig!$AL46</f>
        <v>3.68150573694861E-5</v>
      </c>
      <c r="AQ46" s="188">
        <f>opex_orig!$AL46</f>
        <v>3.68150573694861E-5</v>
      </c>
      <c r="AR46" s="188">
        <f>opex_orig!$AL46</f>
        <v>3.68150573694861E-5</v>
      </c>
      <c r="AS46" s="188">
        <f>opex_orig!$AM46</f>
        <v>4.1050379613539003E-5</v>
      </c>
      <c r="AT46" s="188">
        <f>opex_orig!AN46</f>
        <v>3.7400000000000001E-5</v>
      </c>
      <c r="AU46" s="188">
        <f>opex_orig!$AO46</f>
        <v>1.25973336067444E-5</v>
      </c>
      <c r="AV46" s="188">
        <f>opex_orig!$AO46</f>
        <v>1.25973336067444E-5</v>
      </c>
      <c r="AW46" s="188">
        <f>opex_orig!$AO46</f>
        <v>1.25973336067444E-5</v>
      </c>
      <c r="AX46" s="188">
        <f>opex_orig!$AP46</f>
        <v>1.89140173633174E-5</v>
      </c>
      <c r="AY46" s="188">
        <f>opex_orig!AQ46</f>
        <v>2.51E-5</v>
      </c>
      <c r="AZ46" s="188">
        <f>opex_orig!AR46</f>
        <v>0</v>
      </c>
      <c r="BA46" s="188">
        <f>opex_orig!AS46</f>
        <v>2.7699999999999999E-5</v>
      </c>
      <c r="BB46" s="188">
        <f>opex_orig!AT46</f>
        <v>2.4899999999999999E-5</v>
      </c>
      <c r="BC46" s="188">
        <f>opex_orig!AU46</f>
        <v>8.1699999999999997E-6</v>
      </c>
      <c r="BD46" s="188">
        <f>opex_orig!AV46</f>
        <v>7.7999999999999999E-6</v>
      </c>
      <c r="BE46" s="188">
        <f>opex_orig!AW46</f>
        <v>3.5299999999999997E-5</v>
      </c>
      <c r="BF46" s="188">
        <f>opex_orig!AX46</f>
        <v>0</v>
      </c>
      <c r="BG46" s="188">
        <f>opex_orig!AY46</f>
        <v>5.8100000000000003E-5</v>
      </c>
      <c r="BH46" s="188">
        <f>opex_orig!AZ46</f>
        <v>0</v>
      </c>
      <c r="BI46" s="188">
        <f>opex_orig!BA46</f>
        <v>1.8300000000000001E-5</v>
      </c>
      <c r="BJ46" s="188">
        <f>opex_orig!BB46</f>
        <v>1.66E-5</v>
      </c>
      <c r="BK46" s="188">
        <f>opex_orig!BC46</f>
        <v>2.8600000000000001E-5</v>
      </c>
      <c r="BL46" s="188">
        <f>opex_orig!BD46</f>
        <v>5.3900000000000002E-5</v>
      </c>
      <c r="BM46" s="188">
        <f>opex_orig!BE46</f>
        <v>1.84E-5</v>
      </c>
      <c r="BN46" s="188">
        <f>opex_orig!BF46</f>
        <v>1.0200000000000001E-5</v>
      </c>
      <c r="BO46" s="188">
        <f>opex_orig!BG46</f>
        <v>3.9100000000000002E-5</v>
      </c>
      <c r="BP46" s="188">
        <f>opex_orig!$BH46</f>
        <v>2.0794697934767002E-5</v>
      </c>
      <c r="BQ46" s="188">
        <f>opex_orig!$BH46</f>
        <v>2.0794697934767002E-5</v>
      </c>
      <c r="BR46" s="188">
        <f>opex_orig!BI46</f>
        <v>1.8499999999999999E-5</v>
      </c>
      <c r="BS46" s="188">
        <f>opex_orig!BJ46</f>
        <v>2.9899999999999998E-5</v>
      </c>
      <c r="BT46" s="188">
        <f>opex_orig!BK46</f>
        <v>2.2200000000000001E-5</v>
      </c>
      <c r="BU46" s="188">
        <f>opex_orig!BL46</f>
        <v>0</v>
      </c>
      <c r="BV46" s="27">
        <f>opex_orig!BM46</f>
        <v>1.9462654210510002E-5</v>
      </c>
      <c r="BW46" s="27">
        <f>opex_orig!BN46</f>
        <v>3.7332593720281002E-5</v>
      </c>
      <c r="BX46" s="27">
        <f>opex_orig!BO46</f>
        <v>8.8552972778669407E-6</v>
      </c>
      <c r="BY46" s="27">
        <f>opex_orig!BP46</f>
        <v>1.3648783738016299E-5</v>
      </c>
      <c r="BZ46" s="27">
        <f>opex_orig!BQ46</f>
        <v>2.0199756119538899E-5</v>
      </c>
      <c r="CA46" s="27">
        <f>opex_orig!BR46</f>
        <v>8.6929195801266402E-7</v>
      </c>
      <c r="CB46" s="27">
        <f>opex_orig!BS46</f>
        <v>5.1126068845515001E-5</v>
      </c>
      <c r="CC46" s="27">
        <f>opex_orig!BT46</f>
        <v>1.35877556598157E-5</v>
      </c>
      <c r="CD46" s="27">
        <f>opex_orig!BU46</f>
        <v>1.0364855568955E-5</v>
      </c>
      <c r="CE46" s="27">
        <f>opex_orig!BV46</f>
        <v>1.0364855568955E-5</v>
      </c>
      <c r="CF46" s="27">
        <f>opex_orig!BW46</f>
        <v>1.15501378916842E-4</v>
      </c>
      <c r="CG46" s="27">
        <f>opex_orig!BX46</f>
        <v>3.7200384558802801E-6</v>
      </c>
      <c r="CH46" s="27">
        <f>opex_orig!BY46</f>
        <v>4.25550595727578E-6</v>
      </c>
      <c r="CI46" s="27">
        <f>opex_orig!BZ46</f>
        <v>2.02E-5</v>
      </c>
      <c r="CJ46" s="27">
        <f>opex_orig!CA46</f>
        <v>2.2500000000000001E-5</v>
      </c>
      <c r="CK46" s="27">
        <f>opex_orig!CB46</f>
        <v>2.4899999999999999E-5</v>
      </c>
      <c r="CL46" s="27">
        <f>opex_orig!CC46</f>
        <v>4.5599999999999997E-5</v>
      </c>
      <c r="CM46" s="27">
        <f>opex_orig!CD46</f>
        <v>2.9499999999999999E-5</v>
      </c>
      <c r="CN46" s="27">
        <f>opex_orig!CE46</f>
        <v>5.2299999999999997E-5</v>
      </c>
      <c r="CO46" s="27">
        <f>opex_orig!CF46</f>
        <v>4.7200000000000002E-5</v>
      </c>
      <c r="CP46" s="27">
        <f>opex_orig!CG46</f>
        <v>1.6699999999999999E-5</v>
      </c>
    </row>
    <row r="47" spans="1:94" x14ac:dyDescent="0.25">
      <c r="A47" s="5" t="s">
        <v>113</v>
      </c>
      <c r="B47" s="2" t="s">
        <v>112</v>
      </c>
      <c r="C47" s="1" t="s">
        <v>327</v>
      </c>
      <c r="D47" s="188">
        <f>opex_orig!D47</f>
        <v>6.6599999999999998E-6</v>
      </c>
      <c r="E47" s="188">
        <f>opex_orig!E47</f>
        <v>2.1799999999999999E-6</v>
      </c>
      <c r="F47" s="188">
        <f>opex_orig!F47</f>
        <v>6.19E-6</v>
      </c>
      <c r="G47" s="188">
        <f>opex_orig!G47</f>
        <v>2.04E-6</v>
      </c>
      <c r="H47" s="188">
        <f>opex_orig!H47</f>
        <v>3.49E-6</v>
      </c>
      <c r="I47" s="188">
        <f>opex_orig!I47</f>
        <v>1.9899999999999999E-5</v>
      </c>
      <c r="J47" s="188">
        <f>opex_orig!J47</f>
        <v>1.22E-5</v>
      </c>
      <c r="K47" s="188">
        <f>opex_orig!K47</f>
        <v>3.2899999999999998E-6</v>
      </c>
      <c r="L47" s="188">
        <f>opex_orig!L47</f>
        <v>1.27E-5</v>
      </c>
      <c r="M47" s="188">
        <f>opex_orig!M47</f>
        <v>3.2399999999999999E-6</v>
      </c>
      <c r="N47" s="188">
        <f>opex_orig!N47</f>
        <v>1.4E-5</v>
      </c>
      <c r="O47" s="188">
        <f>opex_orig!O47</f>
        <v>1.03E-5</v>
      </c>
      <c r="P47" s="188">
        <f>opex_orig!P47</f>
        <v>2.34E-6</v>
      </c>
      <c r="Q47" s="188">
        <f>opex_orig!Q47</f>
        <v>3.4300000000000002E-6</v>
      </c>
      <c r="R47" s="188">
        <f>opex_orig!R47</f>
        <v>5.5600000000000003E-5</v>
      </c>
      <c r="S47" s="188">
        <f>opex_orig!S47</f>
        <v>2.12E-6</v>
      </c>
      <c r="T47" s="188">
        <f>opex_orig!T47</f>
        <v>2.7199999999999998E-6</v>
      </c>
      <c r="U47" s="188">
        <f>opex_orig!U47</f>
        <v>1.44E-6</v>
      </c>
      <c r="V47" s="188">
        <f>opex_orig!V47</f>
        <v>1.5999999999999999E-6</v>
      </c>
      <c r="W47" s="188">
        <f>opex_orig!W47</f>
        <v>9.9000000000000001E-6</v>
      </c>
      <c r="X47" s="188">
        <f>opex_orig!X47</f>
        <v>3.54E-6</v>
      </c>
      <c r="Y47" s="188">
        <f>opex_orig!Y47</f>
        <v>1.5200000000000001E-6</v>
      </c>
      <c r="Z47" s="188">
        <f>opex_orig!Z47</f>
        <v>2.9100000000000001E-6</v>
      </c>
      <c r="AA47" s="188">
        <f>opex_orig!AA47</f>
        <v>2.4499999999999998E-6</v>
      </c>
      <c r="AB47" s="188">
        <f>opex_orig!$AB47</f>
        <v>1.13344920768648E-4</v>
      </c>
      <c r="AC47" s="188">
        <f>opex_orig!$AB47</f>
        <v>1.13344920768648E-4</v>
      </c>
      <c r="AD47" s="188">
        <f>opex_orig!$AB47</f>
        <v>1.13344920768648E-4</v>
      </c>
      <c r="AE47" s="188">
        <f>opex_orig!$AC47</f>
        <v>4.77910742401214E-6</v>
      </c>
      <c r="AF47" s="188">
        <f>opex_orig!$AD47</f>
        <v>2.2042340832206098E-6</v>
      </c>
      <c r="AG47" s="188">
        <f>opex_orig!$AD47</f>
        <v>2.2042340832206098E-6</v>
      </c>
      <c r="AH47" s="188">
        <f>opex_orig!$AD47</f>
        <v>2.2042340832206098E-6</v>
      </c>
      <c r="AI47" s="188">
        <f>opex_orig!AE47</f>
        <v>2.8399999999999999E-6</v>
      </c>
      <c r="AJ47" s="188">
        <f>opex_orig!AF47</f>
        <v>5.66E-6</v>
      </c>
      <c r="AK47" s="188">
        <f>opex_orig!AG47</f>
        <v>3.3000000000000002E-6</v>
      </c>
      <c r="AL47" s="188">
        <f>opex_orig!AH47</f>
        <v>4.1999999999999996E-6</v>
      </c>
      <c r="AM47" s="188">
        <f>opex_orig!AI47</f>
        <v>7.0299999999999996E-6</v>
      </c>
      <c r="AN47" s="188">
        <f>opex_orig!AJ47</f>
        <v>5.4600000000000002E-6</v>
      </c>
      <c r="AO47" s="188">
        <f>opex_orig!AK47</f>
        <v>4.3900000000000003E-6</v>
      </c>
      <c r="AP47" s="188">
        <f>opex_orig!$AL47</f>
        <v>5.0631100298226E-6</v>
      </c>
      <c r="AQ47" s="188">
        <f>opex_orig!$AL47</f>
        <v>5.0631100298226E-6</v>
      </c>
      <c r="AR47" s="188">
        <f>opex_orig!$AL47</f>
        <v>5.0631100298226E-6</v>
      </c>
      <c r="AS47" s="188">
        <f>opex_orig!$AM47</f>
        <v>4.0040111445980797E-6</v>
      </c>
      <c r="AT47" s="188">
        <f>opex_orig!AN47</f>
        <v>6.7000000000000002E-6</v>
      </c>
      <c r="AU47" s="188">
        <f>opex_orig!$AO47</f>
        <v>2.4097891650215398E-6</v>
      </c>
      <c r="AV47" s="188">
        <f>opex_orig!$AO47</f>
        <v>2.4097891650215398E-6</v>
      </c>
      <c r="AW47" s="188">
        <f>opex_orig!$AO47</f>
        <v>2.4097891650215398E-6</v>
      </c>
      <c r="AX47" s="188">
        <f>opex_orig!$AP47</f>
        <v>1.9082168406456499E-6</v>
      </c>
      <c r="AY47" s="188">
        <f>opex_orig!AQ47</f>
        <v>1.7099999999999999E-6</v>
      </c>
      <c r="AZ47" s="188">
        <f>opex_orig!AR47</f>
        <v>0</v>
      </c>
      <c r="BA47" s="188">
        <f>opex_orig!AS47</f>
        <v>1.86E-6</v>
      </c>
      <c r="BB47" s="188">
        <f>opex_orig!AT47</f>
        <v>8.6700000000000002E-7</v>
      </c>
      <c r="BC47" s="188">
        <f>opex_orig!AU47</f>
        <v>3.6399999999999998E-7</v>
      </c>
      <c r="BD47" s="188">
        <f>opex_orig!AV47</f>
        <v>2.2999999999999999E-7</v>
      </c>
      <c r="BE47" s="188">
        <f>opex_orig!AW47</f>
        <v>1.53E-6</v>
      </c>
      <c r="BF47" s="188">
        <f>opex_orig!AX47</f>
        <v>0</v>
      </c>
      <c r="BG47" s="188">
        <f>opex_orig!AY47</f>
        <v>1.3499999999999999E-5</v>
      </c>
      <c r="BH47" s="188">
        <f>opex_orig!AZ47</f>
        <v>0</v>
      </c>
      <c r="BI47" s="188">
        <f>opex_orig!BA47</f>
        <v>1.1599999999999999E-6</v>
      </c>
      <c r="BJ47" s="188">
        <f>opex_orig!BB47</f>
        <v>1.8199999999999999E-6</v>
      </c>
      <c r="BK47" s="188">
        <f>opex_orig!BC47</f>
        <v>2.12E-6</v>
      </c>
      <c r="BL47" s="188">
        <f>opex_orig!BD47</f>
        <v>2.65E-6</v>
      </c>
      <c r="BM47" s="188">
        <f>opex_orig!BE47</f>
        <v>4.9899999999999997E-6</v>
      </c>
      <c r="BN47" s="188">
        <f>opex_orig!BF47</f>
        <v>2.0700000000000001E-6</v>
      </c>
      <c r="BO47" s="188">
        <f>opex_orig!BG47</f>
        <v>5.4E-6</v>
      </c>
      <c r="BP47" s="188">
        <f>opex_orig!$BH47</f>
        <v>1.79808715442443E-6</v>
      </c>
      <c r="BQ47" s="188">
        <f>opex_orig!$BH47</f>
        <v>1.79808715442443E-6</v>
      </c>
      <c r="BR47" s="188">
        <f>opex_orig!BI47</f>
        <v>6.8299999999999998E-6</v>
      </c>
      <c r="BS47" s="188">
        <f>opex_orig!BJ47</f>
        <v>3.3400000000000002E-6</v>
      </c>
      <c r="BT47" s="188">
        <f>opex_orig!BK47</f>
        <v>9.7999999999999993E-7</v>
      </c>
      <c r="BU47" s="188">
        <f>opex_orig!BL47</f>
        <v>0</v>
      </c>
      <c r="BV47" s="27">
        <f>opex_orig!BM47</f>
        <v>4.0958013506644099E-6</v>
      </c>
      <c r="BW47" s="27">
        <f>opex_orig!BN47</f>
        <v>1.3428775780685999E-5</v>
      </c>
      <c r="BX47" s="27">
        <f>opex_orig!BO47</f>
        <v>2.5833204463812001E-6</v>
      </c>
      <c r="BY47" s="27">
        <f>opex_orig!BP47</f>
        <v>1.4001113517628399E-6</v>
      </c>
      <c r="BZ47" s="27">
        <f>opex_orig!BQ47</f>
        <v>1.01189401874373E-6</v>
      </c>
      <c r="CA47" s="27">
        <f>opex_orig!BR47</f>
        <v>8.3797909319862598E-7</v>
      </c>
      <c r="CB47" s="27">
        <f>opex_orig!BS47</f>
        <v>2.9623258007171299E-5</v>
      </c>
      <c r="CC47" s="27">
        <f>opex_orig!BT47</f>
        <v>1.1020913201086699E-6</v>
      </c>
      <c r="CD47" s="27">
        <f>opex_orig!BU47</f>
        <v>9.8653631831941001E-7</v>
      </c>
      <c r="CE47" s="27">
        <f>opex_orig!BV47</f>
        <v>9.8653631831941404E-7</v>
      </c>
      <c r="CF47" s="27">
        <f>opex_orig!BW47</f>
        <v>1.2936454349340599E-6</v>
      </c>
      <c r="CG47" s="27">
        <f>opex_orig!BX47</f>
        <v>1.4847069464920001E-6</v>
      </c>
      <c r="CH47" s="27">
        <f>opex_orig!BY47</f>
        <v>3.9198102138365202E-6</v>
      </c>
      <c r="CI47" s="27">
        <f>opex_orig!BZ47</f>
        <v>1.8199999999999999E-6</v>
      </c>
      <c r="CJ47" s="27">
        <f>opex_orig!CA47</f>
        <v>1.8700000000000001E-6</v>
      </c>
      <c r="CK47" s="27">
        <f>opex_orig!CB47</f>
        <v>2.0200000000000001E-6</v>
      </c>
      <c r="CL47" s="27">
        <f>opex_orig!CC47</f>
        <v>9.1299999999999998E-7</v>
      </c>
      <c r="CM47" s="27">
        <f>opex_orig!CD47</f>
        <v>2.2199999999999999E-6</v>
      </c>
      <c r="CN47" s="27">
        <f>opex_orig!CE47</f>
        <v>6.7100000000000001E-6</v>
      </c>
      <c r="CO47" s="27">
        <f>opex_orig!CF47</f>
        <v>4.6800000000000001E-6</v>
      </c>
      <c r="CP47" s="27">
        <f>opex_orig!CG47</f>
        <v>7.6000000000000003E-7</v>
      </c>
    </row>
    <row r="48" spans="1:94" x14ac:dyDescent="0.25">
      <c r="A48" s="5" t="s">
        <v>115</v>
      </c>
      <c r="B48" s="2" t="s">
        <v>114</v>
      </c>
      <c r="C48" s="1" t="s">
        <v>327</v>
      </c>
      <c r="D48" s="188">
        <f>opex_orig!D48</f>
        <v>5.7544599999999997E-4</v>
      </c>
      <c r="E48" s="188">
        <f>opex_orig!E48</f>
        <v>1.3332700000000001E-4</v>
      </c>
      <c r="F48" s="188">
        <f>opex_orig!F48</f>
        <v>1.18505E-4</v>
      </c>
      <c r="G48" s="188">
        <f>opex_orig!G48</f>
        <v>2.16E-5</v>
      </c>
      <c r="H48" s="188">
        <f>opex_orig!H48</f>
        <v>4.2700000000000001E-5</v>
      </c>
      <c r="I48" s="188">
        <f>opex_orig!I48</f>
        <v>1.8196900000000001E-4</v>
      </c>
      <c r="J48" s="188">
        <f>opex_orig!J48</f>
        <v>2.2003100000000001E-4</v>
      </c>
      <c r="K48" s="188">
        <f>opex_orig!K48</f>
        <v>6.6799999999999997E-5</v>
      </c>
      <c r="L48" s="188">
        <f>opex_orig!L48</f>
        <v>2.5670700000000001E-4</v>
      </c>
      <c r="M48" s="188">
        <f>opex_orig!M48</f>
        <v>7.2568199999999995E-4</v>
      </c>
      <c r="N48" s="188">
        <f>opex_orig!N48</f>
        <v>3.78246E-4</v>
      </c>
      <c r="O48" s="188">
        <f>opex_orig!O48</f>
        <v>2.0686500000000001E-4</v>
      </c>
      <c r="P48" s="188">
        <f>opex_orig!P48</f>
        <v>0.28902177800000001</v>
      </c>
      <c r="Q48" s="188">
        <f>opex_orig!Q48</f>
        <v>0.134086603</v>
      </c>
      <c r="R48" s="188">
        <f>opex_orig!R48</f>
        <v>2.4775579999999998E-2</v>
      </c>
      <c r="S48" s="188">
        <f>opex_orig!S48</f>
        <v>2.8015400000000001E-4</v>
      </c>
      <c r="T48" s="188">
        <f>opex_orig!T48</f>
        <v>3.2693899999999999E-4</v>
      </c>
      <c r="U48" s="188">
        <f>opex_orig!U48</f>
        <v>1.6234800000000001E-4</v>
      </c>
      <c r="V48" s="188">
        <f>opex_orig!V48</f>
        <v>1.7958199999999999E-4</v>
      </c>
      <c r="W48" s="188">
        <f>opex_orig!W48</f>
        <v>4.7331100000000002E-4</v>
      </c>
      <c r="X48" s="188">
        <f>opex_orig!X48</f>
        <v>1.114652E-3</v>
      </c>
      <c r="Y48" s="188">
        <f>opex_orig!Y48</f>
        <v>8.0900000000000001E-5</v>
      </c>
      <c r="Z48" s="188">
        <f>opex_orig!Z48</f>
        <v>2.2828099999999999E-4</v>
      </c>
      <c r="AA48" s="188">
        <f>opex_orig!AA48</f>
        <v>2.41668E-4</v>
      </c>
      <c r="AB48" s="188">
        <f>opex_orig!$AB48</f>
        <v>2.9201428210030698E-4</v>
      </c>
      <c r="AC48" s="188">
        <f>opex_orig!$AB48</f>
        <v>2.9201428210030698E-4</v>
      </c>
      <c r="AD48" s="188">
        <f>opex_orig!$AB48</f>
        <v>2.9201428210030698E-4</v>
      </c>
      <c r="AE48" s="188">
        <f>opex_orig!$AC48</f>
        <v>5.6713575971489003E-4</v>
      </c>
      <c r="AF48" s="188">
        <f>opex_orig!$AD48</f>
        <v>2.8362569155539401E-3</v>
      </c>
      <c r="AG48" s="188">
        <f>opex_orig!$AD48</f>
        <v>2.8362569155539401E-3</v>
      </c>
      <c r="AH48" s="188">
        <f>opex_orig!$AD48</f>
        <v>2.8362569155539401E-3</v>
      </c>
      <c r="AI48" s="188">
        <f>opex_orig!AE48</f>
        <v>2.8052160000000001E-3</v>
      </c>
      <c r="AJ48" s="188">
        <f>opex_orig!AF48</f>
        <v>2.1331457000000002E-2</v>
      </c>
      <c r="AK48" s="188">
        <f>opex_orig!AG48</f>
        <v>2.4486754999999999E-2</v>
      </c>
      <c r="AL48" s="188">
        <f>opex_orig!AH48</f>
        <v>4.1191900000000001E-4</v>
      </c>
      <c r="AM48" s="188">
        <f>opex_orig!AI48</f>
        <v>6.9438599999999996E-4</v>
      </c>
      <c r="AN48" s="188">
        <f>opex_orig!AJ48</f>
        <v>1.29512E-4</v>
      </c>
      <c r="AO48" s="188">
        <f>opex_orig!AK48</f>
        <v>2.5562099999999998E-4</v>
      </c>
      <c r="AP48" s="188">
        <f>opex_orig!$AL48</f>
        <v>1.8433744161579799E-4</v>
      </c>
      <c r="AQ48" s="188">
        <f>opex_orig!$AL48</f>
        <v>1.8433744161579799E-4</v>
      </c>
      <c r="AR48" s="188">
        <f>opex_orig!$AL48</f>
        <v>1.8433744161579799E-4</v>
      </c>
      <c r="AS48" s="188">
        <f>opex_orig!$AM48</f>
        <v>1.85776325150465E-4</v>
      </c>
      <c r="AT48" s="188">
        <f>opex_orig!AN48</f>
        <v>4.2423200000000003E-4</v>
      </c>
      <c r="AU48" s="188">
        <f>opex_orig!$AO48</f>
        <v>1.0786573041797601E-4</v>
      </c>
      <c r="AV48" s="188">
        <f>opex_orig!$AO48</f>
        <v>1.0786573041797601E-4</v>
      </c>
      <c r="AW48" s="188">
        <f>opex_orig!$AO48</f>
        <v>1.0786573041797601E-4</v>
      </c>
      <c r="AX48" s="188">
        <f>opex_orig!$AP48</f>
        <v>1.3616449906715E-4</v>
      </c>
      <c r="AY48" s="188">
        <f>opex_orig!AQ48</f>
        <v>1.5169599999999999E-4</v>
      </c>
      <c r="AZ48" s="188">
        <f>opex_orig!AR48</f>
        <v>0</v>
      </c>
      <c r="BA48" s="188">
        <f>opex_orig!AS48</f>
        <v>2.10633E-4</v>
      </c>
      <c r="BB48" s="188">
        <f>opex_orig!AT48</f>
        <v>2.0980400000000001E-4</v>
      </c>
      <c r="BC48" s="188">
        <f>opex_orig!AU48</f>
        <v>4.0299999999999997E-5</v>
      </c>
      <c r="BD48" s="188">
        <f>opex_orig!AV48</f>
        <v>3.65E-5</v>
      </c>
      <c r="BE48" s="188">
        <f>opex_orig!AW48</f>
        <v>8.53E-5</v>
      </c>
      <c r="BF48" s="188">
        <f>opex_orig!AX48</f>
        <v>0</v>
      </c>
      <c r="BG48" s="188">
        <f>opex_orig!AY48</f>
        <v>2.1680500000000001E-4</v>
      </c>
      <c r="BH48" s="188">
        <f>opex_orig!AZ48</f>
        <v>0</v>
      </c>
      <c r="BI48" s="188">
        <f>opex_orig!BA48</f>
        <v>1.6483099999999999E-4</v>
      </c>
      <c r="BJ48" s="188">
        <f>opex_orig!BB48</f>
        <v>2.6999680000000001E-3</v>
      </c>
      <c r="BK48" s="188">
        <f>opex_orig!BC48</f>
        <v>3.7122230000000002E-3</v>
      </c>
      <c r="BL48" s="188">
        <f>opex_orig!BD48</f>
        <v>1.3244799999999999E-4</v>
      </c>
      <c r="BM48" s="188">
        <f>opex_orig!BE48</f>
        <v>5.82513E-4</v>
      </c>
      <c r="BN48" s="188">
        <f>opex_orig!BF48</f>
        <v>2.3818299999999999E-4</v>
      </c>
      <c r="BO48" s="188">
        <f>opex_orig!BG48</f>
        <v>1.764837E-3</v>
      </c>
      <c r="BP48" s="205">
        <f>opex_concordance!M85</f>
        <v>1.0469640981401207E-2</v>
      </c>
      <c r="BQ48" s="205">
        <f>opex_concordance!M128</f>
        <v>6.1900020107460794E-3</v>
      </c>
      <c r="BR48" s="188">
        <f>opex_orig!BI48</f>
        <v>7.6535780000000003E-3</v>
      </c>
      <c r="BS48" s="188">
        <f>opex_orig!BJ48</f>
        <v>3.2708350000000001E-3</v>
      </c>
      <c r="BT48" s="188">
        <f>opex_orig!BK48</f>
        <v>1.6992099999999999E-4</v>
      </c>
      <c r="BU48" s="188">
        <f>opex_orig!BL48</f>
        <v>0</v>
      </c>
      <c r="BV48" s="27">
        <f>opex_orig!BM48</f>
        <v>7.5386595053572402E-5</v>
      </c>
      <c r="BW48" s="27">
        <f>opex_orig!BN48</f>
        <v>1.6009560217675599E-4</v>
      </c>
      <c r="BX48" s="27">
        <f>opex_orig!BO48</f>
        <v>2.4948937339294001E-5</v>
      </c>
      <c r="BY48" s="27">
        <f>opex_orig!BP48</f>
        <v>4.3437775850279297E-5</v>
      </c>
      <c r="BZ48" s="27">
        <f>opex_orig!BQ48</f>
        <v>5.9937241418060997E-5</v>
      </c>
      <c r="CA48" s="27">
        <f>opex_orig!BR48</f>
        <v>1.8156337284715901E-5</v>
      </c>
      <c r="CB48" s="27">
        <f>opex_orig!BS48</f>
        <v>2.5064436787536798E-4</v>
      </c>
      <c r="CC48" s="27">
        <f>opex_orig!BT48</f>
        <v>3.5868802762891103E-5</v>
      </c>
      <c r="CD48" s="27">
        <f>opex_orig!BU48</f>
        <v>3.2030499721002402E-5</v>
      </c>
      <c r="CE48" s="27">
        <f>opex_orig!BV48</f>
        <v>3.20304997210023E-5</v>
      </c>
      <c r="CF48" s="27">
        <f>opex_orig!BW48</f>
        <v>5.12791448645609E-5</v>
      </c>
      <c r="CG48" s="27">
        <f>opex_orig!BX48</f>
        <v>3.5391015542429998E-6</v>
      </c>
      <c r="CH48" s="27">
        <f>opex_orig!BY48</f>
        <v>5.3010809467246002E-5</v>
      </c>
      <c r="CI48" s="27">
        <f>opex_orig!BZ48</f>
        <v>7.0400000000000004E-5</v>
      </c>
      <c r="CJ48" s="27">
        <f>opex_orig!CA48</f>
        <v>5.7599999999999997E-5</v>
      </c>
      <c r="CK48" s="27">
        <f>opex_orig!CB48</f>
        <v>5.0099999999999998E-5</v>
      </c>
      <c r="CL48" s="27">
        <f>opex_orig!CC48</f>
        <v>7.8100000000000001E-5</v>
      </c>
      <c r="CM48" s="27">
        <f>opex_orig!CD48</f>
        <v>1.6562900000000001E-4</v>
      </c>
      <c r="CN48" s="27">
        <f>opex_orig!CE48</f>
        <v>9.4300000000000002E-5</v>
      </c>
      <c r="CO48" s="27">
        <f>opex_orig!CF48</f>
        <v>2.6768700000000001E-4</v>
      </c>
      <c r="CP48" s="27">
        <f>opex_orig!CG48</f>
        <v>4.2299999999999998E-5</v>
      </c>
    </row>
    <row r="49" spans="1:94" x14ac:dyDescent="0.25">
      <c r="A49" s="5" t="s">
        <v>117</v>
      </c>
      <c r="B49" s="2" t="s">
        <v>116</v>
      </c>
      <c r="C49" s="1" t="s">
        <v>327</v>
      </c>
      <c r="D49" s="188">
        <f>opex_orig!D49</f>
        <v>7.9699999999999999E-6</v>
      </c>
      <c r="E49" s="188">
        <f>opex_orig!E49</f>
        <v>2.3700000000000002E-6</v>
      </c>
      <c r="F49" s="188">
        <f>opex_orig!F49</f>
        <v>5.8799999999999996E-6</v>
      </c>
      <c r="G49" s="188">
        <f>opex_orig!G49</f>
        <v>2.9400000000000001E-7</v>
      </c>
      <c r="H49" s="188">
        <f>opex_orig!H49</f>
        <v>1.08E-6</v>
      </c>
      <c r="I49" s="188">
        <f>opex_orig!I49</f>
        <v>2.7099999999999999E-6</v>
      </c>
      <c r="J49" s="188">
        <f>opex_orig!J49</f>
        <v>2.0999999999999998E-6</v>
      </c>
      <c r="K49" s="188">
        <f>opex_orig!K49</f>
        <v>4.63E-7</v>
      </c>
      <c r="L49" s="188">
        <f>opex_orig!L49</f>
        <v>5.2499999999999997E-6</v>
      </c>
      <c r="M49" s="188">
        <f>opex_orig!M49</f>
        <v>8.67E-6</v>
      </c>
      <c r="N49" s="188">
        <f>opex_orig!N49</f>
        <v>5.7200000000000003E-6</v>
      </c>
      <c r="O49" s="188">
        <f>opex_orig!O49</f>
        <v>7.0600000000000002E-6</v>
      </c>
      <c r="P49" s="188">
        <f>opex_orig!P49</f>
        <v>1.800362E-3</v>
      </c>
      <c r="Q49" s="188">
        <f>opex_orig!Q49</f>
        <v>0.278465617</v>
      </c>
      <c r="R49" s="188">
        <f>opex_orig!R49</f>
        <v>6.6711230000000002E-3</v>
      </c>
      <c r="S49" s="188">
        <f>opex_orig!S49</f>
        <v>5.0900000000000004E-6</v>
      </c>
      <c r="T49" s="188">
        <f>opex_orig!T49</f>
        <v>5.49E-6</v>
      </c>
      <c r="U49" s="188">
        <f>opex_orig!U49</f>
        <v>4.5700000000000003E-6</v>
      </c>
      <c r="V49" s="188">
        <f>opex_orig!V49</f>
        <v>5.1200000000000001E-6</v>
      </c>
      <c r="W49" s="188">
        <f>opex_orig!W49</f>
        <v>1.5500000000000001E-5</v>
      </c>
      <c r="X49" s="188">
        <f>opex_orig!X49</f>
        <v>1.0000000000000001E-5</v>
      </c>
      <c r="Y49" s="188">
        <f>opex_orig!Y49</f>
        <v>1.15E-6</v>
      </c>
      <c r="Z49" s="188">
        <f>opex_orig!Z49</f>
        <v>4.6E-6</v>
      </c>
      <c r="AA49" s="188">
        <f>opex_orig!AA49</f>
        <v>4.6199999999999998E-6</v>
      </c>
      <c r="AB49" s="188">
        <f>opex_orig!$AB49</f>
        <v>3.9937159948294E-6</v>
      </c>
      <c r="AC49" s="188">
        <f>opex_orig!$AB49</f>
        <v>3.9937159948294E-6</v>
      </c>
      <c r="AD49" s="188">
        <f>opex_orig!$AB49</f>
        <v>3.9937159948294E-6</v>
      </c>
      <c r="AE49" s="188">
        <f>opex_orig!$AC49</f>
        <v>3.74635817041086E-6</v>
      </c>
      <c r="AF49" s="188">
        <f>opex_orig!$AD49</f>
        <v>1.87546934869326E-5</v>
      </c>
      <c r="AG49" s="188">
        <f>opex_orig!$AD49</f>
        <v>1.87546934869326E-5</v>
      </c>
      <c r="AH49" s="188">
        <f>opex_orig!$AD49</f>
        <v>1.87546934869326E-5</v>
      </c>
      <c r="AI49" s="188">
        <f>opex_orig!AE49</f>
        <v>1.8899999999999999E-5</v>
      </c>
      <c r="AJ49" s="188">
        <f>opex_orig!AF49</f>
        <v>1.33497E-4</v>
      </c>
      <c r="AK49" s="188">
        <f>opex_orig!AG49</f>
        <v>1.6851400000000001E-4</v>
      </c>
      <c r="AL49" s="188">
        <f>opex_orig!AH49</f>
        <v>7.7700000000000001E-6</v>
      </c>
      <c r="AM49" s="188">
        <f>opex_orig!AI49</f>
        <v>8.8100000000000004E-6</v>
      </c>
      <c r="AN49" s="188">
        <f>opex_orig!AJ49</f>
        <v>4.4900000000000002E-6</v>
      </c>
      <c r="AO49" s="188">
        <f>opex_orig!AK49</f>
        <v>6.2999999999999998E-6</v>
      </c>
      <c r="AP49" s="188">
        <f>opex_orig!$AL49</f>
        <v>3.8488087742265197E-6</v>
      </c>
      <c r="AQ49" s="188">
        <f>opex_orig!$AL49</f>
        <v>3.8488087742265197E-6</v>
      </c>
      <c r="AR49" s="188">
        <f>opex_orig!$AL49</f>
        <v>3.8488087742265197E-6</v>
      </c>
      <c r="AS49" s="188">
        <f>opex_orig!$AM49</f>
        <v>3.7644988565453001E-6</v>
      </c>
      <c r="AT49" s="188">
        <f>opex_orig!AN49</f>
        <v>7.3499999999999999E-6</v>
      </c>
      <c r="AU49" s="188">
        <f>opex_orig!$AO49</f>
        <v>5.4997797144517398E-6</v>
      </c>
      <c r="AV49" s="188">
        <f>opex_orig!$AO49</f>
        <v>5.4997797144517398E-6</v>
      </c>
      <c r="AW49" s="188">
        <f>opex_orig!$AO49</f>
        <v>5.4997797144517398E-6</v>
      </c>
      <c r="AX49" s="188">
        <f>opex_orig!$AP49</f>
        <v>6.3418579603049303E-6</v>
      </c>
      <c r="AY49" s="188">
        <f>opex_orig!AQ49</f>
        <v>6.4899999999999997E-6</v>
      </c>
      <c r="AZ49" s="188">
        <f>opex_orig!AR49</f>
        <v>0</v>
      </c>
      <c r="BA49" s="188">
        <f>opex_orig!AS49</f>
        <v>5.8799999999999996E-6</v>
      </c>
      <c r="BB49" s="188">
        <f>opex_orig!AT49</f>
        <v>5.66E-6</v>
      </c>
      <c r="BC49" s="188">
        <f>opex_orig!AU49</f>
        <v>2.7300000000000001E-6</v>
      </c>
      <c r="BD49" s="188">
        <f>opex_orig!AV49</f>
        <v>2.52E-6</v>
      </c>
      <c r="BE49" s="188">
        <f>opex_orig!AW49</f>
        <v>3.3799999999999998E-6</v>
      </c>
      <c r="BF49" s="188">
        <f>opex_orig!AX49</f>
        <v>0</v>
      </c>
      <c r="BG49" s="188">
        <f>opex_orig!AY49</f>
        <v>3.8600000000000003E-6</v>
      </c>
      <c r="BH49" s="188">
        <f>opex_orig!AZ49</f>
        <v>0</v>
      </c>
      <c r="BI49" s="188">
        <f>opex_orig!BA49</f>
        <v>9.91E-6</v>
      </c>
      <c r="BJ49" s="188">
        <f>opex_orig!BB49</f>
        <v>3.5099999999999999E-5</v>
      </c>
      <c r="BK49" s="188">
        <f>opex_orig!BC49</f>
        <v>3.3200000000000001E-5</v>
      </c>
      <c r="BL49" s="188">
        <f>opex_orig!BD49</f>
        <v>5.0100000000000003E-6</v>
      </c>
      <c r="BM49" s="188">
        <f>opex_orig!BE49</f>
        <v>1.2099999999999999E-5</v>
      </c>
      <c r="BN49" s="188">
        <f>opex_orig!BF49</f>
        <v>1.19E-5</v>
      </c>
      <c r="BO49" s="188">
        <f>opex_orig!BG49</f>
        <v>1.8099999999999999E-5</v>
      </c>
      <c r="BP49" s="188">
        <f>opex_orig!$BH49</f>
        <v>7.7052965174381302E-5</v>
      </c>
      <c r="BQ49" s="188">
        <f>opex_orig!$BH49</f>
        <v>7.7052965174381302E-5</v>
      </c>
      <c r="BR49" s="188">
        <f>opex_orig!BI49</f>
        <v>5.7200000000000001E-5</v>
      </c>
      <c r="BS49" s="188">
        <f>opex_orig!BJ49</f>
        <v>4.7700000000000001E-5</v>
      </c>
      <c r="BT49" s="188">
        <f>opex_orig!BK49</f>
        <v>1.55E-6</v>
      </c>
      <c r="BU49" s="188">
        <f>opex_orig!BL49</f>
        <v>0</v>
      </c>
      <c r="BV49" s="27">
        <f>opex_orig!BM49</f>
        <v>1.6104253864852199E-6</v>
      </c>
      <c r="BW49" s="27">
        <f>opex_orig!BN49</f>
        <v>2.7196791191272901E-6</v>
      </c>
      <c r="BX49" s="27">
        <f>opex_orig!BO49</f>
        <v>8.6580073394470405E-7</v>
      </c>
      <c r="BY49" s="27">
        <f>opex_orig!BP49</f>
        <v>1.0664788019114999E-6</v>
      </c>
      <c r="BZ49" s="27">
        <f>opex_orig!BQ49</f>
        <v>1.4929371201816201E-6</v>
      </c>
      <c r="CA49" s="27">
        <f>opex_orig!BR49</f>
        <v>3.6647292462081003E-7</v>
      </c>
      <c r="CB49" s="27">
        <f>opex_orig!BS49</f>
        <v>2.48266787941098E-6</v>
      </c>
      <c r="CC49" s="27">
        <f>opex_orig!BT49</f>
        <v>8.0246882193531494E-6</v>
      </c>
      <c r="CD49" s="27">
        <f>opex_orig!BU49</f>
        <v>6.1016822465103305E-7</v>
      </c>
      <c r="CE49" s="27">
        <f>opex_orig!BV49</f>
        <v>6.1016822465103496E-7</v>
      </c>
      <c r="CF49" s="27">
        <f>opex_orig!BW49</f>
        <v>2.4480172394514001E-5</v>
      </c>
      <c r="CG49" s="27">
        <f>opex_orig!BX49</f>
        <v>7.21361392866545E-7</v>
      </c>
      <c r="CH49" s="27">
        <f>opex_orig!BY49</f>
        <v>6.01472999163291E-6</v>
      </c>
      <c r="CI49" s="27">
        <f>opex_orig!BZ49</f>
        <v>1.3599999999999999E-6</v>
      </c>
      <c r="CJ49" s="27">
        <f>opex_orig!CA49</f>
        <v>9.2900000000000002E-7</v>
      </c>
      <c r="CK49" s="27">
        <f>opex_orig!CB49</f>
        <v>9.9099999999999991E-7</v>
      </c>
      <c r="CL49" s="27">
        <f>opex_orig!CC49</f>
        <v>4.6699999999999999E-7</v>
      </c>
      <c r="CM49" s="27">
        <f>opex_orig!CD49</f>
        <v>2.5600000000000001E-6</v>
      </c>
      <c r="CN49" s="27">
        <f>opex_orig!CE49</f>
        <v>1.8300000000000001E-6</v>
      </c>
      <c r="CO49" s="27">
        <f>opex_orig!CF49</f>
        <v>3.0299999999999998E-6</v>
      </c>
      <c r="CP49" s="27">
        <f>opex_orig!CG49</f>
        <v>8.1699999999999997E-7</v>
      </c>
    </row>
    <row r="50" spans="1:94" x14ac:dyDescent="0.25">
      <c r="A50" s="5" t="s">
        <v>119</v>
      </c>
      <c r="B50" s="2" t="s">
        <v>118</v>
      </c>
      <c r="C50" s="1" t="s">
        <v>327</v>
      </c>
      <c r="D50" s="188">
        <f>opex_orig!D50</f>
        <v>1.5800000000000001E-5</v>
      </c>
      <c r="E50" s="188">
        <f>opex_orig!E50</f>
        <v>3.72E-6</v>
      </c>
      <c r="F50" s="188">
        <f>opex_orig!F50</f>
        <v>6.7100000000000001E-6</v>
      </c>
      <c r="G50" s="188">
        <f>opex_orig!G50</f>
        <v>2.84E-7</v>
      </c>
      <c r="H50" s="188">
        <f>opex_orig!H50</f>
        <v>4.27E-7</v>
      </c>
      <c r="I50" s="188">
        <f>opex_orig!I50</f>
        <v>4.25E-6</v>
      </c>
      <c r="J50" s="188">
        <f>opex_orig!J50</f>
        <v>8.5599999999999994E-6</v>
      </c>
      <c r="K50" s="188">
        <f>opex_orig!K50</f>
        <v>5.9100000000000004E-7</v>
      </c>
      <c r="L50" s="188">
        <f>opex_orig!L50</f>
        <v>1.5699999999999999E-5</v>
      </c>
      <c r="M50" s="188">
        <f>opex_orig!M50</f>
        <v>1.26E-5</v>
      </c>
      <c r="N50" s="188">
        <f>opex_orig!N50</f>
        <v>1.06E-5</v>
      </c>
      <c r="O50" s="188">
        <f>opex_orig!O50</f>
        <v>5.8900000000000004E-6</v>
      </c>
      <c r="P50" s="188">
        <f>opex_orig!P50</f>
        <v>6.2199999999999994E-5</v>
      </c>
      <c r="Q50" s="188">
        <f>opex_orig!Q50</f>
        <v>1.355754E-3</v>
      </c>
      <c r="R50" s="188">
        <f>opex_orig!R50</f>
        <v>0.47185125100000003</v>
      </c>
      <c r="S50" s="188">
        <f>opex_orig!S50</f>
        <v>7.4200000000000001E-6</v>
      </c>
      <c r="T50" s="188">
        <f>opex_orig!T50</f>
        <v>7.79E-6</v>
      </c>
      <c r="U50" s="188">
        <f>opex_orig!U50</f>
        <v>6.63E-6</v>
      </c>
      <c r="V50" s="188">
        <f>opex_orig!V50</f>
        <v>6.1800000000000001E-6</v>
      </c>
      <c r="W50" s="188">
        <f>opex_orig!W50</f>
        <v>2.0699999999999998E-5</v>
      </c>
      <c r="X50" s="188">
        <f>opex_orig!X50</f>
        <v>7.9300000000000003E-6</v>
      </c>
      <c r="Y50" s="188">
        <f>opex_orig!Y50</f>
        <v>4.3800000000000004E-6</v>
      </c>
      <c r="Z50" s="188">
        <f>opex_orig!Z50</f>
        <v>5.5500000000000002E-6</v>
      </c>
      <c r="AA50" s="188">
        <f>opex_orig!AA50</f>
        <v>3.0199999999999999E-6</v>
      </c>
      <c r="AB50" s="188">
        <f>opex_orig!$AB50</f>
        <v>4.6404280930667401E-6</v>
      </c>
      <c r="AC50" s="188">
        <f>opex_orig!$AB50</f>
        <v>4.6404280930667401E-6</v>
      </c>
      <c r="AD50" s="188">
        <f>opex_orig!$AB50</f>
        <v>4.6404280930667401E-6</v>
      </c>
      <c r="AE50" s="188">
        <f>opex_orig!$AC50</f>
        <v>2.0018004468520099E-6</v>
      </c>
      <c r="AF50" s="188">
        <f>opex_orig!$AD50</f>
        <v>3.59962801255467E-6</v>
      </c>
      <c r="AG50" s="188">
        <f>opex_orig!$AD50</f>
        <v>3.59962801255467E-6</v>
      </c>
      <c r="AH50" s="188">
        <f>opex_orig!$AD50</f>
        <v>3.59962801255467E-6</v>
      </c>
      <c r="AI50" s="188">
        <f>opex_orig!AE50</f>
        <v>3.7400000000000002E-6</v>
      </c>
      <c r="AJ50" s="188">
        <f>opex_orig!AF50</f>
        <v>1.7900000000000001E-5</v>
      </c>
      <c r="AK50" s="188">
        <f>opex_orig!AG50</f>
        <v>9.0799999999999998E-5</v>
      </c>
      <c r="AL50" s="188">
        <f>opex_orig!AH50</f>
        <v>7.96E-6</v>
      </c>
      <c r="AM50" s="188">
        <f>opex_orig!AI50</f>
        <v>1.03E-5</v>
      </c>
      <c r="AN50" s="188">
        <f>opex_orig!AJ50</f>
        <v>4.6700000000000002E-6</v>
      </c>
      <c r="AO50" s="188">
        <f>opex_orig!AK50</f>
        <v>4.95E-6</v>
      </c>
      <c r="AP50" s="188">
        <f>opex_orig!$AL50</f>
        <v>4.2862781362918497E-6</v>
      </c>
      <c r="AQ50" s="188">
        <f>opex_orig!$AL50</f>
        <v>4.2862781362918497E-6</v>
      </c>
      <c r="AR50" s="188">
        <f>opex_orig!$AL50</f>
        <v>4.2862781362918497E-6</v>
      </c>
      <c r="AS50" s="188">
        <f>opex_orig!$AM50</f>
        <v>4.0189952039578999E-6</v>
      </c>
      <c r="AT50" s="188">
        <f>opex_orig!AN50</f>
        <v>7.0899999999999999E-6</v>
      </c>
      <c r="AU50" s="188">
        <f>opex_orig!$AO50</f>
        <v>6.9958840076039602E-6</v>
      </c>
      <c r="AV50" s="188">
        <f>opex_orig!$AO50</f>
        <v>6.9958840076039602E-6</v>
      </c>
      <c r="AW50" s="188">
        <f>opex_orig!$AO50</f>
        <v>6.9958840076039602E-6</v>
      </c>
      <c r="AX50" s="188">
        <f>opex_orig!$AP50</f>
        <v>7.5282174288838004E-6</v>
      </c>
      <c r="AY50" s="188">
        <f>opex_orig!AQ50</f>
        <v>9.3400000000000004E-6</v>
      </c>
      <c r="AZ50" s="188">
        <f>opex_orig!AR50</f>
        <v>0</v>
      </c>
      <c r="BA50" s="188">
        <f>opex_orig!AS50</f>
        <v>8.1300000000000001E-6</v>
      </c>
      <c r="BB50" s="188">
        <f>opex_orig!AT50</f>
        <v>7.7800000000000001E-6</v>
      </c>
      <c r="BC50" s="188">
        <f>opex_orig!AU50</f>
        <v>1.6199999999999999E-6</v>
      </c>
      <c r="BD50" s="188">
        <f>opex_orig!AV50</f>
        <v>1.24E-6</v>
      </c>
      <c r="BE50" s="188">
        <f>opex_orig!AW50</f>
        <v>5.4399999999999996E-6</v>
      </c>
      <c r="BF50" s="188">
        <f>opex_orig!AX50</f>
        <v>0</v>
      </c>
      <c r="BG50" s="188">
        <f>opex_orig!AY50</f>
        <v>1.01E-5</v>
      </c>
      <c r="BH50" s="188">
        <f>opex_orig!AZ50</f>
        <v>0</v>
      </c>
      <c r="BI50" s="188">
        <f>opex_orig!BA50</f>
        <v>7.79E-6</v>
      </c>
      <c r="BJ50" s="188">
        <f>opex_orig!BB50</f>
        <v>1.7900000000000001E-5</v>
      </c>
      <c r="BK50" s="188">
        <f>opex_orig!BC50</f>
        <v>8.8599999999999999E-6</v>
      </c>
      <c r="BL50" s="188">
        <f>opex_orig!BD50</f>
        <v>1.7E-5</v>
      </c>
      <c r="BM50" s="188">
        <f>opex_orig!BE50</f>
        <v>2.7800000000000001E-5</v>
      </c>
      <c r="BN50" s="188">
        <f>opex_orig!BF50</f>
        <v>9.9699999999999998E-5</v>
      </c>
      <c r="BO50" s="188">
        <f>opex_orig!BG50</f>
        <v>2.9099999999999999E-5</v>
      </c>
      <c r="BP50" s="188">
        <f>opex_orig!$BH50</f>
        <v>6.7204607742409595E-5</v>
      </c>
      <c r="BQ50" s="188">
        <f>opex_orig!$BH50</f>
        <v>6.7204607742409595E-5</v>
      </c>
      <c r="BR50" s="188">
        <f>opex_orig!BI50</f>
        <v>4.18E-5</v>
      </c>
      <c r="BS50" s="188">
        <f>opex_orig!BJ50</f>
        <v>1.21033E-4</v>
      </c>
      <c r="BT50" s="188">
        <f>opex_orig!BK50</f>
        <v>5.7300000000000002E-6</v>
      </c>
      <c r="BU50" s="188">
        <f>opex_orig!BL50</f>
        <v>0</v>
      </c>
      <c r="BV50" s="27">
        <f>opex_orig!BM50</f>
        <v>1.7604852424847899E-6</v>
      </c>
      <c r="BW50" s="27">
        <f>opex_orig!BN50</f>
        <v>2.95970951753323E-6</v>
      </c>
      <c r="BX50" s="27">
        <f>opex_orig!BO50</f>
        <v>9.5815645015156594E-7</v>
      </c>
      <c r="BY50" s="27">
        <f>opex_orig!BP50</f>
        <v>7.14726786245756E-7</v>
      </c>
      <c r="BZ50" s="27">
        <f>opex_orig!BQ50</f>
        <v>6.2282904416479396E-7</v>
      </c>
      <c r="CA50" s="27">
        <f>opex_orig!BR50</f>
        <v>6.10649448776822E-7</v>
      </c>
      <c r="CB50" s="27">
        <f>opex_orig!BS50</f>
        <v>2.7664162520423698E-6</v>
      </c>
      <c r="CC50" s="27">
        <f>opex_orig!BT50</f>
        <v>6.6973429401645503E-6</v>
      </c>
      <c r="CD50" s="27">
        <f>opex_orig!BU50</f>
        <v>4.91613032114312E-7</v>
      </c>
      <c r="CE50" s="27">
        <f>opex_orig!BV50</f>
        <v>4.9161303211431295E-7</v>
      </c>
      <c r="CF50" s="27">
        <f>opex_orig!BW50</f>
        <v>4.1638127709147501E-6</v>
      </c>
      <c r="CG50" s="27">
        <f>opex_orig!BX50</f>
        <v>3.61659053187557E-7</v>
      </c>
      <c r="CH50" s="27">
        <f>opex_orig!BY50</f>
        <v>8.9242126458808296E-6</v>
      </c>
      <c r="CI50" s="27">
        <f>opex_orig!BZ50</f>
        <v>1.28E-6</v>
      </c>
      <c r="CJ50" s="27">
        <f>opex_orig!CA50</f>
        <v>9.2500000000000004E-7</v>
      </c>
      <c r="CK50" s="27">
        <f>opex_orig!CB50</f>
        <v>1.0499999999999999E-6</v>
      </c>
      <c r="CL50" s="27">
        <f>opex_orig!CC50</f>
        <v>7.1099999999999995E-7</v>
      </c>
      <c r="CM50" s="27">
        <f>opex_orig!CD50</f>
        <v>5.6200000000000004E-6</v>
      </c>
      <c r="CN50" s="27">
        <f>opex_orig!CE50</f>
        <v>3.1E-6</v>
      </c>
      <c r="CO50" s="27">
        <f>opex_orig!CF50</f>
        <v>2.9799999999999998E-6</v>
      </c>
      <c r="CP50" s="27">
        <f>opex_orig!CG50</f>
        <v>4.4799999999999999E-7</v>
      </c>
    </row>
    <row r="51" spans="1:94" x14ac:dyDescent="0.25">
      <c r="A51" s="5" t="s">
        <v>121</v>
      </c>
      <c r="B51" s="2" t="s">
        <v>120</v>
      </c>
      <c r="C51" s="1" t="s">
        <v>327</v>
      </c>
      <c r="D51" s="188">
        <f>opex_orig!D51</f>
        <v>4.1513299999999998E-4</v>
      </c>
      <c r="E51" s="188">
        <f>opex_orig!E51</f>
        <v>1.9435000000000001E-4</v>
      </c>
      <c r="F51" s="188">
        <f>opex_orig!F51</f>
        <v>1.64253E-4</v>
      </c>
      <c r="G51" s="188">
        <f>opex_orig!G51</f>
        <v>5.13E-5</v>
      </c>
      <c r="H51" s="188">
        <f>opex_orig!H51</f>
        <v>5.3499999999999999E-5</v>
      </c>
      <c r="I51" s="188">
        <f>opex_orig!I51</f>
        <v>3.6817799999999998E-4</v>
      </c>
      <c r="J51" s="188">
        <f>opex_orig!J51</f>
        <v>5.35882E-4</v>
      </c>
      <c r="K51" s="188">
        <f>opex_orig!K51</f>
        <v>1.0163200000000001E-4</v>
      </c>
      <c r="L51" s="188">
        <f>opex_orig!L51</f>
        <v>5.5251300000000003E-4</v>
      </c>
      <c r="M51" s="188">
        <f>opex_orig!M51</f>
        <v>1.163421E-3</v>
      </c>
      <c r="N51" s="188">
        <f>opex_orig!N51</f>
        <v>8.5625100000000004E-4</v>
      </c>
      <c r="O51" s="188">
        <f>opex_orig!O51</f>
        <v>3.9254140000000003E-3</v>
      </c>
      <c r="P51" s="188">
        <f>opex_orig!P51</f>
        <v>1.0979290000000001E-3</v>
      </c>
      <c r="Q51" s="188">
        <f>opex_orig!Q51</f>
        <v>4.5521400000000001E-4</v>
      </c>
      <c r="R51" s="188">
        <f>opex_orig!R51</f>
        <v>6.2751199999999999E-4</v>
      </c>
      <c r="S51" s="188">
        <f>opex_orig!S51</f>
        <v>0.19527950599999999</v>
      </c>
      <c r="T51" s="188">
        <f>opex_orig!T51</f>
        <v>0.201708093</v>
      </c>
      <c r="U51" s="188">
        <f>opex_orig!U51</f>
        <v>7.5990184000000002E-2</v>
      </c>
      <c r="V51" s="188">
        <f>opex_orig!V51</f>
        <v>1.2860549999999999E-3</v>
      </c>
      <c r="W51" s="188">
        <f>opex_orig!W51</f>
        <v>3.7197921000000002E-2</v>
      </c>
      <c r="X51" s="188">
        <f>opex_orig!X51</f>
        <v>1.0097839999999999E-3</v>
      </c>
      <c r="Y51" s="188">
        <f>opex_orig!Y51</f>
        <v>1.42211E-4</v>
      </c>
      <c r="Z51" s="188">
        <f>opex_orig!Z51</f>
        <v>3.4868399999999998E-4</v>
      </c>
      <c r="AA51" s="188">
        <f>opex_orig!AA51</f>
        <v>5.4027700000000003E-4</v>
      </c>
      <c r="AB51" s="188">
        <f>opex_orig!$AB51</f>
        <v>2.71673886211382E-4</v>
      </c>
      <c r="AC51" s="188">
        <f>opex_orig!$AB51</f>
        <v>2.71673886211382E-4</v>
      </c>
      <c r="AD51" s="188">
        <f>opex_orig!$AB51</f>
        <v>2.71673886211382E-4</v>
      </c>
      <c r="AE51" s="188">
        <f>opex_orig!$AC51</f>
        <v>2.3819806318764801E-3</v>
      </c>
      <c r="AF51" s="188">
        <f>opex_orig!$AD51</f>
        <v>7.4207903223627602E-4</v>
      </c>
      <c r="AG51" s="188">
        <f>opex_orig!$AD51</f>
        <v>7.4207903223627602E-4</v>
      </c>
      <c r="AH51" s="188">
        <f>opex_orig!$AD51</f>
        <v>7.4207903223627602E-4</v>
      </c>
      <c r="AI51" s="188">
        <f>opex_orig!AE51</f>
        <v>6.8092700000000001E-4</v>
      </c>
      <c r="AJ51" s="188">
        <f>opex_orig!AF51</f>
        <v>2.7066709999999999E-3</v>
      </c>
      <c r="AK51" s="188">
        <f>opex_orig!AG51</f>
        <v>8.3693589999999998E-3</v>
      </c>
      <c r="AL51" s="188">
        <f>opex_orig!AH51</f>
        <v>6.0603590000000004E-3</v>
      </c>
      <c r="AM51" s="188">
        <f>opex_orig!AI51</f>
        <v>1.1081094999999999E-2</v>
      </c>
      <c r="AN51" s="188">
        <f>opex_orig!AJ51</f>
        <v>1.3033045E-2</v>
      </c>
      <c r="AO51" s="188">
        <f>opex_orig!AK51</f>
        <v>5.1698040000000001E-3</v>
      </c>
      <c r="AP51" s="188">
        <f>opex_orig!$AL51</f>
        <v>1.2536370173504799E-3</v>
      </c>
      <c r="AQ51" s="188">
        <f>opex_orig!$AL51</f>
        <v>1.2536370173504799E-3</v>
      </c>
      <c r="AR51" s="188">
        <f>opex_orig!$AL51</f>
        <v>1.2536370173504799E-3</v>
      </c>
      <c r="AS51" s="188">
        <f>opex_orig!$AM51</f>
        <v>1.1594382829699899E-3</v>
      </c>
      <c r="AT51" s="188">
        <f>opex_orig!AN51</f>
        <v>4.4175550000000001E-3</v>
      </c>
      <c r="AU51" s="247">
        <f>opex_concordance!M597</f>
        <v>2.7790431304786499E-2</v>
      </c>
      <c r="AV51" s="247">
        <f>opex_concordance!M643</f>
        <v>3.7753202988794685E-2</v>
      </c>
      <c r="AW51" s="247">
        <f>opex_concordance!M689</f>
        <v>3.116612624229256E-2</v>
      </c>
      <c r="AX51" s="188">
        <f>opex_orig!$AP51</f>
        <v>3.1783979298286198E-2</v>
      </c>
      <c r="AY51" s="188">
        <f>opex_orig!AQ51</f>
        <v>6.2069394999999999E-2</v>
      </c>
      <c r="AZ51" s="188">
        <f>opex_orig!AR51</f>
        <v>0</v>
      </c>
      <c r="BA51" s="188">
        <f>opex_orig!AS51</f>
        <v>3.3793704000000001E-2</v>
      </c>
      <c r="BB51" s="188">
        <f>opex_orig!AT51</f>
        <v>3.3573730000000003E-2</v>
      </c>
      <c r="BC51" s="188">
        <f>opex_orig!AU51</f>
        <v>7.2049200000000001E-3</v>
      </c>
      <c r="BD51" s="188">
        <f>opex_orig!AV51</f>
        <v>5.3222779999999997E-3</v>
      </c>
      <c r="BE51" s="188">
        <f>opex_orig!AW51</f>
        <v>2.1147239000000002E-2</v>
      </c>
      <c r="BF51" s="188">
        <f>opex_orig!AX51</f>
        <v>0</v>
      </c>
      <c r="BG51" s="188">
        <f>opex_orig!AY51</f>
        <v>4.5336178999999997E-2</v>
      </c>
      <c r="BH51" s="188">
        <f>opex_orig!AZ51</f>
        <v>0</v>
      </c>
      <c r="BI51" s="188">
        <f>opex_orig!BA51</f>
        <v>5.4107453999999999E-2</v>
      </c>
      <c r="BJ51" s="188">
        <f>opex_orig!BB51</f>
        <v>1.8503219999999999E-3</v>
      </c>
      <c r="BK51" s="188">
        <f>opex_orig!BC51</f>
        <v>1.973631E-3</v>
      </c>
      <c r="BL51" s="188">
        <f>opex_orig!BD51</f>
        <v>9.0099999999999995E-5</v>
      </c>
      <c r="BM51" s="188">
        <f>opex_orig!BE51</f>
        <v>7.0293999999999999E-4</v>
      </c>
      <c r="BN51" s="188">
        <f>opex_orig!BF51</f>
        <v>9.2744699999999997E-4</v>
      </c>
      <c r="BO51" s="188">
        <f>opex_orig!BG51</f>
        <v>3.2789709999999999E-3</v>
      </c>
      <c r="BP51" s="310">
        <f>opex_concordance!M86</f>
        <v>1.3352290452847526E-2</v>
      </c>
      <c r="BQ51" s="310">
        <f>opex_concordance!M129</f>
        <v>7.8943208174966743E-3</v>
      </c>
      <c r="BR51" s="188">
        <f>opex_orig!BI51</f>
        <v>3.9353729999999998E-3</v>
      </c>
      <c r="BS51" s="188">
        <f>opex_orig!BJ51</f>
        <v>5.7714612999999998E-2</v>
      </c>
      <c r="BT51" s="188">
        <f>opex_orig!BK51</f>
        <v>2.9907689999999999E-3</v>
      </c>
      <c r="BU51" s="188">
        <f>opex_orig!BL51</f>
        <v>0</v>
      </c>
      <c r="BV51" s="27">
        <f>opex_orig!BM51</f>
        <v>4.4582490103133097E-4</v>
      </c>
      <c r="BW51" s="27">
        <f>opex_orig!BN51</f>
        <v>7.1196309553209398E-4</v>
      </c>
      <c r="BX51" s="27">
        <f>opex_orig!BO51</f>
        <v>2.13522569107786E-4</v>
      </c>
      <c r="BY51" s="27">
        <f>opex_orig!BP51</f>
        <v>2.3676825782057399E-4</v>
      </c>
      <c r="BZ51" s="27">
        <f>opex_orig!BQ51</f>
        <v>2.5193515424108801E-4</v>
      </c>
      <c r="CA51" s="27">
        <f>opex_orig!BR51</f>
        <v>1.85400503554303E-4</v>
      </c>
      <c r="CB51" s="27">
        <f>opex_orig!BS51</f>
        <v>6.5517888795054498E-4</v>
      </c>
      <c r="CC51" s="27">
        <f>opex_orig!BT51</f>
        <v>1.9985969887756001E-3</v>
      </c>
      <c r="CD51" s="27">
        <f>opex_orig!BU51</f>
        <v>1.20007986034433E-4</v>
      </c>
      <c r="CE51" s="27">
        <f>opex_orig!BV51</f>
        <v>1.20007986034433E-4</v>
      </c>
      <c r="CF51" s="27">
        <f>opex_orig!BW51</f>
        <v>1.00780297849118E-4</v>
      </c>
      <c r="CG51" s="27">
        <f>opex_orig!BX51</f>
        <v>1.28763982625229E-5</v>
      </c>
      <c r="CH51" s="27">
        <f>opex_orig!BY51</f>
        <v>2.43710791122305E-5</v>
      </c>
      <c r="CI51" s="27">
        <f>opex_orig!BZ51</f>
        <v>4.1317200000000001E-4</v>
      </c>
      <c r="CJ51" s="27">
        <f>opex_orig!CA51</f>
        <v>3.17399E-4</v>
      </c>
      <c r="CK51" s="27">
        <f>opex_orig!CB51</f>
        <v>3.4259600000000002E-4</v>
      </c>
      <c r="CL51" s="27">
        <f>opex_orig!CC51</f>
        <v>2.3593299999999999E-4</v>
      </c>
      <c r="CM51" s="27">
        <f>opex_orig!CD51</f>
        <v>1.1761950000000001E-3</v>
      </c>
      <c r="CN51" s="27">
        <f>opex_orig!CE51</f>
        <v>1.5661620000000001E-3</v>
      </c>
      <c r="CO51" s="27">
        <f>opex_orig!CF51</f>
        <v>9.4683099999999997E-4</v>
      </c>
      <c r="CP51" s="27">
        <f>opex_orig!CG51</f>
        <v>8.8999999999999995E-5</v>
      </c>
    </row>
    <row r="52" spans="1:94" x14ac:dyDescent="0.25">
      <c r="A52" s="5" t="s">
        <v>123</v>
      </c>
      <c r="B52" s="2" t="s">
        <v>122</v>
      </c>
      <c r="C52" s="1" t="s">
        <v>327</v>
      </c>
      <c r="D52" s="188">
        <f>opex_orig!D52</f>
        <v>4.5800000000000002E-5</v>
      </c>
      <c r="E52" s="188">
        <f>opex_orig!E52</f>
        <v>1.6699999999999999E-5</v>
      </c>
      <c r="F52" s="188">
        <f>opex_orig!F52</f>
        <v>1.31E-5</v>
      </c>
      <c r="G52" s="188">
        <f>opex_orig!G52</f>
        <v>2.83E-6</v>
      </c>
      <c r="H52" s="188">
        <f>opex_orig!H52</f>
        <v>3.54E-6</v>
      </c>
      <c r="I52" s="188">
        <f>opex_orig!I52</f>
        <v>3.4E-5</v>
      </c>
      <c r="J52" s="188">
        <f>opex_orig!J52</f>
        <v>3.5299999999999997E-5</v>
      </c>
      <c r="K52" s="188">
        <f>opex_orig!K52</f>
        <v>5.9100000000000002E-6</v>
      </c>
      <c r="L52" s="188">
        <f>opex_orig!L52</f>
        <v>3.7799999999999997E-5</v>
      </c>
      <c r="M52" s="188">
        <f>opex_orig!M52</f>
        <v>8.2100000000000003E-5</v>
      </c>
      <c r="N52" s="188">
        <f>opex_orig!N52</f>
        <v>5.4299999999999998E-5</v>
      </c>
      <c r="O52" s="188">
        <f>opex_orig!O52</f>
        <v>2.50578E-4</v>
      </c>
      <c r="P52" s="188">
        <f>opex_orig!P52</f>
        <v>9.3900000000000006E-5</v>
      </c>
      <c r="Q52" s="188">
        <f>opex_orig!Q52</f>
        <v>5.5600000000000003E-5</v>
      </c>
      <c r="R52" s="188">
        <f>opex_orig!R52</f>
        <v>1.6269900000000001E-4</v>
      </c>
      <c r="S52" s="188">
        <f>opex_orig!S52</f>
        <v>1.5677152E-2</v>
      </c>
      <c r="T52" s="188">
        <f>opex_orig!T52</f>
        <v>1.6236433000000002E-2</v>
      </c>
      <c r="U52" s="188">
        <f>opex_orig!U52</f>
        <v>6.1790389999999999E-3</v>
      </c>
      <c r="V52" s="188">
        <f>opex_orig!V52</f>
        <v>9.6299999999999996E-5</v>
      </c>
      <c r="W52" s="188">
        <f>opex_orig!W52</f>
        <v>3.0519050000000002E-3</v>
      </c>
      <c r="X52" s="188">
        <f>opex_orig!X52</f>
        <v>1.0691099999999999E-4</v>
      </c>
      <c r="Y52" s="188">
        <f>opex_orig!Y52</f>
        <v>1.11E-5</v>
      </c>
      <c r="Z52" s="188">
        <f>opex_orig!Z52</f>
        <v>1.8E-5</v>
      </c>
      <c r="AA52" s="188">
        <f>opex_orig!AA52</f>
        <v>3.3200000000000001E-5</v>
      </c>
      <c r="AB52" s="188">
        <f>opex_orig!$AB52</f>
        <v>1.4921851079568299E-5</v>
      </c>
      <c r="AC52" s="188">
        <f>opex_orig!$AB52</f>
        <v>1.4921851079568299E-5</v>
      </c>
      <c r="AD52" s="188">
        <f>opex_orig!$AB52</f>
        <v>1.4921851079568299E-5</v>
      </c>
      <c r="AE52" s="188">
        <f>opex_orig!$AC52</f>
        <v>1.6636903224247901E-4</v>
      </c>
      <c r="AF52" s="188">
        <f>opex_orig!$AD52</f>
        <v>3.8970665702097398E-5</v>
      </c>
      <c r="AG52" s="188">
        <f>opex_orig!$AD52</f>
        <v>3.8970665702097398E-5</v>
      </c>
      <c r="AH52" s="188">
        <f>opex_orig!$AD52</f>
        <v>3.8970665702097398E-5</v>
      </c>
      <c r="AI52" s="188">
        <f>opex_orig!AE52</f>
        <v>3.5099999999999999E-5</v>
      </c>
      <c r="AJ52" s="188">
        <f>opex_orig!AF52</f>
        <v>2.25443E-4</v>
      </c>
      <c r="AK52" s="188">
        <f>opex_orig!AG52</f>
        <v>7.6320399999999997E-4</v>
      </c>
      <c r="AL52" s="188">
        <f>opex_orig!AH52</f>
        <v>5.0725300000000004E-4</v>
      </c>
      <c r="AM52" s="188">
        <f>opex_orig!AI52</f>
        <v>9.2324499999999995E-4</v>
      </c>
      <c r="AN52" s="188">
        <f>opex_orig!AJ52</f>
        <v>1.1326109999999999E-3</v>
      </c>
      <c r="AO52" s="188">
        <f>opex_orig!AK52</f>
        <v>4.5953600000000003E-4</v>
      </c>
      <c r="AP52" s="188">
        <f>opex_orig!$AL52</f>
        <v>1.14687181839051E-4</v>
      </c>
      <c r="AQ52" s="188">
        <f>opex_orig!$AL52</f>
        <v>1.14687181839051E-4</v>
      </c>
      <c r="AR52" s="188">
        <f>opex_orig!$AL52</f>
        <v>1.14687181839051E-4</v>
      </c>
      <c r="AS52" s="188">
        <f>opex_orig!$AM52</f>
        <v>1.04715115315316E-4</v>
      </c>
      <c r="AT52" s="188">
        <f>opex_orig!AN52</f>
        <v>3.8776000000000001E-4</v>
      </c>
      <c r="AU52" s="188">
        <f>opex_orig!$AO52</f>
        <v>2.2033418442178E-3</v>
      </c>
      <c r="AV52" s="188">
        <f>opex_orig!$AO52</f>
        <v>2.2033418442178E-3</v>
      </c>
      <c r="AW52" s="188">
        <f>opex_orig!$AO52</f>
        <v>2.2033418442178E-3</v>
      </c>
      <c r="AX52" s="188">
        <f>opex_orig!$AP52</f>
        <v>2.5258836624246898E-3</v>
      </c>
      <c r="AY52" s="188">
        <f>opex_orig!AQ52</f>
        <v>4.9041459999999999E-3</v>
      </c>
      <c r="AZ52" s="188">
        <f>opex_orig!AR52</f>
        <v>0</v>
      </c>
      <c r="BA52" s="188">
        <f>opex_orig!AS52</f>
        <v>2.7033679999999998E-3</v>
      </c>
      <c r="BB52" s="188">
        <f>opex_orig!AT52</f>
        <v>2.6901099999999999E-3</v>
      </c>
      <c r="BC52" s="188">
        <f>opex_orig!AU52</f>
        <v>6.0913600000000003E-4</v>
      </c>
      <c r="BD52" s="188">
        <f>opex_orig!AV52</f>
        <v>4.57854E-4</v>
      </c>
      <c r="BE52" s="188">
        <f>opex_orig!AW52</f>
        <v>1.6829760000000001E-3</v>
      </c>
      <c r="BF52" s="188">
        <f>opex_orig!AX52</f>
        <v>0</v>
      </c>
      <c r="BG52" s="188">
        <f>opex_orig!AY52</f>
        <v>3.5788310000000002E-3</v>
      </c>
      <c r="BH52" s="188">
        <f>opex_orig!AZ52</f>
        <v>0</v>
      </c>
      <c r="BI52" s="188">
        <f>opex_orig!BA52</f>
        <v>4.3223070000000001E-3</v>
      </c>
      <c r="BJ52" s="188">
        <f>opex_orig!BB52</f>
        <v>1.6868800000000001E-4</v>
      </c>
      <c r="BK52" s="188">
        <f>opex_orig!BC52</f>
        <v>1.5980500000000001E-4</v>
      </c>
      <c r="BL52" s="188">
        <f>opex_orig!BD52</f>
        <v>1.9000000000000001E-5</v>
      </c>
      <c r="BM52" s="188">
        <f>opex_orig!BE52</f>
        <v>8.8599999999999999E-5</v>
      </c>
      <c r="BN52" s="188">
        <f>opex_orig!BF52</f>
        <v>8.4499999999999994E-5</v>
      </c>
      <c r="BO52" s="188">
        <f>opex_orig!BG52</f>
        <v>2.8655899999999998E-4</v>
      </c>
      <c r="BP52" s="188">
        <f>opex_orig!$BH52</f>
        <v>1.10474685340965E-3</v>
      </c>
      <c r="BQ52" s="188">
        <f>opex_orig!$BH52</f>
        <v>1.10474685340965E-3</v>
      </c>
      <c r="BR52" s="188">
        <f>opex_orig!BI52</f>
        <v>3.5939899999999999E-4</v>
      </c>
      <c r="BS52" s="188">
        <f>opex_orig!BJ52</f>
        <v>4.6720249999999998E-3</v>
      </c>
      <c r="BT52" s="188">
        <f>opex_orig!BK52</f>
        <v>2.38445E-4</v>
      </c>
      <c r="BU52" s="188">
        <f>opex_orig!BL52</f>
        <v>0</v>
      </c>
      <c r="BV52" s="27">
        <f>opex_orig!BM52</f>
        <v>3.91868585796407E-5</v>
      </c>
      <c r="BW52" s="27">
        <f>opex_orig!BN52</f>
        <v>6.1262471163063206E-5</v>
      </c>
      <c r="BX52" s="27">
        <f>opex_orig!BO52</f>
        <v>1.45313532052851E-5</v>
      </c>
      <c r="BY52" s="27">
        <f>opex_orig!BP52</f>
        <v>1.56109161959638E-5</v>
      </c>
      <c r="BZ52" s="27">
        <f>opex_orig!BQ52</f>
        <v>1.5372382026708598E-5</v>
      </c>
      <c r="CA52" s="27">
        <f>opex_orig!BR52</f>
        <v>3.78251001668909E-5</v>
      </c>
      <c r="CB52" s="27">
        <f>opex_orig!BS52</f>
        <v>5.5652337101294898E-5</v>
      </c>
      <c r="CC52" s="27">
        <f>opex_orig!BT52</f>
        <v>8.5436773294711302E-4</v>
      </c>
      <c r="CD52" s="27">
        <f>opex_orig!BU52</f>
        <v>7.13302500607803E-6</v>
      </c>
      <c r="CE52" s="27">
        <f>opex_orig!BV52</f>
        <v>7.1330250060780401E-6</v>
      </c>
      <c r="CF52" s="27">
        <f>opex_orig!BW52</f>
        <v>3.0961075404328401E-5</v>
      </c>
      <c r="CG52" s="27">
        <f>opex_orig!BX52</f>
        <v>2.9658343918853201E-6</v>
      </c>
      <c r="CH52" s="27">
        <f>opex_orig!BY52</f>
        <v>7.6488532706539203E-6</v>
      </c>
      <c r="CI52" s="27">
        <f>opex_orig!BZ52</f>
        <v>3.0599999999999998E-5</v>
      </c>
      <c r="CJ52" s="27">
        <f>opex_orig!CA52</f>
        <v>2.0299999999999999E-5</v>
      </c>
      <c r="CK52" s="27">
        <f>opex_orig!CB52</f>
        <v>2.41E-5</v>
      </c>
      <c r="CL52" s="27">
        <f>opex_orig!CC52</f>
        <v>1.2E-5</v>
      </c>
      <c r="CM52" s="27">
        <f>opex_orig!CD52</f>
        <v>1.11419E-4</v>
      </c>
      <c r="CN52" s="27">
        <f>opex_orig!CE52</f>
        <v>5.9599999999999999E-5</v>
      </c>
      <c r="CO52" s="27">
        <f>opex_orig!CF52</f>
        <v>6.1500000000000004E-5</v>
      </c>
      <c r="CP52" s="27">
        <f>opex_orig!CG52</f>
        <v>5.9399999999999999E-6</v>
      </c>
    </row>
    <row r="53" spans="1:94" x14ac:dyDescent="0.25">
      <c r="A53" s="5" t="s">
        <v>125</v>
      </c>
      <c r="B53" s="2" t="s">
        <v>124</v>
      </c>
      <c r="C53" s="1" t="s">
        <v>327</v>
      </c>
      <c r="D53" s="188">
        <f>opex_orig!D53</f>
        <v>1.2642400000000001E-4</v>
      </c>
      <c r="E53" s="188">
        <f>opex_orig!E53</f>
        <v>6.5400000000000004E-5</v>
      </c>
      <c r="F53" s="188">
        <f>opex_orig!F53</f>
        <v>6.5400000000000004E-5</v>
      </c>
      <c r="G53" s="188">
        <f>opex_orig!G53</f>
        <v>1.31E-5</v>
      </c>
      <c r="H53" s="188">
        <f>opex_orig!H53</f>
        <v>2.1800000000000001E-5</v>
      </c>
      <c r="I53" s="188">
        <f>opex_orig!I53</f>
        <v>1.4557099999999999E-4</v>
      </c>
      <c r="J53" s="188">
        <f>opex_orig!J53</f>
        <v>2.34773E-4</v>
      </c>
      <c r="K53" s="188">
        <f>opex_orig!K53</f>
        <v>4.2899999999999999E-5</v>
      </c>
      <c r="L53" s="188">
        <f>opex_orig!L53</f>
        <v>1.5632800000000001E-4</v>
      </c>
      <c r="M53" s="188">
        <f>opex_orig!M53</f>
        <v>3.0483300000000001E-4</v>
      </c>
      <c r="N53" s="188">
        <f>opex_orig!N53</f>
        <v>2.03511E-4</v>
      </c>
      <c r="O53" s="188">
        <f>opex_orig!O53</f>
        <v>3.5016520000000001E-3</v>
      </c>
      <c r="P53" s="188">
        <f>opex_orig!P53</f>
        <v>6.8702499999999996E-4</v>
      </c>
      <c r="Q53" s="188">
        <f>opex_orig!Q53</f>
        <v>2.54916E-4</v>
      </c>
      <c r="R53" s="188">
        <f>opex_orig!R53</f>
        <v>1.7496100000000001E-4</v>
      </c>
      <c r="S53" s="188">
        <f>opex_orig!S53</f>
        <v>4.5135500000000002E-4</v>
      </c>
      <c r="T53" s="188">
        <f>opex_orig!T53</f>
        <v>4.73509E-4</v>
      </c>
      <c r="U53" s="188">
        <f>opex_orig!U53</f>
        <v>2.3372900000000001E-4</v>
      </c>
      <c r="V53" s="188">
        <f>opex_orig!V53</f>
        <v>1.7550700000000001E-4</v>
      </c>
      <c r="W53" s="188">
        <f>opex_orig!W53</f>
        <v>0.13838592599999999</v>
      </c>
      <c r="X53" s="188">
        <f>opex_orig!X53</f>
        <v>2.5757459999999999E-3</v>
      </c>
      <c r="Y53" s="188">
        <f>opex_orig!Y53</f>
        <v>1.1126E-4</v>
      </c>
      <c r="Z53" s="188">
        <f>opex_orig!Z53</f>
        <v>1.92556E-4</v>
      </c>
      <c r="AA53" s="188">
        <f>opex_orig!AA53</f>
        <v>1.17046E-4</v>
      </c>
      <c r="AB53" s="188">
        <f>opex_orig!$AB53</f>
        <v>1.91856195678395E-4</v>
      </c>
      <c r="AC53" s="188">
        <f>opex_orig!$AB53</f>
        <v>1.91856195678395E-4</v>
      </c>
      <c r="AD53" s="188">
        <f>opex_orig!$AB53</f>
        <v>1.91856195678395E-4</v>
      </c>
      <c r="AE53" s="188">
        <f>opex_orig!$AC53</f>
        <v>1.9165035302409299E-3</v>
      </c>
      <c r="AF53" s="188">
        <f>opex_orig!$AD53</f>
        <v>1.4715459431608699E-4</v>
      </c>
      <c r="AG53" s="188">
        <f>opex_orig!$AD53</f>
        <v>1.4715459431608699E-4</v>
      </c>
      <c r="AH53" s="188">
        <f>opex_orig!$AD53</f>
        <v>1.4715459431608699E-4</v>
      </c>
      <c r="AI53" s="188">
        <f>opex_orig!AE53</f>
        <v>1.3720799999999999E-4</v>
      </c>
      <c r="AJ53" s="188">
        <f>opex_orig!AF53</f>
        <v>5.4650300000000005E-4</v>
      </c>
      <c r="AK53" s="188">
        <f>opex_orig!AG53</f>
        <v>6.5704200000000004E-4</v>
      </c>
      <c r="AL53" s="188">
        <f>opex_orig!AH53</f>
        <v>1.43277E-4</v>
      </c>
      <c r="AM53" s="188">
        <f>opex_orig!AI53</f>
        <v>1.3552099999999999E-4</v>
      </c>
      <c r="AN53" s="188">
        <f>opex_orig!AJ53</f>
        <v>8.0000000000000007E-5</v>
      </c>
      <c r="AO53" s="188">
        <f>opex_orig!AK53</f>
        <v>1.46456E-4</v>
      </c>
      <c r="AP53" s="188">
        <f>opex_orig!$AL53</f>
        <v>1.43799930374661E-4</v>
      </c>
      <c r="AQ53" s="188">
        <f>opex_orig!$AL53</f>
        <v>1.43799930374661E-4</v>
      </c>
      <c r="AR53" s="188">
        <f>opex_orig!$AL53</f>
        <v>1.43799930374661E-4</v>
      </c>
      <c r="AS53" s="188">
        <f>opex_orig!$AM53</f>
        <v>1.33007829531938E-4</v>
      </c>
      <c r="AT53" s="188">
        <f>opex_orig!AN53</f>
        <v>1.6545700000000001E-4</v>
      </c>
      <c r="AU53" s="188">
        <f>opex_orig!$AO53</f>
        <v>1.3280421789958199E-4</v>
      </c>
      <c r="AV53" s="188">
        <f>opex_orig!$AO53</f>
        <v>1.3280421789958199E-4</v>
      </c>
      <c r="AW53" s="188">
        <f>opex_orig!$AO53</f>
        <v>1.3280421789958199E-4</v>
      </c>
      <c r="AX53" s="188">
        <f>opex_orig!$AP53</f>
        <v>1.8704973243895801E-4</v>
      </c>
      <c r="AY53" s="188">
        <f>opex_orig!AQ53</f>
        <v>4.29271E-4</v>
      </c>
      <c r="AZ53" s="188">
        <f>opex_orig!AR53</f>
        <v>0</v>
      </c>
      <c r="BA53" s="188">
        <f>opex_orig!AS53</f>
        <v>3.48912E-4</v>
      </c>
      <c r="BB53" s="188">
        <f>opex_orig!AT53</f>
        <v>2.6781500000000002E-4</v>
      </c>
      <c r="BC53" s="188">
        <f>opex_orig!AU53</f>
        <v>1.0788799999999999E-4</v>
      </c>
      <c r="BD53" s="188">
        <f>opex_orig!AV53</f>
        <v>8.3100000000000001E-5</v>
      </c>
      <c r="BE53" s="188">
        <f>opex_orig!AW53</f>
        <v>1.9548600000000001E-4</v>
      </c>
      <c r="BF53" s="188">
        <f>opex_orig!AX53</f>
        <v>0</v>
      </c>
      <c r="BG53" s="188">
        <f>opex_orig!AY53</f>
        <v>3.03982E-4</v>
      </c>
      <c r="BH53" s="188">
        <f>opex_orig!AZ53</f>
        <v>0</v>
      </c>
      <c r="BI53" s="188">
        <f>opex_orig!BA53</f>
        <v>1.78402E-4</v>
      </c>
      <c r="BJ53" s="188">
        <f>opex_orig!BB53</f>
        <v>1.4549800000000001E-4</v>
      </c>
      <c r="BK53" s="188">
        <f>opex_orig!BC53</f>
        <v>1.3583000000000001E-4</v>
      </c>
      <c r="BL53" s="188">
        <f>opex_orig!BD53</f>
        <v>5.3699999999999997E-5</v>
      </c>
      <c r="BM53" s="188">
        <f>opex_orig!BE53</f>
        <v>1.4286799999999999E-4</v>
      </c>
      <c r="BN53" s="188">
        <f>opex_orig!BF53</f>
        <v>5.7000000000000003E-5</v>
      </c>
      <c r="BO53" s="188">
        <f>opex_orig!BG53</f>
        <v>2.46312E-4</v>
      </c>
      <c r="BP53" s="188">
        <f>opex_orig!$BH53</f>
        <v>2.1321799643723001E-4</v>
      </c>
      <c r="BQ53" s="188">
        <f>opex_orig!$BH53</f>
        <v>2.1321799643723001E-4</v>
      </c>
      <c r="BR53" s="188">
        <f>opex_orig!BI53</f>
        <v>2.44326E-4</v>
      </c>
      <c r="BS53" s="188">
        <f>opex_orig!BJ53</f>
        <v>1.345193E-3</v>
      </c>
      <c r="BT53" s="188">
        <f>opex_orig!BK53</f>
        <v>1.00895E-4</v>
      </c>
      <c r="BU53" s="188">
        <f>opex_orig!BL53</f>
        <v>0</v>
      </c>
      <c r="BV53" s="27">
        <f>opex_orig!BM53</f>
        <v>4.4811887902870397E-5</v>
      </c>
      <c r="BW53" s="27">
        <f>opex_orig!BN53</f>
        <v>9.1774381406172994E-5</v>
      </c>
      <c r="BX53" s="27">
        <f>opex_orig!BO53</f>
        <v>1.6129506381360899E-5</v>
      </c>
      <c r="BY53" s="27">
        <f>opex_orig!BP53</f>
        <v>3.3439644499435797E-5</v>
      </c>
      <c r="BZ53" s="27">
        <f>opex_orig!BQ53</f>
        <v>3.7243430998768998E-5</v>
      </c>
      <c r="CA53" s="27">
        <f>opex_orig!BR53</f>
        <v>8.0264369445104103E-6</v>
      </c>
      <c r="CB53" s="27">
        <f>opex_orig!BS53</f>
        <v>1.3805015258567001E-4</v>
      </c>
      <c r="CC53" s="27">
        <f>opex_orig!BT53</f>
        <v>1.5745532562181501E-5</v>
      </c>
      <c r="CD53" s="27">
        <f>opex_orig!BU53</f>
        <v>1.82384115380197E-5</v>
      </c>
      <c r="CE53" s="27">
        <f>opex_orig!BV53</f>
        <v>1.82384115380197E-5</v>
      </c>
      <c r="CF53" s="27">
        <f>opex_orig!BW53</f>
        <v>2.9859246771483198E-6</v>
      </c>
      <c r="CG53" s="27">
        <f>opex_orig!BX53</f>
        <v>5.2279470287234001E-7</v>
      </c>
      <c r="CH53" s="27">
        <f>opex_orig!BY53</f>
        <v>7.5563587766519703E-6</v>
      </c>
      <c r="CI53" s="27">
        <f>opex_orig!BZ53</f>
        <v>4.57E-5</v>
      </c>
      <c r="CJ53" s="27">
        <f>opex_orig!CA53</f>
        <v>2.6120800000000002E-4</v>
      </c>
      <c r="CK53" s="27">
        <f>opex_orig!CB53</f>
        <v>2.24348E-4</v>
      </c>
      <c r="CL53" s="27">
        <f>opex_orig!CC53</f>
        <v>9.1394499999999999E-4</v>
      </c>
      <c r="CM53" s="27">
        <f>opex_orig!CD53</f>
        <v>1.1670100000000001E-4</v>
      </c>
      <c r="CN53" s="27">
        <f>opex_orig!CE53</f>
        <v>6.4499999999999996E-5</v>
      </c>
      <c r="CO53" s="27">
        <f>opex_orig!CF53</f>
        <v>3.8899999999999997E-5</v>
      </c>
      <c r="CP53" s="27">
        <f>opex_orig!CG53</f>
        <v>3.2199999999999997E-5</v>
      </c>
    </row>
    <row r="54" spans="1:94" x14ac:dyDescent="0.25">
      <c r="A54" s="5" t="s">
        <v>127</v>
      </c>
      <c r="B54" s="2" t="s">
        <v>126</v>
      </c>
      <c r="C54" s="1" t="s">
        <v>327</v>
      </c>
      <c r="D54" s="188">
        <f>opex_orig!D54</f>
        <v>7.7700000000000005E-5</v>
      </c>
      <c r="E54" s="188">
        <f>opex_orig!E54</f>
        <v>3.26E-5</v>
      </c>
      <c r="F54" s="188">
        <f>opex_orig!F54</f>
        <v>3.0599999999999998E-5</v>
      </c>
      <c r="G54" s="188">
        <f>opex_orig!G54</f>
        <v>6.64E-6</v>
      </c>
      <c r="H54" s="188">
        <f>opex_orig!H54</f>
        <v>1.1199999999999999E-5</v>
      </c>
      <c r="I54" s="188">
        <f>opex_orig!I54</f>
        <v>6.8999999999999997E-5</v>
      </c>
      <c r="J54" s="188">
        <f>opex_orig!J54</f>
        <v>1.07854E-4</v>
      </c>
      <c r="K54" s="188">
        <f>opex_orig!K54</f>
        <v>2.1500000000000001E-5</v>
      </c>
      <c r="L54" s="188">
        <f>opex_orig!L54</f>
        <v>7.0699999999999997E-5</v>
      </c>
      <c r="M54" s="188">
        <f>opex_orig!M54</f>
        <v>1.3779600000000001E-4</v>
      </c>
      <c r="N54" s="188">
        <f>opex_orig!N54</f>
        <v>9.8400000000000007E-5</v>
      </c>
      <c r="O54" s="188">
        <f>opex_orig!O54</f>
        <v>1.711572E-3</v>
      </c>
      <c r="P54" s="188">
        <f>opex_orig!P54</f>
        <v>5.03883E-4</v>
      </c>
      <c r="Q54" s="188">
        <f>opex_orig!Q54</f>
        <v>2.00826E-4</v>
      </c>
      <c r="R54" s="188">
        <f>opex_orig!R54</f>
        <v>1.33743E-4</v>
      </c>
      <c r="S54" s="188">
        <f>opex_orig!S54</f>
        <v>2.3311499999999999E-4</v>
      </c>
      <c r="T54" s="188">
        <f>opex_orig!T54</f>
        <v>2.4591400000000002E-4</v>
      </c>
      <c r="U54" s="188">
        <f>opex_orig!U54</f>
        <v>1.0929099999999999E-4</v>
      </c>
      <c r="V54" s="188">
        <f>opex_orig!V54</f>
        <v>8.2799999999999993E-5</v>
      </c>
      <c r="W54" s="188">
        <f>opex_orig!W54</f>
        <v>6.8576827000000007E-2</v>
      </c>
      <c r="X54" s="188">
        <f>opex_orig!X54</f>
        <v>1.248557E-3</v>
      </c>
      <c r="Y54" s="188">
        <f>opex_orig!Y54</f>
        <v>4.7599999999999998E-5</v>
      </c>
      <c r="Z54" s="188">
        <f>opex_orig!Z54</f>
        <v>8.1699999999999994E-5</v>
      </c>
      <c r="AA54" s="188">
        <f>opex_orig!AA54</f>
        <v>5.41E-5</v>
      </c>
      <c r="AB54" s="188">
        <f>opex_orig!$AB54</f>
        <v>1.13132120627034E-4</v>
      </c>
      <c r="AC54" s="188">
        <f>opex_orig!$AB54</f>
        <v>1.13132120627034E-4</v>
      </c>
      <c r="AD54" s="188">
        <f>opex_orig!$AB54</f>
        <v>1.13132120627034E-4</v>
      </c>
      <c r="AE54" s="188">
        <f>opex_orig!$AC54</f>
        <v>9.5637447364410697E-4</v>
      </c>
      <c r="AF54" s="188">
        <f>opex_orig!$AD54</f>
        <v>7.5171887408994706E-5</v>
      </c>
      <c r="AG54" s="188">
        <f>opex_orig!$AD54</f>
        <v>7.5171887408994706E-5</v>
      </c>
      <c r="AH54" s="188">
        <f>opex_orig!$AD54</f>
        <v>7.5171887408994706E-5</v>
      </c>
      <c r="AI54" s="188">
        <f>opex_orig!AE54</f>
        <v>7.0400000000000004E-5</v>
      </c>
      <c r="AJ54" s="188">
        <f>opex_orig!AF54</f>
        <v>2.67414E-4</v>
      </c>
      <c r="AK54" s="188">
        <f>opex_orig!AG54</f>
        <v>4.0479999999999997E-4</v>
      </c>
      <c r="AL54" s="188">
        <f>opex_orig!AH54</f>
        <v>1.0217000000000001E-4</v>
      </c>
      <c r="AM54" s="188">
        <f>opex_orig!AI54</f>
        <v>8.2899999999999996E-5</v>
      </c>
      <c r="AN54" s="188">
        <f>opex_orig!AJ54</f>
        <v>5.8699999999999997E-5</v>
      </c>
      <c r="AO54" s="188">
        <f>opex_orig!AK54</f>
        <v>8.1500000000000002E-5</v>
      </c>
      <c r="AP54" s="188">
        <f>opex_orig!$AL54</f>
        <v>7.4400230804391894E-5</v>
      </c>
      <c r="AQ54" s="188">
        <f>opex_orig!$AL54</f>
        <v>7.4400230804391894E-5</v>
      </c>
      <c r="AR54" s="188">
        <f>opex_orig!$AL54</f>
        <v>7.4400230804391894E-5</v>
      </c>
      <c r="AS54" s="188">
        <f>opex_orig!$AM54</f>
        <v>6.9227760122968102E-5</v>
      </c>
      <c r="AT54" s="188">
        <f>opex_orig!AN54</f>
        <v>9.2E-5</v>
      </c>
      <c r="AU54" s="188">
        <f>opex_orig!$AO54</f>
        <v>6.6150494291556601E-5</v>
      </c>
      <c r="AV54" s="188">
        <f>opex_orig!$AO54</f>
        <v>6.6150494291556601E-5</v>
      </c>
      <c r="AW54" s="188">
        <f>opex_orig!$AO54</f>
        <v>6.6150494291556601E-5</v>
      </c>
      <c r="AX54" s="188">
        <f>opex_orig!$AP54</f>
        <v>9.0525698765446104E-5</v>
      </c>
      <c r="AY54" s="188">
        <f>opex_orig!AQ54</f>
        <v>2.0489299999999999E-4</v>
      </c>
      <c r="AZ54" s="188">
        <f>opex_orig!AR54</f>
        <v>0</v>
      </c>
      <c r="BA54" s="188">
        <f>opex_orig!AS54</f>
        <v>1.71354E-4</v>
      </c>
      <c r="BB54" s="188">
        <f>opex_orig!AT54</f>
        <v>1.3441000000000001E-4</v>
      </c>
      <c r="BC54" s="188">
        <f>opex_orig!AU54</f>
        <v>5.6900000000000001E-5</v>
      </c>
      <c r="BD54" s="188">
        <f>opex_orig!AV54</f>
        <v>4.3000000000000002E-5</v>
      </c>
      <c r="BE54" s="188">
        <f>opex_orig!AW54</f>
        <v>1.6339499999999999E-4</v>
      </c>
      <c r="BF54" s="188">
        <f>opex_orig!AX54</f>
        <v>0</v>
      </c>
      <c r="BG54" s="188">
        <f>opex_orig!AY54</f>
        <v>1.3953199999999999E-4</v>
      </c>
      <c r="BH54" s="188">
        <f>opex_orig!AZ54</f>
        <v>0</v>
      </c>
      <c r="BI54" s="188">
        <f>opex_orig!BA54</f>
        <v>9.2800000000000006E-5</v>
      </c>
      <c r="BJ54" s="188">
        <f>opex_orig!BB54</f>
        <v>8.9499999999999994E-5</v>
      </c>
      <c r="BK54" s="188">
        <f>opex_orig!BC54</f>
        <v>7.1799999999999997E-5</v>
      </c>
      <c r="BL54" s="188">
        <f>opex_orig!BD54</f>
        <v>4.0200000000000001E-5</v>
      </c>
      <c r="BM54" s="188">
        <f>opex_orig!BE54</f>
        <v>9.4500000000000007E-5</v>
      </c>
      <c r="BN54" s="188">
        <f>opex_orig!BF54</f>
        <v>3.6100000000000003E-5</v>
      </c>
      <c r="BO54" s="188">
        <f>opex_orig!BG54</f>
        <v>1.36637E-4</v>
      </c>
      <c r="BP54" s="188">
        <f>opex_orig!$BH54</f>
        <v>1.4783142276278701E-4</v>
      </c>
      <c r="BQ54" s="188">
        <f>opex_orig!$BH54</f>
        <v>1.4783142276278701E-4</v>
      </c>
      <c r="BR54" s="188">
        <f>opex_orig!BI54</f>
        <v>1.7133599999999999E-4</v>
      </c>
      <c r="BS54" s="188">
        <f>opex_orig!BJ54</f>
        <v>6.93287E-4</v>
      </c>
      <c r="BT54" s="188">
        <f>opex_orig!BK54</f>
        <v>5.1900000000000001E-5</v>
      </c>
      <c r="BU54" s="188">
        <f>opex_orig!BL54</f>
        <v>0</v>
      </c>
      <c r="BV54" s="27">
        <f>opex_orig!BM54</f>
        <v>2.6174065396390201E-5</v>
      </c>
      <c r="BW54" s="27">
        <f>opex_orig!BN54</f>
        <v>4.88283348866075E-5</v>
      </c>
      <c r="BX54" s="27">
        <f>opex_orig!BO54</f>
        <v>1.19902794369667E-5</v>
      </c>
      <c r="BY54" s="27">
        <f>opex_orig!BP54</f>
        <v>2.2773895760628101E-5</v>
      </c>
      <c r="BZ54" s="27">
        <f>opex_orig!BQ54</f>
        <v>1.7378604630291701E-5</v>
      </c>
      <c r="CA54" s="27">
        <f>opex_orig!BR54</f>
        <v>2.6990697742525501E-5</v>
      </c>
      <c r="CB54" s="27">
        <f>opex_orig!BS54</f>
        <v>6.1830289044614004E-5</v>
      </c>
      <c r="CC54" s="27">
        <f>opex_orig!BT54</f>
        <v>4.1860674657533197E-5</v>
      </c>
      <c r="CD54" s="27">
        <f>opex_orig!BU54</f>
        <v>9.4258242019203297E-6</v>
      </c>
      <c r="CE54" s="27">
        <f>opex_orig!BV54</f>
        <v>9.4258242019203399E-6</v>
      </c>
      <c r="CF54" s="27">
        <f>opex_orig!BW54</f>
        <v>9.0464968537233907E-6</v>
      </c>
      <c r="CG54" s="27">
        <f>opex_orig!BX54</f>
        <v>5.9210367708251404E-7</v>
      </c>
      <c r="CH54" s="27">
        <f>opex_orig!BY54</f>
        <v>9.2408347463680292E-6</v>
      </c>
      <c r="CI54" s="27">
        <f>opex_orig!BZ54</f>
        <v>2.6699999999999998E-5</v>
      </c>
      <c r="CJ54" s="27">
        <f>opex_orig!CA54</f>
        <v>1.12448E-4</v>
      </c>
      <c r="CK54" s="27">
        <f>opex_orig!CB54</f>
        <v>9.7200000000000004E-5</v>
      </c>
      <c r="CL54" s="27">
        <f>opex_orig!CC54</f>
        <v>3.7571399999999997E-4</v>
      </c>
      <c r="CM54" s="27">
        <f>opex_orig!CD54</f>
        <v>5.52E-5</v>
      </c>
      <c r="CN54" s="27">
        <f>opex_orig!CE54</f>
        <v>3.8000000000000002E-5</v>
      </c>
      <c r="CO54" s="27">
        <f>opex_orig!CF54</f>
        <v>2.2900000000000001E-5</v>
      </c>
      <c r="CP54" s="27">
        <f>opex_orig!CG54</f>
        <v>1.5699999999999999E-5</v>
      </c>
    </row>
    <row r="55" spans="1:94" x14ac:dyDescent="0.25">
      <c r="A55" s="5" t="s">
        <v>129</v>
      </c>
      <c r="B55" s="2" t="s">
        <v>128</v>
      </c>
      <c r="C55" s="1" t="s">
        <v>327</v>
      </c>
      <c r="D55" s="188">
        <f>opex_orig!D55</f>
        <v>2.1673740000000001E-3</v>
      </c>
      <c r="E55" s="188">
        <f>opex_orig!E55</f>
        <v>5.112704E-3</v>
      </c>
      <c r="F55" s="188">
        <f>opex_orig!F55</f>
        <v>2.953734E-3</v>
      </c>
      <c r="G55" s="188">
        <f>opex_orig!G55</f>
        <v>2.3380100000000001E-4</v>
      </c>
      <c r="H55" s="188">
        <f>opex_orig!H55</f>
        <v>6.7402900000000003E-4</v>
      </c>
      <c r="I55" s="188">
        <f>opex_orig!I55</f>
        <v>1.6475719999999999E-2</v>
      </c>
      <c r="J55" s="188">
        <f>opex_orig!J55</f>
        <v>7.4070560000000004E-3</v>
      </c>
      <c r="K55" s="188">
        <f>opex_orig!K55</f>
        <v>8.4546100000000004E-4</v>
      </c>
      <c r="L55" s="188">
        <f>opex_orig!L55</f>
        <v>5.2558489999999999E-3</v>
      </c>
      <c r="M55" s="188">
        <f>opex_orig!M55</f>
        <v>1.1081186999999999E-2</v>
      </c>
      <c r="N55" s="188">
        <f>opex_orig!N55</f>
        <v>6.8451429999999997E-3</v>
      </c>
      <c r="O55" s="188">
        <f>opex_orig!O55</f>
        <v>9.6288867E-2</v>
      </c>
      <c r="P55" s="188">
        <f>opex_orig!P55</f>
        <v>4.9477790000000002E-3</v>
      </c>
      <c r="Q55" s="188">
        <f>opex_orig!Q55</f>
        <v>6.0140300000000003E-4</v>
      </c>
      <c r="R55" s="188">
        <f>opex_orig!R55</f>
        <v>5.2171329999999997E-3</v>
      </c>
      <c r="S55" s="188">
        <f>opex_orig!S55</f>
        <v>2.0409535999999999E-2</v>
      </c>
      <c r="T55" s="188">
        <f>opex_orig!T55</f>
        <v>2.154267E-2</v>
      </c>
      <c r="U55" s="188">
        <f>opex_orig!U55</f>
        <v>3.253026E-3</v>
      </c>
      <c r="V55" s="188">
        <f>opex_orig!V55</f>
        <v>2.9244980000000002E-3</v>
      </c>
      <c r="W55" s="188">
        <f>opex_orig!W55</f>
        <v>0.236861338</v>
      </c>
      <c r="X55" s="188">
        <f>opex_orig!X55</f>
        <v>6.7228164000000007E-2</v>
      </c>
      <c r="Y55" s="188">
        <f>opex_orig!Y55</f>
        <v>1.3188800000000001E-4</v>
      </c>
      <c r="Z55" s="188">
        <f>opex_orig!Z55</f>
        <v>2.4368E-4</v>
      </c>
      <c r="AA55" s="188">
        <f>opex_orig!AA55</f>
        <v>1.0969899999999999E-4</v>
      </c>
      <c r="AB55" s="188">
        <f>opex_orig!$AB55</f>
        <v>1.00153927625416E-4</v>
      </c>
      <c r="AC55" s="188">
        <f>opex_orig!$AB55</f>
        <v>1.00153927625416E-4</v>
      </c>
      <c r="AD55" s="188">
        <f>opex_orig!$AB55</f>
        <v>1.00153927625416E-4</v>
      </c>
      <c r="AE55" s="188">
        <f>opex_orig!$AC55</f>
        <v>4.3632984896082097E-3</v>
      </c>
      <c r="AF55" s="305">
        <f>opex_concordance!M315</f>
        <v>7.2731977315082796E-3</v>
      </c>
      <c r="AG55" s="305">
        <f>opex_concordance!M351</f>
        <v>3.2230700011184384E-3</v>
      </c>
      <c r="AH55" s="305">
        <f>opex_concordance!M387</f>
        <v>2.5858552283577613E-3</v>
      </c>
      <c r="AI55" s="188">
        <f>opex_orig!AE55</f>
        <v>6.1088829999999998E-3</v>
      </c>
      <c r="AJ55" s="188">
        <f>opex_orig!AF55</f>
        <v>1.4372539E-2</v>
      </c>
      <c r="AK55" s="188">
        <f>opex_orig!AG55</f>
        <v>7.4194259999999998E-3</v>
      </c>
      <c r="AL55" s="188">
        <f>opex_orig!AH55</f>
        <v>1.5265319999999999E-3</v>
      </c>
      <c r="AM55" s="188">
        <f>opex_orig!AI55</f>
        <v>2.906456E-3</v>
      </c>
      <c r="AN55" s="188">
        <f>opex_orig!AJ55</f>
        <v>1.8244330000000001E-3</v>
      </c>
      <c r="AO55" s="188">
        <f>opex_orig!AK55</f>
        <v>2.3919100000000001E-3</v>
      </c>
      <c r="AP55" s="188">
        <f>opex_orig!$AL55</f>
        <v>5.2718157632158002E-4</v>
      </c>
      <c r="AQ55" s="188">
        <f>opex_orig!$AL55</f>
        <v>5.2718157632158002E-4</v>
      </c>
      <c r="AR55" s="188">
        <f>opex_orig!$AL55</f>
        <v>5.2718157632158002E-4</v>
      </c>
      <c r="AS55" s="188">
        <f>opex_orig!$AM55</f>
        <v>4.7081015463668399E-4</v>
      </c>
      <c r="AT55" s="188">
        <f>opex_orig!AN55</f>
        <v>1.271255E-3</v>
      </c>
      <c r="AU55" s="188">
        <f>opex_orig!$AO55</f>
        <v>4.2124148735269199E-4</v>
      </c>
      <c r="AV55" s="188">
        <f>opex_orig!$AO55</f>
        <v>4.2124148735269199E-4</v>
      </c>
      <c r="AW55" s="188">
        <f>opex_orig!$AO55</f>
        <v>4.2124148735269199E-4</v>
      </c>
      <c r="AX55" s="188">
        <f>opex_orig!$AP55</f>
        <v>4.9979892526106305E-4</v>
      </c>
      <c r="AY55" s="188">
        <f>opex_orig!AQ55</f>
        <v>8.0948700000000001E-4</v>
      </c>
      <c r="AZ55" s="188">
        <f>opex_orig!AR55</f>
        <v>0</v>
      </c>
      <c r="BA55" s="188">
        <f>opex_orig!AS55</f>
        <v>7.0358300000000003E-4</v>
      </c>
      <c r="BB55" s="188">
        <f>opex_orig!AT55</f>
        <v>5.4072699999999996E-4</v>
      </c>
      <c r="BC55" s="188">
        <f>opex_orig!AU55</f>
        <v>1.0217600000000001E-4</v>
      </c>
      <c r="BD55" s="188">
        <f>opex_orig!AV55</f>
        <v>6.19E-5</v>
      </c>
      <c r="BE55" s="188">
        <f>opex_orig!AW55</f>
        <v>8.3670700000000001E-4</v>
      </c>
      <c r="BF55" s="188">
        <f>opex_orig!AX55</f>
        <v>0</v>
      </c>
      <c r="BG55" s="188">
        <f>opex_orig!AY55</f>
        <v>4.3233600000000002E-4</v>
      </c>
      <c r="BH55" s="188">
        <f>opex_orig!AZ55</f>
        <v>0</v>
      </c>
      <c r="BI55" s="188">
        <f>opex_orig!BA55</f>
        <v>3.8265599999999999E-4</v>
      </c>
      <c r="BJ55" s="188">
        <f>opex_orig!BB55</f>
        <v>1.7950520000000001E-3</v>
      </c>
      <c r="BK55" s="188">
        <f>opex_orig!BC55</f>
        <v>3.1900689999999998E-3</v>
      </c>
      <c r="BL55" s="188">
        <f>opex_orig!BD55</f>
        <v>1.0205049999999999E-3</v>
      </c>
      <c r="BM55" s="188">
        <f>opex_orig!BE55</f>
        <v>2.5945650000000001E-3</v>
      </c>
      <c r="BN55" s="188">
        <f>opex_orig!BF55</f>
        <v>1.3415090000000001E-3</v>
      </c>
      <c r="BO55" s="188">
        <f>opex_orig!BG55</f>
        <v>5.8934019999999998E-3</v>
      </c>
      <c r="BP55" s="188">
        <f>opex_orig!$BH55</f>
        <v>2.7214075927317399E-3</v>
      </c>
      <c r="BQ55" s="188">
        <f>opex_orig!$BH55</f>
        <v>2.7214075927317399E-3</v>
      </c>
      <c r="BR55" s="188">
        <f>opex_orig!BI55</f>
        <v>1.0568159999999999E-3</v>
      </c>
      <c r="BS55" s="188">
        <f>opex_orig!BJ55</f>
        <v>2.3795191E-2</v>
      </c>
      <c r="BT55" s="188">
        <f>opex_orig!BK55</f>
        <v>2.0309700000000001E-4</v>
      </c>
      <c r="BU55" s="188">
        <f>opex_orig!BL55</f>
        <v>0</v>
      </c>
      <c r="BV55" s="27">
        <f>opex_orig!BM55</f>
        <v>1.77175401876181E-4</v>
      </c>
      <c r="BW55" s="27">
        <f>opex_orig!BN55</f>
        <v>1.53174562604501E-4</v>
      </c>
      <c r="BX55" s="27">
        <f>opex_orig!BO55</f>
        <v>1.00507656080528E-4</v>
      </c>
      <c r="BY55" s="27">
        <f>opex_orig!BP55</f>
        <v>9.7757930067770201E-5</v>
      </c>
      <c r="BZ55" s="27">
        <f>opex_orig!BQ55</f>
        <v>8.1596924353958294E-5</v>
      </c>
      <c r="CA55" s="27">
        <f>opex_orig!BR55</f>
        <v>2.3067429707749998E-5</v>
      </c>
      <c r="CB55" s="27">
        <f>opex_orig!BS55</f>
        <v>2.1003341621448E-4</v>
      </c>
      <c r="CC55" s="27">
        <f>opex_orig!BT55</f>
        <v>8.9543119101492401E-5</v>
      </c>
      <c r="CD55" s="27">
        <f>opex_orig!BU55</f>
        <v>1.70851207084729E-5</v>
      </c>
      <c r="CE55" s="27">
        <f>opex_orig!BV55</f>
        <v>1.7085120708472999E-5</v>
      </c>
      <c r="CF55" s="27">
        <f>opex_orig!BW55</f>
        <v>1.3422901131374899E-4</v>
      </c>
      <c r="CG55" s="27">
        <f>opex_orig!BX55</f>
        <v>3.7312706057674899E-6</v>
      </c>
      <c r="CH55" s="27">
        <f>opex_orig!BY55</f>
        <v>4.8083013652862302E-6</v>
      </c>
      <c r="CI55" s="27">
        <f>opex_orig!BZ55</f>
        <v>1.69049E-4</v>
      </c>
      <c r="CJ55" s="27">
        <f>opex_orig!CA55</f>
        <v>4.29047E-4</v>
      </c>
      <c r="CK55" s="27">
        <f>opex_orig!CB55</f>
        <v>4.1372000000000002E-4</v>
      </c>
      <c r="CL55" s="27">
        <f>opex_orig!CC55</f>
        <v>1.1779900000000001E-3</v>
      </c>
      <c r="CM55" s="27">
        <f>opex_orig!CD55</f>
        <v>9.9363199999999994E-4</v>
      </c>
      <c r="CN55" s="27">
        <f>opex_orig!CE55</f>
        <v>3.34727E-4</v>
      </c>
      <c r="CO55" s="27">
        <f>opex_orig!CF55</f>
        <v>1.5097099999999999E-4</v>
      </c>
      <c r="CP55" s="27">
        <f>opex_orig!CG55</f>
        <v>7.1400000000000001E-5</v>
      </c>
    </row>
    <row r="56" spans="1:94" x14ac:dyDescent="0.25">
      <c r="A56" s="6" t="s">
        <v>131</v>
      </c>
      <c r="B56" s="2" t="s">
        <v>130</v>
      </c>
      <c r="C56" s="1" t="s">
        <v>327</v>
      </c>
      <c r="D56" s="188">
        <f>opex_orig!D56</f>
        <v>2.971638E-3</v>
      </c>
      <c r="E56" s="188">
        <f>opex_orig!E56</f>
        <v>7.5874500000000001E-4</v>
      </c>
      <c r="F56" s="188">
        <f>opex_orig!F56</f>
        <v>4.9648900000000002E-4</v>
      </c>
      <c r="G56" s="188">
        <f>opex_orig!G56</f>
        <v>1.09955E-4</v>
      </c>
      <c r="H56" s="188">
        <f>opex_orig!H56</f>
        <v>2.0082499999999999E-4</v>
      </c>
      <c r="I56" s="188">
        <f>opex_orig!I56</f>
        <v>1.286466E-3</v>
      </c>
      <c r="J56" s="188">
        <f>opex_orig!J56</f>
        <v>2.0837920000000001E-3</v>
      </c>
      <c r="K56" s="188">
        <f>opex_orig!K56</f>
        <v>2.9955699999999999E-4</v>
      </c>
      <c r="L56" s="188">
        <f>opex_orig!L56</f>
        <v>1.617299E-3</v>
      </c>
      <c r="M56" s="188">
        <f>opex_orig!M56</f>
        <v>4.9544050000000003E-3</v>
      </c>
      <c r="N56" s="188">
        <f>opex_orig!N56</f>
        <v>2.522051E-3</v>
      </c>
      <c r="O56" s="188">
        <f>opex_orig!O56</f>
        <v>2.1774972E-2</v>
      </c>
      <c r="P56" s="188">
        <f>opex_orig!P56</f>
        <v>3.5185059999999998E-3</v>
      </c>
      <c r="Q56" s="188">
        <f>opex_orig!Q56</f>
        <v>5.1208600000000003E-4</v>
      </c>
      <c r="R56" s="188">
        <f>opex_orig!R56</f>
        <v>5.2010999999999995E-4</v>
      </c>
      <c r="S56" s="188">
        <f>opex_orig!S56</f>
        <v>1.0041029999999999E-3</v>
      </c>
      <c r="T56" s="188">
        <f>opex_orig!T56</f>
        <v>1.1882310000000001E-3</v>
      </c>
      <c r="U56" s="188">
        <f>opex_orig!U56</f>
        <v>1.1931175E-2</v>
      </c>
      <c r="V56" s="188">
        <f>opex_orig!V56</f>
        <v>1.3293472000000001E-2</v>
      </c>
      <c r="W56" s="188">
        <f>opex_orig!W56</f>
        <v>3.8119878000000003E-2</v>
      </c>
      <c r="X56" s="188">
        <f>opex_orig!X56</f>
        <v>0.282525146</v>
      </c>
      <c r="Y56" s="188">
        <f>opex_orig!Y56</f>
        <v>3.68224E-4</v>
      </c>
      <c r="Z56" s="188">
        <f>opex_orig!Z56</f>
        <v>4.8030499999999999E-4</v>
      </c>
      <c r="AA56" s="188">
        <f>opex_orig!AA56</f>
        <v>7.4832299999999996E-4</v>
      </c>
      <c r="AB56" s="188">
        <f>opex_orig!$AB56</f>
        <v>1.93731626552095E-3</v>
      </c>
      <c r="AC56" s="188">
        <f>opex_orig!$AB56</f>
        <v>1.93731626552095E-3</v>
      </c>
      <c r="AD56" s="188">
        <f>opex_orig!$AB56</f>
        <v>1.93731626552095E-3</v>
      </c>
      <c r="AE56" s="188">
        <f>opex_orig!$AC56</f>
        <v>1.57776281546787E-3</v>
      </c>
      <c r="AF56" s="188">
        <f>opex_orig!$AD56</f>
        <v>4.2245372374762596E-3</v>
      </c>
      <c r="AG56" s="188">
        <f>opex_orig!$AD56</f>
        <v>4.2245372374762596E-3</v>
      </c>
      <c r="AH56" s="188">
        <f>opex_orig!$AD56</f>
        <v>4.2245372374762596E-3</v>
      </c>
      <c r="AI56" s="188">
        <f>opex_orig!AE56</f>
        <v>3.9817430000000003E-3</v>
      </c>
      <c r="AJ56" s="188">
        <f>opex_orig!AF56</f>
        <v>7.4376019999999998E-3</v>
      </c>
      <c r="AK56" s="188">
        <f>opex_orig!AG56</f>
        <v>2.47555E-3</v>
      </c>
      <c r="AL56" s="188">
        <f>opex_orig!AH56</f>
        <v>1.1102639999999999E-3</v>
      </c>
      <c r="AM56" s="188">
        <f>opex_orig!AI56</f>
        <v>1.976467E-3</v>
      </c>
      <c r="AN56" s="188">
        <f>opex_orig!AJ56</f>
        <v>2.1404369999999998E-3</v>
      </c>
      <c r="AO56" s="188">
        <f>opex_orig!AK56</f>
        <v>2.0512030000000001E-3</v>
      </c>
      <c r="AP56" s="188">
        <f>opex_orig!$AL56</f>
        <v>1.5004181919881E-3</v>
      </c>
      <c r="AQ56" s="188">
        <f>opex_orig!$AL56</f>
        <v>1.5004181919881E-3</v>
      </c>
      <c r="AR56" s="188">
        <f>opex_orig!$AL56</f>
        <v>1.5004181919881E-3</v>
      </c>
      <c r="AS56" s="188">
        <f>opex_orig!$AM56</f>
        <v>1.4488492446693699E-3</v>
      </c>
      <c r="AT56" s="188">
        <f>opex_orig!AN56</f>
        <v>2.4486349999999998E-3</v>
      </c>
      <c r="AU56" s="188">
        <f>opex_orig!$AO56</f>
        <v>1.1406192299524001E-3</v>
      </c>
      <c r="AV56" s="188">
        <f>opex_orig!$AO56</f>
        <v>1.1406192299524001E-3</v>
      </c>
      <c r="AW56" s="188">
        <f>opex_orig!$AO56</f>
        <v>1.1406192299524001E-3</v>
      </c>
      <c r="AX56" s="188">
        <f>opex_orig!$AP56</f>
        <v>1.32123687535519E-3</v>
      </c>
      <c r="AY56" s="188">
        <f>opex_orig!AQ56</f>
        <v>1.4438669999999999E-3</v>
      </c>
      <c r="AZ56" s="188">
        <f>opex_orig!AR56</f>
        <v>0</v>
      </c>
      <c r="BA56" s="188">
        <f>opex_orig!AS56</f>
        <v>1.4150479999999999E-3</v>
      </c>
      <c r="BB56" s="188">
        <f>opex_orig!AT56</f>
        <v>1.465975E-3</v>
      </c>
      <c r="BC56" s="188">
        <f>opex_orig!AU56</f>
        <v>4.06516E-4</v>
      </c>
      <c r="BD56" s="188">
        <f>opex_orig!AV56</f>
        <v>3.5867199999999998E-4</v>
      </c>
      <c r="BE56" s="188">
        <f>opex_orig!AW56</f>
        <v>9.6610100000000003E-4</v>
      </c>
      <c r="BF56" s="188">
        <f>opex_orig!AX56</f>
        <v>0</v>
      </c>
      <c r="BG56" s="188">
        <f>opex_orig!AY56</f>
        <v>1.5443740000000001E-3</v>
      </c>
      <c r="BH56" s="188">
        <f>opex_orig!AZ56</f>
        <v>0</v>
      </c>
      <c r="BI56" s="188">
        <f>opex_orig!BA56</f>
        <v>1.7665910000000001E-3</v>
      </c>
      <c r="BJ56" s="188">
        <f>opex_orig!BB56</f>
        <v>1.03206E-3</v>
      </c>
      <c r="BK56" s="188">
        <f>opex_orig!BC56</f>
        <v>2.2967719999999999E-3</v>
      </c>
      <c r="BL56" s="188">
        <f>opex_orig!BD56</f>
        <v>2.5837149999999999E-3</v>
      </c>
      <c r="BM56" s="188">
        <f>opex_orig!BE56</f>
        <v>2.410653E-3</v>
      </c>
      <c r="BN56" s="188">
        <f>opex_orig!BF56</f>
        <v>1.7585229999999999E-3</v>
      </c>
      <c r="BO56" s="188">
        <f>opex_orig!BG56</f>
        <v>4.9676379999999999E-3</v>
      </c>
      <c r="BP56" s="188">
        <f>opex_orig!$BH56</f>
        <v>1.2278051479569299E-3</v>
      </c>
      <c r="BQ56" s="188">
        <f>opex_orig!$BH56</f>
        <v>1.2278051479569299E-3</v>
      </c>
      <c r="BR56" s="188">
        <f>opex_orig!BI56</f>
        <v>7.4141699999999997E-4</v>
      </c>
      <c r="BS56" s="188">
        <f>opex_orig!BJ56</f>
        <v>1.2380565E-2</v>
      </c>
      <c r="BT56" s="188">
        <f>opex_orig!BK56</f>
        <v>1.4737789999999999E-3</v>
      </c>
      <c r="BU56" s="188">
        <f>opex_orig!BL56</f>
        <v>0</v>
      </c>
      <c r="BV56" s="27">
        <f>opex_orig!BM56</f>
        <v>1.77737153820002E-3</v>
      </c>
      <c r="BW56" s="27">
        <f>opex_orig!BN56</f>
        <v>1.56590040507093E-3</v>
      </c>
      <c r="BX56" s="27">
        <f>opex_orig!BO56</f>
        <v>8.5320552888576505E-4</v>
      </c>
      <c r="BY56" s="27">
        <f>opex_orig!BP56</f>
        <v>7.9062707174762403E-4</v>
      </c>
      <c r="BZ56" s="27">
        <f>opex_orig!BQ56</f>
        <v>6.64544670857718E-4</v>
      </c>
      <c r="CA56" s="27">
        <f>opex_orig!BR56</f>
        <v>2.68784689972417E-3</v>
      </c>
      <c r="CB56" s="27">
        <f>opex_orig!BS56</f>
        <v>1.34635456941008E-3</v>
      </c>
      <c r="CC56" s="27">
        <f>opex_orig!BT56</f>
        <v>3.2191949564971901E-4</v>
      </c>
      <c r="CD56" s="27">
        <f>opex_orig!BU56</f>
        <v>1.68539275612633E-4</v>
      </c>
      <c r="CE56" s="27">
        <f>opex_orig!BV56</f>
        <v>1.68539275612633E-4</v>
      </c>
      <c r="CF56" s="27">
        <f>opex_orig!BW56</f>
        <v>2.5686237618824299E-3</v>
      </c>
      <c r="CG56" s="27">
        <f>opex_orig!BX56</f>
        <v>4.2497970496103697E-5</v>
      </c>
      <c r="CH56" s="27">
        <f>opex_orig!BY56</f>
        <v>3.2535819481201199E-5</v>
      </c>
      <c r="CI56" s="27">
        <f>opex_orig!BZ56</f>
        <v>1.300105E-3</v>
      </c>
      <c r="CJ56" s="27">
        <f>opex_orig!CA56</f>
        <v>1.220421E-3</v>
      </c>
      <c r="CK56" s="27">
        <f>opex_orig!CB56</f>
        <v>1.166923E-3</v>
      </c>
      <c r="CL56" s="27">
        <f>opex_orig!CC56</f>
        <v>1.8168599999999999E-4</v>
      </c>
      <c r="CM56" s="27">
        <f>opex_orig!CD56</f>
        <v>1.749015E-3</v>
      </c>
      <c r="CN56" s="27">
        <f>opex_orig!CE56</f>
        <v>1.5920419999999999E-3</v>
      </c>
      <c r="CO56" s="27">
        <f>opex_orig!CF56</f>
        <v>1.787949E-3</v>
      </c>
      <c r="CP56" s="27">
        <f>opex_orig!CG56</f>
        <v>6.4029799999999997E-4</v>
      </c>
    </row>
    <row r="57" spans="1:94" x14ac:dyDescent="0.25">
      <c r="A57" s="5" t="s">
        <v>133</v>
      </c>
      <c r="B57" s="2" t="s">
        <v>132</v>
      </c>
      <c r="C57" s="1" t="s">
        <v>328</v>
      </c>
      <c r="D57" s="188">
        <f>opex_orig!D57</f>
        <v>5.3399999999999997E-6</v>
      </c>
      <c r="E57" s="188">
        <f>opex_orig!E57</f>
        <v>7.2599999999999999E-6</v>
      </c>
      <c r="F57" s="188">
        <f>opex_orig!F57</f>
        <v>6.19E-6</v>
      </c>
      <c r="G57" s="188">
        <f>opex_orig!G57</f>
        <v>5.3000000000000001E-7</v>
      </c>
      <c r="H57" s="188">
        <f>opex_orig!H57</f>
        <v>1.3799999999999999E-6</v>
      </c>
      <c r="I57" s="188">
        <f>opex_orig!I57</f>
        <v>2.1999999999999999E-5</v>
      </c>
      <c r="J57" s="188">
        <f>opex_orig!J57</f>
        <v>7.6899999999999992E-6</v>
      </c>
      <c r="K57" s="188">
        <f>opex_orig!K57</f>
        <v>1.53E-6</v>
      </c>
      <c r="L57" s="188">
        <f>opex_orig!L57</f>
        <v>1.19E-5</v>
      </c>
      <c r="M57" s="188">
        <f>opex_orig!M57</f>
        <v>3.7100000000000001E-5</v>
      </c>
      <c r="N57" s="188">
        <f>opex_orig!N57</f>
        <v>2.7800000000000001E-5</v>
      </c>
      <c r="O57" s="188">
        <f>opex_orig!O57</f>
        <v>9.4399999999999994E-6</v>
      </c>
      <c r="P57" s="188">
        <f>opex_orig!P57</f>
        <v>1.0499999999999999E-5</v>
      </c>
      <c r="Q57" s="188">
        <f>opex_orig!Q57</f>
        <v>1.26E-5</v>
      </c>
      <c r="R57" s="188">
        <f>opex_orig!R57</f>
        <v>7.9000000000000006E-6</v>
      </c>
      <c r="S57" s="188">
        <f>opex_orig!S57</f>
        <v>6.1299999999999998E-6</v>
      </c>
      <c r="T57" s="188">
        <f>opex_orig!T57</f>
        <v>1.13E-5</v>
      </c>
      <c r="U57" s="188">
        <f>opex_orig!U57</f>
        <v>8.8899999999999996E-6</v>
      </c>
      <c r="V57" s="188">
        <f>opex_orig!V57</f>
        <v>7.5000000000000002E-6</v>
      </c>
      <c r="W57" s="188">
        <f>opex_orig!W57</f>
        <v>7.2300000000000002E-6</v>
      </c>
      <c r="X57" s="188">
        <f>opex_orig!X57</f>
        <v>2.4499999999999998E-6</v>
      </c>
      <c r="Y57" s="188">
        <f>opex_orig!Y57</f>
        <v>2.2730600000000001E-4</v>
      </c>
      <c r="Z57" s="188">
        <f>opex_orig!Z57</f>
        <v>7.625672E-3</v>
      </c>
      <c r="AA57" s="188">
        <f>opex_orig!AA57</f>
        <v>6.4400000000000002E-6</v>
      </c>
      <c r="AB57" s="188">
        <f>opex_orig!$AB57</f>
        <v>5.0701931124400803E-5</v>
      </c>
      <c r="AC57" s="188">
        <f>opex_orig!$AB57</f>
        <v>5.0701931124400803E-5</v>
      </c>
      <c r="AD57" s="188">
        <f>opex_orig!$AB57</f>
        <v>5.0701931124400803E-5</v>
      </c>
      <c r="AE57" s="188">
        <f>opex_orig!$AC57</f>
        <v>1.95315726400779E-5</v>
      </c>
      <c r="AF57" s="188">
        <f>opex_orig!$AD57</f>
        <v>1.5276177846295901E-4</v>
      </c>
      <c r="AG57" s="188">
        <f>opex_orig!$AD57</f>
        <v>1.5276177846295901E-4</v>
      </c>
      <c r="AH57" s="188">
        <f>opex_orig!$AD57</f>
        <v>1.5276177846295901E-4</v>
      </c>
      <c r="AI57" s="188">
        <f>opex_orig!AE57</f>
        <v>1.31738E-4</v>
      </c>
      <c r="AJ57" s="188">
        <f>opex_orig!AF57</f>
        <v>6.2934199999999997E-4</v>
      </c>
      <c r="AK57" s="188">
        <f>opex_orig!AG57</f>
        <v>8.5900000000000001E-5</v>
      </c>
      <c r="AL57" s="188">
        <f>opex_orig!AH57</f>
        <v>1.4107729999999999E-3</v>
      </c>
      <c r="AM57" s="188">
        <f>opex_orig!AI57</f>
        <v>7.5406799999999999E-4</v>
      </c>
      <c r="AN57" s="188">
        <f>opex_orig!AJ57</f>
        <v>7.2745100000000005E-4</v>
      </c>
      <c r="AO57" s="188">
        <f>opex_orig!AK57</f>
        <v>2.2471790000000002E-3</v>
      </c>
      <c r="AP57" s="188">
        <f>opex_orig!$AL57</f>
        <v>1.0606002360879199E-3</v>
      </c>
      <c r="AQ57" s="188">
        <f>opex_orig!$AL57</f>
        <v>1.0606002360879199E-3</v>
      </c>
      <c r="AR57" s="188">
        <f>opex_orig!$AL57</f>
        <v>1.0606002360879199E-3</v>
      </c>
      <c r="AS57" s="188">
        <f>opex_orig!$AM57</f>
        <v>8.3297622271098098E-4</v>
      </c>
      <c r="AT57" s="188">
        <f>opex_orig!AN57</f>
        <v>2.7836549999999999E-3</v>
      </c>
      <c r="AU57" s="188">
        <f>opex_orig!$AO57</f>
        <v>3.2442916560662398E-3</v>
      </c>
      <c r="AV57" s="188">
        <f>opex_orig!$AO57</f>
        <v>3.2442916560662398E-3</v>
      </c>
      <c r="AW57" s="188">
        <f>opex_orig!$AO57</f>
        <v>3.2442916560662398E-3</v>
      </c>
      <c r="AX57" s="188">
        <f>opex_orig!$AP57</f>
        <v>1.43517294715439E-3</v>
      </c>
      <c r="AY57" s="188">
        <f>opex_orig!AQ57</f>
        <v>1.474824E-3</v>
      </c>
      <c r="AZ57" s="188">
        <f>opex_orig!AR57</f>
        <v>0</v>
      </c>
      <c r="BA57" s="188">
        <f>opex_orig!AS57</f>
        <v>3.7386899999999998E-3</v>
      </c>
      <c r="BB57" s="188">
        <f>opex_orig!AT57</f>
        <v>1.9269650000000001E-3</v>
      </c>
      <c r="BC57" s="188">
        <f>opex_orig!AU57</f>
        <v>5.1413499999999998E-4</v>
      </c>
      <c r="BD57" s="188">
        <f>opex_orig!AV57</f>
        <v>2.1708299999999999E-4</v>
      </c>
      <c r="BE57" s="188">
        <f>opex_orig!AW57</f>
        <v>1.651656E-3</v>
      </c>
      <c r="BF57" s="188">
        <f>opex_orig!AX57</f>
        <v>0</v>
      </c>
      <c r="BG57" s="188">
        <f>opex_orig!AY57</f>
        <v>1.147054E-3</v>
      </c>
      <c r="BH57" s="188">
        <f>opex_orig!AZ57</f>
        <v>0</v>
      </c>
      <c r="BI57" s="188">
        <f>opex_orig!BA57</f>
        <v>3.328756E-3</v>
      </c>
      <c r="BJ57" s="188">
        <f>opex_orig!BB57</f>
        <v>2.9499999999999999E-5</v>
      </c>
      <c r="BK57" s="188">
        <f>opex_orig!BC57</f>
        <v>3.3200000000000001E-5</v>
      </c>
      <c r="BL57" s="188">
        <f>opex_orig!BD57</f>
        <v>8.1000000000000004E-6</v>
      </c>
      <c r="BM57" s="188">
        <f>opex_orig!BE57</f>
        <v>8.6400000000000003E-6</v>
      </c>
      <c r="BN57" s="188">
        <f>opex_orig!BF57</f>
        <v>8.9099999999999994E-6</v>
      </c>
      <c r="BO57" s="188">
        <f>opex_orig!BG57</f>
        <v>2.48E-5</v>
      </c>
      <c r="BP57" s="188">
        <f>opex_orig!$BH57</f>
        <v>4.3935461311936801E-6</v>
      </c>
      <c r="BQ57" s="188">
        <f>opex_orig!$BH57</f>
        <v>4.3935461311936801E-6</v>
      </c>
      <c r="BR57" s="188">
        <f>opex_orig!BI57</f>
        <v>9.7699999999999996E-6</v>
      </c>
      <c r="BS57" s="188">
        <f>opex_orig!BJ57</f>
        <v>1.98E-5</v>
      </c>
      <c r="BT57" s="188">
        <f>opex_orig!BK57</f>
        <v>2.0100000000000001E-5</v>
      </c>
      <c r="BU57" s="188">
        <f>opex_orig!BL57</f>
        <v>0</v>
      </c>
      <c r="BV57" s="27">
        <f>opex_orig!BM57</f>
        <v>2.70075722413804E-3</v>
      </c>
      <c r="BW57" s="27">
        <f>opex_orig!BN57</f>
        <v>1.8960648684333099E-3</v>
      </c>
      <c r="BX57" s="27">
        <f>opex_orig!BO57</f>
        <v>1.2118898410348E-4</v>
      </c>
      <c r="BY57" s="27">
        <f>opex_orig!BP57</f>
        <v>6.9546815582337602E-5</v>
      </c>
      <c r="BZ57" s="27">
        <f>opex_orig!BQ57</f>
        <v>4.3495916827221997E-6</v>
      </c>
      <c r="CA57" s="27">
        <f>opex_orig!BR57</f>
        <v>6.43354914927067E-6</v>
      </c>
      <c r="CB57" s="27">
        <f>opex_orig!BS57</f>
        <v>1.6715674035697501E-4</v>
      </c>
      <c r="CC57" s="27">
        <f>opex_orig!BT57</f>
        <v>5.0329970030745099E-5</v>
      </c>
      <c r="CD57" s="27">
        <f>opex_orig!BU57</f>
        <v>1.45266253107806E-6</v>
      </c>
      <c r="CE57" s="27">
        <f>opex_orig!BV57</f>
        <v>1.45266253107806E-6</v>
      </c>
      <c r="CF57" s="27">
        <f>opex_orig!BW57</f>
        <v>6.2696329912800401E-6</v>
      </c>
      <c r="CG57" s="27">
        <f>opex_orig!BX57</f>
        <v>2.0933709933875098E-6</v>
      </c>
      <c r="CH57" s="27">
        <f>opex_orig!BY57</f>
        <v>3.6397631607324497E-5</v>
      </c>
      <c r="CI57" s="27">
        <f>opex_orig!BZ57</f>
        <v>5.8152099999999999E-4</v>
      </c>
      <c r="CJ57" s="27">
        <f>opex_orig!CA57</f>
        <v>4.5800000000000002E-6</v>
      </c>
      <c r="CK57" s="27">
        <f>opex_orig!CB57</f>
        <v>4.4700000000000004E-6</v>
      </c>
      <c r="CL57" s="27">
        <f>opex_orig!CC57</f>
        <v>1.2371499999999999E-4</v>
      </c>
      <c r="CM57" s="27">
        <f>opex_orig!CD57</f>
        <v>9.5007000000000002E-4</v>
      </c>
      <c r="CN57" s="27">
        <f>opex_orig!CE57</f>
        <v>1.27E-5</v>
      </c>
      <c r="CO57" s="27">
        <f>opex_orig!CF57</f>
        <v>2.5600000000000001E-6</v>
      </c>
      <c r="CP57" s="27">
        <f>opex_orig!CG57</f>
        <v>1.5400000000000001E-6</v>
      </c>
    </row>
    <row r="58" spans="1:94" x14ac:dyDescent="0.25">
      <c r="A58" s="5" t="s">
        <v>135</v>
      </c>
      <c r="B58" s="2" t="s">
        <v>134</v>
      </c>
      <c r="C58" s="1" t="s">
        <v>328</v>
      </c>
      <c r="D58" s="188">
        <f>opex_orig!D58</f>
        <v>3.49639E-4</v>
      </c>
      <c r="E58" s="188">
        <f>opex_orig!E58</f>
        <v>8.5254700000000005E-4</v>
      </c>
      <c r="F58" s="188">
        <f>opex_orig!F58</f>
        <v>5.3366399999999999E-4</v>
      </c>
      <c r="G58" s="188">
        <f>opex_orig!G58</f>
        <v>4.0599999999999998E-5</v>
      </c>
      <c r="H58" s="188">
        <f>opex_orig!H58</f>
        <v>8.8900000000000006E-5</v>
      </c>
      <c r="I58" s="188">
        <f>opex_orig!I58</f>
        <v>2.9650900000000001E-3</v>
      </c>
      <c r="J58" s="188">
        <f>opex_orig!J58</f>
        <v>5.9709499999999996E-4</v>
      </c>
      <c r="K58" s="188">
        <f>opex_orig!K58</f>
        <v>1.3757299999999999E-4</v>
      </c>
      <c r="L58" s="188">
        <f>opex_orig!L58</f>
        <v>1.414715E-3</v>
      </c>
      <c r="M58" s="188">
        <f>opex_orig!M58</f>
        <v>5.3299200000000001E-3</v>
      </c>
      <c r="N58" s="188">
        <f>opex_orig!N58</f>
        <v>1.520354E-3</v>
      </c>
      <c r="O58" s="188">
        <f>opex_orig!O58</f>
        <v>1.1769630000000001E-3</v>
      </c>
      <c r="P58" s="188">
        <f>opex_orig!P58</f>
        <v>6.8948799999999999E-3</v>
      </c>
      <c r="Q58" s="188">
        <f>opex_orig!Q58</f>
        <v>2.5783099999999998E-4</v>
      </c>
      <c r="R58" s="188">
        <f>opex_orig!R58</f>
        <v>2.25539E-4</v>
      </c>
      <c r="S58" s="188">
        <f>opex_orig!S58</f>
        <v>1.7398180999999999E-2</v>
      </c>
      <c r="T58" s="188">
        <f>opex_orig!T58</f>
        <v>5.0012624999999998E-2</v>
      </c>
      <c r="U58" s="188">
        <f>opex_orig!U58</f>
        <v>1.3056167E-2</v>
      </c>
      <c r="V58" s="188">
        <f>opex_orig!V58</f>
        <v>2.5499939999999999E-3</v>
      </c>
      <c r="W58" s="188">
        <f>opex_orig!W58</f>
        <v>5.8057229999999996E-3</v>
      </c>
      <c r="X58" s="188">
        <f>opex_orig!X58</f>
        <v>1.6898659999999999E-3</v>
      </c>
      <c r="Y58" s="188">
        <f>opex_orig!Y58</f>
        <v>5.2560400000000005E-4</v>
      </c>
      <c r="Z58" s="188">
        <f>opex_orig!Z58</f>
        <v>3.0661302000000001E-2</v>
      </c>
      <c r="AA58" s="188">
        <f>opex_orig!AA58</f>
        <v>4.2551300000000002E-3</v>
      </c>
      <c r="AB58" s="275">
        <f>opex_concordance!M190</f>
        <v>1.8100147387346398E-2</v>
      </c>
      <c r="AC58" s="275">
        <f>opex_concordance!M235</f>
        <v>1.4376581818692953E-2</v>
      </c>
      <c r="AD58" s="275">
        <f>opex_concordance!M280</f>
        <v>0</v>
      </c>
      <c r="AE58" s="188">
        <f>opex_orig!$AC58</f>
        <v>7.0636463480509403E-4</v>
      </c>
      <c r="AF58" s="275">
        <f>opex_concordance!M313</f>
        <v>1.0076354723968201E-2</v>
      </c>
      <c r="AG58" s="275">
        <f>opex_concordance!M349</f>
        <v>0</v>
      </c>
      <c r="AH58" s="275">
        <f>opex_concordance!M385</f>
        <v>0</v>
      </c>
      <c r="AI58" s="188">
        <f>opex_orig!AE58</f>
        <v>8.353727E-3</v>
      </c>
      <c r="AJ58" s="188">
        <f>opex_orig!AF58</f>
        <v>3.0411033000000001E-2</v>
      </c>
      <c r="AK58" s="188">
        <f>opex_orig!AG58</f>
        <v>9.4488660000000002E-3</v>
      </c>
      <c r="AL58" s="188">
        <f>opex_orig!AH58</f>
        <v>2.7358199999999999E-3</v>
      </c>
      <c r="AM58" s="188">
        <f>opex_orig!AI58</f>
        <v>1.558739E-3</v>
      </c>
      <c r="AN58" s="188">
        <f>opex_orig!AJ58</f>
        <v>5.2255599999999998E-3</v>
      </c>
      <c r="AO58" s="188">
        <f>opex_orig!AK58</f>
        <v>2.8095210000000002E-3</v>
      </c>
      <c r="AP58" s="275">
        <f>opex_concordance!M425</f>
        <v>2.34426915369322E-3</v>
      </c>
      <c r="AQ58" s="275">
        <f>opex_concordance!M479</f>
        <v>1.5585334029448075E-3</v>
      </c>
      <c r="AR58" s="275">
        <f>opex_concordance!M533</f>
        <v>0</v>
      </c>
      <c r="AS58" s="188">
        <f>opex_orig!$AM58</f>
        <v>1.73896747510856E-3</v>
      </c>
      <c r="AT58" s="188">
        <f>opex_orig!AN58</f>
        <v>4.3709270000000001E-3</v>
      </c>
      <c r="AU58" s="263">
        <f>opex_concordance!$M$596</f>
        <v>7.5174037116861403E-3</v>
      </c>
      <c r="AV58" s="263">
        <f>opex_concordance!M642</f>
        <v>0</v>
      </c>
      <c r="AW58" s="263">
        <f>opex_concordance!M688</f>
        <v>2.8630154732560264E-3</v>
      </c>
      <c r="AX58" s="188">
        <f>opex_orig!$AP58</f>
        <v>3.0526107830822001E-3</v>
      </c>
      <c r="AY58" s="188">
        <f>opex_orig!AQ58</f>
        <v>8.6572609999999994E-3</v>
      </c>
      <c r="AZ58" s="188">
        <f>opex_orig!AR58</f>
        <v>0</v>
      </c>
      <c r="BA58" s="188">
        <f>opex_orig!AS58</f>
        <v>1.1072871E-2</v>
      </c>
      <c r="BB58" s="188">
        <f>opex_orig!AT58</f>
        <v>6.9431509999999998E-3</v>
      </c>
      <c r="BC58" s="188">
        <f>opex_orig!AU58</f>
        <v>3.1468220000000001E-3</v>
      </c>
      <c r="BD58" s="188">
        <f>opex_orig!AV58</f>
        <v>1.704119E-3</v>
      </c>
      <c r="BE58" s="188">
        <f>opex_orig!AW58</f>
        <v>7.5060190000000001E-3</v>
      </c>
      <c r="BF58" s="188">
        <f>opex_orig!AX58</f>
        <v>0</v>
      </c>
      <c r="BG58" s="188">
        <f>opex_orig!AY58</f>
        <v>4.0831940000000001E-3</v>
      </c>
      <c r="BH58" s="188">
        <f>opex_orig!AZ58</f>
        <v>0</v>
      </c>
      <c r="BI58" s="188">
        <f>opex_orig!BA58</f>
        <v>1.211258E-2</v>
      </c>
      <c r="BJ58" s="188">
        <f>opex_orig!BB58</f>
        <v>2.2453310000000001E-3</v>
      </c>
      <c r="BK58" s="188">
        <f>opex_orig!BC58</f>
        <v>2.655171E-3</v>
      </c>
      <c r="BL58" s="188">
        <f>opex_orig!BD58</f>
        <v>1.7289399999999999E-4</v>
      </c>
      <c r="BM58" s="188">
        <f>opex_orig!BE58</f>
        <v>4.8999999999999998E-5</v>
      </c>
      <c r="BN58" s="188">
        <f>opex_orig!BF58</f>
        <v>1.22397E-4</v>
      </c>
      <c r="BO58" s="188">
        <f>opex_orig!BG58</f>
        <v>1.3471259999999999E-3</v>
      </c>
      <c r="BP58" s="188">
        <f>opex_orig!$BH58</f>
        <v>4.9263064104649599E-3</v>
      </c>
      <c r="BQ58" s="188">
        <f>opex_orig!$BH58</f>
        <v>4.9263064104649599E-3</v>
      </c>
      <c r="BR58" s="188">
        <f>opex_orig!BI58</f>
        <v>1.0026329E-2</v>
      </c>
      <c r="BS58" s="188">
        <f>opex_orig!BJ58</f>
        <v>3.2166629999999998E-3</v>
      </c>
      <c r="BT58" s="188">
        <f>opex_orig!BK58</f>
        <v>3.352907E-3</v>
      </c>
      <c r="BU58" s="188">
        <f>opex_orig!BL58</f>
        <v>0</v>
      </c>
      <c r="BV58" s="27">
        <f>opex_orig!BM58</f>
        <v>2.1319106098944201E-2</v>
      </c>
      <c r="BW58" s="27">
        <f>opex_orig!BN58</f>
        <v>3.5737450313644802E-2</v>
      </c>
      <c r="BX58" s="27">
        <f>opex_orig!BO58</f>
        <v>1.61822773333319E-3</v>
      </c>
      <c r="BY58" s="27">
        <f>opex_orig!BP58</f>
        <v>3.62246427933385E-3</v>
      </c>
      <c r="BZ58" s="27">
        <f>opex_orig!BQ58</f>
        <v>4.66218174970602E-3</v>
      </c>
      <c r="CA58" s="27">
        <f>opex_orig!BR58</f>
        <v>2.3189251722962401E-3</v>
      </c>
      <c r="CB58" s="27">
        <f>opex_orig!BS58</f>
        <v>4.7973679957663398E-2</v>
      </c>
      <c r="CC58" s="27">
        <f>opex_orig!BT58</f>
        <v>1.52463947982011E-3</v>
      </c>
      <c r="CD58" s="27">
        <f>opex_orig!BU58</f>
        <v>3.6656889237918803E-5</v>
      </c>
      <c r="CE58" s="27">
        <f>opex_orig!BV58</f>
        <v>3.6656889237918803E-5</v>
      </c>
      <c r="CF58" s="27">
        <f>opex_orig!BW58</f>
        <v>1.37992280312749E-2</v>
      </c>
      <c r="CG58" s="27">
        <f>opex_orig!BX58</f>
        <v>5.5253008553262E-3</v>
      </c>
      <c r="CH58" s="27">
        <f>opex_orig!BY58</f>
        <v>4.0935277219958204E-3</v>
      </c>
      <c r="CI58" s="27">
        <f>opex_orig!BZ58</f>
        <v>1.319413E-2</v>
      </c>
      <c r="CJ58" s="27">
        <f>opex_orig!CA58</f>
        <v>1.360773E-3</v>
      </c>
      <c r="CK58" s="27">
        <f>opex_orig!CB58</f>
        <v>2.1776360000000002E-3</v>
      </c>
      <c r="CL58" s="27">
        <f>opex_orig!CC58</f>
        <v>8.0398299999999998E-4</v>
      </c>
      <c r="CM58" s="27">
        <f>opex_orig!CD58</f>
        <v>2.5888161E-2</v>
      </c>
      <c r="CN58" s="27">
        <f>opex_orig!CE58</f>
        <v>2.9844250000000002E-3</v>
      </c>
      <c r="CO58" s="27">
        <f>opex_orig!CF58</f>
        <v>4.3984749999999998E-3</v>
      </c>
      <c r="CP58" s="27">
        <f>opex_orig!CG58</f>
        <v>6.4300000000000004E-5</v>
      </c>
    </row>
    <row r="59" spans="1:94" x14ac:dyDescent="0.25">
      <c r="A59" s="6" t="s">
        <v>137</v>
      </c>
      <c r="B59" s="2" t="s">
        <v>136</v>
      </c>
      <c r="C59" s="1" t="s">
        <v>328</v>
      </c>
      <c r="D59" s="188">
        <f>opex_orig!D59</f>
        <v>2.6299999999999998E-6</v>
      </c>
      <c r="E59" s="188">
        <f>opex_orig!E59</f>
        <v>1.0100000000000001E-6</v>
      </c>
      <c r="F59" s="188">
        <f>opex_orig!F59</f>
        <v>1.5099999999999999E-6</v>
      </c>
      <c r="G59" s="188">
        <f>opex_orig!G59</f>
        <v>4.0400000000000002E-7</v>
      </c>
      <c r="H59" s="188">
        <f>opex_orig!H59</f>
        <v>6.5300000000000004E-7</v>
      </c>
      <c r="I59" s="188">
        <f>opex_orig!I59</f>
        <v>1.75E-6</v>
      </c>
      <c r="J59" s="188">
        <f>opex_orig!J59</f>
        <v>3.4699999999999998E-6</v>
      </c>
      <c r="K59" s="188">
        <f>opex_orig!K59</f>
        <v>9.1800000000000004E-7</v>
      </c>
      <c r="L59" s="188">
        <f>opex_orig!L59</f>
        <v>1.55E-6</v>
      </c>
      <c r="M59" s="188">
        <f>opex_orig!M59</f>
        <v>2.2699999999999999E-6</v>
      </c>
      <c r="N59" s="188">
        <f>opex_orig!N59</f>
        <v>4.1200000000000004E-6</v>
      </c>
      <c r="O59" s="188">
        <f>opex_orig!O59</f>
        <v>4.0099999999999997E-6</v>
      </c>
      <c r="P59" s="188">
        <f>opex_orig!P59</f>
        <v>4.1999999999999996E-6</v>
      </c>
      <c r="Q59" s="188">
        <f>opex_orig!Q59</f>
        <v>1.7099999999999999E-5</v>
      </c>
      <c r="R59" s="188">
        <f>opex_orig!R59</f>
        <v>3.9700000000000001E-6</v>
      </c>
      <c r="S59" s="188">
        <f>opex_orig!S59</f>
        <v>2.04E-6</v>
      </c>
      <c r="T59" s="188">
        <f>opex_orig!T59</f>
        <v>2.5000000000000002E-6</v>
      </c>
      <c r="U59" s="188">
        <f>opex_orig!U59</f>
        <v>3.0800000000000002E-6</v>
      </c>
      <c r="V59" s="188">
        <f>opex_orig!V59</f>
        <v>3.6399999999999999E-6</v>
      </c>
      <c r="W59" s="188">
        <f>opex_orig!W59</f>
        <v>8.6600000000000001E-6</v>
      </c>
      <c r="X59" s="188">
        <f>opex_orig!X59</f>
        <v>2.6900000000000001E-6</v>
      </c>
      <c r="Y59" s="188">
        <f>opex_orig!Y59</f>
        <v>1.9700000000000002E-6</v>
      </c>
      <c r="Z59" s="188">
        <f>opex_orig!Z59</f>
        <v>9.2899999999999995E-5</v>
      </c>
      <c r="AA59" s="188">
        <f>opex_orig!AA59</f>
        <v>2.9000000000000002E-6</v>
      </c>
      <c r="AB59" s="188">
        <f>opex_orig!$AB59</f>
        <v>2.3035570974855401E-5</v>
      </c>
      <c r="AC59" s="188">
        <f>opex_orig!$AB59</f>
        <v>2.3035570974855401E-5</v>
      </c>
      <c r="AD59" s="188">
        <f>opex_orig!$AB59</f>
        <v>2.3035570974855401E-5</v>
      </c>
      <c r="AE59" s="188">
        <f>opex_orig!$AC59</f>
        <v>5.3815745927251699E-6</v>
      </c>
      <c r="AF59" s="188">
        <f>opex_orig!$AD59</f>
        <v>4.2886752799363398E-6</v>
      </c>
      <c r="AG59" s="188">
        <f>opex_orig!$AD59</f>
        <v>4.2886752799363398E-6</v>
      </c>
      <c r="AH59" s="188">
        <f>opex_orig!$AD59</f>
        <v>4.2886752799363398E-6</v>
      </c>
      <c r="AI59" s="188">
        <f>opex_orig!AE59</f>
        <v>4.5499999999999996E-6</v>
      </c>
      <c r="AJ59" s="188">
        <f>opex_orig!AF59</f>
        <v>7.1400000000000001E-5</v>
      </c>
      <c r="AK59" s="188">
        <f>opex_orig!AG59</f>
        <v>2.9300000000000001E-5</v>
      </c>
      <c r="AL59" s="188">
        <f>opex_orig!AH59</f>
        <v>8.2400000000000007E-6</v>
      </c>
      <c r="AM59" s="188">
        <f>opex_orig!AI59</f>
        <v>3.3000000000000002E-6</v>
      </c>
      <c r="AN59" s="188">
        <f>opex_orig!AJ59</f>
        <v>3.0800000000000002E-6</v>
      </c>
      <c r="AO59" s="188">
        <f>opex_orig!AK59</f>
        <v>6.4400000000000002E-6</v>
      </c>
      <c r="AP59" s="188">
        <f>opex_orig!$AL59</f>
        <v>2.7468684002348399E-6</v>
      </c>
      <c r="AQ59" s="188">
        <f>opex_orig!$AL59</f>
        <v>2.7468684002348399E-6</v>
      </c>
      <c r="AR59" s="188">
        <f>opex_orig!$AL59</f>
        <v>2.7468684002348399E-6</v>
      </c>
      <c r="AS59" s="188">
        <f>opex_orig!$AM59</f>
        <v>2.7919358181402801E-6</v>
      </c>
      <c r="AT59" s="188">
        <f>opex_orig!AN59</f>
        <v>4.87E-6</v>
      </c>
      <c r="AU59" s="188">
        <f>opex_orig!$AO59</f>
        <v>2.7871509702314501E-6</v>
      </c>
      <c r="AV59" s="188">
        <f>opex_orig!$AO59</f>
        <v>2.7871509702314501E-6</v>
      </c>
      <c r="AW59" s="188">
        <f>opex_orig!$AO59</f>
        <v>2.7871509702314501E-6</v>
      </c>
      <c r="AX59" s="188">
        <f>opex_orig!$AP59</f>
        <v>3.2329102138211998E-6</v>
      </c>
      <c r="AY59" s="188">
        <f>opex_orig!AQ59</f>
        <v>2.48E-6</v>
      </c>
      <c r="AZ59" s="188">
        <f>opex_orig!AR59</f>
        <v>0</v>
      </c>
      <c r="BA59" s="188">
        <f>opex_orig!AS59</f>
        <v>6.8800000000000002E-6</v>
      </c>
      <c r="BB59" s="188">
        <f>opex_orig!AT59</f>
        <v>6.0700000000000003E-6</v>
      </c>
      <c r="BC59" s="188">
        <f>opex_orig!AU59</f>
        <v>6.5700000000000002E-7</v>
      </c>
      <c r="BD59" s="188">
        <f>opex_orig!AV59</f>
        <v>6.7100000000000001E-7</v>
      </c>
      <c r="BE59" s="188">
        <f>opex_orig!AW59</f>
        <v>1.11E-6</v>
      </c>
      <c r="BF59" s="188">
        <f>opex_orig!AX59</f>
        <v>0</v>
      </c>
      <c r="BG59" s="188">
        <f>opex_orig!AY59</f>
        <v>3.4300000000000002E-6</v>
      </c>
      <c r="BH59" s="188">
        <f>opex_orig!AZ59</f>
        <v>0</v>
      </c>
      <c r="BI59" s="188">
        <f>opex_orig!BA59</f>
        <v>1.9400000000000001E-6</v>
      </c>
      <c r="BJ59" s="188">
        <f>opex_orig!BB59</f>
        <v>2.0700000000000001E-6</v>
      </c>
      <c r="BK59" s="188">
        <f>opex_orig!BC59</f>
        <v>2.9799999999999998E-6</v>
      </c>
      <c r="BL59" s="188">
        <f>opex_orig!BD59</f>
        <v>4.3800000000000004E-6</v>
      </c>
      <c r="BM59" s="188">
        <f>opex_orig!BE59</f>
        <v>2.2800000000000002E-6</v>
      </c>
      <c r="BN59" s="188">
        <f>opex_orig!BF59</f>
        <v>1.79E-6</v>
      </c>
      <c r="BO59" s="188">
        <f>opex_orig!BG59</f>
        <v>9.4199999999999996E-6</v>
      </c>
      <c r="BP59" s="188">
        <f>opex_orig!$BH59</f>
        <v>3.1546004251581402E-6</v>
      </c>
      <c r="BQ59" s="188">
        <f>opex_orig!$BH59</f>
        <v>3.1546004251581402E-6</v>
      </c>
      <c r="BR59" s="188">
        <f>opex_orig!BI59</f>
        <v>5.6099999999999997E-6</v>
      </c>
      <c r="BS59" s="188">
        <f>opex_orig!BJ59</f>
        <v>3.2499999999999997E-5</v>
      </c>
      <c r="BT59" s="188">
        <f>opex_orig!BK59</f>
        <v>2.0999999999999998E-6</v>
      </c>
      <c r="BU59" s="188">
        <f>opex_orig!BL59</f>
        <v>0</v>
      </c>
      <c r="BV59" s="27">
        <f>opex_orig!BM59</f>
        <v>1.78881674279671E-6</v>
      </c>
      <c r="BW59" s="27">
        <f>opex_orig!BN59</f>
        <v>6.6871543100827701E-6</v>
      </c>
      <c r="BX59" s="27">
        <f>opex_orig!BO59</f>
        <v>5.9338267020359997E-7</v>
      </c>
      <c r="BY59" s="27">
        <f>opex_orig!BP59</f>
        <v>1.3757917746518099E-6</v>
      </c>
      <c r="BZ59" s="27">
        <f>opex_orig!BQ59</f>
        <v>2.0291544844026702E-6</v>
      </c>
      <c r="CA59" s="27">
        <f>opex_orig!BR59</f>
        <v>9.1168662518813795E-7</v>
      </c>
      <c r="CB59" s="27">
        <f>opex_orig!BS59</f>
        <v>7.7918217865726194E-6</v>
      </c>
      <c r="CC59" s="27">
        <f>opex_orig!BT59</f>
        <v>1.0818872342521899E-6</v>
      </c>
      <c r="CD59" s="27">
        <f>opex_orig!BU59</f>
        <v>7.0030807706871403E-7</v>
      </c>
      <c r="CE59" s="27">
        <f>opex_orig!BV59</f>
        <v>7.0030807706871604E-7</v>
      </c>
      <c r="CF59" s="27">
        <f>opex_orig!BW59</f>
        <v>1.9143971331686598E-5</v>
      </c>
      <c r="CG59" s="27">
        <f>opex_orig!BX59</f>
        <v>5.2627984442992702E-7</v>
      </c>
      <c r="CH59" s="27">
        <f>opex_orig!BY59</f>
        <v>1.9640144319646601E-5</v>
      </c>
      <c r="CI59" s="27">
        <f>opex_orig!BZ59</f>
        <v>1.3400000000000001E-6</v>
      </c>
      <c r="CJ59" s="27">
        <f>opex_orig!CA59</f>
        <v>2.5799999999999999E-6</v>
      </c>
      <c r="CK59" s="27">
        <f>opex_orig!CB59</f>
        <v>2.3700000000000002E-6</v>
      </c>
      <c r="CL59" s="27">
        <f>opex_orig!CC59</f>
        <v>8.67E-6</v>
      </c>
      <c r="CM59" s="27">
        <f>opex_orig!CD59</f>
        <v>6.55E-6</v>
      </c>
      <c r="CN59" s="27">
        <f>opex_orig!CE59</f>
        <v>1.08E-6</v>
      </c>
      <c r="CO59" s="27">
        <f>opex_orig!CF59</f>
        <v>1.2899999999999999E-6</v>
      </c>
      <c r="CP59" s="27">
        <f>opex_orig!CG59</f>
        <v>7.1900000000000002E-7</v>
      </c>
    </row>
    <row r="60" spans="1:94" x14ac:dyDescent="0.25">
      <c r="A60" s="5" t="s">
        <v>139</v>
      </c>
      <c r="B60" s="2" t="s">
        <v>138</v>
      </c>
      <c r="C60" s="1" t="s">
        <v>328</v>
      </c>
      <c r="D60" s="188">
        <f>opex_orig!D60</f>
        <v>6.67933E-4</v>
      </c>
      <c r="E60" s="188">
        <f>opex_orig!E60</f>
        <v>1.7340000000000001E-4</v>
      </c>
      <c r="F60" s="188">
        <f>opex_orig!F60</f>
        <v>2.8112299999999998E-4</v>
      </c>
      <c r="G60" s="188">
        <f>opex_orig!G60</f>
        <v>1.8199999999999999E-5</v>
      </c>
      <c r="H60" s="188">
        <f>opex_orig!H60</f>
        <v>2.8500000000000002E-5</v>
      </c>
      <c r="I60" s="188">
        <f>opex_orig!I60</f>
        <v>4.1183600000000001E-4</v>
      </c>
      <c r="J60" s="188">
        <f>opex_orig!J60</f>
        <v>2.4793200000000002E-4</v>
      </c>
      <c r="K60" s="188">
        <f>opex_orig!K60</f>
        <v>3.96E-5</v>
      </c>
      <c r="L60" s="188">
        <f>opex_orig!L60</f>
        <v>7.8949200000000004E-4</v>
      </c>
      <c r="M60" s="188">
        <f>opex_orig!M60</f>
        <v>5.5116799999999999E-4</v>
      </c>
      <c r="N60" s="188">
        <f>opex_orig!N60</f>
        <v>3.5533500000000003E-4</v>
      </c>
      <c r="O60" s="188">
        <f>opex_orig!O60</f>
        <v>1.51571E-4</v>
      </c>
      <c r="P60" s="188">
        <f>opex_orig!P60</f>
        <v>1.1043579999999999E-3</v>
      </c>
      <c r="Q60" s="188">
        <f>opex_orig!Q60</f>
        <v>3.1487600000000001E-4</v>
      </c>
      <c r="R60" s="188">
        <f>opex_orig!R60</f>
        <v>1.7837350000000001E-3</v>
      </c>
      <c r="S60" s="188">
        <f>opex_orig!S60</f>
        <v>7.4991999999999995E-4</v>
      </c>
      <c r="T60" s="188">
        <f>opex_orig!T60</f>
        <v>1.975493E-3</v>
      </c>
      <c r="U60" s="188">
        <f>opex_orig!U60</f>
        <v>6.3739999999999999E-4</v>
      </c>
      <c r="V60" s="188">
        <f>opex_orig!V60</f>
        <v>2.5824000000000002E-4</v>
      </c>
      <c r="W60" s="188">
        <f>opex_orig!W60</f>
        <v>5.4050699999999997E-4</v>
      </c>
      <c r="X60" s="188">
        <f>opex_orig!X60</f>
        <v>1.5813399999999999E-4</v>
      </c>
      <c r="Y60" s="188">
        <f>opex_orig!Y60</f>
        <v>1.15771E-4</v>
      </c>
      <c r="Z60" s="188">
        <f>opex_orig!Z60</f>
        <v>8.2948600000000005E-4</v>
      </c>
      <c r="AA60" s="188">
        <f>opex_orig!AA60</f>
        <v>3.0122900000000003E-4</v>
      </c>
      <c r="AB60" s="188">
        <f>opex_orig!$AB60</f>
        <v>2.74641458508856E-3</v>
      </c>
      <c r="AC60" s="188">
        <f>opex_orig!$AB60</f>
        <v>2.74641458508856E-3</v>
      </c>
      <c r="AD60" s="188">
        <f>opex_orig!$AB60</f>
        <v>2.74641458508856E-3</v>
      </c>
      <c r="AE60" s="188">
        <f>opex_orig!$AC60</f>
        <v>1.8051052786372299E-4</v>
      </c>
      <c r="AF60" s="188">
        <f>opex_orig!$AD60</f>
        <v>2.3318204953814601E-4</v>
      </c>
      <c r="AG60" s="188">
        <f>opex_orig!$AD60</f>
        <v>2.3318204953814601E-4</v>
      </c>
      <c r="AH60" s="188">
        <f>opex_orig!$AD60</f>
        <v>2.3318204953814601E-4</v>
      </c>
      <c r="AI60" s="188">
        <f>opex_orig!AE60</f>
        <v>2.2604E-4</v>
      </c>
      <c r="AJ60" s="188">
        <f>opex_orig!AF60</f>
        <v>1.371061E-3</v>
      </c>
      <c r="AK60" s="188">
        <f>opex_orig!AG60</f>
        <v>3.4494359000000002E-2</v>
      </c>
      <c r="AL60" s="188">
        <f>opex_orig!AH60</f>
        <v>1.3918240000000001E-3</v>
      </c>
      <c r="AM60" s="188">
        <f>opex_orig!AI60</f>
        <v>5.1977299999999996E-4</v>
      </c>
      <c r="AN60" s="188">
        <f>opex_orig!AJ60</f>
        <v>8.9079299999999997E-4</v>
      </c>
      <c r="AO60" s="188">
        <f>opex_orig!AK60</f>
        <v>6.9748200000000003E-4</v>
      </c>
      <c r="AP60" s="188">
        <f>opex_orig!$AL60</f>
        <v>4.5322454034917102E-4</v>
      </c>
      <c r="AQ60" s="188">
        <f>opex_orig!$AL60</f>
        <v>4.5322454034917102E-4</v>
      </c>
      <c r="AR60" s="188">
        <f>opex_orig!$AL60</f>
        <v>4.5322454034917102E-4</v>
      </c>
      <c r="AS60" s="188">
        <f>opex_orig!$AM60</f>
        <v>3.9307995506851598E-4</v>
      </c>
      <c r="AT60" s="188">
        <f>opex_orig!AN60</f>
        <v>6.8642799999999999E-4</v>
      </c>
      <c r="AU60" s="188">
        <f>opex_orig!$AO60</f>
        <v>1.05313432756342E-3</v>
      </c>
      <c r="AV60" s="188">
        <f>opex_orig!$AO60</f>
        <v>1.05313432756342E-3</v>
      </c>
      <c r="AW60" s="188">
        <f>opex_orig!$AO60</f>
        <v>1.05313432756342E-3</v>
      </c>
      <c r="AX60" s="188">
        <f>opex_orig!$AP60</f>
        <v>1.0170372084702601E-3</v>
      </c>
      <c r="AY60" s="188">
        <f>opex_orig!AQ60</f>
        <v>6.1701900000000001E-4</v>
      </c>
      <c r="AZ60" s="188">
        <f>opex_orig!AR60</f>
        <v>0</v>
      </c>
      <c r="BA60" s="188">
        <f>opex_orig!AS60</f>
        <v>1.0619099999999999E-3</v>
      </c>
      <c r="BB60" s="188">
        <f>opex_orig!AT60</f>
        <v>9.7941400000000007E-4</v>
      </c>
      <c r="BC60" s="188">
        <f>opex_orig!AU60</f>
        <v>5.7246900000000004E-4</v>
      </c>
      <c r="BD60" s="188">
        <f>opex_orig!AV60</f>
        <v>5.0809499999999997E-4</v>
      </c>
      <c r="BE60" s="188">
        <f>opex_orig!AW60</f>
        <v>2.3883820000000001E-3</v>
      </c>
      <c r="BF60" s="188">
        <f>opex_orig!AX60</f>
        <v>0</v>
      </c>
      <c r="BG60" s="188">
        <f>opex_orig!AY60</f>
        <v>7.8992999999999999E-4</v>
      </c>
      <c r="BH60" s="188">
        <f>opex_orig!AZ60</f>
        <v>0</v>
      </c>
      <c r="BI60" s="188">
        <f>opex_orig!BA60</f>
        <v>1.199206E-3</v>
      </c>
      <c r="BJ60" s="188">
        <f>opex_orig!BB60</f>
        <v>8.8826900000000002E-4</v>
      </c>
      <c r="BK60" s="188">
        <f>opex_orig!BC60</f>
        <v>7.3857800000000004E-4</v>
      </c>
      <c r="BL60" s="188">
        <f>opex_orig!BD60</f>
        <v>2.43537E-4</v>
      </c>
      <c r="BM60" s="188">
        <f>opex_orig!BE60</f>
        <v>8.9051099999999997E-4</v>
      </c>
      <c r="BN60" s="188">
        <f>opex_orig!BF60</f>
        <v>2.744E-4</v>
      </c>
      <c r="BO60" s="188">
        <f>opex_orig!BG60</f>
        <v>6.032417E-3</v>
      </c>
      <c r="BP60" s="188">
        <f>opex_orig!$BH60</f>
        <v>1.39496795408732E-3</v>
      </c>
      <c r="BQ60" s="188">
        <f>opex_orig!$BH60</f>
        <v>1.39496795408732E-3</v>
      </c>
      <c r="BR60" s="188">
        <f>opex_orig!BI60</f>
        <v>1.867182E-3</v>
      </c>
      <c r="BS60" s="188">
        <f>opex_orig!BJ60</f>
        <v>1.1144670000000001E-3</v>
      </c>
      <c r="BT60" s="188">
        <f>opex_orig!BK60</f>
        <v>1.181252E-3</v>
      </c>
      <c r="BU60" s="188">
        <f>opex_orig!BL60</f>
        <v>0</v>
      </c>
      <c r="BV60" s="27">
        <f>opex_orig!BM60</f>
        <v>6.6060886988295302E-4</v>
      </c>
      <c r="BW60" s="27">
        <f>opex_orig!BN60</f>
        <v>7.9640599616999505E-4</v>
      </c>
      <c r="BX60" s="27">
        <f>opex_orig!BO60</f>
        <v>1.16114906208781E-4</v>
      </c>
      <c r="BY60" s="27">
        <f>opex_orig!BP60</f>
        <v>1.2234258444525101E-4</v>
      </c>
      <c r="BZ60" s="27">
        <f>opex_orig!BQ60</f>
        <v>1.5401264134124999E-4</v>
      </c>
      <c r="CA60" s="27">
        <f>opex_orig!BR60</f>
        <v>6.1845153533328704E-4</v>
      </c>
      <c r="CB60" s="27">
        <f>opex_orig!BS60</f>
        <v>1.00108131127593E-3</v>
      </c>
      <c r="CC60" s="27">
        <f>opex_orig!BT60</f>
        <v>5.6756898382202099E-4</v>
      </c>
      <c r="CD60" s="27">
        <f>opex_orig!BU60</f>
        <v>4.2670321915005601E-5</v>
      </c>
      <c r="CE60" s="27">
        <f>opex_orig!BV60</f>
        <v>4.2670321915005601E-5</v>
      </c>
      <c r="CF60" s="27">
        <f>opex_orig!BW60</f>
        <v>9.6576122534843998E-4</v>
      </c>
      <c r="CG60" s="27">
        <f>opex_orig!BX60</f>
        <v>7.5078872819267194E-5</v>
      </c>
      <c r="CH60" s="27">
        <f>opex_orig!BY60</f>
        <v>1.5632259048804201E-4</v>
      </c>
      <c r="CI60" s="27">
        <f>opex_orig!BZ60</f>
        <v>2.94734E-4</v>
      </c>
      <c r="CJ60" s="27">
        <f>opex_orig!CA60</f>
        <v>1.1054599999999999E-4</v>
      </c>
      <c r="CK60" s="27">
        <f>opex_orig!CB60</f>
        <v>1.6118299999999999E-4</v>
      </c>
      <c r="CL60" s="27">
        <f>opex_orig!CC60</f>
        <v>5.6799999999999998E-5</v>
      </c>
      <c r="CM60" s="27">
        <f>opex_orig!CD60</f>
        <v>1.0945830000000001E-3</v>
      </c>
      <c r="CN60" s="27">
        <f>opex_orig!CE60</f>
        <v>2.1751100000000001E-4</v>
      </c>
      <c r="CO60" s="27">
        <f>opex_orig!CF60</f>
        <v>3.4065799999999998E-4</v>
      </c>
      <c r="CP60" s="27">
        <f>opex_orig!CG60</f>
        <v>4.2299999999999998E-5</v>
      </c>
    </row>
    <row r="61" spans="1:94" x14ac:dyDescent="0.25">
      <c r="A61" s="5" t="s">
        <v>141</v>
      </c>
      <c r="B61" s="2" t="s">
        <v>140</v>
      </c>
      <c r="C61" s="1" t="s">
        <v>328</v>
      </c>
      <c r="D61" s="188">
        <f>opex_orig!D61</f>
        <v>1.69424E-4</v>
      </c>
      <c r="E61" s="188">
        <f>opex_orig!E61</f>
        <v>4.3000000000000002E-5</v>
      </c>
      <c r="F61" s="188">
        <f>opex_orig!F61</f>
        <v>7.7799999999999994E-5</v>
      </c>
      <c r="G61" s="188">
        <f>opex_orig!G61</f>
        <v>8.0399999999999993E-6</v>
      </c>
      <c r="H61" s="188">
        <f>opex_orig!H61</f>
        <v>1.2799999999999999E-5</v>
      </c>
      <c r="I61" s="188">
        <f>opex_orig!I61</f>
        <v>1.05481E-4</v>
      </c>
      <c r="J61" s="188">
        <f>opex_orig!J61</f>
        <v>1.02363E-4</v>
      </c>
      <c r="K61" s="188">
        <f>opex_orig!K61</f>
        <v>1.5E-5</v>
      </c>
      <c r="L61" s="188">
        <f>opex_orig!L61</f>
        <v>2.3843599999999999E-4</v>
      </c>
      <c r="M61" s="188">
        <f>opex_orig!M61</f>
        <v>1.4183699999999999E-4</v>
      </c>
      <c r="N61" s="188">
        <f>opex_orig!N61</f>
        <v>1.1726300000000001E-4</v>
      </c>
      <c r="O61" s="188">
        <f>opex_orig!O61</f>
        <v>5.2800000000000003E-5</v>
      </c>
      <c r="P61" s="188">
        <f>opex_orig!P61</f>
        <v>2.9399899999999997E-4</v>
      </c>
      <c r="Q61" s="188">
        <f>opex_orig!Q61</f>
        <v>8.53E-5</v>
      </c>
      <c r="R61" s="188">
        <f>opex_orig!R61</f>
        <v>4.5355699999999999E-4</v>
      </c>
      <c r="S61" s="188">
        <f>opex_orig!S61</f>
        <v>1.3631900000000001E-4</v>
      </c>
      <c r="T61" s="188">
        <f>opex_orig!T61</f>
        <v>3.5237700000000002E-4</v>
      </c>
      <c r="U61" s="188">
        <f>opex_orig!U61</f>
        <v>1.05369E-4</v>
      </c>
      <c r="V61" s="188">
        <f>opex_orig!V61</f>
        <v>3.9799999999999998E-5</v>
      </c>
      <c r="W61" s="188">
        <f>opex_orig!W61</f>
        <v>1.0970400000000001E-4</v>
      </c>
      <c r="X61" s="188">
        <f>opex_orig!X61</f>
        <v>4.1499999999999999E-5</v>
      </c>
      <c r="Y61" s="188">
        <f>opex_orig!Y61</f>
        <v>3.4199999999999998E-5</v>
      </c>
      <c r="Z61" s="188">
        <f>opex_orig!Z61</f>
        <v>1.6936300000000001E-4</v>
      </c>
      <c r="AA61" s="188">
        <f>opex_orig!AA61</f>
        <v>6.3399999999999996E-5</v>
      </c>
      <c r="AB61" s="188">
        <f>opex_orig!$AB61</f>
        <v>9.6366873017324E-4</v>
      </c>
      <c r="AC61" s="188">
        <f>opex_orig!$AB61</f>
        <v>9.6366873017324E-4</v>
      </c>
      <c r="AD61" s="188">
        <f>opex_orig!$AB61</f>
        <v>9.6366873017324E-4</v>
      </c>
      <c r="AE61" s="188">
        <f>opex_orig!$AC61</f>
        <v>4.5551682436794403E-5</v>
      </c>
      <c r="AF61" s="188">
        <f>opex_orig!$AD61</f>
        <v>1.00997476064826E-4</v>
      </c>
      <c r="AG61" s="188">
        <f>opex_orig!$AD61</f>
        <v>1.00997476064826E-4</v>
      </c>
      <c r="AH61" s="188">
        <f>opex_orig!$AD61</f>
        <v>1.00997476064826E-4</v>
      </c>
      <c r="AI61" s="188">
        <f>opex_orig!AE61</f>
        <v>1.06333E-4</v>
      </c>
      <c r="AJ61" s="188">
        <f>opex_orig!AF61</f>
        <v>3.5700400000000001E-4</v>
      </c>
      <c r="AK61" s="188">
        <f>opex_orig!AG61</f>
        <v>8.4426650000000002E-3</v>
      </c>
      <c r="AL61" s="188">
        <f>opex_orig!AH61</f>
        <v>3.1271499999999998E-4</v>
      </c>
      <c r="AM61" s="188">
        <f>opex_orig!AI61</f>
        <v>1.1425399999999999E-4</v>
      </c>
      <c r="AN61" s="188">
        <f>opex_orig!AJ61</f>
        <v>3.02081E-4</v>
      </c>
      <c r="AO61" s="188">
        <f>opex_orig!AK61</f>
        <v>1.74067E-4</v>
      </c>
      <c r="AP61" s="188">
        <f>opex_orig!$AL61</f>
        <v>1.2532868247595099E-4</v>
      </c>
      <c r="AQ61" s="188">
        <f>opex_orig!$AL61</f>
        <v>1.2532868247595099E-4</v>
      </c>
      <c r="AR61" s="188">
        <f>opex_orig!$AL61</f>
        <v>1.2532868247595099E-4</v>
      </c>
      <c r="AS61" s="188">
        <f>opex_orig!$AM61</f>
        <v>1.08183551452827E-4</v>
      </c>
      <c r="AT61" s="188">
        <f>opex_orig!AN61</f>
        <v>1.6002200000000001E-4</v>
      </c>
      <c r="AU61" s="188">
        <f>opex_orig!$AO61</f>
        <v>2.1179003477712899E-4</v>
      </c>
      <c r="AV61" s="188">
        <f>opex_orig!$AO61</f>
        <v>2.1179003477712899E-4</v>
      </c>
      <c r="AW61" s="188">
        <f>opex_orig!$AO61</f>
        <v>2.1179003477712899E-4</v>
      </c>
      <c r="AX61" s="188">
        <f>opex_orig!$AP61</f>
        <v>1.61569698691782E-4</v>
      </c>
      <c r="AY61" s="188">
        <f>opex_orig!AQ61</f>
        <v>1.1877100000000001E-4</v>
      </c>
      <c r="AZ61" s="188">
        <f>opex_orig!AR61</f>
        <v>0</v>
      </c>
      <c r="BA61" s="188">
        <f>opex_orig!AS61</f>
        <v>2.10664E-4</v>
      </c>
      <c r="BB61" s="188">
        <f>opex_orig!AT61</f>
        <v>1.9118499999999999E-4</v>
      </c>
      <c r="BC61" s="188">
        <f>opex_orig!AU61</f>
        <v>9.7700000000000003E-5</v>
      </c>
      <c r="BD61" s="188">
        <f>opex_orig!AV61</f>
        <v>7.3800000000000005E-5</v>
      </c>
      <c r="BE61" s="188">
        <f>opex_orig!AW61</f>
        <v>3.5235099999999999E-4</v>
      </c>
      <c r="BF61" s="188">
        <f>opex_orig!AX61</f>
        <v>0</v>
      </c>
      <c r="BG61" s="188">
        <f>opex_orig!AY61</f>
        <v>1.4966099999999999E-4</v>
      </c>
      <c r="BH61" s="188">
        <f>opex_orig!AZ61</f>
        <v>0</v>
      </c>
      <c r="BI61" s="188">
        <f>opex_orig!BA61</f>
        <v>2.7674600000000002E-4</v>
      </c>
      <c r="BJ61" s="188">
        <f>opex_orig!BB61</f>
        <v>1.5855900000000001E-4</v>
      </c>
      <c r="BK61" s="188">
        <f>opex_orig!BC61</f>
        <v>1.51688E-4</v>
      </c>
      <c r="BL61" s="188">
        <f>opex_orig!BD61</f>
        <v>8.3800000000000004E-5</v>
      </c>
      <c r="BM61" s="188">
        <f>opex_orig!BE61</f>
        <v>1.6090700000000001E-4</v>
      </c>
      <c r="BN61" s="188">
        <f>opex_orig!BF61</f>
        <v>5.2099999999999999E-5</v>
      </c>
      <c r="BO61" s="188">
        <f>opex_orig!BG61</f>
        <v>1.461831E-3</v>
      </c>
      <c r="BP61" s="188">
        <f>opex_orig!$BH61</f>
        <v>2.6728887936949098E-4</v>
      </c>
      <c r="BQ61" s="188">
        <f>opex_orig!$BH61</f>
        <v>2.6728887936949098E-4</v>
      </c>
      <c r="BR61" s="188">
        <f>opex_orig!BI61</f>
        <v>3.2693799999999998E-4</v>
      </c>
      <c r="BS61" s="188">
        <f>opex_orig!BJ61</f>
        <v>2.2493799999999999E-4</v>
      </c>
      <c r="BT61" s="188">
        <f>opex_orig!BK61</f>
        <v>1.8333100000000001E-4</v>
      </c>
      <c r="BU61" s="188">
        <f>opex_orig!BL61</f>
        <v>0</v>
      </c>
      <c r="BV61" s="27">
        <f>opex_orig!BM61</f>
        <v>1.1450592559892401E-4</v>
      </c>
      <c r="BW61" s="27">
        <f>opex_orig!BN61</f>
        <v>1.6527118723265501E-4</v>
      </c>
      <c r="BX61" s="27">
        <f>opex_orig!BO61</f>
        <v>1.9854795981337398E-5</v>
      </c>
      <c r="BY61" s="27">
        <f>opex_orig!BP61</f>
        <v>2.16297228246114E-5</v>
      </c>
      <c r="BZ61" s="27">
        <f>opex_orig!BQ61</f>
        <v>2.8575484122851399E-5</v>
      </c>
      <c r="CA61" s="27">
        <f>opex_orig!BR61</f>
        <v>1.2335228716961599E-4</v>
      </c>
      <c r="CB61" s="27">
        <f>opex_orig!BS61</f>
        <v>2.4776177915542197E-4</v>
      </c>
      <c r="CC61" s="27">
        <f>opex_orig!BT61</f>
        <v>2.07028831622179E-4</v>
      </c>
      <c r="CD61" s="27">
        <f>opex_orig!BU61</f>
        <v>7.110562456741E-6</v>
      </c>
      <c r="CE61" s="27">
        <f>opex_orig!BV61</f>
        <v>7.1105624567410203E-6</v>
      </c>
      <c r="CF61" s="27">
        <f>opex_orig!BW61</f>
        <v>2.21880660668432E-4</v>
      </c>
      <c r="CG61" s="27">
        <f>opex_orig!BX61</f>
        <v>3.03301508235472E-5</v>
      </c>
      <c r="CH61" s="27">
        <f>opex_orig!BY61</f>
        <v>9.3823046656833507E-5</v>
      </c>
      <c r="CI61" s="27">
        <f>opex_orig!BZ61</f>
        <v>5.27E-5</v>
      </c>
      <c r="CJ61" s="27">
        <f>opex_orig!CA61</f>
        <v>2.6999999999999999E-5</v>
      </c>
      <c r="CK61" s="27">
        <f>opex_orig!CB61</f>
        <v>3.3800000000000002E-5</v>
      </c>
      <c r="CL61" s="27">
        <f>opex_orig!CC61</f>
        <v>4.2400000000000001E-5</v>
      </c>
      <c r="CM61" s="27">
        <f>opex_orig!CD61</f>
        <v>2.0374299999999999E-4</v>
      </c>
      <c r="CN61" s="27">
        <f>opex_orig!CE61</f>
        <v>5.5500000000000001E-5</v>
      </c>
      <c r="CO61" s="27">
        <f>opex_orig!CF61</f>
        <v>1.0197E-4</v>
      </c>
      <c r="CP61" s="27">
        <f>opex_orig!CG61</f>
        <v>1.7799999999999999E-5</v>
      </c>
    </row>
    <row r="62" spans="1:94" x14ac:dyDescent="0.25">
      <c r="A62" s="5" t="s">
        <v>143</v>
      </c>
      <c r="B62" s="2" t="s">
        <v>142</v>
      </c>
      <c r="C62" s="1" t="s">
        <v>328</v>
      </c>
      <c r="D62" s="188">
        <f>opex_orig!D62</f>
        <v>5.1600000000000001E-5</v>
      </c>
      <c r="E62" s="188">
        <f>opex_orig!E62</f>
        <v>2.87E-5</v>
      </c>
      <c r="F62" s="188">
        <f>opex_orig!F62</f>
        <v>3.01E-5</v>
      </c>
      <c r="G62" s="188">
        <f>opex_orig!G62</f>
        <v>6.6100000000000002E-6</v>
      </c>
      <c r="H62" s="188">
        <f>opex_orig!H62</f>
        <v>9.9499999999999996E-6</v>
      </c>
      <c r="I62" s="188">
        <f>opex_orig!I62</f>
        <v>5.5500000000000001E-5</v>
      </c>
      <c r="J62" s="188">
        <f>opex_orig!J62</f>
        <v>1.2097200000000001E-4</v>
      </c>
      <c r="K62" s="188">
        <f>opex_orig!K62</f>
        <v>2.16E-5</v>
      </c>
      <c r="L62" s="188">
        <f>opex_orig!L62</f>
        <v>5.5699999999999999E-5</v>
      </c>
      <c r="M62" s="188">
        <f>opex_orig!M62</f>
        <v>1.3172699999999999E-4</v>
      </c>
      <c r="N62" s="188">
        <f>opex_orig!N62</f>
        <v>9.1299999999999997E-5</v>
      </c>
      <c r="O62" s="188">
        <f>opex_orig!O62</f>
        <v>6.2399999999999999E-5</v>
      </c>
      <c r="P62" s="188">
        <f>opex_orig!P62</f>
        <v>1.6399399999999999E-4</v>
      </c>
      <c r="Q62" s="188">
        <f>opex_orig!Q62</f>
        <v>1.02242E-4</v>
      </c>
      <c r="R62" s="188">
        <f>opex_orig!R62</f>
        <v>7.7200000000000006E-5</v>
      </c>
      <c r="S62" s="188">
        <f>opex_orig!S62</f>
        <v>1.08891E-4</v>
      </c>
      <c r="T62" s="188">
        <f>opex_orig!T62</f>
        <v>1.66902E-4</v>
      </c>
      <c r="U62" s="188">
        <f>opex_orig!U62</f>
        <v>1.14096E-4</v>
      </c>
      <c r="V62" s="188">
        <f>opex_orig!V62</f>
        <v>1.03101E-4</v>
      </c>
      <c r="W62" s="188">
        <f>opex_orig!W62</f>
        <v>5.7500000000000002E-5</v>
      </c>
      <c r="X62" s="188">
        <f>opex_orig!X62</f>
        <v>3.9499999999999998E-5</v>
      </c>
      <c r="Y62" s="188">
        <f>opex_orig!Y62</f>
        <v>5.8100000000000003E-5</v>
      </c>
      <c r="Z62" s="188">
        <f>opex_orig!Z62</f>
        <v>2.2184E-4</v>
      </c>
      <c r="AA62" s="188">
        <f>opex_orig!AA62</f>
        <v>8.4099999999999998E-5</v>
      </c>
      <c r="AB62" s="188">
        <f>opex_orig!$AB62</f>
        <v>6.1390243049706006E-5</v>
      </c>
      <c r="AC62" s="188">
        <f>opex_orig!$AB62</f>
        <v>6.1390243049706006E-5</v>
      </c>
      <c r="AD62" s="188">
        <f>opex_orig!$AB62</f>
        <v>6.1390243049706006E-5</v>
      </c>
      <c r="AE62" s="188">
        <f>opex_orig!$AC62</f>
        <v>1.3443519230375001E-3</v>
      </c>
      <c r="AF62" s="188">
        <f>opex_orig!$AD62</f>
        <v>7.0135231819952806E-5</v>
      </c>
      <c r="AG62" s="188">
        <f>opex_orig!$AD62</f>
        <v>7.0135231819952806E-5</v>
      </c>
      <c r="AH62" s="188">
        <f>opex_orig!$AD62</f>
        <v>7.0135231819952806E-5</v>
      </c>
      <c r="AI62" s="188">
        <f>opex_orig!AE62</f>
        <v>5.6199999999999997E-5</v>
      </c>
      <c r="AJ62" s="188">
        <f>opex_orig!AF62</f>
        <v>7.2746900000000001E-4</v>
      </c>
      <c r="AK62" s="188">
        <f>opex_orig!AG62</f>
        <v>1.07522E-4</v>
      </c>
      <c r="AL62" s="188">
        <f>opex_orig!AH62</f>
        <v>4.7899999999999999E-5</v>
      </c>
      <c r="AM62" s="188">
        <f>opex_orig!AI62</f>
        <v>7.5799999999999999E-5</v>
      </c>
      <c r="AN62" s="188">
        <f>opex_orig!AJ62</f>
        <v>2.9899999999999998E-5</v>
      </c>
      <c r="AO62" s="188">
        <f>opex_orig!AK62</f>
        <v>5.41E-5</v>
      </c>
      <c r="AP62" s="188">
        <f>opex_orig!$AL62</f>
        <v>4.6043226735265301E-5</v>
      </c>
      <c r="AQ62" s="188">
        <f>opex_orig!$AL62</f>
        <v>4.6043226735265301E-5</v>
      </c>
      <c r="AR62" s="188">
        <f>opex_orig!$AL62</f>
        <v>4.6043226735265301E-5</v>
      </c>
      <c r="AS62" s="188">
        <f>opex_orig!$AM62</f>
        <v>4.4150210703221502E-5</v>
      </c>
      <c r="AT62" s="188">
        <f>opex_orig!AN62</f>
        <v>2.02442E-4</v>
      </c>
      <c r="AU62" s="188">
        <f>opex_orig!$AO62</f>
        <v>1.5491978302724501E-4</v>
      </c>
      <c r="AV62" s="188">
        <f>opex_orig!$AO62</f>
        <v>1.5491978302724501E-4</v>
      </c>
      <c r="AW62" s="188">
        <f>opex_orig!$AO62</f>
        <v>1.5491978302724501E-4</v>
      </c>
      <c r="AX62" s="188">
        <f>opex_orig!$AP62</f>
        <v>8.5891404787344101E-5</v>
      </c>
      <c r="AY62" s="188">
        <f>opex_orig!AQ62</f>
        <v>1.16259E-4</v>
      </c>
      <c r="AZ62" s="188">
        <f>opex_orig!AR62</f>
        <v>0</v>
      </c>
      <c r="BA62" s="188">
        <f>opex_orig!AS62</f>
        <v>1.09953E-4</v>
      </c>
      <c r="BB62" s="188">
        <f>opex_orig!AT62</f>
        <v>8.3700000000000002E-5</v>
      </c>
      <c r="BC62" s="188">
        <f>opex_orig!AU62</f>
        <v>3.2700000000000002E-5</v>
      </c>
      <c r="BD62" s="188">
        <f>opex_orig!AV62</f>
        <v>3.15E-5</v>
      </c>
      <c r="BE62" s="188">
        <f>opex_orig!AW62</f>
        <v>1.4433E-4</v>
      </c>
      <c r="BF62" s="188">
        <f>opex_orig!AX62</f>
        <v>0</v>
      </c>
      <c r="BG62" s="188">
        <f>opex_orig!AY62</f>
        <v>2.6991500000000002E-4</v>
      </c>
      <c r="BH62" s="188">
        <f>opex_orig!AZ62</f>
        <v>0</v>
      </c>
      <c r="BI62" s="188">
        <f>opex_orig!BA62</f>
        <v>9.8499999999999995E-5</v>
      </c>
      <c r="BJ62" s="188">
        <f>opex_orig!BB62</f>
        <v>5.4599999999999999E-5</v>
      </c>
      <c r="BK62" s="188">
        <f>opex_orig!BC62</f>
        <v>7.7100000000000004E-5</v>
      </c>
      <c r="BL62" s="188">
        <f>opex_orig!BD62</f>
        <v>1.2999999999999999E-5</v>
      </c>
      <c r="BM62" s="188">
        <f>opex_orig!BE62</f>
        <v>7.6899999999999999E-5</v>
      </c>
      <c r="BN62" s="188">
        <f>opex_orig!BF62</f>
        <v>1.7E-5</v>
      </c>
      <c r="BO62" s="188">
        <f>opex_orig!BG62</f>
        <v>8.0099999999999995E-5</v>
      </c>
      <c r="BP62" s="188">
        <f>opex_orig!$BH62</f>
        <v>5.0749767740199598E-5</v>
      </c>
      <c r="BQ62" s="188">
        <f>opex_orig!$BH62</f>
        <v>5.0749767740199598E-5</v>
      </c>
      <c r="BR62" s="188">
        <f>opex_orig!BI62</f>
        <v>5.9899999999999999E-5</v>
      </c>
      <c r="BS62" s="188">
        <f>opex_orig!BJ62</f>
        <v>6.1199999999999997E-5</v>
      </c>
      <c r="BT62" s="188">
        <f>opex_orig!BK62</f>
        <v>8.5699999999999996E-5</v>
      </c>
      <c r="BU62" s="188">
        <f>opex_orig!BL62</f>
        <v>0</v>
      </c>
      <c r="BV62" s="27">
        <f>opex_orig!BM62</f>
        <v>2.3337663351528999E-4</v>
      </c>
      <c r="BW62" s="27">
        <f>opex_orig!BN62</f>
        <v>1.1780288048634E-4</v>
      </c>
      <c r="BX62" s="27">
        <f>opex_orig!BO62</f>
        <v>1.6770861874597201E-5</v>
      </c>
      <c r="BY62" s="27">
        <f>opex_orig!BP62</f>
        <v>6.05768823091545E-5</v>
      </c>
      <c r="BZ62" s="27">
        <f>opex_orig!BQ62</f>
        <v>2.9777238673887301E-5</v>
      </c>
      <c r="CA62" s="27">
        <f>opex_orig!BR62</f>
        <v>6.8074357841054999E-7</v>
      </c>
      <c r="CB62" s="27">
        <f>opex_orig!BS62</f>
        <v>2.6170445699917101E-4</v>
      </c>
      <c r="CC62" s="27">
        <f>opex_orig!BT62</f>
        <v>2.3385776199689101E-6</v>
      </c>
      <c r="CD62" s="27">
        <f>opex_orig!BU62</f>
        <v>1.7231308360165301E-5</v>
      </c>
      <c r="CE62" s="27">
        <f>opex_orig!BV62</f>
        <v>1.72313083601654E-5</v>
      </c>
      <c r="CF62" s="27">
        <f>opex_orig!BW62</f>
        <v>1.8184810332272801E-6</v>
      </c>
      <c r="CG62" s="27">
        <f>opex_orig!BX62</f>
        <v>3.1793314961076499E-6</v>
      </c>
      <c r="CH62" s="27">
        <f>opex_orig!BY62</f>
        <v>4.6769670057435E-6</v>
      </c>
      <c r="CI62" s="27">
        <f>opex_orig!BZ62</f>
        <v>9.9300000000000001E-5</v>
      </c>
      <c r="CJ62" s="27">
        <f>opex_orig!CA62</f>
        <v>2.0438800000000001E-4</v>
      </c>
      <c r="CK62" s="27">
        <f>opex_orig!CB62</f>
        <v>1.88662E-4</v>
      </c>
      <c r="CL62" s="27">
        <f>opex_orig!CC62</f>
        <v>3.9898899999999998E-4</v>
      </c>
      <c r="CM62" s="27">
        <f>opex_orig!CD62</f>
        <v>2.0018400000000001E-4</v>
      </c>
      <c r="CN62" s="27">
        <f>opex_orig!CE62</f>
        <v>5.5999999999999999E-5</v>
      </c>
      <c r="CO62" s="27">
        <f>opex_orig!CF62</f>
        <v>4.8099999999999997E-5</v>
      </c>
      <c r="CP62" s="27">
        <f>opex_orig!CG62</f>
        <v>2.8099999999999999E-5</v>
      </c>
    </row>
    <row r="63" spans="1:94" x14ac:dyDescent="0.25">
      <c r="A63" s="5" t="s">
        <v>145</v>
      </c>
      <c r="B63" s="2" t="s">
        <v>144</v>
      </c>
      <c r="C63" s="1" t="s">
        <v>328</v>
      </c>
      <c r="D63" s="188">
        <f>opex_orig!D63</f>
        <v>1.3810100000000001E-4</v>
      </c>
      <c r="E63" s="188">
        <f>opex_orig!E63</f>
        <v>8.0400000000000003E-5</v>
      </c>
      <c r="F63" s="188">
        <f>opex_orig!F63</f>
        <v>9.1399999999999999E-5</v>
      </c>
      <c r="G63" s="188">
        <f>opex_orig!G63</f>
        <v>2.1399999999999998E-5</v>
      </c>
      <c r="H63" s="188">
        <f>opex_orig!H63</f>
        <v>2.6999999999999999E-5</v>
      </c>
      <c r="I63" s="188">
        <f>opex_orig!I63</f>
        <v>1.62855E-4</v>
      </c>
      <c r="J63" s="188">
        <f>opex_orig!J63</f>
        <v>3.1242599999999998E-4</v>
      </c>
      <c r="K63" s="188">
        <f>opex_orig!K63</f>
        <v>6.8899999999999994E-5</v>
      </c>
      <c r="L63" s="188">
        <f>opex_orig!L63</f>
        <v>1.6027200000000001E-4</v>
      </c>
      <c r="M63" s="188">
        <f>opex_orig!M63</f>
        <v>3.6304700000000002E-4</v>
      </c>
      <c r="N63" s="188">
        <f>opex_orig!N63</f>
        <v>2.72506E-4</v>
      </c>
      <c r="O63" s="188">
        <f>opex_orig!O63</f>
        <v>1.6671000000000001E-4</v>
      </c>
      <c r="P63" s="188">
        <f>opex_orig!P63</f>
        <v>4.12197E-4</v>
      </c>
      <c r="Q63" s="188">
        <f>opex_orig!Q63</f>
        <v>3.5530099999999998E-4</v>
      </c>
      <c r="R63" s="188">
        <f>opex_orig!R63</f>
        <v>2.0201999999999999E-4</v>
      </c>
      <c r="S63" s="188">
        <f>opex_orig!S63</f>
        <v>1.8314500000000001E-4</v>
      </c>
      <c r="T63" s="188">
        <f>opex_orig!T63</f>
        <v>3.4367000000000002E-4</v>
      </c>
      <c r="U63" s="188">
        <f>opex_orig!U63</f>
        <v>2.7417899999999999E-4</v>
      </c>
      <c r="V63" s="188">
        <f>opex_orig!V63</f>
        <v>2.3948200000000001E-4</v>
      </c>
      <c r="W63" s="188">
        <f>opex_orig!W63</f>
        <v>1.67956E-4</v>
      </c>
      <c r="X63" s="188">
        <f>opex_orig!X63</f>
        <v>1.0389499999999999E-4</v>
      </c>
      <c r="Y63" s="188">
        <f>opex_orig!Y63</f>
        <v>1.5019400000000001E-4</v>
      </c>
      <c r="Z63" s="188">
        <f>opex_orig!Z63</f>
        <v>5.3480300000000004E-4</v>
      </c>
      <c r="AA63" s="188">
        <f>opex_orig!AA63</f>
        <v>2.23928E-4</v>
      </c>
      <c r="AB63" s="188">
        <f>opex_orig!$AB63</f>
        <v>3.6056081440099098E-4</v>
      </c>
      <c r="AC63" s="188">
        <f>opex_orig!$AB63</f>
        <v>3.6056081440099098E-4</v>
      </c>
      <c r="AD63" s="188">
        <f>opex_orig!$AB63</f>
        <v>3.6056081440099098E-4</v>
      </c>
      <c r="AE63" s="188">
        <f>opex_orig!$AC63</f>
        <v>2.2259339230789798E-3</v>
      </c>
      <c r="AF63" s="188">
        <f>opex_orig!$AD63</f>
        <v>1.8265005762136801E-4</v>
      </c>
      <c r="AG63" s="188">
        <f>opex_orig!$AD63</f>
        <v>1.8265005762136801E-4</v>
      </c>
      <c r="AH63" s="188">
        <f>opex_orig!$AD63</f>
        <v>1.8265005762136801E-4</v>
      </c>
      <c r="AI63" s="188">
        <f>opex_orig!AE63</f>
        <v>1.4615900000000001E-4</v>
      </c>
      <c r="AJ63" s="188">
        <f>opex_orig!AF63</f>
        <v>1.481413E-3</v>
      </c>
      <c r="AK63" s="188">
        <f>opex_orig!AG63</f>
        <v>3.1667000000000002E-4</v>
      </c>
      <c r="AL63" s="188">
        <f>opex_orig!AH63</f>
        <v>1.2094799999999999E-4</v>
      </c>
      <c r="AM63" s="188">
        <f>opex_orig!AI63</f>
        <v>1.7768699999999999E-4</v>
      </c>
      <c r="AN63" s="188">
        <f>opex_orig!AJ63</f>
        <v>9.6799999999999995E-5</v>
      </c>
      <c r="AO63" s="188">
        <f>opex_orig!AK63</f>
        <v>1.67863E-4</v>
      </c>
      <c r="AP63" s="188">
        <f>opex_orig!$AL63</f>
        <v>1.2466601208034001E-4</v>
      </c>
      <c r="AQ63" s="188">
        <f>opex_orig!$AL63</f>
        <v>1.2466601208034001E-4</v>
      </c>
      <c r="AR63" s="188">
        <f>opex_orig!$AL63</f>
        <v>1.2466601208034001E-4</v>
      </c>
      <c r="AS63" s="188">
        <f>opex_orig!$AM63</f>
        <v>1.2242188859480101E-4</v>
      </c>
      <c r="AT63" s="188">
        <f>opex_orig!AN63</f>
        <v>3.8483099999999998E-4</v>
      </c>
      <c r="AU63" s="188">
        <f>opex_orig!$AO63</f>
        <v>3.83324242177097E-4</v>
      </c>
      <c r="AV63" s="188">
        <f>opex_orig!$AO63</f>
        <v>3.83324242177097E-4</v>
      </c>
      <c r="AW63" s="188">
        <f>opex_orig!$AO63</f>
        <v>3.83324242177097E-4</v>
      </c>
      <c r="AX63" s="188">
        <f>opex_orig!$AP63</f>
        <v>2.1956015862261999E-4</v>
      </c>
      <c r="AY63" s="188">
        <f>opex_orig!AQ63</f>
        <v>2.74228E-4</v>
      </c>
      <c r="AZ63" s="188">
        <f>opex_orig!AR63</f>
        <v>0</v>
      </c>
      <c r="BA63" s="188">
        <f>opex_orig!AS63</f>
        <v>2.9941199999999999E-4</v>
      </c>
      <c r="BB63" s="188">
        <f>opex_orig!AT63</f>
        <v>2.31874E-4</v>
      </c>
      <c r="BC63" s="188">
        <f>opex_orig!AU63</f>
        <v>9.87E-5</v>
      </c>
      <c r="BD63" s="188">
        <f>opex_orig!AV63</f>
        <v>9.2999999999999997E-5</v>
      </c>
      <c r="BE63" s="188">
        <f>opex_orig!AW63</f>
        <v>2.4434599999999999E-4</v>
      </c>
      <c r="BF63" s="188">
        <f>opex_orig!AX63</f>
        <v>0</v>
      </c>
      <c r="BG63" s="188">
        <f>opex_orig!AY63</f>
        <v>7.5863799999999996E-4</v>
      </c>
      <c r="BH63" s="188">
        <f>opex_orig!AZ63</f>
        <v>0</v>
      </c>
      <c r="BI63" s="188">
        <f>opex_orig!BA63</f>
        <v>2.4843100000000002E-4</v>
      </c>
      <c r="BJ63" s="188">
        <f>opex_orig!BB63</f>
        <v>1.3762299999999999E-4</v>
      </c>
      <c r="BK63" s="188">
        <f>opex_orig!BC63</f>
        <v>1.8881099999999999E-4</v>
      </c>
      <c r="BL63" s="188">
        <f>opex_orig!BD63</f>
        <v>3.4999999999999997E-5</v>
      </c>
      <c r="BM63" s="188">
        <f>opex_orig!BE63</f>
        <v>1.62619E-4</v>
      </c>
      <c r="BN63" s="188">
        <f>opex_orig!BF63</f>
        <v>4.74E-5</v>
      </c>
      <c r="BO63" s="188">
        <f>opex_orig!BG63</f>
        <v>2.1181999999999999E-4</v>
      </c>
      <c r="BP63" s="188">
        <f>opex_orig!$BH63</f>
        <v>1.3084015086350901E-4</v>
      </c>
      <c r="BQ63" s="188">
        <f>opex_orig!$BH63</f>
        <v>1.3084015086350901E-4</v>
      </c>
      <c r="BR63" s="188">
        <f>opex_orig!BI63</f>
        <v>1.58682E-4</v>
      </c>
      <c r="BS63" s="188">
        <f>opex_orig!BJ63</f>
        <v>3.36872E-4</v>
      </c>
      <c r="BT63" s="188">
        <f>opex_orig!BK63</f>
        <v>2.14589E-4</v>
      </c>
      <c r="BU63" s="188">
        <f>opex_orig!BL63</f>
        <v>0</v>
      </c>
      <c r="BV63" s="27">
        <f>opex_orig!BM63</f>
        <v>4.0378078212081599E-4</v>
      </c>
      <c r="BW63" s="27">
        <f>opex_orig!BN63</f>
        <v>2.7017151332727499E-4</v>
      </c>
      <c r="BX63" s="27">
        <f>opex_orig!BO63</f>
        <v>3.71295650137469E-5</v>
      </c>
      <c r="BY63" s="27">
        <f>opex_orig!BP63</f>
        <v>1.20007215329256E-4</v>
      </c>
      <c r="BZ63" s="27">
        <f>opex_orig!BQ63</f>
        <v>7.9920267836684005E-5</v>
      </c>
      <c r="CA63" s="27">
        <f>opex_orig!BR63</f>
        <v>1.5638140723716502E-5</v>
      </c>
      <c r="CB63" s="27">
        <f>opex_orig!BS63</f>
        <v>6.3187416468800004E-4</v>
      </c>
      <c r="CC63" s="27">
        <f>opex_orig!BT63</f>
        <v>5.7497216674023298E-6</v>
      </c>
      <c r="CD63" s="27">
        <f>opex_orig!BU63</f>
        <v>4.0646480043490402E-5</v>
      </c>
      <c r="CE63" s="27">
        <f>opex_orig!BV63</f>
        <v>4.0646480043490503E-5</v>
      </c>
      <c r="CF63" s="27">
        <f>opex_orig!BW63</f>
        <v>8.8242294701234498E-5</v>
      </c>
      <c r="CG63" s="27">
        <f>opex_orig!BX63</f>
        <v>4.0447940430053398E-5</v>
      </c>
      <c r="CH63" s="27">
        <f>opex_orig!BY63</f>
        <v>4.8634088933673199E-5</v>
      </c>
      <c r="CI63" s="27">
        <f>opex_orig!BZ63</f>
        <v>1.93826E-4</v>
      </c>
      <c r="CJ63" s="27">
        <f>opex_orig!CA63</f>
        <v>4.2622500000000002E-4</v>
      </c>
      <c r="CK63" s="27">
        <f>opex_orig!CB63</f>
        <v>3.969E-4</v>
      </c>
      <c r="CL63" s="27">
        <f>opex_orig!CC63</f>
        <v>9.5744600000000003E-4</v>
      </c>
      <c r="CM63" s="27">
        <f>opex_orig!CD63</f>
        <v>4.5836299999999999E-4</v>
      </c>
      <c r="CN63" s="27">
        <f>opex_orig!CE63</f>
        <v>1.40593E-4</v>
      </c>
      <c r="CO63" s="27">
        <f>opex_orig!CF63</f>
        <v>1.14057E-4</v>
      </c>
      <c r="CP63" s="27">
        <f>opex_orig!CG63</f>
        <v>5.8E-5</v>
      </c>
    </row>
    <row r="64" spans="1:94" x14ac:dyDescent="0.25">
      <c r="A64" s="5" t="s">
        <v>147</v>
      </c>
      <c r="B64" s="2" t="s">
        <v>146</v>
      </c>
      <c r="C64" s="1" t="s">
        <v>328</v>
      </c>
      <c r="D64" s="188">
        <f>opex_orig!D64</f>
        <v>5.7996399999999998E-4</v>
      </c>
      <c r="E64" s="188">
        <f>opex_orig!E64</f>
        <v>5.1218699999999999E-4</v>
      </c>
      <c r="F64" s="188">
        <f>opex_orig!F64</f>
        <v>8.8487899999999998E-4</v>
      </c>
      <c r="G64" s="188">
        <f>opex_orig!G64</f>
        <v>2.3E-5</v>
      </c>
      <c r="H64" s="188">
        <f>opex_orig!H64</f>
        <v>7.5900000000000002E-5</v>
      </c>
      <c r="I64" s="188">
        <f>opex_orig!I64</f>
        <v>1.4608710000000001E-3</v>
      </c>
      <c r="J64" s="188">
        <f>opex_orig!J64</f>
        <v>6.7525799999999998E-4</v>
      </c>
      <c r="K64" s="188">
        <f>opex_orig!K64</f>
        <v>8.1000000000000004E-5</v>
      </c>
      <c r="L64" s="188">
        <f>opex_orig!L64</f>
        <v>8.8037399999999996E-4</v>
      </c>
      <c r="M64" s="188">
        <f>opex_orig!M64</f>
        <v>2.570985E-3</v>
      </c>
      <c r="N64" s="188">
        <f>opex_orig!N64</f>
        <v>1.600064E-3</v>
      </c>
      <c r="O64" s="188">
        <f>opex_orig!O64</f>
        <v>3.1153799999999998E-4</v>
      </c>
      <c r="P64" s="188">
        <f>opex_orig!P64</f>
        <v>1.1217902E-2</v>
      </c>
      <c r="Q64" s="188">
        <f>opex_orig!Q64</f>
        <v>1.24603E-3</v>
      </c>
      <c r="R64" s="188">
        <f>opex_orig!R64</f>
        <v>2.4639660000000002E-3</v>
      </c>
      <c r="S64" s="188">
        <f>opex_orig!S64</f>
        <v>8.275559E-3</v>
      </c>
      <c r="T64" s="188">
        <f>opex_orig!T64</f>
        <v>9.0175150000000003E-3</v>
      </c>
      <c r="U64" s="188">
        <f>opex_orig!U64</f>
        <v>7.7545369999999997E-3</v>
      </c>
      <c r="V64" s="188">
        <f>opex_orig!V64</f>
        <v>7.9067459999999992E-3</v>
      </c>
      <c r="W64" s="188">
        <f>opex_orig!W64</f>
        <v>4.5253100000000003E-3</v>
      </c>
      <c r="X64" s="188">
        <f>opex_orig!X64</f>
        <v>1.361098E-3</v>
      </c>
      <c r="Y64" s="188">
        <f>opex_orig!Y64</f>
        <v>5.9655299999999999E-4</v>
      </c>
      <c r="Z64" s="188">
        <f>opex_orig!Z64</f>
        <v>2.4648679999999998E-3</v>
      </c>
      <c r="AA64" s="188">
        <f>opex_orig!AA64</f>
        <v>3.9579399999999999E-4</v>
      </c>
      <c r="AB64" s="188">
        <f>opex_orig!$AB64</f>
        <v>2.2042257166381102E-3</v>
      </c>
      <c r="AC64" s="188">
        <f>opex_orig!$AB64</f>
        <v>2.2042257166381102E-3</v>
      </c>
      <c r="AD64" s="188">
        <f>opex_orig!$AB64</f>
        <v>2.2042257166381102E-3</v>
      </c>
      <c r="AE64" s="188">
        <f>opex_orig!$AC64</f>
        <v>4.4570586660270299E-2</v>
      </c>
      <c r="AF64" s="310">
        <f>opex_concordance!$M$316</f>
        <v>1.1406303800218899E-2</v>
      </c>
      <c r="AG64" s="310">
        <f>opex_concordance!$M$350</f>
        <v>0.42749152900157211</v>
      </c>
      <c r="AH64" s="310">
        <f>opex_concordance!$M$386</f>
        <v>0.47900843110465946</v>
      </c>
      <c r="AI64" s="188">
        <f>opex_orig!AE64</f>
        <v>8.7155059999999996E-3</v>
      </c>
      <c r="AJ64" s="188">
        <f>opex_orig!AF64</f>
        <v>0.14975327999999999</v>
      </c>
      <c r="AK64" s="188">
        <f>opex_orig!AG64</f>
        <v>4.4154410999999998E-2</v>
      </c>
      <c r="AL64" s="188">
        <f>opex_orig!AH64</f>
        <v>3.2357000000000002E-3</v>
      </c>
      <c r="AM64" s="188">
        <f>opex_orig!AI64</f>
        <v>5.2092900000000001E-3</v>
      </c>
      <c r="AN64" s="188">
        <f>opex_orig!AJ64</f>
        <v>4.2058200000000002E-4</v>
      </c>
      <c r="AO64" s="188">
        <f>opex_orig!AK64</f>
        <v>1.762118E-3</v>
      </c>
      <c r="AP64" s="188">
        <f>opex_orig!$AL64</f>
        <v>1.4316934057775001E-3</v>
      </c>
      <c r="AQ64" s="188">
        <f>opex_orig!$AL64</f>
        <v>1.4316934057775001E-3</v>
      </c>
      <c r="AR64" s="188">
        <f>opex_orig!$AL64</f>
        <v>1.4316934057775001E-3</v>
      </c>
      <c r="AS64" s="188">
        <f>opex_orig!$AM64</f>
        <v>1.12922705101354E-3</v>
      </c>
      <c r="AT64" s="188">
        <f>opex_orig!AN64</f>
        <v>1.2114911000000001E-2</v>
      </c>
      <c r="AU64" s="188">
        <f>opex_orig!$AO64</f>
        <v>3.39187735266391E-3</v>
      </c>
      <c r="AV64" s="188">
        <f>opex_orig!$AO64</f>
        <v>3.39187735266391E-3</v>
      </c>
      <c r="AW64" s="188">
        <f>opex_orig!$AO64</f>
        <v>3.39187735266391E-3</v>
      </c>
      <c r="AX64" s="188">
        <f>opex_orig!$AP64</f>
        <v>2.47931653747941E-3</v>
      </c>
      <c r="AY64" s="188">
        <f>opex_orig!AQ64</f>
        <v>3.817955E-3</v>
      </c>
      <c r="AZ64" s="188">
        <f>opex_orig!AR64</f>
        <v>0</v>
      </c>
      <c r="BA64" s="188">
        <f>opex_orig!AS64</f>
        <v>1.5668912E-2</v>
      </c>
      <c r="BB64" s="188">
        <f>opex_orig!AT64</f>
        <v>1.6649884E-2</v>
      </c>
      <c r="BC64" s="188">
        <f>opex_orig!AU64</f>
        <v>5.6799999999999998E-5</v>
      </c>
      <c r="BD64" s="188">
        <f>opex_orig!AV64</f>
        <v>3.4700000000000003E-5</v>
      </c>
      <c r="BE64" s="188">
        <f>opex_orig!AW64</f>
        <v>1.66336E-3</v>
      </c>
      <c r="BF64" s="188">
        <f>opex_orig!AX64</f>
        <v>0</v>
      </c>
      <c r="BG64" s="188">
        <f>opex_orig!AY64</f>
        <v>3.1114010000000002E-3</v>
      </c>
      <c r="BH64" s="188">
        <f>opex_orig!AZ64</f>
        <v>0</v>
      </c>
      <c r="BI64" s="188">
        <f>opex_orig!BA64</f>
        <v>1.9494860000000001E-3</v>
      </c>
      <c r="BJ64" s="188">
        <f>opex_orig!BB64</f>
        <v>2.1752130000000001E-3</v>
      </c>
      <c r="BK64" s="188">
        <f>opex_orig!BC64</f>
        <v>4.667671E-3</v>
      </c>
      <c r="BL64" s="188">
        <f>opex_orig!BD64</f>
        <v>1.212606E-3</v>
      </c>
      <c r="BM64" s="188">
        <f>opex_orig!BE64</f>
        <v>1.9972779999999999E-3</v>
      </c>
      <c r="BN64" s="188">
        <f>opex_orig!BF64</f>
        <v>2.58342E-4</v>
      </c>
      <c r="BO64" s="188">
        <f>opex_orig!BG64</f>
        <v>1.1760915E-2</v>
      </c>
      <c r="BP64" s="188">
        <f>opex_orig!$BH64</f>
        <v>2.0342040691661602E-3</v>
      </c>
      <c r="BQ64" s="188">
        <f>opex_orig!$BH64</f>
        <v>2.0342040691661602E-3</v>
      </c>
      <c r="BR64" s="188">
        <f>opex_orig!BI64</f>
        <v>4.5168079999999998E-3</v>
      </c>
      <c r="BS64" s="188">
        <f>opex_orig!BJ64</f>
        <v>1.4423195999999999E-2</v>
      </c>
      <c r="BT64" s="188">
        <f>opex_orig!BK64</f>
        <v>8.0183000000000001E-4</v>
      </c>
      <c r="BU64" s="188">
        <f>opex_orig!BL64</f>
        <v>0</v>
      </c>
      <c r="BV64" s="27">
        <f>opex_orig!BM64</f>
        <v>2.7765967472823802E-3</v>
      </c>
      <c r="BW64" s="27">
        <f>opex_orig!BN64</f>
        <v>7.0667204203045198E-3</v>
      </c>
      <c r="BX64" s="27">
        <f>opex_orig!BO64</f>
        <v>3.0400986403840598E-4</v>
      </c>
      <c r="BY64" s="27">
        <f>opex_orig!BP64</f>
        <v>6.4582055732463996E-4</v>
      </c>
      <c r="BZ64" s="27">
        <f>opex_orig!BQ64</f>
        <v>3.5160664653442801E-4</v>
      </c>
      <c r="CA64" s="27">
        <f>opex_orig!BR64</f>
        <v>4.28686849520238E-5</v>
      </c>
      <c r="CB64" s="27">
        <f>opex_orig!BS64</f>
        <v>3.41189186834187E-3</v>
      </c>
      <c r="CC64" s="27">
        <f>opex_orig!BT64</f>
        <v>9.0550874091126105E-5</v>
      </c>
      <c r="CD64" s="27">
        <f>opex_orig!BU64</f>
        <v>3.9854906591850902E-5</v>
      </c>
      <c r="CE64" s="27">
        <f>opex_orig!BV64</f>
        <v>3.9854906591850997E-5</v>
      </c>
      <c r="CF64" s="27">
        <f>opex_orig!BW64</f>
        <v>2.1433848738768201E-4</v>
      </c>
      <c r="CG64" s="27">
        <f>opex_orig!BX64</f>
        <v>1.3941962730929999E-4</v>
      </c>
      <c r="CH64" s="27">
        <f>opex_orig!BY64</f>
        <v>2.1502274434193099E-4</v>
      </c>
      <c r="CI64" s="27">
        <f>opex_orig!BZ64</f>
        <v>1.604671E-3</v>
      </c>
      <c r="CJ64" s="27">
        <f>opex_orig!CA64</f>
        <v>2.3156660000000001E-3</v>
      </c>
      <c r="CK64" s="27">
        <f>opex_orig!CB64</f>
        <v>1.572007E-3</v>
      </c>
      <c r="CL64" s="27">
        <f>opex_orig!CC64</f>
        <v>5.4015410000000002E-3</v>
      </c>
      <c r="CM64" s="27">
        <f>opex_orig!CD64</f>
        <v>1.1908609000000001E-2</v>
      </c>
      <c r="CN64" s="27">
        <f>opex_orig!CE64</f>
        <v>2.4617480000000001E-3</v>
      </c>
      <c r="CO64" s="27">
        <f>opex_orig!CF64</f>
        <v>6.5441800000000004E-4</v>
      </c>
      <c r="CP64" s="27">
        <f>opex_orig!CG64</f>
        <v>1.8134800000000001E-4</v>
      </c>
    </row>
    <row r="65" spans="1:94" x14ac:dyDescent="0.25">
      <c r="A65" s="5" t="s">
        <v>149</v>
      </c>
      <c r="B65" s="2" t="s">
        <v>148</v>
      </c>
      <c r="C65" s="1" t="s">
        <v>328</v>
      </c>
      <c r="D65" s="188">
        <f>opex_orig!D65</f>
        <v>5.3262561999999999E-2</v>
      </c>
      <c r="E65" s="188">
        <f>opex_orig!E65</f>
        <v>5.7573879999999996E-3</v>
      </c>
      <c r="F65" s="188">
        <f>opex_orig!F65</f>
        <v>3.306668E-3</v>
      </c>
      <c r="G65" s="188">
        <f>opex_orig!G65</f>
        <v>3.7293200000000003E-4</v>
      </c>
      <c r="H65" s="188">
        <f>opex_orig!H65</f>
        <v>9.0833099999999996E-4</v>
      </c>
      <c r="I65" s="188">
        <f>opex_orig!I65</f>
        <v>5.4413309999999998E-3</v>
      </c>
      <c r="J65" s="188">
        <f>opex_orig!J65</f>
        <v>2.2994270000000002E-3</v>
      </c>
      <c r="K65" s="188">
        <f>opex_orig!K65</f>
        <v>1.3048929999999999E-3</v>
      </c>
      <c r="L65" s="188">
        <f>opex_orig!L65</f>
        <v>4.4665399999999997E-3</v>
      </c>
      <c r="M65" s="188">
        <f>opex_orig!M65</f>
        <v>8.4307879999999998E-3</v>
      </c>
      <c r="N65" s="188">
        <f>opex_orig!N65</f>
        <v>5.1798620000000004E-3</v>
      </c>
      <c r="O65" s="188">
        <f>opex_orig!O65</f>
        <v>1.197601E-3</v>
      </c>
      <c r="P65" s="188">
        <f>opex_orig!P65</f>
        <v>1.8145343000000001E-2</v>
      </c>
      <c r="Q65" s="188">
        <f>opex_orig!Q65</f>
        <v>4.7844510000000003E-3</v>
      </c>
      <c r="R65" s="188">
        <f>opex_orig!R65</f>
        <v>7.0141659999999996E-3</v>
      </c>
      <c r="S65" s="188">
        <f>opex_orig!S65</f>
        <v>2.670838E-3</v>
      </c>
      <c r="T65" s="188">
        <f>opex_orig!T65</f>
        <v>2.9346939999999998E-3</v>
      </c>
      <c r="U65" s="188">
        <f>opex_orig!U65</f>
        <v>1.9943890000000001E-3</v>
      </c>
      <c r="V65" s="188">
        <f>opex_orig!V65</f>
        <v>1.597355E-3</v>
      </c>
      <c r="W65" s="188">
        <f>opex_orig!W65</f>
        <v>5.5031999999999998E-3</v>
      </c>
      <c r="X65" s="188">
        <f>opex_orig!X65</f>
        <v>3.522889E-3</v>
      </c>
      <c r="Y65" s="188">
        <f>opex_orig!Y65</f>
        <v>6.1660899999999995E-4</v>
      </c>
      <c r="Z65" s="188">
        <f>opex_orig!Z65</f>
        <v>1.1095479999999999E-3</v>
      </c>
      <c r="AA65" s="188">
        <f>opex_orig!AA65</f>
        <v>6.2511620000000002E-3</v>
      </c>
      <c r="AB65" s="188">
        <f>opex_orig!$AB65</f>
        <v>4.6992534331772001E-4</v>
      </c>
      <c r="AC65" s="188">
        <f>opex_orig!$AB65</f>
        <v>4.6992534331772001E-4</v>
      </c>
      <c r="AD65" s="188">
        <f>opex_orig!$AB65</f>
        <v>4.6992534331772001E-4</v>
      </c>
      <c r="AE65" s="188">
        <f>opex_orig!$AC65</f>
        <v>1.1287589183924601E-3</v>
      </c>
      <c r="AF65" s="188">
        <f>opex_orig!$AD65</f>
        <v>9.6401302934476902E-4</v>
      </c>
      <c r="AG65" s="188">
        <f>opex_orig!$AD65</f>
        <v>9.6401302934476902E-4</v>
      </c>
      <c r="AH65" s="188">
        <f>opex_orig!$AD65</f>
        <v>9.6401302934476902E-4</v>
      </c>
      <c r="AI65" s="188">
        <f>opex_orig!AE65</f>
        <v>8.3403800000000005E-4</v>
      </c>
      <c r="AJ65" s="188">
        <f>opex_orig!AF65</f>
        <v>5.1474240000000003E-3</v>
      </c>
      <c r="AK65" s="188">
        <f>opex_orig!AG65</f>
        <v>0.24498441800000001</v>
      </c>
      <c r="AL65" s="188">
        <f>opex_orig!AH65</f>
        <v>1.1956222000000001E-2</v>
      </c>
      <c r="AM65" s="188">
        <f>opex_orig!AI65</f>
        <v>2.2098737E-2</v>
      </c>
      <c r="AN65" s="188">
        <f>opex_orig!AJ65</f>
        <v>3.0897519999999999E-3</v>
      </c>
      <c r="AO65" s="188">
        <f>opex_orig!AK65</f>
        <v>5.9614000000000004E-3</v>
      </c>
      <c r="AP65" s="188">
        <f>opex_orig!$AL65</f>
        <v>4.6055889891371601E-3</v>
      </c>
      <c r="AQ65" s="188">
        <f>opex_orig!$AL65</f>
        <v>4.6055889891371601E-3</v>
      </c>
      <c r="AR65" s="188">
        <f>opex_orig!$AL65</f>
        <v>4.6055889891371601E-3</v>
      </c>
      <c r="AS65" s="188">
        <f>opex_orig!$AM65</f>
        <v>4.22950635125585E-3</v>
      </c>
      <c r="AT65" s="188">
        <f>opex_orig!AN65</f>
        <v>1.0032671999999999E-2</v>
      </c>
      <c r="AU65" s="188">
        <f>opex_orig!$AO65</f>
        <v>3.76500652309861E-3</v>
      </c>
      <c r="AV65" s="188">
        <f>opex_orig!$AO65</f>
        <v>3.76500652309861E-3</v>
      </c>
      <c r="AW65" s="188">
        <f>opex_orig!$AO65</f>
        <v>3.76500652309861E-3</v>
      </c>
      <c r="AX65" s="188">
        <f>opex_orig!$AP65</f>
        <v>4.30433151244357E-3</v>
      </c>
      <c r="AY65" s="188">
        <f>opex_orig!AQ65</f>
        <v>4.8301209999999997E-3</v>
      </c>
      <c r="AZ65" s="188">
        <f>opex_orig!AR65</f>
        <v>0</v>
      </c>
      <c r="BA65" s="188">
        <f>opex_orig!AS65</f>
        <v>4.1085569999999997E-3</v>
      </c>
      <c r="BB65" s="188">
        <f>opex_orig!AT65</f>
        <v>3.9688500000000003E-3</v>
      </c>
      <c r="BC65" s="188">
        <f>opex_orig!AU65</f>
        <v>8.09934E-4</v>
      </c>
      <c r="BD65" s="188">
        <f>opex_orig!AV65</f>
        <v>5.9336199999999995E-4</v>
      </c>
      <c r="BE65" s="188">
        <f>opex_orig!AW65</f>
        <v>2.5711380000000002E-3</v>
      </c>
      <c r="BF65" s="188">
        <f>opex_orig!AX65</f>
        <v>0</v>
      </c>
      <c r="BG65" s="188">
        <f>opex_orig!AY65</f>
        <v>3.119915E-3</v>
      </c>
      <c r="BH65" s="188">
        <f>opex_orig!AZ65</f>
        <v>0</v>
      </c>
      <c r="BI65" s="188">
        <f>opex_orig!BA65</f>
        <v>7.3311310000000003E-3</v>
      </c>
      <c r="BJ65" s="188">
        <f>opex_orig!BB65</f>
        <v>5.089921E-2</v>
      </c>
      <c r="BK65" s="188">
        <f>opex_orig!BC65</f>
        <v>1.2255271999999999E-2</v>
      </c>
      <c r="BL65" s="188">
        <f>opex_orig!BD65</f>
        <v>2.5856920000000001E-3</v>
      </c>
      <c r="BM65" s="188">
        <f>opex_orig!BE65</f>
        <v>4.7650495000000001E-2</v>
      </c>
      <c r="BN65" s="188">
        <f>opex_orig!BF65</f>
        <v>2.0899226999999999E-2</v>
      </c>
      <c r="BO65" s="188">
        <f>opex_orig!BG65</f>
        <v>5.6369130000000003E-2</v>
      </c>
      <c r="BP65" s="207">
        <f>opex_concordance!M81</f>
        <v>0.10771830391873523</v>
      </c>
      <c r="BQ65" s="207">
        <f>opex_concordance!M124</f>
        <v>7.0182951702667834E-2</v>
      </c>
      <c r="BR65" s="188">
        <f>opex_orig!BI65</f>
        <v>0.12839708599999999</v>
      </c>
      <c r="BS65" s="188">
        <f>opex_orig!BJ65</f>
        <v>5.3317679E-2</v>
      </c>
      <c r="BT65" s="188">
        <f>opex_orig!BK65</f>
        <v>3.1668310000000002E-3</v>
      </c>
      <c r="BU65" s="188">
        <f>opex_orig!BL65</f>
        <v>0</v>
      </c>
      <c r="BV65" s="27">
        <f>opex_orig!BM65</f>
        <v>5.5924871132915198E-4</v>
      </c>
      <c r="BW65" s="27">
        <f>opex_orig!BN65</f>
        <v>1.1175155931112701E-3</v>
      </c>
      <c r="BX65" s="27">
        <f>opex_orig!BO65</f>
        <v>2.4858751394540998E-4</v>
      </c>
      <c r="BY65" s="27">
        <f>opex_orig!BP65</f>
        <v>2.6862867780571003E-4</v>
      </c>
      <c r="BZ65" s="27">
        <f>opex_orig!BQ65</f>
        <v>2.6930313068557503E-4</v>
      </c>
      <c r="CA65" s="27">
        <f>opex_orig!BR65</f>
        <v>1.30894473031693E-3</v>
      </c>
      <c r="CB65" s="27">
        <f>opex_orig!BS65</f>
        <v>8.9016511857446204E-4</v>
      </c>
      <c r="CC65" s="27">
        <f>opex_orig!BT65</f>
        <v>2.3038990170977299E-4</v>
      </c>
      <c r="CD65" s="27">
        <f>opex_orig!BU65</f>
        <v>1.2965019129684E-4</v>
      </c>
      <c r="CE65" s="27">
        <f>opex_orig!BV65</f>
        <v>1.2965019129684E-4</v>
      </c>
      <c r="CF65" s="27">
        <f>opex_orig!BW65</f>
        <v>2.0969729293529899E-4</v>
      </c>
      <c r="CG65" s="27">
        <f>opex_orig!BX65</f>
        <v>5.4567809563830702E-4</v>
      </c>
      <c r="CH65" s="27">
        <f>opex_orig!BY65</f>
        <v>6.11900375810515E-5</v>
      </c>
      <c r="CI65" s="27">
        <f>opex_orig!BZ65</f>
        <v>5.0048400000000004E-4</v>
      </c>
      <c r="CJ65" s="27">
        <f>opex_orig!CA65</f>
        <v>3.23049E-4</v>
      </c>
      <c r="CK65" s="27">
        <f>opex_orig!CB65</f>
        <v>3.5768799999999999E-4</v>
      </c>
      <c r="CL65" s="27">
        <f>opex_orig!CC65</f>
        <v>1.8170099999999999E-4</v>
      </c>
      <c r="CM65" s="27">
        <f>opex_orig!CD65</f>
        <v>1.679701E-3</v>
      </c>
      <c r="CN65" s="27">
        <f>opex_orig!CE65</f>
        <v>8.0326599999999996E-4</v>
      </c>
      <c r="CO65" s="27">
        <f>opex_orig!CF65</f>
        <v>5.0401070000000003E-3</v>
      </c>
      <c r="CP65" s="27">
        <f>opex_orig!CG65</f>
        <v>7.7054000000000001E-4</v>
      </c>
    </row>
    <row r="66" spans="1:94" x14ac:dyDescent="0.25">
      <c r="A66" s="5" t="s">
        <v>151</v>
      </c>
      <c r="B66" s="2" t="s">
        <v>150</v>
      </c>
      <c r="C66" s="1" t="s">
        <v>329</v>
      </c>
      <c r="D66" s="188">
        <f>opex_orig!D66</f>
        <v>1.1131590000000001E-3</v>
      </c>
      <c r="E66" s="188">
        <f>opex_orig!E66</f>
        <v>1.9931340000000001E-3</v>
      </c>
      <c r="F66" s="188">
        <f>opex_orig!F66</f>
        <v>9.6612800000000002E-4</v>
      </c>
      <c r="G66" s="188">
        <f>opex_orig!G66</f>
        <v>1.58858E-4</v>
      </c>
      <c r="H66" s="188">
        <f>opex_orig!H66</f>
        <v>2.8246E-4</v>
      </c>
      <c r="I66" s="188">
        <f>opex_orig!I66</f>
        <v>6.9450140000000002E-3</v>
      </c>
      <c r="J66" s="188">
        <f>opex_orig!J66</f>
        <v>5.5066299999999996E-4</v>
      </c>
      <c r="K66" s="188">
        <f>opex_orig!K66</f>
        <v>4.6344300000000001E-4</v>
      </c>
      <c r="L66" s="188">
        <f>opex_orig!L66</f>
        <v>3.6880900000000002E-3</v>
      </c>
      <c r="M66" s="188">
        <f>opex_orig!M66</f>
        <v>8.7687640000000001E-3</v>
      </c>
      <c r="N66" s="188">
        <f>opex_orig!N66</f>
        <v>4.5349379999999996E-3</v>
      </c>
      <c r="O66" s="188">
        <f>opex_orig!O66</f>
        <v>4.2832100000000001E-4</v>
      </c>
      <c r="P66" s="188">
        <f>opex_orig!P66</f>
        <v>2.1539584000000001E-2</v>
      </c>
      <c r="Q66" s="188">
        <f>opex_orig!Q66</f>
        <v>1.030675E-3</v>
      </c>
      <c r="R66" s="188">
        <f>opex_orig!R66</f>
        <v>9.69701E-4</v>
      </c>
      <c r="S66" s="188">
        <f>opex_orig!S66</f>
        <v>8.4226200000000005E-3</v>
      </c>
      <c r="T66" s="188">
        <f>opex_orig!T66</f>
        <v>8.9722110000000008E-3</v>
      </c>
      <c r="U66" s="188">
        <f>opex_orig!U66</f>
        <v>3.80336E-4</v>
      </c>
      <c r="V66" s="188">
        <f>opex_orig!V66</f>
        <v>4.5101700000000001E-4</v>
      </c>
      <c r="W66" s="188">
        <f>opex_orig!W66</f>
        <v>2.9436399999999998E-4</v>
      </c>
      <c r="X66" s="188">
        <f>opex_orig!X66</f>
        <v>2.30442E-4</v>
      </c>
      <c r="Y66" s="188">
        <f>opex_orig!Y66</f>
        <v>2.0903499999999999E-4</v>
      </c>
      <c r="Z66" s="188">
        <f>opex_orig!Z66</f>
        <v>2.0092740000000001E-3</v>
      </c>
      <c r="AA66" s="188">
        <f>opex_orig!AA66</f>
        <v>7.3797499999999998E-4</v>
      </c>
      <c r="AB66" s="188">
        <f>opex_orig!$AB66</f>
        <v>4.1560928907110998E-4</v>
      </c>
      <c r="AC66" s="188">
        <f>opex_orig!$AB66</f>
        <v>4.1560928907110998E-4</v>
      </c>
      <c r="AD66" s="188">
        <f>opex_orig!$AB66</f>
        <v>4.1560928907110998E-4</v>
      </c>
      <c r="AE66" s="188">
        <f>opex_orig!$AC66</f>
        <v>1.3185645507289799E-3</v>
      </c>
      <c r="AF66" s="188">
        <f>opex_orig!$AD66</f>
        <v>4.2238793687378399E-4</v>
      </c>
      <c r="AG66" s="188">
        <f>opex_orig!$AD66</f>
        <v>4.2238793687378399E-4</v>
      </c>
      <c r="AH66" s="188">
        <f>opex_orig!$AD66</f>
        <v>4.2238793687378399E-4</v>
      </c>
      <c r="AI66" s="188">
        <f>opex_orig!AE66</f>
        <v>3.6867200000000001E-4</v>
      </c>
      <c r="AJ66" s="188">
        <f>opex_orig!AF66</f>
        <v>8.0632389999999998E-3</v>
      </c>
      <c r="AK66" s="188">
        <f>opex_orig!AG66</f>
        <v>1.276959E-3</v>
      </c>
      <c r="AL66" s="188">
        <f>opex_orig!AH66</f>
        <v>0.36272555400000001</v>
      </c>
      <c r="AM66" s="188">
        <f>opex_orig!AI66</f>
        <v>1.210453E-3</v>
      </c>
      <c r="AN66" s="188">
        <f>opex_orig!AJ66</f>
        <v>1.375315E-3</v>
      </c>
      <c r="AO66" s="188">
        <f>opex_orig!AK66</f>
        <v>2.6382710000000002E-3</v>
      </c>
      <c r="AP66" s="188">
        <f>opex_orig!$AL66</f>
        <v>2.5791858495999801E-3</v>
      </c>
      <c r="AQ66" s="188">
        <f>opex_orig!$AL66</f>
        <v>2.5791858495999801E-3</v>
      </c>
      <c r="AR66" s="188">
        <f>opex_orig!$AL66</f>
        <v>2.5791858495999801E-3</v>
      </c>
      <c r="AS66" s="188">
        <f>opex_orig!$AM66</f>
        <v>2.4088449482827E-3</v>
      </c>
      <c r="AT66" s="188">
        <f>opex_orig!AN66</f>
        <v>1.6485584000000001E-2</v>
      </c>
      <c r="AU66" s="188">
        <f>opex_orig!$AO66</f>
        <v>4.5868093885071602E-4</v>
      </c>
      <c r="AV66" s="188">
        <f>opex_orig!$AO66</f>
        <v>4.5868093885071602E-4</v>
      </c>
      <c r="AW66" s="188">
        <f>opex_orig!$AO66</f>
        <v>4.5868093885071602E-4</v>
      </c>
      <c r="AX66" s="188">
        <f>opex_orig!$AP66</f>
        <v>4.8855275370873405E-4</v>
      </c>
      <c r="AY66" s="188">
        <f>opex_orig!AQ66</f>
        <v>6.2733400000000001E-4</v>
      </c>
      <c r="AZ66" s="188">
        <f>opex_orig!AR66</f>
        <v>0</v>
      </c>
      <c r="BA66" s="188">
        <f>opex_orig!AS66</f>
        <v>5.6981299999999996E-4</v>
      </c>
      <c r="BB66" s="188">
        <f>opex_orig!AT66</f>
        <v>5.1449999999999998E-4</v>
      </c>
      <c r="BC66" s="188">
        <f>opex_orig!AU66</f>
        <v>1.9860400000000001E-4</v>
      </c>
      <c r="BD66" s="188">
        <f>opex_orig!AV66</f>
        <v>1.72659E-4</v>
      </c>
      <c r="BE66" s="188">
        <f>opex_orig!AW66</f>
        <v>3.4730200000000002E-4</v>
      </c>
      <c r="BF66" s="188">
        <f>opex_orig!AX66</f>
        <v>0</v>
      </c>
      <c r="BG66" s="188">
        <f>opex_orig!AY66</f>
        <v>8.6067999999999995E-4</v>
      </c>
      <c r="BH66" s="188">
        <f>opex_orig!AZ66</f>
        <v>0</v>
      </c>
      <c r="BI66" s="188">
        <f>opex_orig!BA66</f>
        <v>5.91864E-4</v>
      </c>
      <c r="BJ66" s="188">
        <f>opex_orig!BB66</f>
        <v>4.7521610000000004E-3</v>
      </c>
      <c r="BK66" s="188">
        <f>opex_orig!BC66</f>
        <v>2.4566919999999999E-3</v>
      </c>
      <c r="BL66" s="188">
        <f>opex_orig!BD66</f>
        <v>2.8680999999999997E-4</v>
      </c>
      <c r="BM66" s="188">
        <f>opex_orig!BE66</f>
        <v>5.0556489999999997E-3</v>
      </c>
      <c r="BN66" s="188">
        <f>opex_orig!BF66</f>
        <v>4.8198099999999998E-4</v>
      </c>
      <c r="BO66" s="188">
        <f>opex_orig!BG66</f>
        <v>1.8943930000000001E-3</v>
      </c>
      <c r="BP66" s="188">
        <f>opex_orig!$BH66</f>
        <v>1.45188643206604E-3</v>
      </c>
      <c r="BQ66" s="188">
        <f>opex_orig!$BH66</f>
        <v>1.45188643206604E-3</v>
      </c>
      <c r="BR66" s="188">
        <f>opex_orig!BI66</f>
        <v>5.4568289999999998E-3</v>
      </c>
      <c r="BS66" s="188">
        <f>opex_orig!BJ66</f>
        <v>7.8891699999999998E-4</v>
      </c>
      <c r="BT66" s="188">
        <f>opex_orig!BK66</f>
        <v>2.2188400000000001E-3</v>
      </c>
      <c r="BU66" s="188">
        <f>opex_orig!BL66</f>
        <v>0</v>
      </c>
      <c r="BV66" s="27">
        <f>opex_orig!BM66</f>
        <v>2.62868139358329E-4</v>
      </c>
      <c r="BW66" s="27">
        <f>opex_orig!BN66</f>
        <v>3.5803182564101798E-4</v>
      </c>
      <c r="BX66" s="27">
        <f>opex_orig!BO66</f>
        <v>1.1051343880352299E-4</v>
      </c>
      <c r="BY66" s="27">
        <f>opex_orig!BP66</f>
        <v>1.60881152947943E-4</v>
      </c>
      <c r="BZ66" s="27">
        <f>opex_orig!BQ66</f>
        <v>2.23369339827643E-4</v>
      </c>
      <c r="CA66" s="27">
        <f>opex_orig!BR66</f>
        <v>1.3922943420973299E-4</v>
      </c>
      <c r="CB66" s="27">
        <f>opex_orig!BS66</f>
        <v>7.7051574170377201E-4</v>
      </c>
      <c r="CC66" s="27">
        <f>opex_orig!BT66</f>
        <v>4.13705596051194E-6</v>
      </c>
      <c r="CD66" s="27">
        <f>opex_orig!BU66</f>
        <v>1.11331097744129E-4</v>
      </c>
      <c r="CE66" s="27">
        <f>opex_orig!BV66</f>
        <v>1.11331097744129E-4</v>
      </c>
      <c r="CF66" s="27">
        <f>opex_orig!BW66</f>
        <v>2.1506333903644599E-5</v>
      </c>
      <c r="CG66" s="27">
        <f>opex_orig!BX66</f>
        <v>3.8072718869367899E-6</v>
      </c>
      <c r="CH66" s="27">
        <f>opex_orig!BY66</f>
        <v>5.0628325175984399E-6</v>
      </c>
      <c r="CI66" s="27">
        <f>opex_orig!BZ66</f>
        <v>2.4065800000000001E-4</v>
      </c>
      <c r="CJ66" s="27">
        <f>opex_orig!CA66</f>
        <v>1.97166E-4</v>
      </c>
      <c r="CK66" s="27">
        <f>opex_orig!CB66</f>
        <v>2.0719600000000001E-4</v>
      </c>
      <c r="CL66" s="27">
        <f>opex_orig!CC66</f>
        <v>1.52044E-4</v>
      </c>
      <c r="CM66" s="27">
        <f>opex_orig!CD66</f>
        <v>7.4373899999999999E-4</v>
      </c>
      <c r="CN66" s="27">
        <f>opex_orig!CE66</f>
        <v>3.96315E-4</v>
      </c>
      <c r="CO66" s="27">
        <f>opex_orig!CF66</f>
        <v>2.8015520000000001E-3</v>
      </c>
      <c r="CP66" s="27">
        <f>opex_orig!CG66</f>
        <v>2.4336900000000001E-4</v>
      </c>
    </row>
    <row r="67" spans="1:94" x14ac:dyDescent="0.25">
      <c r="A67" s="5" t="s">
        <v>153</v>
      </c>
      <c r="B67" s="2" t="s">
        <v>152</v>
      </c>
      <c r="C67" s="1" t="s">
        <v>329</v>
      </c>
      <c r="D67" s="188">
        <f>opex_orig!D67</f>
        <v>1.3011399999999999E-4</v>
      </c>
      <c r="E67" s="188">
        <f>opex_orig!E67</f>
        <v>2.4769100000000002E-4</v>
      </c>
      <c r="F67" s="188">
        <f>opex_orig!F67</f>
        <v>1.1056300000000001E-4</v>
      </c>
      <c r="G67" s="188">
        <f>opex_orig!G67</f>
        <v>1.8899999999999999E-5</v>
      </c>
      <c r="H67" s="188">
        <f>opex_orig!H67</f>
        <v>3.3000000000000003E-5</v>
      </c>
      <c r="I67" s="188">
        <f>opex_orig!I67</f>
        <v>8.8240599999999997E-4</v>
      </c>
      <c r="J67" s="188">
        <f>opex_orig!J67</f>
        <v>5.0399999999999999E-5</v>
      </c>
      <c r="K67" s="188">
        <f>opex_orig!K67</f>
        <v>5.38E-5</v>
      </c>
      <c r="L67" s="188">
        <f>opex_orig!L67</f>
        <v>4.5881200000000001E-4</v>
      </c>
      <c r="M67" s="188">
        <f>opex_orig!M67</f>
        <v>1.0828999999999999E-3</v>
      </c>
      <c r="N67" s="188">
        <f>opex_orig!N67</f>
        <v>5.44379E-4</v>
      </c>
      <c r="O67" s="188">
        <f>opex_orig!O67</f>
        <v>3.7499999999999997E-5</v>
      </c>
      <c r="P67" s="188">
        <f>opex_orig!P67</f>
        <v>2.642967E-3</v>
      </c>
      <c r="Q67" s="188">
        <f>opex_orig!Q67</f>
        <v>9.7E-5</v>
      </c>
      <c r="R67" s="188">
        <f>opex_orig!R67</f>
        <v>1.01E-4</v>
      </c>
      <c r="S67" s="188">
        <f>opex_orig!S67</f>
        <v>1.055814E-3</v>
      </c>
      <c r="T67" s="188">
        <f>opex_orig!T67</f>
        <v>1.120642E-3</v>
      </c>
      <c r="U67" s="188">
        <f>opex_orig!U67</f>
        <v>3.6399999999999997E-5</v>
      </c>
      <c r="V67" s="188">
        <f>opex_orig!V67</f>
        <v>4.2899999999999999E-5</v>
      </c>
      <c r="W67" s="188">
        <f>opex_orig!W67</f>
        <v>2.83E-5</v>
      </c>
      <c r="X67" s="188">
        <f>opex_orig!X67</f>
        <v>2.1100000000000001E-5</v>
      </c>
      <c r="Y67" s="188">
        <f>opex_orig!Y67</f>
        <v>2.34E-5</v>
      </c>
      <c r="Z67" s="188">
        <f>opex_orig!Z67</f>
        <v>1.7585699999999999E-4</v>
      </c>
      <c r="AA67" s="188">
        <f>opex_orig!AA67</f>
        <v>7.2100000000000004E-5</v>
      </c>
      <c r="AB67" s="188">
        <f>opex_orig!$AB67</f>
        <v>4.9587168488963299E-5</v>
      </c>
      <c r="AC67" s="188">
        <f>opex_orig!$AB67</f>
        <v>4.9587168488963299E-5</v>
      </c>
      <c r="AD67" s="188">
        <f>opex_orig!$AB67</f>
        <v>4.9587168488963299E-5</v>
      </c>
      <c r="AE67" s="188">
        <f>opex_orig!$AC67</f>
        <v>1.39257945647667E-4</v>
      </c>
      <c r="AF67" s="188">
        <f>opex_orig!$AD67</f>
        <v>4.1872903356080798E-5</v>
      </c>
      <c r="AG67" s="188">
        <f>opex_orig!$AD67</f>
        <v>4.1872903356080798E-5</v>
      </c>
      <c r="AH67" s="188">
        <f>opex_orig!$AD67</f>
        <v>4.1872903356080798E-5</v>
      </c>
      <c r="AI67" s="188">
        <f>opex_orig!AE67</f>
        <v>3.7700000000000002E-5</v>
      </c>
      <c r="AJ67" s="188">
        <f>opex_orig!AF67</f>
        <v>9.7210999999999999E-4</v>
      </c>
      <c r="AK67" s="188">
        <f>opex_orig!AG67</f>
        <v>1.4866200000000001E-4</v>
      </c>
      <c r="AL67" s="188">
        <f>opex_orig!AH67</f>
        <v>4.6716127000000003E-2</v>
      </c>
      <c r="AM67" s="188">
        <f>opex_orig!AI67</f>
        <v>1.46606E-4</v>
      </c>
      <c r="AN67" s="188">
        <f>opex_orig!AJ67</f>
        <v>1.5524899999999999E-4</v>
      </c>
      <c r="AO67" s="188">
        <f>opex_orig!AK67</f>
        <v>3.0996399999999998E-4</v>
      </c>
      <c r="AP67" s="188">
        <f>opex_orig!$AL67</f>
        <v>2.9090678961120401E-4</v>
      </c>
      <c r="AQ67" s="188">
        <f>opex_orig!$AL67</f>
        <v>2.9090678961120401E-4</v>
      </c>
      <c r="AR67" s="188">
        <f>opex_orig!$AL67</f>
        <v>2.9090678961120401E-4</v>
      </c>
      <c r="AS67" s="188">
        <f>opex_orig!$AM67</f>
        <v>2.68037201078195E-4</v>
      </c>
      <c r="AT67" s="188">
        <f>opex_orig!AN67</f>
        <v>2.064481E-3</v>
      </c>
      <c r="AU67" s="188">
        <f>opex_orig!$AO67</f>
        <v>4.8612219986296298E-5</v>
      </c>
      <c r="AV67" s="188">
        <f>opex_orig!$AO67</f>
        <v>4.8612219986296298E-5</v>
      </c>
      <c r="AW67" s="188">
        <f>opex_orig!$AO67</f>
        <v>4.8612219986296298E-5</v>
      </c>
      <c r="AX67" s="188">
        <f>opex_orig!$AP67</f>
        <v>5.5191340886276198E-5</v>
      </c>
      <c r="AY67" s="188">
        <f>opex_orig!AQ67</f>
        <v>7.2000000000000002E-5</v>
      </c>
      <c r="AZ67" s="188">
        <f>opex_orig!AR67</f>
        <v>0</v>
      </c>
      <c r="BA67" s="188">
        <f>opex_orig!AS67</f>
        <v>6.19E-5</v>
      </c>
      <c r="BB67" s="188">
        <f>opex_orig!AT67</f>
        <v>5.7399999999999999E-5</v>
      </c>
      <c r="BC67" s="188">
        <f>opex_orig!AU67</f>
        <v>2.0800000000000001E-5</v>
      </c>
      <c r="BD67" s="188">
        <f>opex_orig!AV67</f>
        <v>1.77E-5</v>
      </c>
      <c r="BE67" s="188">
        <f>opex_orig!AW67</f>
        <v>4.5899999999999998E-5</v>
      </c>
      <c r="BF67" s="188">
        <f>opex_orig!AX67</f>
        <v>0</v>
      </c>
      <c r="BG67" s="188">
        <f>opex_orig!AY67</f>
        <v>6.4800000000000003E-5</v>
      </c>
      <c r="BH67" s="188">
        <f>opex_orig!AZ67</f>
        <v>0</v>
      </c>
      <c r="BI67" s="188">
        <f>opex_orig!BA67</f>
        <v>6.0699999999999998E-5</v>
      </c>
      <c r="BJ67" s="188">
        <f>opex_orig!BB67</f>
        <v>5.8849200000000003E-4</v>
      </c>
      <c r="BK67" s="188">
        <f>opex_orig!BC67</f>
        <v>2.9938399999999998E-4</v>
      </c>
      <c r="BL67" s="188">
        <f>opex_orig!BD67</f>
        <v>3.0899999999999999E-5</v>
      </c>
      <c r="BM67" s="188">
        <f>opex_orig!BE67</f>
        <v>6.3537100000000003E-4</v>
      </c>
      <c r="BN67" s="188">
        <f>opex_orig!BF67</f>
        <v>6.2299999999999996E-5</v>
      </c>
      <c r="BO67" s="188">
        <f>opex_orig!BG67</f>
        <v>2.27054E-4</v>
      </c>
      <c r="BP67" s="188">
        <f>opex_orig!$BH67</f>
        <v>1.8028895627444401E-4</v>
      </c>
      <c r="BQ67" s="188">
        <f>opex_orig!$BH67</f>
        <v>1.8028895627444401E-4</v>
      </c>
      <c r="BR67" s="188">
        <f>opex_orig!BI67</f>
        <v>6.7223599999999999E-4</v>
      </c>
      <c r="BS67" s="188">
        <f>opex_orig!BJ67</f>
        <v>9.1399999999999999E-5</v>
      </c>
      <c r="BT67" s="188">
        <f>opex_orig!BK67</f>
        <v>2.7114000000000001E-4</v>
      </c>
      <c r="BU67" s="188">
        <f>opex_orig!BL67</f>
        <v>0</v>
      </c>
      <c r="BV67" s="27">
        <f>opex_orig!BM67</f>
        <v>2.93918791289906E-5</v>
      </c>
      <c r="BW67" s="27">
        <f>opex_orig!BN67</f>
        <v>3.6747038252134098E-5</v>
      </c>
      <c r="BX67" s="27">
        <f>opex_orig!BO67</f>
        <v>1.20368084117539E-5</v>
      </c>
      <c r="BY67" s="27">
        <f>opex_orig!BP67</f>
        <v>1.54125391637209E-5</v>
      </c>
      <c r="BZ67" s="27">
        <f>opex_orig!BQ67</f>
        <v>2.38875828180428E-5</v>
      </c>
      <c r="CA67" s="27">
        <f>opex_orig!BR67</f>
        <v>4.7219224402150897E-5</v>
      </c>
      <c r="CB67" s="27">
        <f>opex_orig!BS67</f>
        <v>9.0045975803021905E-5</v>
      </c>
      <c r="CC67" s="27">
        <f>opex_orig!BT67</f>
        <v>1.1611015932341201E-6</v>
      </c>
      <c r="CD67" s="27">
        <f>opex_orig!BU67</f>
        <v>1.0020855023198301E-5</v>
      </c>
      <c r="CE67" s="27">
        <f>opex_orig!BV67</f>
        <v>1.0020855023198401E-5</v>
      </c>
      <c r="CF67" s="27">
        <f>opex_orig!BW67</f>
        <v>9.9148774962773502E-6</v>
      </c>
      <c r="CG67" s="27">
        <f>opex_orig!BX67</f>
        <v>1.4515240675213599E-6</v>
      </c>
      <c r="CH67" s="27">
        <f>opex_orig!BY67</f>
        <v>9.9568773244286209E-7</v>
      </c>
      <c r="CI67" s="27">
        <f>opex_orig!BZ67</f>
        <v>2.3799999999999999E-5</v>
      </c>
      <c r="CJ67" s="27">
        <f>opex_orig!CA67</f>
        <v>1.98E-5</v>
      </c>
      <c r="CK67" s="27">
        <f>opex_orig!CB67</f>
        <v>2.2099999999999998E-5</v>
      </c>
      <c r="CL67" s="27">
        <f>opex_orig!CC67</f>
        <v>1.47E-5</v>
      </c>
      <c r="CM67" s="27">
        <f>opex_orig!CD67</f>
        <v>7.9599999999999997E-5</v>
      </c>
      <c r="CN67" s="27">
        <f>opex_orig!CE67</f>
        <v>4.0899999999999998E-5</v>
      </c>
      <c r="CO67" s="27">
        <f>opex_orig!CF67</f>
        <v>3.3000500000000002E-4</v>
      </c>
      <c r="CP67" s="27">
        <f>opex_orig!CG67</f>
        <v>2.76E-5</v>
      </c>
    </row>
    <row r="68" spans="1:94" x14ac:dyDescent="0.25">
      <c r="A68" s="5" t="s">
        <v>155</v>
      </c>
      <c r="B68" s="2" t="s">
        <v>154</v>
      </c>
      <c r="C68" s="1" t="s">
        <v>329</v>
      </c>
      <c r="D68" s="188">
        <f>opex_orig!D68</f>
        <v>2.4141200000000001E-4</v>
      </c>
      <c r="E68" s="188">
        <f>opex_orig!E68</f>
        <v>1.2349099999999999E-4</v>
      </c>
      <c r="F68" s="188">
        <f>opex_orig!F68</f>
        <v>1.4065400000000001E-4</v>
      </c>
      <c r="G68" s="188">
        <f>opex_orig!G68</f>
        <v>4.8600000000000002E-5</v>
      </c>
      <c r="H68" s="188">
        <f>opex_orig!H68</f>
        <v>7.0199999999999999E-5</v>
      </c>
      <c r="I68" s="188">
        <f>opex_orig!I68</f>
        <v>2.0379E-4</v>
      </c>
      <c r="J68" s="188">
        <f>opex_orig!J68</f>
        <v>3.5726399999999999E-4</v>
      </c>
      <c r="K68" s="188">
        <f>opex_orig!K68</f>
        <v>1.5487899999999999E-4</v>
      </c>
      <c r="L68" s="188">
        <f>opex_orig!L68</f>
        <v>1.9305E-4</v>
      </c>
      <c r="M68" s="188">
        <f>opex_orig!M68</f>
        <v>4.8546400000000001E-4</v>
      </c>
      <c r="N68" s="188">
        <f>opex_orig!N68</f>
        <v>4.1146500000000002E-4</v>
      </c>
      <c r="O68" s="188">
        <f>opex_orig!O68</f>
        <v>2.7822600000000002E-4</v>
      </c>
      <c r="P68" s="188">
        <f>opex_orig!P68</f>
        <v>2.4828459999999999E-3</v>
      </c>
      <c r="Q68" s="188">
        <f>opex_orig!Q68</f>
        <v>6.2215800000000004E-4</v>
      </c>
      <c r="R68" s="188">
        <f>opex_orig!R68</f>
        <v>3.5282899999999998E-4</v>
      </c>
      <c r="S68" s="188">
        <f>opex_orig!S68</f>
        <v>4.3548300000000002E-4</v>
      </c>
      <c r="T68" s="188">
        <f>opex_orig!T68</f>
        <v>5.5206799999999996E-4</v>
      </c>
      <c r="U68" s="188">
        <f>opex_orig!U68</f>
        <v>2.2428500000000001E-4</v>
      </c>
      <c r="V68" s="188">
        <f>opex_orig!V68</f>
        <v>2.77557E-4</v>
      </c>
      <c r="W68" s="188">
        <f>opex_orig!W68</f>
        <v>1.7858899999999999E-4</v>
      </c>
      <c r="X68" s="188">
        <f>opex_orig!X68</f>
        <v>1.4574799999999999E-4</v>
      </c>
      <c r="Y68" s="188">
        <f>opex_orig!Y68</f>
        <v>4.4593500000000001E-4</v>
      </c>
      <c r="Z68" s="188">
        <f>opex_orig!Z68</f>
        <v>3.03541E-4</v>
      </c>
      <c r="AA68" s="188">
        <f>opex_orig!AA68</f>
        <v>5.8098299999999998E-4</v>
      </c>
      <c r="AB68" s="188">
        <f>opex_orig!$AB68</f>
        <v>2.7002800195090202E-4</v>
      </c>
      <c r="AC68" s="188">
        <f>opex_orig!$AB68</f>
        <v>2.7002800195090202E-4</v>
      </c>
      <c r="AD68" s="188">
        <f>opex_orig!$AB68</f>
        <v>2.7002800195090202E-4</v>
      </c>
      <c r="AE68" s="188">
        <f>opex_orig!$AC68</f>
        <v>4.38679350905948E-4</v>
      </c>
      <c r="AF68" s="188">
        <f>opex_orig!$AD68</f>
        <v>2.3473292372275299E-4</v>
      </c>
      <c r="AG68" s="188">
        <f>opex_orig!$AD68</f>
        <v>2.3473292372275299E-4</v>
      </c>
      <c r="AH68" s="188">
        <f>opex_orig!$AD68</f>
        <v>2.3473292372275299E-4</v>
      </c>
      <c r="AI68" s="188">
        <f>opex_orig!AE68</f>
        <v>1.8924E-4</v>
      </c>
      <c r="AJ68" s="188">
        <f>opex_orig!AF68</f>
        <v>6.1029599999999997E-4</v>
      </c>
      <c r="AK68" s="188">
        <f>opex_orig!AG68</f>
        <v>4.4357199999999999E-4</v>
      </c>
      <c r="AL68" s="188">
        <f>opex_orig!AH68</f>
        <v>6.2332000000000002E-4</v>
      </c>
      <c r="AM68" s="188">
        <f>opex_orig!AI68</f>
        <v>4.9574099999999996E-4</v>
      </c>
      <c r="AN68" s="188">
        <f>opex_orig!AJ68</f>
        <v>0.1496681</v>
      </c>
      <c r="AO68" s="188">
        <f>opex_orig!AK68</f>
        <v>9.6754800000000004E-4</v>
      </c>
      <c r="AP68" s="188">
        <f>opex_orig!$AL68</f>
        <v>2.7816299237983502E-3</v>
      </c>
      <c r="AQ68" s="188">
        <f>opex_orig!$AL68</f>
        <v>2.7816299237983502E-3</v>
      </c>
      <c r="AR68" s="188">
        <f>opex_orig!$AL68</f>
        <v>2.7816299237983502E-3</v>
      </c>
      <c r="AS68" s="188">
        <f>opex_orig!$AM68</f>
        <v>2.6045948843853501E-3</v>
      </c>
      <c r="AT68" s="188">
        <f>opex_orig!AN68</f>
        <v>6.7626299999999997E-4</v>
      </c>
      <c r="AU68" s="188">
        <f>opex_orig!$AO68</f>
        <v>2.6785417875991598E-4</v>
      </c>
      <c r="AV68" s="188">
        <f>opex_orig!$AO68</f>
        <v>2.6785417875991598E-4</v>
      </c>
      <c r="AW68" s="188">
        <f>opex_orig!$AO68</f>
        <v>2.6785417875991598E-4</v>
      </c>
      <c r="AX68" s="188">
        <f>opex_orig!$AP68</f>
        <v>2.7838314207795199E-4</v>
      </c>
      <c r="AY68" s="188">
        <f>opex_orig!AQ68</f>
        <v>3.2107099999999998E-4</v>
      </c>
      <c r="AZ68" s="188">
        <f>opex_orig!AR68</f>
        <v>0</v>
      </c>
      <c r="BA68" s="188">
        <f>opex_orig!AS68</f>
        <v>2.7960600000000001E-4</v>
      </c>
      <c r="BB68" s="188">
        <f>opex_orig!AT68</f>
        <v>2.4913600000000001E-4</v>
      </c>
      <c r="BC68" s="188">
        <f>opex_orig!AU68</f>
        <v>1.1937E-4</v>
      </c>
      <c r="BD68" s="188">
        <f>opex_orig!AV68</f>
        <v>1.15103E-4</v>
      </c>
      <c r="BE68" s="188">
        <f>opex_orig!AW68</f>
        <v>2.62966E-4</v>
      </c>
      <c r="BF68" s="188">
        <f>opex_orig!AX68</f>
        <v>0</v>
      </c>
      <c r="BG68" s="188">
        <f>opex_orig!AY68</f>
        <v>6.1372599999999999E-4</v>
      </c>
      <c r="BH68" s="188">
        <f>opex_orig!AZ68</f>
        <v>0</v>
      </c>
      <c r="BI68" s="188">
        <f>opex_orig!BA68</f>
        <v>5.0520700000000003E-4</v>
      </c>
      <c r="BJ68" s="188">
        <f>opex_orig!BB68</f>
        <v>3.8246599999999998E-4</v>
      </c>
      <c r="BK68" s="188">
        <f>opex_orig!BC68</f>
        <v>3.7231500000000002E-4</v>
      </c>
      <c r="BL68" s="188">
        <f>opex_orig!BD68</f>
        <v>1.7833500000000001E-4</v>
      </c>
      <c r="BM68" s="188">
        <f>opex_orig!BE68</f>
        <v>2.4063840000000001E-3</v>
      </c>
      <c r="BN68" s="188">
        <f>opex_orig!BF68</f>
        <v>1.4025909999999999E-3</v>
      </c>
      <c r="BO68" s="188">
        <f>opex_orig!BG68</f>
        <v>3.6791999999999999E-4</v>
      </c>
      <c r="BP68" s="188">
        <f>opex_orig!$BH68</f>
        <v>2.8713709075298501E-4</v>
      </c>
      <c r="BQ68" s="188">
        <f>opex_orig!$BH68</f>
        <v>2.8713709075298501E-4</v>
      </c>
      <c r="BR68" s="188">
        <f>opex_orig!BI68</f>
        <v>2.7674999999999998E-4</v>
      </c>
      <c r="BS68" s="188">
        <f>opex_orig!BJ68</f>
        <v>2.86054E-4</v>
      </c>
      <c r="BT68" s="188">
        <f>opex_orig!BK68</f>
        <v>2.83138E-4</v>
      </c>
      <c r="BU68" s="188">
        <f>opex_orig!BL68</f>
        <v>0</v>
      </c>
      <c r="BV68" s="27">
        <f>opex_orig!BM68</f>
        <v>1.5859129823255901E-4</v>
      </c>
      <c r="BW68" s="27">
        <f>opex_orig!BN68</f>
        <v>2.8951997555392499E-4</v>
      </c>
      <c r="BX68" s="27">
        <f>opex_orig!BO68</f>
        <v>6.0438981032274798E-5</v>
      </c>
      <c r="BY68" s="27">
        <f>opex_orig!BP68</f>
        <v>1.3556516840418199E-4</v>
      </c>
      <c r="BZ68" s="27">
        <f>opex_orig!BQ68</f>
        <v>1.2644078500462501E-4</v>
      </c>
      <c r="CA68" s="27">
        <f>opex_orig!BR68</f>
        <v>3.1199143356136998E-4</v>
      </c>
      <c r="CB68" s="27">
        <f>opex_orig!BS68</f>
        <v>3.9449805786612402E-4</v>
      </c>
      <c r="CC68" s="27">
        <f>opex_orig!BT68</f>
        <v>7.5125109366559003E-6</v>
      </c>
      <c r="CD68" s="27">
        <f>opex_orig!BU68</f>
        <v>7.6075696372770801E-5</v>
      </c>
      <c r="CE68" s="27">
        <f>opex_orig!BV68</f>
        <v>7.6075696372771099E-5</v>
      </c>
      <c r="CF68" s="27">
        <f>opex_orig!BW68</f>
        <v>8.4723365634402795E-5</v>
      </c>
      <c r="CG68" s="27">
        <f>opex_orig!BX68</f>
        <v>9.6014431516426791E-7</v>
      </c>
      <c r="CH68" s="27">
        <f>opex_orig!BY68</f>
        <v>5.5584798922545001E-6</v>
      </c>
      <c r="CI68" s="27">
        <f>opex_orig!BZ68</f>
        <v>1.61022E-4</v>
      </c>
      <c r="CJ68" s="27">
        <f>opex_orig!CA68</f>
        <v>1.1086699999999999E-4</v>
      </c>
      <c r="CK68" s="27">
        <f>opex_orig!CB68</f>
        <v>1.10246E-4</v>
      </c>
      <c r="CL68" s="27">
        <f>opex_orig!CC68</f>
        <v>9.6899999999999997E-5</v>
      </c>
      <c r="CM68" s="27">
        <f>opex_orig!CD68</f>
        <v>3.5511100000000002E-4</v>
      </c>
      <c r="CN68" s="27">
        <f>opex_orig!CE68</f>
        <v>3.7241299999999999E-4</v>
      </c>
      <c r="CO68" s="27">
        <f>opex_orig!CF68</f>
        <v>7.0744110000000001E-3</v>
      </c>
      <c r="CP68" s="27">
        <f>opex_orig!CG68</f>
        <v>1.7266800000000001E-4</v>
      </c>
    </row>
    <row r="69" spans="1:94" x14ac:dyDescent="0.25">
      <c r="A69" s="5" t="s">
        <v>157</v>
      </c>
      <c r="B69" s="2" t="s">
        <v>156</v>
      </c>
      <c r="C69" s="1" t="s">
        <v>329</v>
      </c>
      <c r="D69" s="188">
        <f>opex_orig!D69</f>
        <v>3.5099999999999999E-5</v>
      </c>
      <c r="E69" s="188">
        <f>opex_orig!E69</f>
        <v>1.42E-5</v>
      </c>
      <c r="F69" s="188">
        <f>opex_orig!F69</f>
        <v>1.8300000000000001E-5</v>
      </c>
      <c r="G69" s="188">
        <f>opex_orig!G69</f>
        <v>3.7100000000000001E-6</v>
      </c>
      <c r="H69" s="188">
        <f>opex_orig!H69</f>
        <v>5.2399999999999998E-6</v>
      </c>
      <c r="I69" s="188">
        <f>opex_orig!I69</f>
        <v>2.0400000000000001E-5</v>
      </c>
      <c r="J69" s="188">
        <f>opex_orig!J69</f>
        <v>4.2500000000000003E-5</v>
      </c>
      <c r="K69" s="188">
        <f>opex_orig!K69</f>
        <v>1.19E-5</v>
      </c>
      <c r="L69" s="188">
        <f>opex_orig!L69</f>
        <v>2.2399999999999999E-5</v>
      </c>
      <c r="M69" s="188">
        <f>opex_orig!M69</f>
        <v>5.3499999999999999E-5</v>
      </c>
      <c r="N69" s="188">
        <f>opex_orig!N69</f>
        <v>4.8099999999999997E-5</v>
      </c>
      <c r="O69" s="188">
        <f>opex_orig!O69</f>
        <v>3.4600000000000001E-5</v>
      </c>
      <c r="P69" s="188">
        <f>opex_orig!P69</f>
        <v>3.4047599999999998E-4</v>
      </c>
      <c r="Q69" s="188">
        <f>opex_orig!Q69</f>
        <v>9.0400000000000002E-5</v>
      </c>
      <c r="R69" s="188">
        <f>opex_orig!R69</f>
        <v>4.8399999999999997E-5</v>
      </c>
      <c r="S69" s="188">
        <f>opex_orig!S69</f>
        <v>3.8999999999999999E-5</v>
      </c>
      <c r="T69" s="188">
        <f>opex_orig!T69</f>
        <v>5.1199999999999998E-5</v>
      </c>
      <c r="U69" s="188">
        <f>opex_orig!U69</f>
        <v>2.94E-5</v>
      </c>
      <c r="V69" s="188">
        <f>opex_orig!V69</f>
        <v>3.4499999999999998E-5</v>
      </c>
      <c r="W69" s="188">
        <f>opex_orig!W69</f>
        <v>2.6599999999999999E-5</v>
      </c>
      <c r="X69" s="188">
        <f>opex_orig!X69</f>
        <v>2.0000000000000002E-5</v>
      </c>
      <c r="Y69" s="188">
        <f>opex_orig!Y69</f>
        <v>2.19E-5</v>
      </c>
      <c r="Z69" s="188">
        <f>opex_orig!Z69</f>
        <v>1.01121E-4</v>
      </c>
      <c r="AA69" s="188">
        <f>opex_orig!AA69</f>
        <v>5.6100000000000002E-5</v>
      </c>
      <c r="AB69" s="188">
        <f>opex_orig!$AB69</f>
        <v>4.6167778606495799E-5</v>
      </c>
      <c r="AC69" s="188">
        <f>opex_orig!$AB69</f>
        <v>4.6167778606495799E-5</v>
      </c>
      <c r="AD69" s="188">
        <f>opex_orig!$AB69</f>
        <v>4.6167778606495799E-5</v>
      </c>
      <c r="AE69" s="188">
        <f>opex_orig!$AC69</f>
        <v>6.0461827037096301E-5</v>
      </c>
      <c r="AF69" s="188">
        <f>opex_orig!$AD69</f>
        <v>3.2447749983003601E-5</v>
      </c>
      <c r="AG69" s="188">
        <f>opex_orig!$AD69</f>
        <v>3.2447749983003601E-5</v>
      </c>
      <c r="AH69" s="188">
        <f>opex_orig!$AD69</f>
        <v>3.2447749983003601E-5</v>
      </c>
      <c r="AI69" s="188">
        <f>opex_orig!AE69</f>
        <v>2.8E-5</v>
      </c>
      <c r="AJ69" s="188">
        <f>opex_orig!AF69</f>
        <v>1.06005E-4</v>
      </c>
      <c r="AK69" s="188">
        <f>opex_orig!AG69</f>
        <v>9.1700000000000006E-5</v>
      </c>
      <c r="AL69" s="188">
        <f>opex_orig!AH69</f>
        <v>7.4099999999999999E-5</v>
      </c>
      <c r="AM69" s="188">
        <f>opex_orig!AI69</f>
        <v>7.8499999999999997E-5</v>
      </c>
      <c r="AN69" s="188">
        <f>opex_orig!AJ69</f>
        <v>4.636093E-3</v>
      </c>
      <c r="AO69" s="188">
        <f>opex_orig!AK69</f>
        <v>3.6350436999999999E-2</v>
      </c>
      <c r="AP69" s="188">
        <f>opex_orig!$AL69</f>
        <v>2.48639746040368E-3</v>
      </c>
      <c r="AQ69" s="188">
        <f>opex_orig!$AL69</f>
        <v>2.48639746040368E-3</v>
      </c>
      <c r="AR69" s="188">
        <f>opex_orig!$AL69</f>
        <v>2.48639746040368E-3</v>
      </c>
      <c r="AS69" s="188">
        <f>opex_orig!$AM69</f>
        <v>2.24748956443609E-3</v>
      </c>
      <c r="AT69" s="188">
        <f>opex_orig!AN69</f>
        <v>2.517119E-3</v>
      </c>
      <c r="AU69" s="188">
        <f>opex_orig!$AO69</f>
        <v>6.1908153570682894E-5</v>
      </c>
      <c r="AV69" s="188">
        <f>opex_orig!$AO69</f>
        <v>6.1908153570682894E-5</v>
      </c>
      <c r="AW69" s="188">
        <f>opex_orig!$AO69</f>
        <v>6.1908153570682894E-5</v>
      </c>
      <c r="AX69" s="188">
        <f>opex_orig!$AP69</f>
        <v>5.5719863602808799E-5</v>
      </c>
      <c r="AY69" s="188">
        <f>opex_orig!AQ69</f>
        <v>5.6700000000000003E-5</v>
      </c>
      <c r="AZ69" s="188">
        <f>opex_orig!AR69</f>
        <v>0</v>
      </c>
      <c r="BA69" s="188">
        <f>opex_orig!AS69</f>
        <v>6.2700000000000006E-5</v>
      </c>
      <c r="BB69" s="188">
        <f>opex_orig!AT69</f>
        <v>5.5899999999999997E-5</v>
      </c>
      <c r="BC69" s="188">
        <f>opex_orig!AU69</f>
        <v>1.59E-5</v>
      </c>
      <c r="BD69" s="188">
        <f>opex_orig!AV69</f>
        <v>1.4399999999999999E-5</v>
      </c>
      <c r="BE69" s="188">
        <f>opex_orig!AW69</f>
        <v>7.6199999999999995E-5</v>
      </c>
      <c r="BF69" s="188">
        <f>opex_orig!AX69</f>
        <v>0</v>
      </c>
      <c r="BG69" s="188">
        <f>opex_orig!AY69</f>
        <v>3.0818099999999998E-4</v>
      </c>
      <c r="BH69" s="188">
        <f>opex_orig!AZ69</f>
        <v>0</v>
      </c>
      <c r="BI69" s="188">
        <f>opex_orig!BA69</f>
        <v>7.36E-5</v>
      </c>
      <c r="BJ69" s="188">
        <f>opex_orig!BB69</f>
        <v>7.6000000000000004E-5</v>
      </c>
      <c r="BK69" s="188">
        <f>opex_orig!BC69</f>
        <v>2.97936E-4</v>
      </c>
      <c r="BL69" s="188">
        <f>opex_orig!BD69</f>
        <v>3.5200000000000002E-5</v>
      </c>
      <c r="BM69" s="188">
        <f>opex_orig!BE69</f>
        <v>8.81E-5</v>
      </c>
      <c r="BN69" s="188">
        <f>opex_orig!BF69</f>
        <v>2.9E-5</v>
      </c>
      <c r="BO69" s="188">
        <f>opex_orig!BG69</f>
        <v>7.7999999999999999E-5</v>
      </c>
      <c r="BP69" s="188">
        <f>opex_orig!$BH69</f>
        <v>4.6372021335316898E-5</v>
      </c>
      <c r="BQ69" s="188">
        <f>opex_orig!$BH69</f>
        <v>4.6372021335316898E-5</v>
      </c>
      <c r="BR69" s="188">
        <f>opex_orig!BI69</f>
        <v>5.2299999999999997E-5</v>
      </c>
      <c r="BS69" s="188">
        <f>opex_orig!BJ69</f>
        <v>5.0399999999999999E-5</v>
      </c>
      <c r="BT69" s="188">
        <f>opex_orig!BK69</f>
        <v>4.7500000000000003E-5</v>
      </c>
      <c r="BU69" s="188">
        <f>opex_orig!BL69</f>
        <v>0</v>
      </c>
      <c r="BV69" s="27">
        <f>opex_orig!BM69</f>
        <v>3.3252450419189E-5</v>
      </c>
      <c r="BW69" s="27">
        <f>opex_orig!BN69</f>
        <v>4.5405914345776003E-5</v>
      </c>
      <c r="BX69" s="27">
        <f>opex_orig!BO69</f>
        <v>9.2128079662930992E-6</v>
      </c>
      <c r="BY69" s="27">
        <f>opex_orig!BP69</f>
        <v>1.53221722935336E-5</v>
      </c>
      <c r="BZ69" s="27">
        <f>opex_orig!BQ69</f>
        <v>1.59509399322893E-5</v>
      </c>
      <c r="CA69" s="27">
        <f>opex_orig!BR69</f>
        <v>2.7013221465125301E-4</v>
      </c>
      <c r="CB69" s="27">
        <f>opex_orig!BS69</f>
        <v>4.9608938215236699E-5</v>
      </c>
      <c r="CC69" s="27">
        <f>opex_orig!BT69</f>
        <v>1.2475355140408701E-5</v>
      </c>
      <c r="CD69" s="27">
        <f>opex_orig!BU69</f>
        <v>9.8615925969017297E-6</v>
      </c>
      <c r="CE69" s="27">
        <f>opex_orig!BV69</f>
        <v>9.86159259690175E-6</v>
      </c>
      <c r="CF69" s="27">
        <f>opex_orig!BW69</f>
        <v>3.2061318155037299E-5</v>
      </c>
      <c r="CG69" s="27">
        <f>opex_orig!BX69</f>
        <v>5.1216800048968299E-7</v>
      </c>
      <c r="CH69" s="27">
        <f>opex_orig!BY69</f>
        <v>4.8684043004723799E-6</v>
      </c>
      <c r="CI69" s="27">
        <f>opex_orig!BZ69</f>
        <v>2.1699999999999999E-5</v>
      </c>
      <c r="CJ69" s="27">
        <f>opex_orig!CA69</f>
        <v>1.5400000000000002E-5</v>
      </c>
      <c r="CK69" s="27">
        <f>opex_orig!CB69</f>
        <v>1.49E-5</v>
      </c>
      <c r="CL69" s="27">
        <f>opex_orig!CC69</f>
        <v>1.6099999999999998E-5</v>
      </c>
      <c r="CM69" s="27">
        <f>opex_orig!CD69</f>
        <v>6.1199999999999997E-5</v>
      </c>
      <c r="CN69" s="27">
        <f>opex_orig!CE69</f>
        <v>4.9299999999999999E-5</v>
      </c>
      <c r="CO69" s="27">
        <f>opex_orig!CF69</f>
        <v>1.62576E-3</v>
      </c>
      <c r="CP69" s="27">
        <f>opex_orig!CG69</f>
        <v>1.1600000000000001E-5</v>
      </c>
    </row>
    <row r="70" spans="1:94" x14ac:dyDescent="0.25">
      <c r="A70" s="5" t="s">
        <v>159</v>
      </c>
      <c r="B70" s="2" t="s">
        <v>158</v>
      </c>
      <c r="C70" s="1" t="s">
        <v>329</v>
      </c>
      <c r="D70" s="188">
        <f>opex_orig!D70</f>
        <v>1.6134600000000001E-4</v>
      </c>
      <c r="E70" s="188">
        <f>opex_orig!E70</f>
        <v>5.77E-5</v>
      </c>
      <c r="F70" s="188">
        <f>opex_orig!F70</f>
        <v>6.4499999999999996E-5</v>
      </c>
      <c r="G70" s="188">
        <f>opex_orig!G70</f>
        <v>1.4399999999999999E-5</v>
      </c>
      <c r="H70" s="188">
        <f>opex_orig!H70</f>
        <v>2.1500000000000001E-5</v>
      </c>
      <c r="I70" s="188">
        <f>opex_orig!I70</f>
        <v>8.2899999999999996E-5</v>
      </c>
      <c r="J70" s="188">
        <f>opex_orig!J70</f>
        <v>1.7626499999999999E-4</v>
      </c>
      <c r="K70" s="188">
        <f>opex_orig!K70</f>
        <v>4.6499999999999999E-5</v>
      </c>
      <c r="L70" s="188">
        <f>opex_orig!L70</f>
        <v>8.7800000000000006E-5</v>
      </c>
      <c r="M70" s="188">
        <f>opex_orig!M70</f>
        <v>2.14556E-4</v>
      </c>
      <c r="N70" s="188">
        <f>opex_orig!N70</f>
        <v>1.7452799999999999E-4</v>
      </c>
      <c r="O70" s="188">
        <f>opex_orig!O70</f>
        <v>1.41669E-4</v>
      </c>
      <c r="P70" s="188">
        <f>opex_orig!P70</f>
        <v>2.312372E-3</v>
      </c>
      <c r="Q70" s="188">
        <f>opex_orig!Q70</f>
        <v>3.8814200000000001E-4</v>
      </c>
      <c r="R70" s="188">
        <f>opex_orig!R70</f>
        <v>1.8998800000000001E-4</v>
      </c>
      <c r="S70" s="188">
        <f>opex_orig!S70</f>
        <v>1.56372E-4</v>
      </c>
      <c r="T70" s="188">
        <f>opex_orig!T70</f>
        <v>2.06622E-4</v>
      </c>
      <c r="U70" s="188">
        <f>opex_orig!U70</f>
        <v>1.3721299999999999E-4</v>
      </c>
      <c r="V70" s="188">
        <f>opex_orig!V70</f>
        <v>1.5726100000000001E-4</v>
      </c>
      <c r="W70" s="188">
        <f>opex_orig!W70</f>
        <v>1.14368E-4</v>
      </c>
      <c r="X70" s="188">
        <f>opex_orig!X70</f>
        <v>7.9800000000000002E-5</v>
      </c>
      <c r="Y70" s="188">
        <f>opex_orig!Y70</f>
        <v>9.3700000000000001E-5</v>
      </c>
      <c r="Z70" s="188">
        <f>opex_orig!Z70</f>
        <v>3.5540399999999997E-4</v>
      </c>
      <c r="AA70" s="188">
        <f>opex_orig!AA70</f>
        <v>2.20728E-4</v>
      </c>
      <c r="AB70" s="188">
        <f>opex_orig!$AB70</f>
        <v>1.5875549024868901E-4</v>
      </c>
      <c r="AC70" s="188">
        <f>opex_orig!$AB70</f>
        <v>1.5875549024868901E-4</v>
      </c>
      <c r="AD70" s="188">
        <f>opex_orig!$AB70</f>
        <v>1.5875549024868901E-4</v>
      </c>
      <c r="AE70" s="188">
        <f>opex_orig!$AC70</f>
        <v>2.22041289113036E-4</v>
      </c>
      <c r="AF70" s="188">
        <f>opex_orig!$AD70</f>
        <v>1.2725787037740701E-4</v>
      </c>
      <c r="AG70" s="188">
        <f>opex_orig!$AD70</f>
        <v>1.2725787037740701E-4</v>
      </c>
      <c r="AH70" s="188">
        <f>opex_orig!$AD70</f>
        <v>1.2725787037740701E-4</v>
      </c>
      <c r="AI70" s="188">
        <f>opex_orig!AE70</f>
        <v>1.0794300000000001E-4</v>
      </c>
      <c r="AJ70" s="188">
        <f>opex_orig!AF70</f>
        <v>4.6803399999999998E-4</v>
      </c>
      <c r="AK70" s="188">
        <f>opex_orig!AG70</f>
        <v>4.6371200000000002E-4</v>
      </c>
      <c r="AL70" s="188">
        <f>opex_orig!AH70</f>
        <v>3.6824299999999998E-4</v>
      </c>
      <c r="AM70" s="188">
        <f>opex_orig!AI70</f>
        <v>4.1712699999999999E-4</v>
      </c>
      <c r="AN70" s="188">
        <f>opex_orig!AJ70</f>
        <v>4.8771699999999998E-4</v>
      </c>
      <c r="AO70" s="188">
        <f>opex_orig!AK70</f>
        <v>2.2621120000000002E-3</v>
      </c>
      <c r="AP70" s="305">
        <f>opex_concordance!M403</f>
        <v>0.14937267828621301</v>
      </c>
      <c r="AQ70" s="305">
        <f>opex_concordance!M457</f>
        <v>0.1751818586147437</v>
      </c>
      <c r="AR70" s="305">
        <f>opex_concordance!M511</f>
        <v>0.15685206704023794</v>
      </c>
      <c r="AS70" s="188">
        <f>opex_orig!$AM70</f>
        <v>0.134461538742562</v>
      </c>
      <c r="AT70" s="188">
        <f>opex_orig!AN70</f>
        <v>2.2892210000000001E-3</v>
      </c>
      <c r="AU70" s="188">
        <f>opex_orig!$AO70</f>
        <v>4.2253605473737701E-4</v>
      </c>
      <c r="AV70" s="188">
        <f>opex_orig!$AO70</f>
        <v>4.2253605473737701E-4</v>
      </c>
      <c r="AW70" s="188">
        <f>opex_orig!$AO70</f>
        <v>4.2253605473737701E-4</v>
      </c>
      <c r="AX70" s="188">
        <f>opex_orig!$AP70</f>
        <v>2.5298500185425601E-4</v>
      </c>
      <c r="AY70" s="188">
        <f>opex_orig!AQ70</f>
        <v>2.5632699999999999E-4</v>
      </c>
      <c r="AZ70" s="188">
        <f>opex_orig!AR70</f>
        <v>0</v>
      </c>
      <c r="BA70" s="188">
        <f>opex_orig!AS70</f>
        <v>2.47548E-4</v>
      </c>
      <c r="BB70" s="188">
        <f>opex_orig!AT70</f>
        <v>2.40201E-4</v>
      </c>
      <c r="BC70" s="188">
        <f>opex_orig!AU70</f>
        <v>5.8900000000000002E-5</v>
      </c>
      <c r="BD70" s="188">
        <f>opex_orig!AV70</f>
        <v>5.3900000000000002E-5</v>
      </c>
      <c r="BE70" s="188">
        <f>opex_orig!AW70</f>
        <v>2.4711699999999999E-4</v>
      </c>
      <c r="BF70" s="188">
        <f>opex_orig!AX70</f>
        <v>0</v>
      </c>
      <c r="BG70" s="188">
        <f>opex_orig!AY70</f>
        <v>4.8231700000000001E-4</v>
      </c>
      <c r="BH70" s="188">
        <f>opex_orig!AZ70</f>
        <v>0</v>
      </c>
      <c r="BI70" s="188">
        <f>opex_orig!BA70</f>
        <v>3.6243199999999999E-4</v>
      </c>
      <c r="BJ70" s="188">
        <f>opex_orig!BB70</f>
        <v>3.3336699999999999E-4</v>
      </c>
      <c r="BK70" s="188">
        <f>opex_orig!BC70</f>
        <v>3.19585E-4</v>
      </c>
      <c r="BL70" s="188">
        <f>opex_orig!BD70</f>
        <v>1.5713899999999999E-4</v>
      </c>
      <c r="BM70" s="188">
        <f>opex_orig!BE70</f>
        <v>2.6170499999999999E-4</v>
      </c>
      <c r="BN70" s="188">
        <f>opex_orig!BF70</f>
        <v>1.62912E-4</v>
      </c>
      <c r="BO70" s="188">
        <f>opex_orig!BG70</f>
        <v>1.96033E-4</v>
      </c>
      <c r="BP70" s="188">
        <f>opex_orig!$BH70</f>
        <v>2.4482752742497103E-4</v>
      </c>
      <c r="BQ70" s="188">
        <f>opex_orig!$BH70</f>
        <v>2.4482752742497103E-4</v>
      </c>
      <c r="BR70" s="188">
        <f>opex_orig!BI70</f>
        <v>2.59103E-4</v>
      </c>
      <c r="BS70" s="188">
        <f>opex_orig!BJ70</f>
        <v>2.4106799999999999E-4</v>
      </c>
      <c r="BT70" s="188">
        <f>opex_orig!BK70</f>
        <v>2.2896099999999999E-4</v>
      </c>
      <c r="BU70" s="188">
        <f>opex_orig!BL70</f>
        <v>0</v>
      </c>
      <c r="BV70" s="27">
        <f>opex_orig!BM70</f>
        <v>1.5168639457913599E-4</v>
      </c>
      <c r="BW70" s="27">
        <f>opex_orig!BN70</f>
        <v>1.7490380223197799E-4</v>
      </c>
      <c r="BX70" s="27">
        <f>opex_orig!BO70</f>
        <v>4.6749185306530302E-5</v>
      </c>
      <c r="BY70" s="27">
        <f>opex_orig!BP70</f>
        <v>6.2126918091481997E-5</v>
      </c>
      <c r="BZ70" s="27">
        <f>opex_orig!BQ70</f>
        <v>7.6970061505044401E-5</v>
      </c>
      <c r="CA70" s="27">
        <f>opex_orig!BR70</f>
        <v>1.8245150444857099E-3</v>
      </c>
      <c r="CB70" s="27">
        <f>opex_orig!BS70</f>
        <v>3.05573509777863E-4</v>
      </c>
      <c r="CC70" s="27">
        <f>opex_orig!BT70</f>
        <v>1.6745894111931301E-4</v>
      </c>
      <c r="CD70" s="27">
        <f>opex_orig!BU70</f>
        <v>4.6471645855372197E-5</v>
      </c>
      <c r="CE70" s="27">
        <f>opex_orig!BV70</f>
        <v>4.6471645855372299E-5</v>
      </c>
      <c r="CF70" s="27">
        <f>opex_orig!BW70</f>
        <v>6.5836435406445596E-4</v>
      </c>
      <c r="CG70" s="27">
        <f>opex_orig!BX70</f>
        <v>4.95166396899552E-5</v>
      </c>
      <c r="CH70" s="27">
        <f>opex_orig!BY70</f>
        <v>2.1815954152625901E-5</v>
      </c>
      <c r="CI70" s="27">
        <f>opex_orig!BZ70</f>
        <v>9.7200000000000004E-5</v>
      </c>
      <c r="CJ70" s="27">
        <f>opex_orig!CA70</f>
        <v>7.2399999999999998E-5</v>
      </c>
      <c r="CK70" s="27">
        <f>opex_orig!CB70</f>
        <v>7.36E-5</v>
      </c>
      <c r="CL70" s="27">
        <f>opex_orig!CC70</f>
        <v>5.5399999999999998E-5</v>
      </c>
      <c r="CM70" s="27">
        <f>opex_orig!CD70</f>
        <v>2.7227099999999998E-4</v>
      </c>
      <c r="CN70" s="27">
        <f>opex_orig!CE70</f>
        <v>2.9516699999999999E-4</v>
      </c>
      <c r="CO70" s="27">
        <f>opex_orig!CF70</f>
        <v>1.16311E-2</v>
      </c>
      <c r="CP70" s="27">
        <f>opex_orig!CG70</f>
        <v>5.0300000000000003E-5</v>
      </c>
    </row>
    <row r="71" spans="1:94" x14ac:dyDescent="0.25">
      <c r="A71" s="5" t="s">
        <v>161</v>
      </c>
      <c r="B71" s="2" t="s">
        <v>160</v>
      </c>
      <c r="C71" s="1" t="s">
        <v>329</v>
      </c>
      <c r="D71" s="188">
        <f>opex_orig!D71</f>
        <v>3.4499999999999998E-5</v>
      </c>
      <c r="E71" s="188">
        <f>opex_orig!E71</f>
        <v>1.1600000000000001E-5</v>
      </c>
      <c r="F71" s="188">
        <f>opex_orig!F71</f>
        <v>1.2799999999999999E-5</v>
      </c>
      <c r="G71" s="188">
        <f>opex_orig!G71</f>
        <v>2.9399999999999998E-6</v>
      </c>
      <c r="H71" s="188">
        <f>opex_orig!H71</f>
        <v>4.3000000000000003E-6</v>
      </c>
      <c r="I71" s="188">
        <f>opex_orig!I71</f>
        <v>1.6399999999999999E-5</v>
      </c>
      <c r="J71" s="188">
        <f>opex_orig!J71</f>
        <v>3.5800000000000003E-5</v>
      </c>
      <c r="K71" s="188">
        <f>opex_orig!K71</f>
        <v>9.2599999999999994E-6</v>
      </c>
      <c r="L71" s="188">
        <f>opex_orig!L71</f>
        <v>1.7399999999999999E-5</v>
      </c>
      <c r="M71" s="188">
        <f>opex_orig!M71</f>
        <v>4.32E-5</v>
      </c>
      <c r="N71" s="188">
        <f>opex_orig!N71</f>
        <v>3.4900000000000001E-5</v>
      </c>
      <c r="O71" s="188">
        <f>opex_orig!O71</f>
        <v>2.8200000000000001E-5</v>
      </c>
      <c r="P71" s="188">
        <f>opex_orig!P71</f>
        <v>4.3473999999999997E-4</v>
      </c>
      <c r="Q71" s="188">
        <f>opex_orig!Q71</f>
        <v>7.2899999999999997E-5</v>
      </c>
      <c r="R71" s="188">
        <f>opex_orig!R71</f>
        <v>3.4999999999999997E-5</v>
      </c>
      <c r="S71" s="188">
        <f>opex_orig!S71</f>
        <v>2.83E-5</v>
      </c>
      <c r="T71" s="188">
        <f>opex_orig!T71</f>
        <v>3.7799999999999997E-5</v>
      </c>
      <c r="U71" s="188">
        <f>opex_orig!U71</f>
        <v>2.55E-5</v>
      </c>
      <c r="V71" s="188">
        <f>opex_orig!V71</f>
        <v>3.0199999999999999E-5</v>
      </c>
      <c r="W71" s="188">
        <f>opex_orig!W71</f>
        <v>2.1299999999999999E-5</v>
      </c>
      <c r="X71" s="188">
        <f>opex_orig!X71</f>
        <v>1.5500000000000001E-5</v>
      </c>
      <c r="Y71" s="188">
        <f>opex_orig!Y71</f>
        <v>1.5699999999999999E-5</v>
      </c>
      <c r="Z71" s="188">
        <f>opex_orig!Z71</f>
        <v>6.69E-5</v>
      </c>
      <c r="AA71" s="188">
        <f>opex_orig!AA71</f>
        <v>4.3999999999999999E-5</v>
      </c>
      <c r="AB71" s="188">
        <f>opex_orig!$AB71</f>
        <v>3.5252904607789799E-5</v>
      </c>
      <c r="AC71" s="188">
        <f>opex_orig!$AB71</f>
        <v>3.5252904607789799E-5</v>
      </c>
      <c r="AD71" s="188">
        <f>opex_orig!$AB71</f>
        <v>3.5252904607789799E-5</v>
      </c>
      <c r="AE71" s="188">
        <f>opex_orig!$AC71</f>
        <v>4.3026698432445299E-5</v>
      </c>
      <c r="AF71" s="188">
        <f>opex_orig!$AD71</f>
        <v>2.40244189461584E-5</v>
      </c>
      <c r="AG71" s="188">
        <f>opex_orig!$AD71</f>
        <v>2.40244189461584E-5</v>
      </c>
      <c r="AH71" s="188">
        <f>opex_orig!$AD71</f>
        <v>2.40244189461584E-5</v>
      </c>
      <c r="AI71" s="188">
        <f>opex_orig!AE71</f>
        <v>2.0299999999999999E-5</v>
      </c>
      <c r="AJ71" s="188">
        <f>opex_orig!AF71</f>
        <v>8.4599999999999996E-5</v>
      </c>
      <c r="AK71" s="188">
        <f>opex_orig!AG71</f>
        <v>9.5799999999999998E-5</v>
      </c>
      <c r="AL71" s="188">
        <f>opex_orig!AH71</f>
        <v>6.9400000000000006E-5</v>
      </c>
      <c r="AM71" s="188">
        <f>opex_orig!AI71</f>
        <v>8.2799999999999993E-5</v>
      </c>
      <c r="AN71" s="188">
        <f>opex_orig!AJ71</f>
        <v>9.1299999999999997E-5</v>
      </c>
      <c r="AO71" s="188">
        <f>opex_orig!AK71</f>
        <v>4.3712999999999998E-4</v>
      </c>
      <c r="AP71" s="254">
        <f>opex_concordance!M440</f>
        <v>2.8877782298888398E-2</v>
      </c>
      <c r="AQ71" s="254">
        <f>opex_concordance!M494</f>
        <v>2.3240566751840597E-2</v>
      </c>
      <c r="AR71" s="254">
        <f>opex_concordance!M548</f>
        <v>2.5504491024580817E-2</v>
      </c>
      <c r="AS71" s="188">
        <f>opex_orig!$AM71</f>
        <v>2.6086773455175499E-2</v>
      </c>
      <c r="AT71" s="188">
        <f>opex_orig!AN71</f>
        <v>4.3364400000000001E-4</v>
      </c>
      <c r="AU71" s="188">
        <f>opex_orig!$AO71</f>
        <v>4.5050856448853403E-5</v>
      </c>
      <c r="AV71" s="188">
        <f>opex_orig!$AO71</f>
        <v>4.5050856448853403E-5</v>
      </c>
      <c r="AW71" s="188">
        <f>opex_orig!$AO71</f>
        <v>4.5050856448853403E-5</v>
      </c>
      <c r="AX71" s="188">
        <f>opex_orig!$AP71</f>
        <v>5.0966293030572598E-5</v>
      </c>
      <c r="AY71" s="188">
        <f>opex_orig!AQ71</f>
        <v>5.2099999999999999E-5</v>
      </c>
      <c r="AZ71" s="188">
        <f>opex_orig!AR71</f>
        <v>0</v>
      </c>
      <c r="BA71" s="188">
        <f>opex_orig!AS71</f>
        <v>4.9200000000000003E-5</v>
      </c>
      <c r="BB71" s="188">
        <f>opex_orig!AT71</f>
        <v>5.0599999999999997E-5</v>
      </c>
      <c r="BC71" s="188">
        <f>opex_orig!AU71</f>
        <v>1.2E-5</v>
      </c>
      <c r="BD71" s="188">
        <f>opex_orig!AV71</f>
        <v>1.1E-5</v>
      </c>
      <c r="BE71" s="188">
        <f>opex_orig!AW71</f>
        <v>5.0899999999999997E-5</v>
      </c>
      <c r="BF71" s="188">
        <f>opex_orig!AX71</f>
        <v>0</v>
      </c>
      <c r="BG71" s="188">
        <f>opex_orig!AY71</f>
        <v>5.0399999999999999E-5</v>
      </c>
      <c r="BH71" s="188">
        <f>opex_orig!AZ71</f>
        <v>0</v>
      </c>
      <c r="BI71" s="188">
        <f>opex_orig!BA71</f>
        <v>7.1500000000000003E-5</v>
      </c>
      <c r="BJ71" s="188">
        <f>opex_orig!BB71</f>
        <v>7.0900000000000002E-5</v>
      </c>
      <c r="BK71" s="188">
        <f>opex_orig!BC71</f>
        <v>6.5199999999999999E-5</v>
      </c>
      <c r="BL71" s="188">
        <f>opex_orig!BD71</f>
        <v>3.2799999999999998E-5</v>
      </c>
      <c r="BM71" s="188">
        <f>opex_orig!BE71</f>
        <v>5.3999999999999998E-5</v>
      </c>
      <c r="BN71" s="188">
        <f>opex_orig!BF71</f>
        <v>4.1699999999999997E-5</v>
      </c>
      <c r="BO71" s="188">
        <f>opex_orig!BG71</f>
        <v>4.0500000000000002E-5</v>
      </c>
      <c r="BP71" s="188">
        <f>opex_orig!$BH71</f>
        <v>4.9948192686310203E-5</v>
      </c>
      <c r="BQ71" s="188">
        <f>opex_orig!$BH71</f>
        <v>4.9948192686310203E-5</v>
      </c>
      <c r="BR71" s="188">
        <f>opex_orig!BI71</f>
        <v>5.5300000000000002E-5</v>
      </c>
      <c r="BS71" s="188">
        <f>opex_orig!BJ71</f>
        <v>5.0800000000000002E-5</v>
      </c>
      <c r="BT71" s="188">
        <f>opex_orig!BK71</f>
        <v>4.74E-5</v>
      </c>
      <c r="BU71" s="188">
        <f>opex_orig!BL71</f>
        <v>0</v>
      </c>
      <c r="BV71" s="27">
        <f>opex_orig!BM71</f>
        <v>2.4939628197935798E-5</v>
      </c>
      <c r="BW71" s="27">
        <f>opex_orig!BN71</f>
        <v>3.3132655114363501E-5</v>
      </c>
      <c r="BX71" s="27">
        <f>opex_orig!BO71</f>
        <v>9.5220649883658898E-6</v>
      </c>
      <c r="BY71" s="27">
        <f>opex_orig!BP71</f>
        <v>1.1735954883976199E-5</v>
      </c>
      <c r="BZ71" s="27">
        <f>opex_orig!BQ71</f>
        <v>1.51295674489489E-5</v>
      </c>
      <c r="CA71" s="27">
        <f>opex_orig!BR71</f>
        <v>3.1520299985845303E-4</v>
      </c>
      <c r="CB71" s="27">
        <f>opex_orig!BS71</f>
        <v>5.83078778595066E-5</v>
      </c>
      <c r="CC71" s="27">
        <f>opex_orig!BT71</f>
        <v>4.4649560895554902E-5</v>
      </c>
      <c r="CD71" s="27">
        <f>opex_orig!BU71</f>
        <v>9.0765493347816995E-6</v>
      </c>
      <c r="CE71" s="27">
        <f>opex_orig!BV71</f>
        <v>9.0765493347817096E-6</v>
      </c>
      <c r="CF71" s="27">
        <f>opex_orig!BW71</f>
        <v>4.4911275736089502E-4</v>
      </c>
      <c r="CG71" s="27">
        <f>opex_orig!BX71</f>
        <v>1.52866298093599E-5</v>
      </c>
      <c r="CH71" s="27">
        <f>opex_orig!BY71</f>
        <v>1.3290809066799101E-6</v>
      </c>
      <c r="CI71" s="27">
        <f>opex_orig!BZ71</f>
        <v>1.8499999999999999E-5</v>
      </c>
      <c r="CJ71" s="27">
        <f>opex_orig!CA71</f>
        <v>1.42E-5</v>
      </c>
      <c r="CK71" s="27">
        <f>opex_orig!CB71</f>
        <v>1.4399999999999999E-5</v>
      </c>
      <c r="CL71" s="27">
        <f>opex_orig!CC71</f>
        <v>1.1399999999999999E-5</v>
      </c>
      <c r="CM71" s="27">
        <f>opex_orig!CD71</f>
        <v>5.1400000000000003E-5</v>
      </c>
      <c r="CN71" s="27">
        <f>opex_orig!CE71</f>
        <v>5.8600000000000001E-5</v>
      </c>
      <c r="CO71" s="27">
        <f>opex_orig!CF71</f>
        <v>2.185439E-3</v>
      </c>
      <c r="CP71" s="27">
        <f>opex_orig!CG71</f>
        <v>9.8200000000000008E-6</v>
      </c>
    </row>
    <row r="72" spans="1:94" x14ac:dyDescent="0.25">
      <c r="A72" s="5" t="s">
        <v>163</v>
      </c>
      <c r="B72" s="2" t="s">
        <v>162</v>
      </c>
      <c r="C72" s="1" t="s">
        <v>329</v>
      </c>
      <c r="D72" s="188">
        <f>opex_orig!D72</f>
        <v>2.13179E-4</v>
      </c>
      <c r="E72" s="188">
        <f>opex_orig!E72</f>
        <v>2.7685900000000001E-4</v>
      </c>
      <c r="F72" s="188">
        <f>opex_orig!F72</f>
        <v>1.5843199999999999E-4</v>
      </c>
      <c r="G72" s="188">
        <f>opex_orig!G72</f>
        <v>2.5599999999999999E-5</v>
      </c>
      <c r="H72" s="188">
        <f>opex_orig!H72</f>
        <v>4.6100000000000002E-5</v>
      </c>
      <c r="I72" s="188">
        <f>opex_orig!I72</f>
        <v>9.0241900000000001E-4</v>
      </c>
      <c r="J72" s="188">
        <f>opex_orig!J72</f>
        <v>1.3756799999999999E-4</v>
      </c>
      <c r="K72" s="188">
        <f>opex_orig!K72</f>
        <v>7.7600000000000002E-5</v>
      </c>
      <c r="L72" s="188">
        <f>opex_orig!L72</f>
        <v>5.0655700000000004E-4</v>
      </c>
      <c r="M72" s="188">
        <f>opex_orig!M72</f>
        <v>1.2224359999999999E-3</v>
      </c>
      <c r="N72" s="188">
        <f>opex_orig!N72</f>
        <v>6.89775E-4</v>
      </c>
      <c r="O72" s="188">
        <f>opex_orig!O72</f>
        <v>1.16474E-4</v>
      </c>
      <c r="P72" s="188">
        <f>opex_orig!P72</f>
        <v>5.1242700000000002E-3</v>
      </c>
      <c r="Q72" s="188">
        <f>opex_orig!Q72</f>
        <v>3.3827199999999998E-4</v>
      </c>
      <c r="R72" s="188">
        <f>opex_orig!R72</f>
        <v>3.1942899999999998E-4</v>
      </c>
      <c r="S72" s="188">
        <f>opex_orig!S72</f>
        <v>6.3533999999999997E-4</v>
      </c>
      <c r="T72" s="188">
        <f>opex_orig!T72</f>
        <v>7.0017899999999999E-4</v>
      </c>
      <c r="U72" s="188">
        <f>opex_orig!U72</f>
        <v>1.0173799999999999E-4</v>
      </c>
      <c r="V72" s="188">
        <f>opex_orig!V72</f>
        <v>1.17037E-4</v>
      </c>
      <c r="W72" s="188">
        <f>opex_orig!W72</f>
        <v>9.0099999999999995E-5</v>
      </c>
      <c r="X72" s="188">
        <f>opex_orig!X72</f>
        <v>6.3499999999999999E-5</v>
      </c>
      <c r="Y72" s="188">
        <f>opex_orig!Y72</f>
        <v>6.9575870000000003E-3</v>
      </c>
      <c r="Z72" s="188">
        <f>opex_orig!Z72</f>
        <v>3.2061749999999999E-3</v>
      </c>
      <c r="AA72" s="188">
        <f>opex_orig!AA72</f>
        <v>2.1936199999999999E-4</v>
      </c>
      <c r="AB72" s="188">
        <f>opex_orig!$AB72</f>
        <v>2.2817784509342699E-4</v>
      </c>
      <c r="AC72" s="188">
        <f>opex_orig!$AB72</f>
        <v>2.2817784509342699E-4</v>
      </c>
      <c r="AD72" s="188">
        <f>opex_orig!$AB72</f>
        <v>2.2817784509342699E-4</v>
      </c>
      <c r="AE72" s="188">
        <f>opex_orig!$AC72</f>
        <v>3.82147073953366E-4</v>
      </c>
      <c r="AF72" s="188">
        <f>opex_orig!$AD72</f>
        <v>4.0669151236746398E-4</v>
      </c>
      <c r="AG72" s="188">
        <f>opex_orig!$AD72</f>
        <v>4.0669151236746398E-4</v>
      </c>
      <c r="AH72" s="188">
        <f>opex_orig!$AD72</f>
        <v>4.0669151236746398E-4</v>
      </c>
      <c r="AI72" s="188">
        <f>opex_orig!AE72</f>
        <v>3.8175600000000002E-4</v>
      </c>
      <c r="AJ72" s="188">
        <f>opex_orig!AF72</f>
        <v>8.9276899999999996E-4</v>
      </c>
      <c r="AK72" s="188">
        <f>opex_orig!AG72</f>
        <v>3.0346399999999998E-4</v>
      </c>
      <c r="AL72" s="188">
        <f>opex_orig!AH72</f>
        <v>3.5247427999999997E-2</v>
      </c>
      <c r="AM72" s="188">
        <f>opex_orig!AI72</f>
        <v>6.5973340000000005E-2</v>
      </c>
      <c r="AN72" s="188">
        <f>opex_orig!AJ72</f>
        <v>6.5254968999999996E-2</v>
      </c>
      <c r="AO72" s="188">
        <f>opex_orig!AK72</f>
        <v>0.20061304799999999</v>
      </c>
      <c r="AP72" s="219">
        <f>opex_concordance!M441</f>
        <v>6.7832194266020995E-2</v>
      </c>
      <c r="AQ72" s="219">
        <f>opex_concordance!M495</f>
        <v>5.4590709994512397E-2</v>
      </c>
      <c r="AR72" s="219">
        <f>opex_concordance!M549</f>
        <v>5.9908533554598797E-2</v>
      </c>
      <c r="AS72" s="188">
        <f>opex_orig!$AM72</f>
        <v>6.1446348995724799E-2</v>
      </c>
      <c r="AT72" s="188">
        <f>opex_orig!AN72</f>
        <v>0.15219761500000001</v>
      </c>
      <c r="AU72" s="188">
        <f>opex_orig!$AO72</f>
        <v>9.9677363842564596E-4</v>
      </c>
      <c r="AV72" s="188">
        <f>opex_orig!$AO72</f>
        <v>9.9677363842564596E-4</v>
      </c>
      <c r="AW72" s="188">
        <f>opex_orig!$AO72</f>
        <v>9.9677363842564596E-4</v>
      </c>
      <c r="AX72" s="188">
        <f>opex_orig!$AP72</f>
        <v>1.1359719222405599E-3</v>
      </c>
      <c r="AY72" s="188">
        <f>opex_orig!AQ72</f>
        <v>2.7996599999999998E-4</v>
      </c>
      <c r="AZ72" s="188">
        <f>opex_orig!AR72</f>
        <v>0</v>
      </c>
      <c r="BA72" s="188">
        <f>opex_orig!AS72</f>
        <v>1.9449968000000002E-2</v>
      </c>
      <c r="BB72" s="188">
        <f>opex_orig!AT72</f>
        <v>2.3760784E-2</v>
      </c>
      <c r="BC72" s="188">
        <f>opex_orig!AU72</f>
        <v>4.74E-5</v>
      </c>
      <c r="BD72" s="188">
        <f>opex_orig!AV72</f>
        <v>4.1999999999999998E-5</v>
      </c>
      <c r="BE72" s="188">
        <f>opex_orig!AW72</f>
        <v>1.59994E-4</v>
      </c>
      <c r="BF72" s="188">
        <f>opex_orig!AX72</f>
        <v>0</v>
      </c>
      <c r="BG72" s="188">
        <f>opex_orig!AY72</f>
        <v>4.2492799999999998E-4</v>
      </c>
      <c r="BH72" s="188">
        <f>opex_orig!AZ72</f>
        <v>0</v>
      </c>
      <c r="BI72" s="188">
        <f>opex_orig!BA72</f>
        <v>9.9276599999999996E-4</v>
      </c>
      <c r="BJ72" s="188">
        <f>opex_orig!BB72</f>
        <v>1.240955E-3</v>
      </c>
      <c r="BK72" s="188">
        <f>opex_orig!BC72</f>
        <v>1.7159E-3</v>
      </c>
      <c r="BL72" s="188">
        <f>opex_orig!BD72</f>
        <v>1.14181E-4</v>
      </c>
      <c r="BM72" s="188">
        <f>opex_orig!BE72</f>
        <v>2.7861230000000002E-3</v>
      </c>
      <c r="BN72" s="188">
        <f>opex_orig!BF72</f>
        <v>2.1523199999999999E-4</v>
      </c>
      <c r="BO72" s="188">
        <f>opex_orig!BG72</f>
        <v>7.7439700000000002E-4</v>
      </c>
      <c r="BP72" s="188">
        <f>opex_orig!$BH72</f>
        <v>3.7001503794827399E-4</v>
      </c>
      <c r="BQ72" s="188">
        <f>opex_orig!$BH72</f>
        <v>3.7001503794827399E-4</v>
      </c>
      <c r="BR72" s="188">
        <f>opex_orig!BI72</f>
        <v>1.0312749999999999E-3</v>
      </c>
      <c r="BS72" s="188">
        <f>opex_orig!BJ72</f>
        <v>2.15851E-4</v>
      </c>
      <c r="BT72" s="188">
        <f>opex_orig!BK72</f>
        <v>6.7172200000000003E-4</v>
      </c>
      <c r="BU72" s="188">
        <f>opex_orig!BL72</f>
        <v>0</v>
      </c>
      <c r="BV72" s="27">
        <f>opex_orig!BM72</f>
        <v>1.07517037399245E-4</v>
      </c>
      <c r="BW72" s="27">
        <f>opex_orig!BN72</f>
        <v>1.28061120760397E-4</v>
      </c>
      <c r="BX72" s="27">
        <f>opex_orig!BO72</f>
        <v>3.7359507441653502E-5</v>
      </c>
      <c r="BY72" s="27">
        <f>opex_orig!BP72</f>
        <v>6.5008470155944895E-5</v>
      </c>
      <c r="BZ72" s="27">
        <f>opex_orig!BQ72</f>
        <v>9.2947818615565501E-5</v>
      </c>
      <c r="CA72" s="27">
        <f>opex_orig!BR72</f>
        <v>4.7811713463229703E-4</v>
      </c>
      <c r="CB72" s="27">
        <f>opex_orig!BS72</f>
        <v>3.8160624199342702E-4</v>
      </c>
      <c r="CC72" s="27">
        <f>opex_orig!BT72</f>
        <v>1.7744483794178999E-5</v>
      </c>
      <c r="CD72" s="27">
        <f>opex_orig!BU72</f>
        <v>3.0641345521258198E-5</v>
      </c>
      <c r="CE72" s="27">
        <f>opex_orig!BV72</f>
        <v>3.06413455212583E-5</v>
      </c>
      <c r="CF72" s="27">
        <f>opex_orig!BW72</f>
        <v>6.9488299515219304E-5</v>
      </c>
      <c r="CG72" s="27">
        <f>opex_orig!BX72</f>
        <v>7.5323351436103702E-6</v>
      </c>
      <c r="CH72" s="27">
        <f>opex_orig!BY72</f>
        <v>6.4692264151334903E-6</v>
      </c>
      <c r="CI72" s="27">
        <f>opex_orig!BZ72</f>
        <v>1.0089E-4</v>
      </c>
      <c r="CJ72" s="27">
        <f>opex_orig!CA72</f>
        <v>9.5000000000000005E-5</v>
      </c>
      <c r="CK72" s="27">
        <f>opex_orig!CB72</f>
        <v>9.6000000000000002E-5</v>
      </c>
      <c r="CL72" s="27">
        <f>opex_orig!CC72</f>
        <v>4.88E-5</v>
      </c>
      <c r="CM72" s="27">
        <f>opex_orig!CD72</f>
        <v>2.6744099999999999E-4</v>
      </c>
      <c r="CN72" s="27">
        <f>opex_orig!CE72</f>
        <v>9.6909399999999999E-4</v>
      </c>
      <c r="CO72" s="27">
        <f>opex_orig!CF72</f>
        <v>2.9705080000000002E-3</v>
      </c>
      <c r="CP72" s="27">
        <f>opex_orig!CG72</f>
        <v>8.0000000000000007E-5</v>
      </c>
    </row>
    <row r="73" spans="1:94" x14ac:dyDescent="0.25">
      <c r="A73" s="5" t="s">
        <v>165</v>
      </c>
      <c r="B73" s="2" t="s">
        <v>164</v>
      </c>
      <c r="C73" s="1" t="s">
        <v>329</v>
      </c>
      <c r="D73" s="188">
        <f>opex_orig!D73</f>
        <v>6.9800000000000003E-5</v>
      </c>
      <c r="E73" s="188">
        <f>opex_orig!E73</f>
        <v>4.3900000000000003E-5</v>
      </c>
      <c r="F73" s="188">
        <f>opex_orig!F73</f>
        <v>3.7400000000000001E-5</v>
      </c>
      <c r="G73" s="188">
        <f>opex_orig!G73</f>
        <v>8.3499999999999997E-6</v>
      </c>
      <c r="H73" s="188">
        <f>opex_orig!H73</f>
        <v>5.6200000000000004E-6</v>
      </c>
      <c r="I73" s="188">
        <f>opex_orig!I73</f>
        <v>1.0922299999999999E-4</v>
      </c>
      <c r="J73" s="188">
        <f>opex_orig!J73</f>
        <v>3.3403799999999999E-4</v>
      </c>
      <c r="K73" s="188">
        <f>opex_orig!K73</f>
        <v>8.4800000000000001E-6</v>
      </c>
      <c r="L73" s="188">
        <f>opex_orig!L73</f>
        <v>8.5699999999999996E-5</v>
      </c>
      <c r="M73" s="188">
        <f>opex_orig!M73</f>
        <v>2.46202E-4</v>
      </c>
      <c r="N73" s="188">
        <f>opex_orig!N73</f>
        <v>1.2403699999999999E-4</v>
      </c>
      <c r="O73" s="188">
        <f>opex_orig!O73</f>
        <v>4.3558699999999998E-4</v>
      </c>
      <c r="P73" s="188">
        <f>opex_orig!P73</f>
        <v>2.10168E-4</v>
      </c>
      <c r="Q73" s="188">
        <f>opex_orig!Q73</f>
        <v>5.5300000000000002E-5</v>
      </c>
      <c r="R73" s="188">
        <f>opex_orig!R73</f>
        <v>9.1700000000000006E-5</v>
      </c>
      <c r="S73" s="188">
        <f>opex_orig!S73</f>
        <v>4.3849200000000002E-4</v>
      </c>
      <c r="T73" s="188">
        <f>opex_orig!T73</f>
        <v>9.0171900000000004E-4</v>
      </c>
      <c r="U73" s="188">
        <f>opex_orig!U73</f>
        <v>4.45167E-4</v>
      </c>
      <c r="V73" s="188">
        <f>opex_orig!V73</f>
        <v>2.2815499999999999E-4</v>
      </c>
      <c r="W73" s="188">
        <f>opex_orig!W73</f>
        <v>3.61617E-4</v>
      </c>
      <c r="X73" s="188">
        <f>opex_orig!X73</f>
        <v>7.2299999999999996E-5</v>
      </c>
      <c r="Y73" s="188">
        <f>opex_orig!Y73</f>
        <v>1.4157899999999999E-4</v>
      </c>
      <c r="Z73" s="188">
        <f>opex_orig!Z73</f>
        <v>5.8212800000000001E-4</v>
      </c>
      <c r="AA73" s="188">
        <f>opex_orig!AA73</f>
        <v>1.380392E-3</v>
      </c>
      <c r="AB73" s="188">
        <f>opex_orig!$AB73</f>
        <v>8.2209885105279906E-5</v>
      </c>
      <c r="AC73" s="188">
        <f>opex_orig!$AB73</f>
        <v>8.2209885105279906E-5</v>
      </c>
      <c r="AD73" s="188">
        <f>opex_orig!$AB73</f>
        <v>8.2209885105279906E-5</v>
      </c>
      <c r="AE73" s="188">
        <f>opex_orig!$AC73</f>
        <v>2.3040490317185501E-4</v>
      </c>
      <c r="AF73" s="188">
        <f>opex_orig!$AD73</f>
        <v>2.1033868188510599E-4</v>
      </c>
      <c r="AG73" s="188">
        <f>opex_orig!$AD73</f>
        <v>2.1033868188510599E-4</v>
      </c>
      <c r="AH73" s="188">
        <f>opex_orig!$AD73</f>
        <v>2.1033868188510599E-4</v>
      </c>
      <c r="AI73" s="188">
        <f>opex_orig!AE73</f>
        <v>1.81039E-4</v>
      </c>
      <c r="AJ73" s="188">
        <f>opex_orig!AF73</f>
        <v>7.8177800000000001E-4</v>
      </c>
      <c r="AK73" s="188">
        <f>opex_orig!AG73</f>
        <v>1.641287E-3</v>
      </c>
      <c r="AL73" s="188">
        <f>opex_orig!AH73</f>
        <v>2.43821E-4</v>
      </c>
      <c r="AM73" s="188">
        <f>opex_orig!AI73</f>
        <v>3.3080199999999999E-4</v>
      </c>
      <c r="AN73" s="188">
        <f>opex_orig!AJ73</f>
        <v>2.4259300000000001E-4</v>
      </c>
      <c r="AO73" s="188">
        <f>opex_orig!AK73</f>
        <v>3.7314100000000001E-4</v>
      </c>
      <c r="AP73" s="188">
        <f>opex_orig!$AL73</f>
        <v>1.3711388812176E-3</v>
      </c>
      <c r="AQ73" s="188">
        <f>opex_orig!$AL73</f>
        <v>1.3711388812176E-3</v>
      </c>
      <c r="AR73" s="188">
        <f>opex_orig!$AL73</f>
        <v>1.3711388812176E-3</v>
      </c>
      <c r="AS73" s="188">
        <f>opex_orig!$AM73</f>
        <v>1.22205286226133E-3</v>
      </c>
      <c r="AT73" s="188">
        <f>opex_orig!AN73</f>
        <v>1.067681E-3</v>
      </c>
      <c r="AU73" s="293">
        <f>opex_concordance!$M$598</f>
        <v>8.0744457062183E-2</v>
      </c>
      <c r="AV73" s="293">
        <f>opex_concordance!$M$644</f>
        <v>0.10969106036017423</v>
      </c>
      <c r="AW73" s="293">
        <f>opex_concordance!$M$690</f>
        <v>8.6866267403110223E-2</v>
      </c>
      <c r="AX73" s="188">
        <f>opex_orig!$AP73</f>
        <v>9.1472464956099994E-2</v>
      </c>
      <c r="AY73" s="188">
        <f>opex_orig!AQ73</f>
        <v>1.1246446E-2</v>
      </c>
      <c r="AZ73" s="188">
        <f>opex_orig!AR73</f>
        <v>0</v>
      </c>
      <c r="BA73" s="188">
        <f>opex_orig!AS73</f>
        <v>8.1897580000000001E-3</v>
      </c>
      <c r="BB73" s="188">
        <f>opex_orig!AT73</f>
        <v>6.3239589999999997E-3</v>
      </c>
      <c r="BC73" s="188">
        <f>opex_orig!AU73</f>
        <v>1.8705100000000001E-4</v>
      </c>
      <c r="BD73" s="188">
        <f>opex_orig!AV73</f>
        <v>1.35656E-4</v>
      </c>
      <c r="BE73" s="188">
        <f>opex_orig!AW73</f>
        <v>3.229581E-3</v>
      </c>
      <c r="BF73" s="188">
        <f>opex_orig!AX73</f>
        <v>0</v>
      </c>
      <c r="BG73" s="188">
        <f>opex_orig!AY73</f>
        <v>3.712187E-3</v>
      </c>
      <c r="BH73" s="188">
        <f>opex_orig!AZ73</f>
        <v>0</v>
      </c>
      <c r="BI73" s="188">
        <f>opex_orig!BA73</f>
        <v>5.5974673000000003E-2</v>
      </c>
      <c r="BJ73" s="188">
        <f>opex_orig!BB73</f>
        <v>2.4749489999999999E-2</v>
      </c>
      <c r="BK73" s="188">
        <f>opex_orig!BC73</f>
        <v>2.5519822000000001E-2</v>
      </c>
      <c r="BL73" s="188">
        <f>opex_orig!BD73</f>
        <v>2.5674200000000002E-4</v>
      </c>
      <c r="BM73" s="188">
        <f>opex_orig!BE73</f>
        <v>1.6142452000000002E-2</v>
      </c>
      <c r="BN73" s="188">
        <f>opex_orig!BF73</f>
        <v>2.3090299999999999E-4</v>
      </c>
      <c r="BO73" s="188">
        <f>opex_orig!BG73</f>
        <v>2.114758E-3</v>
      </c>
      <c r="BP73" s="325">
        <f>opex_concordance!M96</f>
        <v>6.2569182009794399E-3</v>
      </c>
      <c r="BQ73" s="325">
        <f>opex_concordance!M139</f>
        <v>4.0075743132071632E-3</v>
      </c>
      <c r="BR73" s="188">
        <f>opex_orig!BI73</f>
        <v>1.9938232E-2</v>
      </c>
      <c r="BS73" s="188">
        <f>opex_orig!BJ73</f>
        <v>7.3013380000000001E-3</v>
      </c>
      <c r="BT73" s="188">
        <f>opex_orig!BK73</f>
        <v>8.1315428999999995E-2</v>
      </c>
      <c r="BU73" s="188">
        <f>opex_orig!BL73</f>
        <v>0</v>
      </c>
      <c r="BV73" s="27">
        <f>opex_orig!BM73</f>
        <v>5.1633938331711599E-4</v>
      </c>
      <c r="BW73" s="27">
        <f>opex_orig!BN73</f>
        <v>9.0181707925569398E-4</v>
      </c>
      <c r="BX73" s="27">
        <f>opex_orig!BO73</f>
        <v>6.72890672352809E-5</v>
      </c>
      <c r="BY73" s="27">
        <f>opex_orig!BP73</f>
        <v>1.11595263486389E-4</v>
      </c>
      <c r="BZ73" s="27">
        <f>opex_orig!BQ73</f>
        <v>1.06460225429765E-4</v>
      </c>
      <c r="CA73" s="27">
        <f>opex_orig!BR73</f>
        <v>1.2278883803686E-3</v>
      </c>
      <c r="CB73" s="27">
        <f>opex_orig!BS73</f>
        <v>9.5417962627337202E-4</v>
      </c>
      <c r="CC73" s="27">
        <f>opex_orig!BT73</f>
        <v>6.3920031629681104E-4</v>
      </c>
      <c r="CD73" s="27">
        <f>opex_orig!BU73</f>
        <v>1.7095589690078399E-5</v>
      </c>
      <c r="CE73" s="27">
        <f>opex_orig!BV73</f>
        <v>1.7095589690078399E-5</v>
      </c>
      <c r="CF73" s="27">
        <f>opex_orig!BW73</f>
        <v>9.3440510585250606E-5</v>
      </c>
      <c r="CG73" s="27">
        <f>opex_orig!BX73</f>
        <v>1.40087304032452E-5</v>
      </c>
      <c r="CH73" s="27">
        <f>opex_orig!BY73</f>
        <v>3.8266351879052598E-5</v>
      </c>
      <c r="CI73" s="27">
        <f>opex_orig!BZ73</f>
        <v>3.3632399999999999E-4</v>
      </c>
      <c r="CJ73" s="27">
        <f>opex_orig!CA73</f>
        <v>1.07314E-4</v>
      </c>
      <c r="CK73" s="27">
        <f>opex_orig!CB73</f>
        <v>1.04843E-4</v>
      </c>
      <c r="CL73" s="27">
        <f>opex_orig!CC73</f>
        <v>3.45397E-4</v>
      </c>
      <c r="CM73" s="27">
        <f>opex_orig!CD73</f>
        <v>6.5161699999999995E-4</v>
      </c>
      <c r="CN73" s="27">
        <f>opex_orig!CE73</f>
        <v>5.4437799999999998E-4</v>
      </c>
      <c r="CO73" s="27">
        <f>opex_orig!CF73</f>
        <v>1.4200339999999999E-3</v>
      </c>
      <c r="CP73" s="27">
        <f>opex_orig!CG73</f>
        <v>1.0857300000000001E-4</v>
      </c>
    </row>
    <row r="74" spans="1:94" x14ac:dyDescent="0.25">
      <c r="A74" s="5" t="s">
        <v>167</v>
      </c>
      <c r="B74" s="2" t="s">
        <v>166</v>
      </c>
      <c r="C74" s="1" t="s">
        <v>329</v>
      </c>
      <c r="D74" s="188">
        <f>opex_orig!D74</f>
        <v>7.1000000000000005E-5</v>
      </c>
      <c r="E74" s="188">
        <f>opex_orig!E74</f>
        <v>2.5599999999999999E-5</v>
      </c>
      <c r="F74" s="188">
        <f>opex_orig!F74</f>
        <v>1.56E-5</v>
      </c>
      <c r="G74" s="188">
        <f>opex_orig!G74</f>
        <v>1.44E-6</v>
      </c>
      <c r="H74" s="188">
        <f>opex_orig!H74</f>
        <v>3.4800000000000001E-6</v>
      </c>
      <c r="I74" s="188">
        <f>opex_orig!I74</f>
        <v>6.4599999999999998E-5</v>
      </c>
      <c r="J74" s="188">
        <f>opex_orig!J74</f>
        <v>4.9200000000000003E-5</v>
      </c>
      <c r="K74" s="188">
        <f>opex_orig!K74</f>
        <v>4.5499999999999996E-6</v>
      </c>
      <c r="L74" s="188">
        <f>opex_orig!L74</f>
        <v>4.3000000000000002E-5</v>
      </c>
      <c r="M74" s="188">
        <f>opex_orig!M74</f>
        <v>1.37472E-4</v>
      </c>
      <c r="N74" s="188">
        <f>opex_orig!N74</f>
        <v>6.3899999999999995E-5</v>
      </c>
      <c r="O74" s="188">
        <f>opex_orig!O74</f>
        <v>2.26827E-4</v>
      </c>
      <c r="P74" s="188">
        <f>opex_orig!P74</f>
        <v>1.18941E-4</v>
      </c>
      <c r="Q74" s="188">
        <f>opex_orig!Q74</f>
        <v>2.55E-5</v>
      </c>
      <c r="R74" s="188">
        <f>opex_orig!R74</f>
        <v>4.21E-5</v>
      </c>
      <c r="S74" s="188">
        <f>opex_orig!S74</f>
        <v>2.4388400000000001E-4</v>
      </c>
      <c r="T74" s="188">
        <f>opex_orig!T74</f>
        <v>5.55865E-4</v>
      </c>
      <c r="U74" s="188">
        <f>opex_orig!U74</f>
        <v>2.60766E-4</v>
      </c>
      <c r="V74" s="188">
        <f>opex_orig!V74</f>
        <v>9.8999999999999994E-5</v>
      </c>
      <c r="W74" s="188">
        <f>opex_orig!W74</f>
        <v>1.9688799999999999E-4</v>
      </c>
      <c r="X74" s="188">
        <f>opex_orig!X74</f>
        <v>4.4299999999999999E-5</v>
      </c>
      <c r="Y74" s="188">
        <f>opex_orig!Y74</f>
        <v>6.3800000000000006E-5</v>
      </c>
      <c r="Z74" s="188">
        <f>opex_orig!Z74</f>
        <v>3.6772399999999999E-4</v>
      </c>
      <c r="AA74" s="188">
        <f>opex_orig!AA74</f>
        <v>6.4627900000000004E-4</v>
      </c>
      <c r="AB74" s="188">
        <f>opex_orig!$AB74</f>
        <v>2.3434888237944002E-5</v>
      </c>
      <c r="AC74" s="188">
        <f>opex_orig!$AB74</f>
        <v>2.3434888237944002E-5</v>
      </c>
      <c r="AD74" s="188">
        <f>opex_orig!$AB74</f>
        <v>2.3434888237944002E-5</v>
      </c>
      <c r="AE74" s="188">
        <f>opex_orig!$AC74</f>
        <v>6.12612839228334E-5</v>
      </c>
      <c r="AF74" s="188">
        <f>opex_orig!$AD74</f>
        <v>7.8473932878503997E-5</v>
      </c>
      <c r="AG74" s="188">
        <f>opex_orig!$AD74</f>
        <v>7.8473932878503997E-5</v>
      </c>
      <c r="AH74" s="188">
        <f>opex_orig!$AD74</f>
        <v>7.8473932878503997E-5</v>
      </c>
      <c r="AI74" s="188">
        <f>opex_orig!AE74</f>
        <v>7.5699999999999997E-5</v>
      </c>
      <c r="AJ74" s="188">
        <f>opex_orig!AF74</f>
        <v>3.8081500000000001E-4</v>
      </c>
      <c r="AK74" s="188">
        <f>opex_orig!AG74</f>
        <v>7.7777499999999997E-4</v>
      </c>
      <c r="AL74" s="188">
        <f>opex_orig!AH74</f>
        <v>1.2599700000000001E-4</v>
      </c>
      <c r="AM74" s="188">
        <f>opex_orig!AI74</f>
        <v>1.6508500000000001E-4</v>
      </c>
      <c r="AN74" s="188">
        <f>opex_orig!AJ74</f>
        <v>1.24015E-4</v>
      </c>
      <c r="AO74" s="188">
        <f>opex_orig!AK74</f>
        <v>1.89865E-4</v>
      </c>
      <c r="AP74" s="188">
        <f>opex_orig!$AL74</f>
        <v>6.5942450289757995E-4</v>
      </c>
      <c r="AQ74" s="188">
        <f>opex_orig!$AL74</f>
        <v>6.5942450289757995E-4</v>
      </c>
      <c r="AR74" s="188">
        <f>opex_orig!$AL74</f>
        <v>6.5942450289757995E-4</v>
      </c>
      <c r="AS74" s="188">
        <f>opex_orig!$AM74</f>
        <v>5.8811940732029599E-4</v>
      </c>
      <c r="AT74" s="188">
        <f>opex_orig!AN74</f>
        <v>5.1941599999999997E-4</v>
      </c>
      <c r="AU74" s="310">
        <f>opex_concordance!M592</f>
        <v>3.8264487147094399E-2</v>
      </c>
      <c r="AV74" s="310">
        <f>opex_concordance!M638</f>
        <v>0</v>
      </c>
      <c r="AW74" s="310">
        <f>opex_concordance!M684</f>
        <v>3.1717906953443897E-2</v>
      </c>
      <c r="AX74" s="188">
        <f>opex_orig!$AP74</f>
        <v>4.3348898814086698E-2</v>
      </c>
      <c r="AY74" s="188">
        <f>opex_orig!AQ74</f>
        <v>5.3217890000000004E-3</v>
      </c>
      <c r="AZ74" s="188">
        <f>opex_orig!AR74</f>
        <v>0</v>
      </c>
      <c r="BA74" s="188">
        <f>opex_orig!AS74</f>
        <v>3.9084599999999999E-3</v>
      </c>
      <c r="BB74" s="188">
        <f>opex_orig!AT74</f>
        <v>3.0096480000000002E-3</v>
      </c>
      <c r="BC74" s="188">
        <f>opex_orig!AU74</f>
        <v>9.2100000000000003E-5</v>
      </c>
      <c r="BD74" s="188">
        <f>opex_orig!AV74</f>
        <v>6.2399999999999999E-5</v>
      </c>
      <c r="BE74" s="188">
        <f>opex_orig!AW74</f>
        <v>1.554136E-3</v>
      </c>
      <c r="BF74" s="188">
        <f>opex_orig!AX74</f>
        <v>0</v>
      </c>
      <c r="BG74" s="188">
        <f>opex_orig!AY74</f>
        <v>1.7116430000000001E-3</v>
      </c>
      <c r="BH74" s="188">
        <f>opex_orig!AZ74</f>
        <v>0</v>
      </c>
      <c r="BI74" s="188">
        <f>opex_orig!BA74</f>
        <v>2.6564634E-2</v>
      </c>
      <c r="BJ74" s="188">
        <f>opex_orig!BB74</f>
        <v>1.168133E-2</v>
      </c>
      <c r="BK74" s="188">
        <f>opex_orig!BC74</f>
        <v>1.2074550999999999E-2</v>
      </c>
      <c r="BL74" s="188">
        <f>opex_orig!BD74</f>
        <v>1.19852E-4</v>
      </c>
      <c r="BM74" s="188">
        <f>opex_orig!BE74</f>
        <v>7.6618449999999996E-3</v>
      </c>
      <c r="BN74" s="188">
        <f>opex_orig!BF74</f>
        <v>1.02138E-4</v>
      </c>
      <c r="BO74" s="188">
        <f>opex_orig!BG74</f>
        <v>9.9728399999999997E-4</v>
      </c>
      <c r="BP74" s="188">
        <f>opex_orig!$BH74</f>
        <v>2.9570541983872101E-3</v>
      </c>
      <c r="BQ74" s="188">
        <f>opex_orig!$BH74</f>
        <v>2.9570541983872101E-3</v>
      </c>
      <c r="BR74" s="188">
        <f>opex_orig!BI74</f>
        <v>9.4803969999999998E-3</v>
      </c>
      <c r="BS74" s="188">
        <f>opex_orig!BJ74</f>
        <v>3.4514609999999999E-3</v>
      </c>
      <c r="BT74" s="188">
        <f>opex_orig!BK74</f>
        <v>3.8569724E-2</v>
      </c>
      <c r="BU74" s="188">
        <f>opex_orig!BL74</f>
        <v>0</v>
      </c>
      <c r="BV74" s="27">
        <f>opex_orig!BM74</f>
        <v>3.7153578291141E-4</v>
      </c>
      <c r="BW74" s="27">
        <f>opex_orig!BN74</f>
        <v>6.5106237413209498E-4</v>
      </c>
      <c r="BX74" s="27">
        <f>opex_orig!BO74</f>
        <v>4.1330898842490603E-5</v>
      </c>
      <c r="BY74" s="27">
        <f>opex_orig!BP74</f>
        <v>7.4063263186285901E-5</v>
      </c>
      <c r="BZ74" s="27">
        <f>opex_orig!BQ74</f>
        <v>7.0347684173982601E-5</v>
      </c>
      <c r="CA74" s="27">
        <f>opex_orig!BR74</f>
        <v>4.9547859264665705E-4</v>
      </c>
      <c r="CB74" s="27">
        <f>opex_orig!BS74</f>
        <v>7.0971671469784202E-4</v>
      </c>
      <c r="CC74" s="27">
        <f>opex_orig!BT74</f>
        <v>1.40891249272068E-4</v>
      </c>
      <c r="CD74" s="27">
        <f>opex_orig!BU74</f>
        <v>1.0439632655583901E-5</v>
      </c>
      <c r="CE74" s="27">
        <f>opex_orig!BV74</f>
        <v>1.0439632655583901E-5</v>
      </c>
      <c r="CF74" s="27">
        <f>opex_orig!BW74</f>
        <v>2.12510103323914E-4</v>
      </c>
      <c r="CG74" s="27">
        <f>opex_orig!BX74</f>
        <v>1.03027707416684E-5</v>
      </c>
      <c r="CH74" s="27">
        <f>opex_orig!BY74</f>
        <v>2.1122474607704302E-5</v>
      </c>
      <c r="CI74" s="27">
        <f>opex_orig!BZ74</f>
        <v>2.4526000000000002E-4</v>
      </c>
      <c r="CJ74" s="27">
        <f>opex_orig!CA74</f>
        <v>4.6699999999999997E-5</v>
      </c>
      <c r="CK74" s="27">
        <f>opex_orig!CB74</f>
        <v>4.7700000000000001E-5</v>
      </c>
      <c r="CL74" s="27">
        <f>opex_orig!CC74</f>
        <v>1.02583E-4</v>
      </c>
      <c r="CM74" s="27">
        <f>opex_orig!CD74</f>
        <v>4.1886199999999999E-4</v>
      </c>
      <c r="CN74" s="27">
        <f>opex_orig!CE74</f>
        <v>2.8723799999999999E-4</v>
      </c>
      <c r="CO74" s="27">
        <f>opex_orig!CF74</f>
        <v>6.9038499999999996E-4</v>
      </c>
      <c r="CP74" s="27">
        <f>opex_orig!CG74</f>
        <v>5.2099999999999999E-5</v>
      </c>
    </row>
    <row r="75" spans="1:94" x14ac:dyDescent="0.25">
      <c r="A75" s="5" t="s">
        <v>169</v>
      </c>
      <c r="B75" s="2" t="s">
        <v>168</v>
      </c>
      <c r="C75" s="1" t="s">
        <v>329</v>
      </c>
      <c r="D75" s="188">
        <f>opex_orig!D75</f>
        <v>3.3000000000000003E-5</v>
      </c>
      <c r="E75" s="188">
        <f>opex_orig!E75</f>
        <v>1.2099999999999999E-5</v>
      </c>
      <c r="F75" s="188">
        <f>opex_orig!F75</f>
        <v>1.08E-5</v>
      </c>
      <c r="G75" s="188">
        <f>opex_orig!G75</f>
        <v>1.48E-6</v>
      </c>
      <c r="H75" s="188">
        <f>opex_orig!H75</f>
        <v>2.6900000000000001E-6</v>
      </c>
      <c r="I75" s="188">
        <f>opex_orig!I75</f>
        <v>2.05E-5</v>
      </c>
      <c r="J75" s="188">
        <f>opex_orig!J75</f>
        <v>2.0699999999999998E-5</v>
      </c>
      <c r="K75" s="188">
        <f>opex_orig!K75</f>
        <v>3.2100000000000002E-6</v>
      </c>
      <c r="L75" s="188">
        <f>opex_orig!L75</f>
        <v>1.4800000000000001E-5</v>
      </c>
      <c r="M75" s="188">
        <f>opex_orig!M75</f>
        <v>3.4100000000000002E-5</v>
      </c>
      <c r="N75" s="188">
        <f>opex_orig!N75</f>
        <v>5.1900000000000001E-5</v>
      </c>
      <c r="O75" s="188">
        <f>opex_orig!O75</f>
        <v>2.3900000000000002E-5</v>
      </c>
      <c r="P75" s="188">
        <f>opex_orig!P75</f>
        <v>4.4400000000000002E-5</v>
      </c>
      <c r="Q75" s="188">
        <f>opex_orig!Q75</f>
        <v>2.0000000000000002E-5</v>
      </c>
      <c r="R75" s="188">
        <f>opex_orig!R75</f>
        <v>1.9000000000000001E-5</v>
      </c>
      <c r="S75" s="188">
        <f>opex_orig!S75</f>
        <v>6.41E-5</v>
      </c>
      <c r="T75" s="188">
        <f>opex_orig!T75</f>
        <v>1.56057E-4</v>
      </c>
      <c r="U75" s="188">
        <f>opex_orig!U75</f>
        <v>8.1899999999999999E-5</v>
      </c>
      <c r="V75" s="188">
        <f>opex_orig!V75</f>
        <v>4.2500000000000003E-5</v>
      </c>
      <c r="W75" s="188">
        <f>opex_orig!W75</f>
        <v>5.4700000000000001E-5</v>
      </c>
      <c r="X75" s="188">
        <f>opex_orig!X75</f>
        <v>1.8700000000000001E-5</v>
      </c>
      <c r="Y75" s="188">
        <f>opex_orig!Y75</f>
        <v>1.3499999999999999E-5</v>
      </c>
      <c r="Z75" s="188">
        <f>opex_orig!Z75</f>
        <v>1.2746599999999999E-4</v>
      </c>
      <c r="AA75" s="188">
        <f>opex_orig!AA75</f>
        <v>5.7899999999999998E-5</v>
      </c>
      <c r="AB75" s="188">
        <f>opex_orig!$AB75</f>
        <v>7.9378699999555104E-5</v>
      </c>
      <c r="AC75" s="188">
        <f>opex_orig!$AB75</f>
        <v>7.9378699999555104E-5</v>
      </c>
      <c r="AD75" s="188">
        <f>opex_orig!$AB75</f>
        <v>7.9378699999555104E-5</v>
      </c>
      <c r="AE75" s="188">
        <f>opex_orig!$AC75</f>
        <v>1.3264968348479099E-4</v>
      </c>
      <c r="AF75" s="188">
        <f>opex_orig!$AD75</f>
        <v>4.2160929128266E-5</v>
      </c>
      <c r="AG75" s="188">
        <f>opex_orig!$AD75</f>
        <v>4.2160929128266E-5</v>
      </c>
      <c r="AH75" s="188">
        <f>opex_orig!$AD75</f>
        <v>4.2160929128266E-5</v>
      </c>
      <c r="AI75" s="188">
        <f>opex_orig!AE75</f>
        <v>3.3300000000000003E-5</v>
      </c>
      <c r="AJ75" s="188">
        <f>opex_orig!AF75</f>
        <v>3.3915799999999999E-4</v>
      </c>
      <c r="AK75" s="188">
        <f>opex_orig!AG75</f>
        <v>9.2399999999999996E-5</v>
      </c>
      <c r="AL75" s="188">
        <f>opex_orig!AH75</f>
        <v>5.4299999999999998E-5</v>
      </c>
      <c r="AM75" s="188">
        <f>opex_orig!AI75</f>
        <v>5.4599999999999999E-5</v>
      </c>
      <c r="AN75" s="188">
        <f>opex_orig!AJ75</f>
        <v>5.2599999999999998E-5</v>
      </c>
      <c r="AO75" s="188">
        <f>opex_orig!AK75</f>
        <v>6.5199999999999999E-5</v>
      </c>
      <c r="AP75" s="188">
        <f>opex_orig!$AL75</f>
        <v>3.8111883365890102E-5</v>
      </c>
      <c r="AQ75" s="188">
        <f>opex_orig!$AL75</f>
        <v>3.8111883365890102E-5</v>
      </c>
      <c r="AR75" s="188">
        <f>opex_orig!$AL75</f>
        <v>3.8111883365890102E-5</v>
      </c>
      <c r="AS75" s="188">
        <f>opex_orig!$AM75</f>
        <v>4.6658506987569601E-5</v>
      </c>
      <c r="AT75" s="188">
        <f>opex_orig!AN75</f>
        <v>7.1099999999999994E-5</v>
      </c>
      <c r="AU75" s="188">
        <f>opex_orig!$AO75</f>
        <v>1.4137271464666399E-4</v>
      </c>
      <c r="AV75" s="188">
        <f>opex_orig!$AO75</f>
        <v>1.4137271464666399E-4</v>
      </c>
      <c r="AW75" s="188">
        <f>opex_orig!$AO75</f>
        <v>1.4137271464666399E-4</v>
      </c>
      <c r="AX75" s="188">
        <f>opex_orig!$AP75</f>
        <v>1.37746433714706E-4</v>
      </c>
      <c r="AY75" s="188">
        <f>opex_orig!AQ75</f>
        <v>0.17711449900000001</v>
      </c>
      <c r="AZ75" s="188">
        <f>opex_orig!AR75</f>
        <v>0</v>
      </c>
      <c r="BA75" s="188">
        <f>opex_orig!AS75</f>
        <v>1.49433E-4</v>
      </c>
      <c r="BB75" s="188">
        <f>opex_orig!AT75</f>
        <v>1.09885E-4</v>
      </c>
      <c r="BC75" s="188">
        <f>opex_orig!AU75</f>
        <v>3.7499999999999997E-5</v>
      </c>
      <c r="BD75" s="188">
        <f>opex_orig!AV75</f>
        <v>2.8900000000000001E-5</v>
      </c>
      <c r="BE75" s="188">
        <f>opex_orig!AW75</f>
        <v>1.02692E-4</v>
      </c>
      <c r="BF75" s="188">
        <f>opex_orig!AX75</f>
        <v>0</v>
      </c>
      <c r="BG75" s="188">
        <f>opex_orig!AY75</f>
        <v>1.56809E-4</v>
      </c>
      <c r="BH75" s="188">
        <f>opex_orig!AZ75</f>
        <v>0</v>
      </c>
      <c r="BI75" s="188">
        <f>opex_orig!BA75</f>
        <v>2.8521689999999999E-2</v>
      </c>
      <c r="BJ75" s="188">
        <f>opex_orig!BB75</f>
        <v>3.7446700000000002E-4</v>
      </c>
      <c r="BK75" s="188">
        <f>opex_orig!BC75</f>
        <v>4.8566599999999999E-4</v>
      </c>
      <c r="BL75" s="188">
        <f>opex_orig!BD75</f>
        <v>3.2400000000000001E-5</v>
      </c>
      <c r="BM75" s="188">
        <f>opex_orig!BE75</f>
        <v>2.3217499999999999E-4</v>
      </c>
      <c r="BN75" s="188">
        <f>opex_orig!BF75</f>
        <v>3.1900000000000003E-5</v>
      </c>
      <c r="BO75" s="188">
        <f>opex_orig!BG75</f>
        <v>6.1727500000000003E-4</v>
      </c>
      <c r="BP75" s="188">
        <f>opex_orig!$BH75</f>
        <v>5.85338013947898E-5</v>
      </c>
      <c r="BQ75" s="188">
        <f>opex_orig!$BH75</f>
        <v>5.85338013947898E-5</v>
      </c>
      <c r="BR75" s="188">
        <f>opex_orig!BI75</f>
        <v>1.8202100000000001E-4</v>
      </c>
      <c r="BS75" s="188">
        <f>opex_orig!BJ75</f>
        <v>3.4224540000000001E-3</v>
      </c>
      <c r="BT75" s="188">
        <f>opex_orig!BK75</f>
        <v>3.0333249999999999E-3</v>
      </c>
      <c r="BU75" s="188">
        <f>opex_orig!BL75</f>
        <v>0</v>
      </c>
      <c r="BV75" s="27">
        <f>opex_orig!BM75</f>
        <v>1.11174648293529E-4</v>
      </c>
      <c r="BW75" s="27">
        <f>opex_orig!BN75</f>
        <v>2.2449300693183101E-4</v>
      </c>
      <c r="BX75" s="27">
        <f>opex_orig!BO75</f>
        <v>1.46862184936399E-5</v>
      </c>
      <c r="BY75" s="27">
        <f>opex_orig!BP75</f>
        <v>4.8980379473657597E-5</v>
      </c>
      <c r="BZ75" s="27">
        <f>opex_orig!BQ75</f>
        <v>6.5432675878094505E-5</v>
      </c>
      <c r="CA75" s="27">
        <f>opex_orig!BR75</f>
        <v>1.4883156345243201E-5</v>
      </c>
      <c r="CB75" s="27">
        <f>opex_orig!BS75</f>
        <v>2.23083075881263E-4</v>
      </c>
      <c r="CC75" s="27">
        <f>opex_orig!BT75</f>
        <v>1.8879571229497399E-5</v>
      </c>
      <c r="CD75" s="27">
        <f>opex_orig!BU75</f>
        <v>3.89755449213673E-6</v>
      </c>
      <c r="CE75" s="27">
        <f>opex_orig!BV75</f>
        <v>3.8975544921367402E-6</v>
      </c>
      <c r="CF75" s="27">
        <f>opex_orig!BW75</f>
        <v>3.0121470694630501E-5</v>
      </c>
      <c r="CG75" s="27">
        <f>opex_orig!BX75</f>
        <v>4.7132545535384597E-6</v>
      </c>
      <c r="CH75" s="27">
        <f>opex_orig!BY75</f>
        <v>2.3819706953741099E-5</v>
      </c>
      <c r="CI75" s="27">
        <f>opex_orig!BZ75</f>
        <v>8.6100000000000006E-5</v>
      </c>
      <c r="CJ75" s="27">
        <f>opex_orig!CA75</f>
        <v>2.0100000000000001E-5</v>
      </c>
      <c r="CK75" s="27">
        <f>opex_orig!CB75</f>
        <v>1.77E-5</v>
      </c>
      <c r="CL75" s="27">
        <f>opex_orig!CC75</f>
        <v>7.0599999999999995E-5</v>
      </c>
      <c r="CM75" s="27">
        <f>opex_orig!CD75</f>
        <v>1.31741E-4</v>
      </c>
      <c r="CN75" s="27">
        <f>opex_orig!CE75</f>
        <v>3.1999999999999999E-5</v>
      </c>
      <c r="CO75" s="27">
        <f>opex_orig!CF75</f>
        <v>3.9400000000000002E-5</v>
      </c>
      <c r="CP75" s="27">
        <f>opex_orig!CG75</f>
        <v>2.9499999999999999E-5</v>
      </c>
    </row>
    <row r="76" spans="1:94" x14ac:dyDescent="0.25">
      <c r="A76" s="5" t="s">
        <v>171</v>
      </c>
      <c r="B76" s="2" t="s">
        <v>170</v>
      </c>
      <c r="C76" s="1" t="s">
        <v>329</v>
      </c>
      <c r="D76" s="188">
        <f>opex_orig!D76</f>
        <v>6.96E-9</v>
      </c>
      <c r="E76" s="188">
        <f>opex_orig!E76</f>
        <v>1.7800000000000001E-9</v>
      </c>
      <c r="F76" s="188">
        <f>opex_orig!F76</f>
        <v>4.5299999999999999E-9</v>
      </c>
      <c r="G76" s="188">
        <f>opex_orig!G76</f>
        <v>1.8400000000000001E-10</v>
      </c>
      <c r="H76" s="188">
        <f>opex_orig!H76</f>
        <v>3.58E-10</v>
      </c>
      <c r="I76" s="188">
        <f>opex_orig!I76</f>
        <v>3.46E-9</v>
      </c>
      <c r="J76" s="188">
        <f>opex_orig!J76</f>
        <v>1.5400000000000001E-9</v>
      </c>
      <c r="K76" s="188">
        <f>opex_orig!K76</f>
        <v>4.64E-10</v>
      </c>
      <c r="L76" s="188">
        <f>opex_orig!L76</f>
        <v>3.5699999999999999E-9</v>
      </c>
      <c r="M76" s="188">
        <f>opex_orig!M76</f>
        <v>1.04E-8</v>
      </c>
      <c r="N76" s="188">
        <f>opex_orig!N76</f>
        <v>7.7900000000000006E-9</v>
      </c>
      <c r="O76" s="188">
        <f>opex_orig!O76</f>
        <v>2.0799999999999998E-9</v>
      </c>
      <c r="P76" s="188">
        <f>opex_orig!P76</f>
        <v>2.4599999999999999E-8</v>
      </c>
      <c r="Q76" s="188">
        <f>opex_orig!Q76</f>
        <v>3.3000000000000002E-9</v>
      </c>
      <c r="R76" s="188">
        <f>opex_orig!R76</f>
        <v>1.8299999999999998E-8</v>
      </c>
      <c r="S76" s="188">
        <f>opex_orig!S76</f>
        <v>1.13E-8</v>
      </c>
      <c r="T76" s="188">
        <f>opex_orig!T76</f>
        <v>1.2100000000000001E-8</v>
      </c>
      <c r="U76" s="188">
        <f>opex_orig!U76</f>
        <v>9.4899999999999993E-9</v>
      </c>
      <c r="V76" s="188">
        <f>opex_orig!V76</f>
        <v>1.03E-8</v>
      </c>
      <c r="W76" s="188">
        <f>opex_orig!W76</f>
        <v>1.55E-8</v>
      </c>
      <c r="X76" s="188">
        <f>opex_orig!X76</f>
        <v>1.1700000000000001E-9</v>
      </c>
      <c r="Y76" s="188">
        <f>opex_orig!Y76</f>
        <v>4.0499999999999999E-9</v>
      </c>
      <c r="Z76" s="188">
        <f>opex_orig!Z76</f>
        <v>8.7299999999999994E-9</v>
      </c>
      <c r="AA76" s="188">
        <f>opex_orig!AA76</f>
        <v>2.5200000000000001E-8</v>
      </c>
      <c r="AB76" s="188">
        <f>opex_orig!$AB76</f>
        <v>4.1058205390244502E-9</v>
      </c>
      <c r="AC76" s="188">
        <f>opex_orig!$AB76</f>
        <v>4.1058205390244502E-9</v>
      </c>
      <c r="AD76" s="188">
        <f>opex_orig!$AB76</f>
        <v>4.1058205390244502E-9</v>
      </c>
      <c r="AE76" s="188">
        <f>opex_orig!$AC76</f>
        <v>6.2561078037399999E-9</v>
      </c>
      <c r="AF76" s="188">
        <f>opex_orig!$AD76</f>
        <v>1.0163879830782401E-9</v>
      </c>
      <c r="AG76" s="188">
        <f>opex_orig!$AD76</f>
        <v>1.0163879830782401E-9</v>
      </c>
      <c r="AH76" s="188">
        <f>opex_orig!$AD76</f>
        <v>1.0163879830782401E-9</v>
      </c>
      <c r="AI76" s="188">
        <f>opex_orig!AE76</f>
        <v>9.4800000000000004E-10</v>
      </c>
      <c r="AJ76" s="188">
        <f>opex_orig!AF76</f>
        <v>5.5199999999999997E-7</v>
      </c>
      <c r="AK76" s="188">
        <f>opex_orig!AG76</f>
        <v>1.5900000000000001E-7</v>
      </c>
      <c r="AL76" s="188">
        <f>opex_orig!AH76</f>
        <v>1.24E-8</v>
      </c>
      <c r="AM76" s="188">
        <f>opex_orig!AI76</f>
        <v>1.7100000000000001E-8</v>
      </c>
      <c r="AN76" s="188">
        <f>opex_orig!AJ76</f>
        <v>1.1700000000000001E-8</v>
      </c>
      <c r="AO76" s="188">
        <f>opex_orig!AK76</f>
        <v>1.7900000000000001E-8</v>
      </c>
      <c r="AP76" s="188">
        <f>opex_orig!$AL76</f>
        <v>1.11923180324565E-8</v>
      </c>
      <c r="AQ76" s="188">
        <f>opex_orig!$AL76</f>
        <v>1.11923180324565E-8</v>
      </c>
      <c r="AR76" s="188">
        <f>opex_orig!$AL76</f>
        <v>1.11923180324565E-8</v>
      </c>
      <c r="AS76" s="188">
        <f>opex_orig!$AM76</f>
        <v>1.02703159432469E-8</v>
      </c>
      <c r="AT76" s="188">
        <f>opex_orig!AN76</f>
        <v>2.4E-8</v>
      </c>
      <c r="AU76" s="188">
        <f>opex_orig!$AO76</f>
        <v>1.2819430444289101E-7</v>
      </c>
      <c r="AV76" s="188">
        <f>opex_orig!$AO76</f>
        <v>1.2819430444289101E-7</v>
      </c>
      <c r="AW76" s="188">
        <f>opex_orig!$AO76</f>
        <v>1.2819430444289101E-7</v>
      </c>
      <c r="AX76" s="188">
        <f>opex_orig!$AP76</f>
        <v>1.4335559861317099E-7</v>
      </c>
      <c r="AY76" s="188">
        <f>opex_orig!AQ76</f>
        <v>6.8700000000000003E-5</v>
      </c>
      <c r="AZ76" s="188">
        <f>opex_orig!AR76</f>
        <v>0</v>
      </c>
      <c r="BA76" s="188">
        <f>opex_orig!AS76</f>
        <v>7.6799999999999999E-8</v>
      </c>
      <c r="BB76" s="188">
        <f>opex_orig!AT76</f>
        <v>6.87E-8</v>
      </c>
      <c r="BC76" s="188">
        <f>opex_orig!AU76</f>
        <v>7.1099999999999996E-9</v>
      </c>
      <c r="BD76" s="188">
        <f>opex_orig!AV76</f>
        <v>5.2199999999999998E-9</v>
      </c>
      <c r="BE76" s="188">
        <f>opex_orig!AW76</f>
        <v>3.1E-7</v>
      </c>
      <c r="BF76" s="188">
        <f>opex_orig!AX76</f>
        <v>0</v>
      </c>
      <c r="BG76" s="188">
        <f>opex_orig!AY76</f>
        <v>2.9399999999999999E-8</v>
      </c>
      <c r="BH76" s="188">
        <f>opex_orig!AZ76</f>
        <v>0</v>
      </c>
      <c r="BI76" s="188">
        <f>opex_orig!BA76</f>
        <v>1.1800000000000001E-5</v>
      </c>
      <c r="BJ76" s="188">
        <f>opex_orig!BB76</f>
        <v>1.98E-7</v>
      </c>
      <c r="BK76" s="188">
        <f>opex_orig!BC76</f>
        <v>2.9999999999999999E-7</v>
      </c>
      <c r="BL76" s="188">
        <f>opex_orig!BD76</f>
        <v>9.8000000000000004E-8</v>
      </c>
      <c r="BM76" s="188">
        <f>opex_orig!BE76</f>
        <v>2.34E-7</v>
      </c>
      <c r="BN76" s="188">
        <f>opex_orig!BF76</f>
        <v>1.7999999999999999E-8</v>
      </c>
      <c r="BO76" s="188">
        <f>opex_orig!BG76</f>
        <v>2.84E-7</v>
      </c>
      <c r="BP76" s="188">
        <f>opex_orig!$BH76</f>
        <v>6.8361550023615102E-8</v>
      </c>
      <c r="BQ76" s="188">
        <f>opex_orig!$BH76</f>
        <v>6.8361550023615102E-8</v>
      </c>
      <c r="BR76" s="188">
        <f>opex_orig!BI76</f>
        <v>1.1000000000000001E-7</v>
      </c>
      <c r="BS76" s="188">
        <f>opex_orig!BJ76</f>
        <v>1.42E-6</v>
      </c>
      <c r="BT76" s="188">
        <f>opex_orig!BK76</f>
        <v>1.33E-6</v>
      </c>
      <c r="BU76" s="188">
        <f>opex_orig!BL76</f>
        <v>0</v>
      </c>
      <c r="BV76" s="27">
        <f>opex_orig!BM76</f>
        <v>2.07859513478479E-8</v>
      </c>
      <c r="BW76" s="27">
        <f>opex_orig!BN76</f>
        <v>8.8969252311283994E-8</v>
      </c>
      <c r="BX76" s="27">
        <f>opex_orig!BO76</f>
        <v>6.0681300395174001E-9</v>
      </c>
      <c r="BY76" s="27">
        <f>opex_orig!BP76</f>
        <v>5.6311606193216504E-9</v>
      </c>
      <c r="BZ76" s="27">
        <f>opex_orig!BQ76</f>
        <v>4.9508541018179401E-9</v>
      </c>
      <c r="CA76" s="27">
        <f>opex_orig!BR76</f>
        <v>2.1920086720617099E-8</v>
      </c>
      <c r="CB76" s="27">
        <f>opex_orig!BS76</f>
        <v>4.2737167297405098E-8</v>
      </c>
      <c r="CC76" s="27">
        <f>opex_orig!BT76</f>
        <v>1.9273581136442601E-8</v>
      </c>
      <c r="CD76" s="27">
        <f>opex_orig!BU76</f>
        <v>6.1553884813391E-9</v>
      </c>
      <c r="CE76" s="27">
        <f>opex_orig!BV76</f>
        <v>6.1553884813391099E-9</v>
      </c>
      <c r="CF76" s="27">
        <f>opex_orig!BW76</f>
        <v>5.8057426845275601E-9</v>
      </c>
      <c r="CG76" s="27">
        <f>opex_orig!BX76</f>
        <v>7.8476683035078202E-9</v>
      </c>
      <c r="CH76" s="27">
        <f>opex_orig!BY76</f>
        <v>4.1362687779706201E-10</v>
      </c>
      <c r="CI76" s="27">
        <f>opex_orig!BZ76</f>
        <v>2.1200000000000001E-8</v>
      </c>
      <c r="CJ76" s="27">
        <f>opex_orig!CA76</f>
        <v>8.5199999999999995E-9</v>
      </c>
      <c r="CK76" s="27">
        <f>opex_orig!CB76</f>
        <v>1.0999999999999999E-8</v>
      </c>
      <c r="CL76" s="27">
        <f>opex_orig!CC76</f>
        <v>1.1900000000000001E-8</v>
      </c>
      <c r="CM76" s="27">
        <f>opex_orig!CD76</f>
        <v>1.2100000000000001E-7</v>
      </c>
      <c r="CN76" s="27">
        <f>opex_orig!CE76</f>
        <v>1.67E-9</v>
      </c>
      <c r="CO76" s="27">
        <f>opex_orig!CF76</f>
        <v>2.3899999999999999E-8</v>
      </c>
      <c r="CP76" s="27">
        <f>opex_orig!CG76</f>
        <v>3.9E-10</v>
      </c>
    </row>
    <row r="77" spans="1:94" x14ac:dyDescent="0.25">
      <c r="A77" s="5" t="s">
        <v>173</v>
      </c>
      <c r="B77" s="2" t="s">
        <v>172</v>
      </c>
      <c r="C77" s="1" t="s">
        <v>329</v>
      </c>
      <c r="D77" s="188">
        <f>opex_orig!D77</f>
        <v>6.7399999999999998E-5</v>
      </c>
      <c r="E77" s="188">
        <f>opex_orig!E77</f>
        <v>6.41E-5</v>
      </c>
      <c r="F77" s="188">
        <f>opex_orig!F77</f>
        <v>3.9700000000000003E-5</v>
      </c>
      <c r="G77" s="188">
        <f>opex_orig!G77</f>
        <v>6.1600000000000003E-6</v>
      </c>
      <c r="H77" s="188">
        <f>opex_orig!H77</f>
        <v>1.08E-5</v>
      </c>
      <c r="I77" s="188">
        <f>opex_orig!I77</f>
        <v>1.44912E-4</v>
      </c>
      <c r="J77" s="188">
        <f>opex_orig!J77</f>
        <v>1.1421600000000001E-4</v>
      </c>
      <c r="K77" s="188">
        <f>opex_orig!K77</f>
        <v>1.5699999999999999E-5</v>
      </c>
      <c r="L77" s="188">
        <f>opex_orig!L77</f>
        <v>1.9137200000000001E-4</v>
      </c>
      <c r="M77" s="188">
        <f>opex_orig!M77</f>
        <v>5.8238699999999997E-4</v>
      </c>
      <c r="N77" s="188">
        <f>opex_orig!N77</f>
        <v>2.8387900000000001E-4</v>
      </c>
      <c r="O77" s="188">
        <f>opex_orig!O77</f>
        <v>2.0083829999999999E-3</v>
      </c>
      <c r="P77" s="188">
        <f>opex_orig!P77</f>
        <v>1.1548399999999999E-4</v>
      </c>
      <c r="Q77" s="188">
        <f>opex_orig!Q77</f>
        <v>6.3800000000000006E-5</v>
      </c>
      <c r="R77" s="188">
        <f>opex_orig!R77</f>
        <v>5.1100000000000002E-5</v>
      </c>
      <c r="S77" s="188">
        <f>opex_orig!S77</f>
        <v>1.49359E-4</v>
      </c>
      <c r="T77" s="188">
        <f>opex_orig!T77</f>
        <v>2.7839100000000001E-4</v>
      </c>
      <c r="U77" s="188">
        <f>opex_orig!U77</f>
        <v>1.9020500000000001E-4</v>
      </c>
      <c r="V77" s="188">
        <f>opex_orig!V77</f>
        <v>1.3852999999999999E-4</v>
      </c>
      <c r="W77" s="188">
        <f>opex_orig!W77</f>
        <v>3.1268399999999998E-4</v>
      </c>
      <c r="X77" s="188">
        <f>opex_orig!X77</f>
        <v>1.19824E-4</v>
      </c>
      <c r="Y77" s="188">
        <f>opex_orig!Y77</f>
        <v>4.8600000000000002E-5</v>
      </c>
      <c r="Z77" s="188">
        <f>opex_orig!Z77</f>
        <v>2.2031899999999999E-4</v>
      </c>
      <c r="AA77" s="188">
        <f>opex_orig!AA77</f>
        <v>2.1609099999999999E-4</v>
      </c>
      <c r="AB77" s="188">
        <f>opex_orig!$AB77</f>
        <v>7.1840442553387006E-5</v>
      </c>
      <c r="AC77" s="188">
        <f>opex_orig!$AB77</f>
        <v>7.1840442553387006E-5</v>
      </c>
      <c r="AD77" s="188">
        <f>opex_orig!$AB77</f>
        <v>7.1840442553387006E-5</v>
      </c>
      <c r="AE77" s="188">
        <f>opex_orig!$AC77</f>
        <v>1.9555467397853901E-4</v>
      </c>
      <c r="AF77" s="188">
        <f>opex_orig!$AD77</f>
        <v>1.0976584279770699E-4</v>
      </c>
      <c r="AG77" s="188">
        <f>opex_orig!$AD77</f>
        <v>1.0976584279770699E-4</v>
      </c>
      <c r="AH77" s="188">
        <f>opex_orig!$AD77</f>
        <v>1.0976584279770699E-4</v>
      </c>
      <c r="AI77" s="188">
        <f>opex_orig!AE77</f>
        <v>9.8999999999999994E-5</v>
      </c>
      <c r="AJ77" s="188">
        <f>opex_orig!AF77</f>
        <v>1.006552E-3</v>
      </c>
      <c r="AK77" s="188">
        <f>opex_orig!AG77</f>
        <v>7.5382499999999996E-4</v>
      </c>
      <c r="AL77" s="188">
        <f>opex_orig!AH77</f>
        <v>5.2459000000000002E-4</v>
      </c>
      <c r="AM77" s="188">
        <f>opex_orig!AI77</f>
        <v>9.7577099999999995E-4</v>
      </c>
      <c r="AN77" s="188">
        <f>opex_orig!AJ77</f>
        <v>3.4863299999999999E-4</v>
      </c>
      <c r="AO77" s="188">
        <f>opex_orig!AK77</f>
        <v>8.3686299999999997E-4</v>
      </c>
      <c r="AP77" s="188">
        <f>opex_orig!$AL77</f>
        <v>1.89002458218134E-4</v>
      </c>
      <c r="AQ77" s="188">
        <f>opex_orig!$AL77</f>
        <v>1.89002458218134E-4</v>
      </c>
      <c r="AR77" s="188">
        <f>opex_orig!$AL77</f>
        <v>1.89002458218134E-4</v>
      </c>
      <c r="AS77" s="188">
        <f>opex_orig!$AM77</f>
        <v>1.6634010706843001E-4</v>
      </c>
      <c r="AT77" s="188">
        <f>opex_orig!AN77</f>
        <v>5.9740900000000003E-4</v>
      </c>
      <c r="AU77" s="188">
        <f>opex_orig!$AO77</f>
        <v>4.3544202078188102E-3</v>
      </c>
      <c r="AV77" s="188">
        <f>opex_orig!$AO77</f>
        <v>4.3544202078188102E-3</v>
      </c>
      <c r="AW77" s="188">
        <f>opex_orig!$AO77</f>
        <v>4.3544202078188102E-3</v>
      </c>
      <c r="AX77" s="188">
        <f>opex_orig!$AP77</f>
        <v>5.05462976425385E-3</v>
      </c>
      <c r="AY77" s="188">
        <f>opex_orig!AQ77</f>
        <v>3.45597E-3</v>
      </c>
      <c r="AZ77" s="188">
        <f>opex_orig!AR77</f>
        <v>0</v>
      </c>
      <c r="BA77" s="188">
        <f>opex_orig!AS77</f>
        <v>8.2638920000000005E-2</v>
      </c>
      <c r="BB77" s="188">
        <f>opex_orig!AT77</f>
        <v>9.7851641000000003E-2</v>
      </c>
      <c r="BC77" s="188">
        <f>opex_orig!AU77</f>
        <v>7.4512099999999996E-4</v>
      </c>
      <c r="BD77" s="188">
        <f>opex_orig!AV77</f>
        <v>4.8771099999999999E-4</v>
      </c>
      <c r="BE77" s="188">
        <f>opex_orig!AW77</f>
        <v>1.149415E-3</v>
      </c>
      <c r="BF77" s="188">
        <f>opex_orig!AX77</f>
        <v>0</v>
      </c>
      <c r="BG77" s="188">
        <f>opex_orig!AY77</f>
        <v>1.346014E-3</v>
      </c>
      <c r="BH77" s="188">
        <f>opex_orig!AZ77</f>
        <v>0</v>
      </c>
      <c r="BI77" s="188">
        <f>opex_orig!BA77</f>
        <v>4.1056751000000002E-2</v>
      </c>
      <c r="BJ77" s="188">
        <f>opex_orig!BB77</f>
        <v>8.7278760000000007E-3</v>
      </c>
      <c r="BK77" s="188">
        <f>opex_orig!BC77</f>
        <v>1.6092460999999999E-2</v>
      </c>
      <c r="BL77" s="188">
        <f>opex_orig!BD77</f>
        <v>1.2283800000000001E-4</v>
      </c>
      <c r="BM77" s="188">
        <f>opex_orig!BE77</f>
        <v>8.0528600000000002E-3</v>
      </c>
      <c r="BN77" s="188">
        <f>opex_orig!BF77</f>
        <v>1.1304800000000001E-4</v>
      </c>
      <c r="BO77" s="188">
        <f>opex_orig!BG77</f>
        <v>3.4843740000000002E-3</v>
      </c>
      <c r="BP77" s="188">
        <f>opex_orig!$BH77</f>
        <v>1.7835398262608399E-3</v>
      </c>
      <c r="BQ77" s="188">
        <f>opex_orig!$BH77</f>
        <v>1.7835398262608399E-3</v>
      </c>
      <c r="BR77" s="188">
        <f>opex_orig!BI77</f>
        <v>4.7480839999999996E-3</v>
      </c>
      <c r="BS77" s="188">
        <f>opex_orig!BJ77</f>
        <v>1.2756293E-2</v>
      </c>
      <c r="BT77" s="188">
        <f>opex_orig!BK77</f>
        <v>3.3236101999999997E-2</v>
      </c>
      <c r="BU77" s="188">
        <f>opex_orig!BL77</f>
        <v>0</v>
      </c>
      <c r="BV77" s="27">
        <f>opex_orig!BM77</f>
        <v>1.4243791121795E-4</v>
      </c>
      <c r="BW77" s="27">
        <f>opex_orig!BN77</f>
        <v>2.3650074140173401E-4</v>
      </c>
      <c r="BX77" s="27">
        <f>opex_orig!BO77</f>
        <v>3.2622250174201403E-5</v>
      </c>
      <c r="BY77" s="27">
        <f>opex_orig!BP77</f>
        <v>3.8004313303021897E-5</v>
      </c>
      <c r="BZ77" s="27">
        <f>opex_orig!BQ77</f>
        <v>3.8154800832515903E-5</v>
      </c>
      <c r="CA77" s="27">
        <f>opex_orig!BR77</f>
        <v>8.5298501706019105E-5</v>
      </c>
      <c r="CB77" s="27">
        <f>opex_orig!BS77</f>
        <v>2.8541910461253399E-4</v>
      </c>
      <c r="CC77" s="27">
        <f>opex_orig!BT77</f>
        <v>7.3376846695518503E-5</v>
      </c>
      <c r="CD77" s="27">
        <f>opex_orig!BU77</f>
        <v>1.1898215258792599E-5</v>
      </c>
      <c r="CE77" s="27">
        <f>opex_orig!BV77</f>
        <v>1.1898215258792599E-5</v>
      </c>
      <c r="CF77" s="27">
        <f>opex_orig!BW77</f>
        <v>3.7439903108715102E-5</v>
      </c>
      <c r="CG77" s="27">
        <f>opex_orig!BX77</f>
        <v>1.84991610626626E-6</v>
      </c>
      <c r="CH77" s="27">
        <f>opex_orig!BY77</f>
        <v>9.6592753034695594E-6</v>
      </c>
      <c r="CI77" s="27">
        <f>opex_orig!BZ77</f>
        <v>9.5099999999999994E-5</v>
      </c>
      <c r="CJ77" s="27">
        <f>opex_orig!CA77</f>
        <v>1.00905E-4</v>
      </c>
      <c r="CK77" s="27">
        <f>opex_orig!CB77</f>
        <v>9.31E-5</v>
      </c>
      <c r="CL77" s="27">
        <f>opex_orig!CC77</f>
        <v>3.15285E-4</v>
      </c>
      <c r="CM77" s="27">
        <f>opex_orig!CD77</f>
        <v>2.1473799999999999E-4</v>
      </c>
      <c r="CN77" s="27">
        <f>opex_orig!CE77</f>
        <v>1.7646099999999999E-4</v>
      </c>
      <c r="CO77" s="27">
        <f>opex_orig!CF77</f>
        <v>2.26858E-4</v>
      </c>
      <c r="CP77" s="27">
        <f>opex_orig!CG77</f>
        <v>4.5200000000000001E-5</v>
      </c>
    </row>
    <row r="78" spans="1:94" x14ac:dyDescent="0.25">
      <c r="A78" s="5" t="s">
        <v>175</v>
      </c>
      <c r="B78" s="2" t="s">
        <v>174</v>
      </c>
      <c r="C78" s="1" t="s">
        <v>329</v>
      </c>
      <c r="D78" s="188">
        <f>opex_orig!D78</f>
        <v>1.0075E-4</v>
      </c>
      <c r="E78" s="188">
        <f>opex_orig!E78</f>
        <v>8.6899999999999998E-5</v>
      </c>
      <c r="F78" s="188">
        <f>opex_orig!F78</f>
        <v>5.52E-5</v>
      </c>
      <c r="G78" s="188">
        <f>opex_orig!G78</f>
        <v>8.4999999999999999E-6</v>
      </c>
      <c r="H78" s="188">
        <f>opex_orig!H78</f>
        <v>1.6500000000000001E-5</v>
      </c>
      <c r="I78" s="188">
        <f>opex_orig!I78</f>
        <v>1.97462E-4</v>
      </c>
      <c r="J78" s="188">
        <f>opex_orig!J78</f>
        <v>1.5677000000000001E-4</v>
      </c>
      <c r="K78" s="188">
        <f>opex_orig!K78</f>
        <v>2.4700000000000001E-5</v>
      </c>
      <c r="L78" s="188">
        <f>opex_orig!L78</f>
        <v>2.4319000000000001E-4</v>
      </c>
      <c r="M78" s="188">
        <f>opex_orig!M78</f>
        <v>7.4351699999999996E-4</v>
      </c>
      <c r="N78" s="188">
        <f>opex_orig!N78</f>
        <v>3.6689399999999999E-4</v>
      </c>
      <c r="O78" s="188">
        <f>opex_orig!O78</f>
        <v>2.5964859999999998E-3</v>
      </c>
      <c r="P78" s="188">
        <f>opex_orig!P78</f>
        <v>1.7580100000000001E-4</v>
      </c>
      <c r="Q78" s="188">
        <f>opex_orig!Q78</f>
        <v>9.5099999999999994E-5</v>
      </c>
      <c r="R78" s="188">
        <f>opex_orig!R78</f>
        <v>7.64E-5</v>
      </c>
      <c r="S78" s="188">
        <f>opex_orig!S78</f>
        <v>2.1938599999999999E-4</v>
      </c>
      <c r="T78" s="188">
        <f>opex_orig!T78</f>
        <v>3.3162900000000001E-4</v>
      </c>
      <c r="U78" s="188">
        <f>opex_orig!U78</f>
        <v>2.6411099999999998E-4</v>
      </c>
      <c r="V78" s="188">
        <f>opex_orig!V78</f>
        <v>2.14236E-4</v>
      </c>
      <c r="W78" s="188">
        <f>opex_orig!W78</f>
        <v>4.4176799999999999E-4</v>
      </c>
      <c r="X78" s="188">
        <f>opex_orig!X78</f>
        <v>1.61714E-4</v>
      </c>
      <c r="Y78" s="188">
        <f>opex_orig!Y78</f>
        <v>9.8400000000000007E-5</v>
      </c>
      <c r="Z78" s="188">
        <f>opex_orig!Z78</f>
        <v>3.21706E-4</v>
      </c>
      <c r="AA78" s="188">
        <f>opex_orig!AA78</f>
        <v>4.2290699999999998E-4</v>
      </c>
      <c r="AB78" s="188">
        <f>opex_orig!$AB78</f>
        <v>4.6883454352378798E-5</v>
      </c>
      <c r="AC78" s="188">
        <f>opex_orig!$AB78</f>
        <v>4.6883454352378798E-5</v>
      </c>
      <c r="AD78" s="188">
        <f>opex_orig!$AB78</f>
        <v>4.6883454352378798E-5</v>
      </c>
      <c r="AE78" s="188">
        <f>opex_orig!$AC78</f>
        <v>2.1837761203076801E-4</v>
      </c>
      <c r="AF78" s="188">
        <f>opex_orig!$AD78</f>
        <v>1.06994863769973E-4</v>
      </c>
      <c r="AG78" s="188">
        <f>opex_orig!$AD78</f>
        <v>1.06994863769973E-4</v>
      </c>
      <c r="AH78" s="188">
        <f>opex_orig!$AD78</f>
        <v>1.06994863769973E-4</v>
      </c>
      <c r="AI78" s="188">
        <f>opex_orig!AE78</f>
        <v>8.9800000000000001E-5</v>
      </c>
      <c r="AJ78" s="188">
        <f>opex_orig!AF78</f>
        <v>1.352041E-3</v>
      </c>
      <c r="AK78" s="188">
        <f>opex_orig!AG78</f>
        <v>1.08599E-3</v>
      </c>
      <c r="AL78" s="188">
        <f>opex_orig!AH78</f>
        <v>6.6395699999999996E-4</v>
      </c>
      <c r="AM78" s="188">
        <f>opex_orig!AI78</f>
        <v>1.263243E-3</v>
      </c>
      <c r="AN78" s="188">
        <f>opex_orig!AJ78</f>
        <v>4.17145E-4</v>
      </c>
      <c r="AO78" s="188">
        <f>opex_orig!AK78</f>
        <v>1.04608E-3</v>
      </c>
      <c r="AP78" s="188">
        <f>opex_orig!$AL78</f>
        <v>2.6319321876983802E-4</v>
      </c>
      <c r="AQ78" s="188">
        <f>opex_orig!$AL78</f>
        <v>2.6319321876983802E-4</v>
      </c>
      <c r="AR78" s="188">
        <f>opex_orig!$AL78</f>
        <v>2.6319321876983802E-4</v>
      </c>
      <c r="AS78" s="188">
        <f>opex_orig!$AM78</f>
        <v>2.2733316540903299E-4</v>
      </c>
      <c r="AT78" s="188">
        <f>opex_orig!AN78</f>
        <v>8.0525799999999999E-4</v>
      </c>
      <c r="AU78" s="310">
        <f>opex_concordance!M593</f>
        <v>5.7449224905340296E-3</v>
      </c>
      <c r="AV78" s="310">
        <f>opex_concordance!M639</f>
        <v>0</v>
      </c>
      <c r="AW78" s="310">
        <f>opex_concordance!M685</f>
        <v>4.7620373509525034E-3</v>
      </c>
      <c r="AX78" s="188">
        <f>opex_orig!$AP78</f>
        <v>6.6715844984741304E-3</v>
      </c>
      <c r="AY78" s="188">
        <f>opex_orig!AQ78</f>
        <v>4.6338309999999997E-3</v>
      </c>
      <c r="AZ78" s="188">
        <f>opex_orig!AR78</f>
        <v>0</v>
      </c>
      <c r="BA78" s="188">
        <f>opex_orig!AS78</f>
        <v>0.10497445499999999</v>
      </c>
      <c r="BB78" s="188">
        <f>opex_orig!AT78</f>
        <v>0.124098192</v>
      </c>
      <c r="BC78" s="188">
        <f>opex_orig!AU78</f>
        <v>9.1090699999999997E-4</v>
      </c>
      <c r="BD78" s="188">
        <f>opex_orig!AV78</f>
        <v>5.8687699999999997E-4</v>
      </c>
      <c r="BE78" s="188">
        <f>opex_orig!AW78</f>
        <v>1.5427240000000001E-3</v>
      </c>
      <c r="BF78" s="188">
        <f>opex_orig!AX78</f>
        <v>0</v>
      </c>
      <c r="BG78" s="188">
        <f>opex_orig!AY78</f>
        <v>1.6803650000000001E-3</v>
      </c>
      <c r="BH78" s="188">
        <f>opex_orig!AZ78</f>
        <v>0</v>
      </c>
      <c r="BI78" s="188">
        <f>opex_orig!BA78</f>
        <v>5.2435713000000002E-2</v>
      </c>
      <c r="BJ78" s="188">
        <f>opex_orig!BB78</f>
        <v>1.1848195000000001E-2</v>
      </c>
      <c r="BK78" s="188">
        <f>opex_orig!BC78</f>
        <v>2.0836396E-2</v>
      </c>
      <c r="BL78" s="188">
        <f>opex_orig!BD78</f>
        <v>1.7822199999999999E-4</v>
      </c>
      <c r="BM78" s="188">
        <f>opex_orig!BE78</f>
        <v>1.032428E-2</v>
      </c>
      <c r="BN78" s="188">
        <f>opex_orig!BF78</f>
        <v>1.7012900000000001E-4</v>
      </c>
      <c r="BO78" s="188">
        <f>opex_orig!BG78</f>
        <v>4.5390589999999998E-3</v>
      </c>
      <c r="BP78" s="188">
        <f>opex_orig!$BH78</f>
        <v>2.3332228366655999E-3</v>
      </c>
      <c r="BQ78" s="188">
        <f>opex_orig!$BH78</f>
        <v>2.3332228366655999E-3</v>
      </c>
      <c r="BR78" s="188">
        <f>opex_orig!BI78</f>
        <v>6.1191550000000003E-3</v>
      </c>
      <c r="BS78" s="188">
        <f>opex_orig!BJ78</f>
        <v>1.6368809000000002E-2</v>
      </c>
      <c r="BT78" s="188">
        <f>opex_orig!BK78</f>
        <v>4.2205342999999999E-2</v>
      </c>
      <c r="BU78" s="188">
        <f>opex_orig!BL78</f>
        <v>0</v>
      </c>
      <c r="BV78" s="27">
        <f>opex_orig!BM78</f>
        <v>1.31076685045941E-4</v>
      </c>
      <c r="BW78" s="27">
        <f>opex_orig!BN78</f>
        <v>2.1543816985725899E-4</v>
      </c>
      <c r="BX78" s="27">
        <f>opex_orig!BO78</f>
        <v>3.4486779160754398E-5</v>
      </c>
      <c r="BY78" s="27">
        <f>opex_orig!BP78</f>
        <v>3.3406082484702003E-5</v>
      </c>
      <c r="BZ78" s="27">
        <f>opex_orig!BQ78</f>
        <v>3.60681710188841E-5</v>
      </c>
      <c r="CA78" s="27">
        <f>opex_orig!BR78</f>
        <v>1.10430995356662E-4</v>
      </c>
      <c r="CB78" s="27">
        <f>opex_orig!BS78</f>
        <v>2.5828479621855599E-4</v>
      </c>
      <c r="CC78" s="27">
        <f>opex_orig!BT78</f>
        <v>5.5545453700424797E-4</v>
      </c>
      <c r="CD78" s="27">
        <f>opex_orig!BU78</f>
        <v>2.21245850549177E-5</v>
      </c>
      <c r="CE78" s="27">
        <f>opex_orig!BV78</f>
        <v>2.2124585054917798E-5</v>
      </c>
      <c r="CF78" s="27">
        <f>opex_orig!BW78</f>
        <v>2.46168307462694E-5</v>
      </c>
      <c r="CG78" s="27">
        <f>opex_orig!BX78</f>
        <v>2.0570476699673501E-6</v>
      </c>
      <c r="CH78" s="27">
        <f>opex_orig!BY78</f>
        <v>8.0939602856385694E-6</v>
      </c>
      <c r="CI78" s="27">
        <f>opex_orig!BZ78</f>
        <v>8.5699999999999996E-5</v>
      </c>
      <c r="CJ78" s="27">
        <f>opex_orig!CA78</f>
        <v>2.0445000000000001E-4</v>
      </c>
      <c r="CK78" s="27">
        <f>opex_orig!CB78</f>
        <v>1.8194700000000001E-4</v>
      </c>
      <c r="CL78" s="27">
        <f>opex_orig!CC78</f>
        <v>7.1236499999999996E-4</v>
      </c>
      <c r="CM78" s="27">
        <f>opex_orig!CD78</f>
        <v>2.56242E-4</v>
      </c>
      <c r="CN78" s="27">
        <f>opex_orig!CE78</f>
        <v>1.21044E-4</v>
      </c>
      <c r="CO78" s="27">
        <f>opex_orig!CF78</f>
        <v>3.1449800000000002E-4</v>
      </c>
      <c r="CP78" s="27">
        <f>opex_orig!CG78</f>
        <v>5.8999999999999998E-5</v>
      </c>
    </row>
    <row r="79" spans="1:94" x14ac:dyDescent="0.25">
      <c r="A79" s="5" t="s">
        <v>177</v>
      </c>
      <c r="B79" s="2" t="s">
        <v>176</v>
      </c>
      <c r="C79" s="1" t="s">
        <v>329</v>
      </c>
      <c r="D79" s="188">
        <f>opex_orig!D79</f>
        <v>3.79E-5</v>
      </c>
      <c r="E79" s="188">
        <f>opex_orig!E79</f>
        <v>2.3099999999999999E-5</v>
      </c>
      <c r="F79" s="188">
        <f>opex_orig!F79</f>
        <v>2.16E-5</v>
      </c>
      <c r="G79" s="188">
        <f>opex_orig!G79</f>
        <v>3.3299999999999999E-6</v>
      </c>
      <c r="H79" s="188">
        <f>opex_orig!H79</f>
        <v>5.0000000000000004E-6</v>
      </c>
      <c r="I79" s="188">
        <f>opex_orig!I79</f>
        <v>4.32E-5</v>
      </c>
      <c r="J79" s="188">
        <f>opex_orig!J79</f>
        <v>7.1099999999999994E-5</v>
      </c>
      <c r="K79" s="188">
        <f>opex_orig!K79</f>
        <v>3.1199999999999999E-5</v>
      </c>
      <c r="L79" s="188">
        <f>opex_orig!L79</f>
        <v>3.3200000000000001E-5</v>
      </c>
      <c r="M79" s="188">
        <f>opex_orig!M79</f>
        <v>8.8599999999999999E-5</v>
      </c>
      <c r="N79" s="188">
        <f>opex_orig!N79</f>
        <v>8.7600000000000002E-5</v>
      </c>
      <c r="O79" s="188">
        <f>opex_orig!O79</f>
        <v>3.8699999999999999E-5</v>
      </c>
      <c r="P79" s="188">
        <f>opex_orig!P79</f>
        <v>7.5400000000000003E-5</v>
      </c>
      <c r="Q79" s="188">
        <f>opex_orig!Q79</f>
        <v>5.8900000000000002E-5</v>
      </c>
      <c r="R79" s="188">
        <f>opex_orig!R79</f>
        <v>2.8E-5</v>
      </c>
      <c r="S79" s="188">
        <f>opex_orig!S79</f>
        <v>1.01222E-4</v>
      </c>
      <c r="T79" s="188">
        <f>opex_orig!T79</f>
        <v>2.12625E-4</v>
      </c>
      <c r="U79" s="188">
        <f>opex_orig!U79</f>
        <v>1.3374799999999999E-4</v>
      </c>
      <c r="V79" s="188">
        <f>opex_orig!V79</f>
        <v>1.05803E-4</v>
      </c>
      <c r="W79" s="188">
        <f>opex_orig!W79</f>
        <v>1.04108E-4</v>
      </c>
      <c r="X79" s="188">
        <f>opex_orig!X79</f>
        <v>3.4400000000000003E-5</v>
      </c>
      <c r="Y79" s="188">
        <f>opex_orig!Y79</f>
        <v>4.1300000000000001E-5</v>
      </c>
      <c r="Z79" s="188">
        <f>opex_orig!Z79</f>
        <v>1.5356899999999999E-4</v>
      </c>
      <c r="AA79" s="188">
        <f>opex_orig!AA79</f>
        <v>1.5507499999999999E-4</v>
      </c>
      <c r="AB79" s="188">
        <f>opex_orig!$AB79</f>
        <v>6.6707824353124203E-4</v>
      </c>
      <c r="AC79" s="188">
        <f>opex_orig!$AB79</f>
        <v>6.6707824353124203E-4</v>
      </c>
      <c r="AD79" s="188">
        <f>opex_orig!$AB79</f>
        <v>6.6707824353124203E-4</v>
      </c>
      <c r="AE79" s="188">
        <f>opex_orig!$AC79</f>
        <v>1.38811681335564E-4</v>
      </c>
      <c r="AF79" s="188">
        <f>opex_orig!$AD79</f>
        <v>9.2405559290406299E-5</v>
      </c>
      <c r="AG79" s="188">
        <f>opex_orig!$AD79</f>
        <v>9.2405559290406299E-5</v>
      </c>
      <c r="AH79" s="188">
        <f>opex_orig!$AD79</f>
        <v>9.2405559290406299E-5</v>
      </c>
      <c r="AI79" s="188">
        <f>opex_orig!AE79</f>
        <v>7.5400000000000003E-5</v>
      </c>
      <c r="AJ79" s="188">
        <f>opex_orig!AF79</f>
        <v>3.8850000000000001E-4</v>
      </c>
      <c r="AK79" s="188">
        <f>opex_orig!AG79</f>
        <v>1.7281299999999999E-4</v>
      </c>
      <c r="AL79" s="188">
        <f>opex_orig!AH79</f>
        <v>8.6399999999999999E-5</v>
      </c>
      <c r="AM79" s="188">
        <f>opex_orig!AI79</f>
        <v>1.05846E-4</v>
      </c>
      <c r="AN79" s="188">
        <f>opex_orig!AJ79</f>
        <v>2.8508E-4</v>
      </c>
      <c r="AO79" s="188">
        <f>opex_orig!AK79</f>
        <v>1.17805E-4</v>
      </c>
      <c r="AP79" s="188">
        <f>opex_orig!$AL79</f>
        <v>1.10688398525569E-4</v>
      </c>
      <c r="AQ79" s="188">
        <f>opex_orig!$AL79</f>
        <v>1.10688398525569E-4</v>
      </c>
      <c r="AR79" s="188">
        <f>opex_orig!$AL79</f>
        <v>1.10688398525569E-4</v>
      </c>
      <c r="AS79" s="188">
        <f>opex_orig!$AM79</f>
        <v>1.05332564962938E-4</v>
      </c>
      <c r="AT79" s="188">
        <f>opex_orig!AN79</f>
        <v>2.06672E-4</v>
      </c>
      <c r="AU79" s="188">
        <f>opex_orig!$AO79</f>
        <v>1.32975585764888E-3</v>
      </c>
      <c r="AV79" s="188">
        <f>opex_orig!$AO79</f>
        <v>1.32975585764888E-3</v>
      </c>
      <c r="AW79" s="188">
        <f>opex_orig!$AO79</f>
        <v>1.32975585764888E-3</v>
      </c>
      <c r="AX79" s="188">
        <f>opex_orig!$AP79</f>
        <v>1.6628931409732701E-3</v>
      </c>
      <c r="AY79" s="188">
        <f>opex_orig!AQ79</f>
        <v>2.6066099999999998E-4</v>
      </c>
      <c r="AZ79" s="188">
        <f>opex_orig!AR79</f>
        <v>0</v>
      </c>
      <c r="BA79" s="188">
        <f>opex_orig!AS79</f>
        <v>2.71721E-4</v>
      </c>
      <c r="BB79" s="188">
        <f>opex_orig!AT79</f>
        <v>2.2547600000000001E-4</v>
      </c>
      <c r="BC79" s="188">
        <f>opex_orig!AU79</f>
        <v>0.34302748399999999</v>
      </c>
      <c r="BD79" s="188">
        <f>opex_orig!AV79</f>
        <v>0.35510819399999999</v>
      </c>
      <c r="BE79" s="188">
        <f>opex_orig!AW79</f>
        <v>1.59023E-4</v>
      </c>
      <c r="BF79" s="188">
        <f>opex_orig!AX79</f>
        <v>0</v>
      </c>
      <c r="BG79" s="188">
        <f>opex_orig!AY79</f>
        <v>2.8741500000000001E-4</v>
      </c>
      <c r="BH79" s="188">
        <f>opex_orig!AZ79</f>
        <v>0</v>
      </c>
      <c r="BI79" s="188">
        <f>opex_orig!BA79</f>
        <v>2.1030760000000002E-3</v>
      </c>
      <c r="BJ79" s="188">
        <f>opex_orig!BB79</f>
        <v>1.2542020000000001E-3</v>
      </c>
      <c r="BK79" s="188">
        <f>opex_orig!BC79</f>
        <v>1.564621E-3</v>
      </c>
      <c r="BL79" s="188">
        <f>opex_orig!BD79</f>
        <v>4.88E-5</v>
      </c>
      <c r="BM79" s="188">
        <f>opex_orig!BE79</f>
        <v>7.09007E-4</v>
      </c>
      <c r="BN79" s="188">
        <f>opex_orig!BF79</f>
        <v>4.1699999999999997E-5</v>
      </c>
      <c r="BO79" s="188">
        <f>opex_orig!BG79</f>
        <v>3.24171E-4</v>
      </c>
      <c r="BP79" s="188">
        <f>opex_orig!$BH79</f>
        <v>1.5347428986770201E-4</v>
      </c>
      <c r="BQ79" s="188">
        <f>opex_orig!$BH79</f>
        <v>1.5347428986770201E-4</v>
      </c>
      <c r="BR79" s="188">
        <f>opex_orig!BI79</f>
        <v>3.8565099999999998E-4</v>
      </c>
      <c r="BS79" s="188">
        <f>opex_orig!BJ79</f>
        <v>2.5500499999999999E-4</v>
      </c>
      <c r="BT79" s="188">
        <f>opex_orig!BK79</f>
        <v>5.8904309999999998E-3</v>
      </c>
      <c r="BU79" s="188">
        <f>opex_orig!BL79</f>
        <v>0</v>
      </c>
      <c r="BV79" s="27">
        <f>opex_orig!BM79</f>
        <v>1.12038313332212E-4</v>
      </c>
      <c r="BW79" s="27">
        <f>opex_orig!BN79</f>
        <v>2.2206715993926401E-4</v>
      </c>
      <c r="BX79" s="27">
        <f>opex_orig!BO79</f>
        <v>2.73919537474368E-5</v>
      </c>
      <c r="BY79" s="27">
        <f>opex_orig!BP79</f>
        <v>6.0723741115526398E-5</v>
      </c>
      <c r="BZ79" s="27">
        <f>opex_orig!BQ79</f>
        <v>5.1102090322221402E-5</v>
      </c>
      <c r="CA79" s="27">
        <f>opex_orig!BR79</f>
        <v>1.4698050002193199E-4</v>
      </c>
      <c r="CB79" s="27">
        <f>opex_orig!BS79</f>
        <v>5.1429926478649803E-4</v>
      </c>
      <c r="CC79" s="27">
        <f>opex_orig!BT79</f>
        <v>3.7500954841145201E-5</v>
      </c>
      <c r="CD79" s="27">
        <f>opex_orig!BU79</f>
        <v>1.1257975608851001E-5</v>
      </c>
      <c r="CE79" s="27">
        <f>opex_orig!BV79</f>
        <v>1.1257975608851001E-5</v>
      </c>
      <c r="CF79" s="27">
        <f>opex_orig!BW79</f>
        <v>2.7710362954976299E-5</v>
      </c>
      <c r="CG79" s="27">
        <f>opex_orig!BX79</f>
        <v>2.3887445002438601E-6</v>
      </c>
      <c r="CH79" s="27">
        <f>opex_orig!BY79</f>
        <v>1.7424716262445301E-5</v>
      </c>
      <c r="CI79" s="27">
        <f>opex_orig!BZ79</f>
        <v>9.0600000000000007E-5</v>
      </c>
      <c r="CJ79" s="27">
        <f>opex_orig!CA79</f>
        <v>7.9200000000000001E-5</v>
      </c>
      <c r="CK79" s="27">
        <f>opex_orig!CB79</f>
        <v>7.08E-5</v>
      </c>
      <c r="CL79" s="27">
        <f>opex_orig!CC79</f>
        <v>2.03501E-4</v>
      </c>
      <c r="CM79" s="27">
        <f>opex_orig!CD79</f>
        <v>1.55296E-4</v>
      </c>
      <c r="CN79" s="27">
        <f>opex_orig!CE79</f>
        <v>1.4724599999999999E-4</v>
      </c>
      <c r="CO79" s="27">
        <f>opex_orig!CF79</f>
        <v>4.0945599999999999E-4</v>
      </c>
      <c r="CP79" s="27">
        <f>opex_orig!CG79</f>
        <v>4.32E-5</v>
      </c>
    </row>
    <row r="80" spans="1:94" x14ac:dyDescent="0.25">
      <c r="A80" s="5" t="s">
        <v>179</v>
      </c>
      <c r="B80" s="2" t="s">
        <v>178</v>
      </c>
      <c r="C80" s="1" t="s">
        <v>329</v>
      </c>
      <c r="D80" s="188">
        <f>opex_orig!D80</f>
        <v>2.0000000000000002E-5</v>
      </c>
      <c r="E80" s="188">
        <f>opex_orig!E80</f>
        <v>1.2099999999999999E-5</v>
      </c>
      <c r="F80" s="188">
        <f>opex_orig!F80</f>
        <v>1.22E-5</v>
      </c>
      <c r="G80" s="188">
        <f>opex_orig!G80</f>
        <v>1.84E-6</v>
      </c>
      <c r="H80" s="188">
        <f>opex_orig!H80</f>
        <v>3.0599999999999999E-6</v>
      </c>
      <c r="I80" s="188">
        <f>opex_orig!I80</f>
        <v>2.5199999999999999E-5</v>
      </c>
      <c r="J80" s="188">
        <f>opex_orig!J80</f>
        <v>4.0899999999999998E-5</v>
      </c>
      <c r="K80" s="188">
        <f>opex_orig!K80</f>
        <v>1.47E-5</v>
      </c>
      <c r="L80" s="188">
        <f>opex_orig!L80</f>
        <v>1.6799999999999998E-5</v>
      </c>
      <c r="M80" s="188">
        <f>opex_orig!M80</f>
        <v>4.5899999999999998E-5</v>
      </c>
      <c r="N80" s="188">
        <f>opex_orig!N80</f>
        <v>3.82E-5</v>
      </c>
      <c r="O80" s="188">
        <f>opex_orig!O80</f>
        <v>2.34E-5</v>
      </c>
      <c r="P80" s="188">
        <f>opex_orig!P80</f>
        <v>4.2799999999999997E-5</v>
      </c>
      <c r="Q80" s="188">
        <f>opex_orig!Q80</f>
        <v>2.9099999999999999E-5</v>
      </c>
      <c r="R80" s="188">
        <f>opex_orig!R80</f>
        <v>1.8600000000000001E-5</v>
      </c>
      <c r="S80" s="188">
        <f>opex_orig!S80</f>
        <v>5.41E-5</v>
      </c>
      <c r="T80" s="188">
        <f>opex_orig!T80</f>
        <v>9.2499999999999999E-5</v>
      </c>
      <c r="U80" s="188">
        <f>opex_orig!U80</f>
        <v>7.0699999999999997E-5</v>
      </c>
      <c r="V80" s="188">
        <f>opex_orig!V80</f>
        <v>5.9500000000000003E-5</v>
      </c>
      <c r="W80" s="188">
        <f>opex_orig!W80</f>
        <v>6.2199999999999994E-5</v>
      </c>
      <c r="X80" s="188">
        <f>opex_orig!X80</f>
        <v>2.05E-5</v>
      </c>
      <c r="Y80" s="188">
        <f>opex_orig!Y80</f>
        <v>2.97E-5</v>
      </c>
      <c r="Z80" s="188">
        <f>opex_orig!Z80</f>
        <v>8.3499999999999997E-5</v>
      </c>
      <c r="AA80" s="188">
        <f>opex_orig!AA80</f>
        <v>1.11668E-4</v>
      </c>
      <c r="AB80" s="188">
        <f>opex_orig!$AB80</f>
        <v>2.02632353177162E-4</v>
      </c>
      <c r="AC80" s="188">
        <f>opex_orig!$AB80</f>
        <v>2.02632353177162E-4</v>
      </c>
      <c r="AD80" s="188">
        <f>opex_orig!$AB80</f>
        <v>2.02632353177162E-4</v>
      </c>
      <c r="AE80" s="188">
        <f>opex_orig!$AC80</f>
        <v>3.8060453314709099E-5</v>
      </c>
      <c r="AF80" s="188">
        <f>opex_orig!$AD80</f>
        <v>3.1749141964156797E-5</v>
      </c>
      <c r="AG80" s="188">
        <f>opex_orig!$AD80</f>
        <v>3.1749141964156797E-5</v>
      </c>
      <c r="AH80" s="188">
        <f>opex_orig!$AD80</f>
        <v>3.1749141964156797E-5</v>
      </c>
      <c r="AI80" s="188">
        <f>opex_orig!AE80</f>
        <v>2.4899999999999999E-5</v>
      </c>
      <c r="AJ80" s="188">
        <f>opex_orig!AF80</f>
        <v>2.0687E-4</v>
      </c>
      <c r="AK80" s="188">
        <f>opex_orig!AG80</f>
        <v>1.05363E-4</v>
      </c>
      <c r="AL80" s="188">
        <f>opex_orig!AH80</f>
        <v>4.1699999999999997E-5</v>
      </c>
      <c r="AM80" s="188">
        <f>opex_orig!AI80</f>
        <v>5.7299999999999997E-5</v>
      </c>
      <c r="AN80" s="188">
        <f>opex_orig!AJ80</f>
        <v>1.3747799999999999E-4</v>
      </c>
      <c r="AO80" s="188">
        <f>opex_orig!AK80</f>
        <v>5.4599999999999999E-5</v>
      </c>
      <c r="AP80" s="188">
        <f>opex_orig!$AL80</f>
        <v>5.99056327879187E-5</v>
      </c>
      <c r="AQ80" s="188">
        <f>opex_orig!$AL80</f>
        <v>5.99056327879187E-5</v>
      </c>
      <c r="AR80" s="188">
        <f>opex_orig!$AL80</f>
        <v>5.99056327879187E-5</v>
      </c>
      <c r="AS80" s="188">
        <f>opex_orig!$AM80</f>
        <v>5.3617834842718798E-5</v>
      </c>
      <c r="AT80" s="188">
        <f>opex_orig!AN80</f>
        <v>1.15915E-4</v>
      </c>
      <c r="AU80" s="188">
        <f>opex_orig!$AO80</f>
        <v>7.7134573911632402E-4</v>
      </c>
      <c r="AV80" s="188">
        <f>opex_orig!$AO80</f>
        <v>7.7134573911632402E-4</v>
      </c>
      <c r="AW80" s="188">
        <f>opex_orig!$AO80</f>
        <v>7.7134573911632402E-4</v>
      </c>
      <c r="AX80" s="188">
        <f>opex_orig!$AP80</f>
        <v>9.5988244200042195E-4</v>
      </c>
      <c r="AY80" s="188">
        <f>opex_orig!AQ80</f>
        <v>1.7325199999999999E-4</v>
      </c>
      <c r="AZ80" s="188">
        <f>opex_orig!AR80</f>
        <v>0</v>
      </c>
      <c r="BA80" s="188">
        <f>opex_orig!AS80</f>
        <v>1.69195E-4</v>
      </c>
      <c r="BB80" s="188">
        <f>opex_orig!AT80</f>
        <v>1.48381E-4</v>
      </c>
      <c r="BC80" s="188">
        <f>opex_orig!AU80</f>
        <v>0.17282090999999999</v>
      </c>
      <c r="BD80" s="188">
        <f>opex_orig!AV80</f>
        <v>0.17683897500000001</v>
      </c>
      <c r="BE80" s="188">
        <f>opex_orig!AW80</f>
        <v>8.8900000000000006E-5</v>
      </c>
      <c r="BF80" s="188">
        <f>opex_orig!AX80</f>
        <v>0</v>
      </c>
      <c r="BG80" s="188">
        <f>opex_orig!AY80</f>
        <v>1.3512999999999999E-4</v>
      </c>
      <c r="BH80" s="188">
        <f>opex_orig!AZ80</f>
        <v>0</v>
      </c>
      <c r="BI80" s="188">
        <f>opex_orig!BA80</f>
        <v>1.2053859999999999E-3</v>
      </c>
      <c r="BJ80" s="188">
        <f>opex_orig!BB80</f>
        <v>8.1915799999999995E-4</v>
      </c>
      <c r="BK80" s="188">
        <f>opex_orig!BC80</f>
        <v>9.2586000000000003E-4</v>
      </c>
      <c r="BL80" s="188">
        <f>opex_orig!BD80</f>
        <v>2.9300000000000001E-5</v>
      </c>
      <c r="BM80" s="188">
        <f>opex_orig!BE80</f>
        <v>4.0591299999999999E-4</v>
      </c>
      <c r="BN80" s="188">
        <f>opex_orig!BF80</f>
        <v>2.5000000000000001E-5</v>
      </c>
      <c r="BO80" s="188">
        <f>opex_orig!BG80</f>
        <v>1.9224800000000001E-4</v>
      </c>
      <c r="BP80" s="188">
        <f>opex_orig!$BH80</f>
        <v>8.9683780166885605E-5</v>
      </c>
      <c r="BQ80" s="188">
        <f>opex_orig!$BH80</f>
        <v>8.9683780166885605E-5</v>
      </c>
      <c r="BR80" s="188">
        <f>opex_orig!BI80</f>
        <v>2.1573E-4</v>
      </c>
      <c r="BS80" s="188">
        <f>opex_orig!BJ80</f>
        <v>1.46773E-4</v>
      </c>
      <c r="BT80" s="188">
        <f>opex_orig!BK80</f>
        <v>3.2475310000000001E-3</v>
      </c>
      <c r="BU80" s="188">
        <f>opex_orig!BL80</f>
        <v>0</v>
      </c>
      <c r="BV80" s="27">
        <f>opex_orig!BM80</f>
        <v>3.96634452463612E-5</v>
      </c>
      <c r="BW80" s="27">
        <f>opex_orig!BN80</f>
        <v>7.7119029646661893E-5</v>
      </c>
      <c r="BX80" s="27">
        <f>opex_orig!BO80</f>
        <v>9.5196854592560195E-6</v>
      </c>
      <c r="BY80" s="27">
        <f>opex_orig!BP80</f>
        <v>1.8792608708883699E-5</v>
      </c>
      <c r="BZ80" s="27">
        <f>opex_orig!BQ80</f>
        <v>1.3087224760444701E-5</v>
      </c>
      <c r="CA80" s="27">
        <f>opex_orig!BR80</f>
        <v>5.7253850920473801E-5</v>
      </c>
      <c r="CB80" s="27">
        <f>opex_orig!BS80</f>
        <v>2.1913789620190601E-4</v>
      </c>
      <c r="CC80" s="27">
        <f>opex_orig!BT80</f>
        <v>2.82482191229469E-5</v>
      </c>
      <c r="CD80" s="27">
        <f>opex_orig!BU80</f>
        <v>7.7272316256915602E-6</v>
      </c>
      <c r="CE80" s="27">
        <f>opex_orig!BV80</f>
        <v>7.7272316256915704E-6</v>
      </c>
      <c r="CF80" s="27">
        <f>opex_orig!BW80</f>
        <v>8.2186970516571902E-6</v>
      </c>
      <c r="CG80" s="27">
        <f>opex_orig!BX80</f>
        <v>7.472065792786E-7</v>
      </c>
      <c r="CH80" s="27">
        <f>opex_orig!BY80</f>
        <v>3.7351784684731298E-6</v>
      </c>
      <c r="CI80" s="27">
        <f>opex_orig!BZ80</f>
        <v>3.1199999999999999E-5</v>
      </c>
      <c r="CJ80" s="27">
        <f>opex_orig!CA80</f>
        <v>5.8400000000000003E-5</v>
      </c>
      <c r="CK80" s="27">
        <f>opex_orig!CB80</f>
        <v>5.1199999999999998E-5</v>
      </c>
      <c r="CL80" s="27">
        <f>opex_orig!CC80</f>
        <v>1.7399700000000001E-4</v>
      </c>
      <c r="CM80" s="27">
        <f>opex_orig!CD80</f>
        <v>6.6400000000000001E-5</v>
      </c>
      <c r="CN80" s="27">
        <f>opex_orig!CE80</f>
        <v>3.3699999999999999E-5</v>
      </c>
      <c r="CO80" s="27">
        <f>opex_orig!CF80</f>
        <v>2.2579300000000001E-4</v>
      </c>
      <c r="CP80" s="27">
        <f>opex_orig!CG80</f>
        <v>1.5500000000000001E-5</v>
      </c>
    </row>
    <row r="81" spans="1:94" x14ac:dyDescent="0.25">
      <c r="A81" s="5" t="s">
        <v>181</v>
      </c>
      <c r="B81" s="2" t="s">
        <v>180</v>
      </c>
      <c r="C81" s="1" t="s">
        <v>329</v>
      </c>
      <c r="D81" s="188">
        <f>opex_orig!D81</f>
        <v>4.0200000000000001E-5</v>
      </c>
      <c r="E81" s="188">
        <f>opex_orig!E81</f>
        <v>2.2500000000000001E-5</v>
      </c>
      <c r="F81" s="188">
        <f>opex_orig!F81</f>
        <v>1.77E-5</v>
      </c>
      <c r="G81" s="188">
        <f>opex_orig!G81</f>
        <v>4.2599999999999999E-6</v>
      </c>
      <c r="H81" s="188">
        <f>opex_orig!H81</f>
        <v>5.0699999999999997E-6</v>
      </c>
      <c r="I81" s="188">
        <f>opex_orig!I81</f>
        <v>3.8800000000000001E-5</v>
      </c>
      <c r="J81" s="188">
        <f>opex_orig!J81</f>
        <v>9.5199999999999997E-5</v>
      </c>
      <c r="K81" s="188">
        <f>opex_orig!K81</f>
        <v>6.6000000000000003E-6</v>
      </c>
      <c r="L81" s="188">
        <f>opex_orig!L81</f>
        <v>3.04E-5</v>
      </c>
      <c r="M81" s="188">
        <f>opex_orig!M81</f>
        <v>8.1799999999999996E-5</v>
      </c>
      <c r="N81" s="188">
        <f>opex_orig!N81</f>
        <v>9.9300000000000001E-5</v>
      </c>
      <c r="O81" s="188">
        <f>opex_orig!O81</f>
        <v>4.1300000000000001E-5</v>
      </c>
      <c r="P81" s="188">
        <f>opex_orig!P81</f>
        <v>7.9499999999999994E-5</v>
      </c>
      <c r="Q81" s="188">
        <f>opex_orig!Q81</f>
        <v>3.6300000000000001E-5</v>
      </c>
      <c r="R81" s="188">
        <f>opex_orig!R81</f>
        <v>3.18E-5</v>
      </c>
      <c r="S81" s="188">
        <f>opex_orig!S81</f>
        <v>1.18484E-4</v>
      </c>
      <c r="T81" s="188">
        <f>opex_orig!T81</f>
        <v>2.5923899999999998E-4</v>
      </c>
      <c r="U81" s="188">
        <f>opex_orig!U81</f>
        <v>1.4888100000000001E-4</v>
      </c>
      <c r="V81" s="188">
        <f>opex_orig!V81</f>
        <v>1.08712E-4</v>
      </c>
      <c r="W81" s="188">
        <f>opex_orig!W81</f>
        <v>9.9900000000000002E-5</v>
      </c>
      <c r="X81" s="188">
        <f>opex_orig!X81</f>
        <v>3.6300000000000001E-5</v>
      </c>
      <c r="Y81" s="188">
        <f>opex_orig!Y81</f>
        <v>2.65E-5</v>
      </c>
      <c r="Z81" s="188">
        <f>opex_orig!Z81</f>
        <v>1.7192600000000001E-4</v>
      </c>
      <c r="AA81" s="188">
        <f>opex_orig!AA81</f>
        <v>1.41633E-4</v>
      </c>
      <c r="AB81" s="188">
        <f>opex_orig!$AB81</f>
        <v>1.70865505160655E-4</v>
      </c>
      <c r="AC81" s="188">
        <f>opex_orig!$AB81</f>
        <v>1.70865505160655E-4</v>
      </c>
      <c r="AD81" s="188">
        <f>opex_orig!$AB81</f>
        <v>1.70865505160655E-4</v>
      </c>
      <c r="AE81" s="188">
        <f>opex_orig!$AC81</f>
        <v>2.9650870049547701E-4</v>
      </c>
      <c r="AF81" s="188">
        <f>opex_orig!$AD81</f>
        <v>9.2161331207673403E-5</v>
      </c>
      <c r="AG81" s="188">
        <f>opex_orig!$AD81</f>
        <v>9.2161331207673403E-5</v>
      </c>
      <c r="AH81" s="188">
        <f>opex_orig!$AD81</f>
        <v>9.2161331207673403E-5</v>
      </c>
      <c r="AI81" s="188">
        <f>opex_orig!AE81</f>
        <v>7.0199999999999999E-5</v>
      </c>
      <c r="AJ81" s="188">
        <f>opex_orig!AF81</f>
        <v>6.8580699999999997E-4</v>
      </c>
      <c r="AK81" s="188">
        <f>opex_orig!AG81</f>
        <v>2.1477900000000001E-4</v>
      </c>
      <c r="AL81" s="188">
        <f>opex_orig!AH81</f>
        <v>1.0944E-4</v>
      </c>
      <c r="AM81" s="188">
        <f>opex_orig!AI81</f>
        <v>1.3946E-4</v>
      </c>
      <c r="AN81" s="188">
        <f>opex_orig!AJ81</f>
        <v>1.16051E-4</v>
      </c>
      <c r="AO81" s="188">
        <f>opex_orig!AK81</f>
        <v>1.5812000000000001E-4</v>
      </c>
      <c r="AP81" s="188">
        <f>opex_orig!$AL81</f>
        <v>1.27248029846097E-4</v>
      </c>
      <c r="AQ81" s="188">
        <f>opex_orig!$AL81</f>
        <v>1.27248029846097E-4</v>
      </c>
      <c r="AR81" s="188">
        <f>opex_orig!$AL81</f>
        <v>1.27248029846097E-4</v>
      </c>
      <c r="AS81" s="188">
        <f>opex_orig!$AM81</f>
        <v>1.2949897074048E-4</v>
      </c>
      <c r="AT81" s="188">
        <f>opex_orig!AN81</f>
        <v>1.8248299999999999E-4</v>
      </c>
      <c r="AU81" s="188">
        <f>opex_orig!$AO81</f>
        <v>2.8194570115600199E-3</v>
      </c>
      <c r="AV81" s="188">
        <f>opex_orig!$AO81</f>
        <v>2.8194570115600199E-3</v>
      </c>
      <c r="AW81" s="188">
        <f>opex_orig!$AO81</f>
        <v>2.8194570115600199E-3</v>
      </c>
      <c r="AX81" s="188">
        <f>opex_orig!$AP81</f>
        <v>3.1359811455271701E-3</v>
      </c>
      <c r="AY81" s="188">
        <f>opex_orig!AQ81</f>
        <v>1.9563879999999999E-3</v>
      </c>
      <c r="AZ81" s="188">
        <f>opex_orig!AR81</f>
        <v>0</v>
      </c>
      <c r="BA81" s="188">
        <f>opex_orig!AS81</f>
        <v>1.6135030000000001E-3</v>
      </c>
      <c r="BB81" s="188">
        <f>opex_orig!AT81</f>
        <v>1.278602E-3</v>
      </c>
      <c r="BC81" s="188">
        <f>opex_orig!AU81</f>
        <v>9.7E-5</v>
      </c>
      <c r="BD81" s="188">
        <f>opex_orig!AV81</f>
        <v>6.0699999999999998E-5</v>
      </c>
      <c r="BE81" s="188">
        <f>opex_orig!AW81</f>
        <v>0.371808472</v>
      </c>
      <c r="BF81" s="188">
        <f>opex_orig!AX81</f>
        <v>0</v>
      </c>
      <c r="BG81" s="188">
        <f>opex_orig!AY81</f>
        <v>1.2875160000000001E-3</v>
      </c>
      <c r="BH81" s="188">
        <f>opex_orig!AZ81</f>
        <v>0</v>
      </c>
      <c r="BI81" s="188">
        <f>opex_orig!BA81</f>
        <v>4.1399660000000001E-3</v>
      </c>
      <c r="BJ81" s="188">
        <f>opex_orig!BB81</f>
        <v>4.5915069999999999E-3</v>
      </c>
      <c r="BK81" s="188">
        <f>opex_orig!BC81</f>
        <v>5.6218450000000003E-3</v>
      </c>
      <c r="BL81" s="188">
        <f>opex_orig!BD81</f>
        <v>8.9499999999999994E-5</v>
      </c>
      <c r="BM81" s="188">
        <f>opex_orig!BE81</f>
        <v>1.3625646999999999E-2</v>
      </c>
      <c r="BN81" s="188">
        <f>opex_orig!BF81</f>
        <v>1.44673E-4</v>
      </c>
      <c r="BO81" s="188">
        <f>opex_orig!BG81</f>
        <v>3.3774429999999999E-3</v>
      </c>
      <c r="BP81" s="188">
        <f>opex_orig!$BH81</f>
        <v>2.66629744245051E-4</v>
      </c>
      <c r="BQ81" s="188">
        <f>opex_orig!$BH81</f>
        <v>2.66629744245051E-4</v>
      </c>
      <c r="BR81" s="188">
        <f>opex_orig!BI81</f>
        <v>1.4130989999999999E-3</v>
      </c>
      <c r="BS81" s="188">
        <f>opex_orig!BJ81</f>
        <v>6.1457500000000002E-4</v>
      </c>
      <c r="BT81" s="188">
        <f>opex_orig!BK81</f>
        <v>2.7936697999999999E-2</v>
      </c>
      <c r="BU81" s="188">
        <f>opex_orig!BL81</f>
        <v>0</v>
      </c>
      <c r="BV81" s="27">
        <f>opex_orig!BM81</f>
        <v>1.5187950887589401E-4</v>
      </c>
      <c r="BW81" s="27">
        <f>opex_orig!BN81</f>
        <v>3.0415012623066898E-4</v>
      </c>
      <c r="BX81" s="27">
        <f>opex_orig!BO81</f>
        <v>3.40307977815541E-5</v>
      </c>
      <c r="BY81" s="27">
        <f>opex_orig!BP81</f>
        <v>8.2195983414110597E-5</v>
      </c>
      <c r="BZ81" s="27">
        <f>opex_orig!BQ81</f>
        <v>9.2782515768875898E-5</v>
      </c>
      <c r="CA81" s="27">
        <f>opex_orig!BR81</f>
        <v>4.8007642632627698E-4</v>
      </c>
      <c r="CB81" s="27">
        <f>opex_orig!BS81</f>
        <v>3.1227448488731902E-4</v>
      </c>
      <c r="CC81" s="27">
        <f>opex_orig!BT81</f>
        <v>1.47466077870211E-4</v>
      </c>
      <c r="CD81" s="27">
        <f>opex_orig!BU81</f>
        <v>1.0326482894561E-5</v>
      </c>
      <c r="CE81" s="27">
        <f>opex_orig!BV81</f>
        <v>1.0326482894561E-5</v>
      </c>
      <c r="CF81" s="27">
        <f>opex_orig!BW81</f>
        <v>9.2710739926508395E-5</v>
      </c>
      <c r="CG81" s="27">
        <f>opex_orig!BX81</f>
        <v>9.1494115368673706E-6</v>
      </c>
      <c r="CH81" s="27">
        <f>opex_orig!BY81</f>
        <v>3.5629356396544201E-5</v>
      </c>
      <c r="CI81" s="27">
        <f>opex_orig!BZ81</f>
        <v>1.19268E-4</v>
      </c>
      <c r="CJ81" s="27">
        <f>opex_orig!CA81</f>
        <v>5.1900000000000001E-5</v>
      </c>
      <c r="CK81" s="27">
        <f>opex_orig!CB81</f>
        <v>4.99E-5</v>
      </c>
      <c r="CL81" s="27">
        <f>opex_orig!CC81</f>
        <v>1.11377E-4</v>
      </c>
      <c r="CM81" s="27">
        <f>opex_orig!CD81</f>
        <v>2.2299599999999999E-4</v>
      </c>
      <c r="CN81" s="27">
        <f>opex_orig!CE81</f>
        <v>1.15586E-4</v>
      </c>
      <c r="CO81" s="27">
        <f>opex_orig!CF81</f>
        <v>7.5789E-4</v>
      </c>
      <c r="CP81" s="27">
        <f>opex_orig!CG81</f>
        <v>6.3200000000000005E-5</v>
      </c>
    </row>
    <row r="82" spans="1:94" x14ac:dyDescent="0.25">
      <c r="A82" s="5" t="s">
        <v>183</v>
      </c>
      <c r="B82" s="2" t="s">
        <v>182</v>
      </c>
      <c r="C82" s="1" t="s">
        <v>329</v>
      </c>
      <c r="D82" s="188">
        <f>opex_orig!D82</f>
        <v>1.1199999999999999E-5</v>
      </c>
      <c r="E82" s="188">
        <f>opex_orig!E82</f>
        <v>1.9599999999999999E-6</v>
      </c>
      <c r="F82" s="188">
        <f>opex_orig!F82</f>
        <v>1.15E-6</v>
      </c>
      <c r="G82" s="188">
        <f>opex_orig!G82</f>
        <v>1.5599999999999999E-7</v>
      </c>
      <c r="H82" s="188">
        <f>opex_orig!H82</f>
        <v>3.0899999999999997E-7</v>
      </c>
      <c r="I82" s="188">
        <f>opex_orig!I82</f>
        <v>3.3000000000000002E-6</v>
      </c>
      <c r="J82" s="188">
        <f>opex_orig!J82</f>
        <v>5.5400000000000003E-6</v>
      </c>
      <c r="K82" s="188">
        <f>opex_orig!K82</f>
        <v>4.3599999999999999E-7</v>
      </c>
      <c r="L82" s="188">
        <f>opex_orig!L82</f>
        <v>2.5799999999999999E-6</v>
      </c>
      <c r="M82" s="188">
        <f>opex_orig!M82</f>
        <v>6.7800000000000003E-6</v>
      </c>
      <c r="N82" s="188">
        <f>opex_orig!N82</f>
        <v>4.33E-6</v>
      </c>
      <c r="O82" s="188">
        <f>opex_orig!O82</f>
        <v>4.7600000000000002E-6</v>
      </c>
      <c r="P82" s="188">
        <f>opex_orig!P82</f>
        <v>8.32E-6</v>
      </c>
      <c r="Q82" s="188">
        <f>opex_orig!Q82</f>
        <v>2.43E-6</v>
      </c>
      <c r="R82" s="188">
        <f>opex_orig!R82</f>
        <v>2.8600000000000001E-6</v>
      </c>
      <c r="S82" s="188">
        <f>opex_orig!S82</f>
        <v>8.5299999999999996E-6</v>
      </c>
      <c r="T82" s="188">
        <f>opex_orig!T82</f>
        <v>1.7200000000000001E-5</v>
      </c>
      <c r="U82" s="188">
        <f>opex_orig!U82</f>
        <v>9.9199999999999999E-6</v>
      </c>
      <c r="V82" s="188">
        <f>opex_orig!V82</f>
        <v>6.8900000000000001E-6</v>
      </c>
      <c r="W82" s="188">
        <f>opex_orig!W82</f>
        <v>6.8199999999999999E-6</v>
      </c>
      <c r="X82" s="188">
        <f>opex_orig!X82</f>
        <v>2.4899999999999999E-6</v>
      </c>
      <c r="Y82" s="188">
        <f>opex_orig!Y82</f>
        <v>1.33E-6</v>
      </c>
      <c r="Z82" s="188">
        <f>opex_orig!Z82</f>
        <v>9.7899999999999994E-6</v>
      </c>
      <c r="AA82" s="188">
        <f>opex_orig!AA82</f>
        <v>1.2799999999999999E-5</v>
      </c>
      <c r="AB82" s="188">
        <f>opex_orig!$AB82</f>
        <v>1.5951605619348199E-5</v>
      </c>
      <c r="AC82" s="188">
        <f>opex_orig!$AB82</f>
        <v>1.5951605619348199E-5</v>
      </c>
      <c r="AD82" s="188">
        <f>opex_orig!$AB82</f>
        <v>1.5951605619348199E-5</v>
      </c>
      <c r="AE82" s="188">
        <f>opex_orig!$AC82</f>
        <v>9.1110088622434701E-6</v>
      </c>
      <c r="AF82" s="188">
        <f>opex_orig!$AD82</f>
        <v>3.96898461778239E-6</v>
      </c>
      <c r="AG82" s="188">
        <f>opex_orig!$AD82</f>
        <v>3.96898461778239E-6</v>
      </c>
      <c r="AH82" s="188">
        <f>opex_orig!$AD82</f>
        <v>3.96898461778239E-6</v>
      </c>
      <c r="AI82" s="188">
        <f>opex_orig!AE82</f>
        <v>3.5499999999999999E-6</v>
      </c>
      <c r="AJ82" s="188">
        <f>opex_orig!AF82</f>
        <v>5.8499999999999999E-5</v>
      </c>
      <c r="AK82" s="188">
        <f>opex_orig!AG82</f>
        <v>2.1800000000000001E-5</v>
      </c>
      <c r="AL82" s="188">
        <f>opex_orig!AH82</f>
        <v>9.8400000000000007E-6</v>
      </c>
      <c r="AM82" s="188">
        <f>opex_orig!AI82</f>
        <v>1.22E-5</v>
      </c>
      <c r="AN82" s="188">
        <f>opex_orig!AJ82</f>
        <v>1.2500000000000001E-5</v>
      </c>
      <c r="AO82" s="188">
        <f>opex_orig!AK82</f>
        <v>1.26E-5</v>
      </c>
      <c r="AP82" s="188">
        <f>opex_orig!$AL82</f>
        <v>1.31872783137378E-5</v>
      </c>
      <c r="AQ82" s="188">
        <f>opex_orig!$AL82</f>
        <v>1.31872783137378E-5</v>
      </c>
      <c r="AR82" s="188">
        <f>opex_orig!$AL82</f>
        <v>1.31872783137378E-5</v>
      </c>
      <c r="AS82" s="188">
        <f>opex_orig!$AM82</f>
        <v>1.2041321898687E-5</v>
      </c>
      <c r="AT82" s="188">
        <f>opex_orig!AN82</f>
        <v>1.56E-5</v>
      </c>
      <c r="AU82" s="188">
        <f>opex_orig!$AO82</f>
        <v>2.03969700218559E-4</v>
      </c>
      <c r="AV82" s="188">
        <f>opex_orig!$AO82</f>
        <v>2.03969700218559E-4</v>
      </c>
      <c r="AW82" s="188">
        <f>opex_orig!$AO82</f>
        <v>2.03969700218559E-4</v>
      </c>
      <c r="AX82" s="188">
        <f>opex_orig!$AP82</f>
        <v>2.2493989954695701E-4</v>
      </c>
      <c r="AY82" s="188">
        <f>opex_orig!AQ82</f>
        <v>1.41526E-4</v>
      </c>
      <c r="AZ82" s="188">
        <f>opex_orig!AR82</f>
        <v>0</v>
      </c>
      <c r="BA82" s="188">
        <f>opex_orig!AS82</f>
        <v>1.1764000000000001E-4</v>
      </c>
      <c r="BB82" s="188">
        <f>opex_orig!AT82</f>
        <v>9.6199999999999994E-5</v>
      </c>
      <c r="BC82" s="188">
        <f>opex_orig!AU82</f>
        <v>5.4700000000000001E-6</v>
      </c>
      <c r="BD82" s="188">
        <f>opex_orig!AV82</f>
        <v>3.6600000000000001E-6</v>
      </c>
      <c r="BE82" s="188">
        <f>opex_orig!AW82</f>
        <v>2.6050659E-2</v>
      </c>
      <c r="BF82" s="188">
        <f>opex_orig!AX82</f>
        <v>0</v>
      </c>
      <c r="BG82" s="188">
        <f>opex_orig!AY82</f>
        <v>8.7499999999999999E-5</v>
      </c>
      <c r="BH82" s="188">
        <f>opex_orig!AZ82</f>
        <v>0</v>
      </c>
      <c r="BI82" s="188">
        <f>opex_orig!BA82</f>
        <v>3.00869E-4</v>
      </c>
      <c r="BJ82" s="188">
        <f>opex_orig!BB82</f>
        <v>3.4092999999999998E-4</v>
      </c>
      <c r="BK82" s="188">
        <f>opex_orig!BC82</f>
        <v>4.0989299999999999E-4</v>
      </c>
      <c r="BL82" s="188">
        <f>opex_orig!BD82</f>
        <v>1.4100000000000001E-5</v>
      </c>
      <c r="BM82" s="188">
        <f>opex_orig!BE82</f>
        <v>9.6010500000000005E-4</v>
      </c>
      <c r="BN82" s="188">
        <f>opex_orig!BF82</f>
        <v>1.0200000000000001E-5</v>
      </c>
      <c r="BO82" s="188">
        <f>opex_orig!BG82</f>
        <v>2.4042200000000001E-4</v>
      </c>
      <c r="BP82" s="188">
        <f>opex_orig!$BH82</f>
        <v>2.48179044551278E-5</v>
      </c>
      <c r="BQ82" s="188">
        <f>opex_orig!$BH82</f>
        <v>2.48179044551278E-5</v>
      </c>
      <c r="BR82" s="188">
        <f>opex_orig!BI82</f>
        <v>1.0446300000000001E-4</v>
      </c>
      <c r="BS82" s="188">
        <f>opex_orig!BJ82</f>
        <v>5.0399999999999999E-5</v>
      </c>
      <c r="BT82" s="188">
        <f>opex_orig!BK82</f>
        <v>1.9534349999999999E-3</v>
      </c>
      <c r="BU82" s="188">
        <f>opex_orig!BL82</f>
        <v>0</v>
      </c>
      <c r="BV82" s="27">
        <f>opex_orig!BM82</f>
        <v>1.36295854817307E-5</v>
      </c>
      <c r="BW82" s="27">
        <f>opex_orig!BN82</f>
        <v>2.6338478337909901E-5</v>
      </c>
      <c r="BX82" s="27">
        <f>opex_orig!BO82</f>
        <v>3.5428383741703301E-6</v>
      </c>
      <c r="BY82" s="27">
        <f>opex_orig!BP82</f>
        <v>4.0436116726382602E-6</v>
      </c>
      <c r="BZ82" s="27">
        <f>opex_orig!BQ82</f>
        <v>2.9551499129921099E-6</v>
      </c>
      <c r="CA82" s="27">
        <f>opex_orig!BR82</f>
        <v>1.99242351468759E-5</v>
      </c>
      <c r="CB82" s="27">
        <f>opex_orig!BS82</f>
        <v>2.4530358770158598E-5</v>
      </c>
      <c r="CC82" s="27">
        <f>opex_orig!BT82</f>
        <v>3.12264420219156E-4</v>
      </c>
      <c r="CD82" s="27">
        <f>opex_orig!BU82</f>
        <v>1.7149777832530399E-6</v>
      </c>
      <c r="CE82" s="27">
        <f>opex_orig!BV82</f>
        <v>1.7149777832530399E-6</v>
      </c>
      <c r="CF82" s="27">
        <f>opex_orig!BW82</f>
        <v>2.8220396785200401E-6</v>
      </c>
      <c r="CG82" s="27">
        <f>opex_orig!BX82</f>
        <v>9.7047520431913693E-7</v>
      </c>
      <c r="CH82" s="27">
        <f>opex_orig!BY82</f>
        <v>3.9839556271831899E-6</v>
      </c>
      <c r="CI82" s="27">
        <f>opex_orig!BZ82</f>
        <v>1.0000000000000001E-5</v>
      </c>
      <c r="CJ82" s="27">
        <f>opex_orig!CA82</f>
        <v>3.1599999999999998E-6</v>
      </c>
      <c r="CK82" s="27">
        <f>opex_orig!CB82</f>
        <v>3.67E-6</v>
      </c>
      <c r="CL82" s="27">
        <f>opex_orig!CC82</f>
        <v>1.4300000000000001E-6</v>
      </c>
      <c r="CM82" s="27">
        <f>opex_orig!CD82</f>
        <v>2.4499999999999999E-5</v>
      </c>
      <c r="CN82" s="27">
        <f>opex_orig!CE82</f>
        <v>1.03E-5</v>
      </c>
      <c r="CO82" s="27">
        <f>opex_orig!CF82</f>
        <v>5.8699999999999997E-5</v>
      </c>
      <c r="CP82" s="27">
        <f>opex_orig!CG82</f>
        <v>2.5100000000000001E-6</v>
      </c>
    </row>
    <row r="83" spans="1:94" x14ac:dyDescent="0.25">
      <c r="A83" s="5" t="s">
        <v>185</v>
      </c>
      <c r="B83" s="2" t="s">
        <v>184</v>
      </c>
      <c r="C83" s="1" t="s">
        <v>329</v>
      </c>
      <c r="D83" s="188">
        <f>opex_orig!D83</f>
        <v>8.9600000000000006E-6</v>
      </c>
      <c r="E83" s="188">
        <f>opex_orig!E83</f>
        <v>2.6199999999999999E-6</v>
      </c>
      <c r="F83" s="188">
        <f>opex_orig!F83</f>
        <v>3.05E-6</v>
      </c>
      <c r="G83" s="188">
        <f>opex_orig!G83</f>
        <v>1.37E-7</v>
      </c>
      <c r="H83" s="188">
        <f>opex_orig!H83</f>
        <v>2.16E-7</v>
      </c>
      <c r="I83" s="188">
        <f>opex_orig!I83</f>
        <v>2.8100000000000002E-6</v>
      </c>
      <c r="J83" s="188">
        <f>opex_orig!J83</f>
        <v>3.5099999999999999E-6</v>
      </c>
      <c r="K83" s="188">
        <f>opex_orig!K83</f>
        <v>4.0499999999999999E-7</v>
      </c>
      <c r="L83" s="188">
        <f>opex_orig!L83</f>
        <v>3.49E-6</v>
      </c>
      <c r="M83" s="188">
        <f>opex_orig!M83</f>
        <v>6.2099999999999998E-6</v>
      </c>
      <c r="N83" s="188">
        <f>opex_orig!N83</f>
        <v>1.0499999999999999E-5</v>
      </c>
      <c r="O83" s="188">
        <f>opex_orig!O83</f>
        <v>4.7999999999999998E-6</v>
      </c>
      <c r="P83" s="188">
        <f>opex_orig!P83</f>
        <v>9.5699999999999999E-6</v>
      </c>
      <c r="Q83" s="188">
        <f>opex_orig!Q83</f>
        <v>6.1600000000000003E-6</v>
      </c>
      <c r="R83" s="188">
        <f>opex_orig!R83</f>
        <v>1.4600000000000001E-5</v>
      </c>
      <c r="S83" s="188">
        <f>opex_orig!S83</f>
        <v>8.4700000000000002E-6</v>
      </c>
      <c r="T83" s="188">
        <f>opex_orig!T83</f>
        <v>1.19E-5</v>
      </c>
      <c r="U83" s="188">
        <f>opex_orig!U83</f>
        <v>7.5800000000000003E-6</v>
      </c>
      <c r="V83" s="188">
        <f>opex_orig!V83</f>
        <v>9.5100000000000004E-6</v>
      </c>
      <c r="W83" s="188">
        <f>opex_orig!W83</f>
        <v>1.0200000000000001E-5</v>
      </c>
      <c r="X83" s="188">
        <f>opex_orig!X83</f>
        <v>3.9999999999999998E-6</v>
      </c>
      <c r="Y83" s="188">
        <f>opex_orig!Y83</f>
        <v>2.5799999999999999E-6</v>
      </c>
      <c r="Z83" s="188">
        <f>opex_orig!Z83</f>
        <v>1.43E-5</v>
      </c>
      <c r="AA83" s="188">
        <f>opex_orig!AA83</f>
        <v>1.15E-5</v>
      </c>
      <c r="AB83" s="188">
        <f>opex_orig!$AB83</f>
        <v>9.0366496289934003E-6</v>
      </c>
      <c r="AC83" s="188">
        <f>opex_orig!$AB83</f>
        <v>9.0366496289934003E-6</v>
      </c>
      <c r="AD83" s="188">
        <f>opex_orig!$AB83</f>
        <v>9.0366496289934003E-6</v>
      </c>
      <c r="AE83" s="188">
        <f>opex_orig!$AC83</f>
        <v>3.34515584742981E-5</v>
      </c>
      <c r="AF83" s="188">
        <f>opex_orig!$AD83</f>
        <v>8.6431424388801692E-6</v>
      </c>
      <c r="AG83" s="188">
        <f>opex_orig!$AD83</f>
        <v>8.6431424388801692E-6</v>
      </c>
      <c r="AH83" s="188">
        <f>opex_orig!$AD83</f>
        <v>8.6431424388801692E-6</v>
      </c>
      <c r="AI83" s="188">
        <f>opex_orig!AE83</f>
        <v>5.6799999999999998E-6</v>
      </c>
      <c r="AJ83" s="188">
        <f>opex_orig!AF83</f>
        <v>5.77E-5</v>
      </c>
      <c r="AK83" s="188">
        <f>opex_orig!AG83</f>
        <v>3.8699999999999999E-5</v>
      </c>
      <c r="AL83" s="188">
        <f>opex_orig!AH83</f>
        <v>2.0000000000000002E-5</v>
      </c>
      <c r="AM83" s="188">
        <f>opex_orig!AI83</f>
        <v>2.1999999999999999E-5</v>
      </c>
      <c r="AN83" s="188">
        <f>opex_orig!AJ83</f>
        <v>1.8499999999999999E-5</v>
      </c>
      <c r="AO83" s="188">
        <f>opex_orig!AK83</f>
        <v>2.27E-5</v>
      </c>
      <c r="AP83" s="188">
        <f>opex_orig!$AL83</f>
        <v>1.3348433603170399E-5</v>
      </c>
      <c r="AQ83" s="188">
        <f>opex_orig!$AL83</f>
        <v>1.3348433603170399E-5</v>
      </c>
      <c r="AR83" s="188">
        <f>opex_orig!$AL83</f>
        <v>1.3348433603170399E-5</v>
      </c>
      <c r="AS83" s="188">
        <f>opex_orig!$AM83</f>
        <v>1.59591542313412E-5</v>
      </c>
      <c r="AT83" s="188">
        <f>opex_orig!AN83</f>
        <v>1.68469E-4</v>
      </c>
      <c r="AU83" s="188">
        <f>opex_orig!$AO83</f>
        <v>4.2062223061010602E-3</v>
      </c>
      <c r="AV83" s="188">
        <f>opex_orig!$AO83</f>
        <v>4.2062223061010602E-3</v>
      </c>
      <c r="AW83" s="188">
        <f>opex_orig!$AO83</f>
        <v>4.2062223061010602E-3</v>
      </c>
      <c r="AX83" s="188">
        <f>opex_orig!$AP83</f>
        <v>4.2852975296679002E-3</v>
      </c>
      <c r="AY83" s="188">
        <f>opex_orig!AQ83</f>
        <v>1.5211000000000001E-3</v>
      </c>
      <c r="AZ83" s="188">
        <f>opex_orig!AR83</f>
        <v>0</v>
      </c>
      <c r="BA83" s="188">
        <f>opex_orig!AS83</f>
        <v>2.5445157999999999E-2</v>
      </c>
      <c r="BB83" s="188">
        <f>opex_orig!AT83</f>
        <v>2.7390742999999999E-2</v>
      </c>
      <c r="BC83" s="188">
        <f>opex_orig!AU83</f>
        <v>7.7100000000000007E-6</v>
      </c>
      <c r="BD83" s="188">
        <f>opex_orig!AV83</f>
        <v>6.8600000000000004E-6</v>
      </c>
      <c r="BE83" s="188">
        <f>opex_orig!AW83</f>
        <v>2.1092763E-2</v>
      </c>
      <c r="BF83" s="188">
        <f>opex_orig!AX83</f>
        <v>0</v>
      </c>
      <c r="BG83" s="188">
        <f>opex_orig!AY83</f>
        <v>9.6640989999999996E-2</v>
      </c>
      <c r="BH83" s="188">
        <f>opex_orig!AZ83</f>
        <v>0</v>
      </c>
      <c r="BI83" s="188">
        <f>opex_orig!BA83</f>
        <v>8.9968289999999996E-3</v>
      </c>
      <c r="BJ83" s="188">
        <f>opex_orig!BB83</f>
        <v>1.3782390000000001E-3</v>
      </c>
      <c r="BK83" s="188">
        <f>opex_orig!BC83</f>
        <v>1.223191E-3</v>
      </c>
      <c r="BL83" s="188">
        <f>opex_orig!BD83</f>
        <v>2.9899999999999998E-5</v>
      </c>
      <c r="BM83" s="188">
        <f>opex_orig!BE83</f>
        <v>1.047805E-3</v>
      </c>
      <c r="BN83" s="188">
        <f>opex_orig!BF83</f>
        <v>1.9199999999999999E-5</v>
      </c>
      <c r="BO83" s="188">
        <f>opex_orig!BG83</f>
        <v>6.9811899999999997E-4</v>
      </c>
      <c r="BP83" s="188">
        <f>opex_orig!$BH83</f>
        <v>9.3596404351459206E-5</v>
      </c>
      <c r="BQ83" s="188">
        <f>opex_orig!$BH83</f>
        <v>9.3596404351459206E-5</v>
      </c>
      <c r="BR83" s="188">
        <f>opex_orig!BI83</f>
        <v>9.7292899999999998E-4</v>
      </c>
      <c r="BS83" s="188">
        <f>opex_orig!BJ83</f>
        <v>3.8625529999999999E-3</v>
      </c>
      <c r="BT83" s="188">
        <f>opex_orig!BK83</f>
        <v>5.7057210000000004E-3</v>
      </c>
      <c r="BU83" s="188">
        <f>opex_orig!BL83</f>
        <v>0</v>
      </c>
      <c r="BV83" s="27">
        <f>opex_orig!BM83</f>
        <v>1.0837874321367199E-5</v>
      </c>
      <c r="BW83" s="27">
        <f>opex_orig!BN83</f>
        <v>1.8869888058554199E-5</v>
      </c>
      <c r="BX83" s="27">
        <f>opex_orig!BO83</f>
        <v>5.4660033261106397E-6</v>
      </c>
      <c r="BY83" s="27">
        <f>opex_orig!BP83</f>
        <v>1.05423626010099E-5</v>
      </c>
      <c r="BZ83" s="27">
        <f>opex_orig!BQ83</f>
        <v>1.46290812918585E-5</v>
      </c>
      <c r="CA83" s="27">
        <f>opex_orig!BR83</f>
        <v>2.4682630383344401E-6</v>
      </c>
      <c r="CB83" s="27">
        <f>opex_orig!BS83</f>
        <v>8.8651488098675392E-6</v>
      </c>
      <c r="CC83" s="27">
        <f>opex_orig!BT83</f>
        <v>2.4601197121680698E-4</v>
      </c>
      <c r="CD83" s="27">
        <f>opex_orig!BU83</f>
        <v>2.0783453776497499E-6</v>
      </c>
      <c r="CE83" s="27">
        <f>opex_orig!BV83</f>
        <v>2.0783453776497499E-6</v>
      </c>
      <c r="CF83" s="27">
        <f>opex_orig!BW83</f>
        <v>2.9373928187649601E-6</v>
      </c>
      <c r="CG83" s="27">
        <f>opex_orig!BX83</f>
        <v>2.6151007337408199E-6</v>
      </c>
      <c r="CH83" s="27">
        <f>opex_orig!BY83</f>
        <v>4.9438736703605402E-6</v>
      </c>
      <c r="CI83" s="27">
        <f>opex_orig!BZ83</f>
        <v>1.06E-5</v>
      </c>
      <c r="CJ83" s="27">
        <f>opex_orig!CA83</f>
        <v>6.0100000000000001E-6</v>
      </c>
      <c r="CK83" s="27">
        <f>opex_orig!CB83</f>
        <v>4.8600000000000001E-6</v>
      </c>
      <c r="CL83" s="27">
        <f>opex_orig!CC83</f>
        <v>4.2200000000000003E-6</v>
      </c>
      <c r="CM83" s="27">
        <f>opex_orig!CD83</f>
        <v>1.6699999999999999E-5</v>
      </c>
      <c r="CN83" s="27">
        <f>opex_orig!CE83</f>
        <v>1.3200000000000001E-5</v>
      </c>
      <c r="CO83" s="27">
        <f>opex_orig!CF83</f>
        <v>7.8200000000000003E-5</v>
      </c>
      <c r="CP83" s="27">
        <f>opex_orig!CG83</f>
        <v>1.5299999999999999E-5</v>
      </c>
    </row>
    <row r="84" spans="1:94" x14ac:dyDescent="0.25">
      <c r="A84" s="5" t="s">
        <v>187</v>
      </c>
      <c r="B84" s="2" t="s">
        <v>186</v>
      </c>
      <c r="C84" s="1" t="s">
        <v>329</v>
      </c>
      <c r="D84" s="188">
        <f>opex_orig!D84</f>
        <v>1.0800000000000001E-8</v>
      </c>
      <c r="E84" s="188">
        <f>opex_orig!E84</f>
        <v>6.6400000000000002E-9</v>
      </c>
      <c r="F84" s="188">
        <f>opex_orig!F84</f>
        <v>6.5400000000000003E-8</v>
      </c>
      <c r="G84" s="188">
        <f>opex_orig!G84</f>
        <v>1.37E-9</v>
      </c>
      <c r="H84" s="188">
        <f>opex_orig!H84</f>
        <v>6.3799999999999997E-10</v>
      </c>
      <c r="I84" s="188">
        <f>opex_orig!I84</f>
        <v>1.29E-8</v>
      </c>
      <c r="J84" s="188">
        <f>opex_orig!J84</f>
        <v>3.3499999999999998E-9</v>
      </c>
      <c r="K84" s="188">
        <f>opex_orig!K84</f>
        <v>4.25E-9</v>
      </c>
      <c r="L84" s="188">
        <f>opex_orig!L84</f>
        <v>3.7100000000000001E-8</v>
      </c>
      <c r="M84" s="188">
        <f>opex_orig!M84</f>
        <v>1.6899999999999999E-7</v>
      </c>
      <c r="N84" s="188">
        <f>opex_orig!N84</f>
        <v>3.7E-8</v>
      </c>
      <c r="O84" s="188">
        <f>opex_orig!O84</f>
        <v>3.3000000000000002E-9</v>
      </c>
      <c r="P84" s="188">
        <f>opex_orig!P84</f>
        <v>1.8199999999999999E-7</v>
      </c>
      <c r="Q84" s="188">
        <f>opex_orig!Q84</f>
        <v>1.01E-7</v>
      </c>
      <c r="R84" s="188">
        <f>opex_orig!R84</f>
        <v>1.1000000000000001E-6</v>
      </c>
      <c r="S84" s="188">
        <f>opex_orig!S84</f>
        <v>1.68E-7</v>
      </c>
      <c r="T84" s="188">
        <f>opex_orig!T84</f>
        <v>1.7700000000000001E-7</v>
      </c>
      <c r="U84" s="188">
        <f>opex_orig!U84</f>
        <v>3.8299999999999999E-8</v>
      </c>
      <c r="V84" s="188">
        <f>opex_orig!V84</f>
        <v>4.7500000000000002E-8</v>
      </c>
      <c r="W84" s="188">
        <f>opex_orig!W84</f>
        <v>2.22E-7</v>
      </c>
      <c r="X84" s="188">
        <f>opex_orig!X84</f>
        <v>2.0100000000000001E-8</v>
      </c>
      <c r="Y84" s="188">
        <f>opex_orig!Y84</f>
        <v>2.4100000000000001E-8</v>
      </c>
      <c r="Z84" s="188">
        <f>opex_orig!Z84</f>
        <v>4.03E-7</v>
      </c>
      <c r="AA84" s="188">
        <f>opex_orig!AA84</f>
        <v>8.5199999999999995E-8</v>
      </c>
      <c r="AB84" s="188">
        <f>opex_orig!$AB84</f>
        <v>8.6035397783405394E-8</v>
      </c>
      <c r="AC84" s="188">
        <f>opex_orig!$AB84</f>
        <v>8.6035397783405394E-8</v>
      </c>
      <c r="AD84" s="188">
        <f>opex_orig!$AB84</f>
        <v>8.6035397783405394E-8</v>
      </c>
      <c r="AE84" s="188">
        <f>opex_orig!$AC84</f>
        <v>8.4765890244920008E-9</v>
      </c>
      <c r="AF84" s="188">
        <f>opex_orig!$AD84</f>
        <v>7.1281056474228395E-8</v>
      </c>
      <c r="AG84" s="188">
        <f>opex_orig!$AD84</f>
        <v>7.1281056474228395E-8</v>
      </c>
      <c r="AH84" s="188">
        <f>opex_orig!$AD84</f>
        <v>7.1281056474228395E-8</v>
      </c>
      <c r="AI84" s="188">
        <f>opex_orig!AE84</f>
        <v>1.35E-8</v>
      </c>
      <c r="AJ84" s="188">
        <f>opex_orig!AF84</f>
        <v>4.4399999999999998E-6</v>
      </c>
      <c r="AK84" s="188">
        <f>opex_orig!AG84</f>
        <v>2.3099999999999999E-6</v>
      </c>
      <c r="AL84" s="188">
        <f>opex_orig!AH84</f>
        <v>5.5099999999999997E-8</v>
      </c>
      <c r="AM84" s="188">
        <f>opex_orig!AI84</f>
        <v>2.1799999999999999E-7</v>
      </c>
      <c r="AN84" s="188">
        <f>opex_orig!AJ84</f>
        <v>6.6100000000000003E-8</v>
      </c>
      <c r="AO84" s="188">
        <f>opex_orig!AK84</f>
        <v>1.2800000000000001E-7</v>
      </c>
      <c r="AP84" s="188">
        <f>opex_orig!$AL84</f>
        <v>7.8836990771720995E-8</v>
      </c>
      <c r="AQ84" s="188">
        <f>opex_orig!$AL84</f>
        <v>7.8836990771720995E-8</v>
      </c>
      <c r="AR84" s="188">
        <f>opex_orig!$AL84</f>
        <v>7.8836990771720995E-8</v>
      </c>
      <c r="AS84" s="188">
        <f>opex_orig!$AM84</f>
        <v>9.2304704422628905E-8</v>
      </c>
      <c r="AT84" s="188">
        <f>opex_orig!AN84</f>
        <v>1.34E-5</v>
      </c>
      <c r="AU84" s="188">
        <f>opex_orig!$AO84</f>
        <v>3.6702367043394698E-4</v>
      </c>
      <c r="AV84" s="188">
        <f>opex_orig!$AO84</f>
        <v>3.6702367043394698E-4</v>
      </c>
      <c r="AW84" s="188">
        <f>opex_orig!$AO84</f>
        <v>3.6702367043394698E-4</v>
      </c>
      <c r="AX84" s="188">
        <f>opex_orig!$AP84</f>
        <v>3.7492763881250398E-4</v>
      </c>
      <c r="AY84" s="188">
        <f>opex_orig!AQ84</f>
        <v>1.3159700000000001E-4</v>
      </c>
      <c r="AZ84" s="188">
        <f>opex_orig!AR84</f>
        <v>0</v>
      </c>
      <c r="BA84" s="188">
        <f>opex_orig!AS84</f>
        <v>2.2452610000000001E-3</v>
      </c>
      <c r="BB84" s="188">
        <f>opex_orig!AT84</f>
        <v>2.4236399999999999E-3</v>
      </c>
      <c r="BC84" s="188">
        <f>opex_orig!AU84</f>
        <v>3.1300000000000002E-8</v>
      </c>
      <c r="BD84" s="188">
        <f>opex_orig!AV84</f>
        <v>2.4900000000000001E-8</v>
      </c>
      <c r="BE84" s="188">
        <f>opex_orig!AW84</f>
        <v>1.8552099999999999E-3</v>
      </c>
      <c r="BF84" s="188">
        <f>opex_orig!AX84</f>
        <v>0</v>
      </c>
      <c r="BG84" s="188">
        <f>opex_orig!AY84</f>
        <v>8.4431990000000002E-3</v>
      </c>
      <c r="BH84" s="188">
        <f>opex_orig!AZ84</f>
        <v>0</v>
      </c>
      <c r="BI84" s="188">
        <f>opex_orig!BA84</f>
        <v>7.9186000000000002E-4</v>
      </c>
      <c r="BJ84" s="188">
        <f>opex_orig!BB84</f>
        <v>1.17924E-4</v>
      </c>
      <c r="BK84" s="188">
        <f>opex_orig!BC84</f>
        <v>1.05295E-4</v>
      </c>
      <c r="BL84" s="188">
        <f>opex_orig!BD84</f>
        <v>1.53E-6</v>
      </c>
      <c r="BM84" s="188">
        <f>opex_orig!BE84</f>
        <v>9.1500000000000001E-5</v>
      </c>
      <c r="BN84" s="188">
        <f>opex_orig!BF84</f>
        <v>1.0100000000000001E-6</v>
      </c>
      <c r="BO84" s="188">
        <f>opex_orig!BG84</f>
        <v>6.0000000000000002E-5</v>
      </c>
      <c r="BP84" s="188">
        <f>opex_orig!$BH84</f>
        <v>7.0829288802974696E-6</v>
      </c>
      <c r="BQ84" s="188">
        <f>opex_orig!$BH84</f>
        <v>7.0829288802974696E-6</v>
      </c>
      <c r="BR84" s="188">
        <f>opex_orig!BI84</f>
        <v>8.3999999999999995E-5</v>
      </c>
      <c r="BS84" s="188">
        <f>opex_orig!BJ84</f>
        <v>3.38628E-4</v>
      </c>
      <c r="BT84" s="188">
        <f>opex_orig!BK84</f>
        <v>5.0250999999999996E-4</v>
      </c>
      <c r="BU84" s="188">
        <f>opex_orig!BL84</f>
        <v>0</v>
      </c>
      <c r="BV84" s="27">
        <f>opex_orig!BM84</f>
        <v>2.0712417064868401E-7</v>
      </c>
      <c r="BW84" s="27">
        <f>opex_orig!BN84</f>
        <v>2.8328601953452798E-7</v>
      </c>
      <c r="BX84" s="27">
        <f>opex_orig!BO84</f>
        <v>3.89805725116517E-8</v>
      </c>
      <c r="BY84" s="27">
        <f>opex_orig!BP84</f>
        <v>4.6851485057264701E-8</v>
      </c>
      <c r="BZ84" s="27">
        <f>opex_orig!BQ84</f>
        <v>3.3206537214747597E-8</v>
      </c>
      <c r="CA84" s="27">
        <f>opex_orig!BR84</f>
        <v>7.8604909072974002E-8</v>
      </c>
      <c r="CB84" s="27">
        <f>opex_orig!BS84</f>
        <v>2.4697540768162898E-7</v>
      </c>
      <c r="CC84" s="27">
        <f>opex_orig!BT84</f>
        <v>9.53467422533602E-7</v>
      </c>
      <c r="CD84" s="27">
        <f>opex_orig!BU84</f>
        <v>2.1324305506285199E-8</v>
      </c>
      <c r="CE84" s="27">
        <f>opex_orig!BV84</f>
        <v>2.1324305506285199E-8</v>
      </c>
      <c r="CF84" s="27">
        <f>opex_orig!BW84</f>
        <v>1.71849031988797E-8</v>
      </c>
      <c r="CG84" s="27">
        <f>opex_orig!BX84</f>
        <v>3.08678492730288E-7</v>
      </c>
      <c r="CH84" s="27">
        <f>opex_orig!BY84</f>
        <v>2.05415151076479E-9</v>
      </c>
      <c r="CI84" s="27">
        <f>opex_orig!BZ84</f>
        <v>1.8300000000000001E-7</v>
      </c>
      <c r="CJ84" s="27">
        <f>opex_orig!CA84</f>
        <v>1.3899999999999999E-7</v>
      </c>
      <c r="CK84" s="27">
        <f>opex_orig!CB84</f>
        <v>4.3299999999999997E-8</v>
      </c>
      <c r="CL84" s="27">
        <f>opex_orig!CC84</f>
        <v>4.2699999999999999E-8</v>
      </c>
      <c r="CM84" s="27">
        <f>opex_orig!CD84</f>
        <v>6.1799999999999995E-7</v>
      </c>
      <c r="CN84" s="27">
        <f>opex_orig!CE84</f>
        <v>1.6299999999999999E-7</v>
      </c>
      <c r="CO84" s="27">
        <f>opex_orig!CF84</f>
        <v>6.3199999999999996E-6</v>
      </c>
      <c r="CP84" s="27">
        <f>opex_orig!CG84</f>
        <v>6.4300000000000003E-7</v>
      </c>
    </row>
    <row r="85" spans="1:94" x14ac:dyDescent="0.25">
      <c r="A85" s="5" t="s">
        <v>189</v>
      </c>
      <c r="B85" s="2" t="s">
        <v>188</v>
      </c>
      <c r="C85" s="1" t="s">
        <v>329</v>
      </c>
      <c r="D85" s="188">
        <f>opex_orig!D85</f>
        <v>8.5400000000000002E-5</v>
      </c>
      <c r="E85" s="188">
        <f>opex_orig!E85</f>
        <v>4.8099999999999997E-5</v>
      </c>
      <c r="F85" s="188">
        <f>opex_orig!F85</f>
        <v>3.3699999999999999E-5</v>
      </c>
      <c r="G85" s="188">
        <f>opex_orig!G85</f>
        <v>4.9200000000000003E-6</v>
      </c>
      <c r="H85" s="188">
        <f>opex_orig!H85</f>
        <v>8.8300000000000002E-6</v>
      </c>
      <c r="I85" s="188">
        <f>opex_orig!I85</f>
        <v>1.14082E-4</v>
      </c>
      <c r="J85" s="188">
        <f>opex_orig!J85</f>
        <v>1.33392E-4</v>
      </c>
      <c r="K85" s="188">
        <f>opex_orig!K85</f>
        <v>1.5500000000000001E-5</v>
      </c>
      <c r="L85" s="188">
        <f>opex_orig!L85</f>
        <v>9.4400000000000004E-5</v>
      </c>
      <c r="M85" s="188">
        <f>opex_orig!M85</f>
        <v>2.7483500000000002E-4</v>
      </c>
      <c r="N85" s="188">
        <f>opex_orig!N85</f>
        <v>1.483E-4</v>
      </c>
      <c r="O85" s="188">
        <f>opex_orig!O85</f>
        <v>1.194227E-3</v>
      </c>
      <c r="P85" s="188">
        <f>opex_orig!P85</f>
        <v>1.98679E-4</v>
      </c>
      <c r="Q85" s="188">
        <f>opex_orig!Q85</f>
        <v>9.59E-5</v>
      </c>
      <c r="R85" s="188">
        <f>opex_orig!R85</f>
        <v>9.8200000000000002E-5</v>
      </c>
      <c r="S85" s="188">
        <f>opex_orig!S85</f>
        <v>2.9986699999999999E-4</v>
      </c>
      <c r="T85" s="188">
        <f>opex_orig!T85</f>
        <v>5.1825000000000005E-4</v>
      </c>
      <c r="U85" s="188">
        <f>opex_orig!U85</f>
        <v>3.3523E-4</v>
      </c>
      <c r="V85" s="188">
        <f>opex_orig!V85</f>
        <v>3.4419600000000001E-4</v>
      </c>
      <c r="W85" s="188">
        <f>opex_orig!W85</f>
        <v>3.59489E-4</v>
      </c>
      <c r="X85" s="188">
        <f>opex_orig!X85</f>
        <v>7.0500000000000006E-5</v>
      </c>
      <c r="Y85" s="188">
        <f>opex_orig!Y85</f>
        <v>6.4455899999999995E-4</v>
      </c>
      <c r="Z85" s="188">
        <f>opex_orig!Z85</f>
        <v>6.1211900000000005E-4</v>
      </c>
      <c r="AA85" s="188">
        <f>opex_orig!AA85</f>
        <v>8.9073199999999998E-4</v>
      </c>
      <c r="AB85" s="188">
        <f>opex_orig!$AB85</f>
        <v>7.5522760802157696E-5</v>
      </c>
      <c r="AC85" s="188">
        <f>opex_orig!$AB85</f>
        <v>7.5522760802157696E-5</v>
      </c>
      <c r="AD85" s="188">
        <f>opex_orig!$AB85</f>
        <v>7.5522760802157696E-5</v>
      </c>
      <c r="AE85" s="188">
        <f>opex_orig!$AC85</f>
        <v>1.92548061627304E-4</v>
      </c>
      <c r="AF85" s="188">
        <f>opex_orig!$AD85</f>
        <v>2.21789908323414E-4</v>
      </c>
      <c r="AG85" s="188">
        <f>opex_orig!$AD85</f>
        <v>2.21789908323414E-4</v>
      </c>
      <c r="AH85" s="188">
        <f>opex_orig!$AD85</f>
        <v>2.21789908323414E-4</v>
      </c>
      <c r="AI85" s="188">
        <f>opex_orig!AE85</f>
        <v>1.82282E-4</v>
      </c>
      <c r="AJ85" s="188">
        <f>opex_orig!AF85</f>
        <v>5.9412899999999999E-4</v>
      </c>
      <c r="AK85" s="188">
        <f>opex_orig!AG85</f>
        <v>1.005064E-3</v>
      </c>
      <c r="AL85" s="188">
        <f>opex_orig!AH85</f>
        <v>2.8414299999999999E-4</v>
      </c>
      <c r="AM85" s="188">
        <f>opex_orig!AI85</f>
        <v>4.54473E-4</v>
      </c>
      <c r="AN85" s="188">
        <f>opex_orig!AJ85</f>
        <v>4.0474400000000001E-4</v>
      </c>
      <c r="AO85" s="188">
        <f>opex_orig!AK85</f>
        <v>4.4417700000000003E-4</v>
      </c>
      <c r="AP85" s="188">
        <f>opex_orig!$AL85</f>
        <v>1.43372700206412E-3</v>
      </c>
      <c r="AQ85" s="188">
        <f>opex_orig!$AL85</f>
        <v>1.43372700206412E-3</v>
      </c>
      <c r="AR85" s="188">
        <f>opex_orig!$AL85</f>
        <v>1.43372700206412E-3</v>
      </c>
      <c r="AS85" s="188">
        <f>opex_orig!$AM85</f>
        <v>1.3148948221556099E-3</v>
      </c>
      <c r="AT85" s="188">
        <f>opex_orig!AN85</f>
        <v>1.335288E-3</v>
      </c>
      <c r="AU85" s="244">
        <f>opex_concordance!M591</f>
        <v>6.1665820241484093E-2</v>
      </c>
      <c r="AV85" s="244">
        <f>opex_concordance!M637</f>
        <v>6.4670378368284154E-2</v>
      </c>
      <c r="AW85" s="244">
        <f>opex_concordance!M683</f>
        <v>5.5483330915377597E-2</v>
      </c>
      <c r="AX85" s="188">
        <f>opex_orig!$AP85</f>
        <v>7.2741771567330402E-2</v>
      </c>
      <c r="AY85" s="188">
        <f>opex_orig!AQ85</f>
        <v>1.2459138999999999E-2</v>
      </c>
      <c r="AZ85" s="188">
        <f>opex_orig!AR85</f>
        <v>0</v>
      </c>
      <c r="BA85" s="188">
        <f>opex_orig!AS85</f>
        <v>8.3381050000000002E-3</v>
      </c>
      <c r="BB85" s="188">
        <f>opex_orig!AT85</f>
        <v>6.876269E-3</v>
      </c>
      <c r="BC85" s="188">
        <f>opex_orig!AU85</f>
        <v>1.9055020000000001E-3</v>
      </c>
      <c r="BD85" s="188">
        <f>opex_orig!AV85</f>
        <v>1.2186230000000001E-3</v>
      </c>
      <c r="BE85" s="188">
        <f>opex_orig!AW85</f>
        <v>3.7425190000000001E-3</v>
      </c>
      <c r="BF85" s="188">
        <f>opex_orig!AX85</f>
        <v>0</v>
      </c>
      <c r="BG85" s="188">
        <f>opex_orig!AY85</f>
        <v>4.5298500000000002E-3</v>
      </c>
      <c r="BH85" s="188">
        <f>opex_orig!AZ85</f>
        <v>0</v>
      </c>
      <c r="BI85" s="188">
        <f>opex_orig!BA85</f>
        <v>7.3945383000000003E-2</v>
      </c>
      <c r="BJ85" s="188">
        <f>opex_orig!BB85</f>
        <v>2.0617785E-2</v>
      </c>
      <c r="BK85" s="188">
        <f>opex_orig!BC85</f>
        <v>4.2783024000000003E-2</v>
      </c>
      <c r="BL85" s="188">
        <f>opex_orig!BD85</f>
        <v>3.9954900000000002E-4</v>
      </c>
      <c r="BM85" s="188">
        <f>opex_orig!BE85</f>
        <v>5.3924523000000002E-2</v>
      </c>
      <c r="BN85" s="188">
        <f>opex_orig!BF85</f>
        <v>3.6065700000000001E-4</v>
      </c>
      <c r="BO85" s="188">
        <f>opex_orig!BG85</f>
        <v>7.310782E-3</v>
      </c>
      <c r="BP85" s="244">
        <f>opex_concordance!M89</f>
        <v>1.4769130736804663E-2</v>
      </c>
      <c r="BQ85" s="244">
        <f>opex_concordance!M132</f>
        <v>1.0275869979605595E-2</v>
      </c>
      <c r="BR85" s="188">
        <f>opex_orig!BI85</f>
        <v>1.9334611000000002E-2</v>
      </c>
      <c r="BS85" s="188">
        <f>opex_orig!BJ85</f>
        <v>4.2557769999999997E-3</v>
      </c>
      <c r="BT85" s="188">
        <f>opex_orig!BK85</f>
        <v>2.1621950000000001E-2</v>
      </c>
      <c r="BU85" s="188">
        <f>opex_orig!BL85</f>
        <v>0</v>
      </c>
      <c r="BV85" s="27">
        <f>opex_orig!BM85</f>
        <v>1.9249048856374699E-4</v>
      </c>
      <c r="BW85" s="27">
        <f>opex_orig!BN85</f>
        <v>3.7767319476146398E-4</v>
      </c>
      <c r="BX85" s="27">
        <f>opex_orig!BO85</f>
        <v>6.3179812383657103E-5</v>
      </c>
      <c r="BY85" s="27">
        <f>opex_orig!BP85</f>
        <v>5.8495442033825303E-5</v>
      </c>
      <c r="BZ85" s="27">
        <f>opex_orig!BQ85</f>
        <v>4.9104388573427899E-5</v>
      </c>
      <c r="CA85" s="27">
        <f>opex_orig!BR85</f>
        <v>7.1996741179571999E-4</v>
      </c>
      <c r="CB85" s="27">
        <f>opex_orig!BS85</f>
        <v>3.04596919345065E-4</v>
      </c>
      <c r="CC85" s="27">
        <f>opex_orig!BT85</f>
        <v>6.7430035739826297E-4</v>
      </c>
      <c r="CD85" s="27">
        <f>opex_orig!BU85</f>
        <v>2.34081359267076E-5</v>
      </c>
      <c r="CE85" s="27">
        <f>opex_orig!BV85</f>
        <v>2.3408135926707702E-5</v>
      </c>
      <c r="CF85" s="27">
        <f>opex_orig!BW85</f>
        <v>6.0319627475132003E-5</v>
      </c>
      <c r="CG85" s="27">
        <f>opex_orig!BX85</f>
        <v>1.1007546865164701E-5</v>
      </c>
      <c r="CH85" s="27">
        <f>opex_orig!BY85</f>
        <v>1.7059101685800998E-5</v>
      </c>
      <c r="CI85" s="27">
        <f>opex_orig!BZ85</f>
        <v>1.4079000000000001E-4</v>
      </c>
      <c r="CJ85" s="27">
        <f>opex_orig!CA85</f>
        <v>2.3855799999999999E-4</v>
      </c>
      <c r="CK85" s="27">
        <f>opex_orig!CB85</f>
        <v>2.1511600000000001E-4</v>
      </c>
      <c r="CL85" s="27">
        <f>opex_orig!CC85</f>
        <v>7.7679300000000001E-4</v>
      </c>
      <c r="CM85" s="27">
        <f>opex_orig!CD85</f>
        <v>4.2489399999999999E-4</v>
      </c>
      <c r="CN85" s="27">
        <f>opex_orig!CE85</f>
        <v>1.282369E-3</v>
      </c>
      <c r="CO85" s="27">
        <f>opex_orig!CF85</f>
        <v>3.767065E-3</v>
      </c>
      <c r="CP85" s="27">
        <f>opex_orig!CG85</f>
        <v>9.9699999999999998E-5</v>
      </c>
    </row>
    <row r="86" spans="1:94" x14ac:dyDescent="0.25">
      <c r="A86" s="5" t="s">
        <v>191</v>
      </c>
      <c r="B86" s="2" t="s">
        <v>190</v>
      </c>
      <c r="C86" s="1" t="s">
        <v>329</v>
      </c>
      <c r="D86" s="188">
        <f>opex_orig!D86</f>
        <v>3.8593569999999999E-3</v>
      </c>
      <c r="E86" s="188">
        <f>opex_orig!E86</f>
        <v>1.912307E-3</v>
      </c>
      <c r="F86" s="188">
        <f>opex_orig!F86</f>
        <v>1.1821150000000001E-3</v>
      </c>
      <c r="G86" s="188">
        <f>opex_orig!G86</f>
        <v>1.9836800000000001E-4</v>
      </c>
      <c r="H86" s="188">
        <f>opex_orig!H86</f>
        <v>3.6166600000000002E-4</v>
      </c>
      <c r="I86" s="188">
        <f>opex_orig!I86</f>
        <v>5.0774749999999997E-3</v>
      </c>
      <c r="J86" s="188">
        <f>opex_orig!J86</f>
        <v>3.993618E-3</v>
      </c>
      <c r="K86" s="188">
        <f>opex_orig!K86</f>
        <v>6.0698999999999996E-4</v>
      </c>
      <c r="L86" s="188">
        <f>opex_orig!L86</f>
        <v>2.6696020000000001E-3</v>
      </c>
      <c r="M86" s="188">
        <f>opex_orig!M86</f>
        <v>6.2216260000000001E-3</v>
      </c>
      <c r="N86" s="188">
        <f>opex_orig!N86</f>
        <v>3.8385379999999998E-3</v>
      </c>
      <c r="O86" s="188">
        <f>opex_orig!O86</f>
        <v>3.181087E-3</v>
      </c>
      <c r="P86" s="188">
        <f>opex_orig!P86</f>
        <v>1.0545827000000001E-2</v>
      </c>
      <c r="Q86" s="188">
        <f>opex_orig!Q86</f>
        <v>3.9442119999999999E-3</v>
      </c>
      <c r="R86" s="188">
        <f>opex_orig!R86</f>
        <v>3.3537440000000001E-3</v>
      </c>
      <c r="S86" s="188">
        <f>opex_orig!S86</f>
        <v>1.3905735000000001E-2</v>
      </c>
      <c r="T86" s="188">
        <f>opex_orig!T86</f>
        <v>1.4978831E-2</v>
      </c>
      <c r="U86" s="188">
        <f>opex_orig!U86</f>
        <v>1.090173E-2</v>
      </c>
      <c r="V86" s="188">
        <f>opex_orig!V86</f>
        <v>1.2988553999999999E-2</v>
      </c>
      <c r="W86" s="188">
        <f>opex_orig!W86</f>
        <v>9.2983479999999997E-3</v>
      </c>
      <c r="X86" s="188">
        <f>opex_orig!X86</f>
        <v>1.116304E-3</v>
      </c>
      <c r="Y86" s="188">
        <f>opex_orig!Y86</f>
        <v>3.5476290000000001E-3</v>
      </c>
      <c r="Z86" s="188">
        <f>opex_orig!Z86</f>
        <v>5.1053720000000004E-3</v>
      </c>
      <c r="AA86" s="188">
        <f>opex_orig!AA86</f>
        <v>5.3654151999999997E-2</v>
      </c>
      <c r="AB86" s="188">
        <f>opex_orig!$AB86</f>
        <v>8.8062495485758297E-4</v>
      </c>
      <c r="AC86" s="188">
        <f>opex_orig!$AB86</f>
        <v>8.8062495485758297E-4</v>
      </c>
      <c r="AD86" s="188">
        <f>opex_orig!$AB86</f>
        <v>8.8062495485758297E-4</v>
      </c>
      <c r="AE86" s="188">
        <f>opex_orig!$AC86</f>
        <v>3.62569614846181E-3</v>
      </c>
      <c r="AF86" s="188">
        <f>opex_orig!$AD86</f>
        <v>1.4774513054240199E-3</v>
      </c>
      <c r="AG86" s="188">
        <f>opex_orig!$AD86</f>
        <v>1.4774513054240199E-3</v>
      </c>
      <c r="AH86" s="188">
        <f>opex_orig!$AD86</f>
        <v>1.4774513054240199E-3</v>
      </c>
      <c r="AI86" s="188">
        <f>opex_orig!AE86</f>
        <v>1.318261E-3</v>
      </c>
      <c r="AJ86" s="188">
        <f>opex_orig!AF86</f>
        <v>2.1080324000000001E-2</v>
      </c>
      <c r="AK86" s="188">
        <f>opex_orig!AG86</f>
        <v>1.8742182E-2</v>
      </c>
      <c r="AL86" s="188">
        <f>opex_orig!AH86</f>
        <v>8.2674250000000001E-3</v>
      </c>
      <c r="AM86" s="188">
        <f>opex_orig!AI86</f>
        <v>1.2092543000000001E-2</v>
      </c>
      <c r="AN86" s="188">
        <f>opex_orig!AJ86</f>
        <v>9.9806730000000007E-3</v>
      </c>
      <c r="AO86" s="188">
        <f>opex_orig!AK86</f>
        <v>6.9467640000000002E-3</v>
      </c>
      <c r="AP86" s="341">
        <f>opex_concordance!M442</f>
        <v>1.06613766790528E-2</v>
      </c>
      <c r="AQ86" s="341">
        <f>opex_concordance!M496</f>
        <v>8.5801753684382129E-3</v>
      </c>
      <c r="AR86" s="341">
        <f>opex_concordance!M550</f>
        <v>9.4159926481281134E-3</v>
      </c>
      <c r="AS86" s="188">
        <f>opex_orig!$AM86</f>
        <v>9.8672428912474491E-3</v>
      </c>
      <c r="AT86" s="188">
        <f>opex_orig!AN86</f>
        <v>1.5378938E-2</v>
      </c>
      <c r="AU86" s="341">
        <f>opex_concordance!M565</f>
        <v>8.6184981834572197E-2</v>
      </c>
      <c r="AV86" s="341">
        <f>opex_concordance!M611</f>
        <v>8.6861715379470905E-2</v>
      </c>
      <c r="AW86" s="341">
        <f>opex_concordance!M657</f>
        <v>7.6687970607205544E-2</v>
      </c>
      <c r="AX86" s="188">
        <f>opex_orig!$AP86</f>
        <v>9.8934798526672196E-2</v>
      </c>
      <c r="AY86" s="188">
        <f>opex_orig!AQ86</f>
        <v>9.6366254999999998E-2</v>
      </c>
      <c r="AZ86" s="188">
        <f>opex_orig!AR86</f>
        <v>0</v>
      </c>
      <c r="BA86" s="188">
        <f>opex_orig!AS86</f>
        <v>8.5758824999999997E-2</v>
      </c>
      <c r="BB86" s="188">
        <f>opex_orig!AT86</f>
        <v>8.3580156000000003E-2</v>
      </c>
      <c r="BC86" s="188">
        <f>opex_orig!AU86</f>
        <v>1.9340386000000001E-2</v>
      </c>
      <c r="BD86" s="188">
        <f>opex_orig!AV86</f>
        <v>1.4899427E-2</v>
      </c>
      <c r="BE86" s="188">
        <f>opex_orig!AW86</f>
        <v>5.2399528000000001E-2</v>
      </c>
      <c r="BF86" s="188">
        <f>opex_orig!AX86</f>
        <v>0</v>
      </c>
      <c r="BG86" s="188">
        <f>opex_orig!AY86</f>
        <v>5.1945009E-2</v>
      </c>
      <c r="BH86" s="188">
        <f>opex_orig!AZ86</f>
        <v>0</v>
      </c>
      <c r="BI86" s="188">
        <f>opex_orig!BA86</f>
        <v>0.16032344600000001</v>
      </c>
      <c r="BJ86" s="188">
        <f>opex_orig!BB86</f>
        <v>0.32645389200000002</v>
      </c>
      <c r="BK86" s="188">
        <f>opex_orig!BC86</f>
        <v>0.183599815</v>
      </c>
      <c r="BL86" s="188">
        <f>opex_orig!BD86</f>
        <v>5.8480720000000002E-3</v>
      </c>
      <c r="BM86" s="188">
        <f>opex_orig!BE86</f>
        <v>5.7247841000000001E-2</v>
      </c>
      <c r="BN86" s="188">
        <f>opex_orig!BF86</f>
        <v>6.9208070000000002E-3</v>
      </c>
      <c r="BO86" s="188">
        <f>opex_orig!BG86</f>
        <v>2.1999399999999999E-2</v>
      </c>
      <c r="BP86" s="243">
        <f>opex_concordance!M90</f>
        <v>2.2467585089829233E-2</v>
      </c>
      <c r="BQ86" s="243">
        <f>opex_concordance!M133</f>
        <v>1.5632198485688302E-2</v>
      </c>
      <c r="BR86" s="188">
        <f>opex_orig!BI86</f>
        <v>1.8108604E-2</v>
      </c>
      <c r="BS86" s="188">
        <f>opex_orig!BJ86</f>
        <v>6.0179692E-2</v>
      </c>
      <c r="BT86" s="188">
        <f>opex_orig!BK86</f>
        <v>1.0796735999999999E-2</v>
      </c>
      <c r="BU86" s="188">
        <f>opex_orig!BL86</f>
        <v>0</v>
      </c>
      <c r="BV86" s="27">
        <f>opex_orig!BM86</f>
        <v>2.87680237992269E-3</v>
      </c>
      <c r="BW86" s="27">
        <f>opex_orig!BN86</f>
        <v>5.4951852727337701E-3</v>
      </c>
      <c r="BX86" s="27">
        <f>opex_orig!BO86</f>
        <v>1.4139459840396701E-3</v>
      </c>
      <c r="BY86" s="27">
        <f>opex_orig!BP86</f>
        <v>1.03662810863545E-3</v>
      </c>
      <c r="BZ86" s="27">
        <f>opex_orig!BQ86</f>
        <v>9.9895795080199895E-4</v>
      </c>
      <c r="CA86" s="27">
        <f>opex_orig!BR86</f>
        <v>3.1294821900973899E-3</v>
      </c>
      <c r="CB86" s="27">
        <f>opex_orig!BS86</f>
        <v>3.23948168443902E-3</v>
      </c>
      <c r="CC86" s="27">
        <f>opex_orig!BT86</f>
        <v>4.6281821114931498E-4</v>
      </c>
      <c r="CD86" s="27">
        <f>opex_orig!BU86</f>
        <v>9.6843697588147202E-4</v>
      </c>
      <c r="CE86" s="27">
        <f>opex_orig!BV86</f>
        <v>9.6843697588147495E-4</v>
      </c>
      <c r="CF86" s="27">
        <f>opex_orig!BW86</f>
        <v>5.9066432768137504E-3</v>
      </c>
      <c r="CG86" s="27">
        <f>opex_orig!BX86</f>
        <v>1.2295645877325901E-4</v>
      </c>
      <c r="CH86" s="27">
        <f>opex_orig!BY86</f>
        <v>8.25421684622216E-5</v>
      </c>
      <c r="CI86" s="27">
        <f>opex_orig!BZ86</f>
        <v>2.440472E-3</v>
      </c>
      <c r="CJ86" s="27">
        <f>opex_orig!CA86</f>
        <v>1.620256E-3</v>
      </c>
      <c r="CK86" s="27">
        <f>opex_orig!CB86</f>
        <v>1.765352E-3</v>
      </c>
      <c r="CL86" s="27">
        <f>opex_orig!CC86</f>
        <v>7.1565400000000003E-4</v>
      </c>
      <c r="CM86" s="27">
        <f>opex_orig!CD86</f>
        <v>7.107744E-3</v>
      </c>
      <c r="CN86" s="27">
        <f>opex_orig!CE86</f>
        <v>4.0076549999999997E-3</v>
      </c>
      <c r="CO86" s="27">
        <f>opex_orig!CF86</f>
        <v>7.63622E-3</v>
      </c>
      <c r="CP86" s="27">
        <f>opex_orig!CG86</f>
        <v>5.1541399999999995E-4</v>
      </c>
    </row>
    <row r="87" spans="1:94" x14ac:dyDescent="0.25">
      <c r="A87" s="5" t="s">
        <v>193</v>
      </c>
      <c r="B87" s="2" t="s">
        <v>192</v>
      </c>
      <c r="C87" s="1" t="s">
        <v>329</v>
      </c>
      <c r="D87" s="188">
        <f>opex_orig!D87</f>
        <v>1.8340940000000001E-3</v>
      </c>
      <c r="E87" s="188">
        <f>opex_orig!E87</f>
        <v>5.6154100000000004E-4</v>
      </c>
      <c r="F87" s="188">
        <f>opex_orig!F87</f>
        <v>4.5557799999999999E-4</v>
      </c>
      <c r="G87" s="188">
        <f>opex_orig!G87</f>
        <v>9.2399999999999996E-5</v>
      </c>
      <c r="H87" s="188">
        <f>opex_orig!H87</f>
        <v>1.47539E-4</v>
      </c>
      <c r="I87" s="188">
        <f>opex_orig!I87</f>
        <v>1.0723830000000001E-3</v>
      </c>
      <c r="J87" s="188">
        <f>opex_orig!J87</f>
        <v>1.545804E-3</v>
      </c>
      <c r="K87" s="188">
        <f>opex_orig!K87</f>
        <v>2.9250100000000002E-4</v>
      </c>
      <c r="L87" s="188">
        <f>opex_orig!L87</f>
        <v>9.2884700000000001E-4</v>
      </c>
      <c r="M87" s="188">
        <f>opex_orig!M87</f>
        <v>2.8490189999999999E-3</v>
      </c>
      <c r="N87" s="188">
        <f>opex_orig!N87</f>
        <v>1.45874E-3</v>
      </c>
      <c r="O87" s="188">
        <f>opex_orig!O87</f>
        <v>1.525656E-3</v>
      </c>
      <c r="P87" s="188">
        <f>opex_orig!P87</f>
        <v>3.6125739999999999E-3</v>
      </c>
      <c r="Q87" s="188">
        <f>opex_orig!Q87</f>
        <v>1.1219800000000001E-3</v>
      </c>
      <c r="R87" s="188">
        <f>opex_orig!R87</f>
        <v>1.33091E-3</v>
      </c>
      <c r="S87" s="188">
        <f>opex_orig!S87</f>
        <v>8.5429080000000001E-3</v>
      </c>
      <c r="T87" s="188">
        <f>opex_orig!T87</f>
        <v>8.9727379999999992E-3</v>
      </c>
      <c r="U87" s="188">
        <f>opex_orig!U87</f>
        <v>7.0094370000000003E-3</v>
      </c>
      <c r="V87" s="188">
        <f>opex_orig!V87</f>
        <v>9.2423190000000006E-3</v>
      </c>
      <c r="W87" s="188">
        <f>opex_orig!W87</f>
        <v>4.6881240000000001E-3</v>
      </c>
      <c r="X87" s="188">
        <f>opex_orig!X87</f>
        <v>3.060185E-3</v>
      </c>
      <c r="Y87" s="188">
        <f>opex_orig!Y87</f>
        <v>1.089788E-3</v>
      </c>
      <c r="Z87" s="188">
        <f>opex_orig!Z87</f>
        <v>4.5378809999999997E-3</v>
      </c>
      <c r="AA87" s="188">
        <f>opex_orig!AA87</f>
        <v>7.0657080000000004E-3</v>
      </c>
      <c r="AB87" s="188">
        <f>opex_orig!$AB87</f>
        <v>1.2975767643744101E-3</v>
      </c>
      <c r="AC87" s="188">
        <f>opex_orig!$AB87</f>
        <v>1.2975767643744101E-3</v>
      </c>
      <c r="AD87" s="188">
        <f>opex_orig!$AB87</f>
        <v>1.2975767643744101E-3</v>
      </c>
      <c r="AE87" s="188">
        <f>opex_orig!$AC87</f>
        <v>2.8694198441743301E-3</v>
      </c>
      <c r="AF87" s="188">
        <f>opex_orig!$AD87</f>
        <v>4.3430533472242801E-3</v>
      </c>
      <c r="AG87" s="188">
        <f>opex_orig!$AD87</f>
        <v>4.3430533472242801E-3</v>
      </c>
      <c r="AH87" s="188">
        <f>opex_orig!$AD87</f>
        <v>4.3430533472242801E-3</v>
      </c>
      <c r="AI87" s="188">
        <f>opex_orig!AE87</f>
        <v>4.5659400000000001E-3</v>
      </c>
      <c r="AJ87" s="188">
        <f>opex_orig!AF87</f>
        <v>1.6535828999999998E-2</v>
      </c>
      <c r="AK87" s="188">
        <f>opex_orig!AG87</f>
        <v>1.7712272000000001E-2</v>
      </c>
      <c r="AL87" s="188">
        <f>opex_orig!AH87</f>
        <v>4.3649193000000003E-2</v>
      </c>
      <c r="AM87" s="188">
        <f>opex_orig!AI87</f>
        <v>7.2297543000000006E-2</v>
      </c>
      <c r="AN87" s="188">
        <f>opex_orig!AJ87</f>
        <v>5.2838354999999997E-2</v>
      </c>
      <c r="AO87" s="188">
        <f>opex_orig!AK87</f>
        <v>3.6037536000000002E-2</v>
      </c>
      <c r="AP87" s="342">
        <f>opex_concordance!M443</f>
        <v>4.42024715405148E-2</v>
      </c>
      <c r="AQ87" s="342">
        <f>opex_concordance!M497</f>
        <v>3.557373207544446E-2</v>
      </c>
      <c r="AR87" s="342">
        <f>opex_concordance!M551</f>
        <v>3.9039062175932553E-2</v>
      </c>
      <c r="AS87" s="188">
        <f>opex_orig!$AM87</f>
        <v>3.9192696964078302E-2</v>
      </c>
      <c r="AT87" s="188">
        <f>opex_orig!AN87</f>
        <v>6.5991039000000001E-2</v>
      </c>
      <c r="AU87" s="342">
        <f>opex_concordance!M601</f>
        <v>7.6912936999679804E-3</v>
      </c>
      <c r="AV87" s="342">
        <f>opex_concordance!M647</f>
        <v>1.0448595385826801E-2</v>
      </c>
      <c r="AW87" s="342">
        <f>opex_concordance!M693</f>
        <v>8.625552723194525E-3</v>
      </c>
      <c r="AX87" s="188">
        <f>opex_orig!$AP87</f>
        <v>8.9259323874253896E-3</v>
      </c>
      <c r="AY87" s="188">
        <f>opex_orig!AQ87</f>
        <v>1.3345499E-2</v>
      </c>
      <c r="AZ87" s="188">
        <f>opex_orig!AR87</f>
        <v>0</v>
      </c>
      <c r="BA87" s="188">
        <f>opex_orig!AS87</f>
        <v>1.1442384E-2</v>
      </c>
      <c r="BB87" s="188">
        <f>opex_orig!AT87</f>
        <v>1.2340429E-2</v>
      </c>
      <c r="BC87" s="188">
        <f>opex_orig!AU87</f>
        <v>2.5579180000000002E-3</v>
      </c>
      <c r="BD87" s="188">
        <f>opex_orig!AV87</f>
        <v>2.2077799999999999E-3</v>
      </c>
      <c r="BE87" s="188">
        <f>opex_orig!AW87</f>
        <v>7.9606320000000005E-3</v>
      </c>
      <c r="BF87" s="188">
        <f>opex_orig!AX87</f>
        <v>0</v>
      </c>
      <c r="BG87" s="188">
        <f>opex_orig!AY87</f>
        <v>5.3330740000000001E-3</v>
      </c>
      <c r="BH87" s="188">
        <f>opex_orig!AZ87</f>
        <v>0</v>
      </c>
      <c r="BI87" s="188">
        <f>opex_orig!BA87</f>
        <v>1.5688856000000001E-2</v>
      </c>
      <c r="BJ87" s="188">
        <f>opex_orig!BB87</f>
        <v>1.5969051000000001E-2</v>
      </c>
      <c r="BK87" s="188">
        <f>opex_orig!BC87</f>
        <v>1.3543713000000001E-2</v>
      </c>
      <c r="BL87" s="188">
        <f>opex_orig!BD87</f>
        <v>1.499615E-2</v>
      </c>
      <c r="BM87" s="188">
        <f>opex_orig!BE87</f>
        <v>5.5663517000000003E-2</v>
      </c>
      <c r="BN87" s="188">
        <f>opex_orig!BF87</f>
        <v>1.9001767999999999E-2</v>
      </c>
      <c r="BO87" s="188">
        <f>opex_orig!BG87</f>
        <v>4.8795264999999997E-2</v>
      </c>
      <c r="BP87" s="204">
        <f>opex_concordance!M74</f>
        <v>1.8174287759905285E-2</v>
      </c>
      <c r="BQ87" s="204">
        <f>opex_concordance!M117</f>
        <v>2.1027945039963334E-2</v>
      </c>
      <c r="BR87" s="188">
        <f>opex_orig!BI87</f>
        <v>7.6243725999999998E-2</v>
      </c>
      <c r="BS87" s="188">
        <f>opex_orig!BJ87</f>
        <v>1.365336E-2</v>
      </c>
      <c r="BT87" s="188">
        <f>opex_orig!BK87</f>
        <v>1.027521E-2</v>
      </c>
      <c r="BU87" s="188">
        <f>opex_orig!BL87</f>
        <v>0</v>
      </c>
      <c r="BV87" s="27">
        <f>opex_orig!BM87</f>
        <v>4.0390177797142497E-2</v>
      </c>
      <c r="BW87" s="27">
        <f>opex_orig!BN87</f>
        <v>1.81783029365724E-2</v>
      </c>
      <c r="BX87" s="27">
        <f>opex_orig!BO87</f>
        <v>2.7404594834053799E-2</v>
      </c>
      <c r="BY87" s="27">
        <f>opex_orig!BP87</f>
        <v>9.4115646099642899E-3</v>
      </c>
      <c r="BZ87" s="27">
        <f>opex_orig!BQ87</f>
        <v>6.73647933714119E-3</v>
      </c>
      <c r="CA87" s="27">
        <f>opex_orig!BR87</f>
        <v>9.9748182522043098E-4</v>
      </c>
      <c r="CB87" s="27">
        <f>opex_orig!BS87</f>
        <v>7.8799748357054403E-3</v>
      </c>
      <c r="CC87" s="27">
        <f>opex_orig!BT87</f>
        <v>1.24271921909558E-3</v>
      </c>
      <c r="CD87" s="27">
        <f>opex_orig!BU87</f>
        <v>8.3894151196640798E-3</v>
      </c>
      <c r="CE87" s="27">
        <f>opex_orig!BV87</f>
        <v>8.3894151196640902E-3</v>
      </c>
      <c r="CF87" s="27">
        <f>opex_orig!BW87</f>
        <v>1.3828060495321699E-3</v>
      </c>
      <c r="CG87" s="27">
        <f>opex_orig!BX87</f>
        <v>1.7155975225413599E-5</v>
      </c>
      <c r="CH87" s="27">
        <f>opex_orig!BY87</f>
        <v>5.6627615860247197E-5</v>
      </c>
      <c r="CI87" s="27">
        <f>opex_orig!BZ87</f>
        <v>1.6200198999999998E-2</v>
      </c>
      <c r="CJ87" s="27">
        <f>opex_orig!CA87</f>
        <v>1.7317949999999999E-2</v>
      </c>
      <c r="CK87" s="27">
        <f>opex_orig!CB87</f>
        <v>1.9184198999999999E-2</v>
      </c>
      <c r="CL87" s="27">
        <f>opex_orig!CC87</f>
        <v>9.0143600000000003E-4</v>
      </c>
      <c r="CM87" s="27">
        <f>opex_orig!CD87</f>
        <v>1.6661525E-2</v>
      </c>
      <c r="CN87" s="27">
        <f>opex_orig!CE87</f>
        <v>5.9550275999999999E-2</v>
      </c>
      <c r="CO87" s="27">
        <f>opex_orig!CF87</f>
        <v>1.9113374999999998E-2</v>
      </c>
      <c r="CP87" s="27">
        <f>opex_orig!CG87</f>
        <v>1.343487E-3</v>
      </c>
    </row>
    <row r="88" spans="1:94" x14ac:dyDescent="0.25">
      <c r="A88" s="5" t="s">
        <v>195</v>
      </c>
      <c r="B88" s="2" t="s">
        <v>194</v>
      </c>
      <c r="C88" s="1" t="s">
        <v>329</v>
      </c>
      <c r="D88" s="188">
        <f>opex_orig!D88</f>
        <v>1.04855E-4</v>
      </c>
      <c r="E88" s="188">
        <f>opex_orig!E88</f>
        <v>2.5439100000000002E-4</v>
      </c>
      <c r="F88" s="188">
        <f>opex_orig!F88</f>
        <v>2.0888159999999998E-3</v>
      </c>
      <c r="G88" s="188">
        <f>opex_orig!G88</f>
        <v>2.48E-6</v>
      </c>
      <c r="H88" s="188">
        <f>opex_orig!H88</f>
        <v>9.0199999999999997E-5</v>
      </c>
      <c r="I88" s="188">
        <f>opex_orig!I88</f>
        <v>8.0500000000000005E-5</v>
      </c>
      <c r="J88" s="188">
        <f>opex_orig!J88</f>
        <v>1.4201099999999999E-4</v>
      </c>
      <c r="K88" s="188">
        <f>opex_orig!K88</f>
        <v>5.3900000000000001E-6</v>
      </c>
      <c r="L88" s="188">
        <f>opex_orig!L88</f>
        <v>1.4445500000000001E-4</v>
      </c>
      <c r="M88" s="188">
        <f>opex_orig!M88</f>
        <v>1.5738199999999999E-4</v>
      </c>
      <c r="N88" s="188">
        <f>opex_orig!N88</f>
        <v>1.2258169999999999E-3</v>
      </c>
      <c r="O88" s="188">
        <f>opex_orig!O88</f>
        <v>1.355347E-3</v>
      </c>
      <c r="P88" s="188">
        <f>opex_orig!P88</f>
        <v>4.8000000000000001E-5</v>
      </c>
      <c r="Q88" s="188">
        <f>opex_orig!Q88</f>
        <v>5.7299999999999997E-5</v>
      </c>
      <c r="R88" s="188">
        <f>opex_orig!R88</f>
        <v>4.5068300000000001E-4</v>
      </c>
      <c r="S88" s="188">
        <f>opex_orig!S88</f>
        <v>7.4800000000000002E-5</v>
      </c>
      <c r="T88" s="188">
        <f>opex_orig!T88</f>
        <v>7.5799999999999999E-5</v>
      </c>
      <c r="U88" s="188">
        <f>opex_orig!U88</f>
        <v>2.2061699999999999E-4</v>
      </c>
      <c r="V88" s="188">
        <f>opex_orig!V88</f>
        <v>1.2287499999999999E-4</v>
      </c>
      <c r="W88" s="188">
        <f>opex_orig!W88</f>
        <v>9.2042399999999998E-4</v>
      </c>
      <c r="X88" s="188">
        <f>opex_orig!X88</f>
        <v>1.81578E-4</v>
      </c>
      <c r="Y88" s="188">
        <f>opex_orig!Y88</f>
        <v>2.9200000000000002E-5</v>
      </c>
      <c r="Z88" s="188">
        <f>opex_orig!Z88</f>
        <v>1.8251199999999999E-4</v>
      </c>
      <c r="AA88" s="188">
        <f>opex_orig!AA88</f>
        <v>8.7100000000000003E-5</v>
      </c>
      <c r="AB88" s="188">
        <f>opex_orig!$AB88</f>
        <v>7.5614508124041103E-6</v>
      </c>
      <c r="AC88" s="188">
        <f>opex_orig!$AB88</f>
        <v>7.5614508124041103E-6</v>
      </c>
      <c r="AD88" s="188">
        <f>opex_orig!$AB88</f>
        <v>7.5614508124041103E-6</v>
      </c>
      <c r="AE88" s="188">
        <f>opex_orig!$AC88</f>
        <v>2.2493855822139301E-5</v>
      </c>
      <c r="AF88" s="188">
        <f>opex_orig!$AD88</f>
        <v>1.6820958732086499E-5</v>
      </c>
      <c r="AG88" s="188">
        <f>opex_orig!$AD88</f>
        <v>1.6820958732086499E-5</v>
      </c>
      <c r="AH88" s="188">
        <f>opex_orig!$AD88</f>
        <v>1.6820958732086499E-5</v>
      </c>
      <c r="AI88" s="188">
        <f>opex_orig!AE88</f>
        <v>1.4600000000000001E-5</v>
      </c>
      <c r="AJ88" s="188">
        <f>opex_orig!AF88</f>
        <v>7.9594400000000004E-4</v>
      </c>
      <c r="AK88" s="188">
        <f>opex_orig!AG88</f>
        <v>1.99469E-4</v>
      </c>
      <c r="AL88" s="188">
        <f>opex_orig!AH88</f>
        <v>9.5299999999999999E-5</v>
      </c>
      <c r="AM88" s="188">
        <f>opex_orig!AI88</f>
        <v>1.8139400000000001E-4</v>
      </c>
      <c r="AN88" s="188">
        <f>opex_orig!AJ88</f>
        <v>8.9099999999999997E-5</v>
      </c>
      <c r="AO88" s="188">
        <f>opex_orig!AK88</f>
        <v>7.7899999999999996E-5</v>
      </c>
      <c r="AP88" s="188">
        <f>opex_orig!$AL88</f>
        <v>9.4509892795263499E-5</v>
      </c>
      <c r="AQ88" s="188">
        <f>opex_orig!$AL88</f>
        <v>9.4509892795263499E-5</v>
      </c>
      <c r="AR88" s="188">
        <f>opex_orig!$AL88</f>
        <v>9.4509892795263499E-5</v>
      </c>
      <c r="AS88" s="188">
        <f>opex_orig!$AM88</f>
        <v>8.2399891970097604E-5</v>
      </c>
      <c r="AT88" s="188">
        <f>opex_orig!AN88</f>
        <v>1.7588900000000001E-4</v>
      </c>
      <c r="AU88" s="188">
        <f>opex_orig!$AO88</f>
        <v>8.3593065225505699E-5</v>
      </c>
      <c r="AV88" s="188">
        <f>opex_orig!$AO88</f>
        <v>8.3593065225505699E-5</v>
      </c>
      <c r="AW88" s="188">
        <f>opex_orig!$AO88</f>
        <v>8.3593065225505699E-5</v>
      </c>
      <c r="AX88" s="188">
        <f>opex_orig!$AP88</f>
        <v>9.4590759494364197E-5</v>
      </c>
      <c r="AY88" s="188">
        <f>opex_orig!AQ88</f>
        <v>1.14364E-4</v>
      </c>
      <c r="AZ88" s="188">
        <f>opex_orig!AR88</f>
        <v>0</v>
      </c>
      <c r="BA88" s="188">
        <f>opex_orig!AS88</f>
        <v>1.13632E-4</v>
      </c>
      <c r="BB88" s="188">
        <f>opex_orig!AT88</f>
        <v>1.10231E-4</v>
      </c>
      <c r="BC88" s="188">
        <f>opex_orig!AU88</f>
        <v>1.98E-5</v>
      </c>
      <c r="BD88" s="188">
        <f>opex_orig!AV88</f>
        <v>1.4800000000000001E-5</v>
      </c>
      <c r="BE88" s="188">
        <f>opex_orig!AW88</f>
        <v>8.14E-5</v>
      </c>
      <c r="BF88" s="188">
        <f>opex_orig!AX88</f>
        <v>0</v>
      </c>
      <c r="BG88" s="188">
        <f>opex_orig!AY88</f>
        <v>1.1592800000000001E-4</v>
      </c>
      <c r="BH88" s="188">
        <f>opex_orig!AZ88</f>
        <v>0</v>
      </c>
      <c r="BI88" s="188">
        <f>opex_orig!BA88</f>
        <v>1.20452E-4</v>
      </c>
      <c r="BJ88" s="188">
        <f>opex_orig!BB88</f>
        <v>3.6033000000000001E-4</v>
      </c>
      <c r="BK88" s="188">
        <f>opex_orig!BC88</f>
        <v>3.4961600000000002E-4</v>
      </c>
      <c r="BL88" s="188">
        <f>opex_orig!BD88</f>
        <v>0.467517132</v>
      </c>
      <c r="BM88" s="188">
        <f>opex_orig!BE88</f>
        <v>7.6389899999999996E-4</v>
      </c>
      <c r="BN88" s="188">
        <f>opex_orig!BF88</f>
        <v>5.0205220000000004E-3</v>
      </c>
      <c r="BO88" s="188">
        <f>opex_orig!BG88</f>
        <v>3.6282399999999998E-4</v>
      </c>
      <c r="BP88" s="188">
        <f>opex_orig!$BH88</f>
        <v>4.3737759252145098E-4</v>
      </c>
      <c r="BQ88" s="188">
        <f>opex_orig!$BH88</f>
        <v>4.3737759252145098E-4</v>
      </c>
      <c r="BR88" s="188">
        <f>opex_orig!BI88</f>
        <v>8.9902793999999994E-2</v>
      </c>
      <c r="BS88" s="188">
        <f>opex_orig!BJ88</f>
        <v>1.4654830000000001E-3</v>
      </c>
      <c r="BT88" s="188">
        <f>opex_orig!BK88</f>
        <v>4.0899999999999998E-5</v>
      </c>
      <c r="BU88" s="188">
        <f>opex_orig!BL88</f>
        <v>0</v>
      </c>
      <c r="BV88" s="27">
        <f>opex_orig!BM88</f>
        <v>1.0242525711619601E-4</v>
      </c>
      <c r="BW88" s="27">
        <f>opex_orig!BN88</f>
        <v>1.91551138842451E-4</v>
      </c>
      <c r="BX88" s="27">
        <f>opex_orig!BO88</f>
        <v>5.4982201417902603E-5</v>
      </c>
      <c r="BY88" s="27">
        <f>opex_orig!BP88</f>
        <v>3.0457715570212601E-5</v>
      </c>
      <c r="BZ88" s="27">
        <f>opex_orig!BQ88</f>
        <v>2.4097425888759599E-5</v>
      </c>
      <c r="CA88" s="27">
        <f>opex_orig!BR88</f>
        <v>5.6999348196475702E-5</v>
      </c>
      <c r="CB88" s="27">
        <f>opex_orig!BS88</f>
        <v>9.3845950430850497E-5</v>
      </c>
      <c r="CC88" s="27">
        <f>opex_orig!BT88</f>
        <v>3.7123204524345E-5</v>
      </c>
      <c r="CD88" s="27">
        <f>opex_orig!BU88</f>
        <v>2.6097762713719999E-5</v>
      </c>
      <c r="CE88" s="27">
        <f>opex_orig!BV88</f>
        <v>2.6097762713720101E-5</v>
      </c>
      <c r="CF88" s="27">
        <f>opex_orig!BW88</f>
        <v>6.0078773407806402E-5</v>
      </c>
      <c r="CG88" s="27">
        <f>opex_orig!BX88</f>
        <v>7.1763326980455795E-7</v>
      </c>
      <c r="CH88" s="27">
        <f>opex_orig!BY88</f>
        <v>2.6414559386483101E-7</v>
      </c>
      <c r="CI88" s="27">
        <f>opex_orig!BZ88</f>
        <v>7.6500000000000003E-5</v>
      </c>
      <c r="CJ88" s="27">
        <f>opex_orig!CA88</f>
        <v>5.0000000000000002E-5</v>
      </c>
      <c r="CK88" s="27">
        <f>opex_orig!CB88</f>
        <v>5.6900000000000001E-5</v>
      </c>
      <c r="CL88" s="27">
        <f>opex_orig!CC88</f>
        <v>2.94E-5</v>
      </c>
      <c r="CM88" s="27">
        <f>opex_orig!CD88</f>
        <v>2.5420999999999999E-4</v>
      </c>
      <c r="CN88" s="27">
        <f>opex_orig!CE88</f>
        <v>1.1315E-4</v>
      </c>
      <c r="CO88" s="27">
        <f>opex_orig!CF88</f>
        <v>1.52867E-4</v>
      </c>
      <c r="CP88" s="27">
        <f>opex_orig!CG88</f>
        <v>1.21048E-4</v>
      </c>
    </row>
    <row r="89" spans="1:94" x14ac:dyDescent="0.25">
      <c r="A89" s="5" t="s">
        <v>197</v>
      </c>
      <c r="B89" s="2" t="s">
        <v>196</v>
      </c>
      <c r="C89" s="1" t="s">
        <v>329</v>
      </c>
      <c r="D89" s="188">
        <f>opex_orig!D89</f>
        <v>1.128549E-3</v>
      </c>
      <c r="E89" s="188">
        <f>opex_orig!E89</f>
        <v>1.078133E-3</v>
      </c>
      <c r="F89" s="188">
        <f>opex_orig!F89</f>
        <v>7.8495500000000005E-4</v>
      </c>
      <c r="G89" s="188">
        <f>opex_orig!G89</f>
        <v>1.5206099999999999E-4</v>
      </c>
      <c r="H89" s="188">
        <f>opex_orig!H89</f>
        <v>2.6043600000000001E-4</v>
      </c>
      <c r="I89" s="188">
        <f>opex_orig!I89</f>
        <v>1.701344E-3</v>
      </c>
      <c r="J89" s="188">
        <f>opex_orig!J89</f>
        <v>1.0503629999999999E-3</v>
      </c>
      <c r="K89" s="188">
        <f>opex_orig!K89</f>
        <v>4.3672600000000002E-4</v>
      </c>
      <c r="L89" s="188">
        <f>opex_orig!L89</f>
        <v>3.0767680000000001E-3</v>
      </c>
      <c r="M89" s="188">
        <f>opex_orig!M89</f>
        <v>1.1933209E-2</v>
      </c>
      <c r="N89" s="188">
        <f>opex_orig!N89</f>
        <v>5.1459009999999996E-3</v>
      </c>
      <c r="O89" s="188">
        <f>opex_orig!O89</f>
        <v>7.3237599999999997E-4</v>
      </c>
      <c r="P89" s="188">
        <f>opex_orig!P89</f>
        <v>1.3988667999999999E-2</v>
      </c>
      <c r="Q89" s="188">
        <f>opex_orig!Q89</f>
        <v>1.396135E-3</v>
      </c>
      <c r="R89" s="188">
        <f>opex_orig!R89</f>
        <v>1.1112353E-2</v>
      </c>
      <c r="S89" s="188">
        <f>opex_orig!S89</f>
        <v>4.2147130000000001E-3</v>
      </c>
      <c r="T89" s="188">
        <f>opex_orig!T89</f>
        <v>4.8643599999999999E-3</v>
      </c>
      <c r="U89" s="188">
        <f>opex_orig!U89</f>
        <v>6.8417080000000002E-3</v>
      </c>
      <c r="V89" s="188">
        <f>opex_orig!V89</f>
        <v>8.7072E-3</v>
      </c>
      <c r="W89" s="188">
        <f>opex_orig!W89</f>
        <v>4.8783000000000003E-3</v>
      </c>
      <c r="X89" s="188">
        <f>opex_orig!X89</f>
        <v>6.0657799999999998E-4</v>
      </c>
      <c r="Y89" s="188">
        <f>opex_orig!Y89</f>
        <v>1.0904420000000001E-3</v>
      </c>
      <c r="Z89" s="188">
        <f>opex_orig!Z89</f>
        <v>4.5355600000000001E-3</v>
      </c>
      <c r="AA89" s="188">
        <f>opex_orig!AA89</f>
        <v>6.5075569999999998E-3</v>
      </c>
      <c r="AB89" s="188">
        <f>opex_orig!$AB89</f>
        <v>7.8532628743868801E-4</v>
      </c>
      <c r="AC89" s="188">
        <f>opex_orig!$AB89</f>
        <v>7.8532628743868801E-4</v>
      </c>
      <c r="AD89" s="188">
        <f>opex_orig!$AB89</f>
        <v>7.8532628743868801E-4</v>
      </c>
      <c r="AE89" s="188">
        <f>opex_orig!$AC89</f>
        <v>3.6879611765475201E-3</v>
      </c>
      <c r="AF89" s="188">
        <f>opex_orig!$AD89</f>
        <v>1.2178518924449099E-3</v>
      </c>
      <c r="AG89" s="188">
        <f>opex_orig!$AD89</f>
        <v>1.2178518924449099E-3</v>
      </c>
      <c r="AH89" s="188">
        <f>opex_orig!$AD89</f>
        <v>1.2178518924449099E-3</v>
      </c>
      <c r="AI89" s="188">
        <f>opex_orig!AE89</f>
        <v>1.0602090000000001E-3</v>
      </c>
      <c r="AJ89" s="188">
        <f>opex_orig!AF89</f>
        <v>1.9021327000000001E-2</v>
      </c>
      <c r="AK89" s="188">
        <f>opex_orig!AG89</f>
        <v>1.8424020999999999E-2</v>
      </c>
      <c r="AL89" s="188">
        <f>opex_orig!AH89</f>
        <v>6.4428699999999998E-3</v>
      </c>
      <c r="AM89" s="188">
        <f>opex_orig!AI89</f>
        <v>1.1757705E-2</v>
      </c>
      <c r="AN89" s="188">
        <f>opex_orig!AJ89</f>
        <v>3.2792229999999999E-3</v>
      </c>
      <c r="AO89" s="188">
        <f>opex_orig!AK89</f>
        <v>5.7614670000000002E-3</v>
      </c>
      <c r="AP89" s="188">
        <f>opex_orig!$AL89</f>
        <v>4.2573499307659701E-3</v>
      </c>
      <c r="AQ89" s="188">
        <f>opex_orig!$AL89</f>
        <v>4.2573499307659701E-3</v>
      </c>
      <c r="AR89" s="188">
        <f>opex_orig!$AL89</f>
        <v>4.2573499307659701E-3</v>
      </c>
      <c r="AS89" s="188">
        <f>opex_orig!$AM89</f>
        <v>3.9916679034434199E-3</v>
      </c>
      <c r="AT89" s="188">
        <f>opex_orig!AN89</f>
        <v>5.6612140000000004E-3</v>
      </c>
      <c r="AU89" s="188">
        <f>opex_orig!$AO89</f>
        <v>2.6088480296050302E-3</v>
      </c>
      <c r="AV89" s="188">
        <f>opex_orig!$AO89</f>
        <v>2.6088480296050302E-3</v>
      </c>
      <c r="AW89" s="188">
        <f>opex_orig!$AO89</f>
        <v>2.6088480296050302E-3</v>
      </c>
      <c r="AX89" s="188">
        <f>opex_orig!$AP89</f>
        <v>3.11527345818479E-3</v>
      </c>
      <c r="AY89" s="188">
        <f>opex_orig!AQ89</f>
        <v>4.3564950000000002E-3</v>
      </c>
      <c r="AZ89" s="188">
        <f>opex_orig!AR89</f>
        <v>0</v>
      </c>
      <c r="BA89" s="188">
        <f>opex_orig!AS89</f>
        <v>3.6184500000000001E-3</v>
      </c>
      <c r="BB89" s="188">
        <f>opex_orig!AT89</f>
        <v>3.7740059999999999E-3</v>
      </c>
      <c r="BC89" s="188">
        <f>opex_orig!AU89</f>
        <v>1.0591540000000001E-3</v>
      </c>
      <c r="BD89" s="188">
        <f>opex_orig!AV89</f>
        <v>9.7671999999999993E-4</v>
      </c>
      <c r="BE89" s="188">
        <f>opex_orig!AW89</f>
        <v>2.709384E-3</v>
      </c>
      <c r="BF89" s="188">
        <f>opex_orig!AX89</f>
        <v>0</v>
      </c>
      <c r="BG89" s="188">
        <f>opex_orig!AY89</f>
        <v>2.5065840000000001E-3</v>
      </c>
      <c r="BH89" s="188">
        <f>opex_orig!AZ89</f>
        <v>0</v>
      </c>
      <c r="BI89" s="188">
        <f>opex_orig!BA89</f>
        <v>4.7211409999999999E-3</v>
      </c>
      <c r="BJ89" s="188">
        <f>opex_orig!BB89</f>
        <v>1.6798960000000002E-2</v>
      </c>
      <c r="BK89" s="188">
        <f>opex_orig!BC89</f>
        <v>0.108074543</v>
      </c>
      <c r="BL89" s="188">
        <f>opex_orig!BD89</f>
        <v>0.146828135</v>
      </c>
      <c r="BM89" s="188">
        <f>opex_orig!BE89</f>
        <v>0.17218772600000001</v>
      </c>
      <c r="BN89" s="188">
        <f>opex_orig!BF89</f>
        <v>2.8476556E-2</v>
      </c>
      <c r="BO89" s="188">
        <f>opex_orig!BG89</f>
        <v>1.6993042E-2</v>
      </c>
      <c r="BP89" s="206">
        <f>opex_concordance!M75</f>
        <v>6.7467561780167468E-2</v>
      </c>
      <c r="BQ89" s="206">
        <f>opex_concordance!M118</f>
        <v>0.24250492831679413</v>
      </c>
      <c r="BR89" s="188">
        <f>opex_orig!BI89</f>
        <v>3.8586090000000003E-2</v>
      </c>
      <c r="BS89" s="188">
        <f>opex_orig!BJ89</f>
        <v>4.8085419999999999E-3</v>
      </c>
      <c r="BT89" s="188">
        <f>opex_orig!BK89</f>
        <v>2.1735220000000002E-3</v>
      </c>
      <c r="BU89" s="188">
        <f>opex_orig!BL89</f>
        <v>0</v>
      </c>
      <c r="BV89" s="27">
        <f>opex_orig!BM89</f>
        <v>2.7141427142226199E-2</v>
      </c>
      <c r="BW89" s="27">
        <f>opex_orig!BN89</f>
        <v>0.101462028600419</v>
      </c>
      <c r="BX89" s="27">
        <f>opex_orig!BO89</f>
        <v>9.4148792560986398E-3</v>
      </c>
      <c r="BY89" s="27">
        <f>opex_orig!BP89</f>
        <v>8.6942218381764504E-3</v>
      </c>
      <c r="BZ89" s="27">
        <f>opex_orig!BQ89</f>
        <v>7.6593221269091703E-3</v>
      </c>
      <c r="CA89" s="27">
        <f>opex_orig!BR89</f>
        <v>1.5307896591996399E-2</v>
      </c>
      <c r="CB89" s="27">
        <f>opex_orig!BS89</f>
        <v>4.9099797830625097E-2</v>
      </c>
      <c r="CC89" s="27">
        <f>opex_orig!BT89</f>
        <v>2.4777830276884499E-2</v>
      </c>
      <c r="CD89" s="27">
        <f>opex_orig!BU89</f>
        <v>9.5716004342947907E-3</v>
      </c>
      <c r="CE89" s="27">
        <f>opex_orig!BV89</f>
        <v>9.5716004342947993E-3</v>
      </c>
      <c r="CF89" s="27">
        <f>opex_orig!BW89</f>
        <v>9.1104983702187704E-3</v>
      </c>
      <c r="CG89" s="27">
        <f>opex_orig!BX89</f>
        <v>1.3164929783584701E-4</v>
      </c>
      <c r="CH89" s="27">
        <f>opex_orig!BY89</f>
        <v>6.1764162920422203E-5</v>
      </c>
      <c r="CI89" s="27">
        <f>opex_orig!BZ89</f>
        <v>3.2123629000000001E-2</v>
      </c>
      <c r="CJ89" s="27">
        <f>opex_orig!CA89</f>
        <v>1.333987E-2</v>
      </c>
      <c r="CK89" s="27">
        <f>opex_orig!CB89</f>
        <v>1.7033981E-2</v>
      </c>
      <c r="CL89" s="27">
        <f>opex_orig!CC89</f>
        <v>1.1116302999999999E-2</v>
      </c>
      <c r="CM89" s="27">
        <f>opex_orig!CD89</f>
        <v>0.13360408600000001</v>
      </c>
      <c r="CN89" s="27">
        <f>opex_orig!CE89</f>
        <v>1.82569E-3</v>
      </c>
      <c r="CO89" s="27">
        <f>opex_orig!CF89</f>
        <v>2.5264401999999998E-2</v>
      </c>
      <c r="CP89" s="27">
        <f>opex_orig!CG89</f>
        <v>2.98907E-4</v>
      </c>
    </row>
    <row r="90" spans="1:94" x14ac:dyDescent="0.25">
      <c r="A90" s="5" t="s">
        <v>199</v>
      </c>
      <c r="B90" s="2" t="s">
        <v>198</v>
      </c>
      <c r="C90" s="1" t="s">
        <v>329</v>
      </c>
      <c r="D90" s="188">
        <f>opex_orig!D90</f>
        <v>3.0586099999999999E-4</v>
      </c>
      <c r="E90" s="188">
        <f>opex_orig!E90</f>
        <v>2.22556E-4</v>
      </c>
      <c r="F90" s="188">
        <f>opex_orig!F90</f>
        <v>3.1013999999999998E-4</v>
      </c>
      <c r="G90" s="188">
        <f>opex_orig!G90</f>
        <v>5.7800000000000002E-5</v>
      </c>
      <c r="H90" s="188">
        <f>opex_orig!H90</f>
        <v>8.7700000000000004E-5</v>
      </c>
      <c r="I90" s="188">
        <f>opex_orig!I90</f>
        <v>2.9829699999999999E-4</v>
      </c>
      <c r="J90" s="188">
        <f>opex_orig!J90</f>
        <v>6.0303500000000003E-4</v>
      </c>
      <c r="K90" s="188">
        <f>opex_orig!K90</f>
        <v>1.86248E-4</v>
      </c>
      <c r="L90" s="188">
        <f>opex_orig!L90</f>
        <v>4.3433399999999998E-4</v>
      </c>
      <c r="M90" s="188">
        <f>opex_orig!M90</f>
        <v>1.333875E-3</v>
      </c>
      <c r="N90" s="188">
        <f>opex_orig!N90</f>
        <v>9.0684399999999997E-4</v>
      </c>
      <c r="O90" s="188">
        <f>opex_orig!O90</f>
        <v>6.4591099999999999E-4</v>
      </c>
      <c r="P90" s="188">
        <f>opex_orig!P90</f>
        <v>4.0205599999999997E-4</v>
      </c>
      <c r="Q90" s="188">
        <f>opex_orig!Q90</f>
        <v>5.7406299999999998E-4</v>
      </c>
      <c r="R90" s="188">
        <f>opex_orig!R90</f>
        <v>6.9974000000000002E-4</v>
      </c>
      <c r="S90" s="188">
        <f>opex_orig!S90</f>
        <v>2.2626699999999999E-4</v>
      </c>
      <c r="T90" s="188">
        <f>opex_orig!T90</f>
        <v>4.21366E-4</v>
      </c>
      <c r="U90" s="188">
        <f>opex_orig!U90</f>
        <v>2.9232500000000002E-4</v>
      </c>
      <c r="V90" s="188">
        <f>opex_orig!V90</f>
        <v>3.7047300000000002E-4</v>
      </c>
      <c r="W90" s="188">
        <f>opex_orig!W90</f>
        <v>3.0394100000000001E-4</v>
      </c>
      <c r="X90" s="188">
        <f>opex_orig!X90</f>
        <v>8.9713919999999999E-3</v>
      </c>
      <c r="Y90" s="188">
        <f>opex_orig!Y90</f>
        <v>7.99323E-4</v>
      </c>
      <c r="Z90" s="188">
        <f>opex_orig!Z90</f>
        <v>4.2775809999999999E-3</v>
      </c>
      <c r="AA90" s="188">
        <f>opex_orig!AA90</f>
        <v>1.847294E-3</v>
      </c>
      <c r="AB90" s="188">
        <f>opex_orig!$AB90</f>
        <v>4.8992156042393896E-4</v>
      </c>
      <c r="AC90" s="188">
        <f>opex_orig!$AB90</f>
        <v>4.8992156042393896E-4</v>
      </c>
      <c r="AD90" s="188">
        <f>opex_orig!$AB90</f>
        <v>4.8992156042393896E-4</v>
      </c>
      <c r="AE90" s="188">
        <f>opex_orig!$AC90</f>
        <v>6.8609769655439304E-4</v>
      </c>
      <c r="AF90" s="188">
        <f>opex_orig!$AD90</f>
        <v>2.3422591411693001E-4</v>
      </c>
      <c r="AG90" s="188">
        <f>opex_orig!$AD90</f>
        <v>2.3422591411693001E-4</v>
      </c>
      <c r="AH90" s="188">
        <f>opex_orig!$AD90</f>
        <v>2.3422591411693001E-4</v>
      </c>
      <c r="AI90" s="188">
        <f>opex_orig!AE90</f>
        <v>1.78424E-4</v>
      </c>
      <c r="AJ90" s="188">
        <f>opex_orig!AF90</f>
        <v>7.5884399999999995E-4</v>
      </c>
      <c r="AK90" s="188">
        <f>opex_orig!AG90</f>
        <v>2.468357E-3</v>
      </c>
      <c r="AL90" s="188">
        <f>opex_orig!AH90</f>
        <v>4.0725899999999998E-4</v>
      </c>
      <c r="AM90" s="188">
        <f>opex_orig!AI90</f>
        <v>7.5946E-4</v>
      </c>
      <c r="AN90" s="188">
        <f>opex_orig!AJ90</f>
        <v>3.3198199999999998E-4</v>
      </c>
      <c r="AO90" s="188">
        <f>opex_orig!AK90</f>
        <v>5.2713599999999999E-4</v>
      </c>
      <c r="AP90" s="188">
        <f>opex_orig!$AL90</f>
        <v>3.9549845016022099E-4</v>
      </c>
      <c r="AQ90" s="188">
        <f>opex_orig!$AL90</f>
        <v>3.9549845016022099E-4</v>
      </c>
      <c r="AR90" s="188">
        <f>opex_orig!$AL90</f>
        <v>3.9549845016022099E-4</v>
      </c>
      <c r="AS90" s="188">
        <f>opex_orig!$AM90</f>
        <v>4.6074700822858498E-4</v>
      </c>
      <c r="AT90" s="188">
        <f>opex_orig!AN90</f>
        <v>5.3210599999999996E-4</v>
      </c>
      <c r="AU90" s="188">
        <f>opex_orig!$AO90</f>
        <v>4.3646691329505101E-4</v>
      </c>
      <c r="AV90" s="188">
        <f>opex_orig!$AO90</f>
        <v>4.3646691329505101E-4</v>
      </c>
      <c r="AW90" s="188">
        <f>opex_orig!$AO90</f>
        <v>4.3646691329505101E-4</v>
      </c>
      <c r="AX90" s="188">
        <f>opex_orig!$AP90</f>
        <v>5.1058841977657296E-4</v>
      </c>
      <c r="AY90" s="188">
        <f>opex_orig!AQ90</f>
        <v>6.91221E-4</v>
      </c>
      <c r="AZ90" s="188">
        <f>opex_orig!AR90</f>
        <v>0</v>
      </c>
      <c r="BA90" s="188">
        <f>opex_orig!AS90</f>
        <v>6.11303E-4</v>
      </c>
      <c r="BB90" s="188">
        <f>opex_orig!AT90</f>
        <v>5.87953E-4</v>
      </c>
      <c r="BC90" s="188">
        <f>opex_orig!AU90</f>
        <v>1.6494799999999999E-4</v>
      </c>
      <c r="BD90" s="188">
        <f>opex_orig!AV90</f>
        <v>1.4725200000000001E-4</v>
      </c>
      <c r="BE90" s="188">
        <f>opex_orig!AW90</f>
        <v>3.95055E-4</v>
      </c>
      <c r="BF90" s="188">
        <f>opex_orig!AX90</f>
        <v>0</v>
      </c>
      <c r="BG90" s="188">
        <f>opex_orig!AY90</f>
        <v>8.1426600000000001E-4</v>
      </c>
      <c r="BH90" s="188">
        <f>opex_orig!AZ90</f>
        <v>0</v>
      </c>
      <c r="BI90" s="188">
        <f>opex_orig!BA90</f>
        <v>5.6248099999999998E-4</v>
      </c>
      <c r="BJ90" s="188">
        <f>opex_orig!BB90</f>
        <v>1.2067989999999999E-3</v>
      </c>
      <c r="BK90" s="188">
        <f>opex_orig!BC90</f>
        <v>5.7190169999999999E-3</v>
      </c>
      <c r="BL90" s="188">
        <f>opex_orig!BD90</f>
        <v>9.3920017999999994E-2</v>
      </c>
      <c r="BM90" s="188">
        <f>opex_orig!BE90</f>
        <v>3.437402E-3</v>
      </c>
      <c r="BN90" s="188">
        <f>opex_orig!BF90</f>
        <v>0.64078042800000001</v>
      </c>
      <c r="BO90" s="188">
        <f>opex_orig!BG90</f>
        <v>1.7215098000000002E-2</v>
      </c>
      <c r="BP90" s="273">
        <f>opex_concordance!M87</f>
        <v>7.116280351192098E-3</v>
      </c>
      <c r="BQ90" s="273">
        <f>opex_concordance!M130</f>
        <v>4.2073830192615146E-3</v>
      </c>
      <c r="BR90" s="188">
        <f>opex_orig!BI90</f>
        <v>3.681218E-3</v>
      </c>
      <c r="BS90" s="188">
        <f>opex_orig!BJ90</f>
        <v>5.9434889999999997E-3</v>
      </c>
      <c r="BT90" s="188">
        <f>opex_orig!BK90</f>
        <v>3.9567699999999999E-4</v>
      </c>
      <c r="BU90" s="188">
        <f>opex_orig!BL90</f>
        <v>0</v>
      </c>
      <c r="BV90" s="27">
        <f>opex_orig!BM90</f>
        <v>5.3485012168703601E-4</v>
      </c>
      <c r="BW90" s="27">
        <f>opex_orig!BN90</f>
        <v>1.3758313237966001E-3</v>
      </c>
      <c r="BX90" s="27">
        <f>opex_orig!BO90</f>
        <v>2.3179092224845401E-4</v>
      </c>
      <c r="BY90" s="27">
        <f>opex_orig!BP90</f>
        <v>2.4354424817162E-4</v>
      </c>
      <c r="BZ90" s="27">
        <f>opex_orig!BQ90</f>
        <v>2.7231612021225599E-4</v>
      </c>
      <c r="CA90" s="27">
        <f>opex_orig!BR90</f>
        <v>2.4262638000980199E-4</v>
      </c>
      <c r="CB90" s="27">
        <f>opex_orig!BS90</f>
        <v>1.2412945495646401E-3</v>
      </c>
      <c r="CC90" s="27">
        <f>opex_orig!BT90</f>
        <v>3.0046773286326802E-4</v>
      </c>
      <c r="CD90" s="27">
        <f>opex_orig!BU90</f>
        <v>1.9118957291166101E-4</v>
      </c>
      <c r="CE90" s="27">
        <f>opex_orig!BV90</f>
        <v>1.9118957291166101E-4</v>
      </c>
      <c r="CF90" s="27">
        <f>opex_orig!BW90</f>
        <v>1.03492004736503E-4</v>
      </c>
      <c r="CG90" s="27">
        <f>opex_orig!BX90</f>
        <v>1.1865586741825801E-5</v>
      </c>
      <c r="CH90" s="27">
        <f>opex_orig!BY90</f>
        <v>5.7442026160210103E-5</v>
      </c>
      <c r="CI90" s="27">
        <f>opex_orig!BZ90</f>
        <v>5.4726299999999998E-4</v>
      </c>
      <c r="CJ90" s="27">
        <f>opex_orig!CA90</f>
        <v>2.9331700000000002E-4</v>
      </c>
      <c r="CK90" s="27">
        <f>opex_orig!CB90</f>
        <v>3.2914100000000003E-4</v>
      </c>
      <c r="CL90" s="27">
        <f>opex_orig!CC90</f>
        <v>1.5919900000000001E-4</v>
      </c>
      <c r="CM90" s="27">
        <f>opex_orig!CD90</f>
        <v>1.8328019999999999E-3</v>
      </c>
      <c r="CN90" s="27">
        <f>opex_orig!CE90</f>
        <v>6.9103000000000003E-4</v>
      </c>
      <c r="CO90" s="27">
        <f>opex_orig!CF90</f>
        <v>1.2994009999999999E-3</v>
      </c>
      <c r="CP90" s="27">
        <f>opex_orig!CG90</f>
        <v>9.2299999999999994E-5</v>
      </c>
    </row>
    <row r="91" spans="1:94" x14ac:dyDescent="0.25">
      <c r="A91" s="5" t="s">
        <v>201</v>
      </c>
      <c r="B91" s="2" t="s">
        <v>200</v>
      </c>
      <c r="C91" s="1" t="s">
        <v>329</v>
      </c>
      <c r="D91" s="188">
        <f>opex_orig!D91</f>
        <v>8.2328800000000004E-4</v>
      </c>
      <c r="E91" s="188">
        <f>opex_orig!E91</f>
        <v>1.02174E-4</v>
      </c>
      <c r="F91" s="188">
        <f>opex_orig!F91</f>
        <v>1.3365299999999999E-4</v>
      </c>
      <c r="G91" s="188">
        <f>opex_orig!G91</f>
        <v>8.1499999999999999E-6</v>
      </c>
      <c r="H91" s="188">
        <f>opex_orig!H91</f>
        <v>1.9599999999999999E-5</v>
      </c>
      <c r="I91" s="188">
        <f>opex_orig!I91</f>
        <v>1.0770200000000001E-4</v>
      </c>
      <c r="J91" s="188">
        <f>opex_orig!J91</f>
        <v>3.7364499999999998E-4</v>
      </c>
      <c r="K91" s="188">
        <f>opex_orig!K91</f>
        <v>2.55E-5</v>
      </c>
      <c r="L91" s="188">
        <f>opex_orig!L91</f>
        <v>1.62261E-4</v>
      </c>
      <c r="M91" s="188">
        <f>opex_orig!M91</f>
        <v>5.6403400000000004E-4</v>
      </c>
      <c r="N91" s="188">
        <f>opex_orig!N91</f>
        <v>4.4955499999999997E-4</v>
      </c>
      <c r="O91" s="188">
        <f>opex_orig!O91</f>
        <v>3.2459200000000001E-4</v>
      </c>
      <c r="P91" s="188">
        <f>opex_orig!P91</f>
        <v>3.4864599999999998E-4</v>
      </c>
      <c r="Q91" s="188">
        <f>opex_orig!Q91</f>
        <v>9.5562800000000003E-4</v>
      </c>
      <c r="R91" s="188">
        <f>opex_orig!R91</f>
        <v>4.4587099999999997E-4</v>
      </c>
      <c r="S91" s="188">
        <f>opex_orig!S91</f>
        <v>2.41287E-4</v>
      </c>
      <c r="T91" s="188">
        <f>opex_orig!T91</f>
        <v>2.48488E-4</v>
      </c>
      <c r="U91" s="188">
        <f>opex_orig!U91</f>
        <v>1.9560199999999999E-4</v>
      </c>
      <c r="V91" s="188">
        <f>opex_orig!V91</f>
        <v>2.40511E-4</v>
      </c>
      <c r="W91" s="188">
        <f>opex_orig!W91</f>
        <v>4.9520399999999996E-4</v>
      </c>
      <c r="X91" s="188">
        <f>opex_orig!X91</f>
        <v>1.8511100000000001E-4</v>
      </c>
      <c r="Y91" s="188">
        <f>opex_orig!Y91</f>
        <v>8.5516080000000005E-3</v>
      </c>
      <c r="Z91" s="188">
        <f>opex_orig!Z91</f>
        <v>6.0902356999999997E-2</v>
      </c>
      <c r="AA91" s="188">
        <f>opex_orig!AA91</f>
        <v>6.7477320000000002E-3</v>
      </c>
      <c r="AB91" s="188">
        <f>opex_orig!$AB91</f>
        <v>6.87240465499072E-5</v>
      </c>
      <c r="AC91" s="188">
        <f>opex_orig!$AB91</f>
        <v>6.87240465499072E-5</v>
      </c>
      <c r="AD91" s="188">
        <f>opex_orig!$AB91</f>
        <v>6.87240465499072E-5</v>
      </c>
      <c r="AE91" s="188">
        <f>opex_orig!$AC91</f>
        <v>2.4542061682552798E-4</v>
      </c>
      <c r="AF91" s="188">
        <f>opex_orig!$AD91</f>
        <v>2.01363432015958E-4</v>
      </c>
      <c r="AG91" s="188">
        <f>opex_orig!$AD91</f>
        <v>2.01363432015958E-4</v>
      </c>
      <c r="AH91" s="188">
        <f>opex_orig!$AD91</f>
        <v>2.01363432015958E-4</v>
      </c>
      <c r="AI91" s="188">
        <f>opex_orig!AE91</f>
        <v>1.8459800000000001E-4</v>
      </c>
      <c r="AJ91" s="188">
        <f>opex_orig!AF91</f>
        <v>2.4883129999999998E-3</v>
      </c>
      <c r="AK91" s="188">
        <f>opex_orig!AG91</f>
        <v>1.762734E-3</v>
      </c>
      <c r="AL91" s="188">
        <f>opex_orig!AH91</f>
        <v>6.5667999999999998E-4</v>
      </c>
      <c r="AM91" s="188">
        <f>opex_orig!AI91</f>
        <v>9.5029900000000004E-4</v>
      </c>
      <c r="AN91" s="188">
        <f>opex_orig!AJ91</f>
        <v>6.6475200000000001E-4</v>
      </c>
      <c r="AO91" s="188">
        <f>opex_orig!AK91</f>
        <v>5.0540199999999996E-4</v>
      </c>
      <c r="AP91" s="188">
        <f>opex_orig!$AL91</f>
        <v>5.7269915865769199E-4</v>
      </c>
      <c r="AQ91" s="188">
        <f>opex_orig!$AL91</f>
        <v>5.7269915865769199E-4</v>
      </c>
      <c r="AR91" s="188">
        <f>opex_orig!$AL91</f>
        <v>5.7269915865769199E-4</v>
      </c>
      <c r="AS91" s="188">
        <f>opex_orig!$AM91</f>
        <v>5.1089410714743005E-4</v>
      </c>
      <c r="AT91" s="188">
        <f>opex_orig!AN91</f>
        <v>9.4533099999999999E-4</v>
      </c>
      <c r="AU91" s="188">
        <f>opex_orig!$AO91</f>
        <v>3.7305482228500099E-4</v>
      </c>
      <c r="AV91" s="188">
        <f>opex_orig!$AO91</f>
        <v>3.7305482228500099E-4</v>
      </c>
      <c r="AW91" s="188">
        <f>opex_orig!$AO91</f>
        <v>3.7305482228500099E-4</v>
      </c>
      <c r="AX91" s="188">
        <f>opex_orig!$AP91</f>
        <v>4.0868688183574999E-4</v>
      </c>
      <c r="AY91" s="188">
        <f>opex_orig!AQ91</f>
        <v>7.3037999999999998E-4</v>
      </c>
      <c r="AZ91" s="188">
        <f>opex_orig!AR91</f>
        <v>0</v>
      </c>
      <c r="BA91" s="188">
        <f>opex_orig!AS91</f>
        <v>5.1946499999999999E-4</v>
      </c>
      <c r="BB91" s="188">
        <f>opex_orig!AT91</f>
        <v>5.5951899999999997E-4</v>
      </c>
      <c r="BC91" s="188">
        <f>opex_orig!AU91</f>
        <v>4.9499999999999997E-5</v>
      </c>
      <c r="BD91" s="188">
        <f>opex_orig!AV91</f>
        <v>3.7799999999999997E-5</v>
      </c>
      <c r="BE91" s="188">
        <f>opex_orig!AW91</f>
        <v>3.24567E-4</v>
      </c>
      <c r="BF91" s="188">
        <f>opex_orig!AX91</f>
        <v>0</v>
      </c>
      <c r="BG91" s="188">
        <f>opex_orig!AY91</f>
        <v>2.42768E-4</v>
      </c>
      <c r="BH91" s="188">
        <f>opex_orig!AZ91</f>
        <v>0</v>
      </c>
      <c r="BI91" s="188">
        <f>opex_orig!BA91</f>
        <v>7.1486E-4</v>
      </c>
      <c r="BJ91" s="188">
        <f>opex_orig!BB91</f>
        <v>9.4546699999999997E-4</v>
      </c>
      <c r="BK91" s="188">
        <f>opex_orig!BC91</f>
        <v>1.888998E-3</v>
      </c>
      <c r="BL91" s="188">
        <f>opex_orig!BD91</f>
        <v>2.227611E-3</v>
      </c>
      <c r="BM91" s="188">
        <f>opex_orig!BE91</f>
        <v>2.089526E-3</v>
      </c>
      <c r="BN91" s="188">
        <f>opex_orig!BF91</f>
        <v>3.4133499999999999E-3</v>
      </c>
      <c r="BO91" s="188">
        <f>opex_orig!BG91</f>
        <v>4.4791539999999998E-2</v>
      </c>
      <c r="BP91" s="188">
        <f>opex_orig!$BH91</f>
        <v>1.0570080160432699E-3</v>
      </c>
      <c r="BQ91" s="188">
        <f>opex_orig!$BH91</f>
        <v>1.0570080160432699E-3</v>
      </c>
      <c r="BR91" s="188">
        <f>opex_orig!BI91</f>
        <v>4.6904770000000002E-3</v>
      </c>
      <c r="BS91" s="188">
        <f>opex_orig!BJ91</f>
        <v>7.9890600000000005E-4</v>
      </c>
      <c r="BT91" s="188">
        <f>opex_orig!BK91</f>
        <v>2.8317099999999998E-4</v>
      </c>
      <c r="BU91" s="188">
        <f>opex_orig!BL91</f>
        <v>0</v>
      </c>
      <c r="BV91" s="27">
        <f>opex_orig!BM91</f>
        <v>6.3043084386420103E-4</v>
      </c>
      <c r="BW91" s="27">
        <f>opex_orig!BN91</f>
        <v>9.4077403005206502E-4</v>
      </c>
      <c r="BX91" s="27">
        <f>opex_orig!BO91</f>
        <v>3.6901047670596698E-4</v>
      </c>
      <c r="BY91" s="27">
        <f>opex_orig!BP91</f>
        <v>1.8202258459692401E-4</v>
      </c>
      <c r="BZ91" s="27">
        <f>opex_orig!BQ91</f>
        <v>1.4759518338021901E-4</v>
      </c>
      <c r="CA91" s="27">
        <f>opex_orig!BR91</f>
        <v>3.9968045626878699E-4</v>
      </c>
      <c r="CB91" s="27">
        <f>opex_orig!BS91</f>
        <v>4.4819146138886902E-4</v>
      </c>
      <c r="CC91" s="27">
        <f>opex_orig!BT91</f>
        <v>4.0574251908634401E-4</v>
      </c>
      <c r="CD91" s="27">
        <f>opex_orig!BU91</f>
        <v>1.79034854606857E-4</v>
      </c>
      <c r="CE91" s="27">
        <f>opex_orig!BV91</f>
        <v>1.79034854606857E-4</v>
      </c>
      <c r="CF91" s="27">
        <f>opex_orig!BW91</f>
        <v>1.64735017263028E-4</v>
      </c>
      <c r="CG91" s="27">
        <f>opex_orig!BX91</f>
        <v>3.9783008440760201E-6</v>
      </c>
      <c r="CH91" s="27">
        <f>opex_orig!BY91</f>
        <v>2.0219449033516401E-5</v>
      </c>
      <c r="CI91" s="27">
        <f>opex_orig!BZ91</f>
        <v>4.2539999999999999E-4</v>
      </c>
      <c r="CJ91" s="27">
        <f>opex_orig!CA91</f>
        <v>3.1577299999999999E-4</v>
      </c>
      <c r="CK91" s="27">
        <f>opex_orig!CB91</f>
        <v>3.5266300000000002E-4</v>
      </c>
      <c r="CL91" s="27">
        <f>opex_orig!CC91</f>
        <v>2.8161800000000003E-4</v>
      </c>
      <c r="CM91" s="27">
        <f>opex_orig!CD91</f>
        <v>1.173641E-3</v>
      </c>
      <c r="CN91" s="27">
        <f>opex_orig!CE91</f>
        <v>9.5211899999999997E-4</v>
      </c>
      <c r="CO91" s="27">
        <f>opex_orig!CF91</f>
        <v>1.044737E-3</v>
      </c>
      <c r="CP91" s="27">
        <f>opex_orig!CG91</f>
        <v>8.92E-5</v>
      </c>
    </row>
    <row r="92" spans="1:94" x14ac:dyDescent="0.25">
      <c r="A92" s="5" t="s">
        <v>203</v>
      </c>
      <c r="B92" s="2" t="s">
        <v>202</v>
      </c>
      <c r="C92" s="1" t="s">
        <v>329</v>
      </c>
      <c r="D92" s="188">
        <f>opex_orig!D92</f>
        <v>1.741701E-3</v>
      </c>
      <c r="E92" s="188">
        <f>opex_orig!E92</f>
        <v>7.5720500000000005E-4</v>
      </c>
      <c r="F92" s="188">
        <f>opex_orig!F92</f>
        <v>1.0221760000000001E-3</v>
      </c>
      <c r="G92" s="188">
        <f>opex_orig!G92</f>
        <v>2.1970299999999999E-4</v>
      </c>
      <c r="H92" s="188">
        <f>opex_orig!H92</f>
        <v>3.3743500000000002E-4</v>
      </c>
      <c r="I92" s="188">
        <f>opex_orig!I92</f>
        <v>8.3733799999999997E-4</v>
      </c>
      <c r="J92" s="188">
        <f>opex_orig!J92</f>
        <v>2.5698880000000002E-3</v>
      </c>
      <c r="K92" s="188">
        <f>opex_orig!K92</f>
        <v>7.2321600000000005E-4</v>
      </c>
      <c r="L92" s="188">
        <f>opex_orig!L92</f>
        <v>9.64502E-4</v>
      </c>
      <c r="M92" s="188">
        <f>opex_orig!M92</f>
        <v>2.657581E-3</v>
      </c>
      <c r="N92" s="188">
        <f>opex_orig!N92</f>
        <v>2.268132E-3</v>
      </c>
      <c r="O92" s="188">
        <f>opex_orig!O92</f>
        <v>1.9993250000000001E-3</v>
      </c>
      <c r="P92" s="188">
        <f>opex_orig!P92</f>
        <v>4.8612179999999996E-3</v>
      </c>
      <c r="Q92" s="188">
        <f>opex_orig!Q92</f>
        <v>2.8642350000000001E-3</v>
      </c>
      <c r="R92" s="188">
        <f>opex_orig!R92</f>
        <v>3.596892E-3</v>
      </c>
      <c r="S92" s="188">
        <f>opex_orig!S92</f>
        <v>1.6764080000000001E-3</v>
      </c>
      <c r="T92" s="188">
        <f>opex_orig!T92</f>
        <v>2.4970679999999999E-3</v>
      </c>
      <c r="U92" s="188">
        <f>opex_orig!U92</f>
        <v>1.610785E-3</v>
      </c>
      <c r="V92" s="188">
        <f>opex_orig!V92</f>
        <v>1.938756E-3</v>
      </c>
      <c r="W92" s="188">
        <f>opex_orig!W92</f>
        <v>1.213593E-3</v>
      </c>
      <c r="X92" s="188">
        <f>opex_orig!X92</f>
        <v>6.0171300000000003E-4</v>
      </c>
      <c r="Y92" s="188">
        <f>opex_orig!Y92</f>
        <v>2.1032189999999999E-3</v>
      </c>
      <c r="Z92" s="188">
        <f>opex_orig!Z92</f>
        <v>5.2078080000000004E-3</v>
      </c>
      <c r="AA92" s="188">
        <f>opex_orig!AA92</f>
        <v>8.781222E-3</v>
      </c>
      <c r="AB92" s="188">
        <f>opex_orig!$AB92</f>
        <v>2.1764730515531901E-3</v>
      </c>
      <c r="AC92" s="188">
        <f>opex_orig!$AB92</f>
        <v>2.1764730515531901E-3</v>
      </c>
      <c r="AD92" s="188">
        <f>opex_orig!$AB92</f>
        <v>2.1764730515531901E-3</v>
      </c>
      <c r="AE92" s="188">
        <f>opex_orig!$AC92</f>
        <v>2.8485414516050602E-3</v>
      </c>
      <c r="AF92" s="188">
        <f>opex_orig!$AD92</f>
        <v>1.2137852969441099E-3</v>
      </c>
      <c r="AG92" s="188">
        <f>opex_orig!$AD92</f>
        <v>1.2137852969441099E-3</v>
      </c>
      <c r="AH92" s="188">
        <f>opex_orig!$AD92</f>
        <v>1.2137852969441099E-3</v>
      </c>
      <c r="AI92" s="188">
        <f>opex_orig!AE92</f>
        <v>9.8069600000000009E-4</v>
      </c>
      <c r="AJ92" s="188">
        <f>opex_orig!AF92</f>
        <v>3.6959670000000001E-3</v>
      </c>
      <c r="AK92" s="188">
        <f>opex_orig!AG92</f>
        <v>2.3542285E-2</v>
      </c>
      <c r="AL92" s="188">
        <f>opex_orig!AH92</f>
        <v>1.1673964E-2</v>
      </c>
      <c r="AM92" s="188">
        <f>opex_orig!AI92</f>
        <v>1.4452326999999999E-2</v>
      </c>
      <c r="AN92" s="188">
        <f>opex_orig!AJ92</f>
        <v>5.203867E-3</v>
      </c>
      <c r="AO92" s="188">
        <f>opex_orig!AK92</f>
        <v>9.5487120000000009E-3</v>
      </c>
      <c r="AP92" s="211">
        <f>opex_concordance!M444</f>
        <v>1.4551002917508601E-2</v>
      </c>
      <c r="AQ92" s="211">
        <f>opex_concordance!M498</f>
        <v>1.1710509869159979E-2</v>
      </c>
      <c r="AR92" s="211">
        <f>opex_concordance!M552</f>
        <v>1.2851261203757078E-2</v>
      </c>
      <c r="AS92" s="188">
        <f>opex_orig!$AM92</f>
        <v>1.35512083126471E-2</v>
      </c>
      <c r="AT92" s="188">
        <f>opex_orig!AN92</f>
        <v>1.1282766E-2</v>
      </c>
      <c r="AU92" s="211">
        <f>opex_concordance!M602</f>
        <v>2.89704417220501E-2</v>
      </c>
      <c r="AV92" s="211">
        <f>opex_concordance!M648</f>
        <v>3.9356242982066476E-2</v>
      </c>
      <c r="AW92" s="211">
        <f>opex_concordance!M694</f>
        <v>3.2489472153276085E-2</v>
      </c>
      <c r="AX92" s="188">
        <f>opex_orig!$AP92</f>
        <v>3.2922441731574E-2</v>
      </c>
      <c r="AY92" s="188">
        <f>opex_orig!AQ92</f>
        <v>5.5802243000000001E-2</v>
      </c>
      <c r="AZ92" s="188">
        <f>opex_orig!AR92</f>
        <v>0</v>
      </c>
      <c r="BA92" s="188">
        <f>opex_orig!AS92</f>
        <v>3.6774895000000002E-2</v>
      </c>
      <c r="BB92" s="188">
        <f>opex_orig!AT92</f>
        <v>3.4043014000000003E-2</v>
      </c>
      <c r="BC92" s="188">
        <f>opex_orig!AU92</f>
        <v>9.0162850000000006E-3</v>
      </c>
      <c r="BD92" s="188">
        <f>opex_orig!AV92</f>
        <v>6.6224450000000002E-3</v>
      </c>
      <c r="BE92" s="188">
        <f>opex_orig!AW92</f>
        <v>1.9614573999999999E-2</v>
      </c>
      <c r="BF92" s="188">
        <f>opex_orig!AX92</f>
        <v>0</v>
      </c>
      <c r="BG92" s="188">
        <f>opex_orig!AY92</f>
        <v>3.3842417E-2</v>
      </c>
      <c r="BH92" s="188">
        <f>opex_orig!AZ92</f>
        <v>0</v>
      </c>
      <c r="BI92" s="188">
        <f>opex_orig!BA92</f>
        <v>1.3206450999999999E-2</v>
      </c>
      <c r="BJ92" s="188">
        <f>opex_orig!BB92</f>
        <v>1.5937873000000002E-2</v>
      </c>
      <c r="BK92" s="188">
        <f>opex_orig!BC92</f>
        <v>2.1572692000000001E-2</v>
      </c>
      <c r="BL92" s="188">
        <f>opex_orig!BD92</f>
        <v>1.7117316E-2</v>
      </c>
      <c r="BM92" s="188">
        <f>opex_orig!BE92</f>
        <v>0.110583705</v>
      </c>
      <c r="BN92" s="188">
        <f>opex_orig!BF92</f>
        <v>1.2100609E-2</v>
      </c>
      <c r="BO92" s="188">
        <f>opex_orig!BG92</f>
        <v>1.5891821E-2</v>
      </c>
      <c r="BP92" s="211">
        <f>opex_concordance!M76</f>
        <v>0.31519432208918574</v>
      </c>
      <c r="BQ92" s="211">
        <f>opex_concordance!M119</f>
        <v>0.29953142633326785</v>
      </c>
      <c r="BR92" s="188">
        <f>opex_orig!BI92</f>
        <v>3.9095446999999998E-2</v>
      </c>
      <c r="BS92" s="188">
        <f>opex_orig!BJ92</f>
        <v>5.4868243999999997E-2</v>
      </c>
      <c r="BT92" s="188">
        <f>opex_orig!BK92</f>
        <v>1.4120834000000001E-2</v>
      </c>
      <c r="BU92" s="188">
        <f>opex_orig!BL92</f>
        <v>0</v>
      </c>
      <c r="BV92" s="27">
        <f>opex_orig!BM92</f>
        <v>4.5359919658695498E-3</v>
      </c>
      <c r="BW92" s="27">
        <f>opex_orig!BN92</f>
        <v>9.3690310085893496E-3</v>
      </c>
      <c r="BX92" s="27">
        <f>opex_orig!BO92</f>
        <v>2.3091575718866201E-3</v>
      </c>
      <c r="BY92" s="27">
        <f>opex_orig!BP92</f>
        <v>1.6592660594785E-3</v>
      </c>
      <c r="BZ92" s="27">
        <f>opex_orig!BQ92</f>
        <v>1.73303965885086E-3</v>
      </c>
      <c r="CA92" s="27">
        <f>opex_orig!BR92</f>
        <v>4.63890111589212E-4</v>
      </c>
      <c r="CB92" s="27">
        <f>opex_orig!BS92</f>
        <v>6.8581466798074402E-3</v>
      </c>
      <c r="CC92" s="27">
        <f>opex_orig!BT92</f>
        <v>3.6680353116297598E-4</v>
      </c>
      <c r="CD92" s="27">
        <f>opex_orig!BU92</f>
        <v>1.29605818453029E-3</v>
      </c>
      <c r="CE92" s="27">
        <f>opex_orig!BV92</f>
        <v>1.2960581845303E-3</v>
      </c>
      <c r="CF92" s="27">
        <f>opex_orig!BW92</f>
        <v>9.7613359583853597E-4</v>
      </c>
      <c r="CG92" s="27">
        <f>opex_orig!BX92</f>
        <v>1.1080326310732399E-5</v>
      </c>
      <c r="CH92" s="27">
        <f>opex_orig!BY92</f>
        <v>1.52996485826194E-4</v>
      </c>
      <c r="CI92" s="27">
        <f>opex_orig!BZ92</f>
        <v>4.0420789999999996E-3</v>
      </c>
      <c r="CJ92" s="27">
        <f>opex_orig!CA92</f>
        <v>2.3697919999999999E-3</v>
      </c>
      <c r="CK92" s="27">
        <f>opex_orig!CB92</f>
        <v>2.8175349999999999E-3</v>
      </c>
      <c r="CL92" s="27">
        <f>opex_orig!CC92</f>
        <v>1.1205099999999999E-3</v>
      </c>
      <c r="CM92" s="27">
        <f>opex_orig!CD92</f>
        <v>1.3110711000000001E-2</v>
      </c>
      <c r="CN92" s="27">
        <f>opex_orig!CE92</f>
        <v>5.6012800000000001E-3</v>
      </c>
      <c r="CO92" s="27">
        <f>opex_orig!CF92</f>
        <v>7.8769110000000003E-3</v>
      </c>
      <c r="CP92" s="27">
        <f>opex_orig!CG92</f>
        <v>1.0112809999999999E-3</v>
      </c>
    </row>
    <row r="93" spans="1:94" x14ac:dyDescent="0.25">
      <c r="A93" s="5" t="s">
        <v>205</v>
      </c>
      <c r="B93" s="2" t="s">
        <v>204</v>
      </c>
      <c r="C93" s="1" t="s">
        <v>329</v>
      </c>
      <c r="D93" s="188">
        <f>opex_orig!D93</f>
        <v>4.99E-5</v>
      </c>
      <c r="E93" s="188">
        <f>opex_orig!E93</f>
        <v>3.0599999999999998E-5</v>
      </c>
      <c r="F93" s="188">
        <f>opex_orig!F93</f>
        <v>3.3399999999999999E-5</v>
      </c>
      <c r="G93" s="188">
        <f>opex_orig!G93</f>
        <v>3.1200000000000002E-6</v>
      </c>
      <c r="H93" s="188">
        <f>opex_orig!H93</f>
        <v>7.9300000000000003E-6</v>
      </c>
      <c r="I93" s="188">
        <f>opex_orig!I93</f>
        <v>6.3200000000000005E-5</v>
      </c>
      <c r="J93" s="188">
        <f>opex_orig!J93</f>
        <v>4.9400000000000001E-5</v>
      </c>
      <c r="K93" s="188">
        <f>opex_orig!K93</f>
        <v>9.2599999999999994E-6</v>
      </c>
      <c r="L93" s="188">
        <f>opex_orig!L93</f>
        <v>6.7600000000000003E-5</v>
      </c>
      <c r="M93" s="188">
        <f>opex_orig!M93</f>
        <v>2.1018E-4</v>
      </c>
      <c r="N93" s="188">
        <f>opex_orig!N93</f>
        <v>1.2524500000000001E-4</v>
      </c>
      <c r="O93" s="188">
        <f>opex_orig!O93</f>
        <v>1.21684E-4</v>
      </c>
      <c r="P93" s="188">
        <f>opex_orig!P93</f>
        <v>2.40714E-4</v>
      </c>
      <c r="Q93" s="188">
        <f>opex_orig!Q93</f>
        <v>1.8363200000000001E-4</v>
      </c>
      <c r="R93" s="188">
        <f>opex_orig!R93</f>
        <v>2.0789100000000001E-4</v>
      </c>
      <c r="S93" s="188">
        <f>opex_orig!S93</f>
        <v>2.0619599999999999E-4</v>
      </c>
      <c r="T93" s="188">
        <f>opex_orig!T93</f>
        <v>1.8983100000000001E-4</v>
      </c>
      <c r="U93" s="188">
        <f>opex_orig!U93</f>
        <v>3.20384E-4</v>
      </c>
      <c r="V93" s="188">
        <f>opex_orig!V93</f>
        <v>3.7481800000000002E-4</v>
      </c>
      <c r="W93" s="188">
        <f>opex_orig!W93</f>
        <v>2.8939100000000001E-4</v>
      </c>
      <c r="X93" s="188">
        <f>opex_orig!X93</f>
        <v>9.2600000000000001E-5</v>
      </c>
      <c r="Y93" s="188">
        <f>opex_orig!Y93</f>
        <v>1.8894699999999999E-4</v>
      </c>
      <c r="Z93" s="188">
        <f>opex_orig!Z93</f>
        <v>1.135643E-3</v>
      </c>
      <c r="AA93" s="188">
        <f>opex_orig!AA93</f>
        <v>5.2434599999999997E-4</v>
      </c>
      <c r="AB93" s="188">
        <f>opex_orig!$AB93</f>
        <v>2.7002094192828799E-5</v>
      </c>
      <c r="AC93" s="188">
        <f>opex_orig!$AB93</f>
        <v>2.7002094192828799E-5</v>
      </c>
      <c r="AD93" s="188">
        <f>opex_orig!$AB93</f>
        <v>2.7002094192828799E-5</v>
      </c>
      <c r="AE93" s="188">
        <f>opex_orig!$AC93</f>
        <v>7.3438046268200206E-5</v>
      </c>
      <c r="AF93" s="188">
        <f>opex_orig!$AD93</f>
        <v>4.9975098923418402E-5</v>
      </c>
      <c r="AG93" s="188">
        <f>opex_orig!$AD93</f>
        <v>4.9975098923418402E-5</v>
      </c>
      <c r="AH93" s="188">
        <f>opex_orig!$AD93</f>
        <v>4.9975098923418402E-5</v>
      </c>
      <c r="AI93" s="188">
        <f>opex_orig!AE93</f>
        <v>4.88E-5</v>
      </c>
      <c r="AJ93" s="188">
        <f>opex_orig!AF93</f>
        <v>4.2540999999999998E-4</v>
      </c>
      <c r="AK93" s="188">
        <f>opex_orig!AG93</f>
        <v>4.3155999999999999E-4</v>
      </c>
      <c r="AL93" s="188">
        <f>opex_orig!AH93</f>
        <v>3.8915599999999999E-4</v>
      </c>
      <c r="AM93" s="188">
        <f>opex_orig!AI93</f>
        <v>6.6952600000000004E-4</v>
      </c>
      <c r="AN93" s="188">
        <f>opex_orig!AJ93</f>
        <v>4.1888800000000002E-4</v>
      </c>
      <c r="AO93" s="188">
        <f>opex_orig!AK93</f>
        <v>3.4016199999999997E-4</v>
      </c>
      <c r="AP93" s="188">
        <f>opex_orig!$AL93</f>
        <v>3.9013580316701201E-4</v>
      </c>
      <c r="AQ93" s="188">
        <f>opex_orig!$AL93</f>
        <v>3.9013580316701201E-4</v>
      </c>
      <c r="AR93" s="188">
        <f>opex_orig!$AL93</f>
        <v>3.9013580316701201E-4</v>
      </c>
      <c r="AS93" s="188">
        <f>opex_orig!$AM93</f>
        <v>3.5011238520042697E-4</v>
      </c>
      <c r="AT93" s="188">
        <f>opex_orig!AN93</f>
        <v>5.7171399999999997E-4</v>
      </c>
      <c r="AU93" s="188">
        <f>opex_orig!$AO93</f>
        <v>7.29802075624112E-4</v>
      </c>
      <c r="AV93" s="188">
        <f>opex_orig!$AO93</f>
        <v>7.29802075624112E-4</v>
      </c>
      <c r="AW93" s="188">
        <f>opex_orig!$AO93</f>
        <v>7.29802075624112E-4</v>
      </c>
      <c r="AX93" s="188">
        <f>opex_orig!$AP93</f>
        <v>8.4341223701442196E-4</v>
      </c>
      <c r="AY93" s="188">
        <f>opex_orig!AQ93</f>
        <v>1.0430350000000001E-3</v>
      </c>
      <c r="AZ93" s="188">
        <f>opex_orig!AR93</f>
        <v>0</v>
      </c>
      <c r="BA93" s="188">
        <f>opex_orig!AS93</f>
        <v>8.6028999999999999E-4</v>
      </c>
      <c r="BB93" s="188">
        <f>opex_orig!AT93</f>
        <v>8.7996600000000004E-4</v>
      </c>
      <c r="BC93" s="188">
        <f>opex_orig!AU93</f>
        <v>1.283E-4</v>
      </c>
      <c r="BD93" s="188">
        <f>opex_orig!AV93</f>
        <v>9.5000000000000005E-5</v>
      </c>
      <c r="BE93" s="188">
        <f>opex_orig!AW93</f>
        <v>6.2026699999999998E-4</v>
      </c>
      <c r="BF93" s="188">
        <f>opex_orig!AX93</f>
        <v>0</v>
      </c>
      <c r="BG93" s="188">
        <f>opex_orig!AY93</f>
        <v>5.1228500000000002E-4</v>
      </c>
      <c r="BH93" s="188">
        <f>opex_orig!AZ93</f>
        <v>0</v>
      </c>
      <c r="BI93" s="188">
        <f>opex_orig!BA93</f>
        <v>1.28987E-3</v>
      </c>
      <c r="BJ93" s="188">
        <f>opex_orig!BB93</f>
        <v>2.0588030000000001E-3</v>
      </c>
      <c r="BK93" s="188">
        <f>opex_orig!BC93</f>
        <v>1.345096E-2</v>
      </c>
      <c r="BL93" s="188">
        <f>opex_orig!BD93</f>
        <v>3.5273750000000001E-3</v>
      </c>
      <c r="BM93" s="188">
        <f>opex_orig!BE93</f>
        <v>4.9312799999999997E-3</v>
      </c>
      <c r="BN93" s="188">
        <f>opex_orig!BF93</f>
        <v>3.1614239999999999E-3</v>
      </c>
      <c r="BO93" s="188">
        <f>opex_orig!BG93</f>
        <v>1.3746089999999999E-3</v>
      </c>
      <c r="BP93" s="188">
        <f>opex_orig!$BH93</f>
        <v>1.37392451559817E-3</v>
      </c>
      <c r="BQ93" s="188">
        <f>opex_orig!$BH93</f>
        <v>1.37392451559817E-3</v>
      </c>
      <c r="BR93" s="188">
        <f>opex_orig!BI93</f>
        <v>4.2098351999999999E-2</v>
      </c>
      <c r="BS93" s="188">
        <f>opex_orig!BJ93</f>
        <v>2.2842690999999998E-2</v>
      </c>
      <c r="BT93" s="188">
        <f>opex_orig!BK93</f>
        <v>3.4603800000000001E-4</v>
      </c>
      <c r="BU93" s="188">
        <f>opex_orig!BL93</f>
        <v>0</v>
      </c>
      <c r="BV93" s="27">
        <f>opex_orig!BM93</f>
        <v>4.58947194473336E-4</v>
      </c>
      <c r="BW93" s="27">
        <f>opex_orig!BN93</f>
        <v>8.8599733737021696E-4</v>
      </c>
      <c r="BX93" s="27">
        <f>opex_orig!BO93</f>
        <v>2.4537747498524403E-4</v>
      </c>
      <c r="BY93" s="27">
        <f>opex_orig!BP93</f>
        <v>1.3022073236869901E-4</v>
      </c>
      <c r="BZ93" s="27">
        <f>opex_orig!BQ93</f>
        <v>1.06849828260614E-4</v>
      </c>
      <c r="CA93" s="27">
        <f>opex_orig!BR93</f>
        <v>7.5817431794916496E-5</v>
      </c>
      <c r="CB93" s="27">
        <f>opex_orig!BS93</f>
        <v>4.8941347213886995E-4</v>
      </c>
      <c r="CC93" s="27">
        <f>opex_orig!BT93</f>
        <v>9.1640739648459596E-5</v>
      </c>
      <c r="CD93" s="27">
        <f>opex_orig!BU93</f>
        <v>1.24132558900916E-4</v>
      </c>
      <c r="CE93" s="27">
        <f>opex_orig!BV93</f>
        <v>1.24132558900916E-4</v>
      </c>
      <c r="CF93" s="27">
        <f>opex_orig!BW93</f>
        <v>2.1887386302202401E-4</v>
      </c>
      <c r="CG93" s="27">
        <f>opex_orig!BX93</f>
        <v>4.4364884252703903E-6</v>
      </c>
      <c r="CH93" s="27">
        <f>opex_orig!BY93</f>
        <v>2.0596282527033301E-6</v>
      </c>
      <c r="CI93" s="27">
        <f>opex_orig!BZ93</f>
        <v>3.5381799999999999E-4</v>
      </c>
      <c r="CJ93" s="27">
        <f>opex_orig!CA93</f>
        <v>2.3420200000000001E-4</v>
      </c>
      <c r="CK93" s="27">
        <f>opex_orig!CB93</f>
        <v>2.7224299999999998E-4</v>
      </c>
      <c r="CL93" s="27">
        <f>opex_orig!CC93</f>
        <v>1.7132200000000001E-4</v>
      </c>
      <c r="CM93" s="27">
        <f>opex_orig!CD93</f>
        <v>1.1574440000000001E-3</v>
      </c>
      <c r="CN93" s="27">
        <f>opex_orig!CE93</f>
        <v>3.9942100000000001E-4</v>
      </c>
      <c r="CO93" s="27">
        <f>opex_orig!CF93</f>
        <v>3.6661499999999999E-4</v>
      </c>
      <c r="CP93" s="27">
        <f>opex_orig!CG93</f>
        <v>1.98E-5</v>
      </c>
    </row>
    <row r="94" spans="1:94" x14ac:dyDescent="0.25">
      <c r="A94" s="5" t="s">
        <v>207</v>
      </c>
      <c r="B94" s="2" t="s">
        <v>206</v>
      </c>
      <c r="C94" s="1" t="s">
        <v>329</v>
      </c>
      <c r="D94" s="188">
        <f>opex_orig!D94</f>
        <v>4.95923E-4</v>
      </c>
      <c r="E94" s="188">
        <f>opex_orig!E94</f>
        <v>7.9889499999999999E-4</v>
      </c>
      <c r="F94" s="188">
        <f>opex_orig!F94</f>
        <v>6.19029E-4</v>
      </c>
      <c r="G94" s="188">
        <f>opex_orig!G94</f>
        <v>3.6600000000000002E-5</v>
      </c>
      <c r="H94" s="188">
        <f>opex_orig!H94</f>
        <v>9.5199999999999997E-5</v>
      </c>
      <c r="I94" s="188">
        <f>opex_orig!I94</f>
        <v>1.6236449999999999E-3</v>
      </c>
      <c r="J94" s="188">
        <f>opex_orig!J94</f>
        <v>1.8011200000000001E-4</v>
      </c>
      <c r="K94" s="188">
        <f>opex_orig!K94</f>
        <v>1.03229E-4</v>
      </c>
      <c r="L94" s="188">
        <f>opex_orig!L94</f>
        <v>3.1980699999999999E-3</v>
      </c>
      <c r="M94" s="188">
        <f>opex_orig!M94</f>
        <v>1.0735144E-2</v>
      </c>
      <c r="N94" s="188">
        <f>opex_orig!N94</f>
        <v>4.3213440000000004E-3</v>
      </c>
      <c r="O94" s="188">
        <f>opex_orig!O94</f>
        <v>1.4912899999999999E-4</v>
      </c>
      <c r="P94" s="188">
        <f>opex_orig!P94</f>
        <v>5.083522E-3</v>
      </c>
      <c r="Q94" s="188">
        <f>opex_orig!Q94</f>
        <v>2.4399123000000002E-2</v>
      </c>
      <c r="R94" s="188">
        <f>opex_orig!R94</f>
        <v>9.6237189999999993E-3</v>
      </c>
      <c r="S94" s="188">
        <f>opex_orig!S94</f>
        <v>6.1297959999999999E-3</v>
      </c>
      <c r="T94" s="188">
        <f>opex_orig!T94</f>
        <v>5.779668E-3</v>
      </c>
      <c r="U94" s="188">
        <f>opex_orig!U94</f>
        <v>7.5377899999999999E-3</v>
      </c>
      <c r="V94" s="188">
        <f>opex_orig!V94</f>
        <v>7.3897060000000002E-3</v>
      </c>
      <c r="W94" s="188">
        <f>opex_orig!W94</f>
        <v>1.1480185E-2</v>
      </c>
      <c r="X94" s="188">
        <f>opex_orig!X94</f>
        <v>4.3962599999999998E-4</v>
      </c>
      <c r="Y94" s="188">
        <f>opex_orig!Y94</f>
        <v>9.0199999999999997E-5</v>
      </c>
      <c r="Z94" s="188">
        <f>opex_orig!Z94</f>
        <v>2.98559E-4</v>
      </c>
      <c r="AA94" s="188">
        <f>opex_orig!AA94</f>
        <v>5.2665199999999996E-4</v>
      </c>
      <c r="AB94" s="188">
        <f>opex_orig!$AB94</f>
        <v>1.23264937575068E-4</v>
      </c>
      <c r="AC94" s="188">
        <f>opex_orig!$AB94</f>
        <v>1.23264937575068E-4</v>
      </c>
      <c r="AD94" s="188">
        <f>opex_orig!$AB94</f>
        <v>1.23264937575068E-4</v>
      </c>
      <c r="AE94" s="188">
        <f>opex_orig!$AC94</f>
        <v>5.8664611997044603E-4</v>
      </c>
      <c r="AF94" s="188">
        <f>opex_orig!$AD94</f>
        <v>4.2323247920165102E-4</v>
      </c>
      <c r="AG94" s="188">
        <f>opex_orig!$AD94</f>
        <v>4.2323247920165102E-4</v>
      </c>
      <c r="AH94" s="188">
        <f>opex_orig!$AD94</f>
        <v>4.2323247920165102E-4</v>
      </c>
      <c r="AI94" s="188">
        <f>opex_orig!AE94</f>
        <v>3.5366299999999999E-4</v>
      </c>
      <c r="AJ94" s="188">
        <f>opex_orig!AF94</f>
        <v>4.8116369999999997E-3</v>
      </c>
      <c r="AK94" s="188">
        <f>opex_orig!AG94</f>
        <v>5.1385700000000003E-3</v>
      </c>
      <c r="AL94" s="188">
        <f>opex_orig!AH94</f>
        <v>9.0603199999999997E-4</v>
      </c>
      <c r="AM94" s="188">
        <f>opex_orig!AI94</f>
        <v>1.4065200000000001E-3</v>
      </c>
      <c r="AN94" s="188">
        <f>opex_orig!AJ94</f>
        <v>1.0631729999999999E-3</v>
      </c>
      <c r="AO94" s="188">
        <f>opex_orig!AK94</f>
        <v>6.0861900000000002E-4</v>
      </c>
      <c r="AP94" s="188">
        <f>opex_orig!$AL94</f>
        <v>6.6370374998748604E-4</v>
      </c>
      <c r="AQ94" s="188">
        <f>opex_orig!$AL94</f>
        <v>6.6370374998748604E-4</v>
      </c>
      <c r="AR94" s="188">
        <f>opex_orig!$AL94</f>
        <v>6.6370374998748604E-4</v>
      </c>
      <c r="AS94" s="188">
        <f>opex_orig!$AM94</f>
        <v>5.7061805323427002E-4</v>
      </c>
      <c r="AT94" s="188">
        <f>opex_orig!AN94</f>
        <v>2.5844330000000001E-3</v>
      </c>
      <c r="AU94" s="188">
        <f>opex_orig!$AO94</f>
        <v>3.11043436662274E-3</v>
      </c>
      <c r="AV94" s="188">
        <f>opex_orig!$AO94</f>
        <v>3.11043436662274E-3</v>
      </c>
      <c r="AW94" s="188">
        <f>opex_orig!$AO94</f>
        <v>3.11043436662274E-3</v>
      </c>
      <c r="AX94" s="188">
        <f>opex_orig!$AP94</f>
        <v>3.3856155683121502E-3</v>
      </c>
      <c r="AY94" s="188">
        <f>opex_orig!AQ94</f>
        <v>3.7252980000000002E-3</v>
      </c>
      <c r="AZ94" s="188">
        <f>opex_orig!AR94</f>
        <v>0</v>
      </c>
      <c r="BA94" s="188">
        <f>opex_orig!AS94</f>
        <v>2.2423510000000001E-3</v>
      </c>
      <c r="BB94" s="188">
        <f>opex_orig!AT94</f>
        <v>2.2694820000000002E-3</v>
      </c>
      <c r="BC94" s="188">
        <f>opex_orig!AU94</f>
        <v>2.6129300000000001E-4</v>
      </c>
      <c r="BD94" s="188">
        <f>opex_orig!AV94</f>
        <v>1.9319500000000001E-4</v>
      </c>
      <c r="BE94" s="188">
        <f>opex_orig!AW94</f>
        <v>1.7338239999999999E-3</v>
      </c>
      <c r="BF94" s="188">
        <f>opex_orig!AX94</f>
        <v>0</v>
      </c>
      <c r="BG94" s="188">
        <f>opex_orig!AY94</f>
        <v>1.5048069999999999E-3</v>
      </c>
      <c r="BH94" s="188">
        <f>opex_orig!AZ94</f>
        <v>0</v>
      </c>
      <c r="BI94" s="188">
        <f>opex_orig!BA94</f>
        <v>6.5629310000000001E-3</v>
      </c>
      <c r="BJ94" s="188">
        <f>opex_orig!BB94</f>
        <v>3.3829369999999999E-3</v>
      </c>
      <c r="BK94" s="188">
        <f>opex_orig!BC94</f>
        <v>2.0164879999999999E-3</v>
      </c>
      <c r="BL94" s="188">
        <f>opex_orig!BD94</f>
        <v>7.3815899999999995E-4</v>
      </c>
      <c r="BM94" s="188">
        <f>opex_orig!BE94</f>
        <v>2.4918760000000001E-3</v>
      </c>
      <c r="BN94" s="188">
        <f>opex_orig!BF94</f>
        <v>1.0071399999999999E-3</v>
      </c>
      <c r="BO94" s="188">
        <f>opex_orig!BG94</f>
        <v>1.8146359999999999E-3</v>
      </c>
      <c r="BP94" s="188">
        <f>opex_orig!$BH94</f>
        <v>1.27436700766495E-3</v>
      </c>
      <c r="BQ94" s="188">
        <f>opex_orig!$BH94</f>
        <v>1.27436700766495E-3</v>
      </c>
      <c r="BR94" s="188">
        <f>opex_orig!BI94</f>
        <v>1.6188960000000001E-3</v>
      </c>
      <c r="BS94" s="188">
        <f>opex_orig!BJ94</f>
        <v>7.3146218999999998E-2</v>
      </c>
      <c r="BT94" s="188">
        <f>opex_orig!BK94</f>
        <v>1.133399E-3</v>
      </c>
      <c r="BU94" s="188">
        <f>opex_orig!BL94</f>
        <v>0</v>
      </c>
      <c r="BV94" s="27">
        <f>opex_orig!BM94</f>
        <v>3.3714839416411899E-4</v>
      </c>
      <c r="BW94" s="27">
        <f>opex_orig!BN94</f>
        <v>4.48386335750305E-4</v>
      </c>
      <c r="BX94" s="27">
        <f>opex_orig!BO94</f>
        <v>1.5707957642028801E-4</v>
      </c>
      <c r="BY94" s="27">
        <f>opex_orig!BP94</f>
        <v>1.10597392919944E-4</v>
      </c>
      <c r="BZ94" s="27">
        <f>opex_orig!BQ94</f>
        <v>8.8305544445632203E-5</v>
      </c>
      <c r="CA94" s="27">
        <f>opex_orig!BR94</f>
        <v>6.4641441257008397E-5</v>
      </c>
      <c r="CB94" s="27">
        <f>opex_orig!BS94</f>
        <v>3.2435886235003899E-4</v>
      </c>
      <c r="CC94" s="27">
        <f>opex_orig!BT94</f>
        <v>2.2979877715031301E-4</v>
      </c>
      <c r="CD94" s="27">
        <f>opex_orig!BU94</f>
        <v>8.2335771885369305E-5</v>
      </c>
      <c r="CE94" s="27">
        <f>opex_orig!BV94</f>
        <v>8.2335771885369604E-5</v>
      </c>
      <c r="CF94" s="27">
        <f>opex_orig!BW94</f>
        <v>7.7590769598448797E-4</v>
      </c>
      <c r="CG94" s="27">
        <f>opex_orig!BX94</f>
        <v>4.5693350800034599E-6</v>
      </c>
      <c r="CH94" s="27">
        <f>opex_orig!BY94</f>
        <v>9.8986665829497905E-5</v>
      </c>
      <c r="CI94" s="27">
        <f>opex_orig!BZ94</f>
        <v>2.3206600000000001E-4</v>
      </c>
      <c r="CJ94" s="27">
        <f>opex_orig!CA94</f>
        <v>1.8802900000000001E-4</v>
      </c>
      <c r="CK94" s="27">
        <f>opex_orig!CB94</f>
        <v>1.8552799999999999E-4</v>
      </c>
      <c r="CL94" s="27">
        <f>opex_orig!CC94</f>
        <v>7.4599999999999997E-5</v>
      </c>
      <c r="CM94" s="27">
        <f>opex_orig!CD94</f>
        <v>5.4856999999999996E-4</v>
      </c>
      <c r="CN94" s="27">
        <f>opex_orig!CE94</f>
        <v>4.60526E-4</v>
      </c>
      <c r="CO94" s="27">
        <f>opex_orig!CF94</f>
        <v>7.8408899999999997E-4</v>
      </c>
      <c r="CP94" s="27">
        <f>opex_orig!CG94</f>
        <v>1.00047E-4</v>
      </c>
    </row>
    <row r="95" spans="1:94" x14ac:dyDescent="0.25">
      <c r="A95" s="6" t="s">
        <v>209</v>
      </c>
      <c r="B95" s="2" t="s">
        <v>208</v>
      </c>
      <c r="C95" s="1" t="s">
        <v>330</v>
      </c>
      <c r="D95" s="188">
        <f>opex_orig!D95</f>
        <v>5.7599999999999997E-5</v>
      </c>
      <c r="E95" s="188">
        <f>opex_orig!E95</f>
        <v>5.5399999999999998E-5</v>
      </c>
      <c r="F95" s="188">
        <f>opex_orig!F95</f>
        <v>7.2999999999999999E-5</v>
      </c>
      <c r="G95" s="188">
        <f>opex_orig!G95</f>
        <v>2.72E-5</v>
      </c>
      <c r="H95" s="188">
        <f>opex_orig!H95</f>
        <v>2.0400000000000001E-5</v>
      </c>
      <c r="I95" s="188">
        <f>opex_orig!I95</f>
        <v>7.0300000000000001E-5</v>
      </c>
      <c r="J95" s="188">
        <f>opex_orig!J95</f>
        <v>2.4562500000000002E-4</v>
      </c>
      <c r="K95" s="188">
        <f>opex_orig!K95</f>
        <v>4.49E-5</v>
      </c>
      <c r="L95" s="188">
        <f>opex_orig!L95</f>
        <v>1.72072E-4</v>
      </c>
      <c r="M95" s="188">
        <f>opex_orig!M95</f>
        <v>2.1534700000000001E-4</v>
      </c>
      <c r="N95" s="188">
        <f>opex_orig!N95</f>
        <v>2.5254999999999999E-4</v>
      </c>
      <c r="O95" s="188">
        <f>opex_orig!O95</f>
        <v>1.16005E-4</v>
      </c>
      <c r="P95" s="188">
        <f>opex_orig!P95</f>
        <v>1.18867E-4</v>
      </c>
      <c r="Q95" s="188">
        <f>opex_orig!Q95</f>
        <v>1.07963E-4</v>
      </c>
      <c r="R95" s="188">
        <f>opex_orig!R95</f>
        <v>1.2162700000000001E-4</v>
      </c>
      <c r="S95" s="188">
        <f>opex_orig!S95</f>
        <v>4.6E-5</v>
      </c>
      <c r="T95" s="188">
        <f>opex_orig!T95</f>
        <v>9.0799999999999998E-5</v>
      </c>
      <c r="U95" s="188">
        <f>opex_orig!U95</f>
        <v>7.1299999999999998E-5</v>
      </c>
      <c r="V95" s="188">
        <f>opex_orig!V95</f>
        <v>8.9300000000000002E-5</v>
      </c>
      <c r="W95" s="188">
        <f>opex_orig!W95</f>
        <v>4.4400000000000002E-5</v>
      </c>
      <c r="X95" s="188">
        <f>opex_orig!X95</f>
        <v>5.3600000000000002E-5</v>
      </c>
      <c r="Y95" s="188">
        <f>opex_orig!Y95</f>
        <v>6.1199999999999997E-5</v>
      </c>
      <c r="Z95" s="188">
        <f>opex_orig!Z95</f>
        <v>7.7600000000000002E-5</v>
      </c>
      <c r="AA95" s="188">
        <f>opex_orig!AA95</f>
        <v>1.4605099999999999E-4</v>
      </c>
      <c r="AB95" s="188">
        <f>opex_orig!$AB95</f>
        <v>1.2976488083071499E-4</v>
      </c>
      <c r="AC95" s="188">
        <f>opex_orig!$AB95</f>
        <v>1.2976488083071499E-4</v>
      </c>
      <c r="AD95" s="188">
        <f>opex_orig!$AB95</f>
        <v>1.2976488083071499E-4</v>
      </c>
      <c r="AE95" s="188">
        <f>opex_orig!$AC95</f>
        <v>3.6315192537078302E-4</v>
      </c>
      <c r="AF95" s="188">
        <f>opex_orig!$AD95</f>
        <v>1.12732231398091E-4</v>
      </c>
      <c r="AG95" s="188">
        <f>opex_orig!$AD95</f>
        <v>1.12732231398091E-4</v>
      </c>
      <c r="AH95" s="188">
        <f>opex_orig!$AD95</f>
        <v>1.12732231398091E-4</v>
      </c>
      <c r="AI95" s="188">
        <f>opex_orig!AE95</f>
        <v>8.1600000000000005E-5</v>
      </c>
      <c r="AJ95" s="188">
        <f>opex_orig!AF95</f>
        <v>4.5013200000000001E-4</v>
      </c>
      <c r="AK95" s="188">
        <f>opex_orig!AG95</f>
        <v>1.91812E-4</v>
      </c>
      <c r="AL95" s="188">
        <f>opex_orig!AH95</f>
        <v>9.6500000000000001E-5</v>
      </c>
      <c r="AM95" s="188">
        <f>opex_orig!AI95</f>
        <v>1.4170400000000001E-4</v>
      </c>
      <c r="AN95" s="188">
        <f>opex_orig!AJ95</f>
        <v>7.2299999999999996E-5</v>
      </c>
      <c r="AO95" s="188">
        <f>opex_orig!AK95</f>
        <v>1.42607E-4</v>
      </c>
      <c r="AP95" s="188">
        <f>opex_orig!$AL95</f>
        <v>9.2644119956756404E-5</v>
      </c>
      <c r="AQ95" s="188">
        <f>opex_orig!$AL95</f>
        <v>9.2644119956756404E-5</v>
      </c>
      <c r="AR95" s="188">
        <f>opex_orig!$AL95</f>
        <v>9.2644119956756404E-5</v>
      </c>
      <c r="AS95" s="188">
        <f>opex_orig!$AM95</f>
        <v>1.05646760220718E-4</v>
      </c>
      <c r="AT95" s="188">
        <f>opex_orig!AN95</f>
        <v>1.10845E-4</v>
      </c>
      <c r="AU95" s="310">
        <f>opex_concordance!M594</f>
        <v>0.12297476016742501</v>
      </c>
      <c r="AV95" s="310">
        <f>opex_concordance!M640</f>
        <v>0</v>
      </c>
      <c r="AW95" s="310">
        <f>opex_concordance!M686</f>
        <v>0.10193530062531227</v>
      </c>
      <c r="AX95" s="188">
        <f>opex_orig!$AP95</f>
        <v>0.136364807713034</v>
      </c>
      <c r="AY95" s="188">
        <f>opex_orig!AQ95</f>
        <v>0.12237052900000001</v>
      </c>
      <c r="AZ95" s="188">
        <f>opex_orig!AR95</f>
        <v>0</v>
      </c>
      <c r="BA95" s="188">
        <f>opex_orig!AS95</f>
        <v>0.11727006700000001</v>
      </c>
      <c r="BB95" s="188">
        <f>opex_orig!AT95</f>
        <v>0.14173768</v>
      </c>
      <c r="BC95" s="188">
        <f>opex_orig!AU95</f>
        <v>3.8638969999999998E-3</v>
      </c>
      <c r="BD95" s="188">
        <f>opex_orig!AV95</f>
        <v>6.2118500000000001E-4</v>
      </c>
      <c r="BE95" s="188">
        <f>opex_orig!AW95</f>
        <v>9.8234679000000005E-2</v>
      </c>
      <c r="BF95" s="188">
        <f>opex_orig!AX95</f>
        <v>0</v>
      </c>
      <c r="BG95" s="188">
        <f>opex_orig!AY95</f>
        <v>0.106040537</v>
      </c>
      <c r="BH95" s="188">
        <f>opex_orig!AZ95</f>
        <v>0</v>
      </c>
      <c r="BI95" s="188">
        <f>opex_orig!BA95</f>
        <v>5.1296332E-2</v>
      </c>
      <c r="BJ95" s="188">
        <f>opex_orig!BB95</f>
        <v>2.5658400000000002E-4</v>
      </c>
      <c r="BK95" s="188">
        <f>opex_orig!BC95</f>
        <v>5.74539E-4</v>
      </c>
      <c r="BL95" s="188">
        <f>opex_orig!BD95</f>
        <v>4.57E-5</v>
      </c>
      <c r="BM95" s="188">
        <f>opex_orig!BE95</f>
        <v>3.5849599999999998E-4</v>
      </c>
      <c r="BN95" s="188">
        <f>opex_orig!BF95</f>
        <v>1.4747600000000001E-4</v>
      </c>
      <c r="BO95" s="188">
        <f>opex_orig!BG95</f>
        <v>1.80082E-4</v>
      </c>
      <c r="BP95" s="188">
        <f>opex_orig!$BH95</f>
        <v>1.58470330732762E-4</v>
      </c>
      <c r="BQ95" s="188">
        <f>opex_orig!$BH95</f>
        <v>1.58470330732762E-4</v>
      </c>
      <c r="BR95" s="188">
        <f>opex_orig!BI95</f>
        <v>2.7923100000000001E-4</v>
      </c>
      <c r="BS95" s="188">
        <f>opex_orig!BJ95</f>
        <v>2.1723900000000001E-4</v>
      </c>
      <c r="BT95" s="188">
        <f>opex_orig!BK95</f>
        <v>0.24740000000000001</v>
      </c>
      <c r="BU95" s="188">
        <f>opex_orig!BL95</f>
        <v>0</v>
      </c>
      <c r="BV95" s="27">
        <f>opex_orig!BM95</f>
        <v>3.2527713362672402E-5</v>
      </c>
      <c r="BW95" s="27">
        <f>opex_orig!BN95</f>
        <v>1.1960310775241401E-4</v>
      </c>
      <c r="BX95" s="27">
        <f>opex_orig!BO95</f>
        <v>1.6657657361941699E-5</v>
      </c>
      <c r="BY95" s="27">
        <f>opex_orig!BP95</f>
        <v>7.6344187058682603E-5</v>
      </c>
      <c r="BZ95" s="27">
        <f>opex_orig!BQ95</f>
        <v>5.0120977387598997E-5</v>
      </c>
      <c r="CA95" s="27">
        <f>opex_orig!BR95</f>
        <v>1.40430433945579E-4</v>
      </c>
      <c r="CB95" s="27">
        <f>opex_orig!BS95</f>
        <v>1.65614104721719E-4</v>
      </c>
      <c r="CC95" s="27">
        <f>opex_orig!BT95</f>
        <v>1.9447323019069899E-4</v>
      </c>
      <c r="CD95" s="27">
        <f>opex_orig!BU95</f>
        <v>1.7321434691212701E-5</v>
      </c>
      <c r="CE95" s="27">
        <f>opex_orig!BV95</f>
        <v>1.7321434691212701E-5</v>
      </c>
      <c r="CF95" s="27">
        <f>opex_orig!BW95</f>
        <v>2.8398620266961299E-5</v>
      </c>
      <c r="CG95" s="27">
        <f>opex_orig!BX95</f>
        <v>4.5170987136897202E-7</v>
      </c>
      <c r="CH95" s="27">
        <f>opex_orig!BY95</f>
        <v>2.5835854846045901E-6</v>
      </c>
      <c r="CI95" s="27">
        <f>opex_orig!BZ95</f>
        <v>5.9799999999999997E-5</v>
      </c>
      <c r="CJ95" s="27">
        <f>opex_orig!CA95</f>
        <v>4.6E-5</v>
      </c>
      <c r="CK95" s="27">
        <f>opex_orig!CB95</f>
        <v>3.6399999999999997E-5</v>
      </c>
      <c r="CL95" s="27">
        <f>opex_orig!CC95</f>
        <v>1.111E-4</v>
      </c>
      <c r="CM95" s="27">
        <f>opex_orig!CD95</f>
        <v>5.8999999999999998E-5</v>
      </c>
      <c r="CN95" s="27">
        <f>opex_orig!CE95</f>
        <v>9.7999999999999997E-5</v>
      </c>
      <c r="CO95" s="27">
        <f>opex_orig!CF95</f>
        <v>4.2299999999999998E-5</v>
      </c>
      <c r="CP95" s="27">
        <f>opex_orig!CG95</f>
        <v>3.8300000000000003E-5</v>
      </c>
    </row>
    <row r="96" spans="1:94" x14ac:dyDescent="0.25">
      <c r="A96" s="6" t="s">
        <v>211</v>
      </c>
      <c r="B96" s="2" t="s">
        <v>210</v>
      </c>
      <c r="C96" s="1" t="s">
        <v>330</v>
      </c>
      <c r="D96" s="188">
        <f>opex_orig!D96</f>
        <v>4.21E-5</v>
      </c>
      <c r="E96" s="188">
        <f>opex_orig!E96</f>
        <v>1.47E-5</v>
      </c>
      <c r="F96" s="188">
        <f>opex_orig!F96</f>
        <v>2.2200000000000001E-5</v>
      </c>
      <c r="G96" s="188">
        <f>opex_orig!G96</f>
        <v>1.9899999999999999E-5</v>
      </c>
      <c r="H96" s="188">
        <f>opex_orig!H96</f>
        <v>3.3399999999999999E-5</v>
      </c>
      <c r="I96" s="188">
        <f>opex_orig!I96</f>
        <v>2.3499999999999999E-5</v>
      </c>
      <c r="J96" s="188">
        <f>opex_orig!J96</f>
        <v>7.6299999999999998E-5</v>
      </c>
      <c r="K96" s="188">
        <f>opex_orig!K96</f>
        <v>3.3000000000000003E-5</v>
      </c>
      <c r="L96" s="188">
        <f>opex_orig!L96</f>
        <v>3.4100000000000002E-5</v>
      </c>
      <c r="M96" s="188">
        <f>opex_orig!M96</f>
        <v>4.4400000000000002E-5</v>
      </c>
      <c r="N96" s="188">
        <f>opex_orig!N96</f>
        <v>1.28577E-4</v>
      </c>
      <c r="O96" s="188">
        <f>opex_orig!O96</f>
        <v>4.88E-5</v>
      </c>
      <c r="P96" s="188">
        <f>opex_orig!P96</f>
        <v>1.9005899999999999E-4</v>
      </c>
      <c r="Q96" s="188">
        <f>opex_orig!Q96</f>
        <v>9.3499999999999996E-5</v>
      </c>
      <c r="R96" s="188">
        <f>opex_orig!R96</f>
        <v>7.7000000000000001E-5</v>
      </c>
      <c r="S96" s="188">
        <f>opex_orig!S96</f>
        <v>1.48942E-4</v>
      </c>
      <c r="T96" s="188">
        <f>opex_orig!T96</f>
        <v>1.62631E-4</v>
      </c>
      <c r="U96" s="188">
        <f>opex_orig!U96</f>
        <v>8.0599999999999994E-5</v>
      </c>
      <c r="V96" s="188">
        <f>opex_orig!V96</f>
        <v>4.4100000000000001E-5</v>
      </c>
      <c r="W96" s="188">
        <f>opex_orig!W96</f>
        <v>1.03158E-4</v>
      </c>
      <c r="X96" s="188">
        <f>opex_orig!X96</f>
        <v>2.87E-5</v>
      </c>
      <c r="Y96" s="188">
        <f>opex_orig!Y96</f>
        <v>2.9E-5</v>
      </c>
      <c r="Z96" s="188">
        <f>opex_orig!Z96</f>
        <v>9.8599999999999998E-5</v>
      </c>
      <c r="AA96" s="188">
        <f>opex_orig!AA96</f>
        <v>1.2539300000000001E-4</v>
      </c>
      <c r="AB96" s="188">
        <f>opex_orig!$AB96</f>
        <v>1.0765062339575799E-3</v>
      </c>
      <c r="AC96" s="188">
        <f>opex_orig!$AB96</f>
        <v>1.0765062339575799E-3</v>
      </c>
      <c r="AD96" s="188">
        <f>opex_orig!$AB96</f>
        <v>1.0765062339575799E-3</v>
      </c>
      <c r="AE96" s="188">
        <f>opex_orig!$AC96</f>
        <v>4.94856892725176E-5</v>
      </c>
      <c r="AF96" s="188">
        <f>opex_orig!$AD96</f>
        <v>1.12809939112791E-5</v>
      </c>
      <c r="AG96" s="188">
        <f>opex_orig!$AD96</f>
        <v>1.12809939112791E-5</v>
      </c>
      <c r="AH96" s="188">
        <f>opex_orig!$AD96</f>
        <v>1.12809939112791E-5</v>
      </c>
      <c r="AI96" s="188">
        <f>opex_orig!AE96</f>
        <v>1.5800000000000001E-5</v>
      </c>
      <c r="AJ96" s="188">
        <f>opex_orig!AF96</f>
        <v>9.6100000000000005E-5</v>
      </c>
      <c r="AK96" s="188">
        <f>opex_orig!AG96</f>
        <v>8.5905300000000003E-4</v>
      </c>
      <c r="AL96" s="188">
        <f>opex_orig!AH96</f>
        <v>6.0099999999999997E-5</v>
      </c>
      <c r="AM96" s="188">
        <f>opex_orig!AI96</f>
        <v>5.8E-5</v>
      </c>
      <c r="AN96" s="188">
        <f>opex_orig!AJ96</f>
        <v>7.1299999999999998E-5</v>
      </c>
      <c r="AO96" s="188">
        <f>opex_orig!AK96</f>
        <v>9.4599999999999996E-5</v>
      </c>
      <c r="AP96" s="188">
        <f>opex_orig!$AL96</f>
        <v>6.2103714690626001E-5</v>
      </c>
      <c r="AQ96" s="188">
        <f>opex_orig!$AL96</f>
        <v>6.2103714690626001E-5</v>
      </c>
      <c r="AR96" s="188">
        <f>opex_orig!$AL96</f>
        <v>6.2103714690626001E-5</v>
      </c>
      <c r="AS96" s="188">
        <f>opex_orig!$AM96</f>
        <v>5.20202641766741E-5</v>
      </c>
      <c r="AT96" s="188">
        <f>opex_orig!AN96</f>
        <v>8.8599999999999999E-5</v>
      </c>
      <c r="AU96" s="188">
        <f>opex_orig!$AO96</f>
        <v>6.7495591055406203E-4</v>
      </c>
      <c r="AV96" s="188">
        <f>opex_orig!$AO96</f>
        <v>6.7495591055406203E-4</v>
      </c>
      <c r="AW96" s="188">
        <f>opex_orig!$AO96</f>
        <v>6.7495591055406203E-4</v>
      </c>
      <c r="AX96" s="188">
        <f>opex_orig!$AP96</f>
        <v>7.6090137713652895E-4</v>
      </c>
      <c r="AY96" s="188">
        <f>opex_orig!AQ96</f>
        <v>2.232992E-3</v>
      </c>
      <c r="AZ96" s="188">
        <f>opex_orig!AR96</f>
        <v>0</v>
      </c>
      <c r="BA96" s="188">
        <f>opex_orig!AS96</f>
        <v>4.5549000000000002E-4</v>
      </c>
      <c r="BB96" s="188">
        <f>opex_orig!AT96</f>
        <v>4.6203200000000002E-4</v>
      </c>
      <c r="BC96" s="188">
        <f>opex_orig!AU96</f>
        <v>4.2567700000000001E-4</v>
      </c>
      <c r="BD96" s="188">
        <f>opex_orig!AV96</f>
        <v>4.3495200000000001E-4</v>
      </c>
      <c r="BE96" s="188">
        <f>opex_orig!AW96</f>
        <v>7.4190250000000001E-3</v>
      </c>
      <c r="BF96" s="188">
        <f>opex_orig!AX96</f>
        <v>0</v>
      </c>
      <c r="BG96" s="188">
        <f>opex_orig!AY96</f>
        <v>5.1216E-4</v>
      </c>
      <c r="BH96" s="188">
        <f>opex_orig!AZ96</f>
        <v>0</v>
      </c>
      <c r="BI96" s="188">
        <f>opex_orig!BA96</f>
        <v>1.0888829999999999E-3</v>
      </c>
      <c r="BJ96" s="188">
        <f>opex_orig!BB96</f>
        <v>7.6319799999999998E-4</v>
      </c>
      <c r="BK96" s="188">
        <f>opex_orig!BC96</f>
        <v>5.7866999999999999E-4</v>
      </c>
      <c r="BL96" s="188">
        <f>opex_orig!BD96</f>
        <v>3.4400000000000003E-5</v>
      </c>
      <c r="BM96" s="188">
        <f>opex_orig!BE96</f>
        <v>4.6558100000000001E-4</v>
      </c>
      <c r="BN96" s="188">
        <f>opex_orig!BF96</f>
        <v>2.0400000000000001E-5</v>
      </c>
      <c r="BO96" s="188">
        <f>opex_orig!BG96</f>
        <v>2.6883199999999999E-4</v>
      </c>
      <c r="BP96" s="188">
        <f>opex_orig!$BH96</f>
        <v>1.12892214175054E-4</v>
      </c>
      <c r="BQ96" s="188">
        <f>opex_orig!$BH96</f>
        <v>1.12892214175054E-4</v>
      </c>
      <c r="BR96" s="188">
        <f>opex_orig!BI96</f>
        <v>2.0505799999999999E-4</v>
      </c>
      <c r="BS96" s="188">
        <f>opex_orig!BJ96</f>
        <v>2.7518200000000001E-4</v>
      </c>
      <c r="BT96" s="188">
        <f>opex_orig!BK96</f>
        <v>1.1263180000000001E-3</v>
      </c>
      <c r="BU96" s="188">
        <f>opex_orig!BL96</f>
        <v>0</v>
      </c>
      <c r="BV96" s="27">
        <f>opex_orig!BM96</f>
        <v>1.58975362030599E-5</v>
      </c>
      <c r="BW96" s="27">
        <f>opex_orig!BN96</f>
        <v>1.2355511858528801E-4</v>
      </c>
      <c r="BX96" s="27">
        <f>opex_orig!BO96</f>
        <v>5.3944695680493603E-6</v>
      </c>
      <c r="BY96" s="27">
        <f>opex_orig!BP96</f>
        <v>1.03434838803883E-5</v>
      </c>
      <c r="BZ96" s="27">
        <f>opex_orig!BQ96</f>
        <v>9.6352110114722606E-6</v>
      </c>
      <c r="CA96" s="27">
        <f>opex_orig!BR96</f>
        <v>6.21818087418901E-4</v>
      </c>
      <c r="CB96" s="27">
        <f>opex_orig!BS96</f>
        <v>2.8572184755178799E-4</v>
      </c>
      <c r="CC96" s="27">
        <f>opex_orig!BT96</f>
        <v>1.6571756397194999E-3</v>
      </c>
      <c r="CD96" s="27">
        <f>opex_orig!BU96</f>
        <v>5.31056529141152E-6</v>
      </c>
      <c r="CE96" s="27">
        <f>opex_orig!BV96</f>
        <v>5.3105652914115301E-6</v>
      </c>
      <c r="CF96" s="27">
        <f>opex_orig!BW96</f>
        <v>8.6382214202418298E-4</v>
      </c>
      <c r="CG96" s="27">
        <f>opex_orig!BX96</f>
        <v>1.9538283965824601E-5</v>
      </c>
      <c r="CH96" s="27">
        <f>opex_orig!BY96</f>
        <v>1.5246008765371601E-4</v>
      </c>
      <c r="CI96" s="27">
        <f>opex_orig!BZ96</f>
        <v>1.19E-5</v>
      </c>
      <c r="CJ96" s="27">
        <f>opex_orig!CA96</f>
        <v>8.8999999999999995E-6</v>
      </c>
      <c r="CK96" s="27">
        <f>opex_orig!CB96</f>
        <v>9.7999999999999993E-6</v>
      </c>
      <c r="CL96" s="27">
        <f>opex_orig!CC96</f>
        <v>1.1399999999999999E-5</v>
      </c>
      <c r="CM96" s="27">
        <f>opex_orig!CD96</f>
        <v>2.3600000000000001E-5</v>
      </c>
      <c r="CN96" s="27">
        <f>opex_orig!CE96</f>
        <v>1.2099999999999999E-5</v>
      </c>
      <c r="CO96" s="27">
        <f>opex_orig!CF96</f>
        <v>4.8099999999999997E-5</v>
      </c>
      <c r="CP96" s="27">
        <f>opex_orig!CG96</f>
        <v>6.4799999999999998E-6</v>
      </c>
    </row>
    <row r="97" spans="1:94" x14ac:dyDescent="0.25">
      <c r="A97" s="5" t="s">
        <v>2</v>
      </c>
      <c r="B97" s="2" t="s">
        <v>3</v>
      </c>
      <c r="C97" s="1" t="s">
        <v>330</v>
      </c>
      <c r="D97" s="188">
        <f>opex_orig!D97</f>
        <v>9.9430400000000011E-4</v>
      </c>
      <c r="E97" s="188">
        <f>opex_orig!E97</f>
        <v>1.697648E-3</v>
      </c>
      <c r="F97" s="188">
        <f>opex_orig!F97</f>
        <v>9.9679499999999997E-4</v>
      </c>
      <c r="G97" s="188">
        <f>opex_orig!G97</f>
        <v>1.17791E-4</v>
      </c>
      <c r="H97" s="188">
        <f>opex_orig!H97</f>
        <v>2.9655099999999999E-4</v>
      </c>
      <c r="I97" s="188">
        <f>opex_orig!I97</f>
        <v>5.3586049999999998E-3</v>
      </c>
      <c r="J97" s="188">
        <f>opex_orig!J97</f>
        <v>2.1951368999999998E-2</v>
      </c>
      <c r="K97" s="188">
        <f>opex_orig!K97</f>
        <v>3.80594E-4</v>
      </c>
      <c r="L97" s="188">
        <f>opex_orig!L97</f>
        <v>2.0490220000000002E-3</v>
      </c>
      <c r="M97" s="188">
        <f>opex_orig!M97</f>
        <v>7.3513340000000002E-3</v>
      </c>
      <c r="N97" s="188">
        <f>opex_orig!N97</f>
        <v>3.116808E-3</v>
      </c>
      <c r="O97" s="188">
        <f>opex_orig!O97</f>
        <v>2.0783759999999998E-3</v>
      </c>
      <c r="P97" s="188">
        <f>opex_orig!P97</f>
        <v>1.6125877E-2</v>
      </c>
      <c r="Q97" s="188">
        <f>opex_orig!Q97</f>
        <v>1.6864697000000001E-2</v>
      </c>
      <c r="R97" s="188">
        <f>opex_orig!R97</f>
        <v>7.2617299999999999E-4</v>
      </c>
      <c r="S97" s="188">
        <f>opex_orig!S97</f>
        <v>7.9774549999999996E-3</v>
      </c>
      <c r="T97" s="188">
        <f>opex_orig!T97</f>
        <v>8.1236309999999992E-3</v>
      </c>
      <c r="U97" s="188">
        <f>opex_orig!U97</f>
        <v>2.7546643999999999E-2</v>
      </c>
      <c r="V97" s="188">
        <f>opex_orig!V97</f>
        <v>1.3299770000000001E-2</v>
      </c>
      <c r="W97" s="188">
        <f>opex_orig!W97</f>
        <v>6.4762099999999996E-3</v>
      </c>
      <c r="X97" s="188">
        <f>opex_orig!X97</f>
        <v>3.917785E-3</v>
      </c>
      <c r="Y97" s="188">
        <f>opex_orig!Y97</f>
        <v>1.6750148999999999E-2</v>
      </c>
      <c r="Z97" s="188">
        <f>opex_orig!Z97</f>
        <v>3.6012158000000002E-2</v>
      </c>
      <c r="AA97" s="188">
        <f>opex_orig!AA97</f>
        <v>3.5943500000000002E-4</v>
      </c>
      <c r="AB97" s="273">
        <f>opex_concordance!M163</f>
        <v>2.4474877346843799E-4</v>
      </c>
      <c r="AC97" s="273">
        <f>opex_concordance!M208</f>
        <v>7.3951129641367831E-3</v>
      </c>
      <c r="AD97" s="273">
        <f>opex_concordance!M253</f>
        <v>6.5967413845289006E-3</v>
      </c>
      <c r="AE97" s="188">
        <f>opex_orig!$AC97</f>
        <v>2.5889863919273102E-3</v>
      </c>
      <c r="AF97" s="273">
        <f>opex_concordance!M295</f>
        <v>4.5176509017278103E-3</v>
      </c>
      <c r="AG97" s="273">
        <f>opex_concordance!M331</f>
        <v>1.1139980150779451E-3</v>
      </c>
      <c r="AH97" s="273">
        <f>opex_concordance!M367</f>
        <v>1.3471102307565242E-3</v>
      </c>
      <c r="AI97" s="188">
        <f>opex_orig!AE97</f>
        <v>4.5805129999999996E-3</v>
      </c>
      <c r="AJ97" s="188">
        <f>opex_orig!AF97</f>
        <v>1.5491984E-2</v>
      </c>
      <c r="AK97" s="188">
        <f>opex_orig!AG97</f>
        <v>4.0929260000000002E-3</v>
      </c>
      <c r="AL97" s="188">
        <f>opex_orig!AH97</f>
        <v>2.6119060000000002E-3</v>
      </c>
      <c r="AM97" s="188">
        <f>opex_orig!AI97</f>
        <v>6.793688E-3</v>
      </c>
      <c r="AN97" s="188">
        <f>opex_orig!AJ97</f>
        <v>2.1401620000000001E-3</v>
      </c>
      <c r="AO97" s="188">
        <f>opex_orig!AK97</f>
        <v>3.3156510000000002E-3</v>
      </c>
      <c r="AP97" s="273">
        <f>opex_concordance!M405</f>
        <v>8.51974436228768E-3</v>
      </c>
      <c r="AQ97" s="273">
        <f>opex_concordance!M459</f>
        <v>1.1328311983508451E-2</v>
      </c>
      <c r="AR97" s="273">
        <f>opex_concordance!M513</f>
        <v>2.3298174839807766E-2</v>
      </c>
      <c r="AS97" s="188">
        <f>opex_orig!$AM97</f>
        <v>3.7324439747756901E-3</v>
      </c>
      <c r="AT97" s="188">
        <f>opex_orig!AN97</f>
        <v>1.2414853999999999E-2</v>
      </c>
      <c r="AU97" s="273">
        <f>opex_concordance!M572</f>
        <v>2.61380390360051E-3</v>
      </c>
      <c r="AV97" s="273">
        <f>opex_concordance!M618</f>
        <v>3.5677521695546943E-2</v>
      </c>
      <c r="AW97" s="273">
        <f>opex_concordance!M664</f>
        <v>3.0951634340759646E-3</v>
      </c>
      <c r="AX97" s="188">
        <f>opex_orig!$AP97</f>
        <v>1.11759578541454E-2</v>
      </c>
      <c r="AY97" s="188">
        <f>opex_orig!AQ97</f>
        <v>1.507043E-3</v>
      </c>
      <c r="AZ97" s="188">
        <f>opex_orig!AR97</f>
        <v>0</v>
      </c>
      <c r="BA97" s="188">
        <f>opex_orig!AS97</f>
        <v>9.3702620000000007E-3</v>
      </c>
      <c r="BB97" s="188">
        <f>opex_orig!AT97</f>
        <v>7.6860100000000005E-4</v>
      </c>
      <c r="BC97" s="188">
        <f>opex_orig!AU97</f>
        <v>2.6032600000000001E-4</v>
      </c>
      <c r="BD97" s="188">
        <f>opex_orig!AV97</f>
        <v>1.4449299999999999E-4</v>
      </c>
      <c r="BE97" s="188">
        <f>opex_orig!AW97</f>
        <v>1.312798E-3</v>
      </c>
      <c r="BF97" s="188">
        <f>opex_orig!AX97</f>
        <v>0</v>
      </c>
      <c r="BG97" s="188">
        <f>opex_orig!AY97</f>
        <v>2.589329E-3</v>
      </c>
      <c r="BH97" s="188">
        <f>opex_orig!AZ97</f>
        <v>0</v>
      </c>
      <c r="BI97" s="188">
        <f>opex_orig!BA97</f>
        <v>8.14348E-4</v>
      </c>
      <c r="BJ97" s="188">
        <f>opex_orig!BB97</f>
        <v>4.9775569999999996E-3</v>
      </c>
      <c r="BK97" s="188">
        <f>opex_orig!BC97</f>
        <v>8.6544859999999994E-3</v>
      </c>
      <c r="BL97" s="188">
        <f>opex_orig!BD97</f>
        <v>3.3020100000000002E-4</v>
      </c>
      <c r="BM97" s="188">
        <f>opex_orig!BE97</f>
        <v>5.0410489999999997E-3</v>
      </c>
      <c r="BN97" s="188">
        <f>opex_orig!BF97</f>
        <v>1.251327E-3</v>
      </c>
      <c r="BO97" s="188">
        <f>opex_orig!BG97</f>
        <v>1.2624358E-2</v>
      </c>
      <c r="BP97" s="188">
        <f>opex_orig!$BH97</f>
        <v>1.6045727041877E-3</v>
      </c>
      <c r="BQ97" s="188">
        <f>opex_orig!$BH97</f>
        <v>1.6045727041877E-3</v>
      </c>
      <c r="BR97" s="188">
        <f>opex_orig!BI97</f>
        <v>3.055557E-3</v>
      </c>
      <c r="BS97" s="188">
        <f>opex_orig!BJ97</f>
        <v>6.1397159999999999E-3</v>
      </c>
      <c r="BT97" s="188">
        <f>opex_orig!BK97</f>
        <v>1.787961E-3</v>
      </c>
      <c r="BU97" s="188">
        <f>opex_orig!BL97</f>
        <v>0</v>
      </c>
      <c r="BV97" s="27">
        <f>opex_orig!BM97</f>
        <v>1.8991982309404101E-4</v>
      </c>
      <c r="BW97" s="27">
        <f>opex_orig!BN97</f>
        <v>2.7073148132958802E-4</v>
      </c>
      <c r="BX97" s="27">
        <f>opex_orig!BO97</f>
        <v>6.4513514082323298E-5</v>
      </c>
      <c r="BY97" s="27">
        <f>opex_orig!BP97</f>
        <v>1.1142013391870899E-4</v>
      </c>
      <c r="BZ97" s="27">
        <f>opex_orig!BQ97</f>
        <v>1.3144560234639799E-4</v>
      </c>
      <c r="CA97" s="27">
        <f>opex_orig!BR97</f>
        <v>2.16865250690182E-4</v>
      </c>
      <c r="CB97" s="27">
        <f>opex_orig!BS97</f>
        <v>2.7800594975965201E-4</v>
      </c>
      <c r="CC97" s="27">
        <f>opex_orig!BT97</f>
        <v>1.33986353189564E-5</v>
      </c>
      <c r="CD97" s="27">
        <f>opex_orig!BU97</f>
        <v>1.09293291087792E-4</v>
      </c>
      <c r="CE97" s="27">
        <f>opex_orig!BV97</f>
        <v>1.09293291087792E-4</v>
      </c>
      <c r="CF97" s="27">
        <f>opex_orig!BW97</f>
        <v>2.9421101607451899E-5</v>
      </c>
      <c r="CG97" s="27">
        <f>opex_orig!BX97</f>
        <v>4.9118954075536801E-7</v>
      </c>
      <c r="CH97" s="27">
        <f>opex_orig!BY97</f>
        <v>8.7838194362857807E-6</v>
      </c>
      <c r="CI97" s="27">
        <f>opex_orig!BZ97</f>
        <v>1.6810499999999999E-4</v>
      </c>
      <c r="CJ97" s="27">
        <f>opex_orig!CA97</f>
        <v>3.7049047000000002E-2</v>
      </c>
      <c r="CK97" s="27">
        <f>opex_orig!CB97</f>
        <v>2.9574082000000002E-2</v>
      </c>
      <c r="CL97" s="27">
        <f>opex_orig!CC97</f>
        <v>0.238724349</v>
      </c>
      <c r="CM97" s="27">
        <f>opex_orig!CD97</f>
        <v>8.0696870000000007E-3</v>
      </c>
      <c r="CN97" s="27">
        <f>opex_orig!CE97</f>
        <v>3.2371140000000001E-3</v>
      </c>
      <c r="CO97" s="27">
        <f>opex_orig!CF97</f>
        <v>1.3114159999999999E-3</v>
      </c>
      <c r="CP97" s="27">
        <f>opex_orig!CG97</f>
        <v>3.8721680000000001E-3</v>
      </c>
    </row>
    <row r="98" spans="1:94" x14ac:dyDescent="0.25">
      <c r="A98" s="5" t="s">
        <v>4</v>
      </c>
      <c r="B98" s="2" t="s">
        <v>5</v>
      </c>
      <c r="C98" s="1" t="s">
        <v>330</v>
      </c>
      <c r="D98" s="188">
        <f>opex_orig!D98</f>
        <v>4.8099999999999997E-5</v>
      </c>
      <c r="E98" s="188">
        <f>opex_orig!E98</f>
        <v>3.0800000000000003E-5</v>
      </c>
      <c r="F98" s="188">
        <f>opex_orig!F98</f>
        <v>3.6100000000000003E-5</v>
      </c>
      <c r="G98" s="188">
        <f>opex_orig!G98</f>
        <v>1.13E-6</v>
      </c>
      <c r="H98" s="188">
        <f>opex_orig!H98</f>
        <v>6.5200000000000003E-6</v>
      </c>
      <c r="I98" s="188">
        <f>opex_orig!I98</f>
        <v>6.5099999999999997E-5</v>
      </c>
      <c r="J98" s="188">
        <f>opex_orig!J98</f>
        <v>2.2781599999999999E-4</v>
      </c>
      <c r="K98" s="188">
        <f>opex_orig!K98</f>
        <v>4.5199999999999999E-6</v>
      </c>
      <c r="L98" s="188">
        <f>opex_orig!L98</f>
        <v>4.1499999999999999E-5</v>
      </c>
      <c r="M98" s="188">
        <f>opex_orig!M98</f>
        <v>1.53213E-4</v>
      </c>
      <c r="N98" s="188">
        <f>opex_orig!N98</f>
        <v>9.2499999999999999E-5</v>
      </c>
      <c r="O98" s="188">
        <f>opex_orig!O98</f>
        <v>8.1699999999999994E-5</v>
      </c>
      <c r="P98" s="188">
        <f>opex_orig!P98</f>
        <v>2.12065E-4</v>
      </c>
      <c r="Q98" s="188">
        <f>opex_orig!Q98</f>
        <v>3.75072E-4</v>
      </c>
      <c r="R98" s="188">
        <f>opex_orig!R98</f>
        <v>2.34E-5</v>
      </c>
      <c r="S98" s="188">
        <f>opex_orig!S98</f>
        <v>9.2800000000000006E-5</v>
      </c>
      <c r="T98" s="188">
        <f>opex_orig!T98</f>
        <v>9.1600000000000004E-5</v>
      </c>
      <c r="U98" s="188">
        <f>opex_orig!U98</f>
        <v>1.0644E-4</v>
      </c>
      <c r="V98" s="188">
        <f>opex_orig!V98</f>
        <v>3.8099999999999998E-5</v>
      </c>
      <c r="W98" s="188">
        <f>opex_orig!W98</f>
        <v>8.8900000000000006E-5</v>
      </c>
      <c r="X98" s="188">
        <f>opex_orig!X98</f>
        <v>3.6399999999999997E-5</v>
      </c>
      <c r="Y98" s="188">
        <f>opex_orig!Y98</f>
        <v>1.204501E-3</v>
      </c>
      <c r="Z98" s="188">
        <f>opex_orig!Z98</f>
        <v>2.7642370000000001E-3</v>
      </c>
      <c r="AA98" s="188">
        <f>opex_orig!AA98</f>
        <v>1.56E-5</v>
      </c>
      <c r="AB98" s="273">
        <f>opex_concordance!M164</f>
        <v>2.2462004639810701E-5</v>
      </c>
      <c r="AC98" s="273">
        <f>opex_concordance!M209</f>
        <v>6.7869211092812926E-4</v>
      </c>
      <c r="AD98" s="273">
        <f>opex_concordance!M254</f>
        <v>6.0542095262441724E-4</v>
      </c>
      <c r="AE98" s="188">
        <f>opex_orig!$AC98</f>
        <v>8.1662075691264595E-5</v>
      </c>
      <c r="AF98" s="273">
        <f>opex_concordance!M296</f>
        <v>7.0137183206178306E-5</v>
      </c>
      <c r="AG98" s="273">
        <f>opex_concordance!M332</f>
        <v>1.7294980195339657E-5</v>
      </c>
      <c r="AH98" s="273">
        <f>opex_concordance!M368</f>
        <v>2.0914081036529829E-5</v>
      </c>
      <c r="AI98" s="188">
        <f>opex_orig!AE98</f>
        <v>3.3399999999999999E-5</v>
      </c>
      <c r="AJ98" s="188">
        <f>opex_orig!AF98</f>
        <v>4.1412799999999999E-4</v>
      </c>
      <c r="AK98" s="188">
        <f>opex_orig!AG98</f>
        <v>6.3499999999999999E-5</v>
      </c>
      <c r="AL98" s="188">
        <f>opex_orig!AH98</f>
        <v>3.15E-5</v>
      </c>
      <c r="AM98" s="188">
        <f>opex_orig!AI98</f>
        <v>4.8199999999999999E-5</v>
      </c>
      <c r="AN98" s="188">
        <f>opex_orig!AJ98</f>
        <v>1.1600000000000001E-5</v>
      </c>
      <c r="AO98" s="188">
        <f>opex_orig!AK98</f>
        <v>2.5700000000000001E-5</v>
      </c>
      <c r="AP98" s="273">
        <f>opex_concordance!M406</f>
        <v>5.0144068549209901E-5</v>
      </c>
      <c r="AQ98" s="273">
        <f>opex_concordance!M460</f>
        <v>6.6674260223384716E-5</v>
      </c>
      <c r="AR98" s="273">
        <f>opex_concordance!M514</f>
        <v>1.3712445192722909E-4</v>
      </c>
      <c r="AS98" s="188">
        <f>opex_orig!$AM98</f>
        <v>2.37528491962638E-5</v>
      </c>
      <c r="AT98" s="188">
        <f>opex_orig!AN98</f>
        <v>1.39787E-4</v>
      </c>
      <c r="AU98" s="273">
        <f>opex_concordance!M573</f>
        <v>4.9562343982420399E-5</v>
      </c>
      <c r="AV98" s="273">
        <f>opex_concordance!M619</f>
        <v>6.7650889964590967E-4</v>
      </c>
      <c r="AW98" s="273">
        <f>opex_concordance!M665</f>
        <v>5.8689771864740668E-5</v>
      </c>
      <c r="AX98" s="188">
        <f>opex_orig!$AP98</f>
        <v>1.80554883626878E-4</v>
      </c>
      <c r="AY98" s="188">
        <f>opex_orig!AQ98</f>
        <v>3.1699999999999998E-5</v>
      </c>
      <c r="AZ98" s="188">
        <f>opex_orig!AR98</f>
        <v>0</v>
      </c>
      <c r="BA98" s="188">
        <f>opex_orig!AS98</f>
        <v>1.22328E-4</v>
      </c>
      <c r="BB98" s="188">
        <f>opex_orig!AT98</f>
        <v>1.7200000000000001E-5</v>
      </c>
      <c r="BC98" s="188">
        <f>opex_orig!AU98</f>
        <v>4.7700000000000001E-6</v>
      </c>
      <c r="BD98" s="188">
        <f>opex_orig!AV98</f>
        <v>2.96E-6</v>
      </c>
      <c r="BE98" s="188">
        <f>opex_orig!AW98</f>
        <v>4.1900000000000002E-5</v>
      </c>
      <c r="BF98" s="188">
        <f>opex_orig!AX98</f>
        <v>0</v>
      </c>
      <c r="BG98" s="188">
        <f>opex_orig!AY98</f>
        <v>5.2899999999999998E-5</v>
      </c>
      <c r="BH98" s="188">
        <f>opex_orig!AZ98</f>
        <v>0</v>
      </c>
      <c r="BI98" s="188">
        <f>opex_orig!BA98</f>
        <v>1.9300000000000002E-5</v>
      </c>
      <c r="BJ98" s="188">
        <f>opex_orig!BB98</f>
        <v>7.7100000000000004E-5</v>
      </c>
      <c r="BK98" s="188">
        <f>opex_orig!BC98</f>
        <v>1.7424000000000001E-4</v>
      </c>
      <c r="BL98" s="188">
        <f>opex_orig!BD98</f>
        <v>7.7399999999999998E-5</v>
      </c>
      <c r="BM98" s="188">
        <f>opex_orig!BE98</f>
        <v>1.3097599999999999E-4</v>
      </c>
      <c r="BN98" s="188">
        <f>opex_orig!BF98</f>
        <v>3.4499999999999998E-5</v>
      </c>
      <c r="BO98" s="188">
        <f>opex_orig!BG98</f>
        <v>1.7616999999999999E-4</v>
      </c>
      <c r="BP98" s="188">
        <f>opex_orig!$BH98</f>
        <v>5.1804932393656702E-5</v>
      </c>
      <c r="BQ98" s="188">
        <f>opex_orig!$BH98</f>
        <v>5.1804932393656702E-5</v>
      </c>
      <c r="BR98" s="188">
        <f>opex_orig!BI98</f>
        <v>7.2799999999999994E-5</v>
      </c>
      <c r="BS98" s="188">
        <f>opex_orig!BJ98</f>
        <v>8.4099999999999998E-5</v>
      </c>
      <c r="BT98" s="188">
        <f>opex_orig!BK98</f>
        <v>2.5299999999999998E-5</v>
      </c>
      <c r="BU98" s="188">
        <f>opex_orig!BL98</f>
        <v>0</v>
      </c>
      <c r="BV98" s="27">
        <f>opex_orig!BM98</f>
        <v>2.3579645993773599E-5</v>
      </c>
      <c r="BW98" s="27">
        <f>opex_orig!BN98</f>
        <v>6.05139389176341E-5</v>
      </c>
      <c r="BX98" s="27">
        <f>opex_orig!BO98</f>
        <v>9.2080171365813103E-6</v>
      </c>
      <c r="BY98" s="27">
        <f>opex_orig!BP98</f>
        <v>1.9212620331360002E-5</v>
      </c>
      <c r="BZ98" s="27">
        <f>opex_orig!BQ98</f>
        <v>1.3964880589648299E-5</v>
      </c>
      <c r="CA98" s="27">
        <f>opex_orig!BR98</f>
        <v>1.13947611275732E-4</v>
      </c>
      <c r="CB98" s="27">
        <f>opex_orig!BS98</f>
        <v>2.97040786233609E-5</v>
      </c>
      <c r="CC98" s="27">
        <f>opex_orig!BT98</f>
        <v>4.0520545377474001E-5</v>
      </c>
      <c r="CD98" s="27">
        <f>opex_orig!BU98</f>
        <v>9.8995838179648392E-6</v>
      </c>
      <c r="CE98" s="27">
        <f>opex_orig!BV98</f>
        <v>9.8995838179648596E-6</v>
      </c>
      <c r="CF98" s="27">
        <f>opex_orig!BW98</f>
        <v>8.5998822282437506E-5</v>
      </c>
      <c r="CG98" s="27">
        <f>opex_orig!BX98</f>
        <v>1.2577426912922799E-6</v>
      </c>
      <c r="CH98" s="27">
        <f>opex_orig!BY98</f>
        <v>2.9430564572967001E-5</v>
      </c>
      <c r="CI98" s="27">
        <f>opex_orig!BZ98</f>
        <v>2.6299999999999999E-5</v>
      </c>
      <c r="CJ98" s="27">
        <f>opex_orig!CA98</f>
        <v>5.0142999999999997E-4</v>
      </c>
      <c r="CK98" s="27">
        <f>opex_orig!CB98</f>
        <v>1.4883100000000001E-4</v>
      </c>
      <c r="CL98" s="27">
        <f>opex_orig!CC98</f>
        <v>2.0473834E-2</v>
      </c>
      <c r="CM98" s="27">
        <f>opex_orig!CD98</f>
        <v>1.2354449999999999E-3</v>
      </c>
      <c r="CN98" s="27">
        <f>opex_orig!CE98</f>
        <v>4.99E-5</v>
      </c>
      <c r="CO98" s="27">
        <f>opex_orig!CF98</f>
        <v>5.5899999999999997E-5</v>
      </c>
      <c r="CP98" s="27">
        <f>opex_orig!CG98</f>
        <v>8.8300000000000005E-5</v>
      </c>
    </row>
    <row r="99" spans="1:94" x14ac:dyDescent="0.25">
      <c r="A99" s="5" t="s">
        <v>6</v>
      </c>
      <c r="B99" s="2" t="s">
        <v>7</v>
      </c>
      <c r="C99" s="1" t="s">
        <v>330</v>
      </c>
      <c r="D99" s="188">
        <f>opex_orig!D99</f>
        <v>7.2493500000000001E-4</v>
      </c>
      <c r="E99" s="188">
        <f>opex_orig!E99</f>
        <v>1.2331530000000001E-3</v>
      </c>
      <c r="F99" s="188">
        <f>opex_orig!F99</f>
        <v>6.17087E-4</v>
      </c>
      <c r="G99" s="188">
        <f>opex_orig!G99</f>
        <v>1.00021E-4</v>
      </c>
      <c r="H99" s="188">
        <f>opex_orig!H99</f>
        <v>2.1207100000000001E-4</v>
      </c>
      <c r="I99" s="188">
        <f>opex_orig!I99</f>
        <v>3.9983010000000001E-3</v>
      </c>
      <c r="J99" s="188">
        <f>opex_orig!J99</f>
        <v>1.6506237999999999E-2</v>
      </c>
      <c r="K99" s="188">
        <f>opex_orig!K99</f>
        <v>3.1130699999999998E-4</v>
      </c>
      <c r="L99" s="188">
        <f>opex_orig!L99</f>
        <v>1.4629700000000001E-3</v>
      </c>
      <c r="M99" s="188">
        <f>opex_orig!M99</f>
        <v>5.1071179999999999E-3</v>
      </c>
      <c r="N99" s="188">
        <f>opex_orig!N99</f>
        <v>2.0849330000000002E-3</v>
      </c>
      <c r="O99" s="188">
        <f>opex_orig!O99</f>
        <v>1.2842960000000001E-3</v>
      </c>
      <c r="P99" s="188">
        <f>opex_orig!P99</f>
        <v>1.1523181E-2</v>
      </c>
      <c r="Q99" s="188">
        <f>opex_orig!Q99</f>
        <v>1.0838975000000001E-2</v>
      </c>
      <c r="R99" s="188">
        <f>opex_orig!R99</f>
        <v>5.0633500000000001E-4</v>
      </c>
      <c r="S99" s="188">
        <f>opex_orig!S99</f>
        <v>5.8293470000000003E-3</v>
      </c>
      <c r="T99" s="188">
        <f>opex_orig!T99</f>
        <v>5.9762060000000004E-3</v>
      </c>
      <c r="U99" s="188">
        <f>opex_orig!U99</f>
        <v>2.1646003E-2</v>
      </c>
      <c r="V99" s="188">
        <f>opex_orig!V99</f>
        <v>1.0784795999999999E-2</v>
      </c>
      <c r="W99" s="188">
        <f>opex_orig!W99</f>
        <v>4.6246949999999998E-3</v>
      </c>
      <c r="X99" s="188">
        <f>opex_orig!X99</f>
        <v>2.9604309999999999E-3</v>
      </c>
      <c r="Y99" s="188">
        <f>opex_orig!Y99</f>
        <v>7.1044300000000001E-3</v>
      </c>
      <c r="Z99" s="188">
        <f>opex_orig!Z99</f>
        <v>1.4454524999999999E-2</v>
      </c>
      <c r="AA99" s="188">
        <f>opex_orig!AA99</f>
        <v>3.2325000000000002E-4</v>
      </c>
      <c r="AB99" s="273">
        <f>opex_concordance!M165</f>
        <v>2.9041342622646802E-4</v>
      </c>
      <c r="AC99" s="273">
        <f>opex_concordance!M210</f>
        <v>8.7748758157666033E-3</v>
      </c>
      <c r="AD99" s="273">
        <f>opex_concordance!M255</f>
        <v>7.8275459372548206E-3</v>
      </c>
      <c r="AE99" s="188">
        <f>opex_orig!$AC99</f>
        <v>1.8950531346734001E-3</v>
      </c>
      <c r="AF99" s="273">
        <f>opex_concordance!M297</f>
        <v>3.3409401562030502E-3</v>
      </c>
      <c r="AG99" s="273">
        <f>opex_concordance!M333</f>
        <v>8.2383539221256947E-4</v>
      </c>
      <c r="AH99" s="273">
        <f>opex_concordance!M369</f>
        <v>9.9622896117208511E-4</v>
      </c>
      <c r="AI99" s="188">
        <f>opex_orig!AE99</f>
        <v>3.6213999999999999E-3</v>
      </c>
      <c r="AJ99" s="188">
        <f>opex_orig!AF99</f>
        <v>1.0070653000000001E-2</v>
      </c>
      <c r="AK99" s="188">
        <f>opex_orig!AG99</f>
        <v>2.91647E-3</v>
      </c>
      <c r="AL99" s="188">
        <f>opex_orig!AH99</f>
        <v>2.0390690000000001E-3</v>
      </c>
      <c r="AM99" s="188">
        <f>opex_orig!AI99</f>
        <v>5.2215760000000003E-3</v>
      </c>
      <c r="AN99" s="188">
        <f>opex_orig!AJ99</f>
        <v>2.10034E-3</v>
      </c>
      <c r="AO99" s="188">
        <f>opex_orig!AK99</f>
        <v>2.5886189999999999E-3</v>
      </c>
      <c r="AP99" s="273">
        <f>opex_concordance!M407</f>
        <v>6.5666744549239204E-3</v>
      </c>
      <c r="AQ99" s="273">
        <f>opex_concordance!M461</f>
        <v>8.7314048117212283E-3</v>
      </c>
      <c r="AR99" s="273">
        <f>opex_concordance!M515</f>
        <v>1.7957291094804203E-2</v>
      </c>
      <c r="AS99" s="188">
        <f>opex_orig!$AM99</f>
        <v>2.9144996357411898E-3</v>
      </c>
      <c r="AT99" s="188">
        <f>opex_orig!AN99</f>
        <v>9.0411150000000006E-3</v>
      </c>
      <c r="AU99" s="273">
        <f>opex_concordance!M574</f>
        <v>1.77290468245335E-3</v>
      </c>
      <c r="AV99" s="273">
        <f>opex_concordance!M620</f>
        <v>2.4199537381222627E-2</v>
      </c>
      <c r="AW99" s="273">
        <f>opex_concordance!M666</f>
        <v>2.0994037608072836E-3</v>
      </c>
      <c r="AX99" s="188">
        <f>opex_orig!$AP99</f>
        <v>7.6997117953459598E-3</v>
      </c>
      <c r="AY99" s="188">
        <f>opex_orig!AQ99</f>
        <v>1.030621E-3</v>
      </c>
      <c r="AZ99" s="188">
        <f>opex_orig!AR99</f>
        <v>0</v>
      </c>
      <c r="BA99" s="188">
        <f>opex_orig!AS99</f>
        <v>6.6655100000000004E-3</v>
      </c>
      <c r="BB99" s="188">
        <f>opex_orig!AT99</f>
        <v>5.4628200000000004E-4</v>
      </c>
      <c r="BC99" s="188">
        <f>opex_orig!AU99</f>
        <v>2.67893E-4</v>
      </c>
      <c r="BD99" s="188">
        <f>opex_orig!AV99</f>
        <v>1.6584799999999999E-4</v>
      </c>
      <c r="BE99" s="188">
        <f>opex_orig!AW99</f>
        <v>9.1505199999999997E-4</v>
      </c>
      <c r="BF99" s="188">
        <f>opex_orig!AX99</f>
        <v>0</v>
      </c>
      <c r="BG99" s="188">
        <f>opex_orig!AY99</f>
        <v>1.7937809999999999E-3</v>
      </c>
      <c r="BH99" s="188">
        <f>opex_orig!AZ99</f>
        <v>0</v>
      </c>
      <c r="BI99" s="188">
        <f>opex_orig!BA99</f>
        <v>5.7350399999999996E-4</v>
      </c>
      <c r="BJ99" s="188">
        <f>opex_orig!BB99</f>
        <v>3.5535749999999998E-3</v>
      </c>
      <c r="BK99" s="188">
        <f>opex_orig!BC99</f>
        <v>6.0788209999999999E-3</v>
      </c>
      <c r="BL99" s="188">
        <f>opex_orig!BD99</f>
        <v>2.1502399999999999E-4</v>
      </c>
      <c r="BM99" s="188">
        <f>opex_orig!BE99</f>
        <v>3.6137650000000001E-3</v>
      </c>
      <c r="BN99" s="188">
        <f>opex_orig!BF99</f>
        <v>8.7796700000000001E-4</v>
      </c>
      <c r="BO99" s="188">
        <f>opex_orig!BG99</f>
        <v>8.8443949999999997E-3</v>
      </c>
      <c r="BP99" s="188">
        <f>opex_orig!$BH99</f>
        <v>1.1561089349864601E-3</v>
      </c>
      <c r="BQ99" s="188">
        <f>opex_orig!$BH99</f>
        <v>1.1561089349864601E-3</v>
      </c>
      <c r="BR99" s="188">
        <f>opex_orig!BI99</f>
        <v>2.091472E-3</v>
      </c>
      <c r="BS99" s="188">
        <f>opex_orig!BJ99</f>
        <v>4.3644820000000003E-3</v>
      </c>
      <c r="BT99" s="188">
        <f>opex_orig!BK99</f>
        <v>1.266774E-3</v>
      </c>
      <c r="BU99" s="188">
        <f>opex_orig!BL99</f>
        <v>0</v>
      </c>
      <c r="BV99" s="27">
        <f>opex_orig!BM99</f>
        <v>1.8746122812531799E-4</v>
      </c>
      <c r="BW99" s="27">
        <f>opex_orig!BN99</f>
        <v>2.5056600662024198E-4</v>
      </c>
      <c r="BX99" s="27">
        <f>opex_orig!BO99</f>
        <v>6.2092507854592298E-5</v>
      </c>
      <c r="BY99" s="27">
        <f>opex_orig!BP99</f>
        <v>1.15353801384932E-4</v>
      </c>
      <c r="BZ99" s="27">
        <f>opex_orig!BQ99</f>
        <v>1.29981245048177E-4</v>
      </c>
      <c r="CA99" s="27">
        <f>opex_orig!BR99</f>
        <v>1.0165320550290701E-4</v>
      </c>
      <c r="CB99" s="27">
        <f>opex_orig!BS99</f>
        <v>2.69205840586952E-4</v>
      </c>
      <c r="CC99" s="27">
        <f>opex_orig!BT99</f>
        <v>3.9264082380793804E-6</v>
      </c>
      <c r="CD99" s="27">
        <f>opex_orig!BU99</f>
        <v>1.08138825132048E-4</v>
      </c>
      <c r="CE99" s="27">
        <f>opex_orig!BV99</f>
        <v>1.08138825132048E-4</v>
      </c>
      <c r="CF99" s="27">
        <f>opex_orig!BW99</f>
        <v>3.5987338402436403E-5</v>
      </c>
      <c r="CG99" s="27">
        <f>opex_orig!BX99</f>
        <v>6.9119741922349399E-7</v>
      </c>
      <c r="CH99" s="27">
        <f>opex_orig!BY99</f>
        <v>7.5109562984773999E-6</v>
      </c>
      <c r="CI99" s="27">
        <f>opex_orig!BZ99</f>
        <v>1.6269099999999999E-4</v>
      </c>
      <c r="CJ99" s="27">
        <f>opex_orig!CA99</f>
        <v>2.6629666E-2</v>
      </c>
      <c r="CK99" s="27">
        <f>opex_orig!CB99</f>
        <v>2.3018197000000001E-2</v>
      </c>
      <c r="CL99" s="27">
        <f>opex_orig!CC99</f>
        <v>8.5357296999999999E-2</v>
      </c>
      <c r="CM99" s="27">
        <f>opex_orig!CD99</f>
        <v>6.3294399999999998E-4</v>
      </c>
      <c r="CN99" s="27">
        <f>opex_orig!CE99</f>
        <v>2.3737570000000002E-3</v>
      </c>
      <c r="CO99" s="27">
        <f>opex_orig!CF99</f>
        <v>8.8236100000000002E-4</v>
      </c>
      <c r="CP99" s="27">
        <f>opex_orig!CG99</f>
        <v>2.6269420000000002E-3</v>
      </c>
    </row>
    <row r="100" spans="1:94" x14ac:dyDescent="0.25">
      <c r="A100" s="5" t="s">
        <v>8</v>
      </c>
      <c r="B100" s="2" t="s">
        <v>9</v>
      </c>
      <c r="C100" s="1" t="s">
        <v>330</v>
      </c>
      <c r="D100" s="188">
        <f>opex_orig!D100</f>
        <v>4.8199999999999999E-5</v>
      </c>
      <c r="E100" s="188">
        <f>opex_orig!E100</f>
        <v>7.7700000000000005E-5</v>
      </c>
      <c r="F100" s="188">
        <f>opex_orig!F100</f>
        <v>4.2200000000000003E-5</v>
      </c>
      <c r="G100" s="188">
        <f>opex_orig!G100</f>
        <v>6.1800000000000001E-6</v>
      </c>
      <c r="H100" s="188">
        <f>opex_orig!H100</f>
        <v>1.3499999999999999E-5</v>
      </c>
      <c r="I100" s="188">
        <f>opex_orig!I100</f>
        <v>2.4537799999999998E-4</v>
      </c>
      <c r="J100" s="188">
        <f>opex_orig!J100</f>
        <v>1.002743E-3</v>
      </c>
      <c r="K100" s="188">
        <f>opex_orig!K100</f>
        <v>1.9400000000000001E-5</v>
      </c>
      <c r="L100" s="188">
        <f>opex_orig!L100</f>
        <v>9.5299999999999999E-5</v>
      </c>
      <c r="M100" s="188">
        <f>opex_orig!M100</f>
        <v>3.24154E-4</v>
      </c>
      <c r="N100" s="188">
        <f>opex_orig!N100</f>
        <v>1.4013200000000001E-4</v>
      </c>
      <c r="O100" s="188">
        <f>opex_orig!O100</f>
        <v>8.5000000000000006E-5</v>
      </c>
      <c r="P100" s="188">
        <f>opex_orig!P100</f>
        <v>7.2398099999999995E-4</v>
      </c>
      <c r="Q100" s="188">
        <f>opex_orig!Q100</f>
        <v>7.1124100000000004E-4</v>
      </c>
      <c r="R100" s="188">
        <f>opex_orig!R100</f>
        <v>3.5899999999999998E-5</v>
      </c>
      <c r="S100" s="188">
        <f>opex_orig!S100</f>
        <v>3.65683E-4</v>
      </c>
      <c r="T100" s="188">
        <f>opex_orig!T100</f>
        <v>3.7456300000000001E-4</v>
      </c>
      <c r="U100" s="188">
        <f>opex_orig!U100</f>
        <v>1.3076839999999999E-3</v>
      </c>
      <c r="V100" s="188">
        <f>opex_orig!V100</f>
        <v>6.4959000000000002E-4</v>
      </c>
      <c r="W100" s="188">
        <f>opex_orig!W100</f>
        <v>2.9200999999999999E-4</v>
      </c>
      <c r="X100" s="188">
        <f>opex_orig!X100</f>
        <v>1.8412999999999999E-4</v>
      </c>
      <c r="Y100" s="188">
        <f>opex_orig!Y100</f>
        <v>4.5204099999999998E-4</v>
      </c>
      <c r="Z100" s="188">
        <f>opex_orig!Z100</f>
        <v>9.2654E-4</v>
      </c>
      <c r="AA100" s="188">
        <f>opex_orig!AA100</f>
        <v>2.4000000000000001E-5</v>
      </c>
      <c r="AB100" s="273">
        <f>opex_concordance!M166</f>
        <v>2.0023637119714199E-5</v>
      </c>
      <c r="AC100" s="273">
        <f>opex_concordance!M211</f>
        <v>6.0501654964274841E-4</v>
      </c>
      <c r="AD100" s="273">
        <f>opex_concordance!M256</f>
        <v>5.3969935695486436E-4</v>
      </c>
      <c r="AE100" s="188">
        <f>opex_orig!$AC100</f>
        <v>1.3524637682202099E-4</v>
      </c>
      <c r="AF100" s="273">
        <f>opex_concordance!M298</f>
        <v>2.12120146280756E-4</v>
      </c>
      <c r="AG100" s="273">
        <f>opex_concordance!M334</f>
        <v>5.2306259836152964E-5</v>
      </c>
      <c r="AH100" s="273">
        <f>opex_concordance!M370</f>
        <v>6.325172648800507E-5</v>
      </c>
      <c r="AI100" s="188">
        <f>opex_orig!AE100</f>
        <v>2.2357E-4</v>
      </c>
      <c r="AJ100" s="188">
        <f>opex_orig!AF100</f>
        <v>6.5277499999999997E-4</v>
      </c>
      <c r="AK100" s="188">
        <f>opex_orig!AG100</f>
        <v>1.88223E-4</v>
      </c>
      <c r="AL100" s="188">
        <f>opex_orig!AH100</f>
        <v>1.29682E-4</v>
      </c>
      <c r="AM100" s="188">
        <f>opex_orig!AI100</f>
        <v>3.20515E-4</v>
      </c>
      <c r="AN100" s="188">
        <f>opex_orig!AJ100</f>
        <v>1.17834E-4</v>
      </c>
      <c r="AO100" s="188">
        <f>opex_orig!AK100</f>
        <v>1.6039599999999999E-4</v>
      </c>
      <c r="AP100" s="273">
        <f>opex_concordance!M408</f>
        <v>4.0098674309218797E-4</v>
      </c>
      <c r="AQ100" s="273">
        <f>opex_concordance!M462</f>
        <v>5.3317361810836382E-4</v>
      </c>
      <c r="AR100" s="273">
        <f>opex_concordance!M516</f>
        <v>1.0965422026463639E-3</v>
      </c>
      <c r="AS100" s="188">
        <f>opex_orig!$AM100</f>
        <v>1.7875135940595299E-4</v>
      </c>
      <c r="AT100" s="188">
        <f>opex_orig!AN100</f>
        <v>5.6571900000000001E-4</v>
      </c>
      <c r="AU100" s="273">
        <f>opex_concordance!M575</f>
        <v>1.14901289678793E-4</v>
      </c>
      <c r="AV100" s="273">
        <f>opex_concordance!M621</f>
        <v>1.5683629708083899E-3</v>
      </c>
      <c r="AW100" s="273">
        <f>opex_concordance!M667</f>
        <v>1.3606157288696336E-4</v>
      </c>
      <c r="AX100" s="188">
        <f>opex_orig!$AP100</f>
        <v>4.9161600000427095E-4</v>
      </c>
      <c r="AY100" s="188">
        <f>opex_orig!AQ100</f>
        <v>7.0199999999999999E-5</v>
      </c>
      <c r="AZ100" s="188">
        <f>opex_orig!AR100</f>
        <v>0</v>
      </c>
      <c r="BA100" s="188">
        <f>opex_orig!AS100</f>
        <v>4.2334600000000001E-4</v>
      </c>
      <c r="BB100" s="188">
        <f>opex_orig!AT100</f>
        <v>3.7799999999999997E-5</v>
      </c>
      <c r="BC100" s="188">
        <f>opex_orig!AU100</f>
        <v>1.6799999999999998E-5</v>
      </c>
      <c r="BD100" s="188">
        <f>opex_orig!AV100</f>
        <v>1.0000000000000001E-5</v>
      </c>
      <c r="BE100" s="188">
        <f>opex_orig!AW100</f>
        <v>6.3499999999999999E-5</v>
      </c>
      <c r="BF100" s="188">
        <f>opex_orig!AX100</f>
        <v>0</v>
      </c>
      <c r="BG100" s="188">
        <f>opex_orig!AY100</f>
        <v>1.21752E-4</v>
      </c>
      <c r="BH100" s="188">
        <f>opex_orig!AZ100</f>
        <v>0</v>
      </c>
      <c r="BI100" s="188">
        <f>opex_orig!BA100</f>
        <v>3.8699999999999999E-5</v>
      </c>
      <c r="BJ100" s="188">
        <f>opex_orig!BB100</f>
        <v>2.2399799999999999E-4</v>
      </c>
      <c r="BK100" s="188">
        <f>opex_orig!BC100</f>
        <v>3.95003E-4</v>
      </c>
      <c r="BL100" s="188">
        <f>opex_orig!BD100</f>
        <v>3.1399999999999998E-5</v>
      </c>
      <c r="BM100" s="188">
        <f>opex_orig!BE100</f>
        <v>2.41778E-4</v>
      </c>
      <c r="BN100" s="188">
        <f>opex_orig!BF100</f>
        <v>6.05E-5</v>
      </c>
      <c r="BO100" s="188">
        <f>opex_orig!BG100</f>
        <v>5.7001199999999995E-4</v>
      </c>
      <c r="BP100" s="188">
        <f>opex_orig!$BH100</f>
        <v>8.0033938129402298E-5</v>
      </c>
      <c r="BQ100" s="188">
        <f>opex_orig!$BH100</f>
        <v>8.0033938129402298E-5</v>
      </c>
      <c r="BR100" s="188">
        <f>opex_orig!BI100</f>
        <v>1.38035E-4</v>
      </c>
      <c r="BS100" s="188">
        <f>opex_orig!BJ100</f>
        <v>2.8047499999999997E-4</v>
      </c>
      <c r="BT100" s="188">
        <f>opex_orig!BK100</f>
        <v>8.3599999999999999E-5</v>
      </c>
      <c r="BU100" s="188">
        <f>opex_orig!BL100</f>
        <v>0</v>
      </c>
      <c r="BV100" s="27">
        <f>opex_orig!BM100</f>
        <v>1.6033133331581301E-5</v>
      </c>
      <c r="BW100" s="27">
        <f>opex_orig!BN100</f>
        <v>3.0847902754961799E-5</v>
      </c>
      <c r="BX100" s="27">
        <f>opex_orig!BO100</f>
        <v>5.8578971003157802E-6</v>
      </c>
      <c r="BY100" s="27">
        <f>opex_orig!BP100</f>
        <v>1.3349235421173399E-5</v>
      </c>
      <c r="BZ100" s="27">
        <f>opex_orig!BQ100</f>
        <v>1.07625233550481E-5</v>
      </c>
      <c r="CA100" s="27">
        <f>opex_orig!BR100</f>
        <v>1.6363267123522601E-5</v>
      </c>
      <c r="CB100" s="27">
        <f>opex_orig!BS100</f>
        <v>2.4355034982207401E-5</v>
      </c>
      <c r="CC100" s="27">
        <f>opex_orig!BT100</f>
        <v>2.4009505349464399E-5</v>
      </c>
      <c r="CD100" s="27">
        <f>opex_orig!BU100</f>
        <v>8.7588035791569004E-6</v>
      </c>
      <c r="CE100" s="27">
        <f>opex_orig!BV100</f>
        <v>8.7588035791569004E-6</v>
      </c>
      <c r="CF100" s="27">
        <f>opex_orig!BW100</f>
        <v>1.5349405288377001E-5</v>
      </c>
      <c r="CG100" s="27">
        <f>opex_orig!BX100</f>
        <v>2.2912547658778201E-7</v>
      </c>
      <c r="CH100" s="27">
        <f>opex_orig!BY100</f>
        <v>2.7661046274818299E-5</v>
      </c>
      <c r="CI100" s="27">
        <f>opex_orig!BZ100</f>
        <v>1.6900000000000001E-5</v>
      </c>
      <c r="CJ100" s="27">
        <f>opex_orig!CA100</f>
        <v>1.6458320000000001E-3</v>
      </c>
      <c r="CK100" s="27">
        <f>opex_orig!CB100</f>
        <v>1.385746E-3</v>
      </c>
      <c r="CL100" s="27">
        <f>opex_orig!CC100</f>
        <v>5.4077989999999996E-3</v>
      </c>
      <c r="CM100" s="27">
        <f>opex_orig!CD100</f>
        <v>4.7599999999999998E-5</v>
      </c>
      <c r="CN100" s="27">
        <f>opex_orig!CE100</f>
        <v>1.4878800000000001E-4</v>
      </c>
      <c r="CO100" s="27">
        <f>opex_orig!CF100</f>
        <v>6.3E-5</v>
      </c>
      <c r="CP100" s="27">
        <f>opex_orig!CG100</f>
        <v>1.6973100000000001E-4</v>
      </c>
    </row>
    <row r="101" spans="1:94" x14ac:dyDescent="0.25">
      <c r="A101" s="1" t="s">
        <v>342</v>
      </c>
      <c r="B101" s="2" t="s">
        <v>336</v>
      </c>
      <c r="C101" s="1" t="s">
        <v>330</v>
      </c>
      <c r="D101" s="188">
        <f>opex_orig!D101</f>
        <v>1.1E-5</v>
      </c>
      <c r="E101" s="188">
        <f>opex_orig!E101</f>
        <v>1.49E-5</v>
      </c>
      <c r="F101" s="188">
        <f>opex_orig!F101</f>
        <v>8.5599999999999994E-6</v>
      </c>
      <c r="G101" s="188">
        <f>opex_orig!G101</f>
        <v>5.9599999999999999E-7</v>
      </c>
      <c r="H101" s="188">
        <f>opex_orig!H101</f>
        <v>2.4600000000000002E-6</v>
      </c>
      <c r="I101" s="188">
        <f>opex_orig!I101</f>
        <v>4.5200000000000001E-5</v>
      </c>
      <c r="J101" s="188">
        <f>opex_orig!J101</f>
        <v>1.8327400000000001E-4</v>
      </c>
      <c r="K101" s="188">
        <f>opex_orig!K101</f>
        <v>1.9599999999999999E-6</v>
      </c>
      <c r="L101" s="188">
        <f>opex_orig!L101</f>
        <v>1.77E-5</v>
      </c>
      <c r="M101" s="188">
        <f>opex_orig!M101</f>
        <v>6.2299999999999996E-5</v>
      </c>
      <c r="N101" s="188">
        <f>opex_orig!N101</f>
        <v>2.8900000000000001E-5</v>
      </c>
      <c r="O101" s="188">
        <f>opex_orig!O101</f>
        <v>1.8300000000000001E-5</v>
      </c>
      <c r="P101" s="188">
        <f>opex_orig!P101</f>
        <v>1.4081200000000001E-4</v>
      </c>
      <c r="Q101" s="188">
        <f>opex_orig!Q101</f>
        <v>1.4733500000000001E-4</v>
      </c>
      <c r="R101" s="188">
        <f>opex_orig!R101</f>
        <v>8.3000000000000002E-6</v>
      </c>
      <c r="S101" s="188">
        <f>opex_orig!S101</f>
        <v>7.0099999999999996E-5</v>
      </c>
      <c r="T101" s="188">
        <f>opex_orig!T101</f>
        <v>7.2299999999999996E-5</v>
      </c>
      <c r="U101" s="188">
        <f>opex_orig!U101</f>
        <v>2.3645E-4</v>
      </c>
      <c r="V101" s="188">
        <f>opex_orig!V101</f>
        <v>1.17173E-4</v>
      </c>
      <c r="W101" s="188">
        <f>opex_orig!W101</f>
        <v>5.7099999999999999E-5</v>
      </c>
      <c r="X101" s="188">
        <f>opex_orig!X101</f>
        <v>3.43E-5</v>
      </c>
      <c r="Y101" s="188">
        <f>opex_orig!Y101</f>
        <v>9.1500000000000001E-5</v>
      </c>
      <c r="Z101" s="188">
        <f>opex_orig!Z101</f>
        <v>1.9926300000000001E-4</v>
      </c>
      <c r="AA101" s="188">
        <f>opex_orig!AA101</f>
        <v>7.4499999999999998E-6</v>
      </c>
      <c r="AB101" s="273">
        <f>opex_concordance!M167</f>
        <v>1.3729815519649202E-5</v>
      </c>
      <c r="AC101" s="273">
        <f>opex_concordance!M212</f>
        <v>4.1484799006626138E-4</v>
      </c>
      <c r="AD101" s="273">
        <f>opex_concordance!M257</f>
        <v>3.7006127122470316E-4</v>
      </c>
      <c r="AE101" s="188">
        <f>opex_orig!$AC101</f>
        <v>2.9736475108600101E-5</v>
      </c>
      <c r="AF101" s="273">
        <f>opex_concordance!M299</f>
        <v>4.0171547932160302E-5</v>
      </c>
      <c r="AG101" s="273">
        <f>opex_concordance!M335</f>
        <v>9.905817344567227E-6</v>
      </c>
      <c r="AH101" s="273">
        <f>opex_concordance!M371</f>
        <v>1.1978681926051955E-5</v>
      </c>
      <c r="AI101" s="188">
        <f>opex_orig!AE101</f>
        <v>4.0200000000000001E-5</v>
      </c>
      <c r="AJ101" s="188">
        <f>opex_orig!AF101</f>
        <v>1.3089899999999999E-4</v>
      </c>
      <c r="AK101" s="188">
        <f>opex_orig!AG101</f>
        <v>3.8399999999999998E-5</v>
      </c>
      <c r="AL101" s="188">
        <f>opex_orig!AH101</f>
        <v>2.8E-5</v>
      </c>
      <c r="AM101" s="188">
        <f>opex_orig!AI101</f>
        <v>6.1299999999999999E-5</v>
      </c>
      <c r="AN101" s="188">
        <f>opex_orig!AJ101</f>
        <v>1.9199999999999999E-5</v>
      </c>
      <c r="AO101" s="188">
        <f>opex_orig!AK101</f>
        <v>3.15E-5</v>
      </c>
      <c r="AP101" s="273">
        <f>opex_concordance!M409</f>
        <v>7.4378301385586503E-5</v>
      </c>
      <c r="AQ101" s="273">
        <f>opex_concordance!M463</f>
        <v>9.8897404319898768E-5</v>
      </c>
      <c r="AR101" s="273">
        <f>opex_concordance!M517</f>
        <v>2.0339561802345044E-4</v>
      </c>
      <c r="AS101" s="188">
        <f>opex_orig!$AM101</f>
        <v>3.4168970306975598E-5</v>
      </c>
      <c r="AT101" s="188">
        <f>opex_orig!AN101</f>
        <v>1.0964E-4</v>
      </c>
      <c r="AU101" s="273">
        <f>opex_concordance!M576</f>
        <v>2.3859152415101702E-5</v>
      </c>
      <c r="AV101" s="273">
        <f>opex_concordance!M622</f>
        <v>3.2566920064453847E-4</v>
      </c>
      <c r="AW101" s="273">
        <f>opex_concordance!M668</f>
        <v>2.825306673600976E-5</v>
      </c>
      <c r="AX101" s="188">
        <f>opex_orig!$AP101</f>
        <v>9.7940968819567703E-5</v>
      </c>
      <c r="AY101" s="188">
        <f>opex_orig!AQ101</f>
        <v>1.43E-5</v>
      </c>
      <c r="AZ101" s="188">
        <f>opex_orig!AR101</f>
        <v>0</v>
      </c>
      <c r="BA101" s="188">
        <f>opex_orig!AS101</f>
        <v>8.2799999999999993E-5</v>
      </c>
      <c r="BB101" s="188">
        <f>opex_orig!AT101</f>
        <v>7.7400000000000004E-6</v>
      </c>
      <c r="BC101" s="188">
        <f>opex_orig!AU101</f>
        <v>3.2799999999999999E-6</v>
      </c>
      <c r="BD101" s="188">
        <f>opex_orig!AV101</f>
        <v>2.1799999999999999E-6</v>
      </c>
      <c r="BE101" s="188">
        <f>opex_orig!AW101</f>
        <v>1.22E-5</v>
      </c>
      <c r="BF101" s="188">
        <f>opex_orig!AX101</f>
        <v>0</v>
      </c>
      <c r="BG101" s="188">
        <f>opex_orig!AY101</f>
        <v>3.0000000000000001E-5</v>
      </c>
      <c r="BH101" s="188">
        <f>opex_orig!AZ101</f>
        <v>0</v>
      </c>
      <c r="BI101" s="188">
        <f>opex_orig!BA101</f>
        <v>8.7700000000000007E-6</v>
      </c>
      <c r="BJ101" s="188">
        <f>opex_orig!BB101</f>
        <v>4.6100000000000002E-5</v>
      </c>
      <c r="BK101" s="188">
        <f>opex_orig!BC101</f>
        <v>8.7800000000000006E-5</v>
      </c>
      <c r="BL101" s="188">
        <f>opex_orig!BD101</f>
        <v>2.1100000000000001E-5</v>
      </c>
      <c r="BM101" s="188">
        <f>opex_orig!BE101</f>
        <v>6.3800000000000006E-5</v>
      </c>
      <c r="BN101" s="188">
        <f>opex_orig!BF101</f>
        <v>1.5099999999999999E-5</v>
      </c>
      <c r="BO101" s="188">
        <f>opex_orig!BG101</f>
        <v>1.14746E-4</v>
      </c>
      <c r="BP101" s="188">
        <f>opex_orig!$BH101</f>
        <v>2.21581955974504E-5</v>
      </c>
      <c r="BQ101" s="188">
        <f>opex_orig!$BH101</f>
        <v>2.21581955974504E-5</v>
      </c>
      <c r="BR101" s="188">
        <f>opex_orig!BI101</f>
        <v>3.1300000000000002E-5</v>
      </c>
      <c r="BS101" s="188">
        <f>opex_orig!BJ101</f>
        <v>5.5399999999999998E-5</v>
      </c>
      <c r="BT101" s="188">
        <f>opex_orig!BK101</f>
        <v>1.6200000000000001E-5</v>
      </c>
      <c r="BU101" s="188">
        <f>opex_orig!BL101</f>
        <v>0</v>
      </c>
      <c r="BV101" s="27">
        <f>opex_orig!BM101</f>
        <v>7.8445408799459797E-6</v>
      </c>
      <c r="BW101" s="27">
        <f>opex_orig!BN101</f>
        <v>1.9045928145342499E-5</v>
      </c>
      <c r="BX101" s="27">
        <f>opex_orig!BO101</f>
        <v>2.89913625340271E-6</v>
      </c>
      <c r="BY101" s="27">
        <f>opex_orig!BP101</f>
        <v>5.0857510227404399E-6</v>
      </c>
      <c r="BZ101" s="27">
        <f>opex_orig!BQ101</f>
        <v>4.9125021418168396E-6</v>
      </c>
      <c r="CA101" s="27">
        <f>opex_orig!BR101</f>
        <v>3.9616562900569101E-5</v>
      </c>
      <c r="CB101" s="27">
        <f>opex_orig!BS101</f>
        <v>1.28844128304467E-5</v>
      </c>
      <c r="CC101" s="27">
        <f>opex_orig!BT101</f>
        <v>5.3451246604056898E-6</v>
      </c>
      <c r="CD101" s="27">
        <f>opex_orig!BU101</f>
        <v>3.0581003649247699E-6</v>
      </c>
      <c r="CE101" s="27">
        <f>opex_orig!BV101</f>
        <v>3.05810036492478E-6</v>
      </c>
      <c r="CF101" s="27">
        <f>opex_orig!BW101</f>
        <v>2.2265101869356799E-5</v>
      </c>
      <c r="CG101" s="27">
        <f>opex_orig!BX101</f>
        <v>5.9707827764642605E-7</v>
      </c>
      <c r="CH101" s="27">
        <f>opex_orig!BY101</f>
        <v>2.03537873231578E-5</v>
      </c>
      <c r="CI101" s="27">
        <f>opex_orig!BZ101</f>
        <v>8.1100000000000003E-6</v>
      </c>
      <c r="CJ101" s="27">
        <f>opex_orig!CA101</f>
        <v>3.1093499999999998E-4</v>
      </c>
      <c r="CK101" s="27">
        <f>opex_orig!CB101</f>
        <v>2.49948E-4</v>
      </c>
      <c r="CL101" s="27">
        <f>opex_orig!CC101</f>
        <v>1.097546E-3</v>
      </c>
      <c r="CM101" s="27">
        <f>opex_orig!CD101</f>
        <v>2.4899999999999999E-5</v>
      </c>
      <c r="CN101" s="27">
        <f>opex_orig!CE101</f>
        <v>2.9200000000000002E-5</v>
      </c>
      <c r="CO101" s="27">
        <f>opex_orig!CF101</f>
        <v>1.52E-5</v>
      </c>
      <c r="CP101" s="27">
        <f>opex_orig!CG101</f>
        <v>3.3500000000000001E-5</v>
      </c>
    </row>
    <row r="102" spans="1:94" x14ac:dyDescent="0.25">
      <c r="A102" s="1" t="s">
        <v>343</v>
      </c>
      <c r="B102" s="2" t="s">
        <v>337</v>
      </c>
      <c r="C102" s="1" t="s">
        <v>330</v>
      </c>
      <c r="D102" s="188">
        <f>opex_orig!D102</f>
        <v>1.8699999999999999E-7</v>
      </c>
      <c r="E102" s="188">
        <f>opex_orig!E102</f>
        <v>3.9500000000000003E-8</v>
      </c>
      <c r="F102" s="188">
        <f>opex_orig!F102</f>
        <v>2.1299999999999999E-8</v>
      </c>
      <c r="G102" s="188">
        <f>opex_orig!G102</f>
        <v>4.9200000000000004E-9</v>
      </c>
      <c r="H102" s="188">
        <f>opex_orig!H102</f>
        <v>7.5200000000000005E-9</v>
      </c>
      <c r="I102" s="188">
        <f>opex_orig!I102</f>
        <v>5.4100000000000001E-8</v>
      </c>
      <c r="J102" s="188">
        <f>opex_orig!J102</f>
        <v>1.3E-7</v>
      </c>
      <c r="K102" s="188">
        <f>opex_orig!K102</f>
        <v>1.52E-8</v>
      </c>
      <c r="L102" s="188">
        <f>opex_orig!L102</f>
        <v>3.5299999999999998E-8</v>
      </c>
      <c r="M102" s="188">
        <f>opex_orig!M102</f>
        <v>8.9599999999999995E-8</v>
      </c>
      <c r="N102" s="188">
        <f>opex_orig!N102</f>
        <v>1.09E-7</v>
      </c>
      <c r="O102" s="188">
        <f>opex_orig!O102</f>
        <v>9.1300000000000004E-8</v>
      </c>
      <c r="P102" s="188">
        <f>opex_orig!P102</f>
        <v>8.1899999999999999E-8</v>
      </c>
      <c r="Q102" s="188">
        <f>opex_orig!Q102</f>
        <v>1.11E-8</v>
      </c>
      <c r="R102" s="188">
        <f>opex_orig!R102</f>
        <v>4.8200000000000001E-8</v>
      </c>
      <c r="S102" s="188">
        <f>opex_orig!S102</f>
        <v>4.7899999999999999E-8</v>
      </c>
      <c r="T102" s="188">
        <f>opex_orig!T102</f>
        <v>5.8799999999999997E-8</v>
      </c>
      <c r="U102" s="188">
        <f>opex_orig!U102</f>
        <v>1.6E-7</v>
      </c>
      <c r="V102" s="188">
        <f>opex_orig!V102</f>
        <v>2.3999999999999998E-7</v>
      </c>
      <c r="W102" s="188">
        <f>opex_orig!W102</f>
        <v>4.8E-8</v>
      </c>
      <c r="X102" s="188">
        <f>opex_orig!X102</f>
        <v>4.1899999999999998E-8</v>
      </c>
      <c r="Y102" s="188">
        <f>opex_orig!Y102</f>
        <v>2.14E-8</v>
      </c>
      <c r="Z102" s="188">
        <f>opex_orig!Z102</f>
        <v>1.08E-7</v>
      </c>
      <c r="AA102" s="188">
        <f>opex_orig!AA102</f>
        <v>1.14E-7</v>
      </c>
      <c r="AB102" s="273">
        <f>opex_concordance!M168</f>
        <v>5.3072151691515196E-8</v>
      </c>
      <c r="AC102" s="273">
        <f>opex_concordance!M213</f>
        <v>1.6035813027646092E-6</v>
      </c>
      <c r="AD102" s="273">
        <f>opex_concordance!M258</f>
        <v>1.4304597096359383E-6</v>
      </c>
      <c r="AE102" s="188">
        <f>opex_orig!$AC102</f>
        <v>2.9506289366623298E-7</v>
      </c>
      <c r="AF102" s="273">
        <f>opex_concordance!M300</f>
        <v>9.4850640097901204E-8</v>
      </c>
      <c r="AG102" s="273">
        <f>opex_concordance!M336</f>
        <v>2.3389019447590055E-8</v>
      </c>
      <c r="AH102" s="273">
        <f>opex_concordance!M372</f>
        <v>2.8283342482443582E-8</v>
      </c>
      <c r="AI102" s="188">
        <f>opex_orig!AE102</f>
        <v>7.4299999999999997E-8</v>
      </c>
      <c r="AJ102" s="188">
        <f>opex_orig!AF102</f>
        <v>1.36E-7</v>
      </c>
      <c r="AK102" s="188">
        <f>opex_orig!AG102</f>
        <v>7.4999999999999997E-8</v>
      </c>
      <c r="AL102" s="188">
        <f>opex_orig!AH102</f>
        <v>5.9499999999999997E-8</v>
      </c>
      <c r="AM102" s="188">
        <f>opex_orig!AI102</f>
        <v>1.1999999999999999E-7</v>
      </c>
      <c r="AN102" s="188">
        <f>opex_orig!AJ102</f>
        <v>6.4599999999999996E-8</v>
      </c>
      <c r="AO102" s="188">
        <f>opex_orig!AK102</f>
        <v>8.4299999999999994E-8</v>
      </c>
      <c r="AP102" s="273">
        <f>opex_concordance!M410</f>
        <v>6.4999995235635296E-8</v>
      </c>
      <c r="AQ102" s="273">
        <f>opex_concordance!M464</f>
        <v>8.6427502239999246E-8</v>
      </c>
      <c r="AR102" s="273">
        <f>opex_concordance!M518</f>
        <v>1.7774961186509929E-7</v>
      </c>
      <c r="AS102" s="188">
        <f>opex_orig!$AM102</f>
        <v>7.4591819959577701E-8</v>
      </c>
      <c r="AT102" s="188">
        <f>opex_orig!AN102</f>
        <v>8.3000000000000002E-8</v>
      </c>
      <c r="AU102" s="273">
        <f>opex_concordance!M577</f>
        <v>2.20018358998826E-8</v>
      </c>
      <c r="AV102" s="273">
        <f>opex_concordance!M623</f>
        <v>3.0031747086253451E-7</v>
      </c>
      <c r="AW102" s="273">
        <f>opex_concordance!M669</f>
        <v>2.6053705813986213E-8</v>
      </c>
      <c r="AX102" s="188">
        <f>opex_orig!$AP102</f>
        <v>3.53731854988277E-8</v>
      </c>
      <c r="AY102" s="188">
        <f>opex_orig!AQ102</f>
        <v>3.8199999999999998E-8</v>
      </c>
      <c r="AZ102" s="188">
        <f>opex_orig!AR102</f>
        <v>0</v>
      </c>
      <c r="BA102" s="188">
        <f>opex_orig!AS102</f>
        <v>3.5000000000000002E-8</v>
      </c>
      <c r="BB102" s="188">
        <f>opex_orig!AT102</f>
        <v>2.8200000000000001E-8</v>
      </c>
      <c r="BC102" s="188">
        <f>opex_orig!AU102</f>
        <v>3.6400000000000002E-8</v>
      </c>
      <c r="BD102" s="188">
        <f>opex_orig!AV102</f>
        <v>2.6700000000000001E-8</v>
      </c>
      <c r="BE102" s="188">
        <f>opex_orig!AW102</f>
        <v>2.7599999999999999E-8</v>
      </c>
      <c r="BF102" s="188">
        <f>opex_orig!AX102</f>
        <v>0</v>
      </c>
      <c r="BG102" s="188">
        <f>opex_orig!AY102</f>
        <v>2.7199999999999999E-8</v>
      </c>
      <c r="BH102" s="188">
        <f>opex_orig!AZ102</f>
        <v>0</v>
      </c>
      <c r="BI102" s="188">
        <f>opex_orig!BA102</f>
        <v>3.3699999999999997E-8</v>
      </c>
      <c r="BJ102" s="188">
        <f>opex_orig!BB102</f>
        <v>1.04E-7</v>
      </c>
      <c r="BK102" s="188">
        <f>opex_orig!BC102</f>
        <v>4.2100000000000002E-7</v>
      </c>
      <c r="BL102" s="188">
        <f>opex_orig!BD102</f>
        <v>6.2799999999999996E-7</v>
      </c>
      <c r="BM102" s="188">
        <f>opex_orig!BE102</f>
        <v>6.3300000000000002E-7</v>
      </c>
      <c r="BN102" s="188">
        <f>opex_orig!BF102</f>
        <v>1.74E-7</v>
      </c>
      <c r="BO102" s="188">
        <f>opex_orig!BG102</f>
        <v>9.8500000000000002E-8</v>
      </c>
      <c r="BP102" s="188">
        <f>opex_orig!$BH102</f>
        <v>2.6004803163151601E-7</v>
      </c>
      <c r="BQ102" s="188">
        <f>opex_orig!$BH102</f>
        <v>2.6004803163151601E-7</v>
      </c>
      <c r="BR102" s="188">
        <f>opex_orig!BI102</f>
        <v>1.8699999999999999E-7</v>
      </c>
      <c r="BS102" s="188">
        <f>opex_orig!BJ102</f>
        <v>5.32E-8</v>
      </c>
      <c r="BT102" s="188">
        <f>opex_orig!BK102</f>
        <v>1.7199999999999999E-8</v>
      </c>
      <c r="BU102" s="188">
        <f>opex_orig!BL102</f>
        <v>0</v>
      </c>
      <c r="BV102" s="27">
        <f>opex_orig!BM102</f>
        <v>1.9500961058771599E-7</v>
      </c>
      <c r="BW102" s="27">
        <f>opex_orig!BN102</f>
        <v>4.9060162978389902E-7</v>
      </c>
      <c r="BX102" s="27">
        <f>opex_orig!BO102</f>
        <v>8.3638148968482297E-8</v>
      </c>
      <c r="BY102" s="27">
        <f>opex_orig!BP102</f>
        <v>1.43311945526179E-7</v>
      </c>
      <c r="BZ102" s="27">
        <f>opex_orig!BQ102</f>
        <v>1.71994460392354E-7</v>
      </c>
      <c r="CA102" s="27">
        <f>opex_orig!BR102</f>
        <v>4.4375563891499602E-6</v>
      </c>
      <c r="CB102" s="27">
        <f>opex_orig!BS102</f>
        <v>2.3008161225727099E-7</v>
      </c>
      <c r="CC102" s="27">
        <f>opex_orig!BT102</f>
        <v>1.1970313167089199E-7</v>
      </c>
      <c r="CD102" s="27">
        <f>opex_orig!BU102</f>
        <v>8.4683923467902103E-8</v>
      </c>
      <c r="CE102" s="27">
        <f>opex_orig!BV102</f>
        <v>8.4683923467902196E-8</v>
      </c>
      <c r="CF102" s="27">
        <f>opex_orig!BW102</f>
        <v>8.6848090917193805E-8</v>
      </c>
      <c r="CG102" s="27">
        <f>opex_orig!BX102</f>
        <v>1.9042928898912899E-8</v>
      </c>
      <c r="CH102" s="27">
        <f>opex_orig!BY102</f>
        <v>9.5429961220499305E-9</v>
      </c>
      <c r="CI102" s="27">
        <f>opex_orig!BZ102</f>
        <v>2.1400000000000001E-7</v>
      </c>
      <c r="CJ102" s="27">
        <f>opex_orig!CA102</f>
        <v>1.12E-7</v>
      </c>
      <c r="CK102" s="27">
        <f>opex_orig!CB102</f>
        <v>1.24E-7</v>
      </c>
      <c r="CL102" s="27">
        <f>opex_orig!CC102</f>
        <v>7.1900000000000002E-8</v>
      </c>
      <c r="CM102" s="27">
        <f>opex_orig!CD102</f>
        <v>5.3200000000000005E-7</v>
      </c>
      <c r="CN102" s="27">
        <f>opex_orig!CE102</f>
        <v>1.0700000000000001E-7</v>
      </c>
      <c r="CO102" s="27">
        <f>opex_orig!CF102</f>
        <v>1.9999999999999999E-7</v>
      </c>
      <c r="CP102" s="27">
        <f>opex_orig!CG102</f>
        <v>6.9100000000000003E-8</v>
      </c>
    </row>
    <row r="103" spans="1:94" x14ac:dyDescent="0.25">
      <c r="A103" s="1" t="s">
        <v>10</v>
      </c>
      <c r="B103" s="2" t="s">
        <v>11</v>
      </c>
      <c r="C103" s="1" t="s">
        <v>330</v>
      </c>
      <c r="D103" s="188">
        <f>opex_orig!D103</f>
        <v>5.3399999999999997E-6</v>
      </c>
      <c r="E103" s="188">
        <f>opex_orig!E103</f>
        <v>4.1300000000000003E-6</v>
      </c>
      <c r="F103" s="188">
        <f>opex_orig!F103</f>
        <v>3.6799999999999999E-6</v>
      </c>
      <c r="G103" s="188">
        <f>opex_orig!G103</f>
        <v>2.1E-7</v>
      </c>
      <c r="H103" s="188">
        <f>opex_orig!H103</f>
        <v>5.4600000000000005E-7</v>
      </c>
      <c r="I103" s="188">
        <f>opex_orig!I103</f>
        <v>5.5799999999999999E-6</v>
      </c>
      <c r="J103" s="188">
        <f>opex_orig!J103</f>
        <v>1.9000000000000001E-5</v>
      </c>
      <c r="K103" s="188">
        <f>opex_orig!K103</f>
        <v>6.7599999999999997E-7</v>
      </c>
      <c r="L103" s="188">
        <f>opex_orig!L103</f>
        <v>4.07E-6</v>
      </c>
      <c r="M103" s="188">
        <f>opex_orig!M103</f>
        <v>1.3499999999999999E-5</v>
      </c>
      <c r="N103" s="188">
        <f>opex_orig!N103</f>
        <v>1.56E-5</v>
      </c>
      <c r="O103" s="188">
        <f>opex_orig!O103</f>
        <v>8.9400000000000008E-6</v>
      </c>
      <c r="P103" s="188">
        <f>opex_orig!P103</f>
        <v>1.8099999999999999E-5</v>
      </c>
      <c r="Q103" s="188">
        <f>opex_orig!Q103</f>
        <v>3.01E-5</v>
      </c>
      <c r="R103" s="188">
        <f>opex_orig!R103</f>
        <v>3.3100000000000001E-6</v>
      </c>
      <c r="S103" s="188">
        <f>opex_orig!S103</f>
        <v>8.3999999999999992E-6</v>
      </c>
      <c r="T103" s="188">
        <f>opex_orig!T103</f>
        <v>7.9200000000000004E-6</v>
      </c>
      <c r="U103" s="188">
        <f>opex_orig!U103</f>
        <v>9.4199999999999996E-6</v>
      </c>
      <c r="V103" s="188">
        <f>opex_orig!V103</f>
        <v>9.7699999999999996E-6</v>
      </c>
      <c r="W103" s="188">
        <f>opex_orig!W103</f>
        <v>8.0900000000000005E-6</v>
      </c>
      <c r="X103" s="188">
        <f>opex_orig!X103</f>
        <v>3.3900000000000002E-6</v>
      </c>
      <c r="Y103" s="188">
        <f>opex_orig!Y103</f>
        <v>9.5400000000000001E-5</v>
      </c>
      <c r="Z103" s="188">
        <f>opex_orig!Z103</f>
        <v>2.2221599999999999E-4</v>
      </c>
      <c r="AA103" s="188">
        <f>opex_orig!AA103</f>
        <v>2.8499999999999998E-6</v>
      </c>
      <c r="AB103" s="273">
        <f>opex_concordance!M169</f>
        <v>1.0694007351382899E-5</v>
      </c>
      <c r="AC103" s="273">
        <f>opex_concordance!M214</f>
        <v>3.2312068935856826E-4</v>
      </c>
      <c r="AD103" s="273">
        <f>opex_concordance!M259</f>
        <v>2.8823679016483903E-4</v>
      </c>
      <c r="AE103" s="188">
        <f>opex_orig!$AC103</f>
        <v>3.98844551923785E-5</v>
      </c>
      <c r="AF103" s="273">
        <f>opex_concordance!M301</f>
        <v>1.5827195035048702E-5</v>
      </c>
      <c r="AG103" s="273">
        <f>opex_concordance!M337</f>
        <v>3.9027946684752641E-6</v>
      </c>
      <c r="AH103" s="273">
        <f>opex_concordance!M373</f>
        <v>4.7194829391838582E-6</v>
      </c>
      <c r="AI103" s="188">
        <f>opex_orig!AE103</f>
        <v>1.08E-5</v>
      </c>
      <c r="AJ103" s="188">
        <f>opex_orig!AF103</f>
        <v>4.8900000000000003E-5</v>
      </c>
      <c r="AK103" s="188">
        <f>opex_orig!AG103</f>
        <v>9.4900000000000006E-6</v>
      </c>
      <c r="AL103" s="188">
        <f>opex_orig!AH103</f>
        <v>1.03E-5</v>
      </c>
      <c r="AM103" s="188">
        <f>opex_orig!AI103</f>
        <v>5.0300000000000001E-6</v>
      </c>
      <c r="AN103" s="188">
        <f>opex_orig!AJ103</f>
        <v>3.2799999999999999E-6</v>
      </c>
      <c r="AO103" s="188">
        <f>opex_orig!AK103</f>
        <v>4.16E-6</v>
      </c>
      <c r="AP103" s="273">
        <f>opex_concordance!M411</f>
        <v>5.18878179465611E-6</v>
      </c>
      <c r="AQ103" s="273">
        <f>opex_concordance!M465</f>
        <v>6.8992843546340795E-6</v>
      </c>
      <c r="AR103" s="273">
        <f>opex_concordance!M519</f>
        <v>1.4189292579319715E-5</v>
      </c>
      <c r="AS103" s="188">
        <f>opex_orig!$AM103</f>
        <v>3.26341870373815E-6</v>
      </c>
      <c r="AT103" s="188">
        <f>opex_orig!AN103</f>
        <v>1.27E-5</v>
      </c>
      <c r="AU103" s="273">
        <f>opex_concordance!M578</f>
        <v>4.8587582379900104E-6</v>
      </c>
      <c r="AV103" s="273">
        <f>opex_concordance!M624</f>
        <v>6.6320373999946547E-5</v>
      </c>
      <c r="AW103" s="273">
        <f>opex_concordance!M670</f>
        <v>5.7535497642062319E-6</v>
      </c>
      <c r="AX103" s="188">
        <f>opex_orig!$AP103</f>
        <v>1.6287050169252899E-5</v>
      </c>
      <c r="AY103" s="188">
        <f>opex_orig!AQ103</f>
        <v>5.4099999999999999E-6</v>
      </c>
      <c r="AZ103" s="188">
        <f>opex_orig!AR103</f>
        <v>0</v>
      </c>
      <c r="BA103" s="188">
        <f>opex_orig!AS103</f>
        <v>1.2500000000000001E-5</v>
      </c>
      <c r="BB103" s="188">
        <f>opex_orig!AT103</f>
        <v>3.4199999999999999E-6</v>
      </c>
      <c r="BC103" s="188">
        <f>opex_orig!AU103</f>
        <v>3.19E-6</v>
      </c>
      <c r="BD103" s="188">
        <f>opex_orig!AV103</f>
        <v>9.6099999999999999E-7</v>
      </c>
      <c r="BE103" s="188">
        <f>opex_orig!AW103</f>
        <v>4.2899999999999996E-6</v>
      </c>
      <c r="BF103" s="188">
        <f>opex_orig!AX103</f>
        <v>0</v>
      </c>
      <c r="BG103" s="188">
        <f>opex_orig!AY103</f>
        <v>5.4500000000000003E-6</v>
      </c>
      <c r="BH103" s="188">
        <f>opex_orig!AZ103</f>
        <v>0</v>
      </c>
      <c r="BI103" s="188">
        <f>opex_orig!BA103</f>
        <v>2.5299999999999999E-6</v>
      </c>
      <c r="BJ103" s="188">
        <f>opex_orig!BB103</f>
        <v>7.34E-6</v>
      </c>
      <c r="BK103" s="188">
        <f>opex_orig!BC103</f>
        <v>1.9000000000000001E-5</v>
      </c>
      <c r="BL103" s="188">
        <f>opex_orig!BD103</f>
        <v>1.6099999999999998E-5</v>
      </c>
      <c r="BM103" s="188">
        <f>opex_orig!BE103</f>
        <v>1.7900000000000001E-5</v>
      </c>
      <c r="BN103" s="188">
        <f>opex_orig!BF103</f>
        <v>3.9199999999999997E-6</v>
      </c>
      <c r="BO103" s="188">
        <f>opex_orig!BG103</f>
        <v>1.6200000000000001E-5</v>
      </c>
      <c r="BP103" s="188">
        <f>opex_orig!$BH103</f>
        <v>7.5750670053210299E-6</v>
      </c>
      <c r="BQ103" s="188">
        <f>opex_orig!$BH103</f>
        <v>7.5750670053210299E-6</v>
      </c>
      <c r="BR103" s="188">
        <f>opex_orig!BI103</f>
        <v>8.8200000000000003E-6</v>
      </c>
      <c r="BS103" s="188">
        <f>opex_orig!BJ103</f>
        <v>8.6000000000000007E-6</v>
      </c>
      <c r="BT103" s="188">
        <f>opex_orig!BK103</f>
        <v>2.88E-6</v>
      </c>
      <c r="BU103" s="188">
        <f>opex_orig!BL103</f>
        <v>0</v>
      </c>
      <c r="BV103" s="27">
        <f>opex_orig!BM103</f>
        <v>4.2554420751478397E-6</v>
      </c>
      <c r="BW103" s="27">
        <f>opex_orig!BN103</f>
        <v>2.1260893491208402E-5</v>
      </c>
      <c r="BX103" s="27">
        <f>opex_orig!BO103</f>
        <v>2.1426557612251E-6</v>
      </c>
      <c r="BY103" s="27">
        <f>opex_orig!BP103</f>
        <v>1.24192989379644E-5</v>
      </c>
      <c r="BZ103" s="27">
        <f>opex_orig!BQ103</f>
        <v>3.8929024247553602E-6</v>
      </c>
      <c r="CA103" s="27">
        <f>opex_orig!BR103</f>
        <v>9.1225953534647798E-6</v>
      </c>
      <c r="CB103" s="27">
        <f>opex_orig!BS103</f>
        <v>7.4545739663570798E-6</v>
      </c>
      <c r="CC103" s="27">
        <f>opex_orig!BT103</f>
        <v>6.5837920458583699E-6</v>
      </c>
      <c r="CD103" s="27">
        <f>opex_orig!BU103</f>
        <v>1.5339128785290201E-6</v>
      </c>
      <c r="CE103" s="27">
        <f>opex_orig!BV103</f>
        <v>1.5339128785290301E-6</v>
      </c>
      <c r="CF103" s="27">
        <f>opex_orig!BW103</f>
        <v>2.43857467993004E-5</v>
      </c>
      <c r="CG103" s="27">
        <f>opex_orig!BX103</f>
        <v>2.82229570066155E-7</v>
      </c>
      <c r="CH103" s="27">
        <f>opex_orig!BY103</f>
        <v>1.2671156162909099E-5</v>
      </c>
      <c r="CI103" s="27">
        <f>opex_orig!BZ103</f>
        <v>9.38E-6</v>
      </c>
      <c r="CJ103" s="27">
        <f>opex_orig!CA103</f>
        <v>3.9199999999999997E-5</v>
      </c>
      <c r="CK103" s="27">
        <f>opex_orig!CB103</f>
        <v>1.0200000000000001E-5</v>
      </c>
      <c r="CL103" s="27">
        <f>opex_orig!CC103</f>
        <v>1.617795E-3</v>
      </c>
      <c r="CM103" s="27">
        <f>opex_orig!CD103</f>
        <v>1.0681800000000001E-4</v>
      </c>
      <c r="CN103" s="27">
        <f>opex_orig!CE103</f>
        <v>5.9800000000000003E-6</v>
      </c>
      <c r="CO103" s="27">
        <f>opex_orig!CF103</f>
        <v>6.5100000000000004E-6</v>
      </c>
      <c r="CP103" s="27">
        <f>opex_orig!CG103</f>
        <v>1.2300000000000001E-5</v>
      </c>
    </row>
    <row r="104" spans="1:94" x14ac:dyDescent="0.25">
      <c r="A104" s="1" t="s">
        <v>12</v>
      </c>
      <c r="B104" s="2" t="s">
        <v>13</v>
      </c>
      <c r="C104" s="1" t="s">
        <v>330</v>
      </c>
      <c r="D104" s="188">
        <f>opex_orig!D104</f>
        <v>1.3159200000000001E-4</v>
      </c>
      <c r="E104" s="188">
        <f>opex_orig!E104</f>
        <v>2.0636999999999999E-4</v>
      </c>
      <c r="F104" s="188">
        <f>opex_orig!F104</f>
        <v>1.08961E-4</v>
      </c>
      <c r="G104" s="188">
        <f>opex_orig!G104</f>
        <v>1.77E-5</v>
      </c>
      <c r="H104" s="188">
        <f>opex_orig!H104</f>
        <v>3.7100000000000001E-5</v>
      </c>
      <c r="I104" s="188">
        <f>opex_orig!I104</f>
        <v>6.5478900000000002E-4</v>
      </c>
      <c r="J104" s="188">
        <f>opex_orig!J104</f>
        <v>2.67446E-3</v>
      </c>
      <c r="K104" s="188">
        <f>opex_orig!K104</f>
        <v>5.4799999999999997E-5</v>
      </c>
      <c r="L104" s="188">
        <f>opex_orig!L104</f>
        <v>2.4587799999999999E-4</v>
      </c>
      <c r="M104" s="188">
        <f>opex_orig!M104</f>
        <v>8.5206500000000005E-4</v>
      </c>
      <c r="N104" s="188">
        <f>opex_orig!N104</f>
        <v>3.61131E-4</v>
      </c>
      <c r="O104" s="188">
        <f>opex_orig!O104</f>
        <v>2.2488599999999999E-4</v>
      </c>
      <c r="P104" s="188">
        <f>opex_orig!P104</f>
        <v>1.6166500000000001E-3</v>
      </c>
      <c r="Q104" s="188">
        <f>opex_orig!Q104</f>
        <v>1.3506530000000001E-3</v>
      </c>
      <c r="R104" s="188">
        <f>opex_orig!R104</f>
        <v>7.75E-5</v>
      </c>
      <c r="S104" s="188">
        <f>opex_orig!S104</f>
        <v>8.3496000000000004E-4</v>
      </c>
      <c r="T104" s="188">
        <f>opex_orig!T104</f>
        <v>8.65221E-4</v>
      </c>
      <c r="U104" s="188">
        <f>opex_orig!U104</f>
        <v>3.3113589999999998E-3</v>
      </c>
      <c r="V104" s="188">
        <f>opex_orig!V104</f>
        <v>1.71003E-3</v>
      </c>
      <c r="W104" s="188">
        <f>opex_orig!W104</f>
        <v>6.4930399999999996E-4</v>
      </c>
      <c r="X104" s="188">
        <f>opex_orig!X104</f>
        <v>4.4107599999999999E-4</v>
      </c>
      <c r="Y104" s="188">
        <f>opex_orig!Y104</f>
        <v>2.5293149999999999E-3</v>
      </c>
      <c r="Z104" s="188">
        <f>opex_orig!Z104</f>
        <v>5.5662970000000004E-3</v>
      </c>
      <c r="AA104" s="188">
        <f>opex_orig!AA104</f>
        <v>7.8399999999999995E-5</v>
      </c>
      <c r="AB104" s="273">
        <f>opex_concordance!M170</f>
        <v>6.1171648027476502E-5</v>
      </c>
      <c r="AC104" s="273">
        <f>opex_concordance!M215</f>
        <v>1.8483085367696037E-3</v>
      </c>
      <c r="AD104" s="273">
        <f>opex_concordance!M260</f>
        <v>1.6487663508341478E-3</v>
      </c>
      <c r="AE104" s="188">
        <f>opex_orig!$AC104</f>
        <v>3.1907494513485002E-4</v>
      </c>
      <c r="AF104" s="273">
        <f>opex_concordance!M302</f>
        <v>5.3236548635258595E-4</v>
      </c>
      <c r="AG104" s="273">
        <f>opex_concordance!M338</f>
        <v>1.3127488333947355E-4</v>
      </c>
      <c r="AH104" s="273">
        <f>opex_concordance!M374</f>
        <v>1.5874511084797632E-4</v>
      </c>
      <c r="AI104" s="188">
        <f>opex_orig!AE104</f>
        <v>5.7953499999999995E-4</v>
      </c>
      <c r="AJ104" s="188">
        <f>opex_orig!AF104</f>
        <v>1.5575599999999999E-3</v>
      </c>
      <c r="AK104" s="188">
        <f>opex_orig!AG104</f>
        <v>3.7638100000000001E-4</v>
      </c>
      <c r="AL104" s="188">
        <f>opex_orig!AH104</f>
        <v>3.10107E-4</v>
      </c>
      <c r="AM104" s="188">
        <f>opex_orig!AI104</f>
        <v>7.7879399999999997E-4</v>
      </c>
      <c r="AN104" s="188">
        <f>opex_orig!AJ104</f>
        <v>4.0116499999999999E-4</v>
      </c>
      <c r="AO104" s="188">
        <f>opex_orig!AK104</f>
        <v>3.9632900000000001E-4</v>
      </c>
      <c r="AP104" s="273">
        <f>opex_concordance!M412</f>
        <v>9.789230328172431E-4</v>
      </c>
      <c r="AQ104" s="273">
        <f>opex_concordance!M466</f>
        <v>1.3016289048159069E-3</v>
      </c>
      <c r="AR104" s="273">
        <f>opex_concordance!M520</f>
        <v>2.6769723366637434E-3</v>
      </c>
      <c r="AS104" s="188">
        <f>opex_orig!$AM104</f>
        <v>4.4417351056326801E-4</v>
      </c>
      <c r="AT104" s="188">
        <f>opex_orig!AN104</f>
        <v>1.26775E-3</v>
      </c>
      <c r="AU104" s="273">
        <f>opex_concordance!M579</f>
        <v>2.42048182205621E-4</v>
      </c>
      <c r="AV104" s="273">
        <f>opex_concordance!M625</f>
        <v>3.3038741965734737E-3</v>
      </c>
      <c r="AW104" s="273">
        <f>opex_concordance!M671</f>
        <v>2.8662390541823069E-4</v>
      </c>
      <c r="AX104" s="188">
        <f>opex_orig!$AP104</f>
        <v>1.0409959591858101E-3</v>
      </c>
      <c r="AY104" s="188">
        <f>opex_orig!AQ104</f>
        <v>1.4248200000000001E-4</v>
      </c>
      <c r="AZ104" s="188">
        <f>opex_orig!AR104</f>
        <v>0</v>
      </c>
      <c r="BA104" s="188">
        <f>opex_orig!AS104</f>
        <v>8.9841499999999996E-4</v>
      </c>
      <c r="BB104" s="188">
        <f>opex_orig!AT104</f>
        <v>8.4699999999999999E-5</v>
      </c>
      <c r="BC104" s="188">
        <f>opex_orig!AU104</f>
        <v>5.5300000000000002E-5</v>
      </c>
      <c r="BD104" s="188">
        <f>opex_orig!AV104</f>
        <v>3.7799999999999997E-5</v>
      </c>
      <c r="BE104" s="188">
        <f>opex_orig!AW104</f>
        <v>1.2945799999999999E-4</v>
      </c>
      <c r="BF104" s="188">
        <f>opex_orig!AX104</f>
        <v>0</v>
      </c>
      <c r="BG104" s="188">
        <f>opex_orig!AY104</f>
        <v>2.4476599999999999E-4</v>
      </c>
      <c r="BH104" s="188">
        <f>opex_orig!AZ104</f>
        <v>0</v>
      </c>
      <c r="BI104" s="188">
        <f>opex_orig!BA104</f>
        <v>8.6199999999999995E-5</v>
      </c>
      <c r="BJ104" s="188">
        <f>opex_orig!BB104</f>
        <v>5.1333599999999998E-4</v>
      </c>
      <c r="BK104" s="188">
        <f>opex_orig!BC104</f>
        <v>8.7532099999999998E-4</v>
      </c>
      <c r="BL104" s="188">
        <f>opex_orig!BD104</f>
        <v>4.4400000000000002E-5</v>
      </c>
      <c r="BM104" s="188">
        <f>opex_orig!BE104</f>
        <v>5.3711600000000003E-4</v>
      </c>
      <c r="BN104" s="188">
        <f>opex_orig!BF104</f>
        <v>1.2824099999999999E-4</v>
      </c>
      <c r="BO104" s="188">
        <f>opex_orig!BG104</f>
        <v>1.103487E-3</v>
      </c>
      <c r="BP104" s="188">
        <f>opex_orig!$BH104</f>
        <v>1.7796016698912599E-4</v>
      </c>
      <c r="BQ104" s="188">
        <f>opex_orig!$BH104</f>
        <v>1.7796016698912599E-4</v>
      </c>
      <c r="BR104" s="188">
        <f>opex_orig!BI104</f>
        <v>3.00439E-4</v>
      </c>
      <c r="BS104" s="188">
        <f>opex_orig!BJ104</f>
        <v>5.6052000000000001E-4</v>
      </c>
      <c r="BT104" s="188">
        <f>opex_orig!BK104</f>
        <v>1.8005199999999999E-4</v>
      </c>
      <c r="BU104" s="188">
        <f>opex_orig!BL104</f>
        <v>0</v>
      </c>
      <c r="BV104" s="27">
        <f>opex_orig!BM104</f>
        <v>4.9219570414099599E-5</v>
      </c>
      <c r="BW104" s="27">
        <f>opex_orig!BN104</f>
        <v>6.8056238741679706E-5</v>
      </c>
      <c r="BX104" s="27">
        <f>opex_orig!BO104</f>
        <v>1.6237821031665601E-5</v>
      </c>
      <c r="BY104" s="27">
        <f>opex_orig!BP104</f>
        <v>2.9707768620171099E-5</v>
      </c>
      <c r="BZ104" s="27">
        <f>opex_orig!BQ104</f>
        <v>3.31850212466671E-5</v>
      </c>
      <c r="CA104" s="27">
        <f>opex_orig!BR104</f>
        <v>3.1847587090800998E-5</v>
      </c>
      <c r="CB104" s="27">
        <f>opex_orig!BS104</f>
        <v>7.2020617487036497E-5</v>
      </c>
      <c r="CC104" s="27">
        <f>opex_orig!BT104</f>
        <v>7.6389029008288393E-6</v>
      </c>
      <c r="CD104" s="27">
        <f>opex_orig!BU104</f>
        <v>2.76980504104791E-5</v>
      </c>
      <c r="CE104" s="27">
        <f>opex_orig!BV104</f>
        <v>2.7698050410479202E-5</v>
      </c>
      <c r="CF104" s="27">
        <f>opex_orig!BW104</f>
        <v>7.5338154761772099E-6</v>
      </c>
      <c r="CG104" s="27">
        <f>opex_orig!BX104</f>
        <v>5.22621742982634E-7</v>
      </c>
      <c r="CH104" s="27">
        <f>opex_orig!BY104</f>
        <v>6.8488631211214596E-6</v>
      </c>
      <c r="CI104" s="27">
        <f>opex_orig!BZ104</f>
        <v>4.2400000000000001E-5</v>
      </c>
      <c r="CJ104" s="27">
        <f>opex_orig!CA104</f>
        <v>4.0750309999999998E-3</v>
      </c>
      <c r="CK104" s="27">
        <f>opex_orig!CB104</f>
        <v>3.6016149999999999E-3</v>
      </c>
      <c r="CL104" s="27">
        <f>opex_orig!CC104</f>
        <v>3.9535528E-2</v>
      </c>
      <c r="CM104" s="27">
        <f>opex_orig!CD104</f>
        <v>1.9673669999999998E-3</v>
      </c>
      <c r="CN104" s="27">
        <f>opex_orig!CE104</f>
        <v>3.7659999999999999E-4</v>
      </c>
      <c r="CO104" s="27">
        <f>opex_orig!CF104</f>
        <v>1.54535E-4</v>
      </c>
      <c r="CP104" s="27">
        <f>opex_orig!CG104</f>
        <v>4.1899800000000002E-4</v>
      </c>
    </row>
    <row r="105" spans="1:94" x14ac:dyDescent="0.25">
      <c r="A105" s="1" t="s">
        <v>340</v>
      </c>
      <c r="B105" s="2" t="s">
        <v>338</v>
      </c>
      <c r="C105" s="1" t="s">
        <v>330</v>
      </c>
      <c r="D105" s="188">
        <f>opex_orig!D105</f>
        <v>2.87E-5</v>
      </c>
      <c r="E105" s="188">
        <f>opex_orig!E105</f>
        <v>4.6499999999999999E-5</v>
      </c>
      <c r="F105" s="188">
        <f>opex_orig!F105</f>
        <v>2.8600000000000001E-5</v>
      </c>
      <c r="G105" s="188">
        <f>opex_orig!G105</f>
        <v>3.3000000000000002E-6</v>
      </c>
      <c r="H105" s="188">
        <f>opex_orig!H105</f>
        <v>8.4600000000000003E-6</v>
      </c>
      <c r="I105" s="188">
        <f>opex_orig!I105</f>
        <v>1.4426599999999999E-4</v>
      </c>
      <c r="J105" s="188">
        <f>opex_orig!J105</f>
        <v>5.8767100000000001E-4</v>
      </c>
      <c r="K105" s="188">
        <f>opex_orig!K105</f>
        <v>1.08E-5</v>
      </c>
      <c r="L105" s="188">
        <f>opex_orig!L105</f>
        <v>5.5999999999999999E-5</v>
      </c>
      <c r="M105" s="188">
        <f>opex_orig!M105</f>
        <v>2.01213E-4</v>
      </c>
      <c r="N105" s="188">
        <f>opex_orig!N105</f>
        <v>8.81E-5</v>
      </c>
      <c r="O105" s="188">
        <f>opex_orig!O105</f>
        <v>5.91E-5</v>
      </c>
      <c r="P105" s="188">
        <f>opex_orig!P105</f>
        <v>4.7193199999999999E-4</v>
      </c>
      <c r="Q105" s="188">
        <f>opex_orig!Q105</f>
        <v>5.2879000000000001E-4</v>
      </c>
      <c r="R105" s="188">
        <f>opex_orig!R105</f>
        <v>2.37E-5</v>
      </c>
      <c r="S105" s="188">
        <f>opex_orig!S105</f>
        <v>2.3050699999999999E-4</v>
      </c>
      <c r="T105" s="188">
        <f>opex_orig!T105</f>
        <v>2.3484800000000001E-4</v>
      </c>
      <c r="U105" s="188">
        <f>opex_orig!U105</f>
        <v>7.5236200000000002E-4</v>
      </c>
      <c r="V105" s="188">
        <f>opex_orig!V105</f>
        <v>3.58205E-4</v>
      </c>
      <c r="W105" s="188">
        <f>opex_orig!W105</f>
        <v>1.9051100000000001E-4</v>
      </c>
      <c r="X105" s="188">
        <f>opex_orig!X105</f>
        <v>1.1086699999999999E-4</v>
      </c>
      <c r="Y105" s="188">
        <f>opex_orig!Y105</f>
        <v>3.2062399999999998E-4</v>
      </c>
      <c r="Z105" s="188">
        <f>opex_orig!Z105</f>
        <v>6.5712599999999996E-4</v>
      </c>
      <c r="AA105" s="188">
        <f>opex_orig!AA105</f>
        <v>1.26E-5</v>
      </c>
      <c r="AB105" s="273">
        <f>opex_concordance!M171</f>
        <v>9.8509742840008501E-6</v>
      </c>
      <c r="AC105" s="273">
        <f>opex_concordance!M216</f>
        <v>2.9764834611678711E-4</v>
      </c>
      <c r="AD105" s="273">
        <f>opex_concordance!M261</f>
        <v>2.6551442451080781E-4</v>
      </c>
      <c r="AE105" s="188">
        <f>opex_orig!$AC105</f>
        <v>7.8473144864104794E-5</v>
      </c>
      <c r="AF105" s="273">
        <f>opex_concordance!M303</f>
        <v>1.2474597341853799E-4</v>
      </c>
      <c r="AG105" s="273">
        <f>opex_concordance!M339</f>
        <v>3.0760846687836938E-5</v>
      </c>
      <c r="AH105" s="273">
        <f>opex_concordance!M375</f>
        <v>3.7197778379361552E-5</v>
      </c>
      <c r="AI105" s="188">
        <f>opex_orig!AE105</f>
        <v>1.2244099999999999E-4</v>
      </c>
      <c r="AJ105" s="188">
        <f>opex_orig!AF105</f>
        <v>4.4308200000000002E-4</v>
      </c>
      <c r="AK105" s="188">
        <f>opex_orig!AG105</f>
        <v>1.2504500000000001E-4</v>
      </c>
      <c r="AL105" s="188">
        <f>opex_orig!AH105</f>
        <v>7.1799999999999997E-5</v>
      </c>
      <c r="AM105" s="188">
        <f>opex_orig!AI105</f>
        <v>1.8995000000000001E-4</v>
      </c>
      <c r="AN105" s="188">
        <f>opex_orig!AJ105</f>
        <v>4.2899999999999999E-5</v>
      </c>
      <c r="AO105" s="188">
        <f>opex_orig!AK105</f>
        <v>9.2499999999999999E-5</v>
      </c>
      <c r="AP105" s="273">
        <f>opex_concordance!M413</f>
        <v>2.3676548956555398E-4</v>
      </c>
      <c r="AQ105" s="273">
        <f>opex_concordance!M467</f>
        <v>3.1481617507200788E-4</v>
      </c>
      <c r="AR105" s="273">
        <f>opex_concordance!M521</f>
        <v>6.4746118397028692E-4</v>
      </c>
      <c r="AS105" s="188">
        <f>opex_orig!$AM105</f>
        <v>1.0360380788966E-4</v>
      </c>
      <c r="AT105" s="188">
        <f>opex_orig!AN105</f>
        <v>3.6151899999999998E-4</v>
      </c>
      <c r="AU105" s="273">
        <f>opex_concordance!M580</f>
        <v>7.4704670047328204E-5</v>
      </c>
      <c r="AV105" s="273">
        <f>opex_concordance!M626</f>
        <v>1.0196929780006882E-3</v>
      </c>
      <c r="AW105" s="273">
        <f>opex_concordance!M672</f>
        <v>8.8462322198957138E-5</v>
      </c>
      <c r="AX105" s="188">
        <f>opex_orig!$AP105</f>
        <v>3.3074452182893499E-4</v>
      </c>
      <c r="AY105" s="188">
        <f>opex_orig!AQ105</f>
        <v>4.1399999999999997E-5</v>
      </c>
      <c r="AZ105" s="188">
        <f>opex_orig!AR105</f>
        <v>0</v>
      </c>
      <c r="BA105" s="188">
        <f>opex_orig!AS105</f>
        <v>2.75543E-4</v>
      </c>
      <c r="BB105" s="188">
        <f>opex_orig!AT105</f>
        <v>1.73E-5</v>
      </c>
      <c r="BC105" s="188">
        <f>opex_orig!AU105</f>
        <v>5.66E-6</v>
      </c>
      <c r="BD105" s="188">
        <f>opex_orig!AV105</f>
        <v>3.1599999999999998E-6</v>
      </c>
      <c r="BE105" s="188">
        <f>opex_orig!AW105</f>
        <v>3.57E-5</v>
      </c>
      <c r="BF105" s="188">
        <f>opex_orig!AX105</f>
        <v>0</v>
      </c>
      <c r="BG105" s="188">
        <f>opex_orig!AY105</f>
        <v>7.8399999999999995E-5</v>
      </c>
      <c r="BH105" s="188">
        <f>opex_orig!AZ105</f>
        <v>0</v>
      </c>
      <c r="BI105" s="188">
        <f>opex_orig!BA105</f>
        <v>2.1299999999999999E-5</v>
      </c>
      <c r="BJ105" s="188">
        <f>opex_orig!BB105</f>
        <v>1.4376699999999999E-4</v>
      </c>
      <c r="BK105" s="188">
        <f>opex_orig!BC105</f>
        <v>2.5259000000000002E-4</v>
      </c>
      <c r="BL105" s="188">
        <f>opex_orig!BD105</f>
        <v>9.6500000000000008E-6</v>
      </c>
      <c r="BM105" s="188">
        <f>opex_orig!BE105</f>
        <v>1.4544100000000001E-4</v>
      </c>
      <c r="BN105" s="188">
        <f>opex_orig!BF105</f>
        <v>3.8099999999999998E-5</v>
      </c>
      <c r="BO105" s="188">
        <f>opex_orig!BG105</f>
        <v>3.9050100000000002E-4</v>
      </c>
      <c r="BP105" s="188">
        <f>opex_orig!$BH105</f>
        <v>4.6156623488737801E-5</v>
      </c>
      <c r="BQ105" s="188">
        <f>opex_orig!$BH105</f>
        <v>4.6156623488737801E-5</v>
      </c>
      <c r="BR105" s="188">
        <f>opex_orig!BI105</f>
        <v>8.9800000000000001E-5</v>
      </c>
      <c r="BS105" s="188">
        <f>opex_orig!BJ105</f>
        <v>1.87011E-4</v>
      </c>
      <c r="BT105" s="188">
        <f>opex_orig!BK105</f>
        <v>4.5000000000000003E-5</v>
      </c>
      <c r="BU105" s="188">
        <f>opex_orig!BL105</f>
        <v>0</v>
      </c>
      <c r="BV105" s="27">
        <f>opex_orig!BM105</f>
        <v>7.3175954428389101E-6</v>
      </c>
      <c r="BW105" s="27">
        <f>opex_orig!BN105</f>
        <v>1.0969799370608301E-5</v>
      </c>
      <c r="BX105" s="27">
        <f>opex_orig!BO105</f>
        <v>2.5020293226442801E-6</v>
      </c>
      <c r="BY105" s="27">
        <f>opex_orig!BP105</f>
        <v>5.1153043173806399E-6</v>
      </c>
      <c r="BZ105" s="27">
        <f>opex_orig!BQ105</f>
        <v>6.2866686897159602E-6</v>
      </c>
      <c r="CA105" s="27">
        <f>opex_orig!BR105</f>
        <v>4.9676368070355897E-6</v>
      </c>
      <c r="CB105" s="27">
        <f>opex_orig!BS105</f>
        <v>1.1196199732864201E-5</v>
      </c>
      <c r="CC105" s="27">
        <f>opex_orig!BT105</f>
        <v>4.3521133923624599E-7</v>
      </c>
      <c r="CD105" s="27">
        <f>opex_orig!BU105</f>
        <v>4.1843232825974304E-6</v>
      </c>
      <c r="CE105" s="27">
        <f>opex_orig!BV105</f>
        <v>4.1843232825974397E-6</v>
      </c>
      <c r="CF105" s="27">
        <f>opex_orig!BW105</f>
        <v>1.57625790016914E-6</v>
      </c>
      <c r="CG105" s="27">
        <f>opex_orig!BX105</f>
        <v>1.63786029178587E-7</v>
      </c>
      <c r="CH105" s="27">
        <f>opex_orig!BY105</f>
        <v>1.60688724913883E-6</v>
      </c>
      <c r="CI105" s="27">
        <f>opex_orig!BZ105</f>
        <v>6.7499999999999997E-6</v>
      </c>
      <c r="CJ105" s="27">
        <f>opex_orig!CA105</f>
        <v>1.033391E-3</v>
      </c>
      <c r="CK105" s="27">
        <f>opex_orig!CB105</f>
        <v>7.9407000000000002E-4</v>
      </c>
      <c r="CL105" s="27">
        <f>opex_orig!CC105</f>
        <v>3.887691E-3</v>
      </c>
      <c r="CM105" s="27">
        <f>opex_orig!CD105</f>
        <v>8.8400000000000001E-6</v>
      </c>
      <c r="CN105" s="27">
        <f>opex_orig!CE105</f>
        <v>8.9400000000000005E-5</v>
      </c>
      <c r="CO105" s="27">
        <f>opex_orig!CF105</f>
        <v>3.6900000000000002E-5</v>
      </c>
      <c r="CP105" s="27">
        <f>opex_orig!CG105</f>
        <v>1.08449E-4</v>
      </c>
    </row>
    <row r="106" spans="1:94" x14ac:dyDescent="0.25">
      <c r="A106" s="1" t="s">
        <v>341</v>
      </c>
      <c r="B106" s="2" t="s">
        <v>339</v>
      </c>
      <c r="C106" s="1" t="s">
        <v>330</v>
      </c>
      <c r="D106" s="188">
        <f>opex_orig!D106</f>
        <v>1.5E-5</v>
      </c>
      <c r="E106" s="188">
        <f>opex_orig!E106</f>
        <v>2.4499999999999999E-5</v>
      </c>
      <c r="F106" s="188">
        <f>opex_orig!F106</f>
        <v>1.5099999999999999E-5</v>
      </c>
      <c r="G106" s="188">
        <f>opex_orig!G106</f>
        <v>1.72E-6</v>
      </c>
      <c r="H106" s="188">
        <f>opex_orig!H106</f>
        <v>4.4499999999999997E-6</v>
      </c>
      <c r="I106" s="188">
        <f>opex_orig!I106</f>
        <v>7.6299999999999998E-5</v>
      </c>
      <c r="J106" s="188">
        <f>opex_orig!J106</f>
        <v>3.1063800000000002E-4</v>
      </c>
      <c r="K106" s="188">
        <f>opex_orig!K106</f>
        <v>5.6500000000000001E-6</v>
      </c>
      <c r="L106" s="188">
        <f>opex_orig!L106</f>
        <v>2.9600000000000001E-5</v>
      </c>
      <c r="M106" s="188">
        <f>opex_orig!M106</f>
        <v>1.06483E-4</v>
      </c>
      <c r="N106" s="188">
        <f>opex_orig!N106</f>
        <v>4.6100000000000002E-5</v>
      </c>
      <c r="O106" s="188">
        <f>opex_orig!O106</f>
        <v>3.1099999999999997E-5</v>
      </c>
      <c r="P106" s="188">
        <f>opex_orig!P106</f>
        <v>2.4963600000000002E-4</v>
      </c>
      <c r="Q106" s="188">
        <f>opex_orig!Q106</f>
        <v>2.79609E-4</v>
      </c>
      <c r="R106" s="188">
        <f>opex_orig!R106</f>
        <v>1.26E-5</v>
      </c>
      <c r="S106" s="188">
        <f>opex_orig!S106</f>
        <v>1.21922E-4</v>
      </c>
      <c r="T106" s="188">
        <f>opex_orig!T106</f>
        <v>1.24194E-4</v>
      </c>
      <c r="U106" s="188">
        <f>opex_orig!U106</f>
        <v>3.9785200000000003E-4</v>
      </c>
      <c r="V106" s="188">
        <f>opex_orig!V106</f>
        <v>1.8934299999999999E-4</v>
      </c>
      <c r="W106" s="188">
        <f>opex_orig!W106</f>
        <v>1.0076100000000001E-4</v>
      </c>
      <c r="X106" s="188">
        <f>opex_orig!X106</f>
        <v>5.8600000000000001E-5</v>
      </c>
      <c r="Y106" s="188">
        <f>opex_orig!Y106</f>
        <v>1.69536E-4</v>
      </c>
      <c r="Z106" s="188">
        <f>opex_orig!Z106</f>
        <v>3.4743099999999999E-4</v>
      </c>
      <c r="AA106" s="188">
        <f>opex_orig!AA106</f>
        <v>6.55E-6</v>
      </c>
      <c r="AB106" s="273">
        <f>opex_concordance!M172</f>
        <v>3.2366965306455799E-6</v>
      </c>
      <c r="AC106" s="273">
        <f>opex_concordance!M217</f>
        <v>9.7797166194339905E-5</v>
      </c>
      <c r="AD106" s="273">
        <f>opex_concordance!M262</f>
        <v>8.7239047821517494E-5</v>
      </c>
      <c r="AE106" s="188">
        <f>opex_orig!$AC106</f>
        <v>3.9625853836620697E-5</v>
      </c>
      <c r="AF106" s="273">
        <f>opex_concordance!M304</f>
        <v>6.5658863174722495E-5</v>
      </c>
      <c r="AG106" s="273">
        <f>opex_concordance!M340</f>
        <v>1.619068069667376E-5</v>
      </c>
      <c r="AH106" s="273">
        <f>opex_concordance!M376</f>
        <v>1.9578698807533623E-5</v>
      </c>
      <c r="AI106" s="188">
        <f>opex_orig!AE106</f>
        <v>6.4599999999999998E-5</v>
      </c>
      <c r="AJ106" s="188">
        <f>opex_orig!AF106</f>
        <v>2.34436E-4</v>
      </c>
      <c r="AK106" s="188">
        <f>opex_orig!AG106</f>
        <v>6.6199999999999996E-5</v>
      </c>
      <c r="AL106" s="188">
        <f>opex_orig!AH106</f>
        <v>3.8000000000000002E-5</v>
      </c>
      <c r="AM106" s="188">
        <f>opex_orig!AI106</f>
        <v>1.00413E-4</v>
      </c>
      <c r="AN106" s="188">
        <f>opex_orig!AJ106</f>
        <v>2.27E-5</v>
      </c>
      <c r="AO106" s="188">
        <f>opex_orig!AK106</f>
        <v>4.8699999999999998E-5</v>
      </c>
      <c r="AP106" s="273">
        <f>opex_concordance!M414</f>
        <v>1.2517820002296901E-4</v>
      </c>
      <c r="AQ106" s="273">
        <f>opex_concordance!M468</f>
        <v>1.6644369162896431E-4</v>
      </c>
      <c r="AR106" s="273">
        <f>opex_concordance!M522</f>
        <v>3.4231350921478315E-4</v>
      </c>
      <c r="AS106" s="188">
        <f>opex_orig!$AM106</f>
        <v>5.4638240587505797E-5</v>
      </c>
      <c r="AT106" s="188">
        <f>opex_orig!AN106</f>
        <v>1.9116599999999999E-4</v>
      </c>
      <c r="AU106" s="273">
        <f>opex_concordance!M581</f>
        <v>3.9476265143633502E-5</v>
      </c>
      <c r="AV106" s="273">
        <f>opex_concordance!M627</f>
        <v>5.3883740252321855E-4</v>
      </c>
      <c r="AW106" s="273">
        <f>opex_concordance!M673</f>
        <v>4.6746235330872251E-5</v>
      </c>
      <c r="AX106" s="188">
        <f>opex_orig!$AP106</f>
        <v>1.7480100000861001E-4</v>
      </c>
      <c r="AY106" s="188">
        <f>opex_orig!AQ106</f>
        <v>2.1800000000000001E-5</v>
      </c>
      <c r="AZ106" s="188">
        <f>opex_orig!AR106</f>
        <v>0</v>
      </c>
      <c r="BA106" s="188">
        <f>opex_orig!AS106</f>
        <v>1.45618E-4</v>
      </c>
      <c r="BB106" s="188">
        <f>opex_orig!AT106</f>
        <v>9.1200000000000008E-6</v>
      </c>
      <c r="BC106" s="188">
        <f>opex_orig!AU106</f>
        <v>2.8700000000000001E-6</v>
      </c>
      <c r="BD106" s="188">
        <f>opex_orig!AV106</f>
        <v>1.5200000000000001E-6</v>
      </c>
      <c r="BE106" s="188">
        <f>opex_orig!AW106</f>
        <v>1.88E-5</v>
      </c>
      <c r="BF106" s="188">
        <f>opex_orig!AX106</f>
        <v>0</v>
      </c>
      <c r="BG106" s="188">
        <f>opex_orig!AY106</f>
        <v>4.1300000000000001E-5</v>
      </c>
      <c r="BH106" s="188">
        <f>opex_orig!AZ106</f>
        <v>0</v>
      </c>
      <c r="BI106" s="188">
        <f>opex_orig!BA106</f>
        <v>1.1199999999999999E-5</v>
      </c>
      <c r="BJ106" s="188">
        <f>opex_orig!BB106</f>
        <v>7.6100000000000007E-5</v>
      </c>
      <c r="BK106" s="188">
        <f>opex_orig!BC106</f>
        <v>1.34358E-4</v>
      </c>
      <c r="BL106" s="188">
        <f>opex_orig!BD106</f>
        <v>6.1999999999999999E-6</v>
      </c>
      <c r="BM106" s="188">
        <f>opex_orig!BE106</f>
        <v>7.8200000000000003E-5</v>
      </c>
      <c r="BN106" s="188">
        <f>opex_orig!BF106</f>
        <v>2.0400000000000001E-5</v>
      </c>
      <c r="BO106" s="188">
        <f>opex_orig!BG106</f>
        <v>2.0661200000000001E-4</v>
      </c>
      <c r="BP106" s="188">
        <f>opex_orig!$BH106</f>
        <v>2.4905623271607702E-5</v>
      </c>
      <c r="BQ106" s="188">
        <f>opex_orig!$BH106</f>
        <v>2.4905623271607702E-5</v>
      </c>
      <c r="BR106" s="188">
        <f>opex_orig!BI106</f>
        <v>4.7800000000000003E-5</v>
      </c>
      <c r="BS106" s="188">
        <f>opex_orig!BJ106</f>
        <v>9.8900000000000005E-5</v>
      </c>
      <c r="BT106" s="188">
        <f>opex_orig!BK106</f>
        <v>2.3799999999999999E-5</v>
      </c>
      <c r="BU106" s="188">
        <f>opex_orig!BL106</f>
        <v>0</v>
      </c>
      <c r="BV106" s="27">
        <f>opex_orig!BM106</f>
        <v>4.0866358473783604E-6</v>
      </c>
      <c r="BW106" s="27">
        <f>opex_orig!BN106</f>
        <v>6.0304705138217297E-6</v>
      </c>
      <c r="BX106" s="27">
        <f>opex_orig!BO106</f>
        <v>1.3680766769776799E-6</v>
      </c>
      <c r="BY106" s="27">
        <f>opex_orig!BP106</f>
        <v>2.2999022576593502E-6</v>
      </c>
      <c r="BZ106" s="27">
        <f>opex_orig!BQ106</f>
        <v>2.7916364135244501E-6</v>
      </c>
      <c r="CA106" s="27">
        <f>opex_orig!BR106</f>
        <v>1.2677775618125299E-5</v>
      </c>
      <c r="CB106" s="27">
        <f>opex_orig!BS106</f>
        <v>5.7370339799257003E-6</v>
      </c>
      <c r="CC106" s="27">
        <f>opex_orig!BT106</f>
        <v>5.5174522588964505E-7</v>
      </c>
      <c r="CD106" s="27">
        <f>opex_orig!BU106</f>
        <v>2.30784782207681E-6</v>
      </c>
      <c r="CE106" s="27">
        <f>opex_orig!BV106</f>
        <v>2.3078478220768202E-6</v>
      </c>
      <c r="CF106" s="27">
        <f>opex_orig!BW106</f>
        <v>2.4899076663526301E-6</v>
      </c>
      <c r="CG106" s="27">
        <f>opex_orig!BX106</f>
        <v>6.84749441285248E-8</v>
      </c>
      <c r="CH106" s="27">
        <f>opex_orig!BY106</f>
        <v>8.0589234711712495E-8</v>
      </c>
      <c r="CI106" s="27">
        <f>opex_orig!BZ106</f>
        <v>3.5700000000000001E-6</v>
      </c>
      <c r="CJ106" s="27">
        <f>opex_orig!CA106</f>
        <v>5.4651299999999999E-4</v>
      </c>
      <c r="CK106" s="27">
        <f>opex_orig!CB106</f>
        <v>4.2002199999999998E-4</v>
      </c>
      <c r="CL106" s="27">
        <f>opex_orig!CC106</f>
        <v>2.0558180000000001E-3</v>
      </c>
      <c r="CM106" s="27">
        <f>opex_orig!CD106</f>
        <v>5.5799999999999999E-6</v>
      </c>
      <c r="CN106" s="27">
        <f>opex_orig!CE106</f>
        <v>4.7200000000000002E-5</v>
      </c>
      <c r="CO106" s="27">
        <f>opex_orig!CF106</f>
        <v>1.9599999999999999E-5</v>
      </c>
      <c r="CP106" s="27">
        <f>opex_orig!CG106</f>
        <v>5.7099999999999999E-5</v>
      </c>
    </row>
    <row r="107" spans="1:94" x14ac:dyDescent="0.25">
      <c r="A107" s="5" t="s">
        <v>14</v>
      </c>
      <c r="B107" s="2" t="s">
        <v>15</v>
      </c>
      <c r="C107" s="1" t="s">
        <v>330</v>
      </c>
      <c r="D107" s="188">
        <f>opex_orig!D107</f>
        <v>7.8199999999999999E-9</v>
      </c>
      <c r="E107" s="188">
        <f>opex_orig!E107</f>
        <v>1.0999999999999999E-9</v>
      </c>
      <c r="F107" s="188">
        <f>opex_orig!F107</f>
        <v>5.9000000000000003E-10</v>
      </c>
      <c r="G107" s="188">
        <f>opex_orig!G107</f>
        <v>1.5E-10</v>
      </c>
      <c r="H107" s="188">
        <f>opex_orig!H107</f>
        <v>2.4599999999999998E-10</v>
      </c>
      <c r="I107" s="188">
        <f>opex_orig!I107</f>
        <v>1.62E-9</v>
      </c>
      <c r="J107" s="188">
        <f>opex_orig!J107</f>
        <v>4.9E-9</v>
      </c>
      <c r="K107" s="188">
        <f>opex_orig!K107</f>
        <v>4.6900000000000003E-10</v>
      </c>
      <c r="L107" s="188">
        <f>opex_orig!L107</f>
        <v>1.08E-9</v>
      </c>
      <c r="M107" s="188">
        <f>opex_orig!M107</f>
        <v>2.6299999999999998E-9</v>
      </c>
      <c r="N107" s="188">
        <f>opex_orig!N107</f>
        <v>1.5300000000000001E-9</v>
      </c>
      <c r="O107" s="188">
        <f>opex_orig!O107</f>
        <v>2.9499999999999999E-9</v>
      </c>
      <c r="P107" s="188">
        <f>opex_orig!P107</f>
        <v>2.4699999999999999E-9</v>
      </c>
      <c r="Q107" s="188">
        <f>opex_orig!Q107</f>
        <v>2.3600000000000001E-10</v>
      </c>
      <c r="R107" s="188">
        <f>opex_orig!R107</f>
        <v>1.37E-9</v>
      </c>
      <c r="S107" s="188">
        <f>opex_orig!S107</f>
        <v>1.15E-9</v>
      </c>
      <c r="T107" s="188">
        <f>opex_orig!T107</f>
        <v>1.4800000000000001E-9</v>
      </c>
      <c r="U107" s="188">
        <f>opex_orig!U107</f>
        <v>4.0899999999999997E-9</v>
      </c>
      <c r="V107" s="188">
        <f>opex_orig!V107</f>
        <v>5.8699999999999998E-9</v>
      </c>
      <c r="W107" s="188">
        <f>opex_orig!W107</f>
        <v>1.1599999999999999E-9</v>
      </c>
      <c r="X107" s="188">
        <f>opex_orig!X107</f>
        <v>8.7399999999999998E-10</v>
      </c>
      <c r="Y107" s="188">
        <f>opex_orig!Y107</f>
        <v>4.9600000000000004E-10</v>
      </c>
      <c r="Z107" s="188">
        <f>opex_orig!Z107</f>
        <v>2.8699999999999998E-9</v>
      </c>
      <c r="AA107" s="188">
        <f>opex_orig!AA107</f>
        <v>2.9600000000000001E-9</v>
      </c>
      <c r="AB107" s="273">
        <f>opex_concordance!M173</f>
        <v>1.51912372898467E-9</v>
      </c>
      <c r="AC107" s="273">
        <f>opex_concordance!M218</f>
        <v>4.5900502066422248E-8</v>
      </c>
      <c r="AD107" s="273">
        <f>opex_concordance!M263</f>
        <v>4.0945113755617446E-8</v>
      </c>
      <c r="AE107" s="188">
        <f>opex_orig!$AC107</f>
        <v>2.1970401333417899E-9</v>
      </c>
      <c r="AF107" s="273">
        <f>opex_concordance!M305</f>
        <v>1.9287146365628901E-9</v>
      </c>
      <c r="AG107" s="273">
        <f>opex_concordance!M341</f>
        <v>4.7559767753659275E-10</v>
      </c>
      <c r="AH107" s="273">
        <f>opex_concordance!M377</f>
        <v>5.751199629280834E-10</v>
      </c>
      <c r="AI107" s="188">
        <f>opex_orig!AE107</f>
        <v>1.8199999999999999E-9</v>
      </c>
      <c r="AJ107" s="188">
        <f>opex_orig!AF107</f>
        <v>4.0300000000000004E-9</v>
      </c>
      <c r="AK107" s="188">
        <f>opex_orig!AG107</f>
        <v>2.0099999999999999E-9</v>
      </c>
      <c r="AL107" s="188">
        <f>opex_orig!AH107</f>
        <v>8.67E-10</v>
      </c>
      <c r="AM107" s="188">
        <f>opex_orig!AI107</f>
        <v>1.79E-9</v>
      </c>
      <c r="AN107" s="188">
        <f>opex_orig!AJ107</f>
        <v>4.7400000000000002E-10</v>
      </c>
      <c r="AO107" s="188">
        <f>opex_orig!AK107</f>
        <v>1.0399999999999999E-9</v>
      </c>
      <c r="AP107" s="273">
        <f>opex_concordance!M415</f>
        <v>8.8864751107379086E-10</v>
      </c>
      <c r="AQ107" s="273">
        <f>opex_concordance!M469</f>
        <v>1.1815936982068176E-9</v>
      </c>
      <c r="AR107" s="273">
        <f>opex_concordance!M523</f>
        <v>2.4301040270177646E-9</v>
      </c>
      <c r="AS107" s="188">
        <f>opex_orig!$AM107</f>
        <v>9.6369735256330706E-10</v>
      </c>
      <c r="AT107" s="188">
        <f>opex_orig!AN107</f>
        <v>9.8100000000000002E-10</v>
      </c>
      <c r="AU107" s="273">
        <f>opex_concordance!M582</f>
        <v>1.91337258228685E-10</v>
      </c>
      <c r="AV107" s="273">
        <f>opex_concordance!M628</f>
        <v>2.6116875761861751E-9</v>
      </c>
      <c r="AW107" s="273">
        <f>opex_concordance!M674</f>
        <v>2.2657403045040758E-10</v>
      </c>
      <c r="AX107" s="188">
        <f>opex_orig!$AP107</f>
        <v>2.7597077293991601E-10</v>
      </c>
      <c r="AY107" s="188">
        <f>opex_orig!AQ107</f>
        <v>3.1100000000000001E-10</v>
      </c>
      <c r="AZ107" s="188">
        <f>opex_orig!AR107</f>
        <v>0</v>
      </c>
      <c r="BA107" s="188">
        <f>opex_orig!AS107</f>
        <v>3.5700000000000001E-10</v>
      </c>
      <c r="BB107" s="188">
        <f>opex_orig!AT107</f>
        <v>3.4799999999999999E-10</v>
      </c>
      <c r="BC107" s="188">
        <f>opex_orig!AU107</f>
        <v>2.6800000000000001E-10</v>
      </c>
      <c r="BD107" s="188">
        <f>opex_orig!AV107</f>
        <v>2.7099999999999999E-10</v>
      </c>
      <c r="BE107" s="188">
        <f>opex_orig!AW107</f>
        <v>2.32E-10</v>
      </c>
      <c r="BF107" s="188">
        <f>opex_orig!AX107</f>
        <v>0</v>
      </c>
      <c r="BG107" s="188">
        <f>opex_orig!AY107</f>
        <v>4.8999999999999996E-10</v>
      </c>
      <c r="BH107" s="188">
        <f>opex_orig!AZ107</f>
        <v>0</v>
      </c>
      <c r="BI107" s="188">
        <f>opex_orig!BA107</f>
        <v>2.18E-10</v>
      </c>
      <c r="BJ107" s="188">
        <f>opex_orig!BB107</f>
        <v>1.87E-9</v>
      </c>
      <c r="BK107" s="188">
        <f>opex_orig!BC107</f>
        <v>1.2100000000000001E-8</v>
      </c>
      <c r="BL107" s="188">
        <f>opex_orig!BD107</f>
        <v>1.51E-8</v>
      </c>
      <c r="BM107" s="188">
        <f>opex_orig!BE107</f>
        <v>1.8299999999999998E-8</v>
      </c>
      <c r="BN107" s="188">
        <f>opex_orig!BF107</f>
        <v>2.2699999999999998E-9</v>
      </c>
      <c r="BO107" s="188">
        <f>opex_orig!BG107</f>
        <v>1.9599999999999998E-9</v>
      </c>
      <c r="BP107" s="188">
        <f>opex_orig!$BH107</f>
        <v>7.5692860948222299E-9</v>
      </c>
      <c r="BQ107" s="188">
        <f>opex_orig!$BH107</f>
        <v>7.5692860948222299E-9</v>
      </c>
      <c r="BR107" s="188">
        <f>opex_orig!BI107</f>
        <v>3.84E-9</v>
      </c>
      <c r="BS107" s="188">
        <f>opex_orig!BJ107</f>
        <v>1.2E-9</v>
      </c>
      <c r="BT107" s="188">
        <f>opex_orig!BK107</f>
        <v>2.3400000000000002E-10</v>
      </c>
      <c r="BU107" s="188">
        <f>opex_orig!BL107</f>
        <v>0</v>
      </c>
      <c r="BV107" s="27">
        <f>opex_orig!BM107</f>
        <v>4.8692393645159699E-9</v>
      </c>
      <c r="BW107" s="27">
        <f>opex_orig!BN107</f>
        <v>1.22609455796522E-8</v>
      </c>
      <c r="BX107" s="27">
        <f>opex_orig!BO107</f>
        <v>1.82969134166997E-9</v>
      </c>
      <c r="BY107" s="27">
        <f>opex_orig!BP107</f>
        <v>2.27318835464568E-9</v>
      </c>
      <c r="BZ107" s="27">
        <f>opex_orig!BQ107</f>
        <v>2.2417184298853799E-9</v>
      </c>
      <c r="CA107" s="27">
        <f>opex_orig!BR107</f>
        <v>2.39072984269333E-9</v>
      </c>
      <c r="CB107" s="27">
        <f>opex_orig!BS107</f>
        <v>6.5884949058357697E-9</v>
      </c>
      <c r="CC107" s="27">
        <f>opex_orig!BT107</f>
        <v>2.0923102705572401E-9</v>
      </c>
      <c r="CD107" s="27">
        <f>opex_orig!BU107</f>
        <v>2.4067358790456902E-9</v>
      </c>
      <c r="CE107" s="27">
        <f>opex_orig!BV107</f>
        <v>2.4067358790457001E-9</v>
      </c>
      <c r="CF107" s="27">
        <f>opex_orig!BW107</f>
        <v>5.7112957158898599E-7</v>
      </c>
      <c r="CG107" s="27">
        <f>opex_orig!BX107</f>
        <v>7.0842074222433996E-10</v>
      </c>
      <c r="CH107" s="27">
        <f>opex_orig!BY107</f>
        <v>2.3971334822999999E-10</v>
      </c>
      <c r="CI107" s="27">
        <f>opex_orig!BZ107</f>
        <v>5.0700000000000001E-9</v>
      </c>
      <c r="CJ107" s="27">
        <f>opex_orig!CA107</f>
        <v>2.8299999999999999E-9</v>
      </c>
      <c r="CK107" s="27">
        <f>opex_orig!CB107</f>
        <v>3.2700000000000001E-9</v>
      </c>
      <c r="CL107" s="27">
        <f>opex_orig!CC107</f>
        <v>1.99E-9</v>
      </c>
      <c r="CM107" s="27">
        <f>opex_orig!CD107</f>
        <v>1.5300000000000001E-8</v>
      </c>
      <c r="CN107" s="27">
        <f>opex_orig!CE107</f>
        <v>2.6200000000000001E-9</v>
      </c>
      <c r="CO107" s="27">
        <f>opex_orig!CF107</f>
        <v>8.1699999999999997E-9</v>
      </c>
      <c r="CP107" s="27">
        <f>opex_orig!CG107</f>
        <v>8.1299999999999998E-10</v>
      </c>
    </row>
    <row r="108" spans="1:94" x14ac:dyDescent="0.25">
      <c r="A108" s="5" t="s">
        <v>16</v>
      </c>
      <c r="B108" s="2" t="s">
        <v>17</v>
      </c>
      <c r="C108" s="1" t="s">
        <v>330</v>
      </c>
      <c r="D108" s="188">
        <f>opex_orig!D108</f>
        <v>5.17E-11</v>
      </c>
      <c r="E108" s="188">
        <f>opex_orig!E108</f>
        <v>6.4199999999999995E-11</v>
      </c>
      <c r="F108" s="188">
        <f>opex_orig!F108</f>
        <v>1.7199999999999999E-11</v>
      </c>
      <c r="G108" s="188">
        <f>opex_orig!G108</f>
        <v>9.6199999999999998E-12</v>
      </c>
      <c r="H108" s="188">
        <f>opex_orig!H108</f>
        <v>1.1300000000000001E-11</v>
      </c>
      <c r="I108" s="188">
        <f>opex_orig!I108</f>
        <v>1.5100000000000001E-11</v>
      </c>
      <c r="J108" s="188">
        <f>opex_orig!J108</f>
        <v>6.6099999999999997E-11</v>
      </c>
      <c r="K108" s="188">
        <f>opex_orig!K108</f>
        <v>2.92E-11</v>
      </c>
      <c r="L108" s="188">
        <f>opex_orig!L108</f>
        <v>1.1100000000000001E-11</v>
      </c>
      <c r="M108" s="188">
        <f>opex_orig!M108</f>
        <v>3.0499999999999998E-11</v>
      </c>
      <c r="N108" s="188">
        <f>opex_orig!N108</f>
        <v>3.6399999999999998E-10</v>
      </c>
      <c r="O108" s="188">
        <f>opex_orig!O108</f>
        <v>8.3999999999999994E-11</v>
      </c>
      <c r="P108" s="188">
        <f>opex_orig!P108</f>
        <v>1.8900000000000001E-11</v>
      </c>
      <c r="Q108" s="188">
        <f>opex_orig!Q108</f>
        <v>7.2299999999999997E-12</v>
      </c>
      <c r="R108" s="188">
        <f>opex_orig!R108</f>
        <v>1.1200000000000001E-11</v>
      </c>
      <c r="S108" s="188">
        <f>opex_orig!S108</f>
        <v>1.7300000000000001E-11</v>
      </c>
      <c r="T108" s="188">
        <f>opex_orig!T108</f>
        <v>5.21E-11</v>
      </c>
      <c r="U108" s="188">
        <f>opex_orig!U108</f>
        <v>9.3199999999999999E-11</v>
      </c>
      <c r="V108" s="188">
        <f>opex_orig!V108</f>
        <v>2.17E-10</v>
      </c>
      <c r="W108" s="188">
        <f>opex_orig!W108</f>
        <v>2.4200000000000001E-11</v>
      </c>
      <c r="X108" s="188">
        <f>opex_orig!X108</f>
        <v>1.7500000000000001E-11</v>
      </c>
      <c r="Y108" s="188">
        <f>opex_orig!Y108</f>
        <v>2.17E-11</v>
      </c>
      <c r="Z108" s="188">
        <f>opex_orig!Z108</f>
        <v>2.3000000000000001E-11</v>
      </c>
      <c r="AA108" s="188">
        <f>opex_orig!AA108</f>
        <v>9.0999999999999996E-11</v>
      </c>
      <c r="AB108" s="273">
        <f>opex_concordance!M174</f>
        <v>9.9952413843299992E-10</v>
      </c>
      <c r="AC108" s="273">
        <f>opex_concordance!M219</f>
        <v>3.0200739351393411E-8</v>
      </c>
      <c r="AD108" s="273">
        <f>opex_concordance!M264</f>
        <v>2.6940287198974889E-8</v>
      </c>
      <c r="AE108" s="188">
        <f>opex_orig!$AC108</f>
        <v>1.19199716888E-9</v>
      </c>
      <c r="AF108" s="273">
        <f>opex_concordance!M306</f>
        <v>3.1313078810900002E-10</v>
      </c>
      <c r="AG108" s="273">
        <f>opex_concordance!M342</f>
        <v>7.7214261128456634E-11</v>
      </c>
      <c r="AH108" s="273">
        <f>opex_concordance!M378</f>
        <v>9.3371908853151627E-11</v>
      </c>
      <c r="AI108" s="188">
        <f>opex_orig!AE108</f>
        <v>1.88E-10</v>
      </c>
      <c r="AJ108" s="188">
        <f>opex_orig!AF108</f>
        <v>1.37E-11</v>
      </c>
      <c r="AK108" s="188">
        <f>opex_orig!AG108</f>
        <v>5.88E-12</v>
      </c>
      <c r="AL108" s="188">
        <f>opex_orig!AH108</f>
        <v>2.1399999999999998E-11</v>
      </c>
      <c r="AM108" s="188">
        <f>opex_orig!AI108</f>
        <v>5.1500000000000003E-11</v>
      </c>
      <c r="AN108" s="188">
        <f>opex_orig!AJ108</f>
        <v>5.2400000000000001E-11</v>
      </c>
      <c r="AO108" s="188">
        <f>opex_orig!AK108</f>
        <v>8.8200000000000003E-11</v>
      </c>
      <c r="AP108" s="273">
        <f>opex_concordance!M416</f>
        <v>5.5549515684600003E-11</v>
      </c>
      <c r="AQ108" s="273">
        <f>opex_concordance!M470</f>
        <v>7.3861634510236994E-11</v>
      </c>
      <c r="AR108" s="273">
        <f>opex_concordance!M524</f>
        <v>1.5190623963028645E-10</v>
      </c>
      <c r="AS108" s="188">
        <f>opex_orig!$AM108</f>
        <v>7.9924600161099899E-11</v>
      </c>
      <c r="AT108" s="188">
        <f>opex_orig!AN108</f>
        <v>5.1600000000000001E-11</v>
      </c>
      <c r="AU108" s="273">
        <f>opex_concordance!M583</f>
        <v>2.1652850795599999E-11</v>
      </c>
      <c r="AV108" s="273">
        <f>opex_concordance!M629</f>
        <v>2.9555394456574003E-10</v>
      </c>
      <c r="AW108" s="273">
        <f>opex_concordance!M675</f>
        <v>2.5640451425497174E-11</v>
      </c>
      <c r="AX108" s="188">
        <f>opex_orig!$AP108</f>
        <v>8.1055261112500105E-11</v>
      </c>
      <c r="AY108" s="188">
        <f>opex_orig!AQ108</f>
        <v>1.06E-10</v>
      </c>
      <c r="AZ108" s="188">
        <f>opex_orig!AR108</f>
        <v>0</v>
      </c>
      <c r="BA108" s="188">
        <f>opex_orig!AS108</f>
        <v>7.8000000000000002E-11</v>
      </c>
      <c r="BB108" s="188">
        <f>opex_orig!AT108</f>
        <v>3.5199999999999999E-11</v>
      </c>
      <c r="BC108" s="188">
        <f>opex_orig!AU108</f>
        <v>1.34E-10</v>
      </c>
      <c r="BD108" s="188">
        <f>opex_orig!AV108</f>
        <v>6.6300000000000006E-11</v>
      </c>
      <c r="BE108" s="188">
        <f>opex_orig!AW108</f>
        <v>8.9399999999999996E-11</v>
      </c>
      <c r="BF108" s="188">
        <f>opex_orig!AX108</f>
        <v>0</v>
      </c>
      <c r="BG108" s="188">
        <f>opex_orig!AY108</f>
        <v>5.5200000000000001E-11</v>
      </c>
      <c r="BH108" s="188">
        <f>opex_orig!AZ108</f>
        <v>0</v>
      </c>
      <c r="BI108" s="188">
        <f>opex_orig!BA108</f>
        <v>1.7700000000000001E-11</v>
      </c>
      <c r="BJ108" s="188">
        <f>opex_orig!BB108</f>
        <v>4.9400000000000004E-12</v>
      </c>
      <c r="BK108" s="188">
        <f>opex_orig!BC108</f>
        <v>6.03E-12</v>
      </c>
      <c r="BL108" s="188">
        <f>opex_orig!BD108</f>
        <v>2.9500000000000002E-11</v>
      </c>
      <c r="BM108" s="188">
        <f>opex_orig!BE108</f>
        <v>6.2699999999999997E-12</v>
      </c>
      <c r="BN108" s="188">
        <f>opex_orig!BF108</f>
        <v>5.6400000000000002E-12</v>
      </c>
      <c r="BO108" s="188">
        <f>opex_orig!BG108</f>
        <v>2.1399999999999998E-11</v>
      </c>
      <c r="BP108" s="188">
        <f>opex_orig!$BH108</f>
        <v>4.16621556622001E-12</v>
      </c>
      <c r="BQ108" s="188">
        <f>opex_orig!$BH108</f>
        <v>4.16621556622001E-12</v>
      </c>
      <c r="BR108" s="188">
        <f>opex_orig!BI108</f>
        <v>1.8399999999999999E-11</v>
      </c>
      <c r="BS108" s="188">
        <f>opex_orig!BJ108</f>
        <v>1.2100000000000001E-11</v>
      </c>
      <c r="BT108" s="188">
        <f>opex_orig!BK108</f>
        <v>3.83E-11</v>
      </c>
      <c r="BU108" s="188">
        <f>opex_orig!BL108</f>
        <v>0</v>
      </c>
      <c r="BV108" s="27">
        <f>opex_orig!BM108</f>
        <v>1.9716718901899999E-11</v>
      </c>
      <c r="BW108" s="27">
        <f>opex_orig!BN108</f>
        <v>4.1727841845300002E-10</v>
      </c>
      <c r="BX108" s="27">
        <f>opex_orig!BO108</f>
        <v>3.0198870579599998E-11</v>
      </c>
      <c r="BY108" s="27">
        <f>opex_orig!BP108</f>
        <v>3.9571996026199998E-10</v>
      </c>
      <c r="BZ108" s="27">
        <f>opex_orig!BQ108</f>
        <v>1.4036476238700001E-10</v>
      </c>
      <c r="CA108" s="27">
        <f>opex_orig!BR108</f>
        <v>7.8746353926700099E-12</v>
      </c>
      <c r="CB108" s="27">
        <f>opex_orig!BS108</f>
        <v>2.8371055136199999E-10</v>
      </c>
      <c r="CC108" s="27">
        <f>opex_orig!BT108</f>
        <v>1.1285629620000001E-11</v>
      </c>
      <c r="CD108" s="27">
        <f>opex_orig!BU108</f>
        <v>3.7688175598400003E-12</v>
      </c>
      <c r="CE108" s="27">
        <f>opex_orig!BV108</f>
        <v>3.76881755984001E-12</v>
      </c>
      <c r="CF108" s="27">
        <f>opex_orig!BW108</f>
        <v>1.4882192841399999E-11</v>
      </c>
      <c r="CG108" s="27">
        <f>opex_orig!BX108</f>
        <v>4.9783048631700004E-13</v>
      </c>
      <c r="CH108" s="27">
        <f>opex_orig!BY108</f>
        <v>2.33142580246E-9</v>
      </c>
      <c r="CI108" s="27">
        <f>opex_orig!BZ108</f>
        <v>2.1400000000000001E-10</v>
      </c>
      <c r="CJ108" s="27">
        <f>opex_orig!CA108</f>
        <v>5.25E-11</v>
      </c>
      <c r="CK108" s="27">
        <f>opex_orig!CB108</f>
        <v>1.97E-11</v>
      </c>
      <c r="CL108" s="27">
        <f>opex_orig!CC108</f>
        <v>2.9100000000000002E-11</v>
      </c>
      <c r="CM108" s="27">
        <f>opex_orig!CD108</f>
        <v>8.2999999999999998E-11</v>
      </c>
      <c r="CN108" s="27">
        <f>opex_orig!CE108</f>
        <v>6.8199999999999995E-11</v>
      </c>
      <c r="CO108" s="27">
        <f>opex_orig!CF108</f>
        <v>9.5099999999999997E-12</v>
      </c>
      <c r="CP108" s="27">
        <f>opex_orig!CG108</f>
        <v>2.2799999999999999E-10</v>
      </c>
    </row>
    <row r="109" spans="1:94" x14ac:dyDescent="0.25">
      <c r="A109" s="5" t="s">
        <v>18</v>
      </c>
      <c r="B109" s="2" t="s">
        <v>19</v>
      </c>
      <c r="C109" s="1" t="s">
        <v>330</v>
      </c>
      <c r="D109" s="188">
        <f>opex_orig!D109</f>
        <v>8.0099999999999996E-8</v>
      </c>
      <c r="E109" s="188">
        <f>opex_orig!E109</f>
        <v>2.3499999999999999E-8</v>
      </c>
      <c r="F109" s="188">
        <f>opex_orig!F109</f>
        <v>1.9000000000000001E-8</v>
      </c>
      <c r="G109" s="188">
        <f>opex_orig!G109</f>
        <v>2.76E-9</v>
      </c>
      <c r="H109" s="188">
        <f>opex_orig!H109</f>
        <v>5.1799999999999999E-9</v>
      </c>
      <c r="I109" s="188">
        <f>opex_orig!I109</f>
        <v>3.2700000000000002E-8</v>
      </c>
      <c r="J109" s="188">
        <f>opex_orig!J109</f>
        <v>3.8500000000000001E-8</v>
      </c>
      <c r="K109" s="188">
        <f>opex_orig!K109</f>
        <v>6.82E-9</v>
      </c>
      <c r="L109" s="188">
        <f>opex_orig!L109</f>
        <v>5.32E-8</v>
      </c>
      <c r="M109" s="188">
        <f>opex_orig!M109</f>
        <v>1.8300000000000001E-7</v>
      </c>
      <c r="N109" s="188">
        <f>opex_orig!N109</f>
        <v>1.1300000000000001E-7</v>
      </c>
      <c r="O109" s="188">
        <f>opex_orig!O109</f>
        <v>5.4599999999999999E-8</v>
      </c>
      <c r="P109" s="188">
        <f>opex_orig!P109</f>
        <v>1.8E-7</v>
      </c>
      <c r="Q109" s="188">
        <f>opex_orig!Q109</f>
        <v>1.1300000000000001E-7</v>
      </c>
      <c r="R109" s="188">
        <f>opex_orig!R109</f>
        <v>1.4000000000000001E-7</v>
      </c>
      <c r="S109" s="188">
        <f>opex_orig!S109</f>
        <v>8.5300000000000003E-8</v>
      </c>
      <c r="T109" s="188">
        <f>opex_orig!T109</f>
        <v>9.0800000000000006E-8</v>
      </c>
      <c r="U109" s="188">
        <f>opex_orig!U109</f>
        <v>1.2200000000000001E-7</v>
      </c>
      <c r="V109" s="188">
        <f>opex_orig!V109</f>
        <v>1.54E-7</v>
      </c>
      <c r="W109" s="188">
        <f>opex_orig!W109</f>
        <v>1.11E-7</v>
      </c>
      <c r="X109" s="188">
        <f>opex_orig!X109</f>
        <v>2.6300000000000001E-8</v>
      </c>
      <c r="Y109" s="188">
        <f>opex_orig!Y109</f>
        <v>1.59E-8</v>
      </c>
      <c r="Z109" s="188">
        <f>opex_orig!Z109</f>
        <v>6.9899999999999997E-8</v>
      </c>
      <c r="AA109" s="188">
        <f>opex_orig!AA109</f>
        <v>8.0200000000000003E-8</v>
      </c>
      <c r="AB109" s="273">
        <f>opex_concordance!M175</f>
        <v>1.11890862601421E-7</v>
      </c>
      <c r="AC109" s="273">
        <f>opex_concordance!M220</f>
        <v>3.3807955679047388E-6</v>
      </c>
      <c r="AD109" s="273">
        <f>opex_concordance!M265</f>
        <v>3.0158070801062296E-6</v>
      </c>
      <c r="AE109" s="188">
        <f>opex_orig!$AC109</f>
        <v>1.55986072982575E-7</v>
      </c>
      <c r="AF109" s="273">
        <f>opex_concordance!M307</f>
        <v>5.5313346936039598E-8</v>
      </c>
      <c r="AG109" s="273">
        <f>opex_concordance!M343</f>
        <v>1.3639601650162746E-8</v>
      </c>
      <c r="AH109" s="273">
        <f>opex_concordance!M379</f>
        <v>1.6493787850324127E-8</v>
      </c>
      <c r="AI109" s="188">
        <f>opex_orig!AE109</f>
        <v>4.3900000000000003E-8</v>
      </c>
      <c r="AJ109" s="188">
        <f>opex_orig!AF109</f>
        <v>3.9200000000000002E-7</v>
      </c>
      <c r="AK109" s="188">
        <f>opex_orig!AG109</f>
        <v>2.4900000000000002E-7</v>
      </c>
      <c r="AL109" s="188">
        <f>opex_orig!AH109</f>
        <v>1.29E-7</v>
      </c>
      <c r="AM109" s="188">
        <f>opex_orig!AI109</f>
        <v>2.1E-7</v>
      </c>
      <c r="AN109" s="188">
        <f>opex_orig!AJ109</f>
        <v>1.2800000000000001E-7</v>
      </c>
      <c r="AO109" s="188">
        <f>opex_orig!AK109</f>
        <v>1.48E-7</v>
      </c>
      <c r="AP109" s="273">
        <f>opex_concordance!M417</f>
        <v>1.01749429181875E-7</v>
      </c>
      <c r="AQ109" s="273">
        <f>opex_concordance!M471</f>
        <v>1.3529153327866698E-7</v>
      </c>
      <c r="AR109" s="273">
        <f>opex_concordance!M525</f>
        <v>2.7824496723437211E-7</v>
      </c>
      <c r="AS109" s="188">
        <f>opex_orig!$AM109</f>
        <v>1.08724494505503E-7</v>
      </c>
      <c r="AT109" s="188">
        <f>opex_orig!AN109</f>
        <v>1.5099999999999999E-7</v>
      </c>
      <c r="AU109" s="273">
        <f>opex_concordance!M584</f>
        <v>6.7931192020269998E-8</v>
      </c>
      <c r="AV109" s="273">
        <f>opex_concordance!M630</f>
        <v>9.272373393310116E-7</v>
      </c>
      <c r="AW109" s="273">
        <f>opex_concordance!M676</f>
        <v>8.0441436821141194E-8</v>
      </c>
      <c r="AX109" s="188">
        <f>opex_orig!$AP109</f>
        <v>8.1165344025774196E-8</v>
      </c>
      <c r="AY109" s="188">
        <f>opex_orig!AQ109</f>
        <v>8.8300000000000003E-8</v>
      </c>
      <c r="AZ109" s="188">
        <f>opex_orig!AR109</f>
        <v>0</v>
      </c>
      <c r="BA109" s="188">
        <f>opex_orig!AS109</f>
        <v>8.5899999999999995E-8</v>
      </c>
      <c r="BB109" s="188">
        <f>opex_orig!AT109</f>
        <v>8.0299999999999998E-8</v>
      </c>
      <c r="BC109" s="188">
        <f>opex_orig!AU109</f>
        <v>2.96E-8</v>
      </c>
      <c r="BD109" s="188">
        <f>opex_orig!AV109</f>
        <v>2.77E-8</v>
      </c>
      <c r="BE109" s="188">
        <f>opex_orig!AW109</f>
        <v>4.1099999999999997E-8</v>
      </c>
      <c r="BF109" s="188">
        <f>opex_orig!AX109</f>
        <v>0</v>
      </c>
      <c r="BG109" s="188">
        <f>opex_orig!AY109</f>
        <v>5.5000000000000003E-8</v>
      </c>
      <c r="BH109" s="188">
        <f>opex_orig!AZ109</f>
        <v>0</v>
      </c>
      <c r="BI109" s="188">
        <f>opex_orig!BA109</f>
        <v>1.05E-7</v>
      </c>
      <c r="BJ109" s="188">
        <f>opex_orig!BB109</f>
        <v>2.84E-7</v>
      </c>
      <c r="BK109" s="188">
        <f>opex_orig!BC109</f>
        <v>1.22E-6</v>
      </c>
      <c r="BL109" s="188">
        <f>opex_orig!BD109</f>
        <v>1.66E-6</v>
      </c>
      <c r="BM109" s="188">
        <f>opex_orig!BE109</f>
        <v>1.9E-6</v>
      </c>
      <c r="BN109" s="188">
        <f>opex_orig!BF109</f>
        <v>3.3700000000000001E-7</v>
      </c>
      <c r="BO109" s="188">
        <f>opex_orig!BG109</f>
        <v>2.41E-7</v>
      </c>
      <c r="BP109" s="188">
        <f>opex_orig!$BH109</f>
        <v>9.1657257804976497E-7</v>
      </c>
      <c r="BQ109" s="188">
        <f>opex_orig!$BH109</f>
        <v>9.1657257804976497E-7</v>
      </c>
      <c r="BR109" s="188">
        <f>opex_orig!BI109</f>
        <v>4.7999999999999996E-7</v>
      </c>
      <c r="BS109" s="188">
        <f>opex_orig!BJ109</f>
        <v>4.3300000000000003E-7</v>
      </c>
      <c r="BT109" s="188">
        <f>opex_orig!BK109</f>
        <v>2.3800000000000001E-8</v>
      </c>
      <c r="BU109" s="188">
        <f>opex_orig!BL109</f>
        <v>0</v>
      </c>
      <c r="BV109" s="27">
        <f>opex_orig!BM109</f>
        <v>3.1697177889978902E-7</v>
      </c>
      <c r="BW109" s="27">
        <f>opex_orig!BN109</f>
        <v>1.12652743857778E-6</v>
      </c>
      <c r="BX109" s="27">
        <f>opex_orig!BO109</f>
        <v>1.2218494877673401E-7</v>
      </c>
      <c r="BY109" s="27">
        <f>opex_orig!BP109</f>
        <v>1.2746094004728601E-7</v>
      </c>
      <c r="BZ109" s="27">
        <f>opex_orig!BQ109</f>
        <v>1.8885193587374199E-7</v>
      </c>
      <c r="CA109" s="27">
        <f>opex_orig!BR109</f>
        <v>2.6386051629361E-7</v>
      </c>
      <c r="CB109" s="27">
        <f>opex_orig!BS109</f>
        <v>5.4827016606244495E-7</v>
      </c>
      <c r="CC109" s="27">
        <f>opex_orig!BT109</f>
        <v>2.6735876804137799E-7</v>
      </c>
      <c r="CD109" s="27">
        <f>opex_orig!BU109</f>
        <v>1.07342421215263E-7</v>
      </c>
      <c r="CE109" s="27">
        <f>opex_orig!BV109</f>
        <v>1.07342421215264E-7</v>
      </c>
      <c r="CF109" s="27">
        <f>opex_orig!BW109</f>
        <v>2.94031428437894E-7</v>
      </c>
      <c r="CG109" s="27">
        <f>opex_orig!BX109</f>
        <v>2.3577408212464302E-9</v>
      </c>
      <c r="CH109" s="27">
        <f>opex_orig!BY109</f>
        <v>1.5989544305676501E-7</v>
      </c>
      <c r="CI109" s="27">
        <f>opex_orig!BZ109</f>
        <v>3.65E-7</v>
      </c>
      <c r="CJ109" s="27">
        <f>opex_orig!CA109</f>
        <v>1.55E-7</v>
      </c>
      <c r="CK109" s="27">
        <f>opex_orig!CB109</f>
        <v>1.9299999999999999E-7</v>
      </c>
      <c r="CL109" s="27">
        <f>opex_orig!CC109</f>
        <v>1.12E-7</v>
      </c>
      <c r="CM109" s="27">
        <f>opex_orig!CD109</f>
        <v>1.44E-6</v>
      </c>
      <c r="CN109" s="27">
        <f>opex_orig!CE109</f>
        <v>9.2999999999999999E-8</v>
      </c>
      <c r="CO109" s="27">
        <f>opex_orig!CF109</f>
        <v>2.96E-7</v>
      </c>
      <c r="CP109" s="27">
        <f>opex_orig!CG109</f>
        <v>3.8000000000000003E-8</v>
      </c>
    </row>
    <row r="110" spans="1:94" x14ac:dyDescent="0.25">
      <c r="A110" s="5" t="s">
        <v>20</v>
      </c>
      <c r="B110" s="2" t="s">
        <v>21</v>
      </c>
      <c r="C110" s="1" t="s">
        <v>330</v>
      </c>
      <c r="D110" s="188">
        <f>opex_orig!D110</f>
        <v>7.47E-5</v>
      </c>
      <c r="E110" s="188">
        <f>opex_orig!E110</f>
        <v>1.237E-4</v>
      </c>
      <c r="F110" s="188">
        <f>opex_orig!F110</f>
        <v>6.9900000000000005E-5</v>
      </c>
      <c r="G110" s="188">
        <f>opex_orig!G110</f>
        <v>9.2499999999999995E-6</v>
      </c>
      <c r="H110" s="188">
        <f>opex_orig!H110</f>
        <v>2.1699999999999999E-5</v>
      </c>
      <c r="I110" s="188">
        <f>opex_orig!I110</f>
        <v>3.92459E-4</v>
      </c>
      <c r="J110" s="188">
        <f>opex_orig!J110</f>
        <v>1.6085940000000001E-3</v>
      </c>
      <c r="K110" s="188">
        <f>opex_orig!K110</f>
        <v>2.94E-5</v>
      </c>
      <c r="L110" s="188">
        <f>opex_orig!L110</f>
        <v>1.48665E-4</v>
      </c>
      <c r="M110" s="188">
        <f>opex_orig!M110</f>
        <v>5.2787999999999999E-4</v>
      </c>
      <c r="N110" s="188">
        <f>opex_orig!N110</f>
        <v>2.2237599999999999E-4</v>
      </c>
      <c r="O110" s="188">
        <f>opex_orig!O110</f>
        <v>1.45823E-4</v>
      </c>
      <c r="P110" s="188">
        <f>opex_orig!P110</f>
        <v>1.127372E-3</v>
      </c>
      <c r="Q110" s="188">
        <f>opex_orig!Q110</f>
        <v>1.11958E-3</v>
      </c>
      <c r="R110" s="188">
        <f>opex_orig!R110</f>
        <v>5.1400000000000003E-5</v>
      </c>
      <c r="S110" s="188">
        <f>opex_orig!S110</f>
        <v>5.6357300000000005E-4</v>
      </c>
      <c r="T110" s="188">
        <f>opex_orig!T110</f>
        <v>5.7643199999999999E-4</v>
      </c>
      <c r="U110" s="188">
        <f>opex_orig!U110</f>
        <v>2.0223179999999999E-3</v>
      </c>
      <c r="V110" s="188">
        <f>opex_orig!V110</f>
        <v>9.9512699999999995E-4</v>
      </c>
      <c r="W110" s="188">
        <f>opex_orig!W110</f>
        <v>4.5275900000000001E-4</v>
      </c>
      <c r="X110" s="188">
        <f>opex_orig!X110</f>
        <v>2.8200499999999999E-4</v>
      </c>
      <c r="Y110" s="188">
        <f>opex_orig!Y110</f>
        <v>1.231745E-3</v>
      </c>
      <c r="Z110" s="188">
        <f>opex_orig!Z110</f>
        <v>2.6578890000000001E-3</v>
      </c>
      <c r="AA110" s="188">
        <f>opex_orig!AA110</f>
        <v>3.2299999999999999E-5</v>
      </c>
      <c r="AB110" s="273">
        <f>opex_concordance!M176</f>
        <v>1.52739607723571E-5</v>
      </c>
      <c r="AC110" s="273">
        <f>opex_concordance!M221</f>
        <v>4.6150452041362604E-4</v>
      </c>
      <c r="AD110" s="273">
        <f>opex_concordance!M266</f>
        <v>4.1168079294040907E-4</v>
      </c>
      <c r="AE110" s="188">
        <f>opex_orig!$AC110</f>
        <v>1.88059673135003E-4</v>
      </c>
      <c r="AF110" s="273">
        <f>opex_concordance!M308</f>
        <v>3.2757700900063201E-4</v>
      </c>
      <c r="AG110" s="273">
        <f>opex_concordance!M344</f>
        <v>8.0776524293257762E-5</v>
      </c>
      <c r="AH110" s="273">
        <f>opex_concordance!M380</f>
        <v>9.7679601585992757E-5</v>
      </c>
      <c r="AI110" s="188">
        <f>opex_orig!AE110</f>
        <v>3.4021300000000002E-4</v>
      </c>
      <c r="AJ110" s="188">
        <f>opex_orig!AF110</f>
        <v>1.072036E-3</v>
      </c>
      <c r="AK110" s="188">
        <f>opex_orig!AG110</f>
        <v>2.8143899999999997E-4</v>
      </c>
      <c r="AL110" s="188">
        <f>opex_orig!AH110</f>
        <v>1.9071E-4</v>
      </c>
      <c r="AM110" s="188">
        <f>opex_orig!AI110</f>
        <v>4.9223099999999998E-4</v>
      </c>
      <c r="AN110" s="188">
        <f>opex_orig!AJ110</f>
        <v>1.8111900000000001E-4</v>
      </c>
      <c r="AO110" s="188">
        <f>opex_orig!AK110</f>
        <v>2.4269E-4</v>
      </c>
      <c r="AP110" s="273">
        <f>opex_concordance!M418</f>
        <v>6.1772925140870898E-4</v>
      </c>
      <c r="AQ110" s="273">
        <f>opex_concordance!M472</f>
        <v>8.2136615650964891E-4</v>
      </c>
      <c r="AR110" s="273">
        <f>opex_concordance!M526</f>
        <v>1.6892483495971008E-3</v>
      </c>
      <c r="AS110" s="188">
        <f>opex_orig!$AM110</f>
        <v>2.7308135456141403E-4</v>
      </c>
      <c r="AT110" s="188">
        <f>opex_orig!AN110</f>
        <v>8.72747E-4</v>
      </c>
      <c r="AU110" s="273">
        <f>opex_concordance!M585</f>
        <v>1.79797761095058E-4</v>
      </c>
      <c r="AV110" s="273">
        <f>opex_concordance!M631</f>
        <v>2.4541774206716157E-3</v>
      </c>
      <c r="AW110" s="273">
        <f>opex_concordance!M677</f>
        <v>2.1290941332804925E-4</v>
      </c>
      <c r="AX110" s="188">
        <f>opex_orig!$AP110</f>
        <v>7.6828287713527296E-4</v>
      </c>
      <c r="AY110" s="188">
        <f>opex_orig!AQ110</f>
        <v>1.0458699999999999E-4</v>
      </c>
      <c r="AZ110" s="188">
        <f>opex_orig!AR110</f>
        <v>0</v>
      </c>
      <c r="BA110" s="188">
        <f>opex_orig!AS110</f>
        <v>6.4999000000000003E-4</v>
      </c>
      <c r="BB110" s="188">
        <f>opex_orig!AT110</f>
        <v>5.5800000000000001E-5</v>
      </c>
      <c r="BC110" s="188">
        <f>opex_orig!AU110</f>
        <v>2.3E-5</v>
      </c>
      <c r="BD110" s="188">
        <f>opex_orig!AV110</f>
        <v>1.3900000000000001E-5</v>
      </c>
      <c r="BE110" s="188">
        <f>opex_orig!AW110</f>
        <v>9.1199999999999994E-5</v>
      </c>
      <c r="BF110" s="188">
        <f>opex_orig!AX110</f>
        <v>0</v>
      </c>
      <c r="BG110" s="188">
        <f>opex_orig!AY110</f>
        <v>1.7880899999999999E-4</v>
      </c>
      <c r="BH110" s="188">
        <f>opex_orig!AZ110</f>
        <v>0</v>
      </c>
      <c r="BI110" s="188">
        <f>opex_orig!BA110</f>
        <v>5.77E-5</v>
      </c>
      <c r="BJ110" s="188">
        <f>opex_orig!BB110</f>
        <v>3.4972399999999999E-4</v>
      </c>
      <c r="BK110" s="188">
        <f>opex_orig!BC110</f>
        <v>6.0391799999999995E-4</v>
      </c>
      <c r="BL110" s="188">
        <f>opex_orig!BD110</f>
        <v>2.5899999999999999E-5</v>
      </c>
      <c r="BM110" s="188">
        <f>opex_orig!BE110</f>
        <v>3.5506200000000001E-4</v>
      </c>
      <c r="BN110" s="188">
        <f>opex_orig!BF110</f>
        <v>8.8399999999999994E-5</v>
      </c>
      <c r="BO110" s="188">
        <f>opex_orig!BG110</f>
        <v>8.5749700000000003E-4</v>
      </c>
      <c r="BP110" s="188">
        <f>opex_orig!$BH110</f>
        <v>1.1411645579594199E-4</v>
      </c>
      <c r="BQ110" s="188">
        <f>opex_orig!$BH110</f>
        <v>1.1411645579594199E-4</v>
      </c>
      <c r="BR110" s="188">
        <f>opex_orig!BI110</f>
        <v>2.1191299999999999E-4</v>
      </c>
      <c r="BS110" s="188">
        <f>opex_orig!BJ110</f>
        <v>4.2154099999999999E-4</v>
      </c>
      <c r="BT110" s="188">
        <f>opex_orig!BK110</f>
        <v>1.2663600000000001E-4</v>
      </c>
      <c r="BU110" s="188">
        <f>opex_orig!BL110</f>
        <v>0</v>
      </c>
      <c r="BV110" s="27">
        <f>opex_orig!BM110</f>
        <v>1.7832889504628599E-5</v>
      </c>
      <c r="BW110" s="27">
        <f>opex_orig!BN110</f>
        <v>2.3895597228507999E-5</v>
      </c>
      <c r="BX110" s="27">
        <f>opex_orig!BO110</f>
        <v>5.9452985368122303E-6</v>
      </c>
      <c r="BY110" s="27">
        <f>opex_orig!BP110</f>
        <v>1.0161124076629399E-5</v>
      </c>
      <c r="BZ110" s="27">
        <f>opex_orig!BQ110</f>
        <v>1.18767474417279E-5</v>
      </c>
      <c r="CA110" s="27">
        <f>opex_orig!BR110</f>
        <v>1.24404410962687E-5</v>
      </c>
      <c r="CB110" s="27">
        <f>opex_orig!BS110</f>
        <v>2.5880689739453401E-5</v>
      </c>
      <c r="CC110" s="27">
        <f>opex_orig!BT110</f>
        <v>1.6625500076322201E-6</v>
      </c>
      <c r="CD110" s="27">
        <f>opex_orig!BU110</f>
        <v>1.02961418905236E-5</v>
      </c>
      <c r="CE110" s="27">
        <f>opex_orig!BV110</f>
        <v>1.02961418905236E-5</v>
      </c>
      <c r="CF110" s="27">
        <f>opex_orig!BW110</f>
        <v>1.08196469162221E-6</v>
      </c>
      <c r="CG110" s="27">
        <f>opex_orig!BX110</f>
        <v>6.72108376096842E-8</v>
      </c>
      <c r="CH110" s="27">
        <f>opex_orig!BY110</f>
        <v>2.0632615417752799E-7</v>
      </c>
      <c r="CI110" s="27">
        <f>opex_orig!BZ110</f>
        <v>1.5299999999999999E-5</v>
      </c>
      <c r="CJ110" s="27">
        <f>opex_orig!CA110</f>
        <v>2.6407330000000001E-3</v>
      </c>
      <c r="CK110" s="27">
        <f>opex_orig!CB110</f>
        <v>2.1748840000000002E-3</v>
      </c>
      <c r="CL110" s="27">
        <f>opex_orig!CC110</f>
        <v>1.7846226E-2</v>
      </c>
      <c r="CM110" s="27">
        <f>opex_orig!CD110</f>
        <v>6.6622100000000004E-4</v>
      </c>
      <c r="CN110" s="27">
        <f>opex_orig!CE110</f>
        <v>2.3498099999999999E-4</v>
      </c>
      <c r="CO110" s="27">
        <f>opex_orig!CF110</f>
        <v>9.5000000000000005E-5</v>
      </c>
      <c r="CP110" s="27">
        <f>opex_orig!CG110</f>
        <v>2.7290700000000002E-4</v>
      </c>
    </row>
    <row r="111" spans="1:94" x14ac:dyDescent="0.25">
      <c r="A111" s="5" t="s">
        <v>213</v>
      </c>
      <c r="B111" s="2" t="s">
        <v>212</v>
      </c>
      <c r="C111" s="1" t="s">
        <v>330</v>
      </c>
      <c r="D111" s="188">
        <f>opex_orig!D111</f>
        <v>4.03683E-4</v>
      </c>
      <c r="E111" s="188">
        <f>opex_orig!E111</f>
        <v>6.6686899999999995E-4</v>
      </c>
      <c r="F111" s="188">
        <f>opex_orig!F111</f>
        <v>3.6106099999999998E-4</v>
      </c>
      <c r="G111" s="188">
        <f>opex_orig!G111</f>
        <v>5.0500000000000001E-5</v>
      </c>
      <c r="H111" s="188">
        <f>opex_orig!H111</f>
        <v>1.1563199999999999E-4</v>
      </c>
      <c r="I111" s="188">
        <f>opex_orig!I111</f>
        <v>2.1295490000000001E-3</v>
      </c>
      <c r="J111" s="188">
        <f>opex_orig!J111</f>
        <v>8.7544360000000009E-3</v>
      </c>
      <c r="K111" s="188">
        <f>opex_orig!K111</f>
        <v>1.5998799999999999E-4</v>
      </c>
      <c r="L111" s="188">
        <f>opex_orig!L111</f>
        <v>7.9732000000000002E-4</v>
      </c>
      <c r="M111" s="188">
        <f>opex_orig!M111</f>
        <v>2.8158720000000001E-3</v>
      </c>
      <c r="N111" s="188">
        <f>opex_orig!N111</f>
        <v>1.176702E-3</v>
      </c>
      <c r="O111" s="188">
        <f>opex_orig!O111</f>
        <v>7.5578400000000001E-4</v>
      </c>
      <c r="P111" s="188">
        <f>opex_orig!P111</f>
        <v>6.4618840000000002E-3</v>
      </c>
      <c r="Q111" s="188">
        <f>opex_orig!Q111</f>
        <v>6.5449059999999996E-3</v>
      </c>
      <c r="R111" s="188">
        <f>opex_orig!R111</f>
        <v>2.9455300000000002E-4</v>
      </c>
      <c r="S111" s="188">
        <f>opex_orig!S111</f>
        <v>3.2246660000000002E-3</v>
      </c>
      <c r="T111" s="188">
        <f>opex_orig!T111</f>
        <v>3.2922099999999998E-3</v>
      </c>
      <c r="U111" s="188">
        <f>opex_orig!U111</f>
        <v>1.1383087E-2</v>
      </c>
      <c r="V111" s="188">
        <f>opex_orig!V111</f>
        <v>5.5667659999999999E-3</v>
      </c>
      <c r="W111" s="188">
        <f>opex_orig!W111</f>
        <v>2.5983450000000002E-3</v>
      </c>
      <c r="X111" s="188">
        <f>opex_orig!X111</f>
        <v>1.606421E-3</v>
      </c>
      <c r="Y111" s="188">
        <f>opex_orig!Y111</f>
        <v>4.111824E-3</v>
      </c>
      <c r="Z111" s="188">
        <f>opex_orig!Z111</f>
        <v>8.4395419999999995E-3</v>
      </c>
      <c r="AA111" s="188">
        <f>opex_orig!AA111</f>
        <v>1.6672E-4</v>
      </c>
      <c r="AB111" s="273">
        <f>opex_concordance!M177</f>
        <v>1.0946893180591401E-4</v>
      </c>
      <c r="AC111" s="273">
        <f>opex_concordance!M222</f>
        <v>3.3076166441852062E-3</v>
      </c>
      <c r="AD111" s="273">
        <f>opex_concordance!M267</f>
        <v>2.9505285053343464E-3</v>
      </c>
      <c r="AE111" s="188">
        <f>opex_orig!$AC111</f>
        <v>1.04911341824612E-3</v>
      </c>
      <c r="AF111" s="273">
        <f>opex_concordance!M309</f>
        <v>1.8073528375023801E-3</v>
      </c>
      <c r="AG111" s="273">
        <f>opex_concordance!M345</f>
        <v>4.4567132727168184E-4</v>
      </c>
      <c r="AH111" s="273">
        <f>opex_concordance!M381</f>
        <v>5.3893130543909869E-4</v>
      </c>
      <c r="AI111" s="188">
        <f>opex_orig!AE111</f>
        <v>1.8901790000000001E-3</v>
      </c>
      <c r="AJ111" s="188">
        <f>opex_orig!AF111</f>
        <v>5.8343450000000003E-3</v>
      </c>
      <c r="AK111" s="188">
        <f>opex_orig!AG111</f>
        <v>1.6726709999999999E-3</v>
      </c>
      <c r="AL111" s="188">
        <f>opex_orig!AH111</f>
        <v>1.086942E-3</v>
      </c>
      <c r="AM111" s="188">
        <f>opex_orig!AI111</f>
        <v>2.7953850000000001E-3</v>
      </c>
      <c r="AN111" s="188">
        <f>opex_orig!AJ111</f>
        <v>9.4043499999999999E-4</v>
      </c>
      <c r="AO111" s="188">
        <f>opex_orig!AK111</f>
        <v>1.3741090000000001E-3</v>
      </c>
      <c r="AP111" s="273">
        <f>opex_concordance!M419</f>
        <v>3.5050658144862002E-3</v>
      </c>
      <c r="AQ111" s="273">
        <f>opex_concordance!M473</f>
        <v>4.6605247036506196E-3</v>
      </c>
      <c r="AR111" s="273">
        <f>opex_concordance!M527</f>
        <v>9.5849866731218814E-3</v>
      </c>
      <c r="AS111" s="188">
        <f>opex_orig!$AM111</f>
        <v>1.5447831808711101E-3</v>
      </c>
      <c r="AT111" s="188">
        <f>opex_orig!AN111</f>
        <v>5.0235260000000004E-3</v>
      </c>
      <c r="AU111" s="273">
        <f>opex_concordance!M586</f>
        <v>1.03280880735687E-3</v>
      </c>
      <c r="AV111" s="273">
        <f>opex_concordance!M632</f>
        <v>1.4097483970036377E-2</v>
      </c>
      <c r="AW111" s="273">
        <f>opex_concordance!M678</f>
        <v>1.2230114319284344E-3</v>
      </c>
      <c r="AX111" s="188">
        <f>opex_orig!$AP111</f>
        <v>4.4313708601779597E-3</v>
      </c>
      <c r="AY111" s="188">
        <f>opex_orig!AQ111</f>
        <v>6.0459100000000003E-4</v>
      </c>
      <c r="AZ111" s="188">
        <f>opex_orig!AR111</f>
        <v>0</v>
      </c>
      <c r="BA111" s="188">
        <f>opex_orig!AS111</f>
        <v>3.7804729999999999E-3</v>
      </c>
      <c r="BB111" s="188">
        <f>opex_orig!AT111</f>
        <v>3.1194399999999998E-4</v>
      </c>
      <c r="BC111" s="188">
        <f>opex_orig!AU111</f>
        <v>1.2003899999999999E-4</v>
      </c>
      <c r="BD111" s="188">
        <f>opex_orig!AV111</f>
        <v>6.9599999999999998E-5</v>
      </c>
      <c r="BE111" s="188">
        <f>opex_orig!AW111</f>
        <v>5.3455600000000005E-4</v>
      </c>
      <c r="BF111" s="188">
        <f>opex_orig!AX111</f>
        <v>0</v>
      </c>
      <c r="BG111" s="188">
        <f>opex_orig!AY111</f>
        <v>1.040036E-3</v>
      </c>
      <c r="BH111" s="188">
        <f>opex_orig!AZ111</f>
        <v>0</v>
      </c>
      <c r="BI111" s="188">
        <f>opex_orig!BA111</f>
        <v>3.2786799999999999E-4</v>
      </c>
      <c r="BJ111" s="188">
        <f>opex_orig!BB111</f>
        <v>1.987216E-3</v>
      </c>
      <c r="BK111" s="188">
        <f>opex_orig!BC111</f>
        <v>3.4500529999999998E-3</v>
      </c>
      <c r="BL111" s="188">
        <f>opex_orig!BD111</f>
        <v>1.59968E-4</v>
      </c>
      <c r="BM111" s="188">
        <f>opex_orig!BE111</f>
        <v>2.0435150000000001E-3</v>
      </c>
      <c r="BN111" s="188">
        <f>opex_orig!BF111</f>
        <v>5.01941E-4</v>
      </c>
      <c r="BO111" s="188">
        <f>opex_orig!BG111</f>
        <v>5.1288260000000004E-3</v>
      </c>
      <c r="BP111" s="188">
        <f>opex_orig!$BH111</f>
        <v>6.5341410040488E-4</v>
      </c>
      <c r="BQ111" s="188">
        <f>opex_orig!$BH111</f>
        <v>6.5341410040488E-4</v>
      </c>
      <c r="BR111" s="188">
        <f>opex_orig!BI111</f>
        <v>1.20488E-3</v>
      </c>
      <c r="BS111" s="188">
        <f>opex_orig!BJ111</f>
        <v>2.4994100000000001E-3</v>
      </c>
      <c r="BT111" s="188">
        <f>opex_orig!BK111</f>
        <v>7.2471099999999995E-4</v>
      </c>
      <c r="BU111" s="188">
        <f>opex_orig!BL111</f>
        <v>0</v>
      </c>
      <c r="BV111" s="27">
        <f>opex_orig!BM111</f>
        <v>9.9039112263292099E-5</v>
      </c>
      <c r="BW111" s="27">
        <f>opex_orig!BN111</f>
        <v>1.5132922127386901E-4</v>
      </c>
      <c r="BX111" s="27">
        <f>opex_orig!BO111</f>
        <v>3.37800687937365E-5</v>
      </c>
      <c r="BY111" s="27">
        <f>opex_orig!BP111</f>
        <v>6.2947833430436405E-5</v>
      </c>
      <c r="BZ111" s="27">
        <f>opex_orig!BQ111</f>
        <v>6.7878900421027604E-5</v>
      </c>
      <c r="CA111" s="27">
        <f>opex_orig!BR111</f>
        <v>1.75221660393749E-4</v>
      </c>
      <c r="CB111" s="27">
        <f>opex_orig!BS111</f>
        <v>1.4298951793509601E-4</v>
      </c>
      <c r="CC111" s="27">
        <f>opex_orig!BT111</f>
        <v>1.16678896134579E-4</v>
      </c>
      <c r="CD111" s="27">
        <f>opex_orig!BU111</f>
        <v>5.5396441434879999E-5</v>
      </c>
      <c r="CE111" s="27">
        <f>opex_orig!BV111</f>
        <v>5.5396441434879999E-5</v>
      </c>
      <c r="CF111" s="27">
        <f>opex_orig!BW111</f>
        <v>1.7751860952279799E-5</v>
      </c>
      <c r="CG111" s="27">
        <f>opex_orig!BX111</f>
        <v>7.1795866497410698E-7</v>
      </c>
      <c r="CH111" s="27">
        <f>opex_orig!BY111</f>
        <v>1.20946094627398E-5</v>
      </c>
      <c r="CI111" s="27">
        <f>opex_orig!BZ111</f>
        <v>9.0000000000000006E-5</v>
      </c>
      <c r="CJ111" s="27">
        <f>opex_orig!CA111</f>
        <v>1.5427699E-2</v>
      </c>
      <c r="CK111" s="27">
        <f>opex_orig!CB111</f>
        <v>1.2758451000000001E-2</v>
      </c>
      <c r="CL111" s="27">
        <f>opex_orig!CC111</f>
        <v>4.945078E-2</v>
      </c>
      <c r="CM111" s="27">
        <f>opex_orig!CD111</f>
        <v>3.3675900000000001E-4</v>
      </c>
      <c r="CN111" s="27">
        <f>opex_orig!CE111</f>
        <v>1.362631E-3</v>
      </c>
      <c r="CO111" s="27">
        <f>opex_orig!CF111</f>
        <v>5.12559E-4</v>
      </c>
      <c r="CP111" s="27">
        <f>opex_orig!CG111</f>
        <v>1.478037E-3</v>
      </c>
    </row>
    <row r="112" spans="1:94" x14ac:dyDescent="0.25">
      <c r="A112" s="5" t="s">
        <v>215</v>
      </c>
      <c r="B112" s="2" t="s">
        <v>214</v>
      </c>
      <c r="C112" s="1" t="s">
        <v>330</v>
      </c>
      <c r="D112" s="188">
        <f>opex_orig!D112</f>
        <v>1.251629E-3</v>
      </c>
      <c r="E112" s="188">
        <f>opex_orig!E112</f>
        <v>1.1095289999999999E-3</v>
      </c>
      <c r="F112" s="188">
        <f>opex_orig!F112</f>
        <v>6.1430800000000004E-4</v>
      </c>
      <c r="G112" s="188">
        <f>opex_orig!G112</f>
        <v>1.26329E-4</v>
      </c>
      <c r="H112" s="188">
        <f>opex_orig!H112</f>
        <v>2.2720300000000001E-4</v>
      </c>
      <c r="I112" s="188">
        <f>opex_orig!I112</f>
        <v>3.2797270000000001E-3</v>
      </c>
      <c r="J112" s="188">
        <f>opex_orig!J112</f>
        <v>1.2896919999999999E-2</v>
      </c>
      <c r="K112" s="188">
        <f>opex_orig!K112</f>
        <v>3.9357299999999998E-4</v>
      </c>
      <c r="L112" s="188">
        <f>opex_orig!L112</f>
        <v>1.324422E-3</v>
      </c>
      <c r="M112" s="188">
        <f>opex_orig!M112</f>
        <v>4.2543060000000002E-3</v>
      </c>
      <c r="N112" s="188">
        <f>opex_orig!N112</f>
        <v>1.9904240000000002E-3</v>
      </c>
      <c r="O112" s="188">
        <f>opex_orig!O112</f>
        <v>1.348421E-3</v>
      </c>
      <c r="P112" s="188">
        <f>opex_orig!P112</f>
        <v>8.2302920000000002E-3</v>
      </c>
      <c r="Q112" s="188">
        <f>opex_orig!Q112</f>
        <v>7.0780909999999999E-3</v>
      </c>
      <c r="R112" s="188">
        <f>opex_orig!R112</f>
        <v>6.8190899999999997E-4</v>
      </c>
      <c r="S112" s="188">
        <f>opex_orig!S112</f>
        <v>4.3381310000000003E-3</v>
      </c>
      <c r="T112" s="188">
        <f>opex_orig!T112</f>
        <v>4.5970539999999997E-3</v>
      </c>
      <c r="U112" s="188">
        <f>opex_orig!U112</f>
        <v>1.6765799000000001E-2</v>
      </c>
      <c r="V112" s="188">
        <f>opex_orig!V112</f>
        <v>9.2168879999999995E-3</v>
      </c>
      <c r="W112" s="188">
        <f>opex_orig!W112</f>
        <v>3.421468E-3</v>
      </c>
      <c r="X112" s="188">
        <f>opex_orig!X112</f>
        <v>2.3611439999999999E-3</v>
      </c>
      <c r="Y112" s="188">
        <f>opex_orig!Y112</f>
        <v>4.8482849999999999E-3</v>
      </c>
      <c r="Z112" s="188">
        <f>opex_orig!Z112</f>
        <v>1.0916303E-2</v>
      </c>
      <c r="AA112" s="188">
        <f>opex_orig!AA112</f>
        <v>1.263068E-3</v>
      </c>
      <c r="AB112" s="273">
        <f>opex_concordance!M178</f>
        <v>6.4922659236433795E-4</v>
      </c>
      <c r="AC112" s="273">
        <f>opex_concordance!M223</f>
        <v>1.9616457814343236E-2</v>
      </c>
      <c r="AD112" s="273">
        <f>opex_concordance!M268</f>
        <v>1.7498677803747181E-2</v>
      </c>
      <c r="AE112" s="188">
        <f>opex_orig!$AC112</f>
        <v>2.0785644425696101E-3</v>
      </c>
      <c r="AF112" s="273">
        <f>opex_concordance!M310</f>
        <v>2.7859504172782195E-3</v>
      </c>
      <c r="AG112" s="273">
        <f>opex_concordance!M346</f>
        <v>6.8698164211106628E-4</v>
      </c>
      <c r="AH112" s="273">
        <f>opex_concordance!M382</f>
        <v>8.3073756497221616E-4</v>
      </c>
      <c r="AI112" s="188">
        <f>opex_orig!AE112</f>
        <v>3.0284140000000001E-3</v>
      </c>
      <c r="AJ112" s="188">
        <f>opex_orig!AF112</f>
        <v>7.2417330000000002E-3</v>
      </c>
      <c r="AK112" s="188">
        <f>opex_orig!AG112</f>
        <v>2.140159E-3</v>
      </c>
      <c r="AL112" s="188">
        <f>opex_orig!AH112</f>
        <v>1.6077859999999999E-3</v>
      </c>
      <c r="AM112" s="188">
        <f>opex_orig!AI112</f>
        <v>4.0072609999999998E-3</v>
      </c>
      <c r="AN112" s="188">
        <f>opex_orig!AJ112</f>
        <v>1.883909E-3</v>
      </c>
      <c r="AO112" s="188">
        <f>opex_orig!AK112</f>
        <v>2.140791E-3</v>
      </c>
      <c r="AP112" s="273">
        <f>opex_concordance!M420</f>
        <v>4.9252142432523998E-3</v>
      </c>
      <c r="AQ112" s="273">
        <f>opex_concordance!M474</f>
        <v>6.5488307114183212E-3</v>
      </c>
      <c r="AR112" s="273">
        <f>opex_concordance!M528</f>
        <v>1.3468538219378474E-2</v>
      </c>
      <c r="AS112" s="188">
        <f>opex_orig!$AM112</f>
        <v>2.3577699462270598E-3</v>
      </c>
      <c r="AT112" s="188">
        <f>opex_orig!AN112</f>
        <v>6.4613559999999997E-3</v>
      </c>
      <c r="AU112" s="273">
        <f>opex_concordance!M587</f>
        <v>1.6066188344992999E-3</v>
      </c>
      <c r="AV112" s="273">
        <f>opex_concordance!M633</f>
        <v>2.1929792914213913E-2</v>
      </c>
      <c r="AW112" s="273">
        <f>opex_concordance!M679</f>
        <v>1.9024946218000613E-3</v>
      </c>
      <c r="AX112" s="188">
        <f>opex_orig!$AP112</f>
        <v>5.6783107544196897E-3</v>
      </c>
      <c r="AY112" s="188">
        <f>opex_orig!AQ112</f>
        <v>1.245199E-3</v>
      </c>
      <c r="AZ112" s="188">
        <f>opex_orig!AR112</f>
        <v>0</v>
      </c>
      <c r="BA112" s="188">
        <f>opex_orig!AS112</f>
        <v>5.046376E-3</v>
      </c>
      <c r="BB112" s="188">
        <f>opex_orig!AT112</f>
        <v>9.2462100000000004E-4</v>
      </c>
      <c r="BC112" s="188">
        <f>opex_orig!AU112</f>
        <v>3.7537200000000001E-4</v>
      </c>
      <c r="BD112" s="188">
        <f>opex_orig!AV112</f>
        <v>2.8352500000000002E-4</v>
      </c>
      <c r="BE112" s="188">
        <f>opex_orig!AW112</f>
        <v>1.039299E-3</v>
      </c>
      <c r="BF112" s="188">
        <f>opex_orig!AX112</f>
        <v>0</v>
      </c>
      <c r="BG112" s="188">
        <f>opex_orig!AY112</f>
        <v>1.862612E-3</v>
      </c>
      <c r="BH112" s="188">
        <f>opex_orig!AZ112</f>
        <v>0</v>
      </c>
      <c r="BI112" s="188">
        <f>opex_orig!BA112</f>
        <v>7.02128E-4</v>
      </c>
      <c r="BJ112" s="188">
        <f>opex_orig!BB112</f>
        <v>2.6002360000000001E-3</v>
      </c>
      <c r="BK112" s="188">
        <f>opex_orig!BC112</f>
        <v>4.6053839999999997E-3</v>
      </c>
      <c r="BL112" s="188">
        <f>opex_orig!BD112</f>
        <v>4.72662E-4</v>
      </c>
      <c r="BM112" s="188">
        <f>opex_orig!BE112</f>
        <v>2.967033E-3</v>
      </c>
      <c r="BN112" s="188">
        <f>opex_orig!BF112</f>
        <v>7.2067699999999997E-4</v>
      </c>
      <c r="BO112" s="188">
        <f>opex_orig!BG112</f>
        <v>6.1857459999999998E-3</v>
      </c>
      <c r="BP112" s="188">
        <f>opex_orig!$BH112</f>
        <v>1.0670970389916701E-3</v>
      </c>
      <c r="BQ112" s="188">
        <f>opex_orig!$BH112</f>
        <v>1.0670970389916701E-3</v>
      </c>
      <c r="BR112" s="188">
        <f>opex_orig!BI112</f>
        <v>1.5637890000000001E-3</v>
      </c>
      <c r="BS112" s="188">
        <f>opex_orig!BJ112</f>
        <v>3.1288359999999999E-3</v>
      </c>
      <c r="BT112" s="188">
        <f>opex_orig!BK112</f>
        <v>1.6712140000000001E-3</v>
      </c>
      <c r="BU112" s="188">
        <f>opex_orig!BL112</f>
        <v>0</v>
      </c>
      <c r="BV112" s="27">
        <f>opex_orig!BM112</f>
        <v>7.5171489717313505E-4</v>
      </c>
      <c r="BW112" s="27">
        <f>opex_orig!BN112</f>
        <v>1.0211896024248199E-3</v>
      </c>
      <c r="BX112" s="27">
        <f>opex_orig!BO112</f>
        <v>2.5008401482366901E-4</v>
      </c>
      <c r="BY112" s="27">
        <f>opex_orig!BP112</f>
        <v>4.3793325184165999E-4</v>
      </c>
      <c r="BZ112" s="27">
        <f>opex_orig!BQ112</f>
        <v>5.1409632399214997E-4</v>
      </c>
      <c r="CA112" s="27">
        <f>opex_orig!BR112</f>
        <v>5.8291047446742299E-4</v>
      </c>
      <c r="CB112" s="27">
        <f>opex_orig!BS112</f>
        <v>1.0730161344223201E-3</v>
      </c>
      <c r="CC112" s="27">
        <f>opex_orig!BT112</f>
        <v>2.5372005800634498E-4</v>
      </c>
      <c r="CD112" s="27">
        <f>opex_orig!BU112</f>
        <v>4.3098925709542601E-4</v>
      </c>
      <c r="CE112" s="27">
        <f>opex_orig!BV112</f>
        <v>4.3098925709542801E-4</v>
      </c>
      <c r="CF112" s="27">
        <f>opex_orig!BW112</f>
        <v>3.2389763264302701E-4</v>
      </c>
      <c r="CG112" s="27">
        <f>opex_orig!BX112</f>
        <v>4.2915553951296899E-6</v>
      </c>
      <c r="CH112" s="27">
        <f>opex_orig!BY112</f>
        <v>4.0735217937139901E-5</v>
      </c>
      <c r="CI112" s="27">
        <f>opex_orig!BZ112</f>
        <v>6.4765199999999997E-4</v>
      </c>
      <c r="CJ112" s="27">
        <f>opex_orig!CA112</f>
        <v>7.5159397000000003E-2</v>
      </c>
      <c r="CK112" s="27">
        <f>opex_orig!CB112</f>
        <v>6.8040154000000005E-2</v>
      </c>
      <c r="CL112" s="27">
        <f>opex_orig!CC112</f>
        <v>5.4405723000000003E-2</v>
      </c>
      <c r="CM112" s="27">
        <f>opex_orig!CD112</f>
        <v>2.133846E-3</v>
      </c>
      <c r="CN112" s="27">
        <f>opex_orig!CE112</f>
        <v>7.0233819999999999E-3</v>
      </c>
      <c r="CO112" s="27">
        <f>opex_orig!CF112</f>
        <v>1.4443559999999999E-3</v>
      </c>
      <c r="CP112" s="27">
        <f>opex_orig!CG112</f>
        <v>1.959915E-3</v>
      </c>
    </row>
    <row r="113" spans="1:94" x14ac:dyDescent="0.25">
      <c r="A113" s="5" t="s">
        <v>217</v>
      </c>
      <c r="B113" s="2" t="s">
        <v>216</v>
      </c>
      <c r="C113" s="1" t="s">
        <v>330</v>
      </c>
      <c r="D113" s="188">
        <f>opex_orig!D113</f>
        <v>2.6100000000000001E-5</v>
      </c>
      <c r="E113" s="188">
        <f>opex_orig!E113</f>
        <v>9.0799999999999995E-6</v>
      </c>
      <c r="F113" s="188">
        <f>opex_orig!F113</f>
        <v>3.0960100000000001E-4</v>
      </c>
      <c r="G113" s="188">
        <f>opex_orig!G113</f>
        <v>7.4499999999999996E-7</v>
      </c>
      <c r="H113" s="188">
        <f>opex_orig!H113</f>
        <v>1.4500000000000001E-6</v>
      </c>
      <c r="I113" s="188">
        <f>opex_orig!I113</f>
        <v>1.9899999999999999E-5</v>
      </c>
      <c r="J113" s="188">
        <f>opex_orig!J113</f>
        <v>6.4399999999999993E-5</v>
      </c>
      <c r="K113" s="188">
        <f>opex_orig!K113</f>
        <v>2.26E-6</v>
      </c>
      <c r="L113" s="188">
        <f>opex_orig!L113</f>
        <v>1.3499999999999999E-5</v>
      </c>
      <c r="M113" s="188">
        <f>opex_orig!M113</f>
        <v>3.5299999999999997E-5</v>
      </c>
      <c r="N113" s="188">
        <f>opex_orig!N113</f>
        <v>2.1299999999999999E-5</v>
      </c>
      <c r="O113" s="188">
        <f>opex_orig!O113</f>
        <v>5.2764299999999995E-4</v>
      </c>
      <c r="P113" s="188">
        <f>opex_orig!P113</f>
        <v>3.1000000000000001E-5</v>
      </c>
      <c r="Q113" s="188">
        <f>opex_orig!Q113</f>
        <v>4.2967359999999998E-3</v>
      </c>
      <c r="R113" s="188">
        <f>opex_orig!R113</f>
        <v>1.5660500000000001E-4</v>
      </c>
      <c r="S113" s="188">
        <f>opex_orig!S113</f>
        <v>1.0200000000000001E-5</v>
      </c>
      <c r="T113" s="188">
        <f>opex_orig!T113</f>
        <v>9.9199999999999999E-6</v>
      </c>
      <c r="U113" s="188">
        <f>opex_orig!U113</f>
        <v>2.2099999999999998E-5</v>
      </c>
      <c r="V113" s="188">
        <f>opex_orig!V113</f>
        <v>2.97E-5</v>
      </c>
      <c r="W113" s="188">
        <f>opex_orig!W113</f>
        <v>9.2199999999999998E-6</v>
      </c>
      <c r="X113" s="188">
        <f>opex_orig!X113</f>
        <v>6.7599999999999997E-6</v>
      </c>
      <c r="Y113" s="188">
        <f>opex_orig!Y113</f>
        <v>1.1711744E-2</v>
      </c>
      <c r="Z113" s="188">
        <f>opex_orig!Z113</f>
        <v>1.0705177999999999E-2</v>
      </c>
      <c r="AA113" s="188">
        <f>opex_orig!AA113</f>
        <v>4.9299999999999999E-5</v>
      </c>
      <c r="AB113" s="188">
        <f>opex_orig!$AB113</f>
        <v>1.8846425861964202E-5</v>
      </c>
      <c r="AC113" s="188">
        <f>opex_orig!$AB113</f>
        <v>1.8846425861964202E-5</v>
      </c>
      <c r="AD113" s="188">
        <f>opex_orig!$AB113</f>
        <v>1.8846425861964202E-5</v>
      </c>
      <c r="AE113" s="188">
        <f>opex_orig!$AC113</f>
        <v>2.56900711080358E-5</v>
      </c>
      <c r="AF113" s="188">
        <f>opex_orig!$AD113</f>
        <v>1.7221821664401401E-5</v>
      </c>
      <c r="AG113" s="188">
        <f>opex_orig!$AD113</f>
        <v>1.7221821664401401E-5</v>
      </c>
      <c r="AH113" s="188">
        <f>opex_orig!$AD113</f>
        <v>1.7221821664401401E-5</v>
      </c>
      <c r="AI113" s="188">
        <f>opex_orig!AE113</f>
        <v>1.6099999999999998E-5</v>
      </c>
      <c r="AJ113" s="188">
        <f>opex_orig!AF113</f>
        <v>4.7899999999999999E-5</v>
      </c>
      <c r="AK113" s="188">
        <f>opex_orig!AG113</f>
        <v>1.27E-5</v>
      </c>
      <c r="AL113" s="188">
        <f>opex_orig!AH113</f>
        <v>1.0200000000000001E-5</v>
      </c>
      <c r="AM113" s="188">
        <f>opex_orig!AI113</f>
        <v>1.31E-5</v>
      </c>
      <c r="AN113" s="188">
        <f>opex_orig!AJ113</f>
        <v>6.5200000000000003E-6</v>
      </c>
      <c r="AO113" s="188">
        <f>opex_orig!AK113</f>
        <v>9.2299999999999997E-6</v>
      </c>
      <c r="AP113" s="188">
        <f>opex_orig!$AL113</f>
        <v>1.13696909621767E-5</v>
      </c>
      <c r="AQ113" s="188">
        <f>opex_orig!$AL113</f>
        <v>1.13696909621767E-5</v>
      </c>
      <c r="AR113" s="188">
        <f>opex_orig!$AL113</f>
        <v>1.13696909621767E-5</v>
      </c>
      <c r="AS113" s="188">
        <f>opex_orig!$AM113</f>
        <v>6.9689989554070301E-6</v>
      </c>
      <c r="AT113" s="188">
        <f>opex_orig!AN113</f>
        <v>1.88E-5</v>
      </c>
      <c r="AU113" s="188">
        <f>opex_orig!$AO113</f>
        <v>1.6646719731240801E-4</v>
      </c>
      <c r="AV113" s="188">
        <f>opex_orig!$AO113</f>
        <v>1.6646719731240801E-4</v>
      </c>
      <c r="AW113" s="188">
        <f>opex_orig!$AO113</f>
        <v>1.6646719731240801E-4</v>
      </c>
      <c r="AX113" s="188">
        <f>opex_orig!$AP113</f>
        <v>4.6802133798897101E-4</v>
      </c>
      <c r="AY113" s="188">
        <f>opex_orig!AQ113</f>
        <v>7.2000000000000002E-5</v>
      </c>
      <c r="AZ113" s="188">
        <f>opex_orig!AR113</f>
        <v>0</v>
      </c>
      <c r="BA113" s="188">
        <f>opex_orig!AS113</f>
        <v>5.5699999999999999E-5</v>
      </c>
      <c r="BB113" s="188">
        <f>opex_orig!AT113</f>
        <v>6.5099999999999997E-5</v>
      </c>
      <c r="BC113" s="188">
        <f>opex_orig!AU113</f>
        <v>3.54E-6</v>
      </c>
      <c r="BD113" s="188">
        <f>opex_orig!AV113</f>
        <v>1.7600000000000001E-6</v>
      </c>
      <c r="BE113" s="188">
        <f>opex_orig!AW113</f>
        <v>6.3899999999999995E-5</v>
      </c>
      <c r="BF113" s="188">
        <f>opex_orig!AX113</f>
        <v>0</v>
      </c>
      <c r="BG113" s="188">
        <f>opex_orig!AY113</f>
        <v>9.1700000000000006E-5</v>
      </c>
      <c r="BH113" s="188">
        <f>opex_orig!AZ113</f>
        <v>0</v>
      </c>
      <c r="BI113" s="188">
        <f>opex_orig!BA113</f>
        <v>5.49E-5</v>
      </c>
      <c r="BJ113" s="188">
        <f>opex_orig!BB113</f>
        <v>1.15E-5</v>
      </c>
      <c r="BK113" s="188">
        <f>opex_orig!BC113</f>
        <v>4.4799999999999998E-5</v>
      </c>
      <c r="BL113" s="188">
        <f>opex_orig!BD113</f>
        <v>5.0300000000000003E-5</v>
      </c>
      <c r="BM113" s="188">
        <f>opex_orig!BE113</f>
        <v>6.19E-5</v>
      </c>
      <c r="BN113" s="188">
        <f>opex_orig!BF113</f>
        <v>1.0699999999999999E-5</v>
      </c>
      <c r="BO113" s="188">
        <f>opex_orig!BG113</f>
        <v>2.4700000000000001E-5</v>
      </c>
      <c r="BP113" s="188">
        <f>opex_orig!$BH113</f>
        <v>2.3872299092623499E-5</v>
      </c>
      <c r="BQ113" s="188">
        <f>opex_orig!$BH113</f>
        <v>2.3872299092623499E-5</v>
      </c>
      <c r="BR113" s="188">
        <f>opex_orig!BI113</f>
        <v>1.5699999999999999E-5</v>
      </c>
      <c r="BS113" s="188">
        <f>opex_orig!BJ113</f>
        <v>1.3900000000000001E-5</v>
      </c>
      <c r="BT113" s="188">
        <f>opex_orig!BK113</f>
        <v>1.0293699999999999E-4</v>
      </c>
      <c r="BU113" s="188">
        <f>opex_orig!BL113</f>
        <v>0</v>
      </c>
      <c r="BV113" s="27">
        <f>opex_orig!BM113</f>
        <v>3.15989525652443E-3</v>
      </c>
      <c r="BW113" s="27">
        <f>opex_orig!BN113</f>
        <v>2.6822856029032002E-2</v>
      </c>
      <c r="BX113" s="27">
        <f>opex_orig!BO113</f>
        <v>2.8777829354581502E-4</v>
      </c>
      <c r="BY113" s="27">
        <f>opex_orig!BP113</f>
        <v>2.6440655436770302E-4</v>
      </c>
      <c r="BZ113" s="27">
        <f>opex_orig!BQ113</f>
        <v>3.1661788754176301E-4</v>
      </c>
      <c r="CA113" s="27">
        <f>opex_orig!BR113</f>
        <v>8.9515164827490695E-3</v>
      </c>
      <c r="CB113" s="27">
        <f>opex_orig!BS113</f>
        <v>1.5705286465449601E-2</v>
      </c>
      <c r="CC113" s="27">
        <f>opex_orig!BT113</f>
        <v>0.71169451156609698</v>
      </c>
      <c r="CD113" s="27">
        <f>opex_orig!BU113</f>
        <v>4.1175951021386501E-4</v>
      </c>
      <c r="CE113" s="27">
        <f>opex_orig!BV113</f>
        <v>4.1175951021386501E-4</v>
      </c>
      <c r="CF113" s="27">
        <f>opex_orig!BW113</f>
        <v>7.3412308534686693E-2</v>
      </c>
      <c r="CG113" s="27">
        <f>opex_orig!BX113</f>
        <v>7.5822326762960102E-4</v>
      </c>
      <c r="CH113" s="27">
        <f>opex_orig!BY113</f>
        <v>9.0513793312426207E-6</v>
      </c>
      <c r="CI113" s="27">
        <f>opex_orig!BZ113</f>
        <v>3.5152540000000002E-3</v>
      </c>
      <c r="CJ113" s="27">
        <f>opex_orig!CA113</f>
        <v>2.7398899999999998E-4</v>
      </c>
      <c r="CK113" s="27">
        <f>opex_orig!CB113</f>
        <v>1.96959E-4</v>
      </c>
      <c r="CL113" s="27">
        <f>opex_orig!CC113</f>
        <v>1.7772788000000001E-2</v>
      </c>
      <c r="CM113" s="27">
        <f>opex_orig!CD113</f>
        <v>3.3893841000000001E-2</v>
      </c>
      <c r="CN113" s="27">
        <f>opex_orig!CE113</f>
        <v>8.0799999999999999E-5</v>
      </c>
      <c r="CO113" s="27">
        <f>opex_orig!CF113</f>
        <v>8.25E-5</v>
      </c>
      <c r="CP113" s="27">
        <f>opex_orig!CG113</f>
        <v>9.5300000000000002E-6</v>
      </c>
    </row>
    <row r="114" spans="1:94" x14ac:dyDescent="0.25">
      <c r="A114" s="5" t="s">
        <v>219</v>
      </c>
      <c r="B114" s="2" t="s">
        <v>218</v>
      </c>
      <c r="C114" s="1" t="s">
        <v>330</v>
      </c>
      <c r="D114" s="188">
        <f>opex_orig!D114</f>
        <v>2.1848899999999999E-4</v>
      </c>
      <c r="E114" s="188">
        <f>opex_orig!E114</f>
        <v>1.5162199999999999E-4</v>
      </c>
      <c r="F114" s="188">
        <f>opex_orig!F114</f>
        <v>1.5533699999999999E-4</v>
      </c>
      <c r="G114" s="188">
        <f>opex_orig!G114</f>
        <v>2.02E-5</v>
      </c>
      <c r="H114" s="188">
        <f>opex_orig!H114</f>
        <v>5.6700000000000003E-5</v>
      </c>
      <c r="I114" s="188">
        <f>opex_orig!I114</f>
        <v>3.02618E-4</v>
      </c>
      <c r="J114" s="188">
        <f>opex_orig!J114</f>
        <v>1.1298040000000001E-3</v>
      </c>
      <c r="K114" s="188">
        <f>opex_orig!K114</f>
        <v>4.3699999999999998E-5</v>
      </c>
      <c r="L114" s="188">
        <f>opex_orig!L114</f>
        <v>1.80106E-4</v>
      </c>
      <c r="M114" s="188">
        <f>opex_orig!M114</f>
        <v>6.7089600000000004E-4</v>
      </c>
      <c r="N114" s="188">
        <f>opex_orig!N114</f>
        <v>5.4719399999999998E-4</v>
      </c>
      <c r="O114" s="188">
        <f>opex_orig!O114</f>
        <v>3.8222100000000003E-4</v>
      </c>
      <c r="P114" s="188">
        <f>opex_orig!P114</f>
        <v>4.2431899999999999E-4</v>
      </c>
      <c r="Q114" s="188">
        <f>opex_orig!Q114</f>
        <v>6.9351299999999999E-4</v>
      </c>
      <c r="R114" s="188">
        <f>opex_orig!R114</f>
        <v>5.3300000000000001E-5</v>
      </c>
      <c r="S114" s="188">
        <f>opex_orig!S114</f>
        <v>1.8740299999999999E-4</v>
      </c>
      <c r="T114" s="188">
        <f>opex_orig!T114</f>
        <v>1.80519E-4</v>
      </c>
      <c r="U114" s="188">
        <f>opex_orig!U114</f>
        <v>3.1333899999999999E-4</v>
      </c>
      <c r="V114" s="188">
        <f>opex_orig!V114</f>
        <v>1.87856E-4</v>
      </c>
      <c r="W114" s="188">
        <f>opex_orig!W114</f>
        <v>1.9148400000000001E-4</v>
      </c>
      <c r="X114" s="188">
        <f>opex_orig!X114</f>
        <v>9.3700000000000001E-5</v>
      </c>
      <c r="Y114" s="188">
        <f>opex_orig!Y114</f>
        <v>7.4971780000000002E-3</v>
      </c>
      <c r="Z114" s="188">
        <f>opex_orig!Z114</f>
        <v>1.8039617000000001E-2</v>
      </c>
      <c r="AA114" s="188">
        <f>opex_orig!AA114</f>
        <v>2.1017900000000001E-4</v>
      </c>
      <c r="AB114" s="188">
        <f>opex_orig!$AB114</f>
        <v>1.0904684827404501E-3</v>
      </c>
      <c r="AC114" s="188">
        <f>opex_orig!$AB114</f>
        <v>1.0904684827404501E-3</v>
      </c>
      <c r="AD114" s="188">
        <f>opex_orig!$AB114</f>
        <v>1.0904684827404501E-3</v>
      </c>
      <c r="AE114" s="188">
        <f>opex_orig!$AC114</f>
        <v>6.0285697224132502E-4</v>
      </c>
      <c r="AF114" s="188">
        <f>opex_orig!$AD114</f>
        <v>3.2520877792445397E-4</v>
      </c>
      <c r="AG114" s="188">
        <f>opex_orig!$AD114</f>
        <v>3.2520877792445397E-4</v>
      </c>
      <c r="AH114" s="188">
        <f>opex_orig!$AD114</f>
        <v>3.2520877792445397E-4</v>
      </c>
      <c r="AI114" s="188">
        <f>opex_orig!AE114</f>
        <v>1.7122099999999999E-4</v>
      </c>
      <c r="AJ114" s="188">
        <f>opex_orig!AF114</f>
        <v>1.442416E-3</v>
      </c>
      <c r="AK114" s="188">
        <f>opex_orig!AG114</f>
        <v>3.5500000000000002E-5</v>
      </c>
      <c r="AL114" s="188">
        <f>opex_orig!AH114</f>
        <v>4.1900000000000002E-5</v>
      </c>
      <c r="AM114" s="188">
        <f>opex_orig!AI114</f>
        <v>9.5799999999999998E-5</v>
      </c>
      <c r="AN114" s="188">
        <f>opex_orig!AJ114</f>
        <v>3.01E-5</v>
      </c>
      <c r="AO114" s="188">
        <f>opex_orig!AK114</f>
        <v>6.2000000000000003E-5</v>
      </c>
      <c r="AP114" s="188">
        <f>opex_orig!$AL114</f>
        <v>1.17608084528371E-4</v>
      </c>
      <c r="AQ114" s="188">
        <f>opex_orig!$AL114</f>
        <v>1.17608084528371E-4</v>
      </c>
      <c r="AR114" s="188">
        <f>opex_orig!$AL114</f>
        <v>1.17608084528371E-4</v>
      </c>
      <c r="AS114" s="188">
        <f>opex_orig!$AM114</f>
        <v>5.7025977729590599E-5</v>
      </c>
      <c r="AT114" s="188">
        <f>opex_orig!AN114</f>
        <v>2.36085E-4</v>
      </c>
      <c r="AU114" s="188">
        <f>opex_orig!$AO114</f>
        <v>3.1863774514212799E-4</v>
      </c>
      <c r="AV114" s="188">
        <f>opex_orig!$AO114</f>
        <v>3.1863774514212799E-4</v>
      </c>
      <c r="AW114" s="188">
        <f>opex_orig!$AO114</f>
        <v>3.1863774514212799E-4</v>
      </c>
      <c r="AX114" s="188">
        <f>opex_orig!$AP114</f>
        <v>5.8474256436928098E-4</v>
      </c>
      <c r="AY114" s="188">
        <f>opex_orig!AQ114</f>
        <v>3.5357800000000001E-4</v>
      </c>
      <c r="AZ114" s="188">
        <f>opex_orig!AR114</f>
        <v>0</v>
      </c>
      <c r="BA114" s="188">
        <f>opex_orig!AS114</f>
        <v>3.7606100000000002E-4</v>
      </c>
      <c r="BB114" s="188">
        <f>opex_orig!AT114</f>
        <v>2.9237300000000001E-4</v>
      </c>
      <c r="BC114" s="188">
        <f>opex_orig!AU114</f>
        <v>4.2599999999999999E-5</v>
      </c>
      <c r="BD114" s="188">
        <f>opex_orig!AV114</f>
        <v>1.08E-5</v>
      </c>
      <c r="BE114" s="188">
        <f>opex_orig!AW114</f>
        <v>2.76307E-4</v>
      </c>
      <c r="BF114" s="188">
        <f>opex_orig!AX114</f>
        <v>0</v>
      </c>
      <c r="BG114" s="188">
        <f>opex_orig!AY114</f>
        <v>3.45259E-4</v>
      </c>
      <c r="BH114" s="188">
        <f>opex_orig!AZ114</f>
        <v>0</v>
      </c>
      <c r="BI114" s="188">
        <f>opex_orig!BA114</f>
        <v>1.6679999999999999E-4</v>
      </c>
      <c r="BJ114" s="188">
        <f>opex_orig!BB114</f>
        <v>1.8548100000000001E-4</v>
      </c>
      <c r="BK114" s="188">
        <f>opex_orig!BC114</f>
        <v>3.84516E-4</v>
      </c>
      <c r="BL114" s="188">
        <f>opex_orig!BD114</f>
        <v>1.3260999999999999E-4</v>
      </c>
      <c r="BM114" s="188">
        <f>opex_orig!BE114</f>
        <v>2.7313100000000002E-4</v>
      </c>
      <c r="BN114" s="188">
        <f>opex_orig!BF114</f>
        <v>8.1000000000000004E-5</v>
      </c>
      <c r="BO114" s="188">
        <f>opex_orig!BG114</f>
        <v>1.08631E-4</v>
      </c>
      <c r="BP114" s="188">
        <f>opex_orig!$BH114</f>
        <v>1.01497536847174E-4</v>
      </c>
      <c r="BQ114" s="188">
        <f>opex_orig!$BH114</f>
        <v>1.01497536847174E-4</v>
      </c>
      <c r="BR114" s="188">
        <f>opex_orig!BI114</f>
        <v>1.7796700000000001E-4</v>
      </c>
      <c r="BS114" s="188">
        <f>opex_orig!BJ114</f>
        <v>6.6799999999999997E-5</v>
      </c>
      <c r="BT114" s="188">
        <f>opex_orig!BK114</f>
        <v>4.5287300000000001E-4</v>
      </c>
      <c r="BU114" s="188">
        <f>opex_orig!BL114</f>
        <v>0</v>
      </c>
      <c r="BV114" s="27">
        <f>opex_orig!BM114</f>
        <v>5.6010257896148699E-5</v>
      </c>
      <c r="BW114" s="27">
        <f>opex_orig!BN114</f>
        <v>3.2580703061185301E-4</v>
      </c>
      <c r="BX114" s="27">
        <f>opex_orig!BO114</f>
        <v>3.04609981249283E-5</v>
      </c>
      <c r="BY114" s="27">
        <f>opex_orig!BP114</f>
        <v>1.7072108634105299E-4</v>
      </c>
      <c r="BZ114" s="27">
        <f>opex_orig!BQ114</f>
        <v>5.8351677511747901E-5</v>
      </c>
      <c r="CA114" s="27">
        <f>opex_orig!BR114</f>
        <v>4.9605798173275097E-5</v>
      </c>
      <c r="CB114" s="27">
        <f>opex_orig!BS114</f>
        <v>3.2459631548366E-4</v>
      </c>
      <c r="CC114" s="27">
        <f>opex_orig!BT114</f>
        <v>8.5957439749670506E-5</v>
      </c>
      <c r="CD114" s="27">
        <f>opex_orig!BU114</f>
        <v>3.1163714778236402E-5</v>
      </c>
      <c r="CE114" s="27">
        <f>opex_orig!BV114</f>
        <v>3.1163714778236497E-5</v>
      </c>
      <c r="CF114" s="27">
        <f>opex_orig!BW114</f>
        <v>9.1820158470360598E-6</v>
      </c>
      <c r="CG114" s="27">
        <f>opex_orig!BX114</f>
        <v>1.55806937452359E-5</v>
      </c>
      <c r="CH114" s="27">
        <f>opex_orig!BY114</f>
        <v>9.8494867558395995E-5</v>
      </c>
      <c r="CI114" s="27">
        <f>opex_orig!BZ114</f>
        <v>1.2595600000000001E-4</v>
      </c>
      <c r="CJ114" s="27">
        <f>opex_orig!CA114</f>
        <v>1.773604E-3</v>
      </c>
      <c r="CK114" s="27">
        <f>opex_orig!CB114</f>
        <v>6.5289199999999997E-4</v>
      </c>
      <c r="CL114" s="27">
        <f>opex_orig!CC114</f>
        <v>0.13155651500000001</v>
      </c>
      <c r="CM114" s="27">
        <f>opex_orig!CD114</f>
        <v>9.6018609999999997E-3</v>
      </c>
      <c r="CN114" s="27">
        <f>opex_orig!CE114</f>
        <v>4.1428899999999998E-4</v>
      </c>
      <c r="CO114" s="27">
        <f>opex_orig!CF114</f>
        <v>4.5068199999999999E-4</v>
      </c>
      <c r="CP114" s="27">
        <f>opex_orig!CG114</f>
        <v>4.0163299999999998E-4</v>
      </c>
    </row>
    <row r="115" spans="1:94" x14ac:dyDescent="0.25">
      <c r="A115" s="5" t="s">
        <v>221</v>
      </c>
      <c r="B115" s="2" t="s">
        <v>220</v>
      </c>
      <c r="C115" s="1" t="s">
        <v>330</v>
      </c>
      <c r="D115" s="188">
        <f>opex_orig!D115</f>
        <v>2.02062E-4</v>
      </c>
      <c r="E115" s="188">
        <f>opex_orig!E115</f>
        <v>2.3005399999999999E-4</v>
      </c>
      <c r="F115" s="188">
        <f>opex_orig!F115</f>
        <v>1.1582399999999999E-4</v>
      </c>
      <c r="G115" s="188">
        <f>opex_orig!G115</f>
        <v>1.7E-5</v>
      </c>
      <c r="H115" s="188">
        <f>opex_orig!H115</f>
        <v>3.7400000000000001E-5</v>
      </c>
      <c r="I115" s="188">
        <f>opex_orig!I115</f>
        <v>4.3637800000000002E-4</v>
      </c>
      <c r="J115" s="188">
        <f>opex_orig!J115</f>
        <v>3.65817E-4</v>
      </c>
      <c r="K115" s="188">
        <f>opex_orig!K115</f>
        <v>4.7599999999999998E-5</v>
      </c>
      <c r="L115" s="188">
        <f>opex_orig!L115</f>
        <v>5.9913999999999996E-4</v>
      </c>
      <c r="M115" s="188">
        <f>opex_orig!M115</f>
        <v>1.8053559999999999E-3</v>
      </c>
      <c r="N115" s="188">
        <f>opex_orig!N115</f>
        <v>1.2448820000000001E-3</v>
      </c>
      <c r="O115" s="188">
        <f>opex_orig!O115</f>
        <v>2.3968200000000001E-4</v>
      </c>
      <c r="P115" s="188">
        <f>opex_orig!P115</f>
        <v>3.0907500000000002E-4</v>
      </c>
      <c r="Q115" s="188">
        <f>opex_orig!Q115</f>
        <v>1.1862300000000001E-4</v>
      </c>
      <c r="R115" s="188">
        <f>opex_orig!R115</f>
        <v>5.0300000000000003E-5</v>
      </c>
      <c r="S115" s="188">
        <f>opex_orig!S115</f>
        <v>1.0346800000000001E-4</v>
      </c>
      <c r="T115" s="188">
        <f>opex_orig!T115</f>
        <v>9.3800000000000003E-5</v>
      </c>
      <c r="U115" s="188">
        <f>opex_orig!U115</f>
        <v>1.170529E-3</v>
      </c>
      <c r="V115" s="188">
        <f>opex_orig!V115</f>
        <v>1.48112E-3</v>
      </c>
      <c r="W115" s="188">
        <f>opex_orig!W115</f>
        <v>5.7408999999999997E-4</v>
      </c>
      <c r="X115" s="188">
        <f>opex_orig!X115</f>
        <v>6.0699999999999998E-5</v>
      </c>
      <c r="Y115" s="188">
        <f>opex_orig!Y115</f>
        <v>7.5934500000000003E-4</v>
      </c>
      <c r="Z115" s="188">
        <f>opex_orig!Z115</f>
        <v>4.2594679999999998E-3</v>
      </c>
      <c r="AA115" s="188">
        <f>opex_orig!AA115</f>
        <v>6.5106779999999998E-3</v>
      </c>
      <c r="AB115" s="188">
        <f>opex_orig!$AB115</f>
        <v>1.3220498934009799E-4</v>
      </c>
      <c r="AC115" s="188">
        <f>opex_orig!$AB115</f>
        <v>1.3220498934009799E-4</v>
      </c>
      <c r="AD115" s="188">
        <f>opex_orig!$AB115</f>
        <v>1.3220498934009799E-4</v>
      </c>
      <c r="AE115" s="188">
        <f>opex_orig!$AC115</f>
        <v>2.3888610735493202E-3</v>
      </c>
      <c r="AF115" s="188">
        <f>opex_orig!$AD115</f>
        <v>1.6975919049231E-3</v>
      </c>
      <c r="AG115" s="188">
        <f>opex_orig!$AD115</f>
        <v>1.6975919049231E-3</v>
      </c>
      <c r="AH115" s="188">
        <f>opex_orig!$AD115</f>
        <v>1.6975919049231E-3</v>
      </c>
      <c r="AI115" s="188">
        <f>opex_orig!AE115</f>
        <v>1.5141320000000001E-3</v>
      </c>
      <c r="AJ115" s="188">
        <f>opex_orig!AF115</f>
        <v>1.0731339999999999E-3</v>
      </c>
      <c r="AK115" s="188">
        <f>opex_orig!AG115</f>
        <v>1.2855000000000001E-4</v>
      </c>
      <c r="AL115" s="188">
        <f>opex_orig!AH115</f>
        <v>7.1500000000000003E-5</v>
      </c>
      <c r="AM115" s="188">
        <f>opex_orig!AI115</f>
        <v>1.2849700000000001E-4</v>
      </c>
      <c r="AN115" s="188">
        <f>opex_orig!AJ115</f>
        <v>8.1699999999999994E-5</v>
      </c>
      <c r="AO115" s="188">
        <f>opex_orig!AK115</f>
        <v>1.39025E-4</v>
      </c>
      <c r="AP115" s="188">
        <f>opex_orig!$AL115</f>
        <v>1.7378815917905299E-4</v>
      </c>
      <c r="AQ115" s="188">
        <f>opex_orig!$AL115</f>
        <v>1.7378815917905299E-4</v>
      </c>
      <c r="AR115" s="188">
        <f>opex_orig!$AL115</f>
        <v>1.7378815917905299E-4</v>
      </c>
      <c r="AS115" s="188">
        <f>opex_orig!$AM115</f>
        <v>1.30747460515533E-4</v>
      </c>
      <c r="AT115" s="188">
        <f>opex_orig!AN115</f>
        <v>2.4184799999999999E-4</v>
      </c>
      <c r="AU115" s="188">
        <f>opex_orig!$AO115</f>
        <v>3.3838702307089702E-4</v>
      </c>
      <c r="AV115" s="188">
        <f>opex_orig!$AO115</f>
        <v>3.3838702307089702E-4</v>
      </c>
      <c r="AW115" s="188">
        <f>opex_orig!$AO115</f>
        <v>3.3838702307089702E-4</v>
      </c>
      <c r="AX115" s="188">
        <f>opex_orig!$AP115</f>
        <v>4.8247187049231701E-4</v>
      </c>
      <c r="AY115" s="188">
        <f>opex_orig!AQ115</f>
        <v>5.8319000000000003E-4</v>
      </c>
      <c r="AZ115" s="188">
        <f>opex_orig!AR115</f>
        <v>0</v>
      </c>
      <c r="BA115" s="188">
        <f>opex_orig!AS115</f>
        <v>2.6133500000000002E-4</v>
      </c>
      <c r="BB115" s="188">
        <f>opex_orig!AT115</f>
        <v>1.8762100000000001E-4</v>
      </c>
      <c r="BC115" s="188">
        <f>opex_orig!AU115</f>
        <v>1.46491E-4</v>
      </c>
      <c r="BD115" s="188">
        <f>opex_orig!AV115</f>
        <v>5.8300000000000001E-5</v>
      </c>
      <c r="BE115" s="188">
        <f>opex_orig!AW115</f>
        <v>2.85059E-4</v>
      </c>
      <c r="BF115" s="188">
        <f>opex_orig!AX115</f>
        <v>0</v>
      </c>
      <c r="BG115" s="188">
        <f>opex_orig!AY115</f>
        <v>3.2691000000000003E-4</v>
      </c>
      <c r="BH115" s="188">
        <f>opex_orig!AZ115</f>
        <v>0</v>
      </c>
      <c r="BI115" s="188">
        <f>opex_orig!BA115</f>
        <v>4.8453100000000001E-4</v>
      </c>
      <c r="BJ115" s="188">
        <f>opex_orig!BB115</f>
        <v>5.5027400000000001E-4</v>
      </c>
      <c r="BK115" s="188">
        <f>opex_orig!BC115</f>
        <v>9.0365900000000002E-4</v>
      </c>
      <c r="BL115" s="188">
        <f>opex_orig!BD115</f>
        <v>1.04806E-4</v>
      </c>
      <c r="BM115" s="188">
        <f>opex_orig!BE115</f>
        <v>2.4626900000000002E-4</v>
      </c>
      <c r="BN115" s="188">
        <f>opex_orig!BF115</f>
        <v>7.2200000000000007E-5</v>
      </c>
      <c r="BO115" s="188">
        <f>opex_orig!BG115</f>
        <v>2.1379299999999999E-4</v>
      </c>
      <c r="BP115" s="188">
        <f>opex_orig!$BH115</f>
        <v>5.2888875406946999E-4</v>
      </c>
      <c r="BQ115" s="188">
        <f>opex_orig!$BH115</f>
        <v>5.2888875406946999E-4</v>
      </c>
      <c r="BR115" s="188">
        <f>opex_orig!BI115</f>
        <v>4.0178399999999997E-4</v>
      </c>
      <c r="BS115" s="188">
        <f>opex_orig!BJ115</f>
        <v>1.8045600000000001E-4</v>
      </c>
      <c r="BT115" s="188">
        <f>opex_orig!BK115</f>
        <v>3.6441799999999998E-4</v>
      </c>
      <c r="BU115" s="188">
        <f>opex_orig!BL115</f>
        <v>0</v>
      </c>
      <c r="BV115" s="27">
        <f>opex_orig!BM115</f>
        <v>6.8661508659314803E-4</v>
      </c>
      <c r="BW115" s="27">
        <f>opex_orig!BN115</f>
        <v>1.2148241093597901E-3</v>
      </c>
      <c r="BX115" s="27">
        <f>opex_orig!BO115</f>
        <v>4.7435586280217197E-4</v>
      </c>
      <c r="BY115" s="27">
        <f>opex_orig!BP115</f>
        <v>7.3455384727238603E-4</v>
      </c>
      <c r="BZ115" s="27">
        <f>opex_orig!BQ115</f>
        <v>5.1782695927648798E-4</v>
      </c>
      <c r="CA115" s="27">
        <f>opex_orig!BR115</f>
        <v>2.13441745430597E-4</v>
      </c>
      <c r="CB115" s="27">
        <f>opex_orig!BS115</f>
        <v>6.30941336281931E-4</v>
      </c>
      <c r="CC115" s="27">
        <f>opex_orig!BT115</f>
        <v>6.1466949114440898E-4</v>
      </c>
      <c r="CD115" s="27">
        <f>opex_orig!BU115</f>
        <v>4.0780985947006199E-4</v>
      </c>
      <c r="CE115" s="27">
        <f>opex_orig!BV115</f>
        <v>4.0780985947006302E-4</v>
      </c>
      <c r="CF115" s="27">
        <f>opex_orig!BW115</f>
        <v>2.5127218565855801E-3</v>
      </c>
      <c r="CG115" s="27">
        <f>opex_orig!BX115</f>
        <v>2.86292475873035E-5</v>
      </c>
      <c r="CH115" s="27">
        <f>opex_orig!BY115</f>
        <v>5.2957210579137796E-6</v>
      </c>
      <c r="CI115" s="27">
        <f>opex_orig!BZ115</f>
        <v>9.2323100000000005E-4</v>
      </c>
      <c r="CJ115" s="27">
        <f>opex_orig!CA115</f>
        <v>9.5323800000000002E-4</v>
      </c>
      <c r="CK115" s="27">
        <f>opex_orig!CB115</f>
        <v>7.7178399999999997E-4</v>
      </c>
      <c r="CL115" s="27">
        <f>opex_orig!CC115</f>
        <v>1.2035640000000001E-3</v>
      </c>
      <c r="CM115" s="27">
        <f>opex_orig!CD115</f>
        <v>1.188564E-3</v>
      </c>
      <c r="CN115" s="27">
        <f>opex_orig!CE115</f>
        <v>1.6348971E-2</v>
      </c>
      <c r="CO115" s="27">
        <f>opex_orig!CF115</f>
        <v>7.5414099999999995E-4</v>
      </c>
      <c r="CP115" s="27">
        <f>opex_orig!CG115</f>
        <v>1.0226E-3</v>
      </c>
    </row>
    <row r="116" spans="1:94" s="8" customFormat="1" x14ac:dyDescent="0.25">
      <c r="A116" s="7" t="s">
        <v>223</v>
      </c>
      <c r="B116" s="2" t="s">
        <v>222</v>
      </c>
      <c r="C116" s="1" t="s">
        <v>331</v>
      </c>
      <c r="D116" s="188">
        <f>opex_orig!D116</f>
        <v>3.1338149999999999E-3</v>
      </c>
      <c r="E116" s="188">
        <f>opex_orig!E116</f>
        <v>7.2314600000000003E-4</v>
      </c>
      <c r="F116" s="188">
        <f>opex_orig!F116</f>
        <v>5.0439500000000004E-4</v>
      </c>
      <c r="G116" s="188">
        <f>opex_orig!G116</f>
        <v>1.00917E-4</v>
      </c>
      <c r="H116" s="188">
        <f>opex_orig!H116</f>
        <v>1.8015500000000001E-4</v>
      </c>
      <c r="I116" s="188">
        <f>opex_orig!I116</f>
        <v>1.107972E-3</v>
      </c>
      <c r="J116" s="188">
        <f>opex_orig!J116</f>
        <v>3.1787149999999999E-3</v>
      </c>
      <c r="K116" s="188">
        <f>opex_orig!K116</f>
        <v>3.0298499999999997E-4</v>
      </c>
      <c r="L116" s="188">
        <f>opex_orig!L116</f>
        <v>1.342431E-3</v>
      </c>
      <c r="M116" s="188">
        <f>opex_orig!M116</f>
        <v>7.0982830000000004E-3</v>
      </c>
      <c r="N116" s="188">
        <f>opex_orig!N116</f>
        <v>2.2503480000000001E-3</v>
      </c>
      <c r="O116" s="188">
        <f>opex_orig!O116</f>
        <v>1.928744E-3</v>
      </c>
      <c r="P116" s="188">
        <f>opex_orig!P116</f>
        <v>2.7838369999999999E-3</v>
      </c>
      <c r="Q116" s="188">
        <f>opex_orig!Q116</f>
        <v>7.5237299999999997E-4</v>
      </c>
      <c r="R116" s="188">
        <f>opex_orig!R116</f>
        <v>6.2637999999999995E-4</v>
      </c>
      <c r="S116" s="188">
        <f>opex_orig!S116</f>
        <v>5.8455879999999997E-3</v>
      </c>
      <c r="T116" s="188">
        <f>opex_orig!T116</f>
        <v>5.0653390000000003E-3</v>
      </c>
      <c r="U116" s="188">
        <f>opex_orig!U116</f>
        <v>7.9952860000000008E-3</v>
      </c>
      <c r="V116" s="188">
        <f>opex_orig!V116</f>
        <v>8.2884689999999997E-3</v>
      </c>
      <c r="W116" s="188">
        <f>opex_orig!W116</f>
        <v>6.2757259999999997E-3</v>
      </c>
      <c r="X116" s="188">
        <f>opex_orig!X116</f>
        <v>6.9343400000000004E-4</v>
      </c>
      <c r="Y116" s="188">
        <f>opex_orig!Y116</f>
        <v>4.6793629999999998E-3</v>
      </c>
      <c r="Z116" s="188">
        <f>opex_orig!Z116</f>
        <v>1.1933747E-2</v>
      </c>
      <c r="AA116" s="188">
        <f>opex_orig!AA116</f>
        <v>6.4723421000000003E-2</v>
      </c>
      <c r="AB116" s="188">
        <f>opex_orig!$AB116</f>
        <v>1.88465808675112E-3</v>
      </c>
      <c r="AC116" s="188">
        <f>opex_orig!$AB116</f>
        <v>1.88465808675112E-3</v>
      </c>
      <c r="AD116" s="188">
        <f>opex_orig!$AB116</f>
        <v>1.88465808675112E-3</v>
      </c>
      <c r="AE116" s="188">
        <f>opex_orig!$AC116</f>
        <v>3.8614117390545601E-3</v>
      </c>
      <c r="AF116" s="296">
        <f>opex_concordance!$M$317</f>
        <v>9.3494861544835706E-3</v>
      </c>
      <c r="AG116" s="296">
        <f>opex_concordance!$M$353</f>
        <v>4.1431636348678155E-3</v>
      </c>
      <c r="AH116" s="296">
        <f>opex_concordance!$M$389</f>
        <v>3.3240424016378637E-3</v>
      </c>
      <c r="AI116" s="188">
        <f>opex_orig!AE116</f>
        <v>7.7562680000000002E-3</v>
      </c>
      <c r="AJ116" s="188">
        <f>opex_orig!AF116</f>
        <v>2.2719982999999999E-2</v>
      </c>
      <c r="AK116" s="188">
        <f>opex_orig!AG116</f>
        <v>2.7830379999999998E-3</v>
      </c>
      <c r="AL116" s="188">
        <f>opex_orig!AH116</f>
        <v>7.8066239999999999E-3</v>
      </c>
      <c r="AM116" s="188">
        <f>opex_orig!AI116</f>
        <v>3.0571869999999998E-3</v>
      </c>
      <c r="AN116" s="188">
        <f>opex_orig!AJ116</f>
        <v>3.232361E-3</v>
      </c>
      <c r="AO116" s="188">
        <f>opex_orig!AK116</f>
        <v>7.2555680000000004E-3</v>
      </c>
      <c r="AP116" s="296">
        <f>opex_concordance!M445</f>
        <v>6.2928505605343004E-3</v>
      </c>
      <c r="AQ116" s="296">
        <f>opex_concordance!M499</f>
        <v>5.0644267623377905E-3</v>
      </c>
      <c r="AR116" s="296">
        <f>opex_concordance!M553</f>
        <v>5.5577657930593032E-3</v>
      </c>
      <c r="AS116" s="188">
        <f>opex_orig!$AM116</f>
        <v>5.8458010913237197E-3</v>
      </c>
      <c r="AT116" s="188">
        <f>opex_orig!AN116</f>
        <v>6.85588E-3</v>
      </c>
      <c r="AU116" s="188">
        <f>opex_orig!$AO116</f>
        <v>3.6743748816919098E-3</v>
      </c>
      <c r="AV116" s="188">
        <f>opex_orig!$AO116</f>
        <v>3.6743748816919098E-3</v>
      </c>
      <c r="AW116" s="188">
        <f>opex_orig!$AO116</f>
        <v>3.6743748816919098E-3</v>
      </c>
      <c r="AX116" s="188">
        <f>opex_orig!$AP116</f>
        <v>3.5222725677823202E-3</v>
      </c>
      <c r="AY116" s="188">
        <f>opex_orig!AQ116</f>
        <v>3.4989320000000002E-3</v>
      </c>
      <c r="AZ116" s="188">
        <f>opex_orig!AR116</f>
        <v>0</v>
      </c>
      <c r="BA116" s="188">
        <f>opex_orig!AS116</f>
        <v>3.319766E-3</v>
      </c>
      <c r="BB116" s="188">
        <f>opex_orig!AT116</f>
        <v>3.6239240000000002E-3</v>
      </c>
      <c r="BC116" s="188">
        <f>opex_orig!AU116</f>
        <v>3.9227100000000003E-4</v>
      </c>
      <c r="BD116" s="188">
        <f>opex_orig!AV116</f>
        <v>2.7088600000000002E-4</v>
      </c>
      <c r="BE116" s="188">
        <f>opex_orig!AW116</f>
        <v>2.3073709999999999E-3</v>
      </c>
      <c r="BF116" s="188">
        <f>opex_orig!AX116</f>
        <v>0</v>
      </c>
      <c r="BG116" s="188">
        <f>opex_orig!AY116</f>
        <v>3.0581380000000002E-3</v>
      </c>
      <c r="BH116" s="188">
        <f>opex_orig!AZ116</f>
        <v>0</v>
      </c>
      <c r="BI116" s="188">
        <f>opex_orig!BA116</f>
        <v>3.04725E-3</v>
      </c>
      <c r="BJ116" s="188">
        <f>opex_orig!BB116</f>
        <v>3.0326540000000001E-3</v>
      </c>
      <c r="BK116" s="188">
        <f>opex_orig!BC116</f>
        <v>6.596111E-3</v>
      </c>
      <c r="BL116" s="188">
        <f>opex_orig!BD116</f>
        <v>1.5355760000000001E-3</v>
      </c>
      <c r="BM116" s="188">
        <f>opex_orig!BE116</f>
        <v>3.1564010000000003E-2</v>
      </c>
      <c r="BN116" s="188">
        <f>opex_orig!BF116</f>
        <v>5.1427579999999999E-3</v>
      </c>
      <c r="BO116" s="188">
        <f>opex_orig!BG116</f>
        <v>3.9761309999999999E-3</v>
      </c>
      <c r="BP116" s="188">
        <f>opex_orig!$BH116</f>
        <v>3.4494809387046301E-3</v>
      </c>
      <c r="BQ116" s="188">
        <f>opex_orig!$BH116</f>
        <v>3.4494809387046301E-3</v>
      </c>
      <c r="BR116" s="188">
        <f>opex_orig!BI116</f>
        <v>2.4077539999999998E-3</v>
      </c>
      <c r="BS116" s="188">
        <f>opex_orig!BJ116</f>
        <v>7.9364559999999997E-3</v>
      </c>
      <c r="BT116" s="188">
        <f>opex_orig!BK116</f>
        <v>1.5142462000000001E-2</v>
      </c>
      <c r="BU116" s="188">
        <f>opex_orig!BL116</f>
        <v>0</v>
      </c>
      <c r="BV116" s="27">
        <f>opex_orig!BM116</f>
        <v>7.2359561828253703E-3</v>
      </c>
      <c r="BW116" s="27">
        <f>opex_orig!BN116</f>
        <v>8.4904844071271302E-3</v>
      </c>
      <c r="BX116" s="27">
        <f>opex_orig!BO116</f>
        <v>4.1783345150354003E-3</v>
      </c>
      <c r="BY116" s="27">
        <f>opex_orig!BP116</f>
        <v>7.00929536695783E-3</v>
      </c>
      <c r="BZ116" s="27">
        <f>opex_orig!BQ116</f>
        <v>7.6910829748098502E-3</v>
      </c>
      <c r="CA116" s="27">
        <f>opex_orig!BR116</f>
        <v>2.9804848118935599E-2</v>
      </c>
      <c r="CB116" s="27">
        <f>opex_orig!BS116</f>
        <v>5.7598205705822799E-3</v>
      </c>
      <c r="CC116" s="27">
        <f>opex_orig!BT116</f>
        <v>4.2467168198911899E-3</v>
      </c>
      <c r="CD116" s="27">
        <f>opex_orig!BU116</f>
        <v>9.1497606308390805E-3</v>
      </c>
      <c r="CE116" s="27">
        <f>opex_orig!BV116</f>
        <v>9.1497606308390805E-3</v>
      </c>
      <c r="CF116" s="27">
        <f>opex_orig!BW116</f>
        <v>2.3158337335053699E-3</v>
      </c>
      <c r="CG116" s="27">
        <f>opex_orig!BX116</f>
        <v>1.6581518145475699E-5</v>
      </c>
      <c r="CH116" s="27">
        <f>opex_orig!BY116</f>
        <v>9.3171355641026997E-5</v>
      </c>
      <c r="CI116" s="27">
        <f>opex_orig!BZ116</f>
        <v>1.1226269000000001E-2</v>
      </c>
      <c r="CJ116" s="27">
        <f>opex_orig!CA116</f>
        <v>1.0602598E-2</v>
      </c>
      <c r="CK116" s="27">
        <f>opex_orig!CB116</f>
        <v>7.8449680000000008E-3</v>
      </c>
      <c r="CL116" s="27">
        <f>opex_orig!CC116</f>
        <v>6.9121700000000005E-4</v>
      </c>
      <c r="CM116" s="27">
        <f>opex_orig!CD116</f>
        <v>7.2177559999999997E-3</v>
      </c>
      <c r="CN116" s="27">
        <f>opex_orig!CE116</f>
        <v>3.4834575999999999E-2</v>
      </c>
      <c r="CO116" s="27">
        <f>opex_orig!CF116</f>
        <v>0.27312404600000001</v>
      </c>
      <c r="CP116" s="27">
        <f>opex_orig!CG116</f>
        <v>4.3841740000000002E-3</v>
      </c>
    </row>
    <row r="117" spans="1:94" x14ac:dyDescent="0.25">
      <c r="A117" s="5" t="s">
        <v>225</v>
      </c>
      <c r="B117" s="2" t="s">
        <v>224</v>
      </c>
      <c r="C117" s="1" t="s">
        <v>331</v>
      </c>
      <c r="D117" s="188">
        <f>opex_orig!D117</f>
        <v>1.2799999999999999E-5</v>
      </c>
      <c r="E117" s="188">
        <f>opex_orig!E117</f>
        <v>3.01E-6</v>
      </c>
      <c r="F117" s="188">
        <f>opex_orig!F117</f>
        <v>2.0600000000000002E-6</v>
      </c>
      <c r="G117" s="188">
        <f>opex_orig!G117</f>
        <v>3.8099999999999998E-7</v>
      </c>
      <c r="H117" s="188">
        <f>opex_orig!H117</f>
        <v>7.0699999999999996E-7</v>
      </c>
      <c r="I117" s="188">
        <f>opex_orig!I117</f>
        <v>4.5399999999999997E-6</v>
      </c>
      <c r="J117" s="188">
        <f>opex_orig!J117</f>
        <v>1.27E-5</v>
      </c>
      <c r="K117" s="188">
        <f>opex_orig!K117</f>
        <v>1.1799999999999999E-6</v>
      </c>
      <c r="L117" s="188">
        <f>opex_orig!L117</f>
        <v>5.2800000000000003E-6</v>
      </c>
      <c r="M117" s="188">
        <f>opex_orig!M117</f>
        <v>2.7399999999999999E-5</v>
      </c>
      <c r="N117" s="188">
        <f>opex_orig!N117</f>
        <v>9.5200000000000003E-6</v>
      </c>
      <c r="O117" s="188">
        <f>opex_orig!O117</f>
        <v>7.9300000000000003E-6</v>
      </c>
      <c r="P117" s="188">
        <f>opex_orig!P117</f>
        <v>1.1399999999999999E-5</v>
      </c>
      <c r="Q117" s="188">
        <f>opex_orig!Q117</f>
        <v>1.7999999999999999E-6</v>
      </c>
      <c r="R117" s="188">
        <f>opex_orig!R117</f>
        <v>2.0899999999999999E-6</v>
      </c>
      <c r="S117" s="188">
        <f>opex_orig!S117</f>
        <v>2.27E-5</v>
      </c>
      <c r="T117" s="188">
        <f>opex_orig!T117</f>
        <v>1.95E-5</v>
      </c>
      <c r="U117" s="188">
        <f>opex_orig!U117</f>
        <v>3.1000000000000001E-5</v>
      </c>
      <c r="V117" s="188">
        <f>opex_orig!V117</f>
        <v>3.2400000000000001E-5</v>
      </c>
      <c r="W117" s="188">
        <f>opex_orig!W117</f>
        <v>2.4000000000000001E-5</v>
      </c>
      <c r="X117" s="188">
        <f>opex_orig!X117</f>
        <v>2.8100000000000002E-6</v>
      </c>
      <c r="Y117" s="188">
        <f>opex_orig!Y117</f>
        <v>1.7600000000000001E-5</v>
      </c>
      <c r="Z117" s="188">
        <f>opex_orig!Z117</f>
        <v>4.6600000000000001E-5</v>
      </c>
      <c r="AA117" s="188">
        <f>opex_orig!AA117</f>
        <v>2.4898200000000002E-4</v>
      </c>
      <c r="AB117" s="188">
        <f>opex_orig!$AB117</f>
        <v>5.6084333865515804E-6</v>
      </c>
      <c r="AC117" s="188">
        <f>opex_orig!$AB117</f>
        <v>5.6084333865515804E-6</v>
      </c>
      <c r="AD117" s="188">
        <f>opex_orig!$AB117</f>
        <v>5.6084333865515804E-6</v>
      </c>
      <c r="AE117" s="188">
        <f>opex_orig!$AC117</f>
        <v>1.8063171686576498E-5</v>
      </c>
      <c r="AF117" s="188">
        <f>opex_orig!$AD117</f>
        <v>3.6586364932319903E-5</v>
      </c>
      <c r="AG117" s="188">
        <f>opex_orig!$AD117</f>
        <v>3.6586364932319903E-5</v>
      </c>
      <c r="AH117" s="188">
        <f>opex_orig!$AD117</f>
        <v>3.6586364932319903E-5</v>
      </c>
      <c r="AI117" s="188">
        <f>opex_orig!AE117</f>
        <v>3.0000000000000001E-5</v>
      </c>
      <c r="AJ117" s="188">
        <f>opex_orig!AF117</f>
        <v>8.8499999999999996E-5</v>
      </c>
      <c r="AK117" s="188">
        <f>opex_orig!AG117</f>
        <v>1.06E-5</v>
      </c>
      <c r="AL117" s="188">
        <f>opex_orig!AH117</f>
        <v>3.7200000000000003E-5</v>
      </c>
      <c r="AM117" s="188">
        <f>opex_orig!AI117</f>
        <v>1.26E-5</v>
      </c>
      <c r="AN117" s="188">
        <f>opex_orig!AJ117</f>
        <v>1.5500000000000001E-5</v>
      </c>
      <c r="AO117" s="188">
        <f>opex_orig!AK117</f>
        <v>2.9799999999999999E-5</v>
      </c>
      <c r="AP117" s="188">
        <f>opex_orig!$AL117</f>
        <v>2.5894474739554E-5</v>
      </c>
      <c r="AQ117" s="188">
        <f>opex_orig!$AL117</f>
        <v>2.5894474739554E-5</v>
      </c>
      <c r="AR117" s="188">
        <f>opex_orig!$AL117</f>
        <v>2.5894474739554E-5</v>
      </c>
      <c r="AS117" s="188">
        <f>opex_orig!$AM117</f>
        <v>2.4121786479497401E-5</v>
      </c>
      <c r="AT117" s="188">
        <f>opex_orig!AN117</f>
        <v>2.7800000000000001E-5</v>
      </c>
      <c r="AU117" s="188">
        <f>opex_orig!$AO117</f>
        <v>1.19309592254275E-5</v>
      </c>
      <c r="AV117" s="188">
        <f>opex_orig!$AO117</f>
        <v>1.19309592254275E-5</v>
      </c>
      <c r="AW117" s="188">
        <f>opex_orig!$AO117</f>
        <v>1.19309592254275E-5</v>
      </c>
      <c r="AX117" s="188">
        <f>opex_orig!$AP117</f>
        <v>1.3541682457562601E-5</v>
      </c>
      <c r="AY117" s="188">
        <f>opex_orig!AQ117</f>
        <v>1.3499999999999999E-5</v>
      </c>
      <c r="AZ117" s="188">
        <f>opex_orig!AR117</f>
        <v>0</v>
      </c>
      <c r="BA117" s="188">
        <f>opex_orig!AS117</f>
        <v>1.2799999999999999E-5</v>
      </c>
      <c r="BB117" s="188">
        <f>opex_orig!AT117</f>
        <v>1.4E-5</v>
      </c>
      <c r="BC117" s="188">
        <f>opex_orig!AU117</f>
        <v>1.7600000000000001E-6</v>
      </c>
      <c r="BD117" s="188">
        <f>opex_orig!AV117</f>
        <v>1.08E-6</v>
      </c>
      <c r="BE117" s="188">
        <f>opex_orig!AW117</f>
        <v>8.5699999999999993E-6</v>
      </c>
      <c r="BF117" s="188">
        <f>opex_orig!AX117</f>
        <v>0</v>
      </c>
      <c r="BG117" s="188">
        <f>opex_orig!AY117</f>
        <v>1.1199999999999999E-5</v>
      </c>
      <c r="BH117" s="188">
        <f>opex_orig!AZ117</f>
        <v>0</v>
      </c>
      <c r="BI117" s="188">
        <f>opex_orig!BA117</f>
        <v>1.1199999999999999E-5</v>
      </c>
      <c r="BJ117" s="188">
        <f>opex_orig!BB117</f>
        <v>1.11E-5</v>
      </c>
      <c r="BK117" s="188">
        <f>opex_orig!BC117</f>
        <v>2.48E-5</v>
      </c>
      <c r="BL117" s="188">
        <f>opex_orig!BD117</f>
        <v>5.4399999999999996E-6</v>
      </c>
      <c r="BM117" s="188">
        <f>opex_orig!BE117</f>
        <v>1.21718E-4</v>
      </c>
      <c r="BN117" s="188">
        <f>opex_orig!BF117</f>
        <v>1.88E-5</v>
      </c>
      <c r="BO117" s="188">
        <f>opex_orig!BG117</f>
        <v>1.5800000000000001E-5</v>
      </c>
      <c r="BP117" s="188">
        <f>opex_orig!$BH117</f>
        <v>1.31488596527563E-5</v>
      </c>
      <c r="BQ117" s="188">
        <f>opex_orig!$BH117</f>
        <v>1.31488596527563E-5</v>
      </c>
      <c r="BR117" s="188">
        <f>opex_orig!BI117</f>
        <v>9.73E-6</v>
      </c>
      <c r="BS117" s="188">
        <f>opex_orig!BJ117</f>
        <v>2.7100000000000001E-5</v>
      </c>
      <c r="BT117" s="188">
        <f>opex_orig!BK117</f>
        <v>5.8699999999999997E-5</v>
      </c>
      <c r="BU117" s="188">
        <f>opex_orig!BL117</f>
        <v>0</v>
      </c>
      <c r="BV117" s="27">
        <f>opex_orig!BM117</f>
        <v>2.74745557241701E-5</v>
      </c>
      <c r="BW117" s="27">
        <f>opex_orig!BN117</f>
        <v>3.3593733734968998E-5</v>
      </c>
      <c r="BX117" s="27">
        <f>opex_orig!BO117</f>
        <v>1.6234424122470299E-5</v>
      </c>
      <c r="BY117" s="27">
        <f>opex_orig!BP117</f>
        <v>2.7718450157704001E-5</v>
      </c>
      <c r="BZ117" s="27">
        <f>opex_orig!BQ117</f>
        <v>3.0193646286308799E-5</v>
      </c>
      <c r="CA117" s="27">
        <f>opex_orig!BR117</f>
        <v>2.23114748335165E-4</v>
      </c>
      <c r="CB117" s="27">
        <f>opex_orig!BS117</f>
        <v>2.17486232235888E-5</v>
      </c>
      <c r="CC117" s="27">
        <f>opex_orig!BT117</f>
        <v>1.3050326829500401E-5</v>
      </c>
      <c r="CD117" s="27">
        <f>opex_orig!BU117</f>
        <v>3.5437060354442702E-5</v>
      </c>
      <c r="CE117" s="27">
        <f>opex_orig!BV117</f>
        <v>3.5437060354442601E-5</v>
      </c>
      <c r="CF117" s="27">
        <f>opex_orig!BW117</f>
        <v>5.0249283497734302E-6</v>
      </c>
      <c r="CG117" s="27">
        <f>opex_orig!BX117</f>
        <v>3.4650778491314201E-8</v>
      </c>
      <c r="CH117" s="27">
        <f>opex_orig!BY117</f>
        <v>3.1897515368980098E-8</v>
      </c>
      <c r="CI117" s="27">
        <f>opex_orig!BZ117</f>
        <v>4.3900000000000003E-5</v>
      </c>
      <c r="CJ117" s="27">
        <f>opex_orig!CA117</f>
        <v>4.1199999999999999E-5</v>
      </c>
      <c r="CK117" s="27">
        <f>opex_orig!CB117</f>
        <v>3.0199999999999999E-5</v>
      </c>
      <c r="CL117" s="27">
        <f>opex_orig!CC117</f>
        <v>2.7999999999999999E-6</v>
      </c>
      <c r="CM117" s="27">
        <f>opex_orig!CD117</f>
        <v>2.7800000000000001E-5</v>
      </c>
      <c r="CN117" s="27">
        <f>opex_orig!CE117</f>
        <v>1.35623E-4</v>
      </c>
      <c r="CO117" s="27">
        <f>opex_orig!CF117</f>
        <v>1.0604779999999999E-3</v>
      </c>
      <c r="CP117" s="27">
        <f>opex_orig!CG117</f>
        <v>1.77E-5</v>
      </c>
    </row>
    <row r="118" spans="1:94" x14ac:dyDescent="0.25">
      <c r="A118" s="5" t="s">
        <v>227</v>
      </c>
      <c r="B118" s="2" t="s">
        <v>226</v>
      </c>
      <c r="C118" s="1" t="s">
        <v>332</v>
      </c>
      <c r="D118" s="188">
        <f>opex_orig!D118</f>
        <v>6.3400799999999997E-3</v>
      </c>
      <c r="E118" s="188">
        <f>opex_orig!E118</f>
        <v>5.6428069999999997E-3</v>
      </c>
      <c r="F118" s="188">
        <f>opex_orig!F118</f>
        <v>1.0900749E-2</v>
      </c>
      <c r="G118" s="188">
        <f>opex_orig!G118</f>
        <v>4.4137760000000003E-3</v>
      </c>
      <c r="H118" s="188">
        <f>opex_orig!H118</f>
        <v>5.8615719999999998E-3</v>
      </c>
      <c r="I118" s="188">
        <f>opex_orig!I118</f>
        <v>3.554237E-3</v>
      </c>
      <c r="J118" s="188">
        <f>opex_orig!J118</f>
        <v>4.1518175999999997E-2</v>
      </c>
      <c r="K118" s="188">
        <f>opex_orig!K118</f>
        <v>1.4167216E-2</v>
      </c>
      <c r="L118" s="188">
        <f>opex_orig!L118</f>
        <v>3.376324E-3</v>
      </c>
      <c r="M118" s="188">
        <f>opex_orig!M118</f>
        <v>4.3705380000000002E-3</v>
      </c>
      <c r="N118" s="188">
        <f>opex_orig!N118</f>
        <v>2.0340494000000001E-2</v>
      </c>
      <c r="O118" s="188">
        <f>opex_orig!O118</f>
        <v>6.1438700000000001E-3</v>
      </c>
      <c r="P118" s="188">
        <f>opex_orig!P118</f>
        <v>4.9782180000000004E-3</v>
      </c>
      <c r="Q118" s="188">
        <f>opex_orig!Q118</f>
        <v>1.6421649999999999E-2</v>
      </c>
      <c r="R118" s="188">
        <f>opex_orig!R118</f>
        <v>2.2644093000000001E-2</v>
      </c>
      <c r="S118" s="188">
        <f>opex_orig!S118</f>
        <v>5.0963969999999999E-3</v>
      </c>
      <c r="T118" s="188">
        <f>opex_orig!T118</f>
        <v>1.6933027999999999E-2</v>
      </c>
      <c r="U118" s="188">
        <f>opex_orig!U118</f>
        <v>7.0270469999999998E-3</v>
      </c>
      <c r="V118" s="188">
        <f>opex_orig!V118</f>
        <v>9.7906980000000005E-3</v>
      </c>
      <c r="W118" s="188">
        <f>opex_orig!W118</f>
        <v>3.870657E-3</v>
      </c>
      <c r="X118" s="188">
        <f>opex_orig!X118</f>
        <v>2.5731909999999998E-3</v>
      </c>
      <c r="Y118" s="188">
        <f>opex_orig!Y118</f>
        <v>1.0231779E-2</v>
      </c>
      <c r="Z118" s="188">
        <f>opex_orig!Z118</f>
        <v>1.0472739E-2</v>
      </c>
      <c r="AA118" s="188">
        <f>opex_orig!AA118</f>
        <v>4.6224438E-2</v>
      </c>
      <c r="AB118" s="246">
        <f>opex_concordance!M160</f>
        <v>0.24062650606124397</v>
      </c>
      <c r="AC118" s="246">
        <f>opex_concordance!M205</f>
        <v>0.20669734244665436</v>
      </c>
      <c r="AD118" s="246">
        <f>opex_concordance!M250</f>
        <v>0.12249190477104857</v>
      </c>
      <c r="AE118" s="188">
        <f>opex_orig!$AC118</f>
        <v>4.6401681099970803E-2</v>
      </c>
      <c r="AF118" s="238">
        <f>opex_concordance!$M$318</f>
        <v>1.0960305363634499E-2</v>
      </c>
      <c r="AG118" s="238">
        <f>opex_concordance!$M$354</f>
        <v>4.8569876311202907E-3</v>
      </c>
      <c r="AH118" s="238">
        <f>opex_concordance!$M$390</f>
        <v>3.896740330071367E-3</v>
      </c>
      <c r="AI118" s="188">
        <f>opex_orig!AE118</f>
        <v>7.1311439999999999E-3</v>
      </c>
      <c r="AJ118" s="188">
        <f>opex_orig!AF118</f>
        <v>3.1047010000000001E-3</v>
      </c>
      <c r="AK118" s="188">
        <f>opex_orig!AG118</f>
        <v>4.5085330000000003E-3</v>
      </c>
      <c r="AL118" s="188">
        <f>opex_orig!AH118</f>
        <v>5.4401789999999998E-3</v>
      </c>
      <c r="AM118" s="188">
        <f>opex_orig!AI118</f>
        <v>1.3632224E-2</v>
      </c>
      <c r="AN118" s="188">
        <f>opex_orig!AJ118</f>
        <v>6.8156670000000001E-3</v>
      </c>
      <c r="AO118" s="188">
        <f>opex_orig!AK118</f>
        <v>2.1156702999999999E-2</v>
      </c>
      <c r="AP118" s="238">
        <f>opex_concordance!M446</f>
        <v>8.7274057296664997E-3</v>
      </c>
      <c r="AQ118" s="238">
        <f>opex_concordance!M500</f>
        <v>7.0237337940773237E-3</v>
      </c>
      <c r="AR118" s="238">
        <f>opex_concordance!M554</f>
        <v>7.7079340371896407E-3</v>
      </c>
      <c r="AS118" s="188">
        <f>opex_orig!$AM118</f>
        <v>1.53067325731444E-2</v>
      </c>
      <c r="AT118" s="188">
        <f>opex_orig!AN118</f>
        <v>9.5218149999999994E-3</v>
      </c>
      <c r="AU118" s="238">
        <f>opex_concordance!M566</f>
        <v>6.0069637361832703E-3</v>
      </c>
      <c r="AV118" s="238">
        <f>opex_concordance!M612</f>
        <v>5.4402927106159639E-3</v>
      </c>
      <c r="AW118" s="238">
        <f>opex_concordance!M658</f>
        <v>4.9792465824657047E-3</v>
      </c>
      <c r="AX118" s="188">
        <f>opex_orig!$AP118</f>
        <v>9.2892937849749398E-3</v>
      </c>
      <c r="AY118" s="188">
        <f>opex_orig!AQ118</f>
        <v>1.5829472000000001E-2</v>
      </c>
      <c r="AZ118" s="188">
        <f>opex_orig!AR118</f>
        <v>0</v>
      </c>
      <c r="BA118" s="188">
        <f>opex_orig!AS118</f>
        <v>1.3096956999999999E-2</v>
      </c>
      <c r="BB118" s="188">
        <f>opex_orig!AT118</f>
        <v>9.3400559999999994E-3</v>
      </c>
      <c r="BC118" s="188">
        <f>opex_orig!AU118</f>
        <v>8.5057829999999994E-3</v>
      </c>
      <c r="BD118" s="188">
        <f>opex_orig!AV118</f>
        <v>7.9143159999999994E-3</v>
      </c>
      <c r="BE118" s="188">
        <f>opex_orig!AW118</f>
        <v>9.5380870000000006E-3</v>
      </c>
      <c r="BF118" s="188">
        <f>opex_orig!AX118</f>
        <v>0</v>
      </c>
      <c r="BG118" s="188">
        <f>opex_orig!AY118</f>
        <v>3.9557759999999997E-2</v>
      </c>
      <c r="BH118" s="188">
        <f>opex_orig!AZ118</f>
        <v>0</v>
      </c>
      <c r="BI118" s="188">
        <f>opex_orig!BA118</f>
        <v>5.1682159999999998E-3</v>
      </c>
      <c r="BJ118" s="188">
        <f>opex_orig!BB118</f>
        <v>8.0799930000000006E-3</v>
      </c>
      <c r="BK118" s="188">
        <f>opex_orig!BC118</f>
        <v>1.820201E-3</v>
      </c>
      <c r="BL118" s="188">
        <f>opex_orig!BD118</f>
        <v>2.8007240000000001E-3</v>
      </c>
      <c r="BM118" s="188">
        <f>opex_orig!BE118</f>
        <v>1.725288E-3</v>
      </c>
      <c r="BN118" s="188">
        <f>opex_orig!BF118</f>
        <v>1.807003E-3</v>
      </c>
      <c r="BO118" s="188">
        <f>opex_orig!BG118</f>
        <v>3.607393E-3</v>
      </c>
      <c r="BP118" s="246">
        <f>opex_concordance!M107</f>
        <v>1.7141242837654683E-2</v>
      </c>
      <c r="BQ118" s="246">
        <f>opex_concordance!M150</f>
        <v>1.4694990529223927E-2</v>
      </c>
      <c r="BR118" s="188">
        <f>opex_orig!BI118</f>
        <v>4.8198299999999998E-3</v>
      </c>
      <c r="BS118" s="188">
        <f>opex_orig!BJ118</f>
        <v>3.6306870000000001E-3</v>
      </c>
      <c r="BT118" s="188">
        <f>opex_orig!BK118</f>
        <v>2.4241413999999999E-2</v>
      </c>
      <c r="BU118" s="188">
        <f>opex_orig!BL118</f>
        <v>0</v>
      </c>
      <c r="BV118" s="27">
        <f>opex_orig!BM118</f>
        <v>5.6007320938512798E-3</v>
      </c>
      <c r="BW118" s="27">
        <f>opex_orig!BN118</f>
        <v>1.60737486685603E-2</v>
      </c>
      <c r="BX118" s="27">
        <f>opex_orig!BO118</f>
        <v>3.51313178275885E-3</v>
      </c>
      <c r="BY118" s="27">
        <f>opex_orig!BP118</f>
        <v>1.07860983141567E-2</v>
      </c>
      <c r="BZ118" s="27">
        <f>opex_orig!BQ118</f>
        <v>3.2894485936884599E-2</v>
      </c>
      <c r="CA118" s="27">
        <f>opex_orig!BR118</f>
        <v>8.6312403709191306E-3</v>
      </c>
      <c r="CB118" s="27">
        <f>opex_orig!BS118</f>
        <v>9.3652897424366499E-2</v>
      </c>
      <c r="CC118" s="27">
        <f>opex_orig!BT118</f>
        <v>4.4330213693547001E-3</v>
      </c>
      <c r="CD118" s="27">
        <f>opex_orig!BU118</f>
        <v>2.8249797531524098E-3</v>
      </c>
      <c r="CE118" s="27">
        <f>opex_orig!BV118</f>
        <v>2.8249797531524198E-3</v>
      </c>
      <c r="CF118" s="27">
        <f>opex_orig!BW118</f>
        <v>1.73836651831532E-2</v>
      </c>
      <c r="CG118" s="27">
        <f>opex_orig!BX118</f>
        <v>2.50150258372995E-2</v>
      </c>
      <c r="CH118" s="27">
        <f>opex_orig!BY118</f>
        <v>5.1819394862894297E-3</v>
      </c>
      <c r="CI118" s="27">
        <f>opex_orig!BZ118</f>
        <v>9.9211309999999997E-3</v>
      </c>
      <c r="CJ118" s="27">
        <f>opex_orig!CA118</f>
        <v>5.3185860000000001E-3</v>
      </c>
      <c r="CK118" s="27">
        <f>opex_orig!CB118</f>
        <v>5.2870110000000003E-3</v>
      </c>
      <c r="CL118" s="27">
        <f>opex_orig!CC118</f>
        <v>2.0970870000000001E-3</v>
      </c>
      <c r="CM118" s="27">
        <f>opex_orig!CD118</f>
        <v>1.7808022999999999E-2</v>
      </c>
      <c r="CN118" s="27">
        <f>opex_orig!CE118</f>
        <v>8.8325829999999998E-3</v>
      </c>
      <c r="CO118" s="27">
        <f>opex_orig!CF118</f>
        <v>4.9817120000000001E-3</v>
      </c>
      <c r="CP118" s="27">
        <f>opex_orig!CG118</f>
        <v>9.5472939999999996E-3</v>
      </c>
    </row>
    <row r="119" spans="1:94" x14ac:dyDescent="0.25">
      <c r="A119" s="5" t="s">
        <v>229</v>
      </c>
      <c r="B119" s="2" t="s">
        <v>228</v>
      </c>
      <c r="C119" s="1" t="s">
        <v>332</v>
      </c>
      <c r="D119" s="188">
        <f>opex_orig!D119</f>
        <v>1.0825850000000001E-3</v>
      </c>
      <c r="E119" s="188">
        <f>opex_orig!E119</f>
        <v>9.59303E-4</v>
      </c>
      <c r="F119" s="188">
        <f>opex_orig!F119</f>
        <v>1.9393069999999999E-3</v>
      </c>
      <c r="G119" s="188">
        <f>opex_orig!G119</f>
        <v>7.4770200000000005E-4</v>
      </c>
      <c r="H119" s="188">
        <f>opex_orig!H119</f>
        <v>1.0164289999999999E-3</v>
      </c>
      <c r="I119" s="188">
        <f>opex_orig!I119</f>
        <v>5.9778399999999997E-4</v>
      </c>
      <c r="J119" s="188">
        <f>opex_orig!J119</f>
        <v>6.2125289999999996E-3</v>
      </c>
      <c r="K119" s="188">
        <f>opex_orig!K119</f>
        <v>2.3934709999999999E-3</v>
      </c>
      <c r="L119" s="188">
        <f>opex_orig!L119</f>
        <v>5.7797700000000003E-4</v>
      </c>
      <c r="M119" s="188">
        <f>opex_orig!M119</f>
        <v>7.5378800000000003E-4</v>
      </c>
      <c r="N119" s="188">
        <f>opex_orig!N119</f>
        <v>3.5894529999999998E-3</v>
      </c>
      <c r="O119" s="188">
        <f>opex_orig!O119</f>
        <v>1.5035129999999999E-3</v>
      </c>
      <c r="P119" s="188">
        <f>opex_orig!P119</f>
        <v>9.5973300000000005E-4</v>
      </c>
      <c r="Q119" s="188">
        <f>opex_orig!Q119</f>
        <v>3.1038160000000001E-3</v>
      </c>
      <c r="R119" s="188">
        <f>opex_orig!R119</f>
        <v>4.0824399999999997E-3</v>
      </c>
      <c r="S119" s="188">
        <f>opex_orig!S119</f>
        <v>1.4378380000000001E-3</v>
      </c>
      <c r="T119" s="188">
        <f>opex_orig!T119</f>
        <v>3.5712109999999999E-3</v>
      </c>
      <c r="U119" s="188">
        <f>opex_orig!U119</f>
        <v>1.134255E-3</v>
      </c>
      <c r="V119" s="188">
        <f>opex_orig!V119</f>
        <v>1.6084230000000001E-3</v>
      </c>
      <c r="W119" s="188">
        <f>opex_orig!W119</f>
        <v>6.6303399999999995E-4</v>
      </c>
      <c r="X119" s="188">
        <f>opex_orig!X119</f>
        <v>4.5750899999999999E-4</v>
      </c>
      <c r="Y119" s="188">
        <f>opex_orig!Y119</f>
        <v>1.772715E-3</v>
      </c>
      <c r="Z119" s="188">
        <f>opex_orig!Z119</f>
        <v>3.4129849999999999E-3</v>
      </c>
      <c r="AA119" s="188">
        <f>opex_orig!AA119</f>
        <v>7.771165E-3</v>
      </c>
      <c r="AB119" s="274">
        <f>opex_concordance!M192</f>
        <v>4.1115712416530302E-2</v>
      </c>
      <c r="AC119" s="274">
        <f>opex_concordance!M237</f>
        <v>3.2657380679857392E-2</v>
      </c>
      <c r="AD119" s="274">
        <f>opex_concordance!M282</f>
        <v>0</v>
      </c>
      <c r="AE119" s="188">
        <f>opex_orig!$AC119</f>
        <v>7.9536751311474908E-3</v>
      </c>
      <c r="AF119" s="188">
        <f>opex_orig!$AD119</f>
        <v>1.8983040392490001E-3</v>
      </c>
      <c r="AG119" s="188">
        <f>opex_orig!$AD119</f>
        <v>1.8983040392490001E-3</v>
      </c>
      <c r="AH119" s="188">
        <f>opex_orig!$AD119</f>
        <v>1.8983040392490001E-3</v>
      </c>
      <c r="AI119" s="188">
        <f>opex_orig!AE119</f>
        <v>1.2270180000000001E-3</v>
      </c>
      <c r="AJ119" s="188">
        <f>opex_orig!AF119</f>
        <v>5.6115400000000001E-4</v>
      </c>
      <c r="AK119" s="188">
        <f>opex_orig!AG119</f>
        <v>5.3992899999999997E-4</v>
      </c>
      <c r="AL119" s="188">
        <f>opex_orig!AH119</f>
        <v>6.30666E-4</v>
      </c>
      <c r="AM119" s="188">
        <f>opex_orig!AI119</f>
        <v>1.8154250000000001E-3</v>
      </c>
      <c r="AN119" s="188">
        <f>opex_orig!AJ119</f>
        <v>9.778670000000001E-4</v>
      </c>
      <c r="AO119" s="188">
        <f>opex_orig!AK119</f>
        <v>2.8009129999999999E-3</v>
      </c>
      <c r="AP119" s="188">
        <f>opex_orig!$AL119</f>
        <v>1.08380136630958E-3</v>
      </c>
      <c r="AQ119" s="188">
        <f>opex_orig!$AL119</f>
        <v>1.08380136630958E-3</v>
      </c>
      <c r="AR119" s="188">
        <f>opex_orig!$AL119</f>
        <v>1.08380136630958E-3</v>
      </c>
      <c r="AS119" s="188">
        <f>opex_orig!$AM119</f>
        <v>2.2250270587862902E-3</v>
      </c>
      <c r="AT119" s="188">
        <f>opex_orig!AN119</f>
        <v>1.175358E-3</v>
      </c>
      <c r="AU119" s="188">
        <f>opex_orig!$AO119</f>
        <v>9.4937693008211401E-4</v>
      </c>
      <c r="AV119" s="188">
        <f>opex_orig!$AO119</f>
        <v>9.4937693008211401E-4</v>
      </c>
      <c r="AW119" s="188">
        <f>opex_orig!$AO119</f>
        <v>9.4937693008211401E-4</v>
      </c>
      <c r="AX119" s="188">
        <f>opex_orig!$AP119</f>
        <v>1.5382397665302499E-3</v>
      </c>
      <c r="AY119" s="188">
        <f>opex_orig!AQ119</f>
        <v>2.4490409999999999E-3</v>
      </c>
      <c r="AZ119" s="188">
        <f>opex_orig!AR119</f>
        <v>0</v>
      </c>
      <c r="BA119" s="188">
        <f>opex_orig!AS119</f>
        <v>2.2939530000000001E-3</v>
      </c>
      <c r="BB119" s="188">
        <f>opex_orig!AT119</f>
        <v>1.832293E-3</v>
      </c>
      <c r="BC119" s="188">
        <f>opex_orig!AU119</f>
        <v>1.3149909999999999E-3</v>
      </c>
      <c r="BD119" s="188">
        <f>opex_orig!AV119</f>
        <v>1.250794E-3</v>
      </c>
      <c r="BE119" s="188">
        <f>opex_orig!AW119</f>
        <v>1.755085E-3</v>
      </c>
      <c r="BF119" s="188">
        <f>opex_orig!AX119</f>
        <v>0</v>
      </c>
      <c r="BG119" s="188">
        <f>opex_orig!AY119</f>
        <v>7.4764890000000002E-3</v>
      </c>
      <c r="BH119" s="188">
        <f>opex_orig!AZ119</f>
        <v>0</v>
      </c>
      <c r="BI119" s="188">
        <f>opex_orig!BA119</f>
        <v>9.2348099999999998E-4</v>
      </c>
      <c r="BJ119" s="188">
        <f>opex_orig!BB119</f>
        <v>7.8964499999999995E-4</v>
      </c>
      <c r="BK119" s="188">
        <f>opex_orig!BC119</f>
        <v>3.3084599999999998E-4</v>
      </c>
      <c r="BL119" s="188">
        <f>opex_orig!BD119</f>
        <v>5.1916600000000005E-4</v>
      </c>
      <c r="BM119" s="188">
        <f>opex_orig!BE119</f>
        <v>3.4774699999999998E-4</v>
      </c>
      <c r="BN119" s="188">
        <f>opex_orig!BF119</f>
        <v>3.6966599999999999E-4</v>
      </c>
      <c r="BO119" s="188">
        <f>opex_orig!BG119</f>
        <v>6.7194100000000001E-4</v>
      </c>
      <c r="BP119" s="188">
        <f>opex_orig!$BH119</f>
        <v>2.1795551431961599E-3</v>
      </c>
      <c r="BQ119" s="188">
        <f>opex_orig!$BH119</f>
        <v>2.1795551431961599E-3</v>
      </c>
      <c r="BR119" s="188">
        <f>opex_orig!BI119</f>
        <v>1.171783E-3</v>
      </c>
      <c r="BS119" s="188">
        <f>opex_orig!BJ119</f>
        <v>8.5212799999999996E-4</v>
      </c>
      <c r="BT119" s="188">
        <f>opex_orig!BK119</f>
        <v>1.0152072999999999E-2</v>
      </c>
      <c r="BU119" s="188">
        <f>opex_orig!BL119</f>
        <v>0</v>
      </c>
      <c r="BV119" s="27">
        <f>opex_orig!BM119</f>
        <v>6.9891710473587402E-4</v>
      </c>
      <c r="BW119" s="27">
        <f>opex_orig!BN119</f>
        <v>2.7599531680010301E-3</v>
      </c>
      <c r="BX119" s="27">
        <f>opex_orig!BO119</f>
        <v>3.2728100450470202E-4</v>
      </c>
      <c r="BY119" s="27">
        <f>opex_orig!BP119</f>
        <v>1.58671887809436E-3</v>
      </c>
      <c r="BZ119" s="27">
        <f>opex_orig!BQ119</f>
        <v>5.3322783199215096E-3</v>
      </c>
      <c r="CA119" s="27">
        <f>opex_orig!BR119</f>
        <v>2.7293928207193703E-4</v>
      </c>
      <c r="CB119" s="27">
        <f>opex_orig!BS119</f>
        <v>1.6313251670235999E-2</v>
      </c>
      <c r="CC119" s="27">
        <f>opex_orig!BT119</f>
        <v>5.2051993722639696E-4</v>
      </c>
      <c r="CD119" s="27">
        <f>opex_orig!BU119</f>
        <v>4.9088240193533896E-4</v>
      </c>
      <c r="CE119" s="27">
        <f>opex_orig!BV119</f>
        <v>4.9088240193533896E-4</v>
      </c>
      <c r="CF119" s="27">
        <f>opex_orig!BW119</f>
        <v>1.4379490678363301E-3</v>
      </c>
      <c r="CG119" s="27">
        <f>opex_orig!BX119</f>
        <v>1.4802481556884699E-3</v>
      </c>
      <c r="CH119" s="27">
        <f>opex_orig!BY119</f>
        <v>3.7790012060312499E-3</v>
      </c>
      <c r="CI119" s="27">
        <f>opex_orig!BZ119</f>
        <v>1.3541810000000001E-3</v>
      </c>
      <c r="CJ119" s="27">
        <f>opex_orig!CA119</f>
        <v>5.8480000000000001E-4</v>
      </c>
      <c r="CK119" s="27">
        <f>opex_orig!CB119</f>
        <v>4.2081099999999999E-4</v>
      </c>
      <c r="CL119" s="27">
        <f>opex_orig!CC119</f>
        <v>3.4181800000000003E-4</v>
      </c>
      <c r="CM119" s="27">
        <f>opex_orig!CD119</f>
        <v>1.3695510000000001E-3</v>
      </c>
      <c r="CN119" s="27">
        <f>opex_orig!CE119</f>
        <v>2.2522750000000002E-3</v>
      </c>
      <c r="CO119" s="27">
        <f>opex_orig!CF119</f>
        <v>1.7079440000000001E-3</v>
      </c>
      <c r="CP119" s="27">
        <f>opex_orig!CG119</f>
        <v>1.3338670000000001E-3</v>
      </c>
    </row>
    <row r="120" spans="1:94" x14ac:dyDescent="0.25">
      <c r="A120" s="5" t="s">
        <v>231</v>
      </c>
      <c r="B120" s="2" t="s">
        <v>230</v>
      </c>
      <c r="C120" s="1" t="s">
        <v>332</v>
      </c>
      <c r="D120" s="188">
        <f>opex_orig!D120</f>
        <v>5.2897758000000003E-2</v>
      </c>
      <c r="E120" s="188">
        <f>opex_orig!E120</f>
        <v>4.6278545999999997E-2</v>
      </c>
      <c r="F120" s="188">
        <f>opex_orig!F120</f>
        <v>6.3282281999999995E-2</v>
      </c>
      <c r="G120" s="188">
        <f>opex_orig!G120</f>
        <v>1.8859728999999999E-2</v>
      </c>
      <c r="H120" s="188">
        <f>opex_orig!H120</f>
        <v>2.8394804999999999E-2</v>
      </c>
      <c r="I120" s="188">
        <f>opex_orig!I120</f>
        <v>6.1372449000000003E-2</v>
      </c>
      <c r="J120" s="188">
        <f>opex_orig!J120</f>
        <v>0.15818348600000001</v>
      </c>
      <c r="K120" s="188">
        <f>opex_orig!K120</f>
        <v>5.4125582999999998E-2</v>
      </c>
      <c r="L120" s="188">
        <f>opex_orig!L120</f>
        <v>8.3851055999999993E-2</v>
      </c>
      <c r="M120" s="188">
        <f>opex_orig!M120</f>
        <v>0.19932937100000001</v>
      </c>
      <c r="N120" s="188">
        <f>opex_orig!N120</f>
        <v>0.19275814099999999</v>
      </c>
      <c r="O120" s="188">
        <f>opex_orig!O120</f>
        <v>0.11826442099999999</v>
      </c>
      <c r="P120" s="188">
        <f>opex_orig!P120</f>
        <v>5.6693235000000002E-2</v>
      </c>
      <c r="Q120" s="188">
        <f>opex_orig!Q120</f>
        <v>9.8802100000000004E-2</v>
      </c>
      <c r="R120" s="188">
        <f>opex_orig!R120</f>
        <v>0.12718723700000001</v>
      </c>
      <c r="S120" s="188">
        <f>opex_orig!S120</f>
        <v>3.6350274000000002E-2</v>
      </c>
      <c r="T120" s="188">
        <f>opex_orig!T120</f>
        <v>8.8520909999999994E-2</v>
      </c>
      <c r="U120" s="188">
        <f>opex_orig!U120</f>
        <v>4.4718923000000001E-2</v>
      </c>
      <c r="V120" s="188">
        <f>opex_orig!V120</f>
        <v>5.4536973000000002E-2</v>
      </c>
      <c r="W120" s="188">
        <f>opex_orig!W120</f>
        <v>4.4759300000000002E-2</v>
      </c>
      <c r="X120" s="188">
        <f>opex_orig!X120</f>
        <v>5.5580422999999997E-2</v>
      </c>
      <c r="Y120" s="188">
        <f>opex_orig!Y120</f>
        <v>4.8460617999999997E-2</v>
      </c>
      <c r="Z120" s="188">
        <f>opex_orig!Z120</f>
        <v>3.7175910999999999E-2</v>
      </c>
      <c r="AA120" s="188">
        <f>opex_orig!AA120</f>
        <v>0.14436406399999999</v>
      </c>
      <c r="AB120" s="247">
        <f>opex_concordance!M161</f>
        <v>0.357646054898278</v>
      </c>
      <c r="AC120" s="247">
        <f>opex_concordance!M206</f>
        <v>0.30721673307756514</v>
      </c>
      <c r="AD120" s="247">
        <f>opex_concordance!M251</f>
        <v>0.16082230744495032</v>
      </c>
      <c r="AE120" s="188">
        <f>opex_orig!$AC120</f>
        <v>0.169727892590811</v>
      </c>
      <c r="AF120" s="231">
        <f>opex_concordance!$M$319</f>
        <v>5.2021404617691697E-2</v>
      </c>
      <c r="AG120" s="231">
        <f>opex_concordance!$M$355</f>
        <v>2.3052945187089811E-2</v>
      </c>
      <c r="AH120" s="231">
        <f>opex_concordance!$M$391</f>
        <v>1.849527897948082E-2</v>
      </c>
      <c r="AI120" s="188">
        <f>opex_orig!AE120</f>
        <v>3.9522473000000002E-2</v>
      </c>
      <c r="AJ120" s="188">
        <f>opex_orig!AF120</f>
        <v>7.5482272000000003E-2</v>
      </c>
      <c r="AK120" s="188">
        <f>opex_orig!AG120</f>
        <v>5.5607954000000001E-2</v>
      </c>
      <c r="AL120" s="188">
        <f>opex_orig!AH120</f>
        <v>2.940361E-2</v>
      </c>
      <c r="AM120" s="188">
        <f>opex_orig!AI120</f>
        <v>5.9315211E-2</v>
      </c>
      <c r="AN120" s="188">
        <f>opex_orig!AJ120</f>
        <v>3.3940799000000001E-2</v>
      </c>
      <c r="AO120" s="188">
        <f>opex_orig!AK120</f>
        <v>7.7683123000000007E-2</v>
      </c>
      <c r="AP120" s="231">
        <f>opex_concordance!M447</f>
        <v>3.8934471268083401E-2</v>
      </c>
      <c r="AQ120" s="231">
        <f>opex_concordance!M501</f>
        <v>3.1334095156203987E-2</v>
      </c>
      <c r="AR120" s="231">
        <f>opex_concordance!M555</f>
        <v>3.4386431157556609E-2</v>
      </c>
      <c r="AS120" s="188">
        <f>opex_orig!$AM120</f>
        <v>6.21944831505633E-2</v>
      </c>
      <c r="AT120" s="188">
        <f>opex_orig!AN120</f>
        <v>4.3413438999999998E-2</v>
      </c>
      <c r="AU120" s="231">
        <f>opex_concordance!M567</f>
        <v>3.5708672953641503E-2</v>
      </c>
      <c r="AV120" s="231">
        <f>opex_concordance!M613</f>
        <v>3.2340070908917891E-2</v>
      </c>
      <c r="AW120" s="231">
        <f>opex_concordance!M659</f>
        <v>2.9599360938006549E-2</v>
      </c>
      <c r="AX120" s="188">
        <f>opex_orig!$AP120</f>
        <v>5.0841793572019699E-2</v>
      </c>
      <c r="AY120" s="188">
        <f>opex_orig!AQ120</f>
        <v>6.2399393999999997E-2</v>
      </c>
      <c r="AZ120" s="188">
        <f>opex_orig!AR120</f>
        <v>0</v>
      </c>
      <c r="BA120" s="188">
        <f>opex_orig!AS120</f>
        <v>4.8955772000000002E-2</v>
      </c>
      <c r="BB120" s="188">
        <f>opex_orig!AT120</f>
        <v>3.6499759E-2</v>
      </c>
      <c r="BC120" s="188">
        <f>opex_orig!AU120</f>
        <v>3.6206851999999998E-2</v>
      </c>
      <c r="BD120" s="188">
        <f>opex_orig!AV120</f>
        <v>3.6250612000000002E-2</v>
      </c>
      <c r="BE120" s="188">
        <f>opex_orig!AW120</f>
        <v>4.7021668000000003E-2</v>
      </c>
      <c r="BF120" s="188">
        <f>opex_orig!AX120</f>
        <v>0</v>
      </c>
      <c r="BG120" s="188">
        <f>opex_orig!AY120</f>
        <v>0.173477718</v>
      </c>
      <c r="BH120" s="188">
        <f>opex_orig!AZ120</f>
        <v>0</v>
      </c>
      <c r="BI120" s="188">
        <f>opex_orig!BA120</f>
        <v>3.3094944000000001E-2</v>
      </c>
      <c r="BJ120" s="188">
        <f>opex_orig!BB120</f>
        <v>2.3265233999999999E-2</v>
      </c>
      <c r="BK120" s="188">
        <f>opex_orig!BC120</f>
        <v>3.2609791999999999E-2</v>
      </c>
      <c r="BL120" s="188">
        <f>opex_orig!BD120</f>
        <v>3.1222646E-2</v>
      </c>
      <c r="BM120" s="188">
        <f>opex_orig!BE120</f>
        <v>1.6184898999999999E-2</v>
      </c>
      <c r="BN120" s="188">
        <f>opex_orig!BF120</f>
        <v>3.8281326999999997E-2</v>
      </c>
      <c r="BO120" s="188">
        <f>opex_orig!BG120</f>
        <v>6.0106680000000003E-2</v>
      </c>
      <c r="BP120" s="247">
        <f>opex_concordance!M108</f>
        <v>3.6935275961190693E-2</v>
      </c>
      <c r="BQ120" s="247">
        <f>opex_concordance!M151</f>
        <v>3.1664187689568489E-2</v>
      </c>
      <c r="BR120" s="188">
        <f>opex_orig!BI120</f>
        <v>2.2503537000000001E-2</v>
      </c>
      <c r="BS120" s="188">
        <f>opex_orig!BJ120</f>
        <v>2.6395842999999999E-2</v>
      </c>
      <c r="BT120" s="188">
        <f>opex_orig!BK120</f>
        <v>5.8830331E-2</v>
      </c>
      <c r="BU120" s="188">
        <f>opex_orig!BL120</f>
        <v>0</v>
      </c>
      <c r="BV120" s="27">
        <f>opex_orig!BM120</f>
        <v>2.3965573699748301E-2</v>
      </c>
      <c r="BW120" s="27">
        <f>opex_orig!BN120</f>
        <v>8.1483341738130904E-2</v>
      </c>
      <c r="BX120" s="27">
        <f>opex_orig!BO120</f>
        <v>7.4399545275371801E-3</v>
      </c>
      <c r="BY120" s="27">
        <f>opex_orig!BP120</f>
        <v>2.6161791863222698E-2</v>
      </c>
      <c r="BZ120" s="27">
        <f>opex_orig!BQ120</f>
        <v>4.3736272762718298E-2</v>
      </c>
      <c r="CA120" s="27">
        <f>opex_orig!BR120</f>
        <v>1.9635223058099002E-2</v>
      </c>
      <c r="CB120" s="27">
        <f>opex_orig!BS120</f>
        <v>0.225370319324109</v>
      </c>
      <c r="CC120" s="27">
        <f>opex_orig!BT120</f>
        <v>2.16536653370639E-2</v>
      </c>
      <c r="CD120" s="27">
        <f>opex_orig!BU120</f>
        <v>1.7168994231766301E-2</v>
      </c>
      <c r="CE120" s="27">
        <f>opex_orig!BV120</f>
        <v>1.7168994231766401E-2</v>
      </c>
      <c r="CF120" s="27">
        <f>opex_orig!BW120</f>
        <v>4.5566789678724101E-2</v>
      </c>
      <c r="CG120" s="27">
        <f>opex_orig!BX120</f>
        <v>0.12161765813971399</v>
      </c>
      <c r="CH120" s="27">
        <f>opex_orig!BY120</f>
        <v>3.8426005168540701E-2</v>
      </c>
      <c r="CI120" s="27">
        <f>opex_orig!BZ120</f>
        <v>2.9709770999999999E-2</v>
      </c>
      <c r="CJ120" s="27">
        <f>opex_orig!CA120</f>
        <v>1.6082332000000001E-2</v>
      </c>
      <c r="CK120" s="27">
        <f>opex_orig!CB120</f>
        <v>1.2380079E-2</v>
      </c>
      <c r="CL120" s="27">
        <f>opex_orig!CC120</f>
        <v>1.4443538000000001E-2</v>
      </c>
      <c r="CM120" s="27">
        <f>opex_orig!CD120</f>
        <v>3.3173631000000002E-2</v>
      </c>
      <c r="CN120" s="27">
        <f>opex_orig!CE120</f>
        <v>3.4865536000000003E-2</v>
      </c>
      <c r="CO120" s="27">
        <f>opex_orig!CF120</f>
        <v>1.7027521E-2</v>
      </c>
      <c r="CP120" s="27">
        <f>opex_orig!CG120</f>
        <v>1.6444690000000001E-2</v>
      </c>
    </row>
    <row r="121" spans="1:94" x14ac:dyDescent="0.25">
      <c r="A121" s="5" t="s">
        <v>233</v>
      </c>
      <c r="B121" s="2" t="s">
        <v>232</v>
      </c>
      <c r="C121" s="1" t="s">
        <v>332</v>
      </c>
      <c r="D121" s="188">
        <f>opex_orig!D121</f>
        <v>2.7047005999999998E-2</v>
      </c>
      <c r="E121" s="188">
        <f>opex_orig!E121</f>
        <v>1.3680804E-2</v>
      </c>
      <c r="F121" s="188">
        <f>opex_orig!F121</f>
        <v>1.8247267000000001E-2</v>
      </c>
      <c r="G121" s="188">
        <f>opex_orig!G121</f>
        <v>5.3808329999999998E-3</v>
      </c>
      <c r="H121" s="188">
        <f>opex_orig!H121</f>
        <v>5.6697509999999998E-3</v>
      </c>
      <c r="I121" s="188">
        <f>opex_orig!I121</f>
        <v>1.4300277E-2</v>
      </c>
      <c r="J121" s="188">
        <f>opex_orig!J121</f>
        <v>4.8329324E-2</v>
      </c>
      <c r="K121" s="188">
        <f>opex_orig!K121</f>
        <v>1.2623667E-2</v>
      </c>
      <c r="L121" s="188">
        <f>opex_orig!L121</f>
        <v>2.1350544999999999E-2</v>
      </c>
      <c r="M121" s="188">
        <f>opex_orig!M121</f>
        <v>4.3004753E-2</v>
      </c>
      <c r="N121" s="188">
        <f>opex_orig!N121</f>
        <v>6.1013228000000003E-2</v>
      </c>
      <c r="O121" s="188">
        <f>opex_orig!O121</f>
        <v>2.9716441E-2</v>
      </c>
      <c r="P121" s="188">
        <f>opex_orig!P121</f>
        <v>1.4192654000000001E-2</v>
      </c>
      <c r="Q121" s="188">
        <f>opex_orig!Q121</f>
        <v>2.5603428000000001E-2</v>
      </c>
      <c r="R121" s="188">
        <f>opex_orig!R121</f>
        <v>3.2690811E-2</v>
      </c>
      <c r="S121" s="188">
        <f>opex_orig!S121</f>
        <v>7.5607069999999998E-3</v>
      </c>
      <c r="T121" s="188">
        <f>opex_orig!T121</f>
        <v>3.0930454E-2</v>
      </c>
      <c r="U121" s="188">
        <f>opex_orig!U121</f>
        <v>1.4920900000000001E-2</v>
      </c>
      <c r="V121" s="188">
        <f>opex_orig!V121</f>
        <v>2.3022616999999999E-2</v>
      </c>
      <c r="W121" s="188">
        <f>opex_orig!W121</f>
        <v>9.2359550000000006E-3</v>
      </c>
      <c r="X121" s="188">
        <f>opex_orig!X121</f>
        <v>2.2061883000000001E-2</v>
      </c>
      <c r="Y121" s="188">
        <f>opex_orig!Y121</f>
        <v>1.6837237000000001E-2</v>
      </c>
      <c r="Z121" s="188">
        <f>opex_orig!Z121</f>
        <v>9.4606180000000005E-3</v>
      </c>
      <c r="AA121" s="188">
        <f>opex_orig!AA121</f>
        <v>3.7355025E-2</v>
      </c>
      <c r="AB121" s="226">
        <f>opex_concordance!M162</f>
        <v>5.3624669526973701E-2</v>
      </c>
      <c r="AC121" s="226">
        <f>opex_concordance!M207</f>
        <v>4.6063406988025024E-2</v>
      </c>
      <c r="AD121" s="226">
        <f>opex_concordance!M252</f>
        <v>6.1238415363907159E-2</v>
      </c>
      <c r="AE121" s="188">
        <f>opex_orig!$AC121</f>
        <v>4.1410988565069799E-2</v>
      </c>
      <c r="AF121" s="226">
        <f>opex_concordance!$M$320</f>
        <v>2.7457674285480502E-2</v>
      </c>
      <c r="AG121" s="226">
        <f>opex_concordance!$M$356</f>
        <v>1.2167688760423826E-2</v>
      </c>
      <c r="AH121" s="226">
        <f>opex_concordance!$M$392</f>
        <v>9.7620844683030863E-3</v>
      </c>
      <c r="AI121" s="188">
        <f>opex_orig!AE121</f>
        <v>1.8418985999999998E-2</v>
      </c>
      <c r="AJ121" s="188">
        <f>opex_orig!AF121</f>
        <v>2.4101309000000001E-2</v>
      </c>
      <c r="AK121" s="188">
        <f>opex_orig!AG121</f>
        <v>1.1468366000000001E-2</v>
      </c>
      <c r="AL121" s="188">
        <f>opex_orig!AH121</f>
        <v>7.4705350000000004E-3</v>
      </c>
      <c r="AM121" s="188">
        <f>opex_orig!AI121</f>
        <v>2.4030131999999999E-2</v>
      </c>
      <c r="AN121" s="188">
        <f>opex_orig!AJ121</f>
        <v>1.0192769000000001E-2</v>
      </c>
      <c r="AO121" s="188">
        <f>opex_orig!AK121</f>
        <v>3.5758106999999997E-2</v>
      </c>
      <c r="AP121" s="226">
        <f>opex_concordance!M448</f>
        <v>1.16259332753585E-2</v>
      </c>
      <c r="AQ121" s="226">
        <f>opex_concordance!M502</f>
        <v>9.3564414172072567E-3</v>
      </c>
      <c r="AR121" s="226">
        <f>opex_concordance!M556</f>
        <v>1.0267876799014796E-2</v>
      </c>
      <c r="AS121" s="188">
        <f>opex_orig!$AM121</f>
        <v>2.6735464761741701E-2</v>
      </c>
      <c r="AT121" s="188">
        <f>opex_orig!AN121</f>
        <v>1.2361874E-2</v>
      </c>
      <c r="AU121" s="226">
        <f>opex_concordance!M568</f>
        <v>7.8379204446527798E-3</v>
      </c>
      <c r="AV121" s="226">
        <f>opex_concordance!M614</f>
        <v>7.0985248678270699E-3</v>
      </c>
      <c r="AW121" s="226">
        <f>opex_concordance!M660</f>
        <v>6.4969492578412875E-3</v>
      </c>
      <c r="AX121" s="188">
        <f>opex_orig!$AP121</f>
        <v>1.34679420555038E-2</v>
      </c>
      <c r="AY121" s="188">
        <f>opex_orig!AQ121</f>
        <v>1.6855917000000002E-2</v>
      </c>
      <c r="AZ121" s="188">
        <f>opex_orig!AR121</f>
        <v>0</v>
      </c>
      <c r="BA121" s="188">
        <f>opex_orig!AS121</f>
        <v>1.3217791E-2</v>
      </c>
      <c r="BB121" s="188">
        <f>opex_orig!AT121</f>
        <v>8.7980990000000002E-3</v>
      </c>
      <c r="BC121" s="188">
        <f>opex_orig!AU121</f>
        <v>1.5454346000000001E-2</v>
      </c>
      <c r="BD121" s="188">
        <f>opex_orig!AV121</f>
        <v>1.6485316E-2</v>
      </c>
      <c r="BE121" s="188">
        <f>opex_orig!AW121</f>
        <v>1.3031205000000001E-2</v>
      </c>
      <c r="BF121" s="188">
        <f>opex_orig!AX121</f>
        <v>0</v>
      </c>
      <c r="BG121" s="188">
        <f>opex_orig!AY121</f>
        <v>3.5406733000000003E-2</v>
      </c>
      <c r="BH121" s="188">
        <f>opex_orig!AZ121</f>
        <v>0</v>
      </c>
      <c r="BI121" s="188">
        <f>opex_orig!BA121</f>
        <v>6.8954999999999997E-3</v>
      </c>
      <c r="BJ121" s="188">
        <f>opex_orig!BB121</f>
        <v>5.0690370000000002E-3</v>
      </c>
      <c r="BK121" s="188">
        <f>opex_orig!BC121</f>
        <v>7.3100459999999997E-3</v>
      </c>
      <c r="BL121" s="188">
        <f>opex_orig!BD121</f>
        <v>8.9717000000000009E-3</v>
      </c>
      <c r="BM121" s="188">
        <f>opex_orig!BE121</f>
        <v>4.0568649999999998E-3</v>
      </c>
      <c r="BN121" s="188">
        <f>opex_orig!BF121</f>
        <v>9.2111180000000008E-3</v>
      </c>
      <c r="BO121" s="188">
        <f>opex_orig!BG121</f>
        <v>1.3582240000000001E-2</v>
      </c>
      <c r="BP121" s="327">
        <f>opex_concordance!M109</f>
        <v>7.3399211585520102E-3</v>
      </c>
      <c r="BQ121" s="327">
        <f>opex_concordance!M152</f>
        <v>6.2924300724118238E-3</v>
      </c>
      <c r="BR121" s="188">
        <f>opex_orig!BI121</f>
        <v>7.5583179999999996E-3</v>
      </c>
      <c r="BS121" s="188">
        <f>opex_orig!BJ121</f>
        <v>1.0024137000000001E-2</v>
      </c>
      <c r="BT121" s="188">
        <f>opex_orig!BK121</f>
        <v>1.3196041E-2</v>
      </c>
      <c r="BU121" s="188">
        <f>opex_orig!BL121</f>
        <v>0</v>
      </c>
      <c r="BV121" s="27">
        <f>opex_orig!BM121</f>
        <v>7.3206236622921804E-3</v>
      </c>
      <c r="BW121" s="27">
        <f>opex_orig!BN121</f>
        <v>1.5881573944063299E-2</v>
      </c>
      <c r="BX121" s="27">
        <f>opex_orig!BO121</f>
        <v>3.4981227957675801E-3</v>
      </c>
      <c r="BY121" s="27">
        <f>opex_orig!BP121</f>
        <v>6.8176716485519404E-3</v>
      </c>
      <c r="BZ121" s="27">
        <f>opex_orig!BQ121</f>
        <v>1.17878746149614E-2</v>
      </c>
      <c r="CA121" s="27">
        <f>opex_orig!BR121</f>
        <v>1.36597751768648E-2</v>
      </c>
      <c r="CB121" s="27">
        <f>opex_orig!BS121</f>
        <v>4.4527794788358402E-2</v>
      </c>
      <c r="CC121" s="27">
        <f>opex_orig!BT121</f>
        <v>1.01487524800248E-2</v>
      </c>
      <c r="CD121" s="27">
        <f>opex_orig!BU121</f>
        <v>4.7867435537118997E-3</v>
      </c>
      <c r="CE121" s="27">
        <f>opex_orig!BV121</f>
        <v>4.7867435537119196E-3</v>
      </c>
      <c r="CF121" s="27">
        <f>opex_orig!BW121</f>
        <v>9.5861292219202292E-3</v>
      </c>
      <c r="CG121" s="27">
        <f>opex_orig!BX121</f>
        <v>4.9828546844768201E-2</v>
      </c>
      <c r="CH121" s="27">
        <f>opex_orig!BY121</f>
        <v>0.67565041258360403</v>
      </c>
      <c r="CI121" s="27">
        <f>opex_orig!BZ121</f>
        <v>8.0456929999999996E-3</v>
      </c>
      <c r="CJ121" s="27">
        <f>opex_orig!CA121</f>
        <v>6.1848479999999997E-3</v>
      </c>
      <c r="CK121" s="27">
        <f>opex_orig!CB121</f>
        <v>3.9624559999999996E-3</v>
      </c>
      <c r="CL121" s="27">
        <f>opex_orig!CC121</f>
        <v>2.359168E-3</v>
      </c>
      <c r="CM121" s="27">
        <f>opex_orig!CD121</f>
        <v>1.1872858999999999E-2</v>
      </c>
      <c r="CN121" s="27">
        <f>opex_orig!CE121</f>
        <v>1.3750396999999999E-2</v>
      </c>
      <c r="CO121" s="27">
        <f>opex_orig!CF121</f>
        <v>1.0891738E-2</v>
      </c>
      <c r="CP121" s="27">
        <f>opex_orig!CG121</f>
        <v>5.0661400000000002E-3</v>
      </c>
    </row>
    <row r="122" spans="1:94" x14ac:dyDescent="0.25">
      <c r="A122" s="6" t="s">
        <v>235</v>
      </c>
      <c r="B122" s="2" t="s">
        <v>234</v>
      </c>
      <c r="C122" s="1" t="s">
        <v>332</v>
      </c>
      <c r="D122" s="188">
        <f>opex_orig!D122</f>
        <v>6.3601800000000002E-4</v>
      </c>
      <c r="E122" s="188">
        <f>opex_orig!E122</f>
        <v>6.3840399999999997E-4</v>
      </c>
      <c r="F122" s="188">
        <f>opex_orig!F122</f>
        <v>4.1790399999999998E-4</v>
      </c>
      <c r="G122" s="188">
        <f>opex_orig!G122</f>
        <v>6.1699999999999995E-5</v>
      </c>
      <c r="H122" s="188">
        <f>opex_orig!H122</f>
        <v>1.1585400000000001E-4</v>
      </c>
      <c r="I122" s="188">
        <f>opex_orig!I122</f>
        <v>1.270817E-3</v>
      </c>
      <c r="J122" s="188">
        <f>opex_orig!J122</f>
        <v>1.540977E-3</v>
      </c>
      <c r="K122" s="188">
        <f>opex_orig!K122</f>
        <v>1.53659E-4</v>
      </c>
      <c r="L122" s="188">
        <f>opex_orig!L122</f>
        <v>2.7754939999999999E-3</v>
      </c>
      <c r="M122" s="188">
        <f>opex_orig!M122</f>
        <v>8.4789940000000001E-3</v>
      </c>
      <c r="N122" s="188">
        <f>opex_orig!N122</f>
        <v>3.6861860000000001E-3</v>
      </c>
      <c r="O122" s="188">
        <f>opex_orig!O122</f>
        <v>5.0403700000000004E-4</v>
      </c>
      <c r="P122" s="188">
        <f>opex_orig!P122</f>
        <v>1.405377E-3</v>
      </c>
      <c r="Q122" s="188">
        <f>opex_orig!Q122</f>
        <v>3.3681999999999999E-4</v>
      </c>
      <c r="R122" s="188">
        <f>opex_orig!R122</f>
        <v>1.67713E-4</v>
      </c>
      <c r="S122" s="188">
        <f>opex_orig!S122</f>
        <v>3.040896E-3</v>
      </c>
      <c r="T122" s="188">
        <f>opex_orig!T122</f>
        <v>3.4201000000000001E-3</v>
      </c>
      <c r="U122" s="188">
        <f>opex_orig!U122</f>
        <v>1.0460929999999999E-3</v>
      </c>
      <c r="V122" s="188">
        <f>opex_orig!V122</f>
        <v>1.2675500000000001E-3</v>
      </c>
      <c r="W122" s="188">
        <f>opex_orig!W122</f>
        <v>6.65268E-4</v>
      </c>
      <c r="X122" s="188">
        <f>opex_orig!X122</f>
        <v>1.1286650000000001E-3</v>
      </c>
      <c r="Y122" s="188">
        <f>opex_orig!Y122</f>
        <v>2.2492899999999999E-4</v>
      </c>
      <c r="Z122" s="188">
        <f>opex_orig!Z122</f>
        <v>9.5444400000000004E-4</v>
      </c>
      <c r="AA122" s="188">
        <f>opex_orig!AA122</f>
        <v>2.0024079999999998E-3</v>
      </c>
      <c r="AB122" s="188">
        <f>opex_orig!$AB122</f>
        <v>8.7640671672479002E-4</v>
      </c>
      <c r="AC122" s="188">
        <f>opex_orig!$AB122</f>
        <v>8.7640671672479002E-4</v>
      </c>
      <c r="AD122" s="188">
        <f>opex_orig!$AB122</f>
        <v>8.7640671672479002E-4</v>
      </c>
      <c r="AE122" s="188">
        <f>opex_orig!$AC122</f>
        <v>1.2806693118066299E-3</v>
      </c>
      <c r="AF122" s="188">
        <f>opex_orig!$AD122</f>
        <v>1.0303402224011099E-3</v>
      </c>
      <c r="AG122" s="188">
        <f>opex_orig!$AD122</f>
        <v>1.0303402224011099E-3</v>
      </c>
      <c r="AH122" s="188">
        <f>opex_orig!$AD122</f>
        <v>1.0303402224011099E-3</v>
      </c>
      <c r="AI122" s="188">
        <f>opex_orig!AE122</f>
        <v>9.8945499999999998E-4</v>
      </c>
      <c r="AJ122" s="188">
        <f>opex_orig!AF122</f>
        <v>7.5197959999999996E-3</v>
      </c>
      <c r="AK122" s="188">
        <f>opex_orig!AG122</f>
        <v>1.1124590000000001E-3</v>
      </c>
      <c r="AL122" s="188">
        <f>opex_orig!AH122</f>
        <v>1.23485E-4</v>
      </c>
      <c r="AM122" s="188">
        <f>opex_orig!AI122</f>
        <v>2.0772400000000001E-4</v>
      </c>
      <c r="AN122" s="188">
        <f>opex_orig!AJ122</f>
        <v>1.5065799999999999E-4</v>
      </c>
      <c r="AO122" s="188">
        <f>opex_orig!AK122</f>
        <v>1.66253E-4</v>
      </c>
      <c r="AP122" s="188">
        <f>opex_orig!$AL122</f>
        <v>1.9468287615884901E-4</v>
      </c>
      <c r="AQ122" s="188">
        <f>opex_orig!$AL122</f>
        <v>1.9468287615884901E-4</v>
      </c>
      <c r="AR122" s="188">
        <f>opex_orig!$AL122</f>
        <v>1.9468287615884901E-4</v>
      </c>
      <c r="AS122" s="188">
        <f>opex_orig!$AM122</f>
        <v>1.7532261087102201E-4</v>
      </c>
      <c r="AT122" s="188">
        <f>opex_orig!AN122</f>
        <v>2.69349E-4</v>
      </c>
      <c r="AU122" s="188">
        <f>opex_orig!$AO122</f>
        <v>1.0666872770045399E-3</v>
      </c>
      <c r="AV122" s="188">
        <f>opex_orig!$AO122</f>
        <v>1.0666872770045399E-3</v>
      </c>
      <c r="AW122" s="188">
        <f>opex_orig!$AO122</f>
        <v>1.0666872770045399E-3</v>
      </c>
      <c r="AX122" s="188">
        <f>opex_orig!$AP122</f>
        <v>1.32780377541732E-3</v>
      </c>
      <c r="AY122" s="188">
        <f>opex_orig!AQ122</f>
        <v>4.8336070000000002E-3</v>
      </c>
      <c r="AZ122" s="188">
        <f>opex_orig!AR122</f>
        <v>0</v>
      </c>
      <c r="BA122" s="188">
        <f>opex_orig!AS122</f>
        <v>2.3437559999999998E-3</v>
      </c>
      <c r="BB122" s="188">
        <f>opex_orig!AT122</f>
        <v>2.497151E-3</v>
      </c>
      <c r="BC122" s="188">
        <f>opex_orig!AU122</f>
        <v>6.7650499999999999E-4</v>
      </c>
      <c r="BD122" s="188">
        <f>opex_orig!AV122</f>
        <v>5.9042600000000002E-4</v>
      </c>
      <c r="BE122" s="188">
        <f>opex_orig!AW122</f>
        <v>1.7573389999999999E-3</v>
      </c>
      <c r="BF122" s="188">
        <f>opex_orig!AX122</f>
        <v>0</v>
      </c>
      <c r="BG122" s="188">
        <f>opex_orig!AY122</f>
        <v>5.1771170000000002E-3</v>
      </c>
      <c r="BH122" s="188">
        <f>opex_orig!AZ122</f>
        <v>0</v>
      </c>
      <c r="BI122" s="188">
        <f>opex_orig!BA122</f>
        <v>2.401748E-3</v>
      </c>
      <c r="BJ122" s="188">
        <f>opex_orig!BB122</f>
        <v>8.9070600000000001E-4</v>
      </c>
      <c r="BK122" s="188">
        <f>opex_orig!BC122</f>
        <v>8.2441100000000005E-4</v>
      </c>
      <c r="BL122" s="188">
        <f>opex_orig!BD122</f>
        <v>1.0273299999999999E-4</v>
      </c>
      <c r="BM122" s="188">
        <f>opex_orig!BE122</f>
        <v>1.456316E-3</v>
      </c>
      <c r="BN122" s="188">
        <f>opex_orig!BF122</f>
        <v>1.6199000000000001E-4</v>
      </c>
      <c r="BO122" s="188">
        <f>opex_orig!BG122</f>
        <v>4.6446370000000001E-3</v>
      </c>
      <c r="BP122" s="188">
        <f>opex_orig!$BH122</f>
        <v>1.66048719596853E-3</v>
      </c>
      <c r="BQ122" s="188">
        <f>opex_orig!$BH122</f>
        <v>1.66048719596853E-3</v>
      </c>
      <c r="BR122" s="188">
        <f>opex_orig!BI122</f>
        <v>1.0168589999999999E-3</v>
      </c>
      <c r="BS122" s="188">
        <f>opex_orig!BJ122</f>
        <v>9.99923E-4</v>
      </c>
      <c r="BT122" s="188">
        <f>opex_orig!BK122</f>
        <v>1.9419540000000001E-3</v>
      </c>
      <c r="BU122" s="188">
        <f>opex_orig!BL122</f>
        <v>0</v>
      </c>
      <c r="BV122" s="27">
        <f>opex_orig!BM122</f>
        <v>2.9297467684564998E-3</v>
      </c>
      <c r="BW122" s="27">
        <f>opex_orig!BN122</f>
        <v>1.7342055752926401E-3</v>
      </c>
      <c r="BX122" s="27">
        <f>opex_orig!BO122</f>
        <v>1.3519142268663901E-3</v>
      </c>
      <c r="BY122" s="27">
        <f>opex_orig!BP122</f>
        <v>1.3086217574843099E-3</v>
      </c>
      <c r="BZ122" s="27">
        <f>opex_orig!BQ122</f>
        <v>1.07527844912141E-3</v>
      </c>
      <c r="CA122" s="27">
        <f>opex_orig!BR122</f>
        <v>6.4091055778930602E-4</v>
      </c>
      <c r="CB122" s="27">
        <f>opex_orig!BS122</f>
        <v>1.9013122446813399E-3</v>
      </c>
      <c r="CC122" s="27">
        <f>opex_orig!BT122</f>
        <v>3.2315041847901598E-3</v>
      </c>
      <c r="CD122" s="27">
        <f>opex_orig!BU122</f>
        <v>5.4876639564093097E-3</v>
      </c>
      <c r="CE122" s="27">
        <f>opex_orig!BV122</f>
        <v>5.4876639564093296E-3</v>
      </c>
      <c r="CF122" s="27">
        <f>opex_orig!BW122</f>
        <v>1.74792733450863E-3</v>
      </c>
      <c r="CG122" s="27">
        <f>opex_orig!BX122</f>
        <v>3.1675541870723001E-6</v>
      </c>
      <c r="CH122" s="27">
        <f>opex_orig!BY122</f>
        <v>2.1065767314186299E-3</v>
      </c>
      <c r="CI122" s="27">
        <f>opex_orig!BZ122</f>
        <v>6.0727669999999997E-3</v>
      </c>
      <c r="CJ122" s="27">
        <f>opex_orig!CA122</f>
        <v>5.0058500000000001E-3</v>
      </c>
      <c r="CK122" s="27">
        <f>opex_orig!CB122</f>
        <v>4.4552120000000001E-3</v>
      </c>
      <c r="CL122" s="27">
        <f>opex_orig!CC122</f>
        <v>2.5179299999999998E-3</v>
      </c>
      <c r="CM122" s="27">
        <f>opex_orig!CD122</f>
        <v>3.7765899999999998E-3</v>
      </c>
      <c r="CN122" s="27">
        <f>opex_orig!CE122</f>
        <v>5.0999289999999996E-3</v>
      </c>
      <c r="CO122" s="27">
        <f>opex_orig!CF122</f>
        <v>1.2984240000000001E-3</v>
      </c>
      <c r="CP122" s="27">
        <f>opex_orig!CG122</f>
        <v>4.6678739999999998E-3</v>
      </c>
    </row>
    <row r="123" spans="1:94" x14ac:dyDescent="0.25">
      <c r="A123" s="5" t="s">
        <v>237</v>
      </c>
      <c r="B123" s="2" t="s">
        <v>236</v>
      </c>
      <c r="C123" s="1" t="s">
        <v>333</v>
      </c>
      <c r="D123" s="188">
        <f>opex_orig!D123</f>
        <v>3.448193E-3</v>
      </c>
      <c r="E123" s="188">
        <f>opex_orig!E123</f>
        <v>2.3110040000000002E-3</v>
      </c>
      <c r="F123" s="188">
        <f>opex_orig!F123</f>
        <v>3.766742E-3</v>
      </c>
      <c r="G123" s="188">
        <f>opex_orig!G123</f>
        <v>1.0225290000000001E-3</v>
      </c>
      <c r="H123" s="188">
        <f>opex_orig!H123</f>
        <v>1.393149E-3</v>
      </c>
      <c r="I123" s="188">
        <f>opex_orig!I123</f>
        <v>2.3489359999999998E-3</v>
      </c>
      <c r="J123" s="188">
        <f>opex_orig!J123</f>
        <v>9.2288309999999998E-3</v>
      </c>
      <c r="K123" s="188">
        <f>opex_orig!K123</f>
        <v>3.2219990000000001E-3</v>
      </c>
      <c r="L123" s="188">
        <f>opex_orig!L123</f>
        <v>1.7149540000000001E-3</v>
      </c>
      <c r="M123" s="188">
        <f>opex_orig!M123</f>
        <v>2.4381559999999999E-3</v>
      </c>
      <c r="N123" s="188">
        <f>opex_orig!N123</f>
        <v>6.3753129999999996E-3</v>
      </c>
      <c r="O123" s="188">
        <f>opex_orig!O123</f>
        <v>2.906301E-3</v>
      </c>
      <c r="P123" s="188">
        <f>opex_orig!P123</f>
        <v>2.3134140000000002E-3</v>
      </c>
      <c r="Q123" s="188">
        <f>opex_orig!Q123</f>
        <v>5.2272519999999999E-3</v>
      </c>
      <c r="R123" s="188">
        <f>opex_orig!R123</f>
        <v>7.74693E-3</v>
      </c>
      <c r="S123" s="188">
        <f>opex_orig!S123</f>
        <v>1.665202E-3</v>
      </c>
      <c r="T123" s="188">
        <f>opex_orig!T123</f>
        <v>5.1308609999999996E-3</v>
      </c>
      <c r="U123" s="188">
        <f>opex_orig!U123</f>
        <v>4.4612469999999998E-3</v>
      </c>
      <c r="V123" s="188">
        <f>opex_orig!V123</f>
        <v>5.6526129999999999E-3</v>
      </c>
      <c r="W123" s="188">
        <f>opex_orig!W123</f>
        <v>2.8104110000000001E-3</v>
      </c>
      <c r="X123" s="188">
        <f>opex_orig!X123</f>
        <v>1.7811260000000001E-3</v>
      </c>
      <c r="Y123" s="188">
        <f>opex_orig!Y123</f>
        <v>1.5367845E-2</v>
      </c>
      <c r="Z123" s="188">
        <f>opex_orig!Z123</f>
        <v>1.5436791E-2</v>
      </c>
      <c r="AA123" s="188">
        <f>opex_orig!AA123</f>
        <v>4.1934870999999999E-2</v>
      </c>
      <c r="AB123" s="254">
        <f>opex_concordance!M195</f>
        <v>1.4535611744200599E-2</v>
      </c>
      <c r="AC123" s="254">
        <f>opex_concordance!M224</f>
        <v>2.1644560069678416E-2</v>
      </c>
      <c r="AD123" s="254">
        <f>opex_concordance!M285</f>
        <v>2.5622983159442628E-2</v>
      </c>
      <c r="AE123" s="188">
        <f>opex_orig!$AC123</f>
        <v>1.9229450169041401E-2</v>
      </c>
      <c r="AF123" s="188">
        <f>opex_orig!$AD123</f>
        <v>4.3368112600819103E-3</v>
      </c>
      <c r="AG123" s="188">
        <f>opex_orig!$AD123</f>
        <v>4.3368112600819103E-3</v>
      </c>
      <c r="AH123" s="188">
        <f>opex_orig!$AD123</f>
        <v>4.3368112600819103E-3</v>
      </c>
      <c r="AI123" s="188">
        <f>opex_orig!AE123</f>
        <v>3.3597689999999999E-3</v>
      </c>
      <c r="AJ123" s="188">
        <f>opex_orig!AF123</f>
        <v>2.0337596999999999E-2</v>
      </c>
      <c r="AK123" s="188">
        <f>opex_orig!AG123</f>
        <v>8.99499E-4</v>
      </c>
      <c r="AL123" s="188">
        <f>opex_orig!AH123</f>
        <v>1.6684429999999999E-3</v>
      </c>
      <c r="AM123" s="188">
        <f>opex_orig!AI123</f>
        <v>3.7368240000000001E-3</v>
      </c>
      <c r="AN123" s="188">
        <f>opex_orig!AJ123</f>
        <v>2.464211E-3</v>
      </c>
      <c r="AO123" s="188">
        <f>opex_orig!AK123</f>
        <v>5.5260400000000003E-3</v>
      </c>
      <c r="AP123" s="188">
        <f>opex_orig!$AL123</f>
        <v>2.84086392656226E-3</v>
      </c>
      <c r="AQ123" s="188">
        <f>opex_orig!$AL123</f>
        <v>2.84086392656226E-3</v>
      </c>
      <c r="AR123" s="188">
        <f>opex_orig!$AL123</f>
        <v>2.84086392656226E-3</v>
      </c>
      <c r="AS123" s="188">
        <f>opex_orig!$AM123</f>
        <v>4.6158598009367197E-3</v>
      </c>
      <c r="AT123" s="188">
        <f>opex_orig!AN123</f>
        <v>3.2285399999999998E-3</v>
      </c>
      <c r="AU123" s="188">
        <f>opex_orig!$AO123</f>
        <v>4.52605322254028E-3</v>
      </c>
      <c r="AV123" s="188">
        <f>opex_orig!$AO123</f>
        <v>4.52605322254028E-3</v>
      </c>
      <c r="AW123" s="188">
        <f>opex_orig!$AO123</f>
        <v>4.52605322254028E-3</v>
      </c>
      <c r="AX123" s="188">
        <f>opex_orig!$AP123</f>
        <v>5.7844543444071196E-3</v>
      </c>
      <c r="AY123" s="188">
        <f>opex_orig!AQ123</f>
        <v>3.9981349999999999E-3</v>
      </c>
      <c r="AZ123" s="188">
        <f>opex_orig!AR123</f>
        <v>0</v>
      </c>
      <c r="BA123" s="188">
        <f>opex_orig!AS123</f>
        <v>3.2267720000000001E-3</v>
      </c>
      <c r="BB123" s="188">
        <f>opex_orig!AT123</f>
        <v>2.4369439999999999E-3</v>
      </c>
      <c r="BC123" s="188">
        <f>opex_orig!AU123</f>
        <v>1.987698E-3</v>
      </c>
      <c r="BD123" s="188">
        <f>opex_orig!AV123</f>
        <v>1.8890479999999999E-3</v>
      </c>
      <c r="BE123" s="188">
        <f>opex_orig!AW123</f>
        <v>2.9090050000000001E-3</v>
      </c>
      <c r="BF123" s="188">
        <f>opex_orig!AX123</f>
        <v>0</v>
      </c>
      <c r="BG123" s="188">
        <f>opex_orig!AY123</f>
        <v>1.0537479000000001E-2</v>
      </c>
      <c r="BH123" s="188">
        <f>opex_orig!AZ123</f>
        <v>0</v>
      </c>
      <c r="BI123" s="188">
        <f>opex_orig!BA123</f>
        <v>1.745576E-3</v>
      </c>
      <c r="BJ123" s="188">
        <f>opex_orig!BB123</f>
        <v>9.8828999999999996E-4</v>
      </c>
      <c r="BK123" s="188">
        <f>opex_orig!BC123</f>
        <v>2.044761E-3</v>
      </c>
      <c r="BL123" s="188">
        <f>opex_orig!BD123</f>
        <v>1.5036889999999999E-3</v>
      </c>
      <c r="BM123" s="188">
        <f>opex_orig!BE123</f>
        <v>1.4659639999999999E-3</v>
      </c>
      <c r="BN123" s="188">
        <f>opex_orig!BF123</f>
        <v>8.9982899999999999E-4</v>
      </c>
      <c r="BO123" s="188">
        <f>opex_orig!BG123</f>
        <v>1.5195740000000001E-3</v>
      </c>
      <c r="BP123" s="188">
        <f>opex_orig!$BH123</f>
        <v>3.4514886087290502E-3</v>
      </c>
      <c r="BQ123" s="188">
        <f>opex_orig!$BH123</f>
        <v>3.4514886087290502E-3</v>
      </c>
      <c r="BR123" s="188">
        <f>opex_orig!BI123</f>
        <v>1.388495E-3</v>
      </c>
      <c r="BS123" s="188">
        <f>opex_orig!BJ123</f>
        <v>1.5173070000000001E-3</v>
      </c>
      <c r="BT123" s="188">
        <f>opex_orig!BK123</f>
        <v>2.9180790000000001E-3</v>
      </c>
      <c r="BU123" s="188">
        <f>opex_orig!BL123</f>
        <v>0</v>
      </c>
      <c r="BV123" s="27">
        <f>opex_orig!BM123</f>
        <v>1.5873600319641998E-2</v>
      </c>
      <c r="BW123" s="27">
        <f>opex_orig!BN123</f>
        <v>5.2947482641924497E-2</v>
      </c>
      <c r="BX123" s="27">
        <f>opex_orig!BO123</f>
        <v>3.0334280676113001E-3</v>
      </c>
      <c r="BY123" s="27">
        <f>opex_orig!BP123</f>
        <v>4.0771797757612601E-3</v>
      </c>
      <c r="BZ123" s="27">
        <f>opex_orig!BQ123</f>
        <v>5.7667470529491997E-3</v>
      </c>
      <c r="CA123" s="27">
        <f>opex_orig!BR123</f>
        <v>1.4332833667677501E-3</v>
      </c>
      <c r="CB123" s="27">
        <f>opex_orig!BS123</f>
        <v>4.0962333344819503E-2</v>
      </c>
      <c r="CC123" s="27">
        <f>opex_orig!BT123</f>
        <v>2.0846614070915898E-3</v>
      </c>
      <c r="CD123" s="27">
        <f>opex_orig!BU123</f>
        <v>3.7079157077593802E-3</v>
      </c>
      <c r="CE123" s="27">
        <f>opex_orig!BV123</f>
        <v>3.7079157077593802E-3</v>
      </c>
      <c r="CF123" s="27">
        <f>opex_orig!BW123</f>
        <v>1.3368263496317001E-3</v>
      </c>
      <c r="CG123" s="27">
        <f>opex_orig!BX123</f>
        <v>1.2146404041005501E-2</v>
      </c>
      <c r="CH123" s="27">
        <f>opex_orig!BY123</f>
        <v>1.54477973395384E-3</v>
      </c>
      <c r="CI123" s="27">
        <f>opex_orig!BZ123</f>
        <v>1.6322291999999999E-2</v>
      </c>
      <c r="CJ123" s="27">
        <f>opex_orig!CA123</f>
        <v>3.8191810000000001E-3</v>
      </c>
      <c r="CK123" s="27">
        <f>opex_orig!CB123</f>
        <v>4.9276959999999996E-3</v>
      </c>
      <c r="CL123" s="27">
        <f>opex_orig!CC123</f>
        <v>1.1907720000000001E-3</v>
      </c>
      <c r="CM123" s="27">
        <f>opex_orig!CD123</f>
        <v>4.5291307000000003E-2</v>
      </c>
      <c r="CN123" s="27">
        <f>opex_orig!CE123</f>
        <v>2.0217809999999998E-3</v>
      </c>
      <c r="CO123" s="27">
        <f>opex_orig!CF123</f>
        <v>1.948375E-3</v>
      </c>
      <c r="CP123" s="27">
        <f>opex_orig!CG123</f>
        <v>1.438445E-3</v>
      </c>
    </row>
    <row r="124" spans="1:94" x14ac:dyDescent="0.25">
      <c r="A124" s="5" t="s">
        <v>239</v>
      </c>
      <c r="B124" s="2" t="s">
        <v>238</v>
      </c>
      <c r="C124" s="1" t="s">
        <v>333</v>
      </c>
      <c r="D124" s="188">
        <f>opex_orig!D124</f>
        <v>1.7270707E-2</v>
      </c>
      <c r="E124" s="188">
        <f>opex_orig!E124</f>
        <v>2.2416934999999999E-2</v>
      </c>
      <c r="F124" s="188">
        <f>opex_orig!F124</f>
        <v>1.7898491999999998E-2</v>
      </c>
      <c r="G124" s="188">
        <f>opex_orig!G124</f>
        <v>5.365201E-3</v>
      </c>
      <c r="H124" s="188">
        <f>opex_orig!H124</f>
        <v>7.5185429999999999E-3</v>
      </c>
      <c r="I124" s="188">
        <f>opex_orig!I124</f>
        <v>5.8809425999999998E-2</v>
      </c>
      <c r="J124" s="188">
        <f>opex_orig!J124</f>
        <v>8.2560713999999993E-2</v>
      </c>
      <c r="K124" s="188">
        <f>opex_orig!K124</f>
        <v>1.6656901000000002E-2</v>
      </c>
      <c r="L124" s="188">
        <f>opex_orig!L124</f>
        <v>2.2148866E-2</v>
      </c>
      <c r="M124" s="188">
        <f>opex_orig!M124</f>
        <v>4.2818881000000003E-2</v>
      </c>
      <c r="N124" s="188">
        <f>opex_orig!N124</f>
        <v>4.3011425999999998E-2</v>
      </c>
      <c r="O124" s="188">
        <f>opex_orig!O124</f>
        <v>1.523249E-2</v>
      </c>
      <c r="P124" s="188">
        <f>opex_orig!P124</f>
        <v>2.9560468999999999E-2</v>
      </c>
      <c r="Q124" s="188">
        <f>opex_orig!Q124</f>
        <v>1.8033820999999998E-2</v>
      </c>
      <c r="R124" s="188">
        <f>opex_orig!R124</f>
        <v>2.8983867999999999E-2</v>
      </c>
      <c r="S124" s="188">
        <f>opex_orig!S124</f>
        <v>4.2644287000000003E-2</v>
      </c>
      <c r="T124" s="188">
        <f>opex_orig!T124</f>
        <v>6.1622964000000002E-2</v>
      </c>
      <c r="U124" s="188">
        <f>opex_orig!U124</f>
        <v>0.20064143300000001</v>
      </c>
      <c r="V124" s="188">
        <f>opex_orig!V124</f>
        <v>0.28683148000000003</v>
      </c>
      <c r="W124" s="188">
        <f>opex_orig!W124</f>
        <v>3.8606641999999997E-2</v>
      </c>
      <c r="X124" s="188">
        <f>opex_orig!X124</f>
        <v>2.0610397999999999E-2</v>
      </c>
      <c r="Y124" s="188">
        <f>opex_orig!Y124</f>
        <v>4.0072492000000001E-2</v>
      </c>
      <c r="Z124" s="188">
        <f>opex_orig!Z124</f>
        <v>0.22639365</v>
      </c>
      <c r="AA124" s="188">
        <f>opex_orig!AA124</f>
        <v>0.12693434000000001</v>
      </c>
      <c r="AB124" s="217">
        <f>opex_concordance!M196</f>
        <v>5.6700519893351398E-2</v>
      </c>
      <c r="AC124" s="217">
        <f>opex_concordance!M225</f>
        <v>6.895359983579194E-2</v>
      </c>
      <c r="AD124" s="217">
        <f>opex_concordance!M286</f>
        <v>9.9950142582656359E-2</v>
      </c>
      <c r="AE124" s="188">
        <f>opex_orig!$AC124</f>
        <v>7.5949282296661202E-2</v>
      </c>
      <c r="AF124" s="217">
        <f>opex_concordance!$M$321</f>
        <v>4.4291695162636098E-2</v>
      </c>
      <c r="AG124" s="217">
        <f>opex_concordance!$M$357</f>
        <v>1.9627575001700277E-2</v>
      </c>
      <c r="AH124" s="217">
        <f>opex_concordance!$M$393</f>
        <v>1.5747119181562481E-2</v>
      </c>
      <c r="AI124" s="188">
        <f>opex_orig!AE124</f>
        <v>4.1029897000000003E-2</v>
      </c>
      <c r="AJ124" s="188">
        <f>opex_orig!AF124</f>
        <v>2.2112364999999998E-2</v>
      </c>
      <c r="AK124" s="188">
        <f>opex_orig!AG124</f>
        <v>3.3451370000000002E-3</v>
      </c>
      <c r="AL124" s="188">
        <f>opex_orig!AH124</f>
        <v>5.991405E-3</v>
      </c>
      <c r="AM124" s="188">
        <f>opex_orig!AI124</f>
        <v>1.3793730000000001E-2</v>
      </c>
      <c r="AN124" s="188">
        <f>opex_orig!AJ124</f>
        <v>8.7423589999999999E-3</v>
      </c>
      <c r="AO124" s="188">
        <f>opex_orig!AK124</f>
        <v>2.0739205E-2</v>
      </c>
      <c r="AP124" s="217">
        <f>opex_concordance!M449</f>
        <v>1.06413366651971E-2</v>
      </c>
      <c r="AQ124" s="217">
        <f>opex_concordance!M503</f>
        <v>8.5640473543510936E-3</v>
      </c>
      <c r="AR124" s="217">
        <f>opex_concordance!M557</f>
        <v>9.3982935620894048E-3</v>
      </c>
      <c r="AS124" s="188">
        <f>opex_orig!$AM124</f>
        <v>1.7976153505367898E-2</v>
      </c>
      <c r="AT124" s="188">
        <f>opex_orig!AN124</f>
        <v>1.0670377E-2</v>
      </c>
      <c r="AU124" s="217">
        <f>opex_concordance!M603</f>
        <v>1.08120372992614E-2</v>
      </c>
      <c r="AV124" s="217">
        <f>opex_concordance!M649</f>
        <v>1.4688114567373789E-2</v>
      </c>
      <c r="AW124" s="217">
        <f>opex_concordance!M695</f>
        <v>1.2125372064560894E-2</v>
      </c>
      <c r="AX124" s="188">
        <f>opex_orig!$AP124</f>
        <v>1.47048362740355E-2</v>
      </c>
      <c r="AY124" s="188">
        <f>opex_orig!AQ124</f>
        <v>1.5146366E-2</v>
      </c>
      <c r="AZ124" s="188">
        <f>opex_orig!AR124</f>
        <v>0</v>
      </c>
      <c r="BA124" s="188">
        <f>opex_orig!AS124</f>
        <v>1.5389915000000001E-2</v>
      </c>
      <c r="BB124" s="188">
        <f>opex_orig!AT124</f>
        <v>1.3049721E-2</v>
      </c>
      <c r="BC124" s="188">
        <f>opex_orig!AU124</f>
        <v>1.3352179E-2</v>
      </c>
      <c r="BD124" s="188">
        <f>opex_orig!AV124</f>
        <v>1.3191230999999999E-2</v>
      </c>
      <c r="BE124" s="188">
        <f>opex_orig!AW124</f>
        <v>1.4406624E-2</v>
      </c>
      <c r="BF124" s="188">
        <f>opex_orig!AX124</f>
        <v>0</v>
      </c>
      <c r="BG124" s="188">
        <f>opex_orig!AY124</f>
        <v>3.7070625000000003E-2</v>
      </c>
      <c r="BH124" s="188">
        <f>opex_orig!AZ124</f>
        <v>0</v>
      </c>
      <c r="BI124" s="188">
        <f>opex_orig!BA124</f>
        <v>8.9064869999999994E-3</v>
      </c>
      <c r="BJ124" s="188">
        <f>opex_orig!BB124</f>
        <v>3.037578E-3</v>
      </c>
      <c r="BK124" s="188">
        <f>opex_orig!BC124</f>
        <v>2.7740322000000001E-2</v>
      </c>
      <c r="BL124" s="188">
        <f>opex_orig!BD124</f>
        <v>4.9751550000000002E-3</v>
      </c>
      <c r="BM124" s="188">
        <f>opex_orig!BE124</f>
        <v>2.1812964000000001E-2</v>
      </c>
      <c r="BN124" s="188">
        <f>opex_orig!BF124</f>
        <v>6.1841170000000003E-3</v>
      </c>
      <c r="BO124" s="188">
        <f>opex_orig!BG124</f>
        <v>1.3693965000000001E-2</v>
      </c>
      <c r="BP124" s="207">
        <f>opex_concordance!M102</f>
        <v>1.1975334938031927E-2</v>
      </c>
      <c r="BQ124" s="207">
        <f>opex_concordance!M145</f>
        <v>7.8669096122205903E-3</v>
      </c>
      <c r="BR124" s="188">
        <f>opex_orig!BI124</f>
        <v>6.913705E-3</v>
      </c>
      <c r="BS124" s="188">
        <f>opex_orig!BJ124</f>
        <v>6.9737169999999999E-3</v>
      </c>
      <c r="BT124" s="188">
        <f>opex_orig!BK124</f>
        <v>1.1536670000000001E-2</v>
      </c>
      <c r="BU124" s="188">
        <f>opex_orig!BL124</f>
        <v>0</v>
      </c>
      <c r="BV124" s="27">
        <f>opex_orig!BM124</f>
        <v>0.12875309609659699</v>
      </c>
      <c r="BW124" s="27">
        <f>opex_orig!BN124</f>
        <v>0.104911299632202</v>
      </c>
      <c r="BX124" s="27">
        <f>opex_orig!BO124</f>
        <v>4.1794605091217199E-2</v>
      </c>
      <c r="BY124" s="27">
        <f>opex_orig!BP124</f>
        <v>7.24151515758472E-2</v>
      </c>
      <c r="BZ124" s="27">
        <f>opex_orig!BQ124</f>
        <v>7.9171232948198403E-2</v>
      </c>
      <c r="CA124" s="27">
        <f>opex_orig!BR124</f>
        <v>2.1947916366098399E-2</v>
      </c>
      <c r="CB124" s="27">
        <f>opex_orig!BS124</f>
        <v>9.9322587884996802E-2</v>
      </c>
      <c r="CC124" s="27">
        <f>opex_orig!BT124</f>
        <v>6.5428152753507799E-3</v>
      </c>
      <c r="CD124" s="27">
        <f>opex_orig!BU124</f>
        <v>7.5745891607497298E-2</v>
      </c>
      <c r="CE124" s="27">
        <f>opex_orig!BV124</f>
        <v>7.5745891607497395E-2</v>
      </c>
      <c r="CF124" s="27">
        <f>opex_orig!BW124</f>
        <v>2.0189265978785498E-2</v>
      </c>
      <c r="CG124" s="27">
        <f>opex_orig!BX124</f>
        <v>2.9441747226081401E-2</v>
      </c>
      <c r="CH124" s="27">
        <f>opex_orig!BY124</f>
        <v>5.05699974144754E-3</v>
      </c>
      <c r="CI124" s="27">
        <f>opex_orig!BZ124</f>
        <v>9.5033562000000002E-2</v>
      </c>
      <c r="CJ124" s="27">
        <f>opex_orig!CA124</f>
        <v>8.0855248000000005E-2</v>
      </c>
      <c r="CK124" s="27">
        <f>opex_orig!CB124</f>
        <v>8.0497314E-2</v>
      </c>
      <c r="CL124" s="27">
        <f>opex_orig!CC124</f>
        <v>7.2393417000000002E-2</v>
      </c>
      <c r="CM124" s="27">
        <f>opex_orig!CD124</f>
        <v>8.4211753E-2</v>
      </c>
      <c r="CN124" s="27">
        <f>opex_orig!CE124</f>
        <v>6.6502139999999998E-3</v>
      </c>
      <c r="CO124" s="27">
        <f>opex_orig!CF124</f>
        <v>5.8633950000000004E-3</v>
      </c>
      <c r="CP124" s="27">
        <f>opex_orig!CG124</f>
        <v>5.5843009999999998E-3</v>
      </c>
    </row>
    <row r="125" spans="1:94" x14ac:dyDescent="0.25">
      <c r="A125" s="5" t="s">
        <v>241</v>
      </c>
      <c r="B125" s="2" t="s">
        <v>240</v>
      </c>
      <c r="C125" s="1" t="s">
        <v>333</v>
      </c>
      <c r="D125" s="188">
        <f>opex_orig!D125</f>
        <v>9.3365500000000003E-4</v>
      </c>
      <c r="E125" s="188">
        <f>opex_orig!E125</f>
        <v>6.9481600000000001E-4</v>
      </c>
      <c r="F125" s="188">
        <f>opex_orig!F125</f>
        <v>8.6928099999999996E-4</v>
      </c>
      <c r="G125" s="188">
        <f>opex_orig!G125</f>
        <v>4.0564799999999999E-4</v>
      </c>
      <c r="H125" s="188">
        <f>opex_orig!H125</f>
        <v>4.5867199999999998E-4</v>
      </c>
      <c r="I125" s="188">
        <f>opex_orig!I125</f>
        <v>4.50748E-4</v>
      </c>
      <c r="J125" s="188">
        <f>opex_orig!J125</f>
        <v>2.8936830000000002E-3</v>
      </c>
      <c r="K125" s="188">
        <f>opex_orig!K125</f>
        <v>1.2430150000000001E-3</v>
      </c>
      <c r="L125" s="188">
        <f>opex_orig!L125</f>
        <v>4.34793E-4</v>
      </c>
      <c r="M125" s="188">
        <f>opex_orig!M125</f>
        <v>4.9619599999999996E-4</v>
      </c>
      <c r="N125" s="188">
        <f>opex_orig!N125</f>
        <v>1.789821E-3</v>
      </c>
      <c r="O125" s="188">
        <f>opex_orig!O125</f>
        <v>6.35858E-4</v>
      </c>
      <c r="P125" s="188">
        <f>opex_orig!P125</f>
        <v>4.86176E-4</v>
      </c>
      <c r="Q125" s="188">
        <f>opex_orig!Q125</f>
        <v>7.8445200000000004E-4</v>
      </c>
      <c r="R125" s="188">
        <f>opex_orig!R125</f>
        <v>1.658893E-3</v>
      </c>
      <c r="S125" s="188">
        <f>opex_orig!S125</f>
        <v>3.7809600000000002E-4</v>
      </c>
      <c r="T125" s="188">
        <f>opex_orig!T125</f>
        <v>1.543989E-3</v>
      </c>
      <c r="U125" s="188">
        <f>opex_orig!U125</f>
        <v>7.29961E-4</v>
      </c>
      <c r="V125" s="188">
        <f>opex_orig!V125</f>
        <v>8.8647900000000002E-4</v>
      </c>
      <c r="W125" s="188">
        <f>opex_orig!W125</f>
        <v>4.2826300000000002E-4</v>
      </c>
      <c r="X125" s="188">
        <f>opex_orig!X125</f>
        <v>4.0865399999999999E-4</v>
      </c>
      <c r="Y125" s="188">
        <f>opex_orig!Y125</f>
        <v>1.2735120000000001E-3</v>
      </c>
      <c r="Z125" s="188">
        <f>opex_orig!Z125</f>
        <v>5.9049325E-2</v>
      </c>
      <c r="AA125" s="188">
        <f>opex_orig!AA125</f>
        <v>4.3606189999999996E-3</v>
      </c>
      <c r="AB125" s="219">
        <f>opex_concordance!M197</f>
        <v>1.48073809005072E-2</v>
      </c>
      <c r="AC125" s="219">
        <f>opex_concordance!M226</f>
        <v>2.1949485145702115E-2</v>
      </c>
      <c r="AD125" s="219">
        <f>opex_concordance!M287</f>
        <v>2.6102050476171017E-2</v>
      </c>
      <c r="AE125" s="188">
        <f>opex_orig!$AC125</f>
        <v>3.7684563367535902E-3</v>
      </c>
      <c r="AF125" s="188">
        <f>opex_orig!$AD125</f>
        <v>1.30885671614047E-3</v>
      </c>
      <c r="AG125" s="188">
        <f>opex_orig!$AD125</f>
        <v>1.30885671614047E-3</v>
      </c>
      <c r="AH125" s="188">
        <f>opex_orig!$AD125</f>
        <v>1.30885671614047E-3</v>
      </c>
      <c r="AI125" s="188">
        <f>opex_orig!AE125</f>
        <v>1.0365089999999999E-3</v>
      </c>
      <c r="AJ125" s="188">
        <f>opex_orig!AF125</f>
        <v>4.8954800000000002E-4</v>
      </c>
      <c r="AK125" s="188">
        <f>opex_orig!AG125</f>
        <v>2.3696000000000001E-4</v>
      </c>
      <c r="AL125" s="188">
        <f>opex_orig!AH125</f>
        <v>5.3655300000000005E-4</v>
      </c>
      <c r="AM125" s="188">
        <f>opex_orig!AI125</f>
        <v>1.2066659999999999E-3</v>
      </c>
      <c r="AN125" s="188">
        <f>opex_orig!AJ125</f>
        <v>8.4165800000000001E-4</v>
      </c>
      <c r="AO125" s="188">
        <f>opex_orig!AK125</f>
        <v>1.8623870000000001E-3</v>
      </c>
      <c r="AP125" s="188">
        <f>opex_orig!$AL125</f>
        <v>8.49969672861967E-4</v>
      </c>
      <c r="AQ125" s="188">
        <f>opex_orig!$AL125</f>
        <v>8.49969672861967E-4</v>
      </c>
      <c r="AR125" s="188">
        <f>opex_orig!$AL125</f>
        <v>8.49969672861967E-4</v>
      </c>
      <c r="AS125" s="188">
        <f>opex_orig!$AM125</f>
        <v>1.5372697127169399E-3</v>
      </c>
      <c r="AT125" s="188">
        <f>opex_orig!AN125</f>
        <v>8.6436599999999998E-4</v>
      </c>
      <c r="AU125" s="188">
        <f>opex_orig!$AO125</f>
        <v>5.7857580334563698E-4</v>
      </c>
      <c r="AV125" s="188">
        <f>opex_orig!$AO125</f>
        <v>5.7857580334563698E-4</v>
      </c>
      <c r="AW125" s="188">
        <f>opex_orig!$AO125</f>
        <v>5.7857580334563698E-4</v>
      </c>
      <c r="AX125" s="188">
        <f>opex_orig!$AP125</f>
        <v>8.2868777730947703E-4</v>
      </c>
      <c r="AY125" s="188">
        <f>opex_orig!AQ125</f>
        <v>9.5926599999999996E-4</v>
      </c>
      <c r="AZ125" s="188">
        <f>opex_orig!AR125</f>
        <v>0</v>
      </c>
      <c r="BA125" s="188">
        <f>opex_orig!AS125</f>
        <v>8.8075700000000002E-4</v>
      </c>
      <c r="BB125" s="188">
        <f>opex_orig!AT125</f>
        <v>6.3765600000000001E-4</v>
      </c>
      <c r="BC125" s="188">
        <f>opex_orig!AU125</f>
        <v>8.8524700000000003E-4</v>
      </c>
      <c r="BD125" s="188">
        <f>opex_orig!AV125</f>
        <v>8.94858E-4</v>
      </c>
      <c r="BE125" s="188">
        <f>opex_orig!AW125</f>
        <v>7.8425200000000004E-4</v>
      </c>
      <c r="BF125" s="188">
        <f>opex_orig!AX125</f>
        <v>0</v>
      </c>
      <c r="BG125" s="188">
        <f>opex_orig!AY125</f>
        <v>2.9226149999999999E-3</v>
      </c>
      <c r="BH125" s="188">
        <f>opex_orig!AZ125</f>
        <v>0</v>
      </c>
      <c r="BI125" s="188">
        <f>opex_orig!BA125</f>
        <v>4.6856699999999997E-4</v>
      </c>
      <c r="BJ125" s="188">
        <f>opex_orig!BB125</f>
        <v>2.5419100000000002E-4</v>
      </c>
      <c r="BK125" s="188">
        <f>opex_orig!BC125</f>
        <v>2.25157E-4</v>
      </c>
      <c r="BL125" s="188">
        <f>opex_orig!BD125</f>
        <v>3.60026E-4</v>
      </c>
      <c r="BM125" s="188">
        <f>opex_orig!BE125</f>
        <v>2.1306799999999999E-4</v>
      </c>
      <c r="BN125" s="188">
        <f>opex_orig!BF125</f>
        <v>2.2238600000000001E-4</v>
      </c>
      <c r="BO125" s="188">
        <f>opex_orig!BG125</f>
        <v>3.3962499999999997E-4</v>
      </c>
      <c r="BP125" s="188">
        <f>opex_orig!$BH125</f>
        <v>2.9058190007262802E-4</v>
      </c>
      <c r="BQ125" s="188">
        <f>opex_orig!$BH125</f>
        <v>2.9058190007262802E-4</v>
      </c>
      <c r="BR125" s="188">
        <f>opex_orig!BI125</f>
        <v>3.6383500000000002E-4</v>
      </c>
      <c r="BS125" s="188">
        <f>opex_orig!BJ125</f>
        <v>4.1944900000000002E-4</v>
      </c>
      <c r="BT125" s="188">
        <f>opex_orig!BK125</f>
        <v>7.7690799999999998E-4</v>
      </c>
      <c r="BU125" s="188">
        <f>opex_orig!BL125</f>
        <v>0</v>
      </c>
      <c r="BV125" s="27">
        <f>opex_orig!BM125</f>
        <v>1.0930863295916999E-3</v>
      </c>
      <c r="BW125" s="27">
        <f>opex_orig!BN125</f>
        <v>1.31531528272625E-3</v>
      </c>
      <c r="BX125" s="27">
        <f>opex_orig!BO125</f>
        <v>9.7582138433409198E-4</v>
      </c>
      <c r="BY125" s="27">
        <f>opex_orig!BP125</f>
        <v>1.57584573059786E-3</v>
      </c>
      <c r="BZ125" s="27">
        <f>opex_orig!BQ125</f>
        <v>2.0642955772295301E-3</v>
      </c>
      <c r="CA125" s="27">
        <f>opex_orig!BR125</f>
        <v>1.7718604561677801E-4</v>
      </c>
      <c r="CB125" s="27">
        <f>opex_orig!BS125</f>
        <v>5.15194087609746E-3</v>
      </c>
      <c r="CC125" s="27">
        <f>opex_orig!BT125</f>
        <v>6.0737785386151403E-4</v>
      </c>
      <c r="CD125" s="27">
        <f>opex_orig!BU125</f>
        <v>1.2842948344536799E-4</v>
      </c>
      <c r="CE125" s="27">
        <f>opex_orig!BV125</f>
        <v>1.28429483445369E-4</v>
      </c>
      <c r="CF125" s="27">
        <f>opex_orig!BW125</f>
        <v>7.0185341422322495E-4</v>
      </c>
      <c r="CG125" s="27">
        <f>opex_orig!BX125</f>
        <v>1.7268269304223499E-3</v>
      </c>
      <c r="CH125" s="27">
        <f>opex_orig!BY125</f>
        <v>8.2592417337134003E-2</v>
      </c>
      <c r="CI125" s="27">
        <f>opex_orig!BZ125</f>
        <v>1.50877E-3</v>
      </c>
      <c r="CJ125" s="27">
        <f>opex_orig!CA125</f>
        <v>1.1536859999999999E-3</v>
      </c>
      <c r="CK125" s="27">
        <f>opex_orig!CB125</f>
        <v>1.6421980000000001E-3</v>
      </c>
      <c r="CL125" s="27">
        <f>opex_orig!CC125</f>
        <v>1.3399429999999999E-3</v>
      </c>
      <c r="CM125" s="27">
        <f>opex_orig!CD125</f>
        <v>3.4338440000000001E-3</v>
      </c>
      <c r="CN125" s="27">
        <f>opex_orig!CE125</f>
        <v>5.1986000000000003E-4</v>
      </c>
      <c r="CO125" s="27">
        <f>opex_orig!CF125</f>
        <v>4.0168099999999998E-4</v>
      </c>
      <c r="CP125" s="27">
        <f>opex_orig!CG125</f>
        <v>4.5297499999999999E-4</v>
      </c>
    </row>
    <row r="126" spans="1:94" x14ac:dyDescent="0.25">
      <c r="A126" s="5" t="s">
        <v>243</v>
      </c>
      <c r="B126" s="2" t="s">
        <v>242</v>
      </c>
      <c r="C126" s="1" t="s">
        <v>333</v>
      </c>
      <c r="D126" s="188">
        <f>opex_orig!D126</f>
        <v>1.85162E-4</v>
      </c>
      <c r="E126" s="188">
        <f>opex_orig!E126</f>
        <v>8.4499999999999994E-5</v>
      </c>
      <c r="F126" s="188">
        <f>opex_orig!F126</f>
        <v>2.2302300000000001E-4</v>
      </c>
      <c r="G126" s="188">
        <f>opex_orig!G126</f>
        <v>1.28291E-4</v>
      </c>
      <c r="H126" s="188">
        <f>opex_orig!H126</f>
        <v>1.3699999999999999E-5</v>
      </c>
      <c r="I126" s="188">
        <f>opex_orig!I126</f>
        <v>9.3999999999999994E-5</v>
      </c>
      <c r="J126" s="188">
        <f>opex_orig!J126</f>
        <v>5.363339E-3</v>
      </c>
      <c r="K126" s="188">
        <f>opex_orig!K126</f>
        <v>6.1099999999999994E-5</v>
      </c>
      <c r="L126" s="188">
        <f>opex_orig!L126</f>
        <v>2.1951100000000001E-4</v>
      </c>
      <c r="M126" s="188">
        <f>opex_orig!M126</f>
        <v>3.0090100000000001E-4</v>
      </c>
      <c r="N126" s="188">
        <f>opex_orig!N126</f>
        <v>7.9800000000000002E-5</v>
      </c>
      <c r="O126" s="188">
        <f>opex_orig!O126</f>
        <v>4.3600000000000003E-5</v>
      </c>
      <c r="P126" s="188">
        <f>opex_orig!P126</f>
        <v>1.05604E-4</v>
      </c>
      <c r="Q126" s="188">
        <f>opex_orig!Q126</f>
        <v>1.15065E-4</v>
      </c>
      <c r="R126" s="188">
        <f>opex_orig!R126</f>
        <v>1.33499E-4</v>
      </c>
      <c r="S126" s="188">
        <f>opex_orig!S126</f>
        <v>1.8188500000000001E-4</v>
      </c>
      <c r="T126" s="188">
        <f>opex_orig!T126</f>
        <v>5.1844700000000001E-4</v>
      </c>
      <c r="U126" s="188">
        <f>opex_orig!U126</f>
        <v>7.8235999999999996E-4</v>
      </c>
      <c r="V126" s="188">
        <f>opex_orig!V126</f>
        <v>8.4310799999999997E-4</v>
      </c>
      <c r="W126" s="188">
        <f>opex_orig!W126</f>
        <v>1.83893E-4</v>
      </c>
      <c r="X126" s="188">
        <f>opex_orig!X126</f>
        <v>4.7299999999999998E-5</v>
      </c>
      <c r="Y126" s="188">
        <f>opex_orig!Y126</f>
        <v>3.2299999999999999E-5</v>
      </c>
      <c r="Z126" s="188">
        <f>opex_orig!Z126</f>
        <v>2.05899E-4</v>
      </c>
      <c r="AA126" s="188">
        <f>opex_orig!AA126</f>
        <v>1.9924799999999999E-4</v>
      </c>
      <c r="AB126" s="188">
        <f>opex_orig!$AB126</f>
        <v>4.3640384546201401E-4</v>
      </c>
      <c r="AC126" s="188">
        <f>opex_orig!$AB126</f>
        <v>4.3640384546201401E-4</v>
      </c>
      <c r="AD126" s="188">
        <f>opex_orig!$AB126</f>
        <v>4.3640384546201401E-4</v>
      </c>
      <c r="AE126" s="188">
        <f>opex_orig!$AC126</f>
        <v>1.6182903425994201E-3</v>
      </c>
      <c r="AF126" s="188">
        <f>opex_orig!$AD126</f>
        <v>1.55772246939226E-3</v>
      </c>
      <c r="AG126" s="188">
        <f>opex_orig!$AD126</f>
        <v>1.55772246939226E-3</v>
      </c>
      <c r="AH126" s="188">
        <f>opex_orig!$AD126</f>
        <v>1.55772246939226E-3</v>
      </c>
      <c r="AI126" s="188">
        <f>opex_orig!AE126</f>
        <v>1.2215889999999999E-3</v>
      </c>
      <c r="AJ126" s="188">
        <f>opex_orig!AF126</f>
        <v>1.361929E-3</v>
      </c>
      <c r="AK126" s="188">
        <f>opex_orig!AG126</f>
        <v>5.1900000000000001E-5</v>
      </c>
      <c r="AL126" s="188">
        <f>opex_orig!AH126</f>
        <v>4.5500000000000001E-5</v>
      </c>
      <c r="AM126" s="188">
        <f>opex_orig!AI126</f>
        <v>6.7000000000000002E-5</v>
      </c>
      <c r="AN126" s="188">
        <f>opex_orig!AJ126</f>
        <v>1.03677E-4</v>
      </c>
      <c r="AO126" s="188">
        <f>opex_orig!AK126</f>
        <v>9.2399999999999996E-5</v>
      </c>
      <c r="AP126" s="188">
        <f>opex_orig!$AL126</f>
        <v>6.8685984965705904E-5</v>
      </c>
      <c r="AQ126" s="188">
        <f>opex_orig!$AL126</f>
        <v>6.8685984965705904E-5</v>
      </c>
      <c r="AR126" s="188">
        <f>opex_orig!$AL126</f>
        <v>6.8685984965705904E-5</v>
      </c>
      <c r="AS126" s="188">
        <f>opex_orig!$AM126</f>
        <v>7.7715175616453505E-5</v>
      </c>
      <c r="AT126" s="188">
        <f>opex_orig!AN126</f>
        <v>8.7100000000000003E-5</v>
      </c>
      <c r="AU126" s="188">
        <f>opex_orig!$AO126</f>
        <v>5.9564886090533502E-5</v>
      </c>
      <c r="AV126" s="188">
        <f>opex_orig!$AO126</f>
        <v>5.9564886090533502E-5</v>
      </c>
      <c r="AW126" s="188">
        <f>opex_orig!$AO126</f>
        <v>5.9564886090533502E-5</v>
      </c>
      <c r="AX126" s="188">
        <f>opex_orig!$AP126</f>
        <v>4.9619154386365698E-5</v>
      </c>
      <c r="AY126" s="188">
        <f>opex_orig!AQ126</f>
        <v>8.7299999999999994E-5</v>
      </c>
      <c r="AZ126" s="188">
        <f>opex_orig!AR126</f>
        <v>0</v>
      </c>
      <c r="BA126" s="188">
        <f>opex_orig!AS126</f>
        <v>1.02154E-4</v>
      </c>
      <c r="BB126" s="188">
        <f>opex_orig!AT126</f>
        <v>6.9999999999999994E-5</v>
      </c>
      <c r="BC126" s="188">
        <f>opex_orig!AU126</f>
        <v>5.3399999999999997E-5</v>
      </c>
      <c r="BD126" s="188">
        <f>opex_orig!AV126</f>
        <v>3.9499999999999998E-5</v>
      </c>
      <c r="BE126" s="188">
        <f>opex_orig!AW126</f>
        <v>6.0999999999999999E-5</v>
      </c>
      <c r="BF126" s="188">
        <f>opex_orig!AX126</f>
        <v>0</v>
      </c>
      <c r="BG126" s="188">
        <f>opex_orig!AY126</f>
        <v>1.10027E-4</v>
      </c>
      <c r="BH126" s="188">
        <f>opex_orig!AZ126</f>
        <v>0</v>
      </c>
      <c r="BI126" s="188">
        <f>opex_orig!BA126</f>
        <v>8.9400000000000005E-5</v>
      </c>
      <c r="BJ126" s="188">
        <f>opex_orig!BB126</f>
        <v>4.9700000000000002E-5</v>
      </c>
      <c r="BK126" s="188">
        <f>opex_orig!BC126</f>
        <v>1.91361E-4</v>
      </c>
      <c r="BL126" s="188">
        <f>opex_orig!BD126</f>
        <v>1.4810999999999999E-4</v>
      </c>
      <c r="BM126" s="188">
        <f>opex_orig!BE126</f>
        <v>5.4400000000000001E-5</v>
      </c>
      <c r="BN126" s="188">
        <f>opex_orig!BF126</f>
        <v>1.3555899999999999E-4</v>
      </c>
      <c r="BO126" s="188">
        <f>opex_orig!BG126</f>
        <v>3.4600000000000001E-5</v>
      </c>
      <c r="BP126" s="188">
        <f>opex_orig!$BH126</f>
        <v>7.6597037632502297E-5</v>
      </c>
      <c r="BQ126" s="188">
        <f>opex_orig!$BH126</f>
        <v>7.6597037632502297E-5</v>
      </c>
      <c r="BR126" s="188">
        <f>opex_orig!BI126</f>
        <v>1.11266E-4</v>
      </c>
      <c r="BS126" s="188">
        <f>opex_orig!BJ126</f>
        <v>4.1100000000000003E-5</v>
      </c>
      <c r="BT126" s="188">
        <f>opex_orig!BK126</f>
        <v>4.7599999999999998E-5</v>
      </c>
      <c r="BU126" s="188">
        <f>opex_orig!BL126</f>
        <v>0</v>
      </c>
      <c r="BV126" s="27">
        <f>opex_orig!BM126</f>
        <v>2.13628311488247E-4</v>
      </c>
      <c r="BW126" s="27">
        <f>opex_orig!BN126</f>
        <v>2.6997342164931698E-4</v>
      </c>
      <c r="BX126" s="27">
        <f>opex_orig!BO126</f>
        <v>3.6888396858349998E-5</v>
      </c>
      <c r="BY126" s="27">
        <f>opex_orig!BP126</f>
        <v>5.57424322215016E-5</v>
      </c>
      <c r="BZ126" s="27">
        <f>opex_orig!BQ126</f>
        <v>9.4177155224901295E-5</v>
      </c>
      <c r="CA126" s="27">
        <f>opex_orig!BR126</f>
        <v>5.63814784493878E-4</v>
      </c>
      <c r="CB126" s="27">
        <f>opex_orig!BS126</f>
        <v>4.6736659071911299E-4</v>
      </c>
      <c r="CC126" s="27">
        <f>opex_orig!BT126</f>
        <v>2.0001004104855101E-4</v>
      </c>
      <c r="CD126" s="27">
        <f>opex_orig!BU126</f>
        <v>3.3593493266794803E-5</v>
      </c>
      <c r="CE126" s="27">
        <f>opex_orig!BV126</f>
        <v>3.3593493266794897E-5</v>
      </c>
      <c r="CF126" s="27">
        <f>opex_orig!BW126</f>
        <v>8.5199592517718695E-4</v>
      </c>
      <c r="CG126" s="27">
        <f>opex_orig!BX126</f>
        <v>4.5503871456084701E-3</v>
      </c>
      <c r="CH126" s="27">
        <f>opex_orig!BY126</f>
        <v>1.59233986582802E-4</v>
      </c>
      <c r="CI126" s="27">
        <f>opex_orig!BZ126</f>
        <v>1.17095E-4</v>
      </c>
      <c r="CJ126" s="27">
        <f>opex_orig!CA126</f>
        <v>4.57E-5</v>
      </c>
      <c r="CK126" s="27">
        <f>opex_orig!CB126</f>
        <v>5.6499999999999998E-5</v>
      </c>
      <c r="CL126" s="27">
        <f>opex_orig!CC126</f>
        <v>2.3600000000000001E-5</v>
      </c>
      <c r="CM126" s="27">
        <f>opex_orig!CD126</f>
        <v>3.1973899999999998E-4</v>
      </c>
      <c r="CN126" s="27">
        <f>opex_orig!CE126</f>
        <v>5.6700000000000003E-5</v>
      </c>
      <c r="CO126" s="27">
        <f>opex_orig!CF126</f>
        <v>7.5500000000000006E-5</v>
      </c>
      <c r="CP126" s="27">
        <f>opex_orig!CG126</f>
        <v>3.2100000000000001E-5</v>
      </c>
    </row>
    <row r="127" spans="1:94" x14ac:dyDescent="0.25">
      <c r="A127" s="5" t="s">
        <v>245</v>
      </c>
      <c r="B127" s="2" t="s">
        <v>244</v>
      </c>
      <c r="C127" s="1" t="s">
        <v>333</v>
      </c>
      <c r="D127" s="188">
        <f>opex_orig!D127</f>
        <v>3.0199999999999999E-5</v>
      </c>
      <c r="E127" s="188">
        <f>opex_orig!E127</f>
        <v>1.1800000000000001E-5</v>
      </c>
      <c r="F127" s="188">
        <f>opex_orig!F127</f>
        <v>2.4499999999999999E-5</v>
      </c>
      <c r="G127" s="188">
        <f>opex_orig!G127</f>
        <v>1.5400000000000002E-5</v>
      </c>
      <c r="H127" s="188">
        <f>opex_orig!H127</f>
        <v>1.6700000000000001E-6</v>
      </c>
      <c r="I127" s="188">
        <f>opex_orig!I127</f>
        <v>1.9899999999999999E-5</v>
      </c>
      <c r="J127" s="188">
        <f>opex_orig!J127</f>
        <v>1.353976E-3</v>
      </c>
      <c r="K127" s="188">
        <f>opex_orig!K127</f>
        <v>1.1600000000000001E-5</v>
      </c>
      <c r="L127" s="188">
        <f>opex_orig!L127</f>
        <v>3.3500000000000001E-5</v>
      </c>
      <c r="M127" s="188">
        <f>opex_orig!M127</f>
        <v>4.2299999999999998E-5</v>
      </c>
      <c r="N127" s="188">
        <f>opex_orig!N127</f>
        <v>1.4100000000000001E-5</v>
      </c>
      <c r="O127" s="188">
        <f>opex_orig!O127</f>
        <v>5.1499999999999998E-6</v>
      </c>
      <c r="P127" s="188">
        <f>opex_orig!P127</f>
        <v>2.1500000000000001E-5</v>
      </c>
      <c r="Q127" s="188">
        <f>opex_orig!Q127</f>
        <v>2.9899999999999998E-5</v>
      </c>
      <c r="R127" s="188">
        <f>opex_orig!R127</f>
        <v>2.51E-5</v>
      </c>
      <c r="S127" s="188">
        <f>opex_orig!S127</f>
        <v>1.7600000000000001E-5</v>
      </c>
      <c r="T127" s="188">
        <f>opex_orig!T127</f>
        <v>4.5200000000000001E-5</v>
      </c>
      <c r="U127" s="188">
        <f>opex_orig!U127</f>
        <v>8.25E-5</v>
      </c>
      <c r="V127" s="188">
        <f>opex_orig!V127</f>
        <v>9.4400000000000004E-5</v>
      </c>
      <c r="W127" s="188">
        <f>opex_orig!W127</f>
        <v>2.1299999999999999E-5</v>
      </c>
      <c r="X127" s="188">
        <f>opex_orig!X127</f>
        <v>6.1099999999999999E-6</v>
      </c>
      <c r="Y127" s="188">
        <f>opex_orig!Y127</f>
        <v>6.9399999999999996E-6</v>
      </c>
      <c r="Z127" s="188">
        <f>opex_orig!Z127</f>
        <v>4.1499999999999999E-5</v>
      </c>
      <c r="AA127" s="188">
        <f>opex_orig!AA127</f>
        <v>2.6299999999999999E-5</v>
      </c>
      <c r="AB127" s="188">
        <f>opex_orig!$AB127</f>
        <v>2.56598517958552E-5</v>
      </c>
      <c r="AC127" s="188">
        <f>opex_orig!$AB127</f>
        <v>2.56598517958552E-5</v>
      </c>
      <c r="AD127" s="188">
        <f>opex_orig!$AB127</f>
        <v>2.56598517958552E-5</v>
      </c>
      <c r="AE127" s="188">
        <f>opex_orig!$AC127</f>
        <v>7.0278906283682699E-4</v>
      </c>
      <c r="AF127" s="188">
        <f>opex_orig!$AD127</f>
        <v>4.4305920752965399E-4</v>
      </c>
      <c r="AG127" s="188">
        <f>opex_orig!$AD127</f>
        <v>4.4305920752965399E-4</v>
      </c>
      <c r="AH127" s="188">
        <f>opex_orig!$AD127</f>
        <v>4.4305920752965399E-4</v>
      </c>
      <c r="AI127" s="188">
        <f>opex_orig!AE127</f>
        <v>3.2393100000000001E-4</v>
      </c>
      <c r="AJ127" s="188">
        <f>opex_orig!AF127</f>
        <v>4.1809099999999999E-4</v>
      </c>
      <c r="AK127" s="188">
        <f>opex_orig!AG127</f>
        <v>4.3200000000000001E-6</v>
      </c>
      <c r="AL127" s="188">
        <f>opex_orig!AH127</f>
        <v>5.8000000000000004E-6</v>
      </c>
      <c r="AM127" s="188">
        <f>opex_orig!AI127</f>
        <v>7.5800000000000003E-6</v>
      </c>
      <c r="AN127" s="188">
        <f>opex_orig!AJ127</f>
        <v>1.11E-5</v>
      </c>
      <c r="AO127" s="188">
        <f>opex_orig!AK127</f>
        <v>1.17E-5</v>
      </c>
      <c r="AP127" s="188">
        <f>opex_orig!$AL127</f>
        <v>8.1025116081592503E-6</v>
      </c>
      <c r="AQ127" s="188">
        <f>opex_orig!$AL127</f>
        <v>8.1025116081592503E-6</v>
      </c>
      <c r="AR127" s="188">
        <f>opex_orig!$AL127</f>
        <v>8.1025116081592503E-6</v>
      </c>
      <c r="AS127" s="188">
        <f>opex_orig!$AM127</f>
        <v>9.4930508661316502E-6</v>
      </c>
      <c r="AT127" s="188">
        <f>opex_orig!AN127</f>
        <v>1.0900000000000001E-5</v>
      </c>
      <c r="AU127" s="188">
        <f>opex_orig!$AO127</f>
        <v>7.9637374823292501E-6</v>
      </c>
      <c r="AV127" s="188">
        <f>opex_orig!$AO127</f>
        <v>7.9637374823292501E-6</v>
      </c>
      <c r="AW127" s="188">
        <f>opex_orig!$AO127</f>
        <v>7.9637374823292501E-6</v>
      </c>
      <c r="AX127" s="188">
        <f>opex_orig!$AP127</f>
        <v>7.7318416276896201E-6</v>
      </c>
      <c r="AY127" s="188">
        <f>opex_orig!AQ127</f>
        <v>1.0900000000000001E-5</v>
      </c>
      <c r="AZ127" s="188">
        <f>opex_orig!AR127</f>
        <v>0</v>
      </c>
      <c r="BA127" s="188">
        <f>opex_orig!AS127</f>
        <v>1.04E-5</v>
      </c>
      <c r="BB127" s="188">
        <f>opex_orig!AT127</f>
        <v>7.2099999999999996E-6</v>
      </c>
      <c r="BC127" s="188">
        <f>opex_orig!AU127</f>
        <v>6.0599999999999996E-6</v>
      </c>
      <c r="BD127" s="188">
        <f>opex_orig!AV127</f>
        <v>4.5199999999999999E-6</v>
      </c>
      <c r="BE127" s="188">
        <f>opex_orig!AW127</f>
        <v>7.6299999999999998E-6</v>
      </c>
      <c r="BF127" s="188">
        <f>opex_orig!AX127</f>
        <v>0</v>
      </c>
      <c r="BG127" s="188">
        <f>opex_orig!AY127</f>
        <v>3.57E-5</v>
      </c>
      <c r="BH127" s="188">
        <f>opex_orig!AZ127</f>
        <v>0</v>
      </c>
      <c r="BI127" s="188">
        <f>opex_orig!BA127</f>
        <v>9.9599999999999995E-6</v>
      </c>
      <c r="BJ127" s="188">
        <f>opex_orig!BB127</f>
        <v>4.6399999999999996E-6</v>
      </c>
      <c r="BK127" s="188">
        <f>opex_orig!BC127</f>
        <v>2.4199999999999999E-5</v>
      </c>
      <c r="BL127" s="188">
        <f>opex_orig!BD127</f>
        <v>3.0800000000000003E-5</v>
      </c>
      <c r="BM127" s="188">
        <f>opex_orig!BE127</f>
        <v>4.8999999999999997E-6</v>
      </c>
      <c r="BN127" s="188">
        <f>opex_orig!BF127</f>
        <v>2.16E-5</v>
      </c>
      <c r="BO127" s="188">
        <f>opex_orig!BG127</f>
        <v>4.95E-6</v>
      </c>
      <c r="BP127" s="188">
        <f>opex_orig!$BH127</f>
        <v>7.1706078664653302E-6</v>
      </c>
      <c r="BQ127" s="188">
        <f>opex_orig!$BH127</f>
        <v>7.1706078664653302E-6</v>
      </c>
      <c r="BR127" s="188">
        <f>opex_orig!BI127</f>
        <v>9.91E-6</v>
      </c>
      <c r="BS127" s="188">
        <f>opex_orig!BJ127</f>
        <v>4.8899999999999998E-6</v>
      </c>
      <c r="BT127" s="188">
        <f>opex_orig!BK127</f>
        <v>6.02E-6</v>
      </c>
      <c r="BU127" s="188">
        <f>opex_orig!BL127</f>
        <v>0</v>
      </c>
      <c r="BV127" s="27">
        <f>opex_orig!BM127</f>
        <v>2.8537688557155799E-5</v>
      </c>
      <c r="BW127" s="27">
        <f>opex_orig!BN127</f>
        <v>3.9272731158092397E-5</v>
      </c>
      <c r="BX127" s="27">
        <f>opex_orig!BO127</f>
        <v>6.8724759913631701E-6</v>
      </c>
      <c r="BY127" s="27">
        <f>opex_orig!BP127</f>
        <v>1.22567828829872E-5</v>
      </c>
      <c r="BZ127" s="27">
        <f>opex_orig!BQ127</f>
        <v>1.2602076932610301E-5</v>
      </c>
      <c r="CA127" s="27">
        <f>opex_orig!BR127</f>
        <v>9.8652487574231494E-5</v>
      </c>
      <c r="CB127" s="27">
        <f>opex_orig!BS127</f>
        <v>6.6579454711897395E-5</v>
      </c>
      <c r="CC127" s="27">
        <f>opex_orig!BT127</f>
        <v>9.1268529087479904E-5</v>
      </c>
      <c r="CD127" s="27">
        <f>opex_orig!BU127</f>
        <v>9.6938426385921507E-6</v>
      </c>
      <c r="CE127" s="27">
        <f>opex_orig!BV127</f>
        <v>9.6938426385921693E-6</v>
      </c>
      <c r="CF127" s="27">
        <f>opex_orig!BW127</f>
        <v>9.3271420923262701E-6</v>
      </c>
      <c r="CG127" s="27">
        <f>opex_orig!BX127</f>
        <v>5.0710939687464603E-3</v>
      </c>
      <c r="CH127" s="27">
        <f>opex_orig!BY127</f>
        <v>2.8457455962281798E-4</v>
      </c>
      <c r="CI127" s="27">
        <f>opex_orig!BZ127</f>
        <v>1.8300000000000001E-5</v>
      </c>
      <c r="CJ127" s="27">
        <f>opex_orig!CA127</f>
        <v>9.9699999999999994E-6</v>
      </c>
      <c r="CK127" s="27">
        <f>opex_orig!CB127</f>
        <v>1.1199999999999999E-5</v>
      </c>
      <c r="CL127" s="27">
        <f>opex_orig!CC127</f>
        <v>7.0899999999999999E-6</v>
      </c>
      <c r="CM127" s="27">
        <f>opex_orig!CD127</f>
        <v>3.2499999999999997E-5</v>
      </c>
      <c r="CN127" s="27">
        <f>opex_orig!CE127</f>
        <v>5.0799999999999996E-6</v>
      </c>
      <c r="CO127" s="27">
        <f>opex_orig!CF127</f>
        <v>6.7399999999999998E-6</v>
      </c>
      <c r="CP127" s="27">
        <f>opex_orig!CG127</f>
        <v>4.69E-6</v>
      </c>
    </row>
    <row r="128" spans="1:94" x14ac:dyDescent="0.25">
      <c r="A128" s="5" t="s">
        <v>247</v>
      </c>
      <c r="B128" s="2" t="s">
        <v>246</v>
      </c>
      <c r="C128" s="1" t="s">
        <v>333</v>
      </c>
      <c r="D128" s="188">
        <f>opex_orig!D128</f>
        <v>7.6484899999999995E-4</v>
      </c>
      <c r="E128" s="188">
        <f>opex_orig!E128</f>
        <v>8.3257299999999997E-4</v>
      </c>
      <c r="F128" s="188">
        <f>opex_orig!F128</f>
        <v>1.2935259999999999E-3</v>
      </c>
      <c r="G128" s="188">
        <f>opex_orig!G128</f>
        <v>3.4633800000000002E-4</v>
      </c>
      <c r="H128" s="188">
        <f>opex_orig!H128</f>
        <v>4.94277E-4</v>
      </c>
      <c r="I128" s="188">
        <f>opex_orig!I128</f>
        <v>7.6541800000000002E-4</v>
      </c>
      <c r="J128" s="188">
        <f>opex_orig!J128</f>
        <v>2.9148120000000001E-3</v>
      </c>
      <c r="K128" s="188">
        <f>opex_orig!K128</f>
        <v>1.0940909999999999E-3</v>
      </c>
      <c r="L128" s="188">
        <f>opex_orig!L128</f>
        <v>9.9410600000000003E-4</v>
      </c>
      <c r="M128" s="188">
        <f>opex_orig!M128</f>
        <v>2.7481789999999999E-3</v>
      </c>
      <c r="N128" s="188">
        <f>opex_orig!N128</f>
        <v>3.012505E-3</v>
      </c>
      <c r="O128" s="188">
        <f>opex_orig!O128</f>
        <v>7.5805299999999996E-4</v>
      </c>
      <c r="P128" s="188">
        <f>opex_orig!P128</f>
        <v>9.8597799999999998E-4</v>
      </c>
      <c r="Q128" s="188">
        <f>opex_orig!Q128</f>
        <v>1.7963479999999999E-3</v>
      </c>
      <c r="R128" s="188">
        <f>opex_orig!R128</f>
        <v>2.622096E-3</v>
      </c>
      <c r="S128" s="188">
        <f>opex_orig!S128</f>
        <v>4.3032200000000002E-4</v>
      </c>
      <c r="T128" s="188">
        <f>opex_orig!T128</f>
        <v>1.8150449999999999E-3</v>
      </c>
      <c r="U128" s="188">
        <f>opex_orig!U128</f>
        <v>8.0444999999999996E-4</v>
      </c>
      <c r="V128" s="188">
        <f>opex_orig!V128</f>
        <v>1.0751350000000001E-3</v>
      </c>
      <c r="W128" s="188">
        <f>opex_orig!W128</f>
        <v>5.0953000000000001E-4</v>
      </c>
      <c r="X128" s="188">
        <f>opex_orig!X128</f>
        <v>1.1640279999999999E-3</v>
      </c>
      <c r="Y128" s="188">
        <f>opex_orig!Y128</f>
        <v>1.206904E-3</v>
      </c>
      <c r="Z128" s="188">
        <f>opex_orig!Z128</f>
        <v>1.0191410000000001E-3</v>
      </c>
      <c r="AA128" s="188">
        <f>opex_orig!AA128</f>
        <v>4.5103749999999996E-3</v>
      </c>
      <c r="AB128" s="188">
        <f>opex_orig!$AB128</f>
        <v>4.6961865990394099E-3</v>
      </c>
      <c r="AC128" s="188">
        <f>opex_orig!$AB128</f>
        <v>4.6961865990394099E-3</v>
      </c>
      <c r="AD128" s="188">
        <f>opex_orig!$AB128</f>
        <v>4.6961865990394099E-3</v>
      </c>
      <c r="AE128" s="188">
        <f>opex_orig!$AC128</f>
        <v>3.9510069457153098E-3</v>
      </c>
      <c r="AF128" s="188">
        <f>opex_orig!$AD128</f>
        <v>1.2890116050297E-3</v>
      </c>
      <c r="AG128" s="188">
        <f>opex_orig!$AD128</f>
        <v>1.2890116050297E-3</v>
      </c>
      <c r="AH128" s="188">
        <f>opex_orig!$AD128</f>
        <v>1.2890116050297E-3</v>
      </c>
      <c r="AI128" s="188">
        <f>opex_orig!AE128</f>
        <v>9.1388799999999996E-4</v>
      </c>
      <c r="AJ128" s="188">
        <f>opex_orig!AF128</f>
        <v>1.0803480000000001E-3</v>
      </c>
      <c r="AK128" s="188">
        <f>opex_orig!AG128</f>
        <v>3.0626900000000002E-4</v>
      </c>
      <c r="AL128" s="188">
        <f>opex_orig!AH128</f>
        <v>6.4069500000000004E-4</v>
      </c>
      <c r="AM128" s="188">
        <f>opex_orig!AI128</f>
        <v>1.5412920000000001E-3</v>
      </c>
      <c r="AN128" s="188">
        <f>opex_orig!AJ128</f>
        <v>1.1224060000000001E-3</v>
      </c>
      <c r="AO128" s="188">
        <f>opex_orig!AK128</f>
        <v>2.268197E-3</v>
      </c>
      <c r="AP128" s="188">
        <f>opex_orig!$AL128</f>
        <v>1.19816973926377E-3</v>
      </c>
      <c r="AQ128" s="188">
        <f>opex_orig!$AL128</f>
        <v>1.19816973926377E-3</v>
      </c>
      <c r="AR128" s="188">
        <f>opex_orig!$AL128</f>
        <v>1.19816973926377E-3</v>
      </c>
      <c r="AS128" s="188">
        <f>opex_orig!$AM128</f>
        <v>1.90964238504414E-3</v>
      </c>
      <c r="AT128" s="188">
        <f>opex_orig!AN128</f>
        <v>1.3865730000000001E-3</v>
      </c>
      <c r="AU128" s="188">
        <f>opex_orig!$AO128</f>
        <v>6.8154970479117002E-4</v>
      </c>
      <c r="AV128" s="188">
        <f>opex_orig!$AO128</f>
        <v>6.8154970479117002E-4</v>
      </c>
      <c r="AW128" s="188">
        <f>opex_orig!$AO128</f>
        <v>6.8154970479117002E-4</v>
      </c>
      <c r="AX128" s="188">
        <f>opex_orig!$AP128</f>
        <v>1.1102282720144899E-3</v>
      </c>
      <c r="AY128" s="188">
        <f>opex_orig!AQ128</f>
        <v>1.3232129999999999E-3</v>
      </c>
      <c r="AZ128" s="188">
        <f>opex_orig!AR128</f>
        <v>0</v>
      </c>
      <c r="BA128" s="188">
        <f>opex_orig!AS128</f>
        <v>1.018054E-3</v>
      </c>
      <c r="BB128" s="188">
        <f>opex_orig!AT128</f>
        <v>7.5449499999999999E-4</v>
      </c>
      <c r="BC128" s="188">
        <f>opex_orig!AU128</f>
        <v>8.1497099999999995E-4</v>
      </c>
      <c r="BD128" s="188">
        <f>opex_orig!AV128</f>
        <v>8.7048900000000001E-4</v>
      </c>
      <c r="BE128" s="188">
        <f>opex_orig!AW128</f>
        <v>1.063533E-3</v>
      </c>
      <c r="BF128" s="188">
        <f>opex_orig!AX128</f>
        <v>0</v>
      </c>
      <c r="BG128" s="188">
        <f>opex_orig!AY128</f>
        <v>3.3580630000000001E-3</v>
      </c>
      <c r="BH128" s="188">
        <f>opex_orig!AZ128</f>
        <v>0</v>
      </c>
      <c r="BI128" s="188">
        <f>opex_orig!BA128</f>
        <v>6.8038899999999999E-4</v>
      </c>
      <c r="BJ128" s="188">
        <f>opex_orig!BB128</f>
        <v>3.7747699999999998E-4</v>
      </c>
      <c r="BK128" s="188">
        <f>opex_orig!BC128</f>
        <v>9.3853700000000003E-4</v>
      </c>
      <c r="BL128" s="188">
        <f>opex_orig!BD128</f>
        <v>2.5647280000000001E-3</v>
      </c>
      <c r="BM128" s="188">
        <f>opex_orig!BE128</f>
        <v>5.9221399999999998E-4</v>
      </c>
      <c r="BN128" s="188">
        <f>opex_orig!BF128</f>
        <v>2.606241E-3</v>
      </c>
      <c r="BO128" s="188">
        <f>opex_orig!BG128</f>
        <v>6.3056799999999997E-4</v>
      </c>
      <c r="BP128" s="188">
        <f>opex_orig!$BH128</f>
        <v>3.9709589293945798E-4</v>
      </c>
      <c r="BQ128" s="188">
        <f>opex_orig!$BH128</f>
        <v>3.9709589293945798E-4</v>
      </c>
      <c r="BR128" s="188">
        <f>opex_orig!BI128</f>
        <v>6.8915100000000004E-4</v>
      </c>
      <c r="BS128" s="188">
        <f>opex_orig!BJ128</f>
        <v>1.585089E-3</v>
      </c>
      <c r="BT128" s="188">
        <f>opex_orig!BK128</f>
        <v>8.9284900000000003E-4</v>
      </c>
      <c r="BU128" s="188">
        <f>opex_orig!BL128</f>
        <v>0</v>
      </c>
      <c r="BV128" s="27">
        <f>opex_orig!BM128</f>
        <v>4.3651645219977298E-4</v>
      </c>
      <c r="BW128" s="27">
        <f>opex_orig!BN128</f>
        <v>1.3788962523253801E-3</v>
      </c>
      <c r="BX128" s="27">
        <f>opex_orig!BO128</f>
        <v>1.8158500379523E-4</v>
      </c>
      <c r="BY128" s="27">
        <f>opex_orig!BP128</f>
        <v>6.2184905299859504E-4</v>
      </c>
      <c r="BZ128" s="27">
        <f>opex_orig!BQ128</f>
        <v>1.04233991725125E-3</v>
      </c>
      <c r="CA128" s="27">
        <f>opex_orig!BR128</f>
        <v>1.20514395761784E-4</v>
      </c>
      <c r="CB128" s="27">
        <f>opex_orig!BS128</f>
        <v>4.3027948339879399E-3</v>
      </c>
      <c r="CC128" s="27">
        <f>opex_orig!BT128</f>
        <v>4.0941938068393701E-4</v>
      </c>
      <c r="CD128" s="27">
        <f>opex_orig!BU128</f>
        <v>3.9790982590792598E-4</v>
      </c>
      <c r="CE128" s="27">
        <f>opex_orig!BV128</f>
        <v>3.9790982590792598E-4</v>
      </c>
      <c r="CF128" s="27">
        <f>opex_orig!BW128</f>
        <v>1.4950258522201501E-4</v>
      </c>
      <c r="CG128" s="27">
        <f>opex_orig!BX128</f>
        <v>6.2792805393488296E-4</v>
      </c>
      <c r="CH128" s="27">
        <f>opex_orig!BY128</f>
        <v>1.0061063617771201E-2</v>
      </c>
      <c r="CI128" s="27">
        <f>opex_orig!BZ128</f>
        <v>6.8538300000000002E-4</v>
      </c>
      <c r="CJ128" s="27">
        <f>opex_orig!CA128</f>
        <v>2.8825999999999998E-4</v>
      </c>
      <c r="CK128" s="27">
        <f>opex_orig!CB128</f>
        <v>2.0668300000000001E-4</v>
      </c>
      <c r="CL128" s="27">
        <f>opex_orig!CC128</f>
        <v>1.4624700000000001E-4</v>
      </c>
      <c r="CM128" s="27">
        <f>opex_orig!CD128</f>
        <v>8.9305500000000002E-4</v>
      </c>
      <c r="CN128" s="27">
        <f>opex_orig!CE128</f>
        <v>5.7797600000000001E-4</v>
      </c>
      <c r="CO128" s="27">
        <f>opex_orig!CF128</f>
        <v>3.38831E-4</v>
      </c>
      <c r="CP128" s="27">
        <f>opex_orig!CG128</f>
        <v>5.4049700000000003E-4</v>
      </c>
    </row>
    <row r="129" spans="1:94" x14ac:dyDescent="0.25">
      <c r="A129" s="5" t="s">
        <v>249</v>
      </c>
      <c r="B129" s="2" t="s">
        <v>248</v>
      </c>
      <c r="C129" s="1" t="s">
        <v>333</v>
      </c>
      <c r="D129" s="188">
        <f>opex_orig!D129</f>
        <v>2.854859E-3</v>
      </c>
      <c r="E129" s="188">
        <f>opex_orig!E129</f>
        <v>2.8185939999999998E-3</v>
      </c>
      <c r="F129" s="188">
        <f>opex_orig!F129</f>
        <v>2.2087399999999998E-3</v>
      </c>
      <c r="G129" s="188">
        <f>opex_orig!G129</f>
        <v>5.95018E-4</v>
      </c>
      <c r="H129" s="188">
        <f>opex_orig!H129</f>
        <v>8.7890799999999997E-4</v>
      </c>
      <c r="I129" s="188">
        <f>opex_orig!I129</f>
        <v>7.5376660000000002E-3</v>
      </c>
      <c r="J129" s="188">
        <f>opex_orig!J129</f>
        <v>1.0400997E-2</v>
      </c>
      <c r="K129" s="188">
        <f>opex_orig!K129</f>
        <v>1.745704E-3</v>
      </c>
      <c r="L129" s="188">
        <f>opex_orig!L129</f>
        <v>3.8818699999999999E-3</v>
      </c>
      <c r="M129" s="188">
        <f>opex_orig!M129</f>
        <v>8.7406040000000008E-3</v>
      </c>
      <c r="N129" s="188">
        <f>opex_orig!N129</f>
        <v>6.7026860000000002E-3</v>
      </c>
      <c r="O129" s="188">
        <f>opex_orig!O129</f>
        <v>3.7908460000000001E-3</v>
      </c>
      <c r="P129" s="188">
        <f>opex_orig!P129</f>
        <v>2.5712510000000001E-3</v>
      </c>
      <c r="Q129" s="188">
        <f>opex_orig!Q129</f>
        <v>2.2137070000000001E-3</v>
      </c>
      <c r="R129" s="188">
        <f>opex_orig!R129</f>
        <v>3.2166809999999999E-3</v>
      </c>
      <c r="S129" s="188">
        <f>opex_orig!S129</f>
        <v>3.802873E-3</v>
      </c>
      <c r="T129" s="188">
        <f>opex_orig!T129</f>
        <v>6.5518399999999997E-3</v>
      </c>
      <c r="U129" s="188">
        <f>opex_orig!U129</f>
        <v>1.2220593E-2</v>
      </c>
      <c r="V129" s="188">
        <f>opex_orig!V129</f>
        <v>1.6969841999999999E-2</v>
      </c>
      <c r="W129" s="188">
        <f>opex_orig!W129</f>
        <v>3.206141E-3</v>
      </c>
      <c r="X129" s="188">
        <f>opex_orig!X129</f>
        <v>1.9574950000000001E-3</v>
      </c>
      <c r="Y129" s="188">
        <f>opex_orig!Y129</f>
        <v>7.8107250000000001E-3</v>
      </c>
      <c r="Z129" s="188">
        <f>opex_orig!Z129</f>
        <v>4.7694319999999998E-2</v>
      </c>
      <c r="AA129" s="188">
        <f>opex_orig!AA129</f>
        <v>8.1183078000000006E-2</v>
      </c>
      <c r="AB129" s="276">
        <f>opex_concordance!M198</f>
        <v>8.6195502111505104E-3</v>
      </c>
      <c r="AC129" s="276">
        <f>opex_concordance!M227</f>
        <v>1.5006737230463283E-2</v>
      </c>
      <c r="AD129" s="276">
        <f>opex_concordance!M288</f>
        <v>1.5194309932665717E-2</v>
      </c>
      <c r="AE129" s="188">
        <f>opex_orig!$AC129</f>
        <v>7.8861902575557905E-3</v>
      </c>
      <c r="AF129" s="257">
        <f>opex_concordance!$M$322</f>
        <v>5.5702518711760098E-3</v>
      </c>
      <c r="AG129" s="257">
        <f>opex_concordance!$M$358</f>
        <v>2.4684206819904756E-3</v>
      </c>
      <c r="AH129" s="257">
        <f>opex_concordance!$M$394</f>
        <v>1.980403318605101E-3</v>
      </c>
      <c r="AI129" s="188">
        <f>opex_orig!AE129</f>
        <v>4.8860470000000001E-3</v>
      </c>
      <c r="AJ129" s="188">
        <f>opex_orig!AF129</f>
        <v>1.0977143E-2</v>
      </c>
      <c r="AK129" s="188">
        <f>opex_orig!AG129</f>
        <v>7.0704139999999997E-3</v>
      </c>
      <c r="AL129" s="188">
        <f>opex_orig!AH129</f>
        <v>2.0845799000000002E-2</v>
      </c>
      <c r="AM129" s="188">
        <f>opex_orig!AI129</f>
        <v>4.0658342E-2</v>
      </c>
      <c r="AN129" s="188">
        <f>opex_orig!AJ129</f>
        <v>5.2466252999999997E-2</v>
      </c>
      <c r="AO129" s="188">
        <f>opex_orig!AK129</f>
        <v>4.8092540000000003E-2</v>
      </c>
      <c r="AP129" s="257">
        <f>opex_concordance!M404</f>
        <v>4.8979815221200297E-2</v>
      </c>
      <c r="AQ129" s="257">
        <f>opex_concordance!M458</f>
        <v>0.12753339019704485</v>
      </c>
      <c r="AR129" s="257">
        <f>opex_concordance!M512</f>
        <v>9.1974723220508356E-2</v>
      </c>
      <c r="AS129" s="188">
        <f>opex_orig!$AM129</f>
        <v>4.8415993644779998E-2</v>
      </c>
      <c r="AT129" s="188">
        <f>opex_orig!AN129</f>
        <v>6.1433205999999997E-2</v>
      </c>
      <c r="AU129" s="257">
        <f>opex_concordance!M571</f>
        <v>1.8017444205891301E-2</v>
      </c>
      <c r="AV129" s="257">
        <f>opex_concordance!M617</f>
        <v>2.4476634456808144E-2</v>
      </c>
      <c r="AW129" s="257">
        <f>opex_concordance!M663</f>
        <v>5.771368727568256E-2</v>
      </c>
      <c r="AX129" s="188">
        <f>opex_orig!$AP129</f>
        <v>1.9683711835593899E-2</v>
      </c>
      <c r="AY129" s="188">
        <f>opex_orig!AQ129</f>
        <v>1.7804176000000001E-2</v>
      </c>
      <c r="AZ129" s="188">
        <f>opex_orig!AR129</f>
        <v>0</v>
      </c>
      <c r="BA129" s="188">
        <f>opex_orig!AS129</f>
        <v>1.0593816000000001E-2</v>
      </c>
      <c r="BB129" s="188">
        <f>opex_orig!AT129</f>
        <v>1.0310395999999999E-2</v>
      </c>
      <c r="BC129" s="188">
        <f>opex_orig!AU129</f>
        <v>3.9662609999999996E-3</v>
      </c>
      <c r="BD129" s="188">
        <f>opex_orig!AV129</f>
        <v>3.5165420000000001E-3</v>
      </c>
      <c r="BE129" s="188">
        <f>opex_orig!AW129</f>
        <v>7.3690170000000003E-3</v>
      </c>
      <c r="BF129" s="188">
        <f>opex_orig!AX129</f>
        <v>0</v>
      </c>
      <c r="BG129" s="188">
        <f>opex_orig!AY129</f>
        <v>1.9210640000000001E-2</v>
      </c>
      <c r="BH129" s="188">
        <f>opex_orig!AZ129</f>
        <v>0</v>
      </c>
      <c r="BI129" s="188">
        <f>opex_orig!BA129</f>
        <v>2.1830626999999998E-2</v>
      </c>
      <c r="BJ129" s="188">
        <f>opex_orig!BB129</f>
        <v>1.0247832E-2</v>
      </c>
      <c r="BK129" s="188">
        <f>opex_orig!BC129</f>
        <v>4.9927579999999999E-3</v>
      </c>
      <c r="BL129" s="188">
        <f>opex_orig!BD129</f>
        <v>2.0797950000000002E-3</v>
      </c>
      <c r="BM129" s="188">
        <f>opex_orig!BE129</f>
        <v>1.9607270000000002E-3</v>
      </c>
      <c r="BN129" s="188">
        <f>opex_orig!BF129</f>
        <v>6.6239080000000004E-3</v>
      </c>
      <c r="BO129" s="188">
        <f>opex_orig!BG129</f>
        <v>4.0945189999999996E-3</v>
      </c>
      <c r="BP129" s="188">
        <f>opex_orig!$BH129</f>
        <v>3.0630563033745301E-3</v>
      </c>
      <c r="BQ129" s="188">
        <f>opex_orig!$BH129</f>
        <v>3.0630563033745301E-3</v>
      </c>
      <c r="BR129" s="188">
        <f>opex_orig!BI129</f>
        <v>1.8553420000000001E-3</v>
      </c>
      <c r="BS129" s="188">
        <f>opex_orig!BJ129</f>
        <v>3.8129129999999998E-3</v>
      </c>
      <c r="BT129" s="188">
        <f>opex_orig!BK129</f>
        <v>1.4652884999999999E-2</v>
      </c>
      <c r="BU129" s="188">
        <f>opex_orig!BL129</f>
        <v>0</v>
      </c>
      <c r="BV129" s="27">
        <f>opex_orig!BM129</f>
        <v>1.24887011462232E-2</v>
      </c>
      <c r="BW129" s="27">
        <f>opex_orig!BN129</f>
        <v>1.11684149702888E-2</v>
      </c>
      <c r="BX129" s="27">
        <f>opex_orig!BO129</f>
        <v>3.8837158532219499E-3</v>
      </c>
      <c r="BY129" s="27">
        <f>opex_orig!BP129</f>
        <v>6.5277647407708597E-3</v>
      </c>
      <c r="BZ129" s="27">
        <f>opex_orig!BQ129</f>
        <v>7.1654778110933296E-3</v>
      </c>
      <c r="CA129" s="27">
        <f>opex_orig!BR129</f>
        <v>5.62290737218951E-3</v>
      </c>
      <c r="CB129" s="27">
        <f>opex_orig!BS129</f>
        <v>1.1643511537964699E-2</v>
      </c>
      <c r="CC129" s="27">
        <f>opex_orig!BT129</f>
        <v>1.6858343766597901E-2</v>
      </c>
      <c r="CD129" s="27">
        <f>opex_orig!BU129</f>
        <v>6.9076222185073697E-3</v>
      </c>
      <c r="CE129" s="27">
        <f>opex_orig!BV129</f>
        <v>6.9076222185073697E-3</v>
      </c>
      <c r="CF129" s="27">
        <f>opex_orig!BW129</f>
        <v>5.7522940539109604E-4</v>
      </c>
      <c r="CG129" s="27">
        <f>opex_orig!BX129</f>
        <v>4.99276597520989E-3</v>
      </c>
      <c r="CH129" s="27">
        <f>opex_orig!BY129</f>
        <v>2.6019611283292399E-3</v>
      </c>
      <c r="CI129" s="27">
        <f>opex_orig!BZ129</f>
        <v>9.1564209999999997E-3</v>
      </c>
      <c r="CJ129" s="27">
        <f>opex_orig!CA129</f>
        <v>7.564543E-3</v>
      </c>
      <c r="CK129" s="27">
        <f>opex_orig!CB129</f>
        <v>8.1018300000000008E-3</v>
      </c>
      <c r="CL129" s="27">
        <f>opex_orig!CC129</f>
        <v>5.3133549999999996E-3</v>
      </c>
      <c r="CM129" s="27">
        <f>opex_orig!CD129</f>
        <v>1.6146087999999999E-2</v>
      </c>
      <c r="CN129" s="27">
        <f>opex_orig!CE129</f>
        <v>1.0641667E-2</v>
      </c>
      <c r="CO129" s="27">
        <f>opex_orig!CF129</f>
        <v>2.5879829999999999E-3</v>
      </c>
      <c r="CP129" s="27">
        <f>opex_orig!CG129</f>
        <v>1.129225E-3</v>
      </c>
    </row>
    <row r="130" spans="1:94" x14ac:dyDescent="0.25">
      <c r="A130" s="9" t="s">
        <v>251</v>
      </c>
      <c r="B130" s="2" t="s">
        <v>250</v>
      </c>
      <c r="C130" s="1" t="s">
        <v>333</v>
      </c>
      <c r="D130" s="188">
        <f>opex_orig!D130</f>
        <v>5.2077899999999997E-4</v>
      </c>
      <c r="E130" s="188">
        <f>opex_orig!E130</f>
        <v>4.6802999999999998E-4</v>
      </c>
      <c r="F130" s="188">
        <f>opex_orig!F130</f>
        <v>2.0494400000000001E-4</v>
      </c>
      <c r="G130" s="188">
        <f>opex_orig!G130</f>
        <v>4.7299999999999998E-5</v>
      </c>
      <c r="H130" s="188">
        <f>opex_orig!H130</f>
        <v>8.42E-5</v>
      </c>
      <c r="I130" s="188">
        <f>opex_orig!I130</f>
        <v>1.365836E-3</v>
      </c>
      <c r="J130" s="188">
        <f>opex_orig!J130</f>
        <v>1.723535E-3</v>
      </c>
      <c r="K130" s="188">
        <f>opex_orig!K130</f>
        <v>1.2924400000000001E-4</v>
      </c>
      <c r="L130" s="188">
        <f>opex_orig!L130</f>
        <v>1.0939929999999999E-3</v>
      </c>
      <c r="M130" s="188">
        <f>opex_orig!M130</f>
        <v>2.868743E-3</v>
      </c>
      <c r="N130" s="188">
        <f>opex_orig!N130</f>
        <v>1.5763280000000001E-3</v>
      </c>
      <c r="O130" s="188">
        <f>opex_orig!O130</f>
        <v>1.5258769999999999E-3</v>
      </c>
      <c r="P130" s="188">
        <f>opex_orig!P130</f>
        <v>1.775006E-3</v>
      </c>
      <c r="Q130" s="188">
        <f>opex_orig!Q130</f>
        <v>5.13248E-4</v>
      </c>
      <c r="R130" s="188">
        <f>opex_orig!R130</f>
        <v>4.3209800000000001E-4</v>
      </c>
      <c r="S130" s="188">
        <f>opex_orig!S130</f>
        <v>1.3058119999999999E-3</v>
      </c>
      <c r="T130" s="188">
        <f>opex_orig!T130</f>
        <v>1.481509E-3</v>
      </c>
      <c r="U130" s="188">
        <f>opex_orig!U130</f>
        <v>1.2509699999999999E-3</v>
      </c>
      <c r="V130" s="188">
        <f>opex_orig!V130</f>
        <v>1.692296E-3</v>
      </c>
      <c r="W130" s="188">
        <f>opex_orig!W130</f>
        <v>1.22072E-3</v>
      </c>
      <c r="X130" s="188">
        <f>opex_orig!X130</f>
        <v>2.0230754E-2</v>
      </c>
      <c r="Y130" s="188">
        <f>opex_orig!Y130</f>
        <v>7.3999999999999996E-5</v>
      </c>
      <c r="Z130" s="188">
        <f>opex_orig!Z130</f>
        <v>3.7654399999999998E-4</v>
      </c>
      <c r="AA130" s="188">
        <f>opex_orig!AA130</f>
        <v>8.8513700000000003E-4</v>
      </c>
      <c r="AB130" s="188">
        <f>opex_orig!$AB130</f>
        <v>3.36609779159709E-4</v>
      </c>
      <c r="AC130" s="188">
        <f>opex_orig!$AB130</f>
        <v>3.36609779159709E-4</v>
      </c>
      <c r="AD130" s="188">
        <f>opex_orig!$AB130</f>
        <v>3.36609779159709E-4</v>
      </c>
      <c r="AE130" s="188">
        <f>opex_orig!$AC130</f>
        <v>3.5107474686844501E-4</v>
      </c>
      <c r="AF130" s="188">
        <f>opex_orig!$AD130</f>
        <v>4.79708025818266E-4</v>
      </c>
      <c r="AG130" s="188">
        <f>opex_orig!$AD130</f>
        <v>4.79708025818266E-4</v>
      </c>
      <c r="AH130" s="188">
        <f>opex_orig!$AD130</f>
        <v>4.79708025818266E-4</v>
      </c>
      <c r="AI130" s="188">
        <f>opex_orig!AE130</f>
        <v>5.2962300000000001E-4</v>
      </c>
      <c r="AJ130" s="188">
        <f>opex_orig!AF130</f>
        <v>7.5091700000000003E-4</v>
      </c>
      <c r="AK130" s="188">
        <f>opex_orig!AG130</f>
        <v>6.4364269999999998E-3</v>
      </c>
      <c r="AL130" s="188">
        <f>opex_orig!AH130</f>
        <v>1.6000000000000001E-3</v>
      </c>
      <c r="AM130" s="188">
        <f>opex_orig!AI130</f>
        <v>3.2685430000000001E-3</v>
      </c>
      <c r="AN130" s="188">
        <f>opex_orig!AJ130</f>
        <v>1.143313E-3</v>
      </c>
      <c r="AO130" s="188">
        <f>opex_orig!AK130</f>
        <v>1.3452970000000001E-3</v>
      </c>
      <c r="AP130" s="188">
        <f>opex_orig!$AL130</f>
        <v>1.1189684497528E-3</v>
      </c>
      <c r="AQ130" s="188">
        <f>opex_orig!$AL130</f>
        <v>1.1189684497528E-3</v>
      </c>
      <c r="AR130" s="188">
        <f>opex_orig!$AL130</f>
        <v>1.1189684497528E-3</v>
      </c>
      <c r="AS130" s="188">
        <f>opex_orig!$AM130</f>
        <v>1.0918042999814299E-3</v>
      </c>
      <c r="AT130" s="188">
        <f>opex_orig!AN130</f>
        <v>1.4952539999999999E-3</v>
      </c>
      <c r="AU130" s="188">
        <f>opex_orig!$AO130</f>
        <v>6.1144602789129602E-5</v>
      </c>
      <c r="AV130" s="188">
        <f>opex_orig!$AO130</f>
        <v>6.1144602789129602E-5</v>
      </c>
      <c r="AW130" s="188">
        <f>opex_orig!$AO130</f>
        <v>6.1144602789129602E-5</v>
      </c>
      <c r="AX130" s="188">
        <f>opex_orig!$AP130</f>
        <v>7.6589913860256804E-5</v>
      </c>
      <c r="AY130" s="188">
        <f>opex_orig!AQ130</f>
        <v>1.62258E-4</v>
      </c>
      <c r="AZ130" s="188">
        <f>opex_orig!AR130</f>
        <v>0</v>
      </c>
      <c r="BA130" s="188">
        <f>opex_orig!AS130</f>
        <v>9.4300000000000002E-5</v>
      </c>
      <c r="BB130" s="188">
        <f>opex_orig!AT130</f>
        <v>9.7100000000000002E-5</v>
      </c>
      <c r="BC130" s="188">
        <f>opex_orig!AU130</f>
        <v>3.8399999999999998E-5</v>
      </c>
      <c r="BD130" s="188">
        <f>opex_orig!AV130</f>
        <v>3.5500000000000002E-5</v>
      </c>
      <c r="BE130" s="188">
        <f>opex_orig!AW130</f>
        <v>6.4999999999999994E-5</v>
      </c>
      <c r="BF130" s="188">
        <f>opex_orig!AX130</f>
        <v>0</v>
      </c>
      <c r="BG130" s="188">
        <f>opex_orig!AY130</f>
        <v>2.0941300000000001E-4</v>
      </c>
      <c r="BH130" s="188">
        <f>opex_orig!AZ130</f>
        <v>0</v>
      </c>
      <c r="BI130" s="188">
        <f>opex_orig!BA130</f>
        <v>1.6789999999999999E-4</v>
      </c>
      <c r="BJ130" s="188">
        <f>opex_orig!BB130</f>
        <v>2.8974399999999998E-3</v>
      </c>
      <c r="BK130" s="188">
        <f>opex_orig!BC130</f>
        <v>1.3896340000000001E-3</v>
      </c>
      <c r="BL130" s="188">
        <f>opex_orig!BD130</f>
        <v>5.1371189999999999E-3</v>
      </c>
      <c r="BM130" s="188">
        <f>opex_orig!BE130</f>
        <v>3.1334819999999999E-3</v>
      </c>
      <c r="BN130" s="188">
        <f>opex_orig!BF130</f>
        <v>7.6569949999999998E-3</v>
      </c>
      <c r="BO130" s="188">
        <f>opex_orig!BG130</f>
        <v>4.405389E-3</v>
      </c>
      <c r="BP130" s="188">
        <f>opex_orig!$BH130</f>
        <v>1.7708151828157799E-3</v>
      </c>
      <c r="BQ130" s="188">
        <f>opex_orig!$BH130</f>
        <v>1.7708151828157799E-3</v>
      </c>
      <c r="BR130" s="188">
        <f>opex_orig!BI130</f>
        <v>1.8473129999999999E-3</v>
      </c>
      <c r="BS130" s="188">
        <f>opex_orig!BJ130</f>
        <v>4.4074989999999996E-3</v>
      </c>
      <c r="BT130" s="188">
        <f>opex_orig!BK130</f>
        <v>1.4651930000000001E-3</v>
      </c>
      <c r="BU130" s="188">
        <f>opex_orig!BL130</f>
        <v>0</v>
      </c>
      <c r="BV130" s="27">
        <f>opex_orig!BM130</f>
        <v>8.2380234674688697E-3</v>
      </c>
      <c r="BW130" s="27">
        <f>opex_orig!BN130</f>
        <v>7.5069060538666002E-3</v>
      </c>
      <c r="BX130" s="27">
        <f>opex_orig!BO130</f>
        <v>5.03024065880215E-3</v>
      </c>
      <c r="BY130" s="27">
        <f>opex_orig!BP130</f>
        <v>4.3390724122297298E-3</v>
      </c>
      <c r="BZ130" s="27">
        <f>opex_orig!BQ130</f>
        <v>4.4065699529427802E-3</v>
      </c>
      <c r="CA130" s="27">
        <f>opex_orig!BR130</f>
        <v>1.32387960396945E-3</v>
      </c>
      <c r="CB130" s="27">
        <f>opex_orig!BS130</f>
        <v>4.3681031455330499E-3</v>
      </c>
      <c r="CC130" s="27">
        <f>opex_orig!BT130</f>
        <v>2.4860660506927199E-3</v>
      </c>
      <c r="CD130" s="27">
        <f>opex_orig!BU130</f>
        <v>4.8858656175671498E-3</v>
      </c>
      <c r="CE130" s="27">
        <f>opex_orig!BV130</f>
        <v>4.8858656175671498E-3</v>
      </c>
      <c r="CF130" s="27">
        <f>opex_orig!BW130</f>
        <v>3.6593601572017402E-2</v>
      </c>
      <c r="CG130" s="27">
        <f>opex_orig!BX130</f>
        <v>4.4863204701593398E-5</v>
      </c>
      <c r="CH130" s="27">
        <f>opex_orig!BY130</f>
        <v>1.83564597554879E-4</v>
      </c>
      <c r="CI130" s="27">
        <f>opex_orig!BZ130</f>
        <v>6.396929E-3</v>
      </c>
      <c r="CJ130" s="27">
        <f>opex_orig!CA130</f>
        <v>5.4375769999999999E-3</v>
      </c>
      <c r="CK130" s="27">
        <f>opex_orig!CB130</f>
        <v>5.9823999999999997E-3</v>
      </c>
      <c r="CL130" s="27">
        <f>opex_orig!CC130</f>
        <v>1.0479176999999999E-2</v>
      </c>
      <c r="CM130" s="27">
        <f>opex_orig!CD130</f>
        <v>1.273551E-2</v>
      </c>
      <c r="CN130" s="27">
        <f>opex_orig!CE130</f>
        <v>6.3975990000000003E-3</v>
      </c>
      <c r="CO130" s="27">
        <f>opex_orig!CF130</f>
        <v>2.4970169999999998E-3</v>
      </c>
      <c r="CP130" s="27">
        <f>opex_orig!CG130</f>
        <v>3.9652300000000003E-4</v>
      </c>
    </row>
    <row r="131" spans="1:94" x14ac:dyDescent="0.25">
      <c r="A131" s="5" t="s">
        <v>253</v>
      </c>
      <c r="B131" s="2" t="s">
        <v>252</v>
      </c>
      <c r="C131" s="1" t="s">
        <v>334</v>
      </c>
      <c r="D131" s="188">
        <f>opex_orig!D131</f>
        <v>6.7638699999999997E-4</v>
      </c>
      <c r="E131" s="188">
        <f>opex_orig!E131</f>
        <v>1.095581E-3</v>
      </c>
      <c r="F131" s="188">
        <f>opex_orig!F131</f>
        <v>5.3172699999999996E-4</v>
      </c>
      <c r="G131" s="188">
        <f>opex_orig!G131</f>
        <v>8.4900000000000004E-5</v>
      </c>
      <c r="H131" s="188">
        <f>opex_orig!H131</f>
        <v>1.80094E-4</v>
      </c>
      <c r="I131" s="188">
        <f>opex_orig!I131</f>
        <v>3.851925E-3</v>
      </c>
      <c r="J131" s="188">
        <f>opex_orig!J131</f>
        <v>1.4797E-3</v>
      </c>
      <c r="K131" s="188">
        <f>opex_orig!K131</f>
        <v>2.52778E-4</v>
      </c>
      <c r="L131" s="188">
        <f>opex_orig!L131</f>
        <v>1.443417E-3</v>
      </c>
      <c r="M131" s="188">
        <f>opex_orig!M131</f>
        <v>3.3130709999999999E-3</v>
      </c>
      <c r="N131" s="188">
        <f>opex_orig!N131</f>
        <v>2.0456070000000001E-3</v>
      </c>
      <c r="O131" s="188">
        <f>opex_orig!O131</f>
        <v>8.8266500000000003E-4</v>
      </c>
      <c r="P131" s="188">
        <f>opex_orig!P131</f>
        <v>5.7998829999999996E-3</v>
      </c>
      <c r="Q131" s="188">
        <f>opex_orig!Q131</f>
        <v>1.075117E-3</v>
      </c>
      <c r="R131" s="188">
        <f>opex_orig!R131</f>
        <v>8.0072400000000005E-4</v>
      </c>
      <c r="S131" s="188">
        <f>opex_orig!S131</f>
        <v>1.437846E-3</v>
      </c>
      <c r="T131" s="188">
        <f>opex_orig!T131</f>
        <v>1.6211750000000001E-3</v>
      </c>
      <c r="U131" s="188">
        <f>opex_orig!U131</f>
        <v>2.1629962999999999E-2</v>
      </c>
      <c r="V131" s="188">
        <f>opex_orig!V131</f>
        <v>2.9647026E-2</v>
      </c>
      <c r="W131" s="188">
        <f>opex_orig!W131</f>
        <v>5.3182070000000001E-3</v>
      </c>
      <c r="X131" s="188">
        <f>opex_orig!X131</f>
        <v>1.6774680000000001E-3</v>
      </c>
      <c r="Y131" s="188">
        <f>opex_orig!Y131</f>
        <v>7.7100000000000004E-5</v>
      </c>
      <c r="Z131" s="188">
        <f>opex_orig!Z131</f>
        <v>4.6593699999999998E-4</v>
      </c>
      <c r="AA131" s="188">
        <f>opex_orig!AA131</f>
        <v>2.6088000000000001E-4</v>
      </c>
      <c r="AB131" s="188">
        <f>opex_orig!$AB131</f>
        <v>4.8432597859398598E-5</v>
      </c>
      <c r="AC131" s="188">
        <f>opex_orig!$AB131</f>
        <v>4.8432597859398598E-5</v>
      </c>
      <c r="AD131" s="188">
        <f>opex_orig!$AB131</f>
        <v>4.8432597859398598E-5</v>
      </c>
      <c r="AE131" s="188">
        <f>opex_orig!$AC131</f>
        <v>2.3215590762168501E-3</v>
      </c>
      <c r="AF131" s="188">
        <f>opex_orig!$AD131</f>
        <v>4.5585224191631501E-3</v>
      </c>
      <c r="AG131" s="188">
        <f>opex_orig!$AD131</f>
        <v>4.5585224191631501E-3</v>
      </c>
      <c r="AH131" s="188">
        <f>opex_orig!$AD131</f>
        <v>4.5585224191631501E-3</v>
      </c>
      <c r="AI131" s="188">
        <f>opex_orig!AE131</f>
        <v>5.3442020000000002E-3</v>
      </c>
      <c r="AJ131" s="188">
        <f>opex_orig!AF131</f>
        <v>5.1714000000000003E-4</v>
      </c>
      <c r="AK131" s="188">
        <f>opex_orig!AG131</f>
        <v>8.4139699999999998E-3</v>
      </c>
      <c r="AL131" s="188">
        <f>opex_orig!AH131</f>
        <v>2.550213E-3</v>
      </c>
      <c r="AM131" s="188">
        <f>opex_orig!AI131</f>
        <v>5.3405600000000003E-3</v>
      </c>
      <c r="AN131" s="188">
        <f>opex_orig!AJ131</f>
        <v>4.0849930000000003E-3</v>
      </c>
      <c r="AO131" s="188">
        <f>opex_orig!AK131</f>
        <v>3.3617310000000002E-3</v>
      </c>
      <c r="AP131" s="302">
        <f>opex_concordance!M451</f>
        <v>5.3180374349479304E-3</v>
      </c>
      <c r="AQ131" s="302">
        <f>opex_concordance!M505</f>
        <v>4.2799063555670645E-3</v>
      </c>
      <c r="AR131" s="302">
        <f>opex_concordance!M559</f>
        <v>4.6968232056114395E-3</v>
      </c>
      <c r="AS131" s="188">
        <f>opex_orig!$AM131</f>
        <v>5.1959187684598599E-3</v>
      </c>
      <c r="AT131" s="188">
        <f>opex_orig!AN131</f>
        <v>4.2258479999999999E-3</v>
      </c>
      <c r="AU131" s="188">
        <f>opex_orig!$AO131</f>
        <v>8.7225225424363494E-5</v>
      </c>
      <c r="AV131" s="188">
        <f>opex_orig!$AO131</f>
        <v>8.7225225424363494E-5</v>
      </c>
      <c r="AW131" s="188">
        <f>opex_orig!$AO131</f>
        <v>8.7225225424363494E-5</v>
      </c>
      <c r="AX131" s="188">
        <f>opex_orig!$AP131</f>
        <v>1.0457168004955801E-4</v>
      </c>
      <c r="AY131" s="188">
        <f>opex_orig!AQ131</f>
        <v>1.7123799999999999E-4</v>
      </c>
      <c r="AZ131" s="188">
        <f>opex_orig!AR131</f>
        <v>0</v>
      </c>
      <c r="BA131" s="188">
        <f>opex_orig!AS131</f>
        <v>3.4164999999999998E-4</v>
      </c>
      <c r="BB131" s="188">
        <f>opex_orig!AT131</f>
        <v>3.9607999999999999E-4</v>
      </c>
      <c r="BC131" s="188">
        <f>opex_orig!AU131</f>
        <v>3.4199999999999998E-5</v>
      </c>
      <c r="BD131" s="188">
        <f>opex_orig!AV131</f>
        <v>3.01E-5</v>
      </c>
      <c r="BE131" s="188">
        <f>opex_orig!AW131</f>
        <v>2.2566400000000001E-4</v>
      </c>
      <c r="BF131" s="188">
        <f>opex_orig!AX131</f>
        <v>0</v>
      </c>
      <c r="BG131" s="188">
        <f>opex_orig!AY131</f>
        <v>5.8600000000000001E-5</v>
      </c>
      <c r="BH131" s="188">
        <f>opex_orig!AZ131</f>
        <v>0</v>
      </c>
      <c r="BI131" s="188">
        <f>opex_orig!BA131</f>
        <v>5.66E-5</v>
      </c>
      <c r="BJ131" s="188">
        <f>opex_orig!BB131</f>
        <v>1.0041069999999999E-2</v>
      </c>
      <c r="BK131" s="188">
        <f>opex_orig!BC131</f>
        <v>5.9674230000000003E-3</v>
      </c>
      <c r="BL131" s="188">
        <f>opex_orig!BD131</f>
        <v>1.588786E-3</v>
      </c>
      <c r="BM131" s="188">
        <f>opex_orig!BE131</f>
        <v>2.5104979999999999E-3</v>
      </c>
      <c r="BN131" s="188">
        <f>opex_orig!BF131</f>
        <v>1.7092159999999999E-3</v>
      </c>
      <c r="BO131" s="188">
        <f>opex_orig!BG131</f>
        <v>8.3102569999999997E-3</v>
      </c>
      <c r="BP131" s="188">
        <f>opex_orig!$BH131</f>
        <v>1.9136604500758899E-3</v>
      </c>
      <c r="BQ131" s="188">
        <f>opex_orig!$BH131</f>
        <v>1.9136604500758899E-3</v>
      </c>
      <c r="BR131" s="188">
        <f>opex_orig!BI131</f>
        <v>8.3457779999999999E-3</v>
      </c>
      <c r="BS131" s="188">
        <f>opex_orig!BJ131</f>
        <v>4.5251579999999996E-3</v>
      </c>
      <c r="BT131" s="188">
        <f>opex_orig!BK131</f>
        <v>9.0236329999999997E-3</v>
      </c>
      <c r="BU131" s="188">
        <f>opex_orig!BL131</f>
        <v>0</v>
      </c>
      <c r="BV131" s="27">
        <f>opex_orig!BM131</f>
        <v>1.88587397642383E-2</v>
      </c>
      <c r="BW131" s="27">
        <f>opex_orig!BN131</f>
        <v>2.11576640719272E-2</v>
      </c>
      <c r="BX131" s="27">
        <f>opex_orig!BO131</f>
        <v>8.9971428734370792E-3</v>
      </c>
      <c r="BY131" s="27">
        <f>opex_orig!BP131</f>
        <v>1.3993753621588801E-2</v>
      </c>
      <c r="BZ131" s="27">
        <f>opex_orig!BQ131</f>
        <v>1.4582814217131999E-2</v>
      </c>
      <c r="CA131" s="27">
        <f>opex_orig!BR131</f>
        <v>5.0519003609725702E-3</v>
      </c>
      <c r="CB131" s="27">
        <f>opex_orig!BS131</f>
        <v>1.2420415256605999E-2</v>
      </c>
      <c r="CC131" s="27">
        <f>opex_orig!BT131</f>
        <v>7.6817228091249704E-3</v>
      </c>
      <c r="CD131" s="27">
        <f>opex_orig!BU131</f>
        <v>1.66234787904035E-2</v>
      </c>
      <c r="CE131" s="27">
        <f>opex_orig!BV131</f>
        <v>1.66234787904035E-2</v>
      </c>
      <c r="CF131" s="27">
        <f>opex_orig!BW131</f>
        <v>2.4361261309939802E-2</v>
      </c>
      <c r="CG131" s="27">
        <f>opex_orig!BX131</f>
        <v>8.2665801994508803E-5</v>
      </c>
      <c r="CH131" s="27">
        <f>opex_orig!BY131</f>
        <v>6.0716512214742298E-6</v>
      </c>
      <c r="CI131" s="27">
        <f>opex_orig!BZ131</f>
        <v>2.0704138E-2</v>
      </c>
      <c r="CJ131" s="27">
        <f>opex_orig!CA131</f>
        <v>1.8492914999999999E-2</v>
      </c>
      <c r="CK131" s="27">
        <f>opex_orig!CB131</f>
        <v>1.6036104999999998E-2</v>
      </c>
      <c r="CL131" s="27">
        <f>opex_orig!CC131</f>
        <v>2.2619630000000001E-3</v>
      </c>
      <c r="CM131" s="27">
        <f>opex_orig!CD131</f>
        <v>1.6773869E-2</v>
      </c>
      <c r="CN131" s="27">
        <f>opex_orig!CE131</f>
        <v>5.5130810000000004E-3</v>
      </c>
      <c r="CO131" s="27">
        <f>opex_orig!CF131</f>
        <v>8.8162780000000003E-3</v>
      </c>
      <c r="CP131" s="27">
        <f>opex_orig!CG131</f>
        <v>3.8313879999999998E-3</v>
      </c>
    </row>
    <row r="132" spans="1:94" x14ac:dyDescent="0.25">
      <c r="A132" s="5" t="s">
        <v>255</v>
      </c>
      <c r="B132" s="2" t="s">
        <v>254</v>
      </c>
      <c r="C132" s="1" t="s">
        <v>334</v>
      </c>
      <c r="D132" s="188">
        <f>opex_orig!D132</f>
        <v>1.7841800000000001E-4</v>
      </c>
      <c r="E132" s="188">
        <f>opex_orig!E132</f>
        <v>1.7676200000000001E-4</v>
      </c>
      <c r="F132" s="188">
        <f>opex_orig!F132</f>
        <v>9.2899999999999995E-5</v>
      </c>
      <c r="G132" s="188">
        <f>opex_orig!G132</f>
        <v>1.84E-5</v>
      </c>
      <c r="H132" s="188">
        <f>opex_orig!H132</f>
        <v>3.6000000000000001E-5</v>
      </c>
      <c r="I132" s="188">
        <f>opex_orig!I132</f>
        <v>3.15168E-4</v>
      </c>
      <c r="J132" s="188">
        <f>opex_orig!J132</f>
        <v>2.0568499999999999E-4</v>
      </c>
      <c r="K132" s="188">
        <f>opex_orig!K132</f>
        <v>4.8000000000000001E-5</v>
      </c>
      <c r="L132" s="188">
        <f>opex_orig!L132</f>
        <v>6.4778299999999997E-4</v>
      </c>
      <c r="M132" s="188">
        <f>opex_orig!M132</f>
        <v>2.6616510000000001E-3</v>
      </c>
      <c r="N132" s="188">
        <f>opex_orig!N132</f>
        <v>1.033869E-3</v>
      </c>
      <c r="O132" s="188">
        <f>opex_orig!O132</f>
        <v>8.7420800000000002E-4</v>
      </c>
      <c r="P132" s="188">
        <f>opex_orig!P132</f>
        <v>2.4501319999999998E-3</v>
      </c>
      <c r="Q132" s="188">
        <f>opex_orig!Q132</f>
        <v>1.12309E-4</v>
      </c>
      <c r="R132" s="188">
        <f>opex_orig!R132</f>
        <v>2.7919000000000002E-4</v>
      </c>
      <c r="S132" s="188">
        <f>opex_orig!S132</f>
        <v>4.8465879999999998E-3</v>
      </c>
      <c r="T132" s="188">
        <f>opex_orig!T132</f>
        <v>5.4768660000000004E-3</v>
      </c>
      <c r="U132" s="188">
        <f>opex_orig!U132</f>
        <v>4.3831850000000004E-3</v>
      </c>
      <c r="V132" s="188">
        <f>opex_orig!V132</f>
        <v>6.0095050000000001E-3</v>
      </c>
      <c r="W132" s="188">
        <f>opex_orig!W132</f>
        <v>9.2227300000000004E-4</v>
      </c>
      <c r="X132" s="188">
        <f>opex_orig!X132</f>
        <v>1.943637E-3</v>
      </c>
      <c r="Y132" s="188">
        <f>opex_orig!Y132</f>
        <v>1.91E-5</v>
      </c>
      <c r="Z132" s="188">
        <f>opex_orig!Z132</f>
        <v>5.0886599999999996E-4</v>
      </c>
      <c r="AA132" s="188">
        <f>opex_orig!AA132</f>
        <v>7.2899999999999997E-5</v>
      </c>
      <c r="AB132" s="188">
        <f>opex_orig!$AB132</f>
        <v>4.2525934886827399E-4</v>
      </c>
      <c r="AC132" s="188">
        <f>opex_orig!$AB132</f>
        <v>4.2525934886827399E-4</v>
      </c>
      <c r="AD132" s="188">
        <f>opex_orig!$AB132</f>
        <v>4.2525934886827399E-4</v>
      </c>
      <c r="AE132" s="188">
        <f>opex_orig!$AC132</f>
        <v>4.4177013981379198E-3</v>
      </c>
      <c r="AF132" s="302">
        <f>opex_concordance!$M$323</f>
        <v>8.0393532307613397E-3</v>
      </c>
      <c r="AG132" s="302">
        <f>opex_concordance!$M$359</f>
        <v>3.5625867992300684E-3</v>
      </c>
      <c r="AH132" s="302">
        <f>opex_concordance!$M$395</f>
        <v>2.8582480982636553E-3</v>
      </c>
      <c r="AI132" s="188">
        <f>opex_orig!AE132</f>
        <v>7.4497599999999997E-3</v>
      </c>
      <c r="AJ132" s="188">
        <f>opex_orig!AF132</f>
        <v>1.579312E-3</v>
      </c>
      <c r="AK132" s="188">
        <f>opex_orig!AG132</f>
        <v>8.5071099999999998E-4</v>
      </c>
      <c r="AL132" s="188">
        <f>opex_orig!AH132</f>
        <v>6.7220699999999997E-4</v>
      </c>
      <c r="AM132" s="188">
        <f>opex_orig!AI132</f>
        <v>1.3598569999999999E-3</v>
      </c>
      <c r="AN132" s="188">
        <f>opex_orig!AJ132</f>
        <v>1.5437669999999999E-3</v>
      </c>
      <c r="AO132" s="188">
        <f>opex_orig!AK132</f>
        <v>8.1395899999999995E-4</v>
      </c>
      <c r="AP132" s="188">
        <f>opex_orig!$AL132</f>
        <v>8.4095280130187897E-4</v>
      </c>
      <c r="AQ132" s="188">
        <f>opex_orig!$AL132</f>
        <v>8.4095280130187897E-4</v>
      </c>
      <c r="AR132" s="188">
        <f>opex_orig!$AL132</f>
        <v>8.4095280130187897E-4</v>
      </c>
      <c r="AS132" s="188">
        <f>opex_orig!$AM132</f>
        <v>8.0681992461796202E-4</v>
      </c>
      <c r="AT132" s="188">
        <f>opex_orig!AN132</f>
        <v>2.4974490000000001E-3</v>
      </c>
      <c r="AU132" s="188">
        <f>opex_orig!$AO132</f>
        <v>4.09430318212092E-4</v>
      </c>
      <c r="AV132" s="188">
        <f>opex_orig!$AO132</f>
        <v>4.09430318212092E-4</v>
      </c>
      <c r="AW132" s="188">
        <f>opex_orig!$AO132</f>
        <v>4.09430318212092E-4</v>
      </c>
      <c r="AX132" s="188">
        <f>opex_orig!$AP132</f>
        <v>4.9408685995334803E-4</v>
      </c>
      <c r="AY132" s="188">
        <f>opex_orig!AQ132</f>
        <v>2.48774E-4</v>
      </c>
      <c r="AZ132" s="188">
        <f>opex_orig!AR132</f>
        <v>0</v>
      </c>
      <c r="BA132" s="188">
        <f>opex_orig!AS132</f>
        <v>1.100625E-3</v>
      </c>
      <c r="BB132" s="188">
        <f>opex_orig!AT132</f>
        <v>1.2614480000000001E-3</v>
      </c>
      <c r="BC132" s="188">
        <f>opex_orig!AU132</f>
        <v>3.58921E-4</v>
      </c>
      <c r="BD132" s="188">
        <f>opex_orig!AV132</f>
        <v>3.2182599999999999E-4</v>
      </c>
      <c r="BE132" s="188">
        <f>opex_orig!AW132</f>
        <v>1.1047990000000001E-3</v>
      </c>
      <c r="BF132" s="188">
        <f>opex_orig!AX132</f>
        <v>0</v>
      </c>
      <c r="BG132" s="188">
        <f>opex_orig!AY132</f>
        <v>1.27708E-4</v>
      </c>
      <c r="BH132" s="188">
        <f>opex_orig!AZ132</f>
        <v>0</v>
      </c>
      <c r="BI132" s="188">
        <f>opex_orig!BA132</f>
        <v>4.39899E-4</v>
      </c>
      <c r="BJ132" s="188">
        <f>opex_orig!BB132</f>
        <v>2.8030279999999999E-3</v>
      </c>
      <c r="BK132" s="188">
        <f>opex_orig!BC132</f>
        <v>2.554705E-3</v>
      </c>
      <c r="BL132" s="188">
        <f>opex_orig!BD132</f>
        <v>1.357437E-3</v>
      </c>
      <c r="BM132" s="188">
        <f>opex_orig!BE132</f>
        <v>1.0656579999999999E-3</v>
      </c>
      <c r="BN132" s="188">
        <f>opex_orig!BF132</f>
        <v>4.5911200000000002E-4</v>
      </c>
      <c r="BO132" s="188">
        <f>opex_orig!BG132</f>
        <v>1.12017E-3</v>
      </c>
      <c r="BP132" s="188">
        <f>opex_orig!$BH132</f>
        <v>8.6111300589345905E-4</v>
      </c>
      <c r="BQ132" s="188">
        <f>opex_orig!$BH132</f>
        <v>8.6111300589345905E-4</v>
      </c>
      <c r="BR132" s="188">
        <f>opex_orig!BI132</f>
        <v>1.9921600000000002E-3</v>
      </c>
      <c r="BS132" s="188">
        <f>opex_orig!BJ132</f>
        <v>1.1804890000000001E-3</v>
      </c>
      <c r="BT132" s="188">
        <f>opex_orig!BK132</f>
        <v>9.5116019999999992E-3</v>
      </c>
      <c r="BU132" s="188">
        <f>opex_orig!BL132</f>
        <v>0</v>
      </c>
      <c r="BV132" s="27">
        <f>opex_orig!BM132</f>
        <v>1.6162176008146E-3</v>
      </c>
      <c r="BW132" s="27">
        <f>opex_orig!BN132</f>
        <v>1.4492948841073701E-3</v>
      </c>
      <c r="BX132" s="27">
        <f>opex_orig!BO132</f>
        <v>2.20696878734007E-3</v>
      </c>
      <c r="BY132" s="27">
        <f>opex_orig!BP132</f>
        <v>1.99290753563391E-3</v>
      </c>
      <c r="BZ132" s="27">
        <f>opex_orig!BQ132</f>
        <v>2.0839771822968901E-3</v>
      </c>
      <c r="CA132" s="27">
        <f>opex_orig!BR132</f>
        <v>4.54425780569099E-3</v>
      </c>
      <c r="CB132" s="27">
        <f>opex_orig!BS132</f>
        <v>9.5834311901994002E-4</v>
      </c>
      <c r="CC132" s="27">
        <f>opex_orig!BT132</f>
        <v>4.5418507877782201E-4</v>
      </c>
      <c r="CD132" s="27">
        <f>opex_orig!BU132</f>
        <v>2.3894908081873302E-3</v>
      </c>
      <c r="CE132" s="27">
        <f>opex_orig!BV132</f>
        <v>2.3894908081873302E-3</v>
      </c>
      <c r="CF132" s="27">
        <f>opex_orig!BW132</f>
        <v>1.90171263018208E-3</v>
      </c>
      <c r="CG132" s="27">
        <f>opex_orig!BX132</f>
        <v>1.30839294627246E-5</v>
      </c>
      <c r="CH132" s="27">
        <f>opex_orig!BY132</f>
        <v>6.9056727201352E-6</v>
      </c>
      <c r="CI132" s="27">
        <f>opex_orig!BZ132</f>
        <v>2.8042190000000002E-3</v>
      </c>
      <c r="CJ132" s="27">
        <f>opex_orig!CA132</f>
        <v>2.6766239999999998E-3</v>
      </c>
      <c r="CK132" s="27">
        <f>opex_orig!CB132</f>
        <v>2.8900269999999999E-3</v>
      </c>
      <c r="CL132" s="27">
        <f>opex_orig!CC132</f>
        <v>5.6165800000000004E-4</v>
      </c>
      <c r="CM132" s="27">
        <f>opex_orig!CD132</f>
        <v>7.5105689999999999E-3</v>
      </c>
      <c r="CN132" s="27">
        <f>opex_orig!CE132</f>
        <v>2.4754339999999999E-3</v>
      </c>
      <c r="CO132" s="27">
        <f>opex_orig!CF132</f>
        <v>1.5554189999999999E-3</v>
      </c>
      <c r="CP132" s="27">
        <f>opex_orig!CG132</f>
        <v>1.856148E-3</v>
      </c>
    </row>
    <row r="133" spans="1:94" x14ac:dyDescent="0.25">
      <c r="A133" s="5" t="s">
        <v>257</v>
      </c>
      <c r="B133" s="2" t="s">
        <v>256</v>
      </c>
      <c r="C133" s="1" t="s">
        <v>334</v>
      </c>
      <c r="D133" s="188">
        <f>opex_orig!D133</f>
        <v>3.3699999999999999E-5</v>
      </c>
      <c r="E133" s="188">
        <f>opex_orig!E133</f>
        <v>4.0199999999999996E-6</v>
      </c>
      <c r="F133" s="188">
        <f>opex_orig!F133</f>
        <v>2.5000000000000002E-6</v>
      </c>
      <c r="G133" s="188">
        <f>opex_orig!G133</f>
        <v>4.6499999999999999E-7</v>
      </c>
      <c r="H133" s="188">
        <f>opex_orig!H133</f>
        <v>8.7300000000000005E-7</v>
      </c>
      <c r="I133" s="188">
        <f>opex_orig!I133</f>
        <v>5.0900000000000004E-6</v>
      </c>
      <c r="J133" s="188">
        <f>opex_orig!J133</f>
        <v>1.8899999999999999E-5</v>
      </c>
      <c r="K133" s="188">
        <f>opex_orig!K133</f>
        <v>1.48E-6</v>
      </c>
      <c r="L133" s="188">
        <f>opex_orig!L133</f>
        <v>4.78E-6</v>
      </c>
      <c r="M133" s="188">
        <f>opex_orig!M133</f>
        <v>1.11E-5</v>
      </c>
      <c r="N133" s="188">
        <f>opex_orig!N133</f>
        <v>6.5899999999999996E-6</v>
      </c>
      <c r="O133" s="188">
        <f>opex_orig!O133</f>
        <v>2.23E-5</v>
      </c>
      <c r="P133" s="188">
        <f>opex_orig!P133</f>
        <v>5.6200000000000004E-6</v>
      </c>
      <c r="Q133" s="188">
        <f>opex_orig!Q133</f>
        <v>2.96E-6</v>
      </c>
      <c r="R133" s="188">
        <f>opex_orig!R133</f>
        <v>1.0899999999999999E-6</v>
      </c>
      <c r="S133" s="188">
        <f>opex_orig!S133</f>
        <v>3.63E-6</v>
      </c>
      <c r="T133" s="188">
        <f>opex_orig!T133</f>
        <v>4.3599999999999998E-6</v>
      </c>
      <c r="U133" s="188">
        <f>opex_orig!U133</f>
        <v>5.6899999999999997E-6</v>
      </c>
      <c r="V133" s="188">
        <f>opex_orig!V133</f>
        <v>7.6199999999999999E-6</v>
      </c>
      <c r="W133" s="188">
        <f>opex_orig!W133</f>
        <v>5.2800000000000003E-6</v>
      </c>
      <c r="X133" s="188">
        <f>opex_orig!X133</f>
        <v>1.6178000000000001E-4</v>
      </c>
      <c r="Y133" s="188">
        <f>opex_orig!Y133</f>
        <v>6.5099999999999999E-7</v>
      </c>
      <c r="Z133" s="188">
        <f>opex_orig!Z133</f>
        <v>3.05E-6</v>
      </c>
      <c r="AA133" s="188">
        <f>opex_orig!AA133</f>
        <v>3.6200000000000001E-6</v>
      </c>
      <c r="AB133" s="188">
        <f>opex_orig!$AB133</f>
        <v>4.4194144857413097E-5</v>
      </c>
      <c r="AC133" s="188">
        <f>opex_orig!$AB133</f>
        <v>4.4194144857413097E-5</v>
      </c>
      <c r="AD133" s="188">
        <f>opex_orig!$AB133</f>
        <v>4.4194144857413097E-5</v>
      </c>
      <c r="AE133" s="188">
        <f>opex_orig!$AC133</f>
        <v>4.0454753274555798E-2</v>
      </c>
      <c r="AF133" s="299">
        <f>opex_concordance!$M$324</f>
        <v>8.8305151998102391E-2</v>
      </c>
      <c r="AG133" s="299">
        <f>opex_concordance!$M$360</f>
        <v>3.9131850508657362E-2</v>
      </c>
      <c r="AH133" s="299">
        <f>opex_concordance!$M$396</f>
        <v>3.1395315707698629E-2</v>
      </c>
      <c r="AI133" s="188">
        <f>opex_orig!AE133</f>
        <v>0.106262758</v>
      </c>
      <c r="AJ133" s="188">
        <f>opex_orig!AF133</f>
        <v>4.5189599999999998E-3</v>
      </c>
      <c r="AK133" s="188">
        <f>opex_orig!AG133</f>
        <v>5.0210599999999999E-4</v>
      </c>
      <c r="AL133" s="188">
        <f>opex_orig!AH133</f>
        <v>1.13472E-4</v>
      </c>
      <c r="AM133" s="188">
        <f>opex_orig!AI133</f>
        <v>2.3728099999999999E-4</v>
      </c>
      <c r="AN133" s="188">
        <f>opex_orig!AJ133</f>
        <v>1.50314E-4</v>
      </c>
      <c r="AO133" s="188">
        <f>opex_orig!AK133</f>
        <v>1.9608399999999999E-4</v>
      </c>
      <c r="AP133" s="188">
        <f>opex_orig!$AL133</f>
        <v>2.1050262636114001E-4</v>
      </c>
      <c r="AQ133" s="188">
        <f>opex_orig!$AL133</f>
        <v>2.1050262636114001E-4</v>
      </c>
      <c r="AR133" s="188">
        <f>opex_orig!$AL133</f>
        <v>2.1050262636114001E-4</v>
      </c>
      <c r="AS133" s="188">
        <f>opex_orig!$AM133</f>
        <v>2.04862703590957E-4</v>
      </c>
      <c r="AT133" s="188">
        <f>opex_orig!AN133</f>
        <v>2.0859000000000001E-4</v>
      </c>
      <c r="AU133" s="188">
        <f>opex_orig!$AO133</f>
        <v>7.2929009368409505E-4</v>
      </c>
      <c r="AV133" s="188">
        <f>opex_orig!$AO133</f>
        <v>7.2929009368409505E-4</v>
      </c>
      <c r="AW133" s="188">
        <f>opex_orig!$AO133</f>
        <v>7.2929009368409505E-4</v>
      </c>
      <c r="AX133" s="188">
        <f>opex_orig!$AP133</f>
        <v>8.7652854039615296E-4</v>
      </c>
      <c r="AY133" s="188">
        <f>opex_orig!AQ133</f>
        <v>1.647449E-3</v>
      </c>
      <c r="AZ133" s="188">
        <f>opex_orig!AR133</f>
        <v>0</v>
      </c>
      <c r="BA133" s="188">
        <f>opex_orig!AS133</f>
        <v>9.4530600000000003E-4</v>
      </c>
      <c r="BB133" s="188">
        <f>opex_orig!AT133</f>
        <v>1.029505E-3</v>
      </c>
      <c r="BC133" s="188">
        <f>opex_orig!AU133</f>
        <v>3.9402399999999998E-4</v>
      </c>
      <c r="BD133" s="188">
        <f>opex_orig!AV133</f>
        <v>3.4205900000000003E-4</v>
      </c>
      <c r="BE133" s="188">
        <f>opex_orig!AW133</f>
        <v>1.072136E-3</v>
      </c>
      <c r="BF133" s="188">
        <f>opex_orig!AX133</f>
        <v>0</v>
      </c>
      <c r="BG133" s="188">
        <f>opex_orig!AY133</f>
        <v>1.1145199999999999E-3</v>
      </c>
      <c r="BH133" s="188">
        <f>opex_orig!AZ133</f>
        <v>0</v>
      </c>
      <c r="BI133" s="188">
        <f>opex_orig!BA133</f>
        <v>1.314731E-3</v>
      </c>
      <c r="BJ133" s="188">
        <f>opex_orig!BB133</f>
        <v>4.3281299999999999E-4</v>
      </c>
      <c r="BK133" s="188">
        <f>opex_orig!BC133</f>
        <v>8.3799999999999994E-6</v>
      </c>
      <c r="BL133" s="188">
        <f>opex_orig!BD133</f>
        <v>2.9799999999999999E-5</v>
      </c>
      <c r="BM133" s="188">
        <f>opex_orig!BE133</f>
        <v>4.2500000000000003E-5</v>
      </c>
      <c r="BN133" s="188">
        <f>opex_orig!BF133</f>
        <v>1.39E-6</v>
      </c>
      <c r="BO133" s="188">
        <f>opex_orig!BG133</f>
        <v>6.5400000000000001E-6</v>
      </c>
      <c r="BP133" s="188">
        <f>opex_orig!$BH133</f>
        <v>2.1716551421394E-4</v>
      </c>
      <c r="BQ133" s="188">
        <f>opex_orig!$BH133</f>
        <v>2.1716551421394E-4</v>
      </c>
      <c r="BR133" s="188">
        <f>opex_orig!BI133</f>
        <v>3.45E-6</v>
      </c>
      <c r="BS133" s="188">
        <f>opex_orig!BJ133</f>
        <v>1.2999999999999999E-5</v>
      </c>
      <c r="BT133" s="188">
        <f>opex_orig!BK133</f>
        <v>3.1399999999999998E-5</v>
      </c>
      <c r="BU133" s="188">
        <f>opex_orig!BL133</f>
        <v>0</v>
      </c>
      <c r="BV133" s="27">
        <f>opex_orig!BM133</f>
        <v>2.9864269213563998E-4</v>
      </c>
      <c r="BW133" s="27">
        <f>opex_orig!BN133</f>
        <v>2.4798571052720401E-4</v>
      </c>
      <c r="BX133" s="27">
        <f>opex_orig!BO133</f>
        <v>2.2525702307959501E-4</v>
      </c>
      <c r="BY133" s="27">
        <f>opex_orig!BP133</f>
        <v>2.3665334549423901E-4</v>
      </c>
      <c r="BZ133" s="27">
        <f>opex_orig!BQ133</f>
        <v>2.49531031947237E-4</v>
      </c>
      <c r="CA133" s="27">
        <f>opex_orig!BR133</f>
        <v>7.3704203853832997E-6</v>
      </c>
      <c r="CB133" s="27">
        <f>opex_orig!BS133</f>
        <v>1.71178947030437E-4</v>
      </c>
      <c r="CC133" s="27">
        <f>opex_orig!BT133</f>
        <v>1.3328004323353199E-4</v>
      </c>
      <c r="CD133" s="27">
        <f>opex_orig!BU133</f>
        <v>2.6124797463882299E-6</v>
      </c>
      <c r="CE133" s="27">
        <f>opex_orig!BV133</f>
        <v>2.6124797463882401E-6</v>
      </c>
      <c r="CF133" s="27">
        <f>opex_orig!BW133</f>
        <v>2.3589609221748701E-3</v>
      </c>
      <c r="CG133" s="27">
        <f>opex_orig!BX133</f>
        <v>1.2366803417393599E-5</v>
      </c>
      <c r="CH133" s="27">
        <f>opex_orig!BY133</f>
        <v>9.9205915198633699E-7</v>
      </c>
      <c r="CI133" s="27">
        <f>opex_orig!BZ133</f>
        <v>3.34982E-4</v>
      </c>
      <c r="CJ133" s="27">
        <f>opex_orig!CA133</f>
        <v>3.1973400000000001E-4</v>
      </c>
      <c r="CK133" s="27">
        <f>opex_orig!CB133</f>
        <v>2.90117E-4</v>
      </c>
      <c r="CL133" s="27">
        <f>opex_orig!CC133</f>
        <v>1.1275E-4</v>
      </c>
      <c r="CM133" s="27">
        <f>opex_orig!CD133</f>
        <v>3.9334199999999998E-4</v>
      </c>
      <c r="CN133" s="27">
        <f>opex_orig!CE133</f>
        <v>1.45E-5</v>
      </c>
      <c r="CO133" s="27">
        <f>opex_orig!CF133</f>
        <v>6.1299999999999999E-5</v>
      </c>
      <c r="CP133" s="27">
        <f>opex_orig!CG133</f>
        <v>3.2799999999999998E-5</v>
      </c>
    </row>
    <row r="134" spans="1:94" x14ac:dyDescent="0.25">
      <c r="A134" s="5" t="s">
        <v>259</v>
      </c>
      <c r="B134" s="2" t="s">
        <v>258</v>
      </c>
      <c r="C134" s="1" t="s">
        <v>334</v>
      </c>
      <c r="D134" s="188">
        <f>opex_orig!D134</f>
        <v>2.6966080000000001E-3</v>
      </c>
      <c r="E134" s="188">
        <f>opex_orig!E134</f>
        <v>1.7397420000000001E-3</v>
      </c>
      <c r="F134" s="188">
        <f>opex_orig!F134</f>
        <v>9.9671000000000004E-4</v>
      </c>
      <c r="G134" s="188">
        <f>opex_orig!G134</f>
        <v>2.0263599999999999E-4</v>
      </c>
      <c r="H134" s="188">
        <f>opex_orig!H134</f>
        <v>3.8819199999999999E-4</v>
      </c>
      <c r="I134" s="188">
        <f>opex_orig!I134</f>
        <v>5.350128E-3</v>
      </c>
      <c r="J134" s="188">
        <f>opex_orig!J134</f>
        <v>7.1146810000000003E-3</v>
      </c>
      <c r="K134" s="188">
        <f>opex_orig!K134</f>
        <v>6.0796400000000001E-4</v>
      </c>
      <c r="L134" s="188">
        <f>opex_orig!L134</f>
        <v>3.1180050000000001E-3</v>
      </c>
      <c r="M134" s="188">
        <f>opex_orig!M134</f>
        <v>8.3374380000000008E-3</v>
      </c>
      <c r="N134" s="188">
        <f>opex_orig!N134</f>
        <v>4.7497679999999997E-3</v>
      </c>
      <c r="O134" s="188">
        <f>opex_orig!O134</f>
        <v>2.6029966000000002E-2</v>
      </c>
      <c r="P134" s="188">
        <f>opex_orig!P134</f>
        <v>9.0954940000000008E-3</v>
      </c>
      <c r="Q134" s="188">
        <f>opex_orig!Q134</f>
        <v>1.3352710000000001E-3</v>
      </c>
      <c r="R134" s="188">
        <f>opex_orig!R134</f>
        <v>4.1377949999999997E-3</v>
      </c>
      <c r="S134" s="188">
        <f>opex_orig!S134</f>
        <v>2.2127779999999999E-3</v>
      </c>
      <c r="T134" s="188">
        <f>opex_orig!T134</f>
        <v>2.3964609999999999E-3</v>
      </c>
      <c r="U134" s="188">
        <f>opex_orig!U134</f>
        <v>5.8910669999999998E-3</v>
      </c>
      <c r="V134" s="188">
        <f>opex_orig!V134</f>
        <v>5.9671059999999998E-3</v>
      </c>
      <c r="W134" s="188">
        <f>opex_orig!W134</f>
        <v>4.9672980000000002E-3</v>
      </c>
      <c r="X134" s="188">
        <f>opex_orig!X134</f>
        <v>4.7671470000000002E-3</v>
      </c>
      <c r="Y134" s="188">
        <f>opex_orig!Y134</f>
        <v>4.7509240000000001E-3</v>
      </c>
      <c r="Z134" s="188">
        <f>opex_orig!Z134</f>
        <v>6.4368799999999999E-3</v>
      </c>
      <c r="AA134" s="188">
        <f>opex_orig!AA134</f>
        <v>1.4869189999999999E-2</v>
      </c>
      <c r="AB134" s="208">
        <f>opex_concordance!M199</f>
        <v>8.53981541354361E-3</v>
      </c>
      <c r="AC134" s="208">
        <f>opex_concordance!M244</f>
        <v>1.2935261912901851E-2</v>
      </c>
      <c r="AD134" s="208">
        <f>opex_concordance!M289</f>
        <v>1.5053755588462192E-2</v>
      </c>
      <c r="AE134" s="188">
        <f>opex_orig!$AC134</f>
        <v>2.3865367896454201E-3</v>
      </c>
      <c r="AF134" s="188">
        <f>opex_orig!$AD134</f>
        <v>2.8258122565272899E-3</v>
      </c>
      <c r="AG134" s="188">
        <f>opex_orig!$AD134</f>
        <v>2.8258122565272899E-3</v>
      </c>
      <c r="AH134" s="188">
        <f>opex_orig!$AD134</f>
        <v>2.8258122565272899E-3</v>
      </c>
      <c r="AI134" s="188">
        <f>opex_orig!AE134</f>
        <v>2.540507E-3</v>
      </c>
      <c r="AJ134" s="188">
        <f>opex_orig!AF134</f>
        <v>8.7599410000000003E-3</v>
      </c>
      <c r="AK134" s="188">
        <f>opex_orig!AG134</f>
        <v>1.874791E-3</v>
      </c>
      <c r="AL134" s="188">
        <f>opex_orig!AH134</f>
        <v>7.0690599999999998E-4</v>
      </c>
      <c r="AM134" s="188">
        <f>opex_orig!AI134</f>
        <v>1.598246E-3</v>
      </c>
      <c r="AN134" s="188">
        <f>opex_orig!AJ134</f>
        <v>6.1035099999999997E-4</v>
      </c>
      <c r="AO134" s="188">
        <f>opex_orig!AK134</f>
        <v>1.315121E-3</v>
      </c>
      <c r="AP134" s="188">
        <f>opex_orig!$AL134</f>
        <v>1.54476722476357E-3</v>
      </c>
      <c r="AQ134" s="188">
        <f>opex_orig!$AL134</f>
        <v>1.54476722476357E-3</v>
      </c>
      <c r="AR134" s="188">
        <f>opex_orig!$AL134</f>
        <v>1.54476722476357E-3</v>
      </c>
      <c r="AS134" s="188">
        <f>opex_orig!$AM134</f>
        <v>1.2845531852082601E-3</v>
      </c>
      <c r="AT134" s="188">
        <f>opex_orig!AN134</f>
        <v>2.0298650000000001E-3</v>
      </c>
      <c r="AU134" s="188">
        <f>opex_orig!$AO134</f>
        <v>9.2803477064927399E-4</v>
      </c>
      <c r="AV134" s="188">
        <f>opex_orig!$AO134</f>
        <v>9.2803477064927399E-4</v>
      </c>
      <c r="AW134" s="188">
        <f>opex_orig!$AO134</f>
        <v>9.2803477064927399E-4</v>
      </c>
      <c r="AX134" s="188">
        <f>opex_orig!$AP134</f>
        <v>1.1241400962766399E-3</v>
      </c>
      <c r="AY134" s="188">
        <f>opex_orig!AQ134</f>
        <v>1.1843540000000001E-3</v>
      </c>
      <c r="AZ134" s="188">
        <f>opex_orig!AR134</f>
        <v>0</v>
      </c>
      <c r="BA134" s="188">
        <f>opex_orig!AS134</f>
        <v>1.2126839999999999E-3</v>
      </c>
      <c r="BB134" s="188">
        <f>opex_orig!AT134</f>
        <v>6.3656699999999999E-4</v>
      </c>
      <c r="BC134" s="188">
        <f>opex_orig!AU134</f>
        <v>1.72325E-4</v>
      </c>
      <c r="BD134" s="188">
        <f>opex_orig!AV134</f>
        <v>1.52814E-4</v>
      </c>
      <c r="BE134" s="188">
        <f>opex_orig!AW134</f>
        <v>5.4564100000000003E-4</v>
      </c>
      <c r="BF134" s="188">
        <f>opex_orig!AX134</f>
        <v>0</v>
      </c>
      <c r="BG134" s="188">
        <f>opex_orig!AY134</f>
        <v>1.500288E-3</v>
      </c>
      <c r="BH134" s="188">
        <f>opex_orig!AZ134</f>
        <v>0</v>
      </c>
      <c r="BI134" s="188">
        <f>opex_orig!BA134</f>
        <v>5.8759700000000003E-4</v>
      </c>
      <c r="BJ134" s="188">
        <f>opex_orig!BB134</f>
        <v>6.8815599999999999E-4</v>
      </c>
      <c r="BK134" s="188">
        <f>opex_orig!BC134</f>
        <v>5.4593230000000003E-3</v>
      </c>
      <c r="BL134" s="188">
        <f>opex_orig!BD134</f>
        <v>2.3061520000000001E-3</v>
      </c>
      <c r="BM134" s="188">
        <f>opex_orig!BE134</f>
        <v>8.9437200000000005E-3</v>
      </c>
      <c r="BN134" s="188">
        <f>opex_orig!BF134</f>
        <v>2.5619050000000002E-3</v>
      </c>
      <c r="BO134" s="188">
        <f>opex_orig!BG134</f>
        <v>1.0800702000000001E-2</v>
      </c>
      <c r="BP134" s="188">
        <f>opex_orig!$BH134</f>
        <v>2.3763527019328799E-3</v>
      </c>
      <c r="BQ134" s="188">
        <f>opex_orig!$BH134</f>
        <v>2.3763527019328799E-3</v>
      </c>
      <c r="BR134" s="188">
        <f>opex_orig!BI134</f>
        <v>6.7659700000000003E-4</v>
      </c>
      <c r="BS134" s="188">
        <f>opex_orig!BJ134</f>
        <v>8.7464859999999995E-3</v>
      </c>
      <c r="BT134" s="188">
        <f>opex_orig!BK134</f>
        <v>2.6530680000000002E-3</v>
      </c>
      <c r="BU134" s="188">
        <f>opex_orig!BL134</f>
        <v>0</v>
      </c>
      <c r="BV134" s="27">
        <f>opex_orig!BM134</f>
        <v>3.4716403063582701E-3</v>
      </c>
      <c r="BW134" s="27">
        <f>opex_orig!BN134</f>
        <v>2.8530030498825098E-3</v>
      </c>
      <c r="BX134" s="27">
        <f>opex_orig!BO134</f>
        <v>1.38485804657518E-3</v>
      </c>
      <c r="BY134" s="27">
        <f>opex_orig!BP134</f>
        <v>2.22855820501433E-3</v>
      </c>
      <c r="BZ134" s="27">
        <f>opex_orig!BQ134</f>
        <v>3.14312872147303E-3</v>
      </c>
      <c r="CA134" s="27">
        <f>opex_orig!BR134</f>
        <v>7.6756323689436898E-3</v>
      </c>
      <c r="CB134" s="27">
        <f>opex_orig!BS134</f>
        <v>4.0958797802387696E-3</v>
      </c>
      <c r="CC134" s="27">
        <f>opex_orig!BT134</f>
        <v>1.1409057935692899E-3</v>
      </c>
      <c r="CD134" s="27">
        <f>opex_orig!BU134</f>
        <v>2.8599243964498098E-3</v>
      </c>
      <c r="CE134" s="27">
        <f>opex_orig!BV134</f>
        <v>2.8599243964498198E-3</v>
      </c>
      <c r="CF134" s="27">
        <f>opex_orig!BW134</f>
        <v>1.1030836524414099E-2</v>
      </c>
      <c r="CG134" s="27">
        <f>opex_orig!BX134</f>
        <v>2.0768312043669998E-5</v>
      </c>
      <c r="CH134" s="27">
        <f>opex_orig!BY134</f>
        <v>7.2704342588888699E-6</v>
      </c>
      <c r="CI134" s="27">
        <f>opex_orig!BZ134</f>
        <v>3.3629240000000002E-3</v>
      </c>
      <c r="CJ134" s="27">
        <f>opex_orig!CA134</f>
        <v>6.471933E-3</v>
      </c>
      <c r="CK134" s="27">
        <f>opex_orig!CB134</f>
        <v>5.2988039999999998E-3</v>
      </c>
      <c r="CL134" s="27">
        <f>opex_orig!CC134</f>
        <v>1.4838268E-2</v>
      </c>
      <c r="CM134" s="27">
        <f>opex_orig!CD134</f>
        <v>3.9705410000000002E-3</v>
      </c>
      <c r="CN134" s="27">
        <f>opex_orig!CE134</f>
        <v>3.6377354000000001E-2</v>
      </c>
      <c r="CO134" s="27">
        <f>opex_orig!CF134</f>
        <v>5.0934684000000001E-2</v>
      </c>
      <c r="CP134" s="27">
        <f>opex_orig!CG134</f>
        <v>1.6204450000000001E-3</v>
      </c>
    </row>
    <row r="135" spans="1:94" x14ac:dyDescent="0.25">
      <c r="A135" s="5" t="s">
        <v>261</v>
      </c>
      <c r="B135" s="2" t="s">
        <v>260</v>
      </c>
      <c r="C135" s="1" t="s">
        <v>335</v>
      </c>
      <c r="D135" s="188">
        <f>opex_orig!D135</f>
        <v>8.4713200000000001E-4</v>
      </c>
      <c r="E135" s="188">
        <f>opex_orig!E135</f>
        <v>1.3093530000000001E-3</v>
      </c>
      <c r="F135" s="188">
        <f>opex_orig!F135</f>
        <v>7.0543699999999995E-4</v>
      </c>
      <c r="G135" s="188">
        <f>opex_orig!G135</f>
        <v>1.1302E-4</v>
      </c>
      <c r="H135" s="188">
        <f>opex_orig!H135</f>
        <v>2.3818999999999999E-4</v>
      </c>
      <c r="I135" s="188">
        <f>opex_orig!I135</f>
        <v>3.4887939999999999E-3</v>
      </c>
      <c r="J135" s="188">
        <f>opex_orig!J135</f>
        <v>4.8531210000000002E-3</v>
      </c>
      <c r="K135" s="188">
        <f>opex_orig!K135</f>
        <v>3.0251699999999998E-4</v>
      </c>
      <c r="L135" s="188">
        <f>opex_orig!L135</f>
        <v>3.7073280000000002E-3</v>
      </c>
      <c r="M135" s="188">
        <f>opex_orig!M135</f>
        <v>1.0200806999999999E-2</v>
      </c>
      <c r="N135" s="188">
        <f>opex_orig!N135</f>
        <v>5.988869E-3</v>
      </c>
      <c r="O135" s="188">
        <f>opex_orig!O135</f>
        <v>8.0723700000000004E-4</v>
      </c>
      <c r="P135" s="188">
        <f>opex_orig!P135</f>
        <v>1.522125E-3</v>
      </c>
      <c r="Q135" s="188">
        <f>opex_orig!Q135</f>
        <v>2.8190700000000002E-4</v>
      </c>
      <c r="R135" s="188">
        <f>opex_orig!R135</f>
        <v>3.83693E-4</v>
      </c>
      <c r="S135" s="188">
        <f>opex_orig!S135</f>
        <v>2.5653080000000001E-3</v>
      </c>
      <c r="T135" s="188">
        <f>opex_orig!T135</f>
        <v>2.9087800000000001E-3</v>
      </c>
      <c r="U135" s="188">
        <f>opex_orig!U135</f>
        <v>1.3232560000000001E-3</v>
      </c>
      <c r="V135" s="188">
        <f>opex_orig!V135</f>
        <v>1.745288E-3</v>
      </c>
      <c r="W135" s="188">
        <f>opex_orig!W135</f>
        <v>1.6872079999999999E-3</v>
      </c>
      <c r="X135" s="188">
        <f>opex_orig!X135</f>
        <v>3.1763859999999998E-3</v>
      </c>
      <c r="Y135" s="188">
        <f>opex_orig!Y135</f>
        <v>2.4446E-4</v>
      </c>
      <c r="Z135" s="188">
        <f>opex_orig!Z135</f>
        <v>1.834926E-3</v>
      </c>
      <c r="AA135" s="188">
        <f>opex_orig!AA135</f>
        <v>2.372093E-3</v>
      </c>
      <c r="AB135" s="188">
        <f>opex_orig!$AB135</f>
        <v>2.6358258976167699E-4</v>
      </c>
      <c r="AC135" s="188">
        <f>opex_orig!$AB135</f>
        <v>2.6358258976167699E-4</v>
      </c>
      <c r="AD135" s="188">
        <f>opex_orig!$AB135</f>
        <v>2.6358258976167699E-4</v>
      </c>
      <c r="AE135" s="188">
        <f>opex_orig!$AC135</f>
        <v>1.06082841810517E-3</v>
      </c>
      <c r="AF135" s="188">
        <f>opex_orig!$AD135</f>
        <v>1.0910998237931E-3</v>
      </c>
      <c r="AG135" s="188">
        <f>opex_orig!$AD135</f>
        <v>1.0910998237931E-3</v>
      </c>
      <c r="AH135" s="188">
        <f>opex_orig!$AD135</f>
        <v>1.0910998237931E-3</v>
      </c>
      <c r="AI135" s="188">
        <f>opex_orig!AE135</f>
        <v>1.1022880000000001E-3</v>
      </c>
      <c r="AJ135" s="188">
        <f>opex_orig!AF135</f>
        <v>6.3848029999999997E-3</v>
      </c>
      <c r="AK135" s="188">
        <f>opex_orig!AG135</f>
        <v>1.57155E-4</v>
      </c>
      <c r="AL135" s="188">
        <f>opex_orig!AH135</f>
        <v>1.5108499999999999E-4</v>
      </c>
      <c r="AM135" s="188">
        <f>opex_orig!AI135</f>
        <v>3.2147300000000002E-4</v>
      </c>
      <c r="AN135" s="188">
        <f>opex_orig!AJ135</f>
        <v>3.6480200000000001E-4</v>
      </c>
      <c r="AO135" s="188">
        <f>opex_orig!AK135</f>
        <v>3.7278300000000001E-4</v>
      </c>
      <c r="AP135" s="188">
        <f>opex_orig!$AL135</f>
        <v>6.86149754086509E-4</v>
      </c>
      <c r="AQ135" s="188">
        <f>opex_orig!$AL135</f>
        <v>6.86149754086509E-4</v>
      </c>
      <c r="AR135" s="188">
        <f>opex_orig!$AL135</f>
        <v>6.86149754086509E-4</v>
      </c>
      <c r="AS135" s="188">
        <f>opex_orig!$AM135</f>
        <v>6.8649699430410702E-4</v>
      </c>
      <c r="AT135" s="188">
        <f>opex_orig!AN135</f>
        <v>1.023801E-3</v>
      </c>
      <c r="AU135" s="188">
        <f>opex_orig!$AO135</f>
        <v>7.1951009809092701E-4</v>
      </c>
      <c r="AV135" s="188">
        <f>opex_orig!$AO135</f>
        <v>7.1951009809092701E-4</v>
      </c>
      <c r="AW135" s="188">
        <f>opex_orig!$AO135</f>
        <v>7.1951009809092701E-4</v>
      </c>
      <c r="AX135" s="188">
        <f>opex_orig!$AP135</f>
        <v>8.3310532107905701E-4</v>
      </c>
      <c r="AY135" s="188">
        <f>opex_orig!AQ135</f>
        <v>2.0959400000000001E-3</v>
      </c>
      <c r="AZ135" s="188">
        <f>opex_orig!AR135</f>
        <v>0</v>
      </c>
      <c r="BA135" s="188">
        <f>opex_orig!AS135</f>
        <v>1.063088E-3</v>
      </c>
      <c r="BB135" s="188">
        <f>opex_orig!AT135</f>
        <v>1.1782629999999999E-3</v>
      </c>
      <c r="BC135" s="188">
        <f>opex_orig!AU135</f>
        <v>1.9360199999999999E-4</v>
      </c>
      <c r="BD135" s="188">
        <f>opex_orig!AV135</f>
        <v>1.5788600000000001E-4</v>
      </c>
      <c r="BE135" s="188">
        <f>opex_orig!AW135</f>
        <v>8.50065E-4</v>
      </c>
      <c r="BF135" s="188">
        <f>opex_orig!AX135</f>
        <v>0</v>
      </c>
      <c r="BG135" s="188">
        <f>opex_orig!AY135</f>
        <v>2.3504929999999999E-3</v>
      </c>
      <c r="BH135" s="188">
        <f>opex_orig!AZ135</f>
        <v>0</v>
      </c>
      <c r="BI135" s="188">
        <f>opex_orig!BA135</f>
        <v>1.276513E-3</v>
      </c>
      <c r="BJ135" s="188">
        <f>opex_orig!BB135</f>
        <v>6.6615900000000004E-4</v>
      </c>
      <c r="BK135" s="188">
        <f>opex_orig!BC135</f>
        <v>5.6823639999999996E-3</v>
      </c>
      <c r="BL135" s="188">
        <f>opex_orig!BD135</f>
        <v>3.31002E-4</v>
      </c>
      <c r="BM135" s="188">
        <f>opex_orig!BE135</f>
        <v>1.427864E-3</v>
      </c>
      <c r="BN135" s="188">
        <f>opex_orig!BF135</f>
        <v>8.6047399999999996E-4</v>
      </c>
      <c r="BO135" s="188">
        <f>opex_orig!BG135</f>
        <v>3.4901839999999999E-3</v>
      </c>
      <c r="BP135" s="188">
        <f>opex_orig!$BH135</f>
        <v>1.4468681419810101E-3</v>
      </c>
      <c r="BQ135" s="188">
        <f>opex_orig!$BH135</f>
        <v>1.4468681419810101E-3</v>
      </c>
      <c r="BR135" s="188">
        <f>opex_orig!BI135</f>
        <v>1.5566399999999999E-4</v>
      </c>
      <c r="BS135" s="188">
        <f>opex_orig!BJ135</f>
        <v>2.9120639999999998E-3</v>
      </c>
      <c r="BT135" s="188">
        <f>opex_orig!BK135</f>
        <v>4.0177579999999997E-3</v>
      </c>
      <c r="BU135" s="188">
        <f>opex_orig!BL135</f>
        <v>0</v>
      </c>
      <c r="BV135" s="27">
        <f>opex_orig!BM135</f>
        <v>1.8486940662318699E-4</v>
      </c>
      <c r="BW135" s="27">
        <f>opex_orig!BN135</f>
        <v>1.7576815144218201E-4</v>
      </c>
      <c r="BX135" s="27">
        <f>opex_orig!BO135</f>
        <v>1.1275241202503E-4</v>
      </c>
      <c r="BY135" s="27">
        <f>opex_orig!BP135</f>
        <v>1.2788401710895901E-4</v>
      </c>
      <c r="BZ135" s="27">
        <f>opex_orig!BQ135</f>
        <v>1.4491103099860801E-4</v>
      </c>
      <c r="CA135" s="27">
        <f>opex_orig!BR135</f>
        <v>1.03410332204303E-2</v>
      </c>
      <c r="CB135" s="27">
        <f>opex_orig!BS135</f>
        <v>2.3070253281087401E-4</v>
      </c>
      <c r="CC135" s="27">
        <f>opex_orig!BT135</f>
        <v>2.1183193403486901E-4</v>
      </c>
      <c r="CD135" s="27">
        <f>opex_orig!BU135</f>
        <v>1.4341962122937899E-4</v>
      </c>
      <c r="CE135" s="27">
        <f>opex_orig!BV135</f>
        <v>1.4341962122937899E-4</v>
      </c>
      <c r="CF135" s="27">
        <f>opex_orig!BW135</f>
        <v>2.4942438737497702E-3</v>
      </c>
      <c r="CG135" s="27">
        <f>opex_orig!BX135</f>
        <v>5.3202803169035101E-5</v>
      </c>
      <c r="CH135" s="27">
        <f>opex_orig!BY135</f>
        <v>1.30266321691755E-3</v>
      </c>
      <c r="CI135" s="27">
        <f>opex_orig!BZ135</f>
        <v>1.8321200000000001E-4</v>
      </c>
      <c r="CJ135" s="27">
        <f>opex_orig!CA135</f>
        <v>1.6575100000000001E-4</v>
      </c>
      <c r="CK135" s="27">
        <f>opex_orig!CB135</f>
        <v>1.5120500000000001E-4</v>
      </c>
      <c r="CL135" s="27">
        <f>opex_orig!CC135</f>
        <v>5.91E-5</v>
      </c>
      <c r="CM135" s="27">
        <f>opex_orig!CD135</f>
        <v>2.1604999999999999E-4</v>
      </c>
      <c r="CN135" s="27">
        <f>opex_orig!CE135</f>
        <v>4.0563799999999999E-4</v>
      </c>
      <c r="CO135" s="27">
        <f>opex_orig!CF135</f>
        <v>7.547654E-3</v>
      </c>
      <c r="CP135" s="27">
        <f>opex_orig!CG135</f>
        <v>5.1461900000000001E-3</v>
      </c>
    </row>
    <row r="136" spans="1:94" x14ac:dyDescent="0.25">
      <c r="A136" s="5" t="s">
        <v>263</v>
      </c>
      <c r="B136" s="2" t="s">
        <v>262</v>
      </c>
      <c r="C136" s="1" t="s">
        <v>335</v>
      </c>
      <c r="D136" s="188">
        <f>opex_orig!D136</f>
        <v>1.797344E-3</v>
      </c>
      <c r="E136" s="188">
        <f>opex_orig!E136</f>
        <v>7.2147900000000002E-4</v>
      </c>
      <c r="F136" s="188">
        <f>opex_orig!F136</f>
        <v>4.9409699999999998E-4</v>
      </c>
      <c r="G136" s="188">
        <f>opex_orig!G136</f>
        <v>5.9200000000000002E-5</v>
      </c>
      <c r="H136" s="188">
        <f>opex_orig!H136</f>
        <v>1.2736E-4</v>
      </c>
      <c r="I136" s="188">
        <f>opex_orig!I136</f>
        <v>1.251051E-3</v>
      </c>
      <c r="J136" s="188">
        <f>opex_orig!J136</f>
        <v>1.2461709999999999E-3</v>
      </c>
      <c r="K136" s="188">
        <f>opex_orig!K136</f>
        <v>1.72363E-4</v>
      </c>
      <c r="L136" s="188">
        <f>opex_orig!L136</f>
        <v>2.1878209999999999E-3</v>
      </c>
      <c r="M136" s="188">
        <f>opex_orig!M136</f>
        <v>7.1871239999999996E-3</v>
      </c>
      <c r="N136" s="188">
        <f>opex_orig!N136</f>
        <v>3.3407749999999998E-3</v>
      </c>
      <c r="O136" s="188">
        <f>opex_orig!O136</f>
        <v>2.8850437E-2</v>
      </c>
      <c r="P136" s="188">
        <f>opex_orig!P136</f>
        <v>1.9561719999999999E-3</v>
      </c>
      <c r="Q136" s="188">
        <f>opex_orig!Q136</f>
        <v>1.7622199999999999E-4</v>
      </c>
      <c r="R136" s="188">
        <f>opex_orig!R136</f>
        <v>6.5625199999999996E-4</v>
      </c>
      <c r="S136" s="188">
        <f>opex_orig!S136</f>
        <v>1.9115650000000001E-3</v>
      </c>
      <c r="T136" s="188">
        <f>opex_orig!T136</f>
        <v>2.048036E-3</v>
      </c>
      <c r="U136" s="188">
        <f>opex_orig!U136</f>
        <v>3.1777799999999998E-3</v>
      </c>
      <c r="V136" s="188">
        <f>opex_orig!V136</f>
        <v>3.7474449999999999E-3</v>
      </c>
      <c r="W136" s="188">
        <f>opex_orig!W136</f>
        <v>4.9167239999999999E-3</v>
      </c>
      <c r="X136" s="188">
        <f>opex_orig!X136</f>
        <v>2.8857206E-2</v>
      </c>
      <c r="Y136" s="188">
        <f>opex_orig!Y136</f>
        <v>1.9809999999999999E-4</v>
      </c>
      <c r="Z136" s="188">
        <f>opex_orig!Z136</f>
        <v>9.6736900000000004E-4</v>
      </c>
      <c r="AA136" s="188">
        <f>opex_orig!AA136</f>
        <v>1.1357159999999999E-3</v>
      </c>
      <c r="AB136" s="188">
        <f>opex_orig!$AB136</f>
        <v>1.4960155830675499E-4</v>
      </c>
      <c r="AC136" s="188">
        <f>opex_orig!$AB136</f>
        <v>1.4960155830675499E-4</v>
      </c>
      <c r="AD136" s="188">
        <f>opex_orig!$AB136</f>
        <v>1.4960155830675499E-4</v>
      </c>
      <c r="AE136" s="188">
        <f>opex_orig!$AC136</f>
        <v>6.6282191227511999E-4</v>
      </c>
      <c r="AF136" s="188">
        <f>opex_orig!$AD136</f>
        <v>1.1938653550007199E-3</v>
      </c>
      <c r="AG136" s="188">
        <f>opex_orig!$AD136</f>
        <v>1.1938653550007199E-3</v>
      </c>
      <c r="AH136" s="188">
        <f>opex_orig!$AD136</f>
        <v>1.1938653550007199E-3</v>
      </c>
      <c r="AI136" s="188">
        <f>opex_orig!AE136</f>
        <v>1.090852E-3</v>
      </c>
      <c r="AJ136" s="188">
        <f>opex_orig!AF136</f>
        <v>4.0592170000000004E-3</v>
      </c>
      <c r="AK136" s="188">
        <f>opex_orig!AG136</f>
        <v>4.2586499999999999E-4</v>
      </c>
      <c r="AL136" s="188">
        <f>opex_orig!AH136</f>
        <v>8.4359099999999998E-4</v>
      </c>
      <c r="AM136" s="188">
        <f>opex_orig!AI136</f>
        <v>1.66092E-3</v>
      </c>
      <c r="AN136" s="188">
        <f>opex_orig!AJ136</f>
        <v>1.091358E-3</v>
      </c>
      <c r="AO136" s="188">
        <f>opex_orig!AK136</f>
        <v>1.198632E-3</v>
      </c>
      <c r="AP136" s="188">
        <f>opex_orig!$AL136</f>
        <v>1.0408441900777699E-3</v>
      </c>
      <c r="AQ136" s="188">
        <f>opex_orig!$AL136</f>
        <v>1.0408441900777699E-3</v>
      </c>
      <c r="AR136" s="188">
        <f>opex_orig!$AL136</f>
        <v>1.0408441900777699E-3</v>
      </c>
      <c r="AS136" s="188">
        <f>opex_orig!$AM136</f>
        <v>9.7633186542052895E-4</v>
      </c>
      <c r="AT136" s="188">
        <f>opex_orig!AN136</f>
        <v>2.3786800000000002E-3</v>
      </c>
      <c r="AU136" s="188">
        <f>opex_orig!$AO136</f>
        <v>2.5564109694789999E-4</v>
      </c>
      <c r="AV136" s="188">
        <f>opex_orig!$AO136</f>
        <v>2.5564109694789999E-4</v>
      </c>
      <c r="AW136" s="188">
        <f>opex_orig!$AO136</f>
        <v>2.5564109694789999E-4</v>
      </c>
      <c r="AX136" s="188">
        <f>opex_orig!$AP136</f>
        <v>3.0576479487317301E-4</v>
      </c>
      <c r="AY136" s="188">
        <f>opex_orig!AQ136</f>
        <v>5.38643E-4</v>
      </c>
      <c r="AZ136" s="188">
        <f>opex_orig!AR136</f>
        <v>0</v>
      </c>
      <c r="BA136" s="188">
        <f>opex_orig!AS136</f>
        <v>3.1528699999999998E-4</v>
      </c>
      <c r="BB136" s="188">
        <f>opex_orig!AT136</f>
        <v>3.22329E-4</v>
      </c>
      <c r="BC136" s="188">
        <f>opex_orig!AU136</f>
        <v>6.9800000000000003E-5</v>
      </c>
      <c r="BD136" s="188">
        <f>opex_orig!AV136</f>
        <v>5.8199999999999998E-5</v>
      </c>
      <c r="BE136" s="188">
        <f>opex_orig!AW136</f>
        <v>2.2099199999999999E-4</v>
      </c>
      <c r="BF136" s="188">
        <f>opex_orig!AX136</f>
        <v>0</v>
      </c>
      <c r="BG136" s="188">
        <f>opex_orig!AY136</f>
        <v>5.2748300000000003E-4</v>
      </c>
      <c r="BH136" s="188">
        <f>opex_orig!AZ136</f>
        <v>0</v>
      </c>
      <c r="BI136" s="188">
        <f>opex_orig!BA136</f>
        <v>5.1469299999999999E-4</v>
      </c>
      <c r="BJ136" s="188">
        <f>opex_orig!BB136</f>
        <v>5.2769299999999998E-4</v>
      </c>
      <c r="BK136" s="188">
        <f>opex_orig!BC136</f>
        <v>3.919329E-3</v>
      </c>
      <c r="BL136" s="188">
        <f>opex_orig!BD136</f>
        <v>0.100960508</v>
      </c>
      <c r="BM136" s="188">
        <f>opex_orig!BE136</f>
        <v>4.5373389999999996E-3</v>
      </c>
      <c r="BN136" s="188">
        <f>opex_orig!BF136</f>
        <v>1.3795859999999999E-3</v>
      </c>
      <c r="BO136" s="188">
        <f>opex_orig!BG136</f>
        <v>2.506604E-3</v>
      </c>
      <c r="BP136" s="354">
        <f>opex_concordance!M103</f>
        <v>3.2054804537612583E-3</v>
      </c>
      <c r="BQ136" s="354">
        <f>opex_concordance!M146</f>
        <v>2.105763648697074E-3</v>
      </c>
      <c r="BR136" s="188">
        <f>opex_orig!BI136</f>
        <v>3.6133139999999998E-3</v>
      </c>
      <c r="BS136" s="188">
        <f>opex_orig!BJ136</f>
        <v>2.533488E-3</v>
      </c>
      <c r="BT136" s="188">
        <f>opex_orig!BK136</f>
        <v>2.1084799999999998E-3</v>
      </c>
      <c r="BU136" s="188">
        <f>opex_orig!BL136</f>
        <v>0</v>
      </c>
      <c r="BV136" s="27">
        <f>opex_orig!BM136</f>
        <v>1.9617939705464799E-3</v>
      </c>
      <c r="BW136" s="27">
        <f>opex_orig!BN136</f>
        <v>1.1213775237672401E-3</v>
      </c>
      <c r="BX136" s="27">
        <f>opex_orig!BO136</f>
        <v>9.9799791070215109E-4</v>
      </c>
      <c r="BY136" s="27">
        <f>opex_orig!BP136</f>
        <v>8.3541995756067897E-4</v>
      </c>
      <c r="BZ136" s="27">
        <f>opex_orig!BQ136</f>
        <v>6.80213761210968E-4</v>
      </c>
      <c r="CA136" s="27">
        <f>opex_orig!BR136</f>
        <v>1.68380714826097E-3</v>
      </c>
      <c r="CB136" s="27">
        <f>opex_orig!BS136</f>
        <v>6.2290463151473002E-4</v>
      </c>
      <c r="CC136" s="27">
        <f>opex_orig!BT136</f>
        <v>2.5822555188074799E-3</v>
      </c>
      <c r="CD136" s="27">
        <f>opex_orig!BU136</f>
        <v>9.70932418694744E-5</v>
      </c>
      <c r="CE136" s="27">
        <f>opex_orig!BV136</f>
        <v>9.7093241869474495E-5</v>
      </c>
      <c r="CF136" s="27">
        <f>opex_orig!BW136</f>
        <v>4.3338343501535901E-3</v>
      </c>
      <c r="CG136" s="27">
        <f>opex_orig!BX136</f>
        <v>4.1902666300105103E-5</v>
      </c>
      <c r="CH136" s="27">
        <f>opex_orig!BY136</f>
        <v>1.0842155558097401E-4</v>
      </c>
      <c r="CI136" s="27">
        <f>opex_orig!BZ136</f>
        <v>1.4852610000000001E-3</v>
      </c>
      <c r="CJ136" s="27">
        <f>opex_orig!CA136</f>
        <v>1.5767120000000001E-3</v>
      </c>
      <c r="CK136" s="27">
        <f>opex_orig!CB136</f>
        <v>1.3349600000000001E-3</v>
      </c>
      <c r="CL136" s="27">
        <f>opex_orig!CC136</f>
        <v>5.11127E-4</v>
      </c>
      <c r="CM136" s="27">
        <f>opex_orig!CD136</f>
        <v>1.16351E-3</v>
      </c>
      <c r="CN136" s="27">
        <f>opex_orig!CE136</f>
        <v>1.196679E-3</v>
      </c>
      <c r="CO136" s="27">
        <f>opex_orig!CF136</f>
        <v>1.9516690000000001E-3</v>
      </c>
      <c r="CP136" s="27">
        <f>opex_orig!CG136</f>
        <v>2.39471E-4</v>
      </c>
    </row>
    <row r="137" spans="1:94" x14ac:dyDescent="0.25">
      <c r="A137" s="5" t="s">
        <v>265</v>
      </c>
      <c r="B137" s="2" t="s">
        <v>264</v>
      </c>
      <c r="C137" s="1" t="s">
        <v>335</v>
      </c>
      <c r="D137" s="188">
        <f>opex_orig!D137</f>
        <v>5.7319300000000005E-4</v>
      </c>
      <c r="E137" s="188">
        <f>opex_orig!E137</f>
        <v>5.8499999999999999E-5</v>
      </c>
      <c r="F137" s="188">
        <f>opex_orig!F137</f>
        <v>3.9199999999999997E-5</v>
      </c>
      <c r="G137" s="188">
        <f>opex_orig!G137</f>
        <v>2.0000000000000002E-5</v>
      </c>
      <c r="H137" s="188">
        <f>opex_orig!H137</f>
        <v>1.2099999999999999E-5</v>
      </c>
      <c r="I137" s="188">
        <f>opex_orig!I137</f>
        <v>5.8300000000000001E-5</v>
      </c>
      <c r="J137" s="188">
        <f>opex_orig!J137</f>
        <v>2.8076000000000002E-4</v>
      </c>
      <c r="K137" s="188">
        <f>opex_orig!K137</f>
        <v>1.7099999999999999E-5</v>
      </c>
      <c r="L137" s="188">
        <f>opex_orig!L137</f>
        <v>2.4057899999999999E-4</v>
      </c>
      <c r="M137" s="188">
        <f>opex_orig!M137</f>
        <v>2.7142900000000001E-4</v>
      </c>
      <c r="N137" s="188">
        <f>opex_orig!N137</f>
        <v>2.9870999999999999E-4</v>
      </c>
      <c r="O137" s="188">
        <f>opex_orig!O137</f>
        <v>2.7596600000000002E-3</v>
      </c>
      <c r="P137" s="188">
        <f>opex_orig!P137</f>
        <v>1.175836E-3</v>
      </c>
      <c r="Q137" s="188">
        <f>opex_orig!Q137</f>
        <v>7.7000000000000001E-5</v>
      </c>
      <c r="R137" s="188">
        <f>opex_orig!R137</f>
        <v>7.2100000000000004E-5</v>
      </c>
      <c r="S137" s="188">
        <f>opex_orig!S137</f>
        <v>5.5600000000000003E-5</v>
      </c>
      <c r="T137" s="188">
        <f>opex_orig!T137</f>
        <v>6.0999999999999999E-5</v>
      </c>
      <c r="U137" s="188">
        <f>opex_orig!U137</f>
        <v>5.6799999999999998E-5</v>
      </c>
      <c r="V137" s="188">
        <f>opex_orig!V137</f>
        <v>6.7299999999999996E-5</v>
      </c>
      <c r="W137" s="188">
        <f>opex_orig!W137</f>
        <v>4.3900000000000003E-5</v>
      </c>
      <c r="X137" s="188">
        <f>opex_orig!X137</f>
        <v>1.05241E-4</v>
      </c>
      <c r="Y137" s="188">
        <f>opex_orig!Y137</f>
        <v>6.9900000000000005E-5</v>
      </c>
      <c r="Z137" s="188">
        <f>opex_orig!Z137</f>
        <v>4.56732E-4</v>
      </c>
      <c r="AA137" s="188">
        <f>opex_orig!AA137</f>
        <v>1.38341E-4</v>
      </c>
      <c r="AB137" s="188">
        <f>opex_orig!$AB137</f>
        <v>3.0303699308794999E-5</v>
      </c>
      <c r="AC137" s="188">
        <f>opex_orig!$AB137</f>
        <v>3.0303699308794999E-5</v>
      </c>
      <c r="AD137" s="188">
        <f>opex_orig!$AB137</f>
        <v>3.0303699308794999E-5</v>
      </c>
      <c r="AE137" s="188">
        <f>opex_orig!$AC137</f>
        <v>4.3149265432748798E-4</v>
      </c>
      <c r="AF137" s="188">
        <f>opex_orig!$AD137</f>
        <v>1.6469590935389801E-3</v>
      </c>
      <c r="AG137" s="188">
        <f>opex_orig!$AD137</f>
        <v>1.6469590935389801E-3</v>
      </c>
      <c r="AH137" s="188">
        <f>opex_orig!$AD137</f>
        <v>1.6469590935389801E-3</v>
      </c>
      <c r="AI137" s="188">
        <f>opex_orig!AE137</f>
        <v>1.480299E-3</v>
      </c>
      <c r="AJ137" s="188">
        <f>opex_orig!AF137</f>
        <v>2.7584340000000001E-3</v>
      </c>
      <c r="AK137" s="188">
        <f>opex_orig!AG137</f>
        <v>3.2134600000000002E-4</v>
      </c>
      <c r="AL137" s="188">
        <f>opex_orig!AH137</f>
        <v>2.05606E-4</v>
      </c>
      <c r="AM137" s="188">
        <f>opex_orig!AI137</f>
        <v>2.1553499999999999E-4</v>
      </c>
      <c r="AN137" s="188">
        <f>opex_orig!AJ137</f>
        <v>8.9245500000000001E-4</v>
      </c>
      <c r="AO137" s="188">
        <f>opex_orig!AK137</f>
        <v>8.5972100000000003E-4</v>
      </c>
      <c r="AP137" s="188">
        <f>opex_orig!$AL137</f>
        <v>8.8470407843702298E-4</v>
      </c>
      <c r="AQ137" s="188">
        <f>opex_orig!$AL137</f>
        <v>8.8470407843702298E-4</v>
      </c>
      <c r="AR137" s="188">
        <f>opex_orig!$AL137</f>
        <v>8.8470407843702298E-4</v>
      </c>
      <c r="AS137" s="188">
        <f>opex_orig!$AM137</f>
        <v>8.4283152749599604E-4</v>
      </c>
      <c r="AT137" s="188">
        <f>opex_orig!AN137</f>
        <v>1.5827300000000001E-3</v>
      </c>
      <c r="AU137" s="188">
        <f>opex_orig!$AO137</f>
        <v>2.1720555973695499E-4</v>
      </c>
      <c r="AV137" s="188">
        <f>opex_orig!$AO137</f>
        <v>2.1720555973695499E-4</v>
      </c>
      <c r="AW137" s="188">
        <f>opex_orig!$AO137</f>
        <v>2.1720555973695499E-4</v>
      </c>
      <c r="AX137" s="188">
        <f>opex_orig!$AP137</f>
        <v>2.5843160810165599E-4</v>
      </c>
      <c r="AY137" s="188">
        <f>opex_orig!AQ137</f>
        <v>1.82616E-4</v>
      </c>
      <c r="AZ137" s="188">
        <f>opex_orig!AR137</f>
        <v>0</v>
      </c>
      <c r="BA137" s="188">
        <f>opex_orig!AS137</f>
        <v>1.8246000000000001E-4</v>
      </c>
      <c r="BB137" s="188">
        <f>opex_orig!AT137</f>
        <v>1.8984399999999999E-4</v>
      </c>
      <c r="BC137" s="188">
        <f>opex_orig!AU137</f>
        <v>2.9300000000000001E-5</v>
      </c>
      <c r="BD137" s="188">
        <f>opex_orig!AV137</f>
        <v>2.2799999999999999E-5</v>
      </c>
      <c r="BE137" s="188">
        <f>opex_orig!AW137</f>
        <v>7.8100000000000001E-5</v>
      </c>
      <c r="BF137" s="188">
        <f>opex_orig!AX137</f>
        <v>0</v>
      </c>
      <c r="BG137" s="188">
        <f>opex_orig!AY137</f>
        <v>8.3499999999999997E-5</v>
      </c>
      <c r="BH137" s="188">
        <f>opex_orig!AZ137</f>
        <v>0</v>
      </c>
      <c r="BI137" s="188">
        <f>opex_orig!BA137</f>
        <v>1.08007E-4</v>
      </c>
      <c r="BJ137" s="188">
        <f>opex_orig!BB137</f>
        <v>1.29276E-4</v>
      </c>
      <c r="BK137" s="188">
        <f>opex_orig!BC137</f>
        <v>2.1430920000000001E-3</v>
      </c>
      <c r="BL137" s="188">
        <f>opex_orig!BD137</f>
        <v>1.17102E-4</v>
      </c>
      <c r="BM137" s="188">
        <f>opex_orig!BE137</f>
        <v>9.1799999999999995E-5</v>
      </c>
      <c r="BN137" s="188">
        <f>opex_orig!BF137</f>
        <v>1.3837019999999999E-3</v>
      </c>
      <c r="BO137" s="188">
        <f>opex_orig!BG137</f>
        <v>9.3917600000000001E-4</v>
      </c>
      <c r="BP137" s="326">
        <f>opex_concordance!M106</f>
        <v>5.1588333605838291E-3</v>
      </c>
      <c r="BQ137" s="326">
        <f>opex_concordance!M149</f>
        <v>3.4290432752436704E-3</v>
      </c>
      <c r="BR137" s="188">
        <f>opex_orig!BI137</f>
        <v>2.7759099999999999E-4</v>
      </c>
      <c r="BS137" s="188">
        <f>opex_orig!BJ137</f>
        <v>1.4007000000000001E-4</v>
      </c>
      <c r="BT137" s="188">
        <f>opex_orig!BK137</f>
        <v>3.6300000000000001E-5</v>
      </c>
      <c r="BU137" s="188">
        <f>opex_orig!BL137</f>
        <v>0</v>
      </c>
      <c r="BV137" s="27">
        <f>opex_orig!BM137</f>
        <v>4.6305943475033903E-5</v>
      </c>
      <c r="BW137" s="27">
        <f>opex_orig!BN137</f>
        <v>7.0516115204946305E-5</v>
      </c>
      <c r="BX137" s="27">
        <f>opex_orig!BO137</f>
        <v>2.2491688371882301E-5</v>
      </c>
      <c r="BY137" s="27">
        <f>opex_orig!BP137</f>
        <v>2.4489170962318699E-5</v>
      </c>
      <c r="BZ137" s="27">
        <f>opex_orig!BQ137</f>
        <v>2.1492293904240999E-5</v>
      </c>
      <c r="CA137" s="27">
        <f>opex_orig!BR137</f>
        <v>2.07165589363515E-5</v>
      </c>
      <c r="CB137" s="27">
        <f>opex_orig!BS137</f>
        <v>3.7762293671244497E-5</v>
      </c>
      <c r="CC137" s="27">
        <f>opex_orig!BT137</f>
        <v>3.0985933257110298E-4</v>
      </c>
      <c r="CD137" s="27">
        <f>opex_orig!BU137</f>
        <v>1.9464092928666602E-5</v>
      </c>
      <c r="CE137" s="27">
        <f>opex_orig!BV137</f>
        <v>1.94640929286667E-5</v>
      </c>
      <c r="CF137" s="27">
        <f>opex_orig!BW137</f>
        <v>2.4100716838055202E-3</v>
      </c>
      <c r="CG137" s="27">
        <f>opex_orig!BX137</f>
        <v>8.8019947467268398E-6</v>
      </c>
      <c r="CH137" s="27">
        <f>opex_orig!BY137</f>
        <v>2.4266902608108699E-5</v>
      </c>
      <c r="CI137" s="27">
        <f>opex_orig!BZ137</f>
        <v>4.0899999999999998E-5</v>
      </c>
      <c r="CJ137" s="27">
        <f>opex_orig!CA137</f>
        <v>3.2700000000000002E-5</v>
      </c>
      <c r="CK137" s="27">
        <f>opex_orig!CB137</f>
        <v>2.8200000000000001E-5</v>
      </c>
      <c r="CL137" s="27">
        <f>opex_orig!CC137</f>
        <v>1.5299999999999999E-5</v>
      </c>
      <c r="CM137" s="27">
        <f>opex_orig!CD137</f>
        <v>8.6899999999999998E-5</v>
      </c>
      <c r="CN137" s="27">
        <f>opex_orig!CE137</f>
        <v>1.9934600000000001E-4</v>
      </c>
      <c r="CO137" s="27">
        <f>opex_orig!CF137</f>
        <v>3.8005299999999999E-4</v>
      </c>
      <c r="CP137" s="27">
        <f>opex_orig!CG137</f>
        <v>1.83129E-4</v>
      </c>
    </row>
    <row r="138" spans="1:94" x14ac:dyDescent="0.25">
      <c r="A138" s="5" t="s">
        <v>267</v>
      </c>
      <c r="B138" s="2" t="s">
        <v>266</v>
      </c>
      <c r="C138" s="1" t="s">
        <v>335</v>
      </c>
      <c r="D138" s="188">
        <f>opex_orig!D138</f>
        <v>0.28456901299999998</v>
      </c>
      <c r="E138" s="188">
        <f>opex_orig!E138</f>
        <v>2.6622863E-2</v>
      </c>
      <c r="F138" s="188">
        <f>opex_orig!F138</f>
        <v>1.3583289E-2</v>
      </c>
      <c r="G138" s="188">
        <f>opex_orig!G138</f>
        <v>2.139784E-3</v>
      </c>
      <c r="H138" s="188">
        <f>opex_orig!H138</f>
        <v>4.6907299999999997E-3</v>
      </c>
      <c r="I138" s="188">
        <f>opex_orig!I138</f>
        <v>2.3096483000000001E-2</v>
      </c>
      <c r="J138" s="188">
        <f>opex_orig!J138</f>
        <v>0.139136172</v>
      </c>
      <c r="K138" s="188">
        <f>opex_orig!K138</f>
        <v>7.0937159999999999E-3</v>
      </c>
      <c r="L138" s="188">
        <f>opex_orig!L138</f>
        <v>2.0290374999999999E-2</v>
      </c>
      <c r="M138" s="188">
        <f>opex_orig!M138</f>
        <v>3.6457121000000002E-2</v>
      </c>
      <c r="N138" s="188">
        <f>opex_orig!N138</f>
        <v>2.2012245999999999E-2</v>
      </c>
      <c r="O138" s="188">
        <f>opex_orig!O138</f>
        <v>0.107272519</v>
      </c>
      <c r="P138" s="188">
        <f>opex_orig!P138</f>
        <v>2.6706654999999999E-2</v>
      </c>
      <c r="Q138" s="188">
        <f>opex_orig!Q138</f>
        <v>6.0268250000000004E-3</v>
      </c>
      <c r="R138" s="188">
        <f>opex_orig!R138</f>
        <v>2.0092460000000001E-3</v>
      </c>
      <c r="S138" s="188">
        <f>opex_orig!S138</f>
        <v>9.5769380000000001E-3</v>
      </c>
      <c r="T138" s="188">
        <f>opex_orig!T138</f>
        <v>7.9459160000000008E-3</v>
      </c>
      <c r="U138" s="188">
        <f>opex_orig!U138</f>
        <v>1.2439156999999999E-2</v>
      </c>
      <c r="V138" s="188">
        <f>opex_orig!V138</f>
        <v>1.4279811E-2</v>
      </c>
      <c r="W138" s="188">
        <f>opex_orig!W138</f>
        <v>9.583421E-3</v>
      </c>
      <c r="X138" s="188">
        <f>opex_orig!X138</f>
        <v>3.7228004000000002E-2</v>
      </c>
      <c r="Y138" s="188">
        <f>opex_orig!Y138</f>
        <v>1.9970650000000001E-3</v>
      </c>
      <c r="Z138" s="188">
        <f>opex_orig!Z138</f>
        <v>7.1748560000000003E-3</v>
      </c>
      <c r="AA138" s="188">
        <f>opex_orig!AA138</f>
        <v>2.8680569999999998E-3</v>
      </c>
      <c r="AB138" s="188">
        <f>opex_orig!$AB138</f>
        <v>2.7523979603527099E-3</v>
      </c>
      <c r="AC138" s="188">
        <f>opex_orig!$AB138</f>
        <v>2.7523979603527099E-3</v>
      </c>
      <c r="AD138" s="188">
        <f>opex_orig!$AB138</f>
        <v>2.7523979603527099E-3</v>
      </c>
      <c r="AE138" s="188">
        <f>opex_orig!$AC138</f>
        <v>3.2864332707457103E-2</v>
      </c>
      <c r="AF138" s="208">
        <f>opex_concordance!$M$325</f>
        <v>4.1270669160376701E-2</v>
      </c>
      <c r="AG138" s="208">
        <f>opex_concordance!$M$361</f>
        <v>1.8288827089169398E-2</v>
      </c>
      <c r="AH138" s="208">
        <f>opex_concordance!$M$397</f>
        <v>1.4673047477296135E-2</v>
      </c>
      <c r="AI138" s="188">
        <f>opex_orig!AE138</f>
        <v>3.8156677999999999E-2</v>
      </c>
      <c r="AJ138" s="188">
        <f>opex_orig!AF138</f>
        <v>6.7545684999999994E-2</v>
      </c>
      <c r="AK138" s="188">
        <f>opex_orig!AG138</f>
        <v>1.492541E-2</v>
      </c>
      <c r="AL138" s="188">
        <f>opex_orig!AH138</f>
        <v>1.1441420000000001E-2</v>
      </c>
      <c r="AM138" s="188">
        <f>opex_orig!AI138</f>
        <v>2.4164973999999999E-2</v>
      </c>
      <c r="AN138" s="188">
        <f>opex_orig!AJ138</f>
        <v>6.0963450000000004E-3</v>
      </c>
      <c r="AO138" s="188">
        <f>opex_orig!AK138</f>
        <v>1.0751223000000001E-2</v>
      </c>
      <c r="AP138" s="208">
        <f>opex_concordance!M452</f>
        <v>1.7195063170659601E-2</v>
      </c>
      <c r="AQ138" s="208">
        <f>opex_concordance!M506</f>
        <v>1.3838424615979361E-2</v>
      </c>
      <c r="AR138" s="208">
        <f>opex_concordance!M560</f>
        <v>1.5186461680614207E-2</v>
      </c>
      <c r="AS138" s="188">
        <f>opex_orig!$AM138</f>
        <v>1.6633478857704598E-2</v>
      </c>
      <c r="AT138" s="188">
        <f>opex_orig!AN138</f>
        <v>1.7201658000000002E-2</v>
      </c>
      <c r="AU138" s="208">
        <f>opex_concordance!M569</f>
        <v>5.7703633663306999E-3</v>
      </c>
      <c r="AV138" s="208">
        <f>opex_concordance!M615</f>
        <v>5.815672866583842E-3</v>
      </c>
      <c r="AW138" s="208">
        <f>opex_concordance!M661</f>
        <v>5.1345077391726397E-3</v>
      </c>
      <c r="AX138" s="188">
        <f>opex_orig!$AP138</f>
        <v>6.9467099744618E-3</v>
      </c>
      <c r="AY138" s="188">
        <f>opex_orig!AQ138</f>
        <v>8.2253420000000001E-3</v>
      </c>
      <c r="AZ138" s="188">
        <f>opex_orig!AR138</f>
        <v>0</v>
      </c>
      <c r="BA138" s="188">
        <f>opex_orig!AS138</f>
        <v>9.1798309999999994E-3</v>
      </c>
      <c r="BB138" s="188">
        <f>opex_orig!AT138</f>
        <v>1.0108331999999999E-2</v>
      </c>
      <c r="BC138" s="188">
        <f>opex_orig!AU138</f>
        <v>1.2166810000000001E-3</v>
      </c>
      <c r="BD138" s="188">
        <f>opex_orig!AV138</f>
        <v>9.5820699999999998E-4</v>
      </c>
      <c r="BE138" s="188">
        <f>opex_orig!AW138</f>
        <v>4.3933779999999999E-3</v>
      </c>
      <c r="BF138" s="188">
        <f>opex_orig!AX138</f>
        <v>0</v>
      </c>
      <c r="BG138" s="188">
        <f>opex_orig!AY138</f>
        <v>4.797305E-3</v>
      </c>
      <c r="BH138" s="188">
        <f>opex_orig!AZ138</f>
        <v>0</v>
      </c>
      <c r="BI138" s="188">
        <f>opex_orig!BA138</f>
        <v>5.4301410000000003E-3</v>
      </c>
      <c r="BJ138" s="188">
        <f>opex_orig!BB138</f>
        <v>2.4273009000000002E-2</v>
      </c>
      <c r="BK138" s="188">
        <f>opex_orig!BC138</f>
        <v>3.1095550999999999E-2</v>
      </c>
      <c r="BL138" s="188">
        <f>opex_orig!BD138</f>
        <v>7.4830920000000002E-3</v>
      </c>
      <c r="BM138" s="188">
        <f>opex_orig!BE138</f>
        <v>1.1989088E-2</v>
      </c>
      <c r="BN138" s="188">
        <f>opex_orig!BF138</f>
        <v>4.2948730000000003E-3</v>
      </c>
      <c r="BO138" s="188">
        <f>opex_orig!BG138</f>
        <v>1.6605590999999999E-2</v>
      </c>
      <c r="BP138" s="248">
        <f>opex_concordance!M110</f>
        <v>1.5230709337231542E-2</v>
      </c>
      <c r="BQ138" s="248">
        <f>opex_concordance!M153</f>
        <v>1.3057112111632801E-2</v>
      </c>
      <c r="BR138" s="188">
        <f>opex_orig!BI138</f>
        <v>7.6245949999999996E-3</v>
      </c>
      <c r="BS138" s="188">
        <f>opex_orig!BJ138</f>
        <v>3.6045252999999999E-2</v>
      </c>
      <c r="BT138" s="188">
        <f>opex_orig!BK138</f>
        <v>6.8829160000000002E-3</v>
      </c>
      <c r="BU138" s="188">
        <f>opex_orig!BL138</f>
        <v>0</v>
      </c>
      <c r="BV138" s="27">
        <f>opex_orig!BM138</f>
        <v>1.2614634716876899E-2</v>
      </c>
      <c r="BW138" s="27">
        <f>opex_orig!BN138</f>
        <v>1.67888310715298E-2</v>
      </c>
      <c r="BX138" s="27">
        <f>opex_orig!BO138</f>
        <v>7.9455618422627702E-3</v>
      </c>
      <c r="BY138" s="27">
        <f>opex_orig!BP138</f>
        <v>7.6307150830147797E-3</v>
      </c>
      <c r="BZ138" s="27">
        <f>opex_orig!BQ138</f>
        <v>7.9956982698718808E-3</v>
      </c>
      <c r="CA138" s="27">
        <f>opex_orig!BR138</f>
        <v>1.1569284697528499E-2</v>
      </c>
      <c r="CB138" s="27">
        <f>opex_orig!BS138</f>
        <v>1.0080028698602099E-2</v>
      </c>
      <c r="CC138" s="27">
        <f>opex_orig!BT138</f>
        <v>1.5281348986481799E-2</v>
      </c>
      <c r="CD138" s="27">
        <f>opex_orig!BU138</f>
        <v>9.0722446373195601E-3</v>
      </c>
      <c r="CE138" s="27">
        <f>opex_orig!BV138</f>
        <v>9.0722446373195601E-3</v>
      </c>
      <c r="CF138" s="27">
        <f>opex_orig!BW138</f>
        <v>6.14616381630207E-2</v>
      </c>
      <c r="CG138" s="27">
        <f>opex_orig!BX138</f>
        <v>1.2390393633699101E-4</v>
      </c>
      <c r="CH138" s="27">
        <f>opex_orig!BY138</f>
        <v>1.3907558653986001E-4</v>
      </c>
      <c r="CI138" s="27">
        <f>opex_orig!BZ138</f>
        <v>1.2469859999999999E-2</v>
      </c>
      <c r="CJ138" s="27">
        <f>opex_orig!CA138</f>
        <v>1.2193269E-2</v>
      </c>
      <c r="CK138" s="27">
        <f>opex_orig!CB138</f>
        <v>1.0699669E-2</v>
      </c>
      <c r="CL138" s="27">
        <f>opex_orig!CC138</f>
        <v>1.2303524999999999E-2</v>
      </c>
      <c r="CM138" s="27">
        <f>opex_orig!CD138</f>
        <v>1.5708082000000002E-2</v>
      </c>
      <c r="CN138" s="27">
        <f>opex_orig!CE138</f>
        <v>8.7097489E-2</v>
      </c>
      <c r="CO138" s="27">
        <f>opex_orig!CF138</f>
        <v>0.15068549000000001</v>
      </c>
      <c r="CP138" s="27">
        <f>opex_orig!CG138</f>
        <v>2.6571856000000001E-2</v>
      </c>
    </row>
    <row r="139" spans="1:94" x14ac:dyDescent="0.25">
      <c r="A139" s="5" t="s">
        <v>269</v>
      </c>
      <c r="B139" s="2" t="s">
        <v>268</v>
      </c>
      <c r="C139" s="1" t="s">
        <v>335</v>
      </c>
      <c r="D139" s="188">
        <f>opex_orig!D139</f>
        <v>1.6117400000000001E-4</v>
      </c>
      <c r="E139" s="188">
        <f>opex_orig!E139</f>
        <v>1.57035E-4</v>
      </c>
      <c r="F139" s="188">
        <f>opex_orig!F139</f>
        <v>8.7600000000000002E-5</v>
      </c>
      <c r="G139" s="188">
        <f>opex_orig!G139</f>
        <v>8.5199999999999997E-6</v>
      </c>
      <c r="H139" s="188">
        <f>opex_orig!H139</f>
        <v>2.2099999999999998E-5</v>
      </c>
      <c r="I139" s="188">
        <f>opex_orig!I139</f>
        <v>3.2239200000000001E-4</v>
      </c>
      <c r="J139" s="188">
        <f>opex_orig!J139</f>
        <v>3.39923E-4</v>
      </c>
      <c r="K139" s="188">
        <f>opex_orig!K139</f>
        <v>2.48E-5</v>
      </c>
      <c r="L139" s="188">
        <f>opex_orig!L139</f>
        <v>2.7365000000000001E-4</v>
      </c>
      <c r="M139" s="188">
        <f>opex_orig!M139</f>
        <v>8.7032400000000001E-4</v>
      </c>
      <c r="N139" s="188">
        <f>opex_orig!N139</f>
        <v>7.9120299999999998E-4</v>
      </c>
      <c r="O139" s="188">
        <f>opex_orig!O139</f>
        <v>1.667008E-3</v>
      </c>
      <c r="P139" s="188">
        <f>opex_orig!P139</f>
        <v>8.5979399999999999E-4</v>
      </c>
      <c r="Q139" s="188">
        <f>opex_orig!Q139</f>
        <v>6.3360399999999996E-4</v>
      </c>
      <c r="R139" s="188">
        <f>opex_orig!R139</f>
        <v>3.1119699999999998E-4</v>
      </c>
      <c r="S139" s="188">
        <f>opex_orig!S139</f>
        <v>3.0181869999999999E-3</v>
      </c>
      <c r="T139" s="188">
        <f>opex_orig!T139</f>
        <v>2.5450199999999998E-4</v>
      </c>
      <c r="U139" s="188">
        <f>opex_orig!U139</f>
        <v>1.443511E-3</v>
      </c>
      <c r="V139" s="188">
        <f>opex_orig!V139</f>
        <v>5.9446399999999995E-4</v>
      </c>
      <c r="W139" s="188">
        <f>opex_orig!W139</f>
        <v>9.4430100000000004E-4</v>
      </c>
      <c r="X139" s="188">
        <f>opex_orig!X139</f>
        <v>1.229415E-3</v>
      </c>
      <c r="Y139" s="188">
        <f>opex_orig!Y139</f>
        <v>3.0785300000000002E-4</v>
      </c>
      <c r="Z139" s="188">
        <f>opex_orig!Z139</f>
        <v>1.9781759999999999E-3</v>
      </c>
      <c r="AA139" s="188">
        <f>opex_orig!AA139</f>
        <v>1.8460690000000001E-3</v>
      </c>
      <c r="AB139" s="188">
        <f>opex_orig!$AB139</f>
        <v>5.3292914984749497E-5</v>
      </c>
      <c r="AC139" s="188">
        <f>opex_orig!$AB139</f>
        <v>5.3292914984749497E-5</v>
      </c>
      <c r="AD139" s="188">
        <f>opex_orig!$AB139</f>
        <v>5.3292914984749497E-5</v>
      </c>
      <c r="AE139" s="188">
        <f>opex_orig!$AC139</f>
        <v>1.3016700166762899E-3</v>
      </c>
      <c r="AF139" s="188">
        <f>opex_orig!$AD139</f>
        <v>4.4101454799743599E-4</v>
      </c>
      <c r="AG139" s="188">
        <f>opex_orig!$AD139</f>
        <v>4.4101454799743599E-4</v>
      </c>
      <c r="AH139" s="188">
        <f>opex_orig!$AD139</f>
        <v>4.4101454799743599E-4</v>
      </c>
      <c r="AI139" s="188">
        <f>opex_orig!AE139</f>
        <v>3.7402699999999997E-4</v>
      </c>
      <c r="AJ139" s="188">
        <f>opex_orig!AF139</f>
        <v>3.69594E-4</v>
      </c>
      <c r="AK139" s="188">
        <f>opex_orig!AG139</f>
        <v>3.7610600000000002E-4</v>
      </c>
      <c r="AL139" s="188">
        <f>opex_orig!AH139</f>
        <v>3.37144E-4</v>
      </c>
      <c r="AM139" s="188">
        <f>opex_orig!AI139</f>
        <v>8.6352499999999997E-4</v>
      </c>
      <c r="AN139" s="188">
        <f>opex_orig!AJ139</f>
        <v>8.8200000000000003E-5</v>
      </c>
      <c r="AO139" s="188">
        <f>opex_orig!AK139</f>
        <v>1.80228E-4</v>
      </c>
      <c r="AP139" s="188">
        <f>opex_orig!$AL139</f>
        <v>1.69805912048654E-4</v>
      </c>
      <c r="AQ139" s="188">
        <f>opex_orig!$AL139</f>
        <v>1.69805912048654E-4</v>
      </c>
      <c r="AR139" s="188">
        <f>opex_orig!$AL139</f>
        <v>1.69805912048654E-4</v>
      </c>
      <c r="AS139" s="188">
        <f>opex_orig!$AM139</f>
        <v>1.54710973948073E-4</v>
      </c>
      <c r="AT139" s="188">
        <f>opex_orig!AN139</f>
        <v>2.5228400000000003E-4</v>
      </c>
      <c r="AU139" s="188">
        <f>opex_orig!$AO139</f>
        <v>1.4302074110098001E-4</v>
      </c>
      <c r="AV139" s="188">
        <f>opex_orig!$AO139</f>
        <v>1.4302074110098001E-4</v>
      </c>
      <c r="AW139" s="188">
        <f>opex_orig!$AO139</f>
        <v>1.4302074110098001E-4</v>
      </c>
      <c r="AX139" s="188">
        <f>opex_orig!$AP139</f>
        <v>1.52776747214973E-4</v>
      </c>
      <c r="AY139" s="188">
        <f>opex_orig!AQ139</f>
        <v>2.6498899999999998E-4</v>
      </c>
      <c r="AZ139" s="188">
        <f>opex_orig!AR139</f>
        <v>0</v>
      </c>
      <c r="BA139" s="188">
        <f>opex_orig!AS139</f>
        <v>1.26E-4</v>
      </c>
      <c r="BB139" s="188">
        <f>opex_orig!AT139</f>
        <v>9.5099999999999994E-5</v>
      </c>
      <c r="BC139" s="188">
        <f>opex_orig!AU139</f>
        <v>1.00503E-4</v>
      </c>
      <c r="BD139" s="188">
        <f>opex_orig!AV139</f>
        <v>3.8600000000000003E-5</v>
      </c>
      <c r="BE139" s="188">
        <f>opex_orig!AW139</f>
        <v>1.13076E-4</v>
      </c>
      <c r="BF139" s="188">
        <f>opex_orig!AX139</f>
        <v>0</v>
      </c>
      <c r="BG139" s="188">
        <f>opex_orig!AY139</f>
        <v>1.7985000000000001E-4</v>
      </c>
      <c r="BH139" s="188">
        <f>opex_orig!AZ139</f>
        <v>0</v>
      </c>
      <c r="BI139" s="188">
        <f>opex_orig!BA139</f>
        <v>1.49753E-4</v>
      </c>
      <c r="BJ139" s="188">
        <f>opex_orig!BB139</f>
        <v>3.53529E-4</v>
      </c>
      <c r="BK139" s="188">
        <f>opex_orig!BC139</f>
        <v>3.8860499999999998E-4</v>
      </c>
      <c r="BL139" s="188">
        <f>opex_orig!BD139</f>
        <v>4.6488500000000001E-4</v>
      </c>
      <c r="BM139" s="188">
        <f>opex_orig!BE139</f>
        <v>3.3768699999999998E-4</v>
      </c>
      <c r="BN139" s="188">
        <f>opex_orig!BF139</f>
        <v>2.04487E-4</v>
      </c>
      <c r="BO139" s="188">
        <f>opex_orig!BG139</f>
        <v>6.9983000000000003E-4</v>
      </c>
      <c r="BP139" s="188">
        <f>opex_orig!$BH139</f>
        <v>3.02684636446934E-4</v>
      </c>
      <c r="BQ139" s="188">
        <f>opex_orig!$BH139</f>
        <v>3.02684636446934E-4</v>
      </c>
      <c r="BR139" s="188">
        <f>opex_orig!BI139</f>
        <v>1.1142630000000001E-3</v>
      </c>
      <c r="BS139" s="188">
        <f>opex_orig!BJ139</f>
        <v>7.1110399999999995E-4</v>
      </c>
      <c r="BT139" s="188">
        <f>opex_orig!BK139</f>
        <v>1.7485720000000001E-3</v>
      </c>
      <c r="BU139" s="188">
        <f>opex_orig!BL139</f>
        <v>0</v>
      </c>
      <c r="BV139" s="27">
        <f>opex_orig!BM139</f>
        <v>4.19567624319692E-4</v>
      </c>
      <c r="BW139" s="27">
        <f>opex_orig!BN139</f>
        <v>1.82776473926188E-3</v>
      </c>
      <c r="BX139" s="27">
        <f>opex_orig!BO139</f>
        <v>1.2334401553297099E-4</v>
      </c>
      <c r="BY139" s="27">
        <f>opex_orig!BP139</f>
        <v>4.3510606340114598E-4</v>
      </c>
      <c r="BZ139" s="27">
        <f>opex_orig!BQ139</f>
        <v>2.0580948192420399E-4</v>
      </c>
      <c r="CA139" s="27">
        <f>opex_orig!BR139</f>
        <v>1.7042890316509699E-3</v>
      </c>
      <c r="CB139" s="27">
        <f>opex_orig!BS139</f>
        <v>9.6921718949433599E-4</v>
      </c>
      <c r="CC139" s="27">
        <f>opex_orig!BT139</f>
        <v>3.8031371422002499E-4</v>
      </c>
      <c r="CD139" s="27">
        <f>opex_orig!BU139</f>
        <v>1.5169185065842599E-4</v>
      </c>
      <c r="CE139" s="27">
        <f>opex_orig!BV139</f>
        <v>1.5169185065842699E-4</v>
      </c>
      <c r="CF139" s="27">
        <f>opex_orig!BW139</f>
        <v>1.3569121697856799E-3</v>
      </c>
      <c r="CG139" s="27">
        <f>opex_orig!BX139</f>
        <v>1.6135417053105101E-5</v>
      </c>
      <c r="CH139" s="27">
        <f>opex_orig!BY139</f>
        <v>7.1914509364717402E-6</v>
      </c>
      <c r="CI139" s="27">
        <f>opex_orig!BZ139</f>
        <v>5.4010799999999997E-4</v>
      </c>
      <c r="CJ139" s="27">
        <f>opex_orig!CA139</f>
        <v>2.38247E-4</v>
      </c>
      <c r="CK139" s="27">
        <f>opex_orig!CB139</f>
        <v>1.8304899999999999E-4</v>
      </c>
      <c r="CL139" s="27">
        <f>opex_orig!CC139</f>
        <v>5.4779799999999995E-4</v>
      </c>
      <c r="CM139" s="27">
        <f>opex_orig!CD139</f>
        <v>1.4375639999999999E-3</v>
      </c>
      <c r="CN139" s="27">
        <f>opex_orig!CE139</f>
        <v>3.571046E-3</v>
      </c>
      <c r="CO139" s="27">
        <f>opex_orig!CF139</f>
        <v>4.9213600000000001E-4</v>
      </c>
      <c r="CP139" s="27">
        <f>opex_orig!CG139</f>
        <v>1.7660199999999999E-4</v>
      </c>
    </row>
    <row r="140" spans="1:94" x14ac:dyDescent="0.25">
      <c r="A140" s="5" t="s">
        <v>271</v>
      </c>
      <c r="B140" s="2" t="s">
        <v>270</v>
      </c>
      <c r="C140" s="1" t="s">
        <v>335</v>
      </c>
      <c r="D140" s="188">
        <f>opex_orig!D140</f>
        <v>1.64289E-4</v>
      </c>
      <c r="E140" s="188">
        <f>opex_orig!E140</f>
        <v>3.0300000000000001E-5</v>
      </c>
      <c r="F140" s="188">
        <f>opex_orig!F140</f>
        <v>3.7599999999999999E-5</v>
      </c>
      <c r="G140" s="188">
        <f>opex_orig!G140</f>
        <v>2.7300000000000001E-6</v>
      </c>
      <c r="H140" s="188">
        <f>opex_orig!H140</f>
        <v>6.1700000000000002E-6</v>
      </c>
      <c r="I140" s="188">
        <f>opex_orig!I140</f>
        <v>4.6600000000000001E-5</v>
      </c>
      <c r="J140" s="188">
        <f>opex_orig!J140</f>
        <v>1.0724E-4</v>
      </c>
      <c r="K140" s="188">
        <f>opex_orig!K140</f>
        <v>7.0899999999999999E-6</v>
      </c>
      <c r="L140" s="188">
        <f>opex_orig!L140</f>
        <v>5.77E-5</v>
      </c>
      <c r="M140" s="188">
        <f>opex_orig!M140</f>
        <v>2.1648500000000001E-4</v>
      </c>
      <c r="N140" s="188">
        <f>opex_orig!N140</f>
        <v>1.96498E-4</v>
      </c>
      <c r="O140" s="188">
        <f>opex_orig!O140</f>
        <v>2.24513E-4</v>
      </c>
      <c r="P140" s="188">
        <f>opex_orig!P140</f>
        <v>7.1500000000000003E-5</v>
      </c>
      <c r="Q140" s="188">
        <f>opex_orig!Q140</f>
        <v>9.7399999999999999E-6</v>
      </c>
      <c r="R140" s="188">
        <f>opex_orig!R140</f>
        <v>1.8300000000000001E-5</v>
      </c>
      <c r="S140" s="188">
        <f>opex_orig!S140</f>
        <v>6.3E-5</v>
      </c>
      <c r="T140" s="188">
        <f>opex_orig!T140</f>
        <v>6.9099999999999999E-5</v>
      </c>
      <c r="U140" s="188">
        <f>opex_orig!U140</f>
        <v>4.99E-5</v>
      </c>
      <c r="V140" s="188">
        <f>opex_orig!V140</f>
        <v>6.4300000000000004E-5</v>
      </c>
      <c r="W140" s="188">
        <f>opex_orig!W140</f>
        <v>1.5815299999999999E-4</v>
      </c>
      <c r="X140" s="188">
        <f>opex_orig!X140</f>
        <v>3.4775300000000002E-4</v>
      </c>
      <c r="Y140" s="188">
        <f>opex_orig!Y140</f>
        <v>1.03E-5</v>
      </c>
      <c r="Z140" s="188">
        <f>opex_orig!Z140</f>
        <v>8.4800000000000001E-5</v>
      </c>
      <c r="AA140" s="188">
        <f>opex_orig!AA140</f>
        <v>3.79E-5</v>
      </c>
      <c r="AB140" s="188">
        <f>opex_orig!$AB140</f>
        <v>7.7391153840255593E-6</v>
      </c>
      <c r="AC140" s="188">
        <f>opex_orig!$AB140</f>
        <v>7.7391153840255593E-6</v>
      </c>
      <c r="AD140" s="188">
        <f>opex_orig!$AB140</f>
        <v>7.7391153840255593E-6</v>
      </c>
      <c r="AE140" s="188">
        <f>opex_orig!$AC140</f>
        <v>8.1167824764465197E-5</v>
      </c>
      <c r="AF140" s="188">
        <f>opex_orig!$AD140</f>
        <v>6.0249276851774801E-5</v>
      </c>
      <c r="AG140" s="188">
        <f>opex_orig!$AD140</f>
        <v>6.0249276851774801E-5</v>
      </c>
      <c r="AH140" s="188">
        <f>opex_orig!$AD140</f>
        <v>6.0249276851774801E-5</v>
      </c>
      <c r="AI140" s="188">
        <f>opex_orig!AE140</f>
        <v>5.3499999999999999E-5</v>
      </c>
      <c r="AJ140" s="188">
        <f>opex_orig!AF140</f>
        <v>2.26608E-4</v>
      </c>
      <c r="AK140" s="188">
        <f>opex_orig!AG140</f>
        <v>4.5200000000000001E-5</v>
      </c>
      <c r="AL140" s="188">
        <f>opex_orig!AH140</f>
        <v>1.2500000000000001E-5</v>
      </c>
      <c r="AM140" s="188">
        <f>opex_orig!AI140</f>
        <v>2.5899999999999999E-5</v>
      </c>
      <c r="AN140" s="188">
        <f>opex_orig!AJ140</f>
        <v>2.2500000000000001E-5</v>
      </c>
      <c r="AO140" s="188">
        <f>opex_orig!AK140</f>
        <v>2.19E-5</v>
      </c>
      <c r="AP140" s="188">
        <f>opex_orig!$AL140</f>
        <v>2.24671836341656E-5</v>
      </c>
      <c r="AQ140" s="188">
        <f>opex_orig!$AL140</f>
        <v>2.24671836341656E-5</v>
      </c>
      <c r="AR140" s="188">
        <f>opex_orig!$AL140</f>
        <v>2.24671836341656E-5</v>
      </c>
      <c r="AS140" s="188">
        <f>opex_orig!$AM140</f>
        <v>2.2997510643762799E-5</v>
      </c>
      <c r="AT140" s="188">
        <f>opex_orig!AN140</f>
        <v>3.5299999999999997E-5</v>
      </c>
      <c r="AU140" s="188">
        <f>opex_orig!$AO140</f>
        <v>1.20258121022864E-4</v>
      </c>
      <c r="AV140" s="188">
        <f>opex_orig!$AO140</f>
        <v>1.20258121022864E-4</v>
      </c>
      <c r="AW140" s="188">
        <f>opex_orig!$AO140</f>
        <v>1.20258121022864E-4</v>
      </c>
      <c r="AX140" s="188">
        <f>opex_orig!$AP140</f>
        <v>1.22085882460346E-4</v>
      </c>
      <c r="AY140" s="188">
        <f>opex_orig!AQ140</f>
        <v>3.1442599999999997E-4</v>
      </c>
      <c r="AZ140" s="188">
        <f>opex_orig!AR140</f>
        <v>0</v>
      </c>
      <c r="BA140" s="188">
        <f>opex_orig!AS140</f>
        <v>8.8999999999999995E-5</v>
      </c>
      <c r="BB140" s="188">
        <f>opex_orig!AT140</f>
        <v>8.7700000000000004E-5</v>
      </c>
      <c r="BC140" s="188">
        <f>opex_orig!AU140</f>
        <v>1.0200000000000001E-5</v>
      </c>
      <c r="BD140" s="188">
        <f>opex_orig!AV140</f>
        <v>7.1999999999999997E-6</v>
      </c>
      <c r="BE140" s="188">
        <f>opex_orig!AW140</f>
        <v>8.14E-5</v>
      </c>
      <c r="BF140" s="188">
        <f>opex_orig!AX140</f>
        <v>0</v>
      </c>
      <c r="BG140" s="188">
        <f>opex_orig!AY140</f>
        <v>3.4490200000000001E-4</v>
      </c>
      <c r="BH140" s="188">
        <f>opex_orig!AZ140</f>
        <v>0</v>
      </c>
      <c r="BI140" s="188">
        <f>opex_orig!BA140</f>
        <v>1.1314100000000001E-4</v>
      </c>
      <c r="BJ140" s="188">
        <f>opex_orig!BB140</f>
        <v>3.7499999999999997E-5</v>
      </c>
      <c r="BK140" s="188">
        <f>opex_orig!BC140</f>
        <v>1.0773E-4</v>
      </c>
      <c r="BL140" s="188">
        <f>opex_orig!BD140</f>
        <v>1.7532800000000001E-4</v>
      </c>
      <c r="BM140" s="188">
        <f>opex_orig!BE140</f>
        <v>1.14967E-4</v>
      </c>
      <c r="BN140" s="188">
        <f>opex_orig!BF140</f>
        <v>5.5800000000000001E-5</v>
      </c>
      <c r="BO140" s="188">
        <f>opex_orig!BG140</f>
        <v>1.43425E-4</v>
      </c>
      <c r="BP140" s="188">
        <f>opex_orig!$BH140</f>
        <v>8.7925245681687799E-5</v>
      </c>
      <c r="BQ140" s="188">
        <f>opex_orig!$BH140</f>
        <v>8.7925245681687799E-5</v>
      </c>
      <c r="BR140" s="188">
        <f>opex_orig!BI140</f>
        <v>9.7100000000000002E-5</v>
      </c>
      <c r="BS140" s="188">
        <f>opex_orig!BJ140</f>
        <v>1.3857999999999999E-4</v>
      </c>
      <c r="BT140" s="188">
        <f>opex_orig!BK140</f>
        <v>1.25535E-4</v>
      </c>
      <c r="BU140" s="188">
        <f>opex_orig!BL140</f>
        <v>0</v>
      </c>
      <c r="BV140" s="27">
        <f>opex_orig!BM140</f>
        <v>1.2765948808514399E-4</v>
      </c>
      <c r="BW140" s="27">
        <f>opex_orig!BN140</f>
        <v>2.7490565031252099E-4</v>
      </c>
      <c r="BX140" s="27">
        <f>opex_orig!BO140</f>
        <v>2.9668935543952201E-5</v>
      </c>
      <c r="BY140" s="27">
        <f>opex_orig!BP140</f>
        <v>3.8887045338731097E-5</v>
      </c>
      <c r="BZ140" s="27">
        <f>opex_orig!BQ140</f>
        <v>3.0466651449050099E-5</v>
      </c>
      <c r="CA140" s="27">
        <f>opex_orig!BR140</f>
        <v>2.3599667497067599E-6</v>
      </c>
      <c r="CB140" s="27">
        <f>opex_orig!BS140</f>
        <v>1.6896071231978701E-4</v>
      </c>
      <c r="CC140" s="27">
        <f>opex_orig!BT140</f>
        <v>1.0964689490564E-5</v>
      </c>
      <c r="CD140" s="27">
        <f>opex_orig!BU140</f>
        <v>8.2993699253959595E-5</v>
      </c>
      <c r="CE140" s="27">
        <f>opex_orig!BV140</f>
        <v>8.2993699253959799E-5</v>
      </c>
      <c r="CF140" s="27">
        <f>opex_orig!BW140</f>
        <v>4.8817150702566503E-3</v>
      </c>
      <c r="CG140" s="27">
        <f>opex_orig!BX140</f>
        <v>3.2172258733394502E-6</v>
      </c>
      <c r="CH140" s="27">
        <f>opex_orig!BY140</f>
        <v>2.7845697410377499E-6</v>
      </c>
      <c r="CI140" s="27">
        <f>opex_orig!BZ140</f>
        <v>1.19033E-4</v>
      </c>
      <c r="CJ140" s="27">
        <f>opex_orig!CA140</f>
        <v>8.8399999999999994E-5</v>
      </c>
      <c r="CK140" s="27">
        <f>opex_orig!CB140</f>
        <v>6.9099999999999999E-5</v>
      </c>
      <c r="CL140" s="27">
        <f>opex_orig!CC140</f>
        <v>1.73893E-4</v>
      </c>
      <c r="CM140" s="27">
        <f>opex_orig!CD140</f>
        <v>4.3497300000000001E-4</v>
      </c>
      <c r="CN140" s="27">
        <f>opex_orig!CE140</f>
        <v>2.11895E-4</v>
      </c>
      <c r="CO140" s="27">
        <f>opex_orig!CF140</f>
        <v>1.6209800000000001E-4</v>
      </c>
      <c r="CP140" s="27">
        <f>opex_orig!CG140</f>
        <v>9.3200000000000002E-5</v>
      </c>
    </row>
    <row r="141" spans="1:94" x14ac:dyDescent="0.25">
      <c r="A141" s="5" t="s">
        <v>273</v>
      </c>
      <c r="B141" s="2" t="s">
        <v>272</v>
      </c>
      <c r="C141" s="1" t="s">
        <v>335</v>
      </c>
      <c r="D141" s="188">
        <f>opex_orig!D141</f>
        <v>1.45E-5</v>
      </c>
      <c r="E141" s="188">
        <f>opex_orig!E141</f>
        <v>5.3700000000000003E-6</v>
      </c>
      <c r="F141" s="188">
        <f>opex_orig!F141</f>
        <v>1.63E-5</v>
      </c>
      <c r="G141" s="188">
        <f>opex_orig!G141</f>
        <v>5.5899999999999996E-7</v>
      </c>
      <c r="H141" s="188">
        <f>opex_orig!H141</f>
        <v>7.8199999999999999E-7</v>
      </c>
      <c r="I141" s="188">
        <f>opex_orig!I141</f>
        <v>9.4599999999999992E-6</v>
      </c>
      <c r="J141" s="188">
        <f>opex_orig!J141</f>
        <v>2.69E-5</v>
      </c>
      <c r="K141" s="188">
        <f>opex_orig!K141</f>
        <v>1.0899999999999999E-6</v>
      </c>
      <c r="L141" s="188">
        <f>opex_orig!L141</f>
        <v>2.76E-5</v>
      </c>
      <c r="M141" s="188">
        <f>opex_orig!M141</f>
        <v>3.2400000000000001E-5</v>
      </c>
      <c r="N141" s="188">
        <f>opex_orig!N141</f>
        <v>1.6900000000000001E-5</v>
      </c>
      <c r="O141" s="188">
        <f>opex_orig!O141</f>
        <v>3.8999999999999999E-5</v>
      </c>
      <c r="P141" s="188">
        <f>opex_orig!P141</f>
        <v>2.4300000000000001E-5</v>
      </c>
      <c r="Q141" s="188">
        <f>opex_orig!Q141</f>
        <v>2.4700000000000001E-5</v>
      </c>
      <c r="R141" s="188">
        <f>opex_orig!R141</f>
        <v>7.1600000000000001E-6</v>
      </c>
      <c r="S141" s="188">
        <f>opex_orig!S141</f>
        <v>9.4199999999999996E-6</v>
      </c>
      <c r="T141" s="188">
        <f>opex_orig!T141</f>
        <v>1.0699999999999999E-5</v>
      </c>
      <c r="U141" s="188">
        <f>opex_orig!U141</f>
        <v>1.2999999999999999E-5</v>
      </c>
      <c r="V141" s="188">
        <f>opex_orig!V141</f>
        <v>1.3699999999999999E-5</v>
      </c>
      <c r="W141" s="188">
        <f>opex_orig!W141</f>
        <v>1.3200000000000001E-5</v>
      </c>
      <c r="X141" s="188">
        <f>opex_orig!X141</f>
        <v>1.7399999999999999E-5</v>
      </c>
      <c r="Y141" s="188">
        <f>opex_orig!Y141</f>
        <v>1.2999999999999999E-5</v>
      </c>
      <c r="Z141" s="188">
        <f>opex_orig!Z141</f>
        <v>4.2700000000000001E-5</v>
      </c>
      <c r="AA141" s="188">
        <f>opex_orig!AA141</f>
        <v>5.5000000000000002E-5</v>
      </c>
      <c r="AB141" s="188">
        <f>opex_orig!$AB141</f>
        <v>1.0000365215506399E-5</v>
      </c>
      <c r="AC141" s="188">
        <f>opex_orig!$AB141</f>
        <v>1.0000365215506399E-5</v>
      </c>
      <c r="AD141" s="188">
        <f>opex_orig!$AB141</f>
        <v>1.0000365215506399E-5</v>
      </c>
      <c r="AE141" s="188">
        <f>opex_orig!$AC141</f>
        <v>1.0308235224472701E-5</v>
      </c>
      <c r="AF141" s="188">
        <f>opex_orig!$AD141</f>
        <v>1.18728989322633E-5</v>
      </c>
      <c r="AG141" s="188">
        <f>opex_orig!$AD141</f>
        <v>1.18728989322633E-5</v>
      </c>
      <c r="AH141" s="188">
        <f>opex_orig!$AD141</f>
        <v>1.18728989322633E-5</v>
      </c>
      <c r="AI141" s="188">
        <f>opex_orig!AE141</f>
        <v>1.0499999999999999E-5</v>
      </c>
      <c r="AJ141" s="188">
        <f>opex_orig!AF141</f>
        <v>3.0836500000000001E-4</v>
      </c>
      <c r="AK141" s="188">
        <f>opex_orig!AG141</f>
        <v>9.1500000000000005E-6</v>
      </c>
      <c r="AL141" s="188">
        <f>opex_orig!AH141</f>
        <v>5.6699999999999999E-6</v>
      </c>
      <c r="AM141" s="188">
        <f>opex_orig!AI141</f>
        <v>6.6599999999999998E-6</v>
      </c>
      <c r="AN141" s="188">
        <f>opex_orig!AJ141</f>
        <v>5.5799999999999999E-6</v>
      </c>
      <c r="AO141" s="188">
        <f>opex_orig!AK141</f>
        <v>7.2599999999999999E-6</v>
      </c>
      <c r="AP141" s="188">
        <f>opex_orig!$AL141</f>
        <v>6.1988308567455897E-6</v>
      </c>
      <c r="AQ141" s="188">
        <f>opex_orig!$AL141</f>
        <v>6.1988308567455897E-6</v>
      </c>
      <c r="AR141" s="188">
        <f>opex_orig!$AL141</f>
        <v>6.1988308567455897E-6</v>
      </c>
      <c r="AS141" s="188">
        <f>opex_orig!$AM141</f>
        <v>5.7574081594838301E-6</v>
      </c>
      <c r="AT141" s="188">
        <f>opex_orig!AN141</f>
        <v>9.4199999999999996E-6</v>
      </c>
      <c r="AU141" s="188">
        <f>opex_orig!$AO141</f>
        <v>9.1599806739617094E-6</v>
      </c>
      <c r="AV141" s="188">
        <f>opex_orig!$AO141</f>
        <v>9.1599806739617094E-6</v>
      </c>
      <c r="AW141" s="188">
        <f>opex_orig!$AO141</f>
        <v>9.1599806739617094E-6</v>
      </c>
      <c r="AX141" s="188">
        <f>opex_orig!$AP141</f>
        <v>7.3244227061987001E-6</v>
      </c>
      <c r="AY141" s="188">
        <f>opex_orig!AQ141</f>
        <v>5.3100000000000003E-5</v>
      </c>
      <c r="AZ141" s="188">
        <f>opex_orig!AR141</f>
        <v>0</v>
      </c>
      <c r="BA141" s="188">
        <f>opex_orig!AS141</f>
        <v>7.5800000000000003E-6</v>
      </c>
      <c r="BB141" s="188">
        <f>opex_orig!AT141</f>
        <v>6.8199999999999999E-6</v>
      </c>
      <c r="BC141" s="188">
        <f>opex_orig!AU141</f>
        <v>1.8199999999999999E-6</v>
      </c>
      <c r="BD141" s="188">
        <f>opex_orig!AV141</f>
        <v>1.5200000000000001E-6</v>
      </c>
      <c r="BE141" s="188">
        <f>opex_orig!AW141</f>
        <v>4.5000000000000001E-6</v>
      </c>
      <c r="BF141" s="188">
        <f>opex_orig!AX141</f>
        <v>0</v>
      </c>
      <c r="BG141" s="188">
        <f>opex_orig!AY141</f>
        <v>1.2999999999999999E-5</v>
      </c>
      <c r="BH141" s="188">
        <f>opex_orig!AZ141</f>
        <v>0</v>
      </c>
      <c r="BI141" s="188">
        <f>opex_orig!BA141</f>
        <v>7.5599999999999996E-6</v>
      </c>
      <c r="BJ141" s="188">
        <f>opex_orig!BB141</f>
        <v>1.03E-5</v>
      </c>
      <c r="BK141" s="188">
        <f>opex_orig!BC141</f>
        <v>1.5099999999999999E-5</v>
      </c>
      <c r="BL141" s="188">
        <f>opex_orig!BD141</f>
        <v>2.8E-5</v>
      </c>
      <c r="BM141" s="188">
        <f>opex_orig!BE141</f>
        <v>3.01E-5</v>
      </c>
      <c r="BN141" s="188">
        <f>opex_orig!BF141</f>
        <v>9.2799999999999992E-6</v>
      </c>
      <c r="BO141" s="188">
        <f>opex_orig!BG141</f>
        <v>3.6699999999999998E-5</v>
      </c>
      <c r="BP141" s="188">
        <f>opex_orig!$BH141</f>
        <v>9.9273457764468902E-6</v>
      </c>
      <c r="BQ141" s="188">
        <f>opex_orig!$BH141</f>
        <v>9.9273457764468902E-6</v>
      </c>
      <c r="BR141" s="188">
        <f>opex_orig!BI141</f>
        <v>7.0899999999999999E-6</v>
      </c>
      <c r="BS141" s="188">
        <f>opex_orig!BJ141</f>
        <v>2.1100000000000001E-5</v>
      </c>
      <c r="BT141" s="188">
        <f>opex_orig!BK141</f>
        <v>1.31E-5</v>
      </c>
      <c r="BU141" s="188">
        <f>opex_orig!BL141</f>
        <v>0</v>
      </c>
      <c r="BV141" s="27">
        <f>opex_orig!BM141</f>
        <v>1.16189935261666E-5</v>
      </c>
      <c r="BW141" s="27">
        <f>opex_orig!BN141</f>
        <v>2.87214870720668E-5</v>
      </c>
      <c r="BX141" s="27">
        <f>opex_orig!BO141</f>
        <v>6.19314847993937E-6</v>
      </c>
      <c r="BY141" s="27">
        <f>opex_orig!BP141</f>
        <v>8.7057018189532508E-6</v>
      </c>
      <c r="BZ141" s="27">
        <f>opex_orig!BQ141</f>
        <v>9.2110907310636403E-6</v>
      </c>
      <c r="CA141" s="27">
        <f>opex_orig!BR141</f>
        <v>7.69798570580495E-7</v>
      </c>
      <c r="CB141" s="27">
        <f>opex_orig!BS141</f>
        <v>1.1991599944111699E-5</v>
      </c>
      <c r="CC141" s="27">
        <f>opex_orig!BT141</f>
        <v>3.5432301612228902E-6</v>
      </c>
      <c r="CD141" s="27">
        <f>opex_orig!BU141</f>
        <v>1.4372908389005E-5</v>
      </c>
      <c r="CE141" s="27">
        <f>opex_orig!BV141</f>
        <v>1.4372908389005E-5</v>
      </c>
      <c r="CF141" s="27">
        <f>opex_orig!BW141</f>
        <v>1.1017644264690499E-5</v>
      </c>
      <c r="CG141" s="27">
        <f>opex_orig!BX141</f>
        <v>6.8123674395350903E-7</v>
      </c>
      <c r="CH141" s="27">
        <f>opex_orig!BY141</f>
        <v>1.9845224535434202E-6</v>
      </c>
      <c r="CI141" s="27">
        <f>opex_orig!BZ141</f>
        <v>1.8E-5</v>
      </c>
      <c r="CJ141" s="27">
        <f>opex_orig!CA141</f>
        <v>1.9599999999999999E-5</v>
      </c>
      <c r="CK141" s="27">
        <f>opex_orig!CB141</f>
        <v>1.5699999999999999E-5</v>
      </c>
      <c r="CL141" s="27">
        <f>opex_orig!CC141</f>
        <v>9.6299999999999996E-5</v>
      </c>
      <c r="CM141" s="27">
        <f>opex_orig!CD141</f>
        <v>6.0900000000000003E-5</v>
      </c>
      <c r="CN141" s="27">
        <f>opex_orig!CE141</f>
        <v>6.1400000000000002E-5</v>
      </c>
      <c r="CO141" s="27">
        <f>opex_orig!CF141</f>
        <v>1.9798299999999999E-4</v>
      </c>
      <c r="CP141" s="27">
        <f>opex_orig!CG141</f>
        <v>1.13E-5</v>
      </c>
    </row>
    <row r="142" spans="1:94" x14ac:dyDescent="0.25">
      <c r="A142" s="6" t="s">
        <v>275</v>
      </c>
      <c r="B142" s="2" t="s">
        <v>274</v>
      </c>
      <c r="C142" s="1" t="s">
        <v>335</v>
      </c>
      <c r="D142" s="188">
        <f>opex_orig!D142</f>
        <v>1.3050900000000001E-4</v>
      </c>
      <c r="E142" s="188">
        <f>opex_orig!E142</f>
        <v>1.1476699999999999E-4</v>
      </c>
      <c r="F142" s="188">
        <f>opex_orig!F142</f>
        <v>2.41E-5</v>
      </c>
      <c r="G142" s="188">
        <f>opex_orig!G142</f>
        <v>5.3900000000000001E-6</v>
      </c>
      <c r="H142" s="188">
        <f>opex_orig!H142</f>
        <v>9.3300000000000005E-6</v>
      </c>
      <c r="I142" s="188">
        <f>opex_orig!I142</f>
        <v>1.0521100000000001E-4</v>
      </c>
      <c r="J142" s="188">
        <f>opex_orig!J142</f>
        <v>1.33552E-4</v>
      </c>
      <c r="K142" s="188">
        <f>opex_orig!K142</f>
        <v>1.49E-5</v>
      </c>
      <c r="L142" s="188">
        <f>opex_orig!L142</f>
        <v>1.2447200000000001E-4</v>
      </c>
      <c r="M142" s="188">
        <f>opex_orig!M142</f>
        <v>3.5459899999999998E-4</v>
      </c>
      <c r="N142" s="188">
        <f>opex_orig!N142</f>
        <v>6.80706E-4</v>
      </c>
      <c r="O142" s="188">
        <f>opex_orig!O142</f>
        <v>1.9991099999999999E-4</v>
      </c>
      <c r="P142" s="188">
        <f>opex_orig!P142</f>
        <v>1.35005E-4</v>
      </c>
      <c r="Q142" s="188">
        <f>opex_orig!Q142</f>
        <v>4.5399999999999999E-5</v>
      </c>
      <c r="R142" s="188">
        <f>opex_orig!R142</f>
        <v>1.42E-5</v>
      </c>
      <c r="S142" s="188">
        <f>opex_orig!S142</f>
        <v>4.7200000000000002E-5</v>
      </c>
      <c r="T142" s="188">
        <f>opex_orig!T142</f>
        <v>3.8000000000000002E-5</v>
      </c>
      <c r="U142" s="188">
        <f>opex_orig!U142</f>
        <v>3.1648000000000001E-4</v>
      </c>
      <c r="V142" s="188">
        <f>opex_orig!V142</f>
        <v>4.5941999999999999E-4</v>
      </c>
      <c r="W142" s="188">
        <f>opex_orig!W142</f>
        <v>9.1899999999999998E-5</v>
      </c>
      <c r="X142" s="188">
        <f>opex_orig!X142</f>
        <v>4.1900000000000002E-5</v>
      </c>
      <c r="Y142" s="188">
        <f>opex_orig!Y142</f>
        <v>3.79E-5</v>
      </c>
      <c r="Z142" s="188">
        <f>opex_orig!Z142</f>
        <v>1.1189E-4</v>
      </c>
      <c r="AA142" s="188">
        <f>opex_orig!AA142</f>
        <v>4.35E-5</v>
      </c>
      <c r="AB142" s="188">
        <f>opex_orig!$AB142</f>
        <v>2.75761222642569E-5</v>
      </c>
      <c r="AC142" s="188">
        <f>opex_orig!$AB142</f>
        <v>2.75761222642569E-5</v>
      </c>
      <c r="AD142" s="188">
        <f>opex_orig!$AB142</f>
        <v>2.75761222642569E-5</v>
      </c>
      <c r="AE142" s="188">
        <f>opex_orig!$AC142</f>
        <v>2.4280199962420398E-3</v>
      </c>
      <c r="AF142" s="188">
        <f>opex_orig!$AD142</f>
        <v>7.6919425609610001E-4</v>
      </c>
      <c r="AG142" s="188">
        <f>opex_orig!$AD142</f>
        <v>7.6919425609610001E-4</v>
      </c>
      <c r="AH142" s="188">
        <f>opex_orig!$AD142</f>
        <v>7.6919425609610001E-4</v>
      </c>
      <c r="AI142" s="188">
        <f>opex_orig!AE142</f>
        <v>6.0639299999999999E-4</v>
      </c>
      <c r="AJ142" s="188">
        <f>opex_orig!AF142</f>
        <v>2.11461E-4</v>
      </c>
      <c r="AK142" s="188">
        <f>opex_orig!AG142</f>
        <v>3.96E-5</v>
      </c>
      <c r="AL142" s="188">
        <f>opex_orig!AH142</f>
        <v>4.7500000000000003E-5</v>
      </c>
      <c r="AM142" s="188">
        <f>opex_orig!AI142</f>
        <v>5.3999999999999998E-5</v>
      </c>
      <c r="AN142" s="188">
        <f>opex_orig!AJ142</f>
        <v>8.2399999999999997E-5</v>
      </c>
      <c r="AO142" s="188">
        <f>opex_orig!AK142</f>
        <v>5.0500000000000001E-5</v>
      </c>
      <c r="AP142" s="284">
        <f>opex_concordance!M426</f>
        <v>1.2337059530660499E-4</v>
      </c>
      <c r="AQ142" s="284">
        <f>opex_concordance!M480</f>
        <v>8.2020101413530735E-5</v>
      </c>
      <c r="AR142" s="284">
        <f>opex_concordance!M534</f>
        <v>0</v>
      </c>
      <c r="AS142" s="188">
        <f>opex_orig!$AM142</f>
        <v>4.98469287170518E-5</v>
      </c>
      <c r="AT142" s="188">
        <f>opex_orig!AN142</f>
        <v>1.4221000000000001E-4</v>
      </c>
      <c r="AU142" s="188">
        <f>opex_orig!$AO142</f>
        <v>1.6969731242386801E-4</v>
      </c>
      <c r="AV142" s="188">
        <f>opex_orig!$AO142</f>
        <v>1.6969731242386801E-4</v>
      </c>
      <c r="AW142" s="188">
        <f>opex_orig!$AO142</f>
        <v>1.6969731242386801E-4</v>
      </c>
      <c r="AX142" s="188">
        <f>opex_orig!$AP142</f>
        <v>2.8146858651635702E-4</v>
      </c>
      <c r="AY142" s="188">
        <f>opex_orig!AQ142</f>
        <v>3.0149400000000002E-4</v>
      </c>
      <c r="AZ142" s="188">
        <f>opex_orig!AR142</f>
        <v>0</v>
      </c>
      <c r="BA142" s="188">
        <f>opex_orig!AS142</f>
        <v>2.02401E-4</v>
      </c>
      <c r="BB142" s="188">
        <f>opex_orig!AT142</f>
        <v>1.4061999999999999E-4</v>
      </c>
      <c r="BC142" s="188">
        <f>opex_orig!AU142</f>
        <v>2.27E-5</v>
      </c>
      <c r="BD142" s="188">
        <f>opex_orig!AV142</f>
        <v>1.77E-5</v>
      </c>
      <c r="BE142" s="188">
        <f>opex_orig!AW142</f>
        <v>2.0933200000000001E-4</v>
      </c>
      <c r="BF142" s="188">
        <f>opex_orig!AX142</f>
        <v>0</v>
      </c>
      <c r="BG142" s="188">
        <f>opex_orig!AY142</f>
        <v>1.05189E-4</v>
      </c>
      <c r="BH142" s="188">
        <f>opex_orig!AZ142</f>
        <v>0</v>
      </c>
      <c r="BI142" s="188">
        <f>opex_orig!BA142</f>
        <v>1.4192799999999999E-4</v>
      </c>
      <c r="BJ142" s="188">
        <f>opex_orig!BB142</f>
        <v>2.0523300000000001E-4</v>
      </c>
      <c r="BK142" s="188">
        <f>opex_orig!BC142</f>
        <v>3.3018499999999998E-4</v>
      </c>
      <c r="BL142" s="188">
        <f>opex_orig!BD142</f>
        <v>2.2500000000000001E-5</v>
      </c>
      <c r="BM142" s="188">
        <f>opex_orig!BE142</f>
        <v>5.1900000000000001E-5</v>
      </c>
      <c r="BN142" s="188">
        <f>opex_orig!BF142</f>
        <v>1.84E-5</v>
      </c>
      <c r="BO142" s="188">
        <f>opex_orig!BG142</f>
        <v>8.9599999999999996E-5</v>
      </c>
      <c r="BP142" s="188">
        <f>opex_orig!$BH142</f>
        <v>1.1153814470769501E-4</v>
      </c>
      <c r="BQ142" s="188">
        <f>opex_orig!$BH142</f>
        <v>1.1153814470769501E-4</v>
      </c>
      <c r="BR142" s="188">
        <f>opex_orig!BI142</f>
        <v>1.57243E-4</v>
      </c>
      <c r="BS142" s="188">
        <f>opex_orig!BJ142</f>
        <v>6.6600000000000006E-5</v>
      </c>
      <c r="BT142" s="188">
        <f>opex_orig!BK142</f>
        <v>2.7460800000000002E-4</v>
      </c>
      <c r="BU142" s="188">
        <f>opex_orig!BL142</f>
        <v>0</v>
      </c>
      <c r="BV142" s="27">
        <f>opex_orig!BM142</f>
        <v>1.3237033072663399E-4</v>
      </c>
      <c r="BW142" s="27">
        <f>opex_orig!BN142</f>
        <v>6.7235385602436803E-4</v>
      </c>
      <c r="BX142" s="27">
        <f>opex_orig!BO142</f>
        <v>1.3549451638241E-4</v>
      </c>
      <c r="BY142" s="27">
        <f>opex_orig!BP142</f>
        <v>5.63499419032785E-4</v>
      </c>
      <c r="BZ142" s="27">
        <f>opex_orig!BQ142</f>
        <v>6.5153000748886905E-5</v>
      </c>
      <c r="CA142" s="27">
        <f>opex_orig!BR142</f>
        <v>5.8907887144913697E-6</v>
      </c>
      <c r="CB142" s="27">
        <f>opex_orig!BS142</f>
        <v>1.5945601830570999E-4</v>
      </c>
      <c r="CC142" s="27">
        <f>opex_orig!BT142</f>
        <v>7.1595463043936703E-4</v>
      </c>
      <c r="CD142" s="27">
        <f>opex_orig!BU142</f>
        <v>7.3705015390773E-6</v>
      </c>
      <c r="CE142" s="27">
        <f>opex_orig!BV142</f>
        <v>7.3705015390773E-6</v>
      </c>
      <c r="CF142" s="27">
        <f>opex_orig!BW142</f>
        <v>1.47775754032937E-6</v>
      </c>
      <c r="CG142" s="27">
        <f>opex_orig!BX142</f>
        <v>7.1553735575872901E-6</v>
      </c>
      <c r="CH142" s="27">
        <f>opex_orig!BY142</f>
        <v>1.7497947856879199E-6</v>
      </c>
      <c r="CI142" s="27">
        <f>opex_orig!BZ142</f>
        <v>3.6502399999999998E-4</v>
      </c>
      <c r="CJ142" s="27">
        <f>opex_orig!CA142</f>
        <v>2.3028E-4</v>
      </c>
      <c r="CK142" s="27">
        <f>opex_orig!CB142</f>
        <v>1.7958699999999999E-4</v>
      </c>
      <c r="CL142" s="27">
        <f>opex_orig!CC142</f>
        <v>3.2032700000000002E-4</v>
      </c>
      <c r="CM142" s="27">
        <f>opex_orig!CD142</f>
        <v>1.7668800000000001E-4</v>
      </c>
      <c r="CN142" s="27">
        <f>opex_orig!CE142</f>
        <v>1.5440429999999999E-3</v>
      </c>
      <c r="CO142" s="27">
        <f>opex_orig!CF142</f>
        <v>1.1720199999999999E-4</v>
      </c>
      <c r="CP142" s="27">
        <f>opex_orig!CG142</f>
        <v>4.5899999999999998E-5</v>
      </c>
    </row>
    <row r="143" spans="1:94" x14ac:dyDescent="0.25">
      <c r="A143" s="6" t="s">
        <v>277</v>
      </c>
      <c r="B143" s="2" t="s">
        <v>276</v>
      </c>
      <c r="C143" s="1" t="s">
        <v>335</v>
      </c>
      <c r="D143" s="188">
        <f>opex_orig!D143</f>
        <v>1.10784E-4</v>
      </c>
      <c r="E143" s="188">
        <f>opex_orig!E143</f>
        <v>1.19021E-4</v>
      </c>
      <c r="F143" s="188">
        <f>opex_orig!F143</f>
        <v>2.3200000000000001E-5</v>
      </c>
      <c r="G143" s="188">
        <f>opex_orig!G143</f>
        <v>5.3199999999999999E-6</v>
      </c>
      <c r="H143" s="188">
        <f>opex_orig!H143</f>
        <v>9.1300000000000007E-6</v>
      </c>
      <c r="I143" s="188">
        <f>opex_orig!I143</f>
        <v>1.09349E-4</v>
      </c>
      <c r="J143" s="188">
        <f>opex_orig!J143</f>
        <v>1.14533E-4</v>
      </c>
      <c r="K143" s="188">
        <f>opex_orig!K143</f>
        <v>1.4600000000000001E-5</v>
      </c>
      <c r="L143" s="188">
        <f>opex_orig!L143</f>
        <v>1.3217099999999999E-4</v>
      </c>
      <c r="M143" s="188">
        <f>opex_orig!M143</f>
        <v>3.8090200000000002E-4</v>
      </c>
      <c r="N143" s="188">
        <f>opex_orig!N143</f>
        <v>7.2055100000000005E-4</v>
      </c>
      <c r="O143" s="188">
        <f>opex_orig!O143</f>
        <v>1.9455199999999999E-4</v>
      </c>
      <c r="P143" s="188">
        <f>opex_orig!P143</f>
        <v>1.3510099999999999E-4</v>
      </c>
      <c r="Q143" s="188">
        <f>opex_orig!Q143</f>
        <v>4.1399999999999997E-5</v>
      </c>
      <c r="R143" s="188">
        <f>opex_orig!R143</f>
        <v>1.2300000000000001E-5</v>
      </c>
      <c r="S143" s="188">
        <f>opex_orig!S143</f>
        <v>4.4700000000000002E-5</v>
      </c>
      <c r="T143" s="188">
        <f>opex_orig!T143</f>
        <v>3.43E-5</v>
      </c>
      <c r="U143" s="188">
        <f>opex_orig!U143</f>
        <v>3.2673799999999997E-4</v>
      </c>
      <c r="V143" s="188">
        <f>opex_orig!V143</f>
        <v>4.8804000000000002E-4</v>
      </c>
      <c r="W143" s="188">
        <f>opex_orig!W143</f>
        <v>9.5600000000000006E-5</v>
      </c>
      <c r="X143" s="188">
        <f>opex_orig!X143</f>
        <v>3.9499999999999998E-5</v>
      </c>
      <c r="Y143" s="188">
        <f>opex_orig!Y143</f>
        <v>3.5599999999999998E-5</v>
      </c>
      <c r="Z143" s="188">
        <f>opex_orig!Z143</f>
        <v>1.09067E-4</v>
      </c>
      <c r="AA143" s="188">
        <f>opex_orig!AA143</f>
        <v>3.9900000000000001E-5</v>
      </c>
      <c r="AB143" s="188">
        <f>opex_orig!$AB143</f>
        <v>3.2498482502795903E-5</v>
      </c>
      <c r="AC143" s="188">
        <f>opex_orig!$AB143</f>
        <v>3.2498482502795903E-5</v>
      </c>
      <c r="AD143" s="188">
        <f>opex_orig!$AB143</f>
        <v>3.2498482502795903E-5</v>
      </c>
      <c r="AE143" s="188">
        <f>opex_orig!$AC143</f>
        <v>2.5880470555588102E-3</v>
      </c>
      <c r="AF143" s="188">
        <f>opex_orig!$AD143</f>
        <v>8.3627912108958898E-4</v>
      </c>
      <c r="AG143" s="188">
        <f>opex_orig!$AD143</f>
        <v>8.3627912108958898E-4</v>
      </c>
      <c r="AH143" s="188">
        <f>opex_orig!$AD143</f>
        <v>8.3627912108958898E-4</v>
      </c>
      <c r="AI143" s="188">
        <f>opex_orig!AE143</f>
        <v>6.6561099999999998E-4</v>
      </c>
      <c r="AJ143" s="188">
        <f>opex_orig!AF143</f>
        <v>2.1672799999999999E-4</v>
      </c>
      <c r="AK143" s="188">
        <f>opex_orig!AG143</f>
        <v>3.8399999999999998E-5</v>
      </c>
      <c r="AL143" s="188">
        <f>opex_orig!AH143</f>
        <v>4.8000000000000001E-5</v>
      </c>
      <c r="AM143" s="188">
        <f>opex_orig!AI143</f>
        <v>5.1799999999999999E-5</v>
      </c>
      <c r="AN143" s="188">
        <f>opex_orig!AJ143</f>
        <v>8.5000000000000006E-5</v>
      </c>
      <c r="AO143" s="188">
        <f>opex_orig!AK143</f>
        <v>5.13E-5</v>
      </c>
      <c r="AP143" s="284">
        <f>opex_concordance!M427</f>
        <v>1.2555797471430999E-4</v>
      </c>
      <c r="AQ143" s="284">
        <f>opex_concordance!M481</f>
        <v>8.3474330279039219E-5</v>
      </c>
      <c r="AR143" s="284">
        <f>opex_concordance!M535</f>
        <v>0</v>
      </c>
      <c r="AS143" s="188">
        <f>opex_orig!$AM143</f>
        <v>4.9649270236720098E-5</v>
      </c>
      <c r="AT143" s="188">
        <f>opex_orig!AN143</f>
        <v>1.4533800000000001E-4</v>
      </c>
      <c r="AU143" s="188">
        <f>opex_orig!$AO143</f>
        <v>1.67055965540329E-4</v>
      </c>
      <c r="AV143" s="188">
        <f>opex_orig!$AO143</f>
        <v>1.67055965540329E-4</v>
      </c>
      <c r="AW143" s="188">
        <f>opex_orig!$AO143</f>
        <v>1.67055965540329E-4</v>
      </c>
      <c r="AX143" s="188">
        <f>opex_orig!$AP143</f>
        <v>2.8115435453907002E-4</v>
      </c>
      <c r="AY143" s="188">
        <f>opex_orig!AQ143</f>
        <v>3.0549499999999997E-4</v>
      </c>
      <c r="AZ143" s="188">
        <f>opex_orig!AR143</f>
        <v>0</v>
      </c>
      <c r="BA143" s="188">
        <f>opex_orig!AS143</f>
        <v>1.9642999999999999E-4</v>
      </c>
      <c r="BB143" s="188">
        <f>opex_orig!AT143</f>
        <v>1.3140999999999999E-4</v>
      </c>
      <c r="BC143" s="188">
        <f>opex_orig!AU143</f>
        <v>2.44E-5</v>
      </c>
      <c r="BD143" s="188">
        <f>opex_orig!AV143</f>
        <v>1.9400000000000001E-5</v>
      </c>
      <c r="BE143" s="188">
        <f>opex_orig!AW143</f>
        <v>2.1126200000000001E-4</v>
      </c>
      <c r="BF143" s="188">
        <f>opex_orig!AX143</f>
        <v>0</v>
      </c>
      <c r="BG143" s="188">
        <f>opex_orig!AY143</f>
        <v>9.4699999999999998E-5</v>
      </c>
      <c r="BH143" s="188">
        <f>opex_orig!AZ143</f>
        <v>0</v>
      </c>
      <c r="BI143" s="188">
        <f>opex_orig!BA143</f>
        <v>1.4771900000000001E-4</v>
      </c>
      <c r="BJ143" s="188">
        <f>opex_orig!BB143</f>
        <v>2.2347600000000001E-4</v>
      </c>
      <c r="BK143" s="188">
        <f>opex_orig!BC143</f>
        <v>3.5912299999999998E-4</v>
      </c>
      <c r="BL143" s="188">
        <f>opex_orig!BD143</f>
        <v>2.1399999999999998E-5</v>
      </c>
      <c r="BM143" s="188">
        <f>opex_orig!BE143</f>
        <v>5.1799999999999999E-5</v>
      </c>
      <c r="BN143" s="188">
        <f>opex_orig!BF143</f>
        <v>1.7799999999999999E-5</v>
      </c>
      <c r="BO143" s="188">
        <f>opex_orig!BG143</f>
        <v>8.8700000000000001E-5</v>
      </c>
      <c r="BP143" s="188">
        <f>opex_orig!$BH143</f>
        <v>1.20712569995955E-4</v>
      </c>
      <c r="BQ143" s="188">
        <f>opex_orig!$BH143</f>
        <v>1.20712569995955E-4</v>
      </c>
      <c r="BR143" s="188">
        <f>opex_orig!BI143</f>
        <v>1.70927E-4</v>
      </c>
      <c r="BS143" s="188">
        <f>opex_orig!BJ143</f>
        <v>6.5500000000000006E-5</v>
      </c>
      <c r="BT143" s="188">
        <f>opex_orig!BK143</f>
        <v>2.6389399999999998E-4</v>
      </c>
      <c r="BU143" s="188">
        <f>opex_orig!BL143</f>
        <v>0</v>
      </c>
      <c r="BV143" s="27">
        <f>opex_orig!BM143</f>
        <v>1.4435032833762899E-4</v>
      </c>
      <c r="BW143" s="27">
        <f>opex_orig!BN143</f>
        <v>7.14343498200954E-4</v>
      </c>
      <c r="BX143" s="27">
        <f>opex_orig!BO143</f>
        <v>1.49595826427949E-4</v>
      </c>
      <c r="BY143" s="27">
        <f>opex_orig!BP143</f>
        <v>5.9883256233951598E-4</v>
      </c>
      <c r="BZ143" s="27">
        <f>opex_orig!BQ143</f>
        <v>7.0810344800912995E-5</v>
      </c>
      <c r="CA143" s="27">
        <f>opex_orig!BR143</f>
        <v>8.1098978132677002E-6</v>
      </c>
      <c r="CB143" s="27">
        <f>opex_orig!BS143</f>
        <v>1.66361357976287E-4</v>
      </c>
      <c r="CC143" s="27">
        <f>opex_orig!BT143</f>
        <v>9.75790149970564E-4</v>
      </c>
      <c r="CD143" s="27">
        <f>opex_orig!BU143</f>
        <v>6.0979628860651099E-6</v>
      </c>
      <c r="CE143" s="27">
        <f>opex_orig!BV143</f>
        <v>6.0979628860651302E-6</v>
      </c>
      <c r="CF143" s="27">
        <f>opex_orig!BW143</f>
        <v>1.1610220052531901E-6</v>
      </c>
      <c r="CG143" s="27">
        <f>opex_orig!BX143</f>
        <v>7.4594929926488098E-6</v>
      </c>
      <c r="CH143" s="27">
        <f>opex_orig!BY143</f>
        <v>1.81300662326997E-6</v>
      </c>
      <c r="CI143" s="27">
        <f>opex_orig!BZ143</f>
        <v>3.8951799999999999E-4</v>
      </c>
      <c r="CJ143" s="27">
        <f>opex_orig!CA143</f>
        <v>2.30437E-4</v>
      </c>
      <c r="CK143" s="27">
        <f>opex_orig!CB143</f>
        <v>1.77975E-4</v>
      </c>
      <c r="CL143" s="27">
        <f>opex_orig!CC143</f>
        <v>2.9624499999999999E-4</v>
      </c>
      <c r="CM143" s="27">
        <f>opex_orig!CD143</f>
        <v>1.87138E-4</v>
      </c>
      <c r="CN143" s="27">
        <f>opex_orig!CE143</f>
        <v>1.7119780000000001E-3</v>
      </c>
      <c r="CO143" s="27">
        <f>opex_orig!CF143</f>
        <v>1.0607699999999999E-4</v>
      </c>
      <c r="CP143" s="27">
        <f>opex_orig!CG143</f>
        <v>4.4700000000000002E-5</v>
      </c>
    </row>
    <row r="144" spans="1:94" x14ac:dyDescent="0.25">
      <c r="A144" s="6" t="s">
        <v>279</v>
      </c>
      <c r="B144" s="2" t="s">
        <v>278</v>
      </c>
      <c r="C144" s="1" t="s">
        <v>335</v>
      </c>
      <c r="D144" s="188">
        <f>opex_orig!D144</f>
        <v>2.7100000000000001E-5</v>
      </c>
      <c r="E144" s="188">
        <f>opex_orig!E144</f>
        <v>4.9499999999999997E-5</v>
      </c>
      <c r="F144" s="188">
        <f>opex_orig!F144</f>
        <v>8.4400000000000005E-6</v>
      </c>
      <c r="G144" s="188">
        <f>opex_orig!G144</f>
        <v>2.6000000000000001E-6</v>
      </c>
      <c r="H144" s="188">
        <f>opex_orig!H144</f>
        <v>4.9899999999999997E-6</v>
      </c>
      <c r="I144" s="188">
        <f>opex_orig!I144</f>
        <v>4.6600000000000001E-5</v>
      </c>
      <c r="J144" s="188">
        <f>opex_orig!J144</f>
        <v>2.4899999999999999E-5</v>
      </c>
      <c r="K144" s="188">
        <f>opex_orig!K144</f>
        <v>7.7300000000000005E-6</v>
      </c>
      <c r="L144" s="188">
        <f>opex_orig!L144</f>
        <v>5.9899999999999999E-5</v>
      </c>
      <c r="M144" s="188">
        <f>opex_orig!M144</f>
        <v>1.75732E-4</v>
      </c>
      <c r="N144" s="188">
        <f>opex_orig!N144</f>
        <v>3.1203600000000002E-4</v>
      </c>
      <c r="O144" s="188">
        <f>opex_orig!O144</f>
        <v>7.1699999999999995E-5</v>
      </c>
      <c r="P144" s="188">
        <f>opex_orig!P144</f>
        <v>5.1199999999999998E-5</v>
      </c>
      <c r="Q144" s="188">
        <f>opex_orig!Q144</f>
        <v>1.0900000000000001E-5</v>
      </c>
      <c r="R144" s="188">
        <f>opex_orig!R144</f>
        <v>4.6299999999999997E-6</v>
      </c>
      <c r="S144" s="188">
        <f>opex_orig!S144</f>
        <v>1.4100000000000001E-5</v>
      </c>
      <c r="T144" s="188">
        <f>opex_orig!T144</f>
        <v>1.1E-5</v>
      </c>
      <c r="U144" s="188">
        <f>opex_orig!U144</f>
        <v>1.3255600000000001E-4</v>
      </c>
      <c r="V144" s="188">
        <f>opex_orig!V144</f>
        <v>2.1290999999999999E-4</v>
      </c>
      <c r="W144" s="188">
        <f>opex_orig!W144</f>
        <v>4.0200000000000001E-5</v>
      </c>
      <c r="X144" s="188">
        <f>opex_orig!X144</f>
        <v>1.2799999999999999E-5</v>
      </c>
      <c r="Y144" s="188">
        <f>opex_orig!Y144</f>
        <v>1.1E-5</v>
      </c>
      <c r="Z144" s="188">
        <f>opex_orig!Z144</f>
        <v>3.8000000000000002E-5</v>
      </c>
      <c r="AA144" s="188">
        <f>opex_orig!AA144</f>
        <v>2.2900000000000001E-5</v>
      </c>
      <c r="AB144" s="188">
        <f>opex_orig!$AB144</f>
        <v>2.6276194728761701E-5</v>
      </c>
      <c r="AC144" s="188">
        <f>opex_orig!$AB144</f>
        <v>2.6276194728761701E-5</v>
      </c>
      <c r="AD144" s="188">
        <f>opex_orig!$AB144</f>
        <v>2.6276194728761701E-5</v>
      </c>
      <c r="AE144" s="188">
        <f>opex_orig!$AC144</f>
        <v>1.1296942913681101E-3</v>
      </c>
      <c r="AF144" s="188">
        <f>opex_orig!$AD144</f>
        <v>3.88593520839776E-4</v>
      </c>
      <c r="AG144" s="188">
        <f>opex_orig!$AD144</f>
        <v>3.88593520839776E-4</v>
      </c>
      <c r="AH144" s="188">
        <f>opex_orig!$AD144</f>
        <v>3.88593520839776E-4</v>
      </c>
      <c r="AI144" s="188">
        <f>opex_orig!AE144</f>
        <v>3.1760000000000002E-4</v>
      </c>
      <c r="AJ144" s="188">
        <f>opex_orig!AF144</f>
        <v>8.9599999999999996E-5</v>
      </c>
      <c r="AK144" s="188">
        <f>opex_orig!AG144</f>
        <v>1.36E-5</v>
      </c>
      <c r="AL144" s="188">
        <f>opex_orig!AH144</f>
        <v>1.8700000000000001E-5</v>
      </c>
      <c r="AM144" s="188">
        <f>opex_orig!AI144</f>
        <v>1.7799999999999999E-5</v>
      </c>
      <c r="AN144" s="188">
        <f>opex_orig!AJ144</f>
        <v>3.4100000000000002E-5</v>
      </c>
      <c r="AO144" s="188">
        <f>opex_orig!AK144</f>
        <v>2.09E-5</v>
      </c>
      <c r="AP144" s="284">
        <f>opex_concordance!M428</f>
        <v>4.9132521427501298E-5</v>
      </c>
      <c r="AQ144" s="284">
        <f>opex_concordance!M482</f>
        <v>3.2664626284496646E-5</v>
      </c>
      <c r="AR144" s="284">
        <f>opex_concordance!M536</f>
        <v>0</v>
      </c>
      <c r="AS144" s="188">
        <f>opex_orig!$AM144</f>
        <v>1.92403201310627E-5</v>
      </c>
      <c r="AT144" s="188">
        <f>opex_orig!AN144</f>
        <v>5.77E-5</v>
      </c>
      <c r="AU144" s="188">
        <f>opex_orig!$AO144</f>
        <v>6.42234940550313E-5</v>
      </c>
      <c r="AV144" s="188">
        <f>opex_orig!$AO144</f>
        <v>6.42234940550313E-5</v>
      </c>
      <c r="AW144" s="188">
        <f>opex_orig!$AO144</f>
        <v>6.42234940550313E-5</v>
      </c>
      <c r="AX144" s="188">
        <f>opex_orig!$AP144</f>
        <v>1.09189318881042E-4</v>
      </c>
      <c r="AY144" s="188">
        <f>opex_orig!AQ144</f>
        <v>1.2435500000000001E-4</v>
      </c>
      <c r="AZ144" s="188">
        <f>opex_orig!AR144</f>
        <v>0</v>
      </c>
      <c r="BA144" s="188">
        <f>opex_orig!AS144</f>
        <v>7.0199999999999999E-5</v>
      </c>
      <c r="BB144" s="188">
        <f>opex_orig!AT144</f>
        <v>4.3900000000000003E-5</v>
      </c>
      <c r="BC144" s="188">
        <f>opex_orig!AU144</f>
        <v>1.15E-5</v>
      </c>
      <c r="BD144" s="188">
        <f>opex_orig!AV144</f>
        <v>9.55E-6</v>
      </c>
      <c r="BE144" s="188">
        <f>opex_orig!AW144</f>
        <v>8.42E-5</v>
      </c>
      <c r="BF144" s="188">
        <f>opex_orig!AX144</f>
        <v>0</v>
      </c>
      <c r="BG144" s="188">
        <f>opex_orig!AY144</f>
        <v>4.5200000000000001E-5</v>
      </c>
      <c r="BH144" s="188">
        <f>opex_orig!AZ144</f>
        <v>0</v>
      </c>
      <c r="BI144" s="188">
        <f>opex_orig!BA144</f>
        <v>6.4399999999999993E-5</v>
      </c>
      <c r="BJ144" s="188">
        <f>opex_orig!BB144</f>
        <v>1.05719E-4</v>
      </c>
      <c r="BK144" s="188">
        <f>opex_orig!BC144</f>
        <v>1.69452E-4</v>
      </c>
      <c r="BL144" s="188">
        <f>opex_orig!BD144</f>
        <v>8.9900000000000003E-6</v>
      </c>
      <c r="BM144" s="188">
        <f>opex_orig!BE144</f>
        <v>2.02E-5</v>
      </c>
      <c r="BN144" s="188">
        <f>opex_orig!BF144</f>
        <v>6.7000000000000002E-6</v>
      </c>
      <c r="BO144" s="188">
        <f>opex_orig!BG144</f>
        <v>3.26E-5</v>
      </c>
      <c r="BP144" s="188">
        <f>opex_orig!$BH144</f>
        <v>5.68255332116226E-5</v>
      </c>
      <c r="BQ144" s="188">
        <f>opex_orig!$BH144</f>
        <v>5.68255332116226E-5</v>
      </c>
      <c r="BR144" s="188">
        <f>opex_orig!BI144</f>
        <v>8.0500000000000005E-5</v>
      </c>
      <c r="BS144" s="188">
        <f>opex_orig!BJ144</f>
        <v>2.41E-5</v>
      </c>
      <c r="BT144" s="188">
        <f>opex_orig!BK144</f>
        <v>9.59E-5</v>
      </c>
      <c r="BU144" s="188">
        <f>opex_orig!BL144</f>
        <v>0</v>
      </c>
      <c r="BV144" s="27">
        <f>opex_orig!BM144</f>
        <v>6.8776520887602494E-5</v>
      </c>
      <c r="BW144" s="27">
        <f>opex_orig!BN144</f>
        <v>3.1261948121059197E-4</v>
      </c>
      <c r="BX144" s="27">
        <f>opex_orig!BO144</f>
        <v>7.2517876183122499E-5</v>
      </c>
      <c r="BY144" s="27">
        <f>opex_orig!BP144</f>
        <v>2.5771341926903899E-4</v>
      </c>
      <c r="BZ144" s="27">
        <f>opex_orig!BQ144</f>
        <v>4.1690910931073E-5</v>
      </c>
      <c r="CA144" s="27">
        <f>opex_orig!BR144</f>
        <v>7.9375622120396392E-6</v>
      </c>
      <c r="CB144" s="27">
        <f>opex_orig!BS144</f>
        <v>1.5149455839243801E-4</v>
      </c>
      <c r="CC144" s="27">
        <f>opex_orig!BT144</f>
        <v>1.7371977739871901E-3</v>
      </c>
      <c r="CD144" s="27">
        <f>opex_orig!BU144</f>
        <v>1.36252964352462E-6</v>
      </c>
      <c r="CE144" s="27">
        <f>opex_orig!BV144</f>
        <v>1.36252964352462E-6</v>
      </c>
      <c r="CF144" s="27">
        <f>opex_orig!BW144</f>
        <v>2.8233739262875101E-7</v>
      </c>
      <c r="CG144" s="27">
        <f>opex_orig!BX144</f>
        <v>4.6562959418414199E-6</v>
      </c>
      <c r="CH144" s="27">
        <f>opex_orig!BY144</f>
        <v>2.0528902133965599E-6</v>
      </c>
      <c r="CI144" s="27">
        <f>opex_orig!BZ144</f>
        <v>1.7139E-4</v>
      </c>
      <c r="CJ144" s="27">
        <f>opex_orig!CA144</f>
        <v>8.4900000000000004E-5</v>
      </c>
      <c r="CK144" s="27">
        <f>opex_orig!CB144</f>
        <v>6.3800000000000006E-5</v>
      </c>
      <c r="CL144" s="27">
        <f>opex_orig!CC144</f>
        <v>7.9300000000000003E-5</v>
      </c>
      <c r="CM144" s="27">
        <f>opex_orig!CD144</f>
        <v>8.2899999999999996E-5</v>
      </c>
      <c r="CN144" s="27">
        <f>opex_orig!CE144</f>
        <v>8.4236800000000002E-4</v>
      </c>
      <c r="CO144" s="27">
        <f>opex_orig!CF144</f>
        <v>3.2799999999999998E-5</v>
      </c>
      <c r="CP144" s="27">
        <f>opex_orig!CG144</f>
        <v>1.7E-5</v>
      </c>
    </row>
    <row r="145" spans="1:94" x14ac:dyDescent="0.25">
      <c r="A145" s="6" t="s">
        <v>281</v>
      </c>
      <c r="B145" s="2" t="s">
        <v>280</v>
      </c>
      <c r="C145" s="1" t="s">
        <v>335</v>
      </c>
      <c r="D145" s="188">
        <f>opex_orig!D145</f>
        <v>1.6720400000000001E-4</v>
      </c>
      <c r="E145" s="188">
        <f>opex_orig!E145</f>
        <v>1.76157E-4</v>
      </c>
      <c r="F145" s="188">
        <f>opex_orig!F145</f>
        <v>2.7800000000000001E-5</v>
      </c>
      <c r="G145" s="188">
        <f>opex_orig!G145</f>
        <v>6.2400000000000004E-6</v>
      </c>
      <c r="H145" s="188">
        <f>opex_orig!H145</f>
        <v>1.0200000000000001E-5</v>
      </c>
      <c r="I145" s="188">
        <f>opex_orig!I145</f>
        <v>1.1409900000000001E-4</v>
      </c>
      <c r="J145" s="188">
        <f>opex_orig!J145</f>
        <v>9.2399999999999996E-5</v>
      </c>
      <c r="K145" s="188">
        <f>opex_orig!K145</f>
        <v>1.66E-5</v>
      </c>
      <c r="L145" s="188">
        <f>opex_orig!L145</f>
        <v>1.4626299999999999E-4</v>
      </c>
      <c r="M145" s="188">
        <f>opex_orig!M145</f>
        <v>3.9986500000000001E-4</v>
      </c>
      <c r="N145" s="188">
        <f>opex_orig!N145</f>
        <v>1.122191E-3</v>
      </c>
      <c r="O145" s="188">
        <f>opex_orig!O145</f>
        <v>2.9440500000000002E-4</v>
      </c>
      <c r="P145" s="188">
        <f>opex_orig!P145</f>
        <v>1.34714E-4</v>
      </c>
      <c r="Q145" s="188">
        <f>opex_orig!Q145</f>
        <v>2.16E-5</v>
      </c>
      <c r="R145" s="188">
        <f>opex_orig!R145</f>
        <v>1.84E-5</v>
      </c>
      <c r="S145" s="188">
        <f>opex_orig!S145</f>
        <v>4.2400000000000001E-5</v>
      </c>
      <c r="T145" s="188">
        <f>opex_orig!T145</f>
        <v>2.2099999999999998E-5</v>
      </c>
      <c r="U145" s="188">
        <f>opex_orig!U145</f>
        <v>3.3162000000000003E-4</v>
      </c>
      <c r="V145" s="188">
        <f>opex_orig!V145</f>
        <v>6.3807299999999996E-4</v>
      </c>
      <c r="W145" s="188">
        <f>opex_orig!W145</f>
        <v>1.10029E-4</v>
      </c>
      <c r="X145" s="188">
        <f>opex_orig!X145</f>
        <v>4.85E-5</v>
      </c>
      <c r="Y145" s="188">
        <f>opex_orig!Y145</f>
        <v>2.69E-5</v>
      </c>
      <c r="Z145" s="188">
        <f>opex_orig!Z145</f>
        <v>1.02124E-4</v>
      </c>
      <c r="AA145" s="188">
        <f>opex_orig!AA145</f>
        <v>5.5099999999999998E-5</v>
      </c>
      <c r="AB145" s="188">
        <f>opex_orig!$AB145</f>
        <v>3.2522581951519903E-5</v>
      </c>
      <c r="AC145" s="188">
        <f>opex_orig!$AB145</f>
        <v>3.2522581951519903E-5</v>
      </c>
      <c r="AD145" s="188">
        <f>opex_orig!$AB145</f>
        <v>3.2522581951519903E-5</v>
      </c>
      <c r="AE145" s="188">
        <f>opex_orig!$AC145</f>
        <v>4.1264233017965397E-3</v>
      </c>
      <c r="AF145" s="188">
        <f>opex_orig!$AD145</f>
        <v>1.0647293888047E-3</v>
      </c>
      <c r="AG145" s="188">
        <f>opex_orig!$AD145</f>
        <v>1.0647293888047E-3</v>
      </c>
      <c r="AH145" s="188">
        <f>opex_orig!$AD145</f>
        <v>1.0647293888047E-3</v>
      </c>
      <c r="AI145" s="188">
        <f>opex_orig!AE145</f>
        <v>7.75546E-4</v>
      </c>
      <c r="AJ145" s="188">
        <f>opex_orig!AF145</f>
        <v>2.12969E-4</v>
      </c>
      <c r="AK145" s="188">
        <f>opex_orig!AG145</f>
        <v>4.1399999999999997E-5</v>
      </c>
      <c r="AL145" s="188">
        <f>opex_orig!AH145</f>
        <v>6.5900000000000003E-5</v>
      </c>
      <c r="AM145" s="188">
        <f>opex_orig!AI145</f>
        <v>4.2500000000000003E-5</v>
      </c>
      <c r="AN145" s="188">
        <f>opex_orig!AJ145</f>
        <v>1.26568E-4</v>
      </c>
      <c r="AO145" s="188">
        <f>opex_orig!AK145</f>
        <v>5.13E-5</v>
      </c>
      <c r="AP145" s="284">
        <f>opex_concordance!M429</f>
        <v>1.5809233314637101E-4</v>
      </c>
      <c r="AQ145" s="284">
        <f>opex_concordance!M483</f>
        <v>1.0510404983571334E-4</v>
      </c>
      <c r="AR145" s="284">
        <f>opex_concordance!M537</f>
        <v>0</v>
      </c>
      <c r="AS145" s="188">
        <f>opex_orig!$AM145</f>
        <v>4.8385898280453403E-5</v>
      </c>
      <c r="AT145" s="188">
        <f>opex_orig!AN145</f>
        <v>1.6749199999999999E-4</v>
      </c>
      <c r="AU145" s="188">
        <f>opex_orig!$AO145</f>
        <v>2.2163692143224899E-4</v>
      </c>
      <c r="AV145" s="188">
        <f>opex_orig!$AO145</f>
        <v>2.2163692143224899E-4</v>
      </c>
      <c r="AW145" s="188">
        <f>opex_orig!$AO145</f>
        <v>2.2163692143224899E-4</v>
      </c>
      <c r="AX145" s="188">
        <f>opex_orig!$AP145</f>
        <v>3.6544321876864498E-4</v>
      </c>
      <c r="AY145" s="188">
        <f>opex_orig!AQ145</f>
        <v>4.2670799999999998E-4</v>
      </c>
      <c r="AZ145" s="188">
        <f>opex_orig!AR145</f>
        <v>0</v>
      </c>
      <c r="BA145" s="188">
        <f>opex_orig!AS145</f>
        <v>2.7539900000000001E-4</v>
      </c>
      <c r="BB145" s="188">
        <f>opex_orig!AT145</f>
        <v>1.9863699999999999E-4</v>
      </c>
      <c r="BC145" s="188">
        <f>opex_orig!AU145</f>
        <v>2.5000000000000001E-5</v>
      </c>
      <c r="BD145" s="188">
        <f>opex_orig!AV145</f>
        <v>1.9599999999999999E-5</v>
      </c>
      <c r="BE145" s="188">
        <f>opex_orig!AW145</f>
        <v>3.1157899999999998E-4</v>
      </c>
      <c r="BF145" s="188">
        <f>opex_orig!AX145</f>
        <v>0</v>
      </c>
      <c r="BG145" s="188">
        <f>opex_orig!AY145</f>
        <v>1.2319800000000001E-4</v>
      </c>
      <c r="BH145" s="188">
        <f>opex_orig!AZ145</f>
        <v>0</v>
      </c>
      <c r="BI145" s="188">
        <f>opex_orig!BA145</f>
        <v>1.76133E-4</v>
      </c>
      <c r="BJ145" s="188">
        <f>opex_orig!BB145</f>
        <v>2.1942399999999999E-4</v>
      </c>
      <c r="BK145" s="188">
        <f>opex_orig!BC145</f>
        <v>3.4939200000000002E-4</v>
      </c>
      <c r="BL145" s="188">
        <f>opex_orig!BD145</f>
        <v>3.7400000000000001E-5</v>
      </c>
      <c r="BM145" s="188">
        <f>opex_orig!BE145</f>
        <v>5.0599999999999997E-5</v>
      </c>
      <c r="BN145" s="188">
        <f>opex_orig!BF145</f>
        <v>2.5599999999999999E-5</v>
      </c>
      <c r="BO145" s="188">
        <f>opex_orig!BG145</f>
        <v>8.7000000000000001E-5</v>
      </c>
      <c r="BP145" s="188">
        <f>opex_orig!$BH145</f>
        <v>1.2382905040129999E-4</v>
      </c>
      <c r="BQ145" s="188">
        <f>opex_orig!$BH145</f>
        <v>1.2382905040129999E-4</v>
      </c>
      <c r="BR145" s="188">
        <f>opex_orig!BI145</f>
        <v>1.8370100000000001E-4</v>
      </c>
      <c r="BS145" s="188">
        <f>opex_orig!BJ145</f>
        <v>7.1899999999999999E-5</v>
      </c>
      <c r="BT145" s="188">
        <f>opex_orig!BK145</f>
        <v>3.5830500000000001E-4</v>
      </c>
      <c r="BU145" s="188">
        <f>opex_orig!BL145</f>
        <v>0</v>
      </c>
      <c r="BV145" s="27">
        <f>opex_orig!BM145</f>
        <v>1.7480490318179501E-4</v>
      </c>
      <c r="BW145" s="27">
        <f>opex_orig!BN145</f>
        <v>1.13162057853957E-3</v>
      </c>
      <c r="BX145" s="27">
        <f>opex_orig!BO145</f>
        <v>1.7459468186405299E-4</v>
      </c>
      <c r="BY145" s="27">
        <f>opex_orig!BP145</f>
        <v>9.914149881881391E-4</v>
      </c>
      <c r="BZ145" s="27">
        <f>opex_orig!BQ145</f>
        <v>7.4047444777351496E-5</v>
      </c>
      <c r="CA145" s="27">
        <f>opex_orig!BR145</f>
        <v>1.29041479310644E-5</v>
      </c>
      <c r="CB145" s="27">
        <f>opex_orig!BS145</f>
        <v>1.7116340292651499E-4</v>
      </c>
      <c r="CC145" s="27">
        <f>opex_orig!BT145</f>
        <v>5.1950850008415702E-3</v>
      </c>
      <c r="CD145" s="27">
        <f>opex_orig!BU145</f>
        <v>1.00130812514957E-5</v>
      </c>
      <c r="CE145" s="27">
        <f>opex_orig!BV145</f>
        <v>1.00130812514957E-5</v>
      </c>
      <c r="CF145" s="27">
        <f>opex_orig!BW145</f>
        <v>1.72155306224222E-6</v>
      </c>
      <c r="CG145" s="27">
        <f>opex_orig!BX145</f>
        <v>8.2575287423926993E-6</v>
      </c>
      <c r="CH145" s="27">
        <f>opex_orig!BY145</f>
        <v>2.2159292229306598E-6</v>
      </c>
      <c r="CI145" s="27">
        <f>opex_orig!BZ145</f>
        <v>6.0129200000000002E-4</v>
      </c>
      <c r="CJ145" s="27">
        <f>opex_orig!CA145</f>
        <v>1.8662400000000001E-4</v>
      </c>
      <c r="CK145" s="27">
        <f>opex_orig!CB145</f>
        <v>1.10776E-4</v>
      </c>
      <c r="CL145" s="27">
        <f>opex_orig!CC145</f>
        <v>8.7899999999999995E-5</v>
      </c>
      <c r="CM145" s="27">
        <f>opex_orig!CD145</f>
        <v>2.6445100000000002E-4</v>
      </c>
      <c r="CN145" s="27">
        <f>opex_orig!CE145</f>
        <v>1.7590990000000001E-3</v>
      </c>
      <c r="CO145" s="27">
        <f>opex_orig!CF145</f>
        <v>1.4657900000000001E-4</v>
      </c>
      <c r="CP145" s="27">
        <f>opex_orig!CG145</f>
        <v>4.3800000000000001E-5</v>
      </c>
    </row>
    <row r="146" spans="1:94" x14ac:dyDescent="0.25">
      <c r="A146" s="6" t="s">
        <v>283</v>
      </c>
      <c r="B146" s="2" t="s">
        <v>282</v>
      </c>
      <c r="C146" s="1" t="s">
        <v>335</v>
      </c>
      <c r="D146" s="188">
        <f>opex_orig!D146</f>
        <v>2.44E-5</v>
      </c>
      <c r="E146" s="188">
        <f>opex_orig!E146</f>
        <v>2.9499999999999999E-5</v>
      </c>
      <c r="F146" s="188">
        <f>opex_orig!F146</f>
        <v>5.9699999999999996E-6</v>
      </c>
      <c r="G146" s="188">
        <f>opex_orig!G146</f>
        <v>1.81E-6</v>
      </c>
      <c r="H146" s="188">
        <f>opex_orig!H146</f>
        <v>8.2399999999999997E-7</v>
      </c>
      <c r="I146" s="188">
        <f>opex_orig!I146</f>
        <v>2.5599999999999999E-5</v>
      </c>
      <c r="J146" s="188">
        <f>opex_orig!J146</f>
        <v>2.58E-5</v>
      </c>
      <c r="K146" s="188">
        <f>opex_orig!K146</f>
        <v>5.75E-6</v>
      </c>
      <c r="L146" s="188">
        <f>opex_orig!L146</f>
        <v>3.0599999999999998E-5</v>
      </c>
      <c r="M146" s="188">
        <f>opex_orig!M146</f>
        <v>8.8200000000000003E-5</v>
      </c>
      <c r="N146" s="188">
        <f>opex_orig!N146</f>
        <v>4.1E-5</v>
      </c>
      <c r="O146" s="188">
        <f>opex_orig!O146</f>
        <v>2.3900000000000002E-5</v>
      </c>
      <c r="P146" s="188">
        <f>opex_orig!P146</f>
        <v>3.1399999999999998E-5</v>
      </c>
      <c r="Q146" s="188">
        <f>opex_orig!Q146</f>
        <v>1.01E-5</v>
      </c>
      <c r="R146" s="188">
        <f>opex_orig!R146</f>
        <v>4.5700000000000003E-6</v>
      </c>
      <c r="S146" s="188">
        <f>opex_orig!S146</f>
        <v>6.9600000000000003E-6</v>
      </c>
      <c r="T146" s="188">
        <f>opex_orig!T146</f>
        <v>1.0000000000000001E-5</v>
      </c>
      <c r="U146" s="188">
        <f>opex_orig!U146</f>
        <v>7.86E-5</v>
      </c>
      <c r="V146" s="188">
        <f>opex_orig!V146</f>
        <v>1.19879E-4</v>
      </c>
      <c r="W146" s="188">
        <f>opex_orig!W146</f>
        <v>2.2799999999999999E-5</v>
      </c>
      <c r="X146" s="188">
        <f>opex_orig!X146</f>
        <v>5.84E-6</v>
      </c>
      <c r="Y146" s="188">
        <f>opex_orig!Y146</f>
        <v>9.6199999999999994E-6</v>
      </c>
      <c r="Z146" s="188">
        <f>opex_orig!Z146</f>
        <v>2.5999999999999998E-5</v>
      </c>
      <c r="AA146" s="188">
        <f>opex_orig!AA146</f>
        <v>2.09E-5</v>
      </c>
      <c r="AB146" s="188">
        <f>opex_orig!$AB146</f>
        <v>1.5648001352756201E-5</v>
      </c>
      <c r="AC146" s="188">
        <f>opex_orig!$AB146</f>
        <v>1.5648001352756201E-5</v>
      </c>
      <c r="AD146" s="188">
        <f>opex_orig!$AB146</f>
        <v>1.5648001352756201E-5</v>
      </c>
      <c r="AE146" s="188">
        <f>opex_orig!$AC146</f>
        <v>1.11934697852692E-4</v>
      </c>
      <c r="AF146" s="188">
        <f>opex_orig!$AD146</f>
        <v>2.0235943989805401E-4</v>
      </c>
      <c r="AG146" s="188">
        <f>opex_orig!$AD146</f>
        <v>2.0235943989805401E-4</v>
      </c>
      <c r="AH146" s="188">
        <f>opex_orig!$AD146</f>
        <v>2.0235943989805401E-4</v>
      </c>
      <c r="AI146" s="188">
        <f>opex_orig!AE146</f>
        <v>1.58956E-4</v>
      </c>
      <c r="AJ146" s="188">
        <f>opex_orig!AF146</f>
        <v>4.9299999999999999E-5</v>
      </c>
      <c r="AK146" s="188">
        <f>opex_orig!AG146</f>
        <v>8.8899999999999996E-6</v>
      </c>
      <c r="AL146" s="188">
        <f>opex_orig!AH146</f>
        <v>1.1800000000000001E-5</v>
      </c>
      <c r="AM146" s="188">
        <f>opex_orig!AI146</f>
        <v>1.2099999999999999E-5</v>
      </c>
      <c r="AN146" s="188">
        <f>opex_orig!AJ146</f>
        <v>5.6799999999999998E-6</v>
      </c>
      <c r="AO146" s="188">
        <f>opex_orig!AK146</f>
        <v>1.2500000000000001E-5</v>
      </c>
      <c r="AP146" s="284">
        <f>opex_concordance!M430</f>
        <v>3.0744996846169401E-5</v>
      </c>
      <c r="AQ146" s="284">
        <f>opex_concordance!M484</f>
        <v>2.0440103681225325E-5</v>
      </c>
      <c r="AR146" s="284">
        <f>opex_concordance!M538</f>
        <v>0</v>
      </c>
      <c r="AS146" s="188">
        <f>opex_orig!$AM146</f>
        <v>1.1415543674242001E-5</v>
      </c>
      <c r="AT146" s="188">
        <f>opex_orig!AN146</f>
        <v>3.5299999999999997E-5</v>
      </c>
      <c r="AU146" s="188">
        <f>opex_orig!$AO146</f>
        <v>3.81666819874706E-5</v>
      </c>
      <c r="AV146" s="188">
        <f>opex_orig!$AO146</f>
        <v>3.81666819874706E-5</v>
      </c>
      <c r="AW146" s="188">
        <f>opex_orig!$AO146</f>
        <v>3.81666819874706E-5</v>
      </c>
      <c r="AX146" s="188">
        <f>opex_orig!$AP146</f>
        <v>6.6782222505662805E-5</v>
      </c>
      <c r="AY146" s="188">
        <f>opex_orig!AQ146</f>
        <v>7.3499999999999998E-5</v>
      </c>
      <c r="AZ146" s="188">
        <f>opex_orig!AR146</f>
        <v>0</v>
      </c>
      <c r="BA146" s="188">
        <f>opex_orig!AS146</f>
        <v>2.3600000000000001E-5</v>
      </c>
      <c r="BB146" s="188">
        <f>opex_orig!AT146</f>
        <v>3.0499999999999999E-5</v>
      </c>
      <c r="BC146" s="188">
        <f>opex_orig!AU146</f>
        <v>5.7400000000000001E-6</v>
      </c>
      <c r="BD146" s="188">
        <f>opex_orig!AV146</f>
        <v>4.6399999999999996E-6</v>
      </c>
      <c r="BE146" s="188">
        <f>opex_orig!AW146</f>
        <v>5.13E-5</v>
      </c>
      <c r="BF146" s="188">
        <f>opex_orig!AX146</f>
        <v>0</v>
      </c>
      <c r="BG146" s="188">
        <f>opex_orig!AY146</f>
        <v>1.27E-5</v>
      </c>
      <c r="BH146" s="188">
        <f>opex_orig!AZ146</f>
        <v>0</v>
      </c>
      <c r="BI146" s="188">
        <f>opex_orig!BA146</f>
        <v>3.4100000000000002E-5</v>
      </c>
      <c r="BJ146" s="188">
        <f>opex_orig!BB146</f>
        <v>5.13E-5</v>
      </c>
      <c r="BK146" s="188">
        <f>opex_orig!BC146</f>
        <v>8.2200000000000006E-5</v>
      </c>
      <c r="BL146" s="188">
        <f>opex_orig!BD146</f>
        <v>5.1900000000000003E-6</v>
      </c>
      <c r="BM146" s="188">
        <f>opex_orig!BE146</f>
        <v>1.2E-5</v>
      </c>
      <c r="BN146" s="188">
        <f>opex_orig!BF146</f>
        <v>4.7700000000000001E-6</v>
      </c>
      <c r="BO146" s="188">
        <f>opex_orig!BG146</f>
        <v>2.0999999999999999E-5</v>
      </c>
      <c r="BP146" s="188">
        <f>opex_orig!$BH146</f>
        <v>2.7689956282423299E-5</v>
      </c>
      <c r="BQ146" s="188">
        <f>opex_orig!$BH146</f>
        <v>2.7689956282423299E-5</v>
      </c>
      <c r="BR146" s="188">
        <f>opex_orig!BI146</f>
        <v>3.96E-5</v>
      </c>
      <c r="BS146" s="188">
        <f>opex_orig!BJ146</f>
        <v>1.52E-5</v>
      </c>
      <c r="BT146" s="188">
        <f>opex_orig!BK146</f>
        <v>6.02E-5</v>
      </c>
      <c r="BU146" s="188">
        <f>opex_orig!BL146</f>
        <v>0</v>
      </c>
      <c r="BV146" s="27">
        <f>opex_orig!BM146</f>
        <v>3.3642282720215702E-5</v>
      </c>
      <c r="BW146" s="27">
        <f>opex_orig!BN146</f>
        <v>1.8476862176250501E-4</v>
      </c>
      <c r="BX146" s="27">
        <f>opex_orig!BO146</f>
        <v>3.5611587615944599E-5</v>
      </c>
      <c r="BY146" s="27">
        <f>opex_orig!BP146</f>
        <v>1.57129671573601E-5</v>
      </c>
      <c r="BZ146" s="27">
        <f>opex_orig!BQ146</f>
        <v>2.75368899318521E-5</v>
      </c>
      <c r="CA146" s="27">
        <f>opex_orig!BR146</f>
        <v>1.53378372566094E-6</v>
      </c>
      <c r="CB146" s="27">
        <f>opex_orig!BS146</f>
        <v>1.34814709809548E-4</v>
      </c>
      <c r="CC146" s="27">
        <f>opex_orig!BT146</f>
        <v>1.7200415046981401E-4</v>
      </c>
      <c r="CD146" s="27">
        <f>opex_orig!BU146</f>
        <v>1.34590053272834E-6</v>
      </c>
      <c r="CE146" s="27">
        <f>opex_orig!BV146</f>
        <v>1.34590053272834E-6</v>
      </c>
      <c r="CF146" s="27">
        <f>opex_orig!BW146</f>
        <v>2.5762957422837099E-7</v>
      </c>
      <c r="CG146" s="27">
        <f>opex_orig!BX146</f>
        <v>3.2702837357668302E-6</v>
      </c>
      <c r="CH146" s="27">
        <f>opex_orig!BY146</f>
        <v>5.86207901803422E-8</v>
      </c>
      <c r="CI146" s="27">
        <f>opex_orig!BZ146</f>
        <v>9.8300000000000004E-5</v>
      </c>
      <c r="CJ146" s="27">
        <f>opex_orig!CA146</f>
        <v>5.4799999999999997E-5</v>
      </c>
      <c r="CK146" s="27">
        <f>opex_orig!CB146</f>
        <v>4.1699999999999997E-5</v>
      </c>
      <c r="CL146" s="27">
        <f>opex_orig!CC146</f>
        <v>7.0099999999999996E-5</v>
      </c>
      <c r="CM146" s="27">
        <f>opex_orig!CD146</f>
        <v>4.6300000000000001E-5</v>
      </c>
      <c r="CN146" s="27">
        <f>opex_orig!CE146</f>
        <v>3.96349E-4</v>
      </c>
      <c r="CO146" s="27">
        <f>opex_orig!CF146</f>
        <v>2.3499999999999999E-5</v>
      </c>
      <c r="CP146" s="27">
        <f>opex_orig!CG146</f>
        <v>1.31E-5</v>
      </c>
    </row>
    <row r="147" spans="1:94" x14ac:dyDescent="0.25">
      <c r="A147" s="6" t="s">
        <v>285</v>
      </c>
      <c r="B147" s="2" t="s">
        <v>284</v>
      </c>
      <c r="C147" s="1" t="s">
        <v>335</v>
      </c>
      <c r="D147" s="188">
        <f>opex_orig!D147</f>
        <v>3.1600000000000002E-5</v>
      </c>
      <c r="E147" s="188">
        <f>opex_orig!E147</f>
        <v>3.7499999999999997E-5</v>
      </c>
      <c r="F147" s="188">
        <f>opex_orig!F147</f>
        <v>6.9600000000000003E-6</v>
      </c>
      <c r="G147" s="188">
        <f>opex_orig!G147</f>
        <v>2.04E-6</v>
      </c>
      <c r="H147" s="188">
        <f>opex_orig!H147</f>
        <v>4.6999999999999999E-6</v>
      </c>
      <c r="I147" s="188">
        <f>opex_orig!I147</f>
        <v>3.3000000000000003E-5</v>
      </c>
      <c r="J147" s="188">
        <f>opex_orig!J147</f>
        <v>3.4799999999999999E-5</v>
      </c>
      <c r="K147" s="188">
        <f>opex_orig!K147</f>
        <v>6.2700000000000001E-6</v>
      </c>
      <c r="L147" s="188">
        <f>opex_orig!L147</f>
        <v>3.93E-5</v>
      </c>
      <c r="M147" s="188">
        <f>opex_orig!M147</f>
        <v>1.12781E-4</v>
      </c>
      <c r="N147" s="188">
        <f>opex_orig!N147</f>
        <v>2.3164E-4</v>
      </c>
      <c r="O147" s="188">
        <f>opex_orig!O147</f>
        <v>6.02E-5</v>
      </c>
      <c r="P147" s="188">
        <f>opex_orig!P147</f>
        <v>4.21E-5</v>
      </c>
      <c r="Q147" s="188">
        <f>opex_orig!Q147</f>
        <v>1.3699999999999999E-5</v>
      </c>
      <c r="R147" s="188">
        <f>opex_orig!R147</f>
        <v>5.4099999999999999E-6</v>
      </c>
      <c r="S147" s="188">
        <f>opex_orig!S147</f>
        <v>1.42E-5</v>
      </c>
      <c r="T147" s="188">
        <f>opex_orig!T147</f>
        <v>1.26E-5</v>
      </c>
      <c r="U147" s="188">
        <f>opex_orig!U147</f>
        <v>1.01722E-4</v>
      </c>
      <c r="V147" s="188">
        <f>opex_orig!V147</f>
        <v>1.5290900000000001E-4</v>
      </c>
      <c r="W147" s="188">
        <f>opex_orig!W147</f>
        <v>2.9600000000000001E-5</v>
      </c>
      <c r="X147" s="188">
        <f>opex_orig!X147</f>
        <v>1.24E-5</v>
      </c>
      <c r="Y147" s="188">
        <f>opex_orig!Y147</f>
        <v>1.24E-5</v>
      </c>
      <c r="Z147" s="188">
        <f>opex_orig!Z147</f>
        <v>3.4199999999999998E-5</v>
      </c>
      <c r="AA147" s="188">
        <f>opex_orig!AA147</f>
        <v>2.16E-5</v>
      </c>
      <c r="AB147" s="188">
        <f>opex_orig!$AB147</f>
        <v>1.52458046658861E-5</v>
      </c>
      <c r="AC147" s="188">
        <f>opex_orig!$AB147</f>
        <v>1.52458046658861E-5</v>
      </c>
      <c r="AD147" s="188">
        <f>opex_orig!$AB147</f>
        <v>1.52458046658861E-5</v>
      </c>
      <c r="AE147" s="188">
        <f>opex_orig!$AC147</f>
        <v>1.4275907378356799E-4</v>
      </c>
      <c r="AF147" s="188">
        <f>opex_orig!$AD147</f>
        <v>2.5685935897586999E-4</v>
      </c>
      <c r="AG147" s="188">
        <f>opex_orig!$AD147</f>
        <v>2.5685935897586999E-4</v>
      </c>
      <c r="AH147" s="188">
        <f>opex_orig!$AD147</f>
        <v>2.5685935897586999E-4</v>
      </c>
      <c r="AI147" s="188">
        <f>opex_orig!AE147</f>
        <v>2.0192300000000001E-4</v>
      </c>
      <c r="AJ147" s="188">
        <f>opex_orig!AF147</f>
        <v>6.4300000000000004E-5</v>
      </c>
      <c r="AK147" s="188">
        <f>opex_orig!AG147</f>
        <v>1.1800000000000001E-5</v>
      </c>
      <c r="AL147" s="188">
        <f>opex_orig!AH147</f>
        <v>1.5299999999999999E-5</v>
      </c>
      <c r="AM147" s="188">
        <f>opex_orig!AI147</f>
        <v>1.5800000000000001E-5</v>
      </c>
      <c r="AN147" s="188">
        <f>opex_orig!AJ147</f>
        <v>2.73E-5</v>
      </c>
      <c r="AO147" s="188">
        <f>opex_orig!AK147</f>
        <v>1.5500000000000001E-5</v>
      </c>
      <c r="AP147" s="284">
        <f>opex_concordance!M431</f>
        <v>3.9829477882566297E-5</v>
      </c>
      <c r="AQ147" s="284">
        <f>opex_concordance!M485</f>
        <v>2.6479711855626981E-5</v>
      </c>
      <c r="AR147" s="284">
        <f>opex_concordance!M539</f>
        <v>0</v>
      </c>
      <c r="AS147" s="188">
        <f>opex_orig!$AM147</f>
        <v>1.50239592426961E-5</v>
      </c>
      <c r="AT147" s="188">
        <f>opex_orig!AN147</f>
        <v>4.57E-5</v>
      </c>
      <c r="AU147" s="188">
        <f>opex_orig!$AO147</f>
        <v>4.9611908384660403E-5</v>
      </c>
      <c r="AV147" s="188">
        <f>opex_orig!$AO147</f>
        <v>4.9611908384660403E-5</v>
      </c>
      <c r="AW147" s="188">
        <f>opex_orig!$AO147</f>
        <v>4.9611908384660403E-5</v>
      </c>
      <c r="AX147" s="188">
        <f>opex_orig!$AP147</f>
        <v>8.5734260245084098E-5</v>
      </c>
      <c r="AY147" s="188">
        <f>opex_orig!AQ147</f>
        <v>9.3700000000000001E-5</v>
      </c>
      <c r="AZ147" s="188">
        <f>opex_orig!AR147</f>
        <v>0</v>
      </c>
      <c r="BA147" s="188">
        <f>opex_orig!AS147</f>
        <v>6.0800000000000001E-5</v>
      </c>
      <c r="BB147" s="188">
        <f>opex_orig!AT147</f>
        <v>3.9100000000000002E-5</v>
      </c>
      <c r="BC147" s="188">
        <f>opex_orig!AU147</f>
        <v>7.2899999999999997E-6</v>
      </c>
      <c r="BD147" s="188">
        <f>opex_orig!AV147</f>
        <v>5.8699999999999997E-6</v>
      </c>
      <c r="BE147" s="188">
        <f>opex_orig!AW147</f>
        <v>6.5199999999999999E-5</v>
      </c>
      <c r="BF147" s="188">
        <f>opex_orig!AX147</f>
        <v>0</v>
      </c>
      <c r="BG147" s="188">
        <f>opex_orig!AY147</f>
        <v>1.66E-5</v>
      </c>
      <c r="BH147" s="188">
        <f>opex_orig!AZ147</f>
        <v>0</v>
      </c>
      <c r="BI147" s="188">
        <f>opex_orig!BA147</f>
        <v>4.3800000000000001E-5</v>
      </c>
      <c r="BJ147" s="188">
        <f>opex_orig!BB147</f>
        <v>6.58E-5</v>
      </c>
      <c r="BK147" s="188">
        <f>opex_orig!BC147</f>
        <v>1.0553299999999999E-4</v>
      </c>
      <c r="BL147" s="188">
        <f>opex_orig!BD147</f>
        <v>6.8600000000000004E-6</v>
      </c>
      <c r="BM147" s="188">
        <f>opex_orig!BE147</f>
        <v>1.59E-5</v>
      </c>
      <c r="BN147" s="188">
        <f>opex_orig!BF147</f>
        <v>6.4999999999999996E-6</v>
      </c>
      <c r="BO147" s="188">
        <f>opex_orig!BG147</f>
        <v>2.7500000000000001E-5</v>
      </c>
      <c r="BP147" s="188">
        <f>opex_orig!$BH147</f>
        <v>3.5562747680392801E-5</v>
      </c>
      <c r="BQ147" s="188">
        <f>opex_orig!$BH147</f>
        <v>3.5562747680392801E-5</v>
      </c>
      <c r="BR147" s="188">
        <f>opex_orig!BI147</f>
        <v>5.0899999999999997E-5</v>
      </c>
      <c r="BS147" s="188">
        <f>opex_orig!BJ147</f>
        <v>2.0000000000000002E-5</v>
      </c>
      <c r="BT147" s="188">
        <f>opex_orig!BK147</f>
        <v>7.7299999999999995E-5</v>
      </c>
      <c r="BU147" s="188">
        <f>opex_orig!BL147</f>
        <v>0</v>
      </c>
      <c r="BV147" s="27">
        <f>opex_orig!BM147</f>
        <v>4.3719683304310201E-5</v>
      </c>
      <c r="BW147" s="27">
        <f>opex_orig!BN147</f>
        <v>2.3220458368928E-4</v>
      </c>
      <c r="BX147" s="27">
        <f>opex_orig!BO147</f>
        <v>4.5219309976742701E-5</v>
      </c>
      <c r="BY147" s="27">
        <f>opex_orig!BP147</f>
        <v>1.9357819924436999E-4</v>
      </c>
      <c r="BZ147" s="27">
        <f>opex_orig!BQ147</f>
        <v>2.9981196607720101E-5</v>
      </c>
      <c r="CA147" s="27">
        <f>opex_orig!BR147</f>
        <v>5.0164138031321796E-6</v>
      </c>
      <c r="CB147" s="27">
        <f>opex_orig!BS147</f>
        <v>1.34681836798255E-4</v>
      </c>
      <c r="CC147" s="27">
        <f>opex_orig!BT147</f>
        <v>3.3442825720528301E-4</v>
      </c>
      <c r="CD147" s="27">
        <f>opex_orig!BU147</f>
        <v>1.77282040800598E-6</v>
      </c>
      <c r="CE147" s="27">
        <f>opex_orig!BV147</f>
        <v>1.77282040800598E-6</v>
      </c>
      <c r="CF147" s="27">
        <f>opex_orig!BW147</f>
        <v>3.4009303322855798E-7</v>
      </c>
      <c r="CG147" s="27">
        <f>opex_orig!BX147</f>
        <v>4.0414081473989398E-6</v>
      </c>
      <c r="CH147" s="27">
        <f>opex_orig!BY147</f>
        <v>1.87612958051114E-6</v>
      </c>
      <c r="CI147" s="27">
        <f>opex_orig!BZ147</f>
        <v>1.24299E-4</v>
      </c>
      <c r="CJ147" s="27">
        <f>opex_orig!CA147</f>
        <v>7.2000000000000002E-5</v>
      </c>
      <c r="CK147" s="27">
        <f>opex_orig!CB147</f>
        <v>5.52E-5</v>
      </c>
      <c r="CL147" s="27">
        <f>opex_orig!CC147</f>
        <v>9.5099999999999994E-5</v>
      </c>
      <c r="CM147" s="27">
        <f>opex_orig!CD147</f>
        <v>5.8799999999999999E-5</v>
      </c>
      <c r="CN147" s="27">
        <f>opex_orig!CE147</f>
        <v>5.0437099999999999E-4</v>
      </c>
      <c r="CO147" s="27">
        <f>opex_orig!CF147</f>
        <v>3.0499999999999999E-5</v>
      </c>
      <c r="CP147" s="27">
        <f>opex_orig!CG147</f>
        <v>1.5299999999999999E-5</v>
      </c>
    </row>
    <row r="148" spans="1:94" x14ac:dyDescent="0.25">
      <c r="A148" s="6" t="s">
        <v>287</v>
      </c>
      <c r="B148" s="2" t="s">
        <v>286</v>
      </c>
      <c r="C148" s="1" t="s">
        <v>335</v>
      </c>
      <c r="D148" s="188">
        <f>opex_orig!D148</f>
        <v>1.5517600000000001E-4</v>
      </c>
      <c r="E148" s="188">
        <f>opex_orig!E148</f>
        <v>6.3600000000000001E-5</v>
      </c>
      <c r="F148" s="188">
        <f>opex_orig!F148</f>
        <v>3.2499999999999997E-5</v>
      </c>
      <c r="G148" s="188">
        <f>opex_orig!G148</f>
        <v>7.2599999999999999E-6</v>
      </c>
      <c r="H148" s="188">
        <f>opex_orig!H148</f>
        <v>1.24E-5</v>
      </c>
      <c r="I148" s="188">
        <f>opex_orig!I148</f>
        <v>1.32356E-4</v>
      </c>
      <c r="J148" s="188">
        <f>opex_orig!J148</f>
        <v>1.7241500000000001E-4</v>
      </c>
      <c r="K148" s="188">
        <f>opex_orig!K148</f>
        <v>1.9599999999999999E-5</v>
      </c>
      <c r="L148" s="188">
        <f>opex_orig!L148</f>
        <v>2.1483900000000001E-4</v>
      </c>
      <c r="M148" s="188">
        <f>opex_orig!M148</f>
        <v>6.1291299999999998E-4</v>
      </c>
      <c r="N148" s="188">
        <f>opex_orig!N148</f>
        <v>2.4874000000000001E-4</v>
      </c>
      <c r="O148" s="188">
        <f>opex_orig!O148</f>
        <v>1.5157899999999999E-4</v>
      </c>
      <c r="P148" s="188">
        <f>opex_orig!P148</f>
        <v>1.6876200000000001E-4</v>
      </c>
      <c r="Q148" s="188">
        <f>opex_orig!Q148</f>
        <v>6.41E-5</v>
      </c>
      <c r="R148" s="188">
        <f>opex_orig!R148</f>
        <v>1.6799999999999998E-5</v>
      </c>
      <c r="S148" s="188">
        <f>opex_orig!S148</f>
        <v>4.6499999999999999E-5</v>
      </c>
      <c r="T148" s="188">
        <f>opex_orig!T148</f>
        <v>5.1100000000000002E-5</v>
      </c>
      <c r="U148" s="188">
        <f>opex_orig!U148</f>
        <v>3.2044499999999999E-4</v>
      </c>
      <c r="V148" s="188">
        <f>opex_orig!V148</f>
        <v>3.3275500000000001E-4</v>
      </c>
      <c r="W148" s="188">
        <f>opex_orig!W148</f>
        <v>9.8800000000000003E-5</v>
      </c>
      <c r="X148" s="188">
        <f>opex_orig!X148</f>
        <v>3.7599999999999999E-5</v>
      </c>
      <c r="Y148" s="188">
        <f>opex_orig!Y148</f>
        <v>5.4200000000000003E-5</v>
      </c>
      <c r="Z148" s="188">
        <f>opex_orig!Z148</f>
        <v>1.2278199999999999E-4</v>
      </c>
      <c r="AA148" s="188">
        <f>opex_orig!AA148</f>
        <v>5.0699999999999999E-5</v>
      </c>
      <c r="AB148" s="188">
        <f>opex_orig!$AB148</f>
        <v>4.6373012035470702E-5</v>
      </c>
      <c r="AC148" s="188">
        <f>opex_orig!$AB148</f>
        <v>4.6373012035470702E-5</v>
      </c>
      <c r="AD148" s="188">
        <f>opex_orig!$AB148</f>
        <v>4.6373012035470702E-5</v>
      </c>
      <c r="AE148" s="188">
        <f>opex_orig!$AC148</f>
        <v>6.6843420978802102E-4</v>
      </c>
      <c r="AF148" s="188">
        <f>opex_orig!$AD148</f>
        <v>7.0365034169448998E-4</v>
      </c>
      <c r="AG148" s="188">
        <f>opex_orig!$AD148</f>
        <v>7.0365034169448998E-4</v>
      </c>
      <c r="AH148" s="188">
        <f>opex_orig!$AD148</f>
        <v>7.0365034169448998E-4</v>
      </c>
      <c r="AI148" s="188">
        <f>opex_orig!AE148</f>
        <v>6.8214399999999998E-4</v>
      </c>
      <c r="AJ148" s="188">
        <f>opex_orig!AF148</f>
        <v>3.2903199999999999E-4</v>
      </c>
      <c r="AK148" s="188">
        <f>opex_orig!AG148</f>
        <v>4.7800000000000003E-5</v>
      </c>
      <c r="AL148" s="188">
        <f>opex_orig!AH148</f>
        <v>3.4600000000000001E-5</v>
      </c>
      <c r="AM148" s="188">
        <f>opex_orig!AI148</f>
        <v>7.5699999999999997E-5</v>
      </c>
      <c r="AN148" s="188">
        <f>opex_orig!AJ148</f>
        <v>3.5899999999999998E-5</v>
      </c>
      <c r="AO148" s="188">
        <f>opex_orig!AK148</f>
        <v>7.2600000000000003E-5</v>
      </c>
      <c r="AP148" s="284">
        <f>opex_concordance!M432</f>
        <v>9.0061005930271496E-5</v>
      </c>
      <c r="AQ148" s="284">
        <f>opex_concordance!M486</f>
        <v>5.9874987402366748E-5</v>
      </c>
      <c r="AR148" s="284">
        <f>opex_concordance!M540</f>
        <v>0</v>
      </c>
      <c r="AS148" s="188">
        <f>opex_orig!$AM148</f>
        <v>7.0761455048700404E-5</v>
      </c>
      <c r="AT148" s="188">
        <f>opex_orig!AN148</f>
        <v>1.25494E-4</v>
      </c>
      <c r="AU148" s="188">
        <f>opex_orig!$AO148</f>
        <v>1.9888616786550701E-4</v>
      </c>
      <c r="AV148" s="188">
        <f>opex_orig!$AO148</f>
        <v>1.9888616786550701E-4</v>
      </c>
      <c r="AW148" s="188">
        <f>opex_orig!$AO148</f>
        <v>1.9888616786550701E-4</v>
      </c>
      <c r="AX148" s="188">
        <f>opex_orig!$AP148</f>
        <v>2.6351484716787699E-4</v>
      </c>
      <c r="AY148" s="188">
        <f>opex_orig!AQ148</f>
        <v>2.5093099999999997E-4</v>
      </c>
      <c r="AZ148" s="188">
        <f>opex_orig!AR148</f>
        <v>0</v>
      </c>
      <c r="BA148" s="188">
        <f>opex_orig!AS148</f>
        <v>1.52979E-4</v>
      </c>
      <c r="BB148" s="188">
        <f>opex_orig!AT148</f>
        <v>1.2916699999999999E-4</v>
      </c>
      <c r="BC148" s="188">
        <f>opex_orig!AU148</f>
        <v>3.3500000000000001E-5</v>
      </c>
      <c r="BD148" s="188">
        <f>opex_orig!AV148</f>
        <v>2.6599999999999999E-5</v>
      </c>
      <c r="BE148" s="188">
        <f>opex_orig!AW148</f>
        <v>1.4906500000000001E-4</v>
      </c>
      <c r="BF148" s="188">
        <f>opex_orig!AX148</f>
        <v>0</v>
      </c>
      <c r="BG148" s="188">
        <f>opex_orig!AY148</f>
        <v>1.24034E-4</v>
      </c>
      <c r="BH148" s="188">
        <f>opex_orig!AZ148</f>
        <v>0</v>
      </c>
      <c r="BI148" s="188">
        <f>opex_orig!BA148</f>
        <v>1.77407E-4</v>
      </c>
      <c r="BJ148" s="188">
        <f>opex_orig!BB148</f>
        <v>3.2159799999999998E-4</v>
      </c>
      <c r="BK148" s="188">
        <f>opex_orig!BC148</f>
        <v>5.09137E-4</v>
      </c>
      <c r="BL148" s="188">
        <f>opex_orig!BD148</f>
        <v>2.51E-5</v>
      </c>
      <c r="BM148" s="188">
        <f>opex_orig!BE148</f>
        <v>6.8300000000000007E-5</v>
      </c>
      <c r="BN148" s="188">
        <f>opex_orig!BF148</f>
        <v>1.8700000000000001E-5</v>
      </c>
      <c r="BO148" s="188">
        <f>opex_orig!BG148</f>
        <v>9.8999999999999994E-5</v>
      </c>
      <c r="BP148" s="188">
        <f>opex_orig!$BH148</f>
        <v>1.7183390356607901E-4</v>
      </c>
      <c r="BQ148" s="188">
        <f>opex_orig!$BH148</f>
        <v>1.7183390356607901E-4</v>
      </c>
      <c r="BR148" s="188">
        <f>opex_orig!BI148</f>
        <v>2.0885500000000001E-4</v>
      </c>
      <c r="BS148" s="188">
        <f>opex_orig!BJ148</f>
        <v>7.8300000000000006E-5</v>
      </c>
      <c r="BT148" s="188">
        <f>opex_orig!BK148</f>
        <v>3.0713799999999999E-4</v>
      </c>
      <c r="BU148" s="188">
        <f>opex_orig!BL148</f>
        <v>0</v>
      </c>
      <c r="BV148" s="27">
        <f>opex_orig!BM148</f>
        <v>2.6444455417473102E-4</v>
      </c>
      <c r="BW148" s="27">
        <f>opex_orig!BN148</f>
        <v>2.07039085442104E-4</v>
      </c>
      <c r="BX148" s="27">
        <f>opex_orig!BO148</f>
        <v>3.1474432608470101E-4</v>
      </c>
      <c r="BY148" s="27">
        <f>opex_orig!BP148</f>
        <v>9.26943419708003E-5</v>
      </c>
      <c r="BZ148" s="27">
        <f>opex_orig!BQ148</f>
        <v>9.67416987784615E-5</v>
      </c>
      <c r="CA148" s="27">
        <f>opex_orig!BR148</f>
        <v>8.8540619175868908E-6</v>
      </c>
      <c r="CB148" s="27">
        <f>opex_orig!BS148</f>
        <v>1.85606905785175E-4</v>
      </c>
      <c r="CC148" s="27">
        <f>opex_orig!BT148</f>
        <v>1.07187893097031E-3</v>
      </c>
      <c r="CD148" s="27">
        <f>opex_orig!BU148</f>
        <v>8.6169419452209803E-6</v>
      </c>
      <c r="CE148" s="27">
        <f>opex_orig!BV148</f>
        <v>8.6169419452210007E-6</v>
      </c>
      <c r="CF148" s="27">
        <f>opex_orig!BW148</f>
        <v>1.8135971708957299E-6</v>
      </c>
      <c r="CG148" s="27">
        <f>opex_orig!BX148</f>
        <v>8.2200393851630904E-6</v>
      </c>
      <c r="CH148" s="27">
        <f>opex_orig!BY148</f>
        <v>1.7905612132233999E-6</v>
      </c>
      <c r="CI148" s="27">
        <f>opex_orig!BZ148</f>
        <v>1.4564800000000001E-4</v>
      </c>
      <c r="CJ148" s="27">
        <f>opex_orig!CA148</f>
        <v>2.5805700000000001E-4</v>
      </c>
      <c r="CK148" s="27">
        <f>opex_orig!CB148</f>
        <v>3.2563299999999998E-4</v>
      </c>
      <c r="CL148" s="27">
        <f>opex_orig!CC148</f>
        <v>4.0979800000000001E-4</v>
      </c>
      <c r="CM148" s="27">
        <f>opex_orig!CD148</f>
        <v>1.2656599999999999E-4</v>
      </c>
      <c r="CN148" s="27">
        <f>opex_orig!CE148</f>
        <v>2.5689839999999999E-3</v>
      </c>
      <c r="CO148" s="27">
        <f>opex_orig!CF148</f>
        <v>1.5446899999999999E-4</v>
      </c>
      <c r="CP148" s="27">
        <f>opex_orig!CG148</f>
        <v>6.3600000000000001E-5</v>
      </c>
    </row>
    <row r="149" spans="1:94" x14ac:dyDescent="0.25">
      <c r="A149" s="6" t="s">
        <v>289</v>
      </c>
      <c r="B149" s="2" t="s">
        <v>288</v>
      </c>
      <c r="C149" s="1" t="s">
        <v>335</v>
      </c>
      <c r="D149" s="188">
        <f>opex_orig!D149</f>
        <v>3.89E-7</v>
      </c>
      <c r="E149" s="188">
        <f>opex_orig!E149</f>
        <v>6.0699999999999994E-8</v>
      </c>
      <c r="F149" s="188">
        <f>opex_orig!F149</f>
        <v>7.6899999999999994E-8</v>
      </c>
      <c r="G149" s="188">
        <f>opex_orig!G149</f>
        <v>1.26E-8</v>
      </c>
      <c r="H149" s="188">
        <f>opex_orig!H149</f>
        <v>1.74E-8</v>
      </c>
      <c r="I149" s="188">
        <f>opex_orig!I149</f>
        <v>6.6899999999999997E-8</v>
      </c>
      <c r="J149" s="188">
        <f>opex_orig!J149</f>
        <v>2.5600000000000002E-7</v>
      </c>
      <c r="K149" s="188">
        <f>opex_orig!K149</f>
        <v>2.81E-8</v>
      </c>
      <c r="L149" s="188">
        <f>opex_orig!L149</f>
        <v>1.66E-7</v>
      </c>
      <c r="M149" s="188">
        <f>opex_orig!M149</f>
        <v>1.37E-7</v>
      </c>
      <c r="N149" s="188">
        <f>opex_orig!N149</f>
        <v>9.9E-8</v>
      </c>
      <c r="O149" s="188">
        <f>opex_orig!O149</f>
        <v>1.8799999999999999E-7</v>
      </c>
      <c r="P149" s="188">
        <f>opex_orig!P149</f>
        <v>7.1400000000000004E-8</v>
      </c>
      <c r="Q149" s="188">
        <f>opex_orig!Q149</f>
        <v>6.3500000000000006E-8</v>
      </c>
      <c r="R149" s="188">
        <f>opex_orig!R149</f>
        <v>2.7500000000000001E-8</v>
      </c>
      <c r="S149" s="188">
        <f>opex_orig!S149</f>
        <v>4.0100000000000002E-8</v>
      </c>
      <c r="T149" s="188">
        <f>opex_orig!T149</f>
        <v>7.7799999999999995E-8</v>
      </c>
      <c r="U149" s="188">
        <f>opex_orig!U149</f>
        <v>9.0600000000000004E-8</v>
      </c>
      <c r="V149" s="188">
        <f>opex_orig!V149</f>
        <v>1.14E-7</v>
      </c>
      <c r="W149" s="188">
        <f>opex_orig!W149</f>
        <v>9.4500000000000006E-8</v>
      </c>
      <c r="X149" s="188">
        <f>opex_orig!X149</f>
        <v>2.2700000000000001E-7</v>
      </c>
      <c r="Y149" s="188">
        <f>opex_orig!Y149</f>
        <v>1.91E-7</v>
      </c>
      <c r="Z149" s="188">
        <f>opex_orig!Z149</f>
        <v>5.03E-8</v>
      </c>
      <c r="AA149" s="188">
        <f>opex_orig!AA149</f>
        <v>1.01E-7</v>
      </c>
      <c r="AB149" s="188">
        <f>opex_orig!$AB149</f>
        <v>5.2027513196844296E-7</v>
      </c>
      <c r="AC149" s="188">
        <f>opex_orig!$AB149</f>
        <v>5.2027513196844296E-7</v>
      </c>
      <c r="AD149" s="188">
        <f>opex_orig!$AB149</f>
        <v>5.2027513196844296E-7</v>
      </c>
      <c r="AE149" s="188">
        <f>opex_orig!$AC149</f>
        <v>1.11816421429884E-7</v>
      </c>
      <c r="AF149" s="188">
        <f>opex_orig!$AD149</f>
        <v>1.0455204547172699E-7</v>
      </c>
      <c r="AG149" s="188">
        <f>opex_orig!$AD149</f>
        <v>1.0455204547172699E-7</v>
      </c>
      <c r="AH149" s="188">
        <f>opex_orig!$AD149</f>
        <v>1.0455204547172699E-7</v>
      </c>
      <c r="AI149" s="188">
        <f>opex_orig!AE149</f>
        <v>9.53E-8</v>
      </c>
      <c r="AJ149" s="188">
        <f>opex_orig!AF149</f>
        <v>1.8099999999999999E-7</v>
      </c>
      <c r="AK149" s="188">
        <f>opex_orig!AG149</f>
        <v>5.3500000000000003E-8</v>
      </c>
      <c r="AL149" s="188">
        <f>opex_orig!AH149</f>
        <v>7.5899999999999998E-8</v>
      </c>
      <c r="AM149" s="188">
        <f>opex_orig!AI149</f>
        <v>9.9699999999999999E-8</v>
      </c>
      <c r="AN149" s="188">
        <f>opex_orig!AJ149</f>
        <v>8.7999999999999994E-8</v>
      </c>
      <c r="AO149" s="188">
        <f>opex_orig!AK149</f>
        <v>7.7700000000000001E-8</v>
      </c>
      <c r="AP149" s="284">
        <f>opex_concordance!M433</f>
        <v>7.73293616908977E-8</v>
      </c>
      <c r="AQ149" s="284">
        <f>opex_concordance!M487</f>
        <v>5.1410646697199333E-8</v>
      </c>
      <c r="AR149" s="284">
        <f>opex_concordance!M541</f>
        <v>0</v>
      </c>
      <c r="AS149" s="188">
        <f>opex_orig!$AM149</f>
        <v>7.8322233509304304E-8</v>
      </c>
      <c r="AT149" s="188">
        <f>opex_orig!AN149</f>
        <v>9.7699999999999995E-8</v>
      </c>
      <c r="AU149" s="188">
        <f>opex_orig!$AO149</f>
        <v>9.2889579621890903E-8</v>
      </c>
      <c r="AV149" s="188">
        <f>opex_orig!$AO149</f>
        <v>9.2889579621890903E-8</v>
      </c>
      <c r="AW149" s="188">
        <f>opex_orig!$AO149</f>
        <v>9.2889579621890903E-8</v>
      </c>
      <c r="AX149" s="188">
        <f>opex_orig!$AP149</f>
        <v>3.0014497438820999E-8</v>
      </c>
      <c r="AY149" s="188">
        <f>opex_orig!AQ149</f>
        <v>7.2200000000000003E-7</v>
      </c>
      <c r="AZ149" s="188">
        <f>opex_orig!AR149</f>
        <v>0</v>
      </c>
      <c r="BA149" s="188">
        <f>opex_orig!AS149</f>
        <v>2.5600000000000001E-8</v>
      </c>
      <c r="BB149" s="188">
        <f>opex_orig!AT149</f>
        <v>2.1200000000000001E-8</v>
      </c>
      <c r="BC149" s="188">
        <f>opex_orig!AU149</f>
        <v>1.2499999999999999E-8</v>
      </c>
      <c r="BD149" s="188">
        <f>opex_orig!AV149</f>
        <v>1.2100000000000001E-8</v>
      </c>
      <c r="BE149" s="188">
        <f>opex_orig!AW149</f>
        <v>1.33E-8</v>
      </c>
      <c r="BF149" s="188">
        <f>opex_orig!AX149</f>
        <v>0</v>
      </c>
      <c r="BG149" s="188">
        <f>opex_orig!AY149</f>
        <v>4.2799999999999999E-8</v>
      </c>
      <c r="BH149" s="188">
        <f>opex_orig!AZ149</f>
        <v>0</v>
      </c>
      <c r="BI149" s="188">
        <f>opex_orig!BA149</f>
        <v>1.4600000000000001E-7</v>
      </c>
      <c r="BJ149" s="188">
        <f>opex_orig!BB149</f>
        <v>5.8700000000000003E-8</v>
      </c>
      <c r="BK149" s="188">
        <f>opex_orig!BC149</f>
        <v>2.1500000000000001E-7</v>
      </c>
      <c r="BL149" s="188">
        <f>opex_orig!BD149</f>
        <v>2.2700000000000001E-7</v>
      </c>
      <c r="BM149" s="188">
        <f>opex_orig!BE149</f>
        <v>2.65E-7</v>
      </c>
      <c r="BN149" s="188">
        <f>opex_orig!BF149</f>
        <v>5.6799999999999999E-8</v>
      </c>
      <c r="BO149" s="188">
        <f>opex_orig!BG149</f>
        <v>7.8699999999999997E-8</v>
      </c>
      <c r="BP149" s="188">
        <f>opex_orig!$BH149</f>
        <v>1.83307895817942E-7</v>
      </c>
      <c r="BQ149" s="188">
        <f>opex_orig!$BH149</f>
        <v>1.83307895817942E-7</v>
      </c>
      <c r="BR149" s="188">
        <f>opex_orig!BI149</f>
        <v>1.02E-7</v>
      </c>
      <c r="BS149" s="188">
        <f>opex_orig!BJ149</f>
        <v>8.5300000000000003E-8</v>
      </c>
      <c r="BT149" s="188">
        <f>opex_orig!BK149</f>
        <v>2.7899999999999998E-8</v>
      </c>
      <c r="BU149" s="188">
        <f>opex_orig!BL149</f>
        <v>0</v>
      </c>
      <c r="BV149" s="27">
        <f>opex_orig!BM149</f>
        <v>2.49659085564416E-7</v>
      </c>
      <c r="BW149" s="27">
        <f>opex_orig!BN149</f>
        <v>2.1145341229193101E-7</v>
      </c>
      <c r="BX149" s="27">
        <f>opex_orig!BO149</f>
        <v>5.0133990853487902E-8</v>
      </c>
      <c r="BY149" s="27">
        <f>opex_orig!BP149</f>
        <v>5.4325972365743199E-8</v>
      </c>
      <c r="BZ149" s="27">
        <f>opex_orig!BQ149</f>
        <v>9.3280158062608006E-8</v>
      </c>
      <c r="CA149" s="27">
        <f>opex_orig!BR149</f>
        <v>5.6205622963838199E-6</v>
      </c>
      <c r="CB149" s="27">
        <f>opex_orig!BS149</f>
        <v>2.48935373602475E-7</v>
      </c>
      <c r="CC149" s="27">
        <f>opex_orig!BT149</f>
        <v>1.50126924453531E-4</v>
      </c>
      <c r="CD149" s="27">
        <f>opex_orig!BU149</f>
        <v>4.7065474189952198E-8</v>
      </c>
      <c r="CE149" s="27">
        <f>opex_orig!BV149</f>
        <v>4.7065474189952403E-8</v>
      </c>
      <c r="CF149" s="27">
        <f>opex_orig!BW149</f>
        <v>1.0486929814294901E-5</v>
      </c>
      <c r="CG149" s="27">
        <f>opex_orig!BX149</f>
        <v>3.29003758032536E-6</v>
      </c>
      <c r="CH149" s="27">
        <f>opex_orig!BY149</f>
        <v>1.4028810858436501E-8</v>
      </c>
      <c r="CI149" s="27">
        <f>opex_orig!BZ149</f>
        <v>9.9099999999999994E-8</v>
      </c>
      <c r="CJ149" s="27">
        <f>opex_orig!CA149</f>
        <v>6.0399999999999998E-8</v>
      </c>
      <c r="CK149" s="27">
        <f>opex_orig!CB149</f>
        <v>6.5999999999999995E-8</v>
      </c>
      <c r="CL149" s="27">
        <f>opex_orig!CC149</f>
        <v>3.2399999999999999E-8</v>
      </c>
      <c r="CM149" s="27">
        <f>opex_orig!CD149</f>
        <v>2.36E-7</v>
      </c>
      <c r="CN149" s="27">
        <f>opex_orig!CE149</f>
        <v>2.6800000000000001E-5</v>
      </c>
      <c r="CO149" s="27">
        <f>opex_orig!CF149</f>
        <v>1.02E-6</v>
      </c>
      <c r="CP149" s="27">
        <f>opex_orig!CG149</f>
        <v>5.1599999999999999E-8</v>
      </c>
    </row>
    <row r="150" spans="1:94" x14ac:dyDescent="0.25">
      <c r="A150" s="6" t="s">
        <v>291</v>
      </c>
      <c r="B150" s="2" t="s">
        <v>290</v>
      </c>
      <c r="C150" s="1" t="s">
        <v>335</v>
      </c>
      <c r="D150" s="188">
        <f>opex_orig!D150</f>
        <v>1.4999999999999999E-7</v>
      </c>
      <c r="E150" s="188">
        <f>opex_orig!E150</f>
        <v>6.36E-8</v>
      </c>
      <c r="F150" s="188">
        <f>opex_orig!F150</f>
        <v>1.09E-7</v>
      </c>
      <c r="G150" s="188">
        <f>opex_orig!G150</f>
        <v>1.55E-7</v>
      </c>
      <c r="H150" s="188">
        <f>opex_orig!H150</f>
        <v>5.7900000000000002E-8</v>
      </c>
      <c r="I150" s="188">
        <f>opex_orig!I150</f>
        <v>8.42E-8</v>
      </c>
      <c r="J150" s="188">
        <f>opex_orig!J150</f>
        <v>3.2800000000000003E-7</v>
      </c>
      <c r="K150" s="188">
        <f>opex_orig!K150</f>
        <v>1.2100000000000001E-7</v>
      </c>
      <c r="L150" s="188">
        <f>opex_orig!L150</f>
        <v>2.9200000000000002E-7</v>
      </c>
      <c r="M150" s="188">
        <f>opex_orig!M150</f>
        <v>2.04E-7</v>
      </c>
      <c r="N150" s="188">
        <f>opex_orig!N150</f>
        <v>2.9299999999999999E-7</v>
      </c>
      <c r="O150" s="188">
        <f>opex_orig!O150</f>
        <v>1.06E-7</v>
      </c>
      <c r="P150" s="188">
        <f>opex_orig!P150</f>
        <v>7.4200000000000003E-8</v>
      </c>
      <c r="Q150" s="188">
        <f>opex_orig!Q150</f>
        <v>2.8699999999999999E-8</v>
      </c>
      <c r="R150" s="188">
        <f>opex_orig!R150</f>
        <v>7.4299999999999997E-8</v>
      </c>
      <c r="S150" s="188">
        <f>opex_orig!S150</f>
        <v>4.7099999999999998E-8</v>
      </c>
      <c r="T150" s="188">
        <f>opex_orig!T150</f>
        <v>1.36E-7</v>
      </c>
      <c r="U150" s="188">
        <f>opex_orig!U150</f>
        <v>1.7100000000000001E-7</v>
      </c>
      <c r="V150" s="188">
        <f>opex_orig!V150</f>
        <v>2.48E-7</v>
      </c>
      <c r="W150" s="188">
        <f>opex_orig!W150</f>
        <v>1.06E-7</v>
      </c>
      <c r="X150" s="188">
        <f>opex_orig!X150</f>
        <v>4.1199999999999998E-7</v>
      </c>
      <c r="Y150" s="188">
        <f>opex_orig!Y150</f>
        <v>5.7800000000000001E-8</v>
      </c>
      <c r="Z150" s="188">
        <f>opex_orig!Z150</f>
        <v>8.4799999999999997E-7</v>
      </c>
      <c r="AA150" s="188">
        <f>opex_orig!AA150</f>
        <v>4.6499999999999999E-7</v>
      </c>
      <c r="AB150" s="188">
        <f>opex_orig!$AB150</f>
        <v>3.3681597375321901E-6</v>
      </c>
      <c r="AC150" s="188">
        <f>opex_orig!$AB150</f>
        <v>3.3681597375321901E-6</v>
      </c>
      <c r="AD150" s="188">
        <f>opex_orig!$AB150</f>
        <v>3.3681597375321901E-6</v>
      </c>
      <c r="AE150" s="188">
        <f>opex_orig!$AC150</f>
        <v>3.8071453680921601E-7</v>
      </c>
      <c r="AF150" s="188">
        <f>opex_orig!$AD150</f>
        <v>1.16335194035135E-7</v>
      </c>
      <c r="AG150" s="188">
        <f>opex_orig!$AD150</f>
        <v>1.16335194035135E-7</v>
      </c>
      <c r="AH150" s="188">
        <f>opex_orig!$AD150</f>
        <v>1.16335194035135E-7</v>
      </c>
      <c r="AI150" s="188">
        <f>opex_orig!AE150</f>
        <v>9.0800000000000006E-8</v>
      </c>
      <c r="AJ150" s="188">
        <f>opex_orig!AF150</f>
        <v>1.4100000000000001E-7</v>
      </c>
      <c r="AK150" s="188">
        <f>opex_orig!AG150</f>
        <v>5.3300000000000001E-8</v>
      </c>
      <c r="AL150" s="188">
        <f>opex_orig!AH150</f>
        <v>5.5899999999999998E-8</v>
      </c>
      <c r="AM150" s="188">
        <f>opex_orig!AI150</f>
        <v>1.05E-7</v>
      </c>
      <c r="AN150" s="188">
        <f>opex_orig!AJ150</f>
        <v>5.2700000000000002E-8</v>
      </c>
      <c r="AO150" s="188">
        <f>opex_orig!AK150</f>
        <v>1.2700000000000001E-7</v>
      </c>
      <c r="AP150" s="284">
        <f>opex_concordance!M434</f>
        <v>5.64176205479691E-8</v>
      </c>
      <c r="AQ150" s="284">
        <f>opex_concordance!M488</f>
        <v>3.7507956797601514E-8</v>
      </c>
      <c r="AR150" s="284">
        <f>opex_concordance!M542</f>
        <v>0</v>
      </c>
      <c r="AS150" s="188">
        <f>opex_orig!$AM150</f>
        <v>1.0078900358242099E-7</v>
      </c>
      <c r="AT150" s="188">
        <f>opex_orig!AN150</f>
        <v>6.1500000000000001E-8</v>
      </c>
      <c r="AU150" s="188">
        <f>opex_orig!$AO150</f>
        <v>6.3163477131694794E-8</v>
      </c>
      <c r="AV150" s="188">
        <f>opex_orig!$AO150</f>
        <v>6.3163477131694794E-8</v>
      </c>
      <c r="AW150" s="188">
        <f>opex_orig!$AO150</f>
        <v>6.3163477131694794E-8</v>
      </c>
      <c r="AX150" s="188">
        <f>opex_orig!$AP150</f>
        <v>4.6454016169605297E-8</v>
      </c>
      <c r="AY150" s="188">
        <f>opex_orig!AQ150</f>
        <v>1.55E-7</v>
      </c>
      <c r="AZ150" s="188">
        <f>opex_orig!AR150</f>
        <v>0</v>
      </c>
      <c r="BA150" s="188">
        <f>opex_orig!AS150</f>
        <v>3.9300000000000001E-8</v>
      </c>
      <c r="BB150" s="188">
        <f>opex_orig!AT150</f>
        <v>2.9099999999999999E-8</v>
      </c>
      <c r="BC150" s="188">
        <f>opex_orig!AU150</f>
        <v>5.4399999999999997E-8</v>
      </c>
      <c r="BD150" s="188">
        <f>opex_orig!AV150</f>
        <v>5.8199999999999998E-8</v>
      </c>
      <c r="BE150" s="188">
        <f>opex_orig!AW150</f>
        <v>3.5700000000000002E-8</v>
      </c>
      <c r="BF150" s="188">
        <f>opex_orig!AX150</f>
        <v>0</v>
      </c>
      <c r="BG150" s="188">
        <f>opex_orig!AY150</f>
        <v>2.2399999999999999E-7</v>
      </c>
      <c r="BH150" s="188">
        <f>opex_orig!AZ150</f>
        <v>0</v>
      </c>
      <c r="BI150" s="188">
        <f>opex_orig!BA150</f>
        <v>4.6499999999999999E-8</v>
      </c>
      <c r="BJ150" s="188">
        <f>opex_orig!BB150</f>
        <v>4.73E-8</v>
      </c>
      <c r="BK150" s="188">
        <f>opex_orig!BC150</f>
        <v>2.9200000000000002E-7</v>
      </c>
      <c r="BL150" s="188">
        <f>opex_orig!BD150</f>
        <v>3.7E-7</v>
      </c>
      <c r="BM150" s="188">
        <f>opex_orig!BE150</f>
        <v>4.2899999999999999E-7</v>
      </c>
      <c r="BN150" s="188">
        <f>opex_orig!BF150</f>
        <v>6.1799999999999998E-8</v>
      </c>
      <c r="BO150" s="188">
        <f>opex_orig!BG150</f>
        <v>7.0200000000000007E-8</v>
      </c>
      <c r="BP150" s="188">
        <f>opex_orig!$BH150</f>
        <v>1.9414176068821601E-7</v>
      </c>
      <c r="BQ150" s="188">
        <f>opex_orig!$BH150</f>
        <v>1.9414176068821601E-7</v>
      </c>
      <c r="BR150" s="188">
        <f>opex_orig!BI150</f>
        <v>1.04E-7</v>
      </c>
      <c r="BS150" s="188">
        <f>opex_orig!BJ150</f>
        <v>5.1300000000000003E-8</v>
      </c>
      <c r="BT150" s="188">
        <f>opex_orig!BK150</f>
        <v>3.8199999999999998E-8</v>
      </c>
      <c r="BU150" s="188">
        <f>opex_orig!BL150</f>
        <v>0</v>
      </c>
      <c r="BV150" s="27">
        <f>opex_orig!BM150</f>
        <v>2.2206708547427899E-7</v>
      </c>
      <c r="BW150" s="27">
        <f>opex_orig!BN150</f>
        <v>4.2832359688720299E-7</v>
      </c>
      <c r="BX150" s="27">
        <f>opex_orig!BO150</f>
        <v>7.33979980418677E-8</v>
      </c>
      <c r="BY150" s="27">
        <f>opex_orig!BP150</f>
        <v>1.5438816653154601E-7</v>
      </c>
      <c r="BZ150" s="27">
        <f>opex_orig!BQ150</f>
        <v>4.21727156486482E-7</v>
      </c>
      <c r="CA150" s="27">
        <f>opex_orig!BR150</f>
        <v>5.1114740861365101E-7</v>
      </c>
      <c r="CB150" s="27">
        <f>opex_orig!BS150</f>
        <v>1.13787623981086E-6</v>
      </c>
      <c r="CC150" s="27">
        <f>opex_orig!BT150</f>
        <v>2.18511609074642E-5</v>
      </c>
      <c r="CD150" s="27">
        <f>opex_orig!BU150</f>
        <v>7.3443666876365406E-8</v>
      </c>
      <c r="CE150" s="27">
        <f>opex_orig!BV150</f>
        <v>7.3443666876365406E-8</v>
      </c>
      <c r="CF150" s="27">
        <f>opex_orig!BW150</f>
        <v>1.56277184980311E-6</v>
      </c>
      <c r="CG150" s="27">
        <f>opex_orig!BX150</f>
        <v>1.7565139488465201E-6</v>
      </c>
      <c r="CH150" s="27">
        <f>opex_orig!BY150</f>
        <v>1.8054471924416701E-6</v>
      </c>
      <c r="CI150" s="27">
        <f>opex_orig!BZ150</f>
        <v>2.0699999999999999E-7</v>
      </c>
      <c r="CJ150" s="27">
        <f>opex_orig!CA150</f>
        <v>1.08E-7</v>
      </c>
      <c r="CK150" s="27">
        <f>opex_orig!CB150</f>
        <v>1.24E-7</v>
      </c>
      <c r="CL150" s="27">
        <f>opex_orig!CC150</f>
        <v>7.6000000000000006E-8</v>
      </c>
      <c r="CM150" s="27">
        <f>opex_orig!CD150</f>
        <v>4.5900000000000002E-7</v>
      </c>
      <c r="CN150" s="27">
        <f>opex_orig!CE150</f>
        <v>4.7299999999999998E-5</v>
      </c>
      <c r="CO150" s="27">
        <f>opex_orig!CF150</f>
        <v>1.31E-7</v>
      </c>
      <c r="CP150" s="27">
        <f>opex_orig!CG150</f>
        <v>8.7600000000000004E-8</v>
      </c>
    </row>
    <row r="151" spans="1:94" x14ac:dyDescent="0.25">
      <c r="A151" s="6" t="s">
        <v>293</v>
      </c>
      <c r="B151" s="2" t="s">
        <v>292</v>
      </c>
      <c r="C151" s="1" t="s">
        <v>335</v>
      </c>
      <c r="D151" s="188">
        <f>opex_orig!D151</f>
        <v>7.5060199999999995E-4</v>
      </c>
      <c r="E151" s="188">
        <f>opex_orig!E151</f>
        <v>6.7458100000000005E-4</v>
      </c>
      <c r="F151" s="188">
        <f>opex_orig!F151</f>
        <v>1.37553E-4</v>
      </c>
      <c r="G151" s="188">
        <f>opex_orig!G151</f>
        <v>3.0899999999999999E-5</v>
      </c>
      <c r="H151" s="188">
        <f>opex_orig!H151</f>
        <v>5.2299999999999997E-5</v>
      </c>
      <c r="I151" s="188">
        <f>opex_orig!I151</f>
        <v>5.8034199999999997E-4</v>
      </c>
      <c r="J151" s="188">
        <f>opex_orig!J151</f>
        <v>4.1181399999999998E-4</v>
      </c>
      <c r="K151" s="188">
        <f>opex_orig!K151</f>
        <v>8.2000000000000001E-5</v>
      </c>
      <c r="L151" s="188">
        <f>opex_orig!L151</f>
        <v>7.7417299999999996E-4</v>
      </c>
      <c r="M151" s="188">
        <f>opex_orig!M151</f>
        <v>2.2069110000000002E-3</v>
      </c>
      <c r="N151" s="188">
        <f>opex_orig!N151</f>
        <v>4.0971940000000002E-3</v>
      </c>
      <c r="O151" s="188">
        <f>opex_orig!O151</f>
        <v>1.176341E-3</v>
      </c>
      <c r="P151" s="188">
        <f>opex_orig!P151</f>
        <v>6.0090299999999996E-4</v>
      </c>
      <c r="Q151" s="188">
        <f>opex_orig!Q151</f>
        <v>8.0500000000000005E-5</v>
      </c>
      <c r="R151" s="188">
        <f>opex_orig!R151</f>
        <v>6.3299999999999994E-5</v>
      </c>
      <c r="S151" s="188">
        <f>opex_orig!S151</f>
        <v>1.5568299999999999E-4</v>
      </c>
      <c r="T151" s="188">
        <f>opex_orig!T151</f>
        <v>9.2100000000000003E-5</v>
      </c>
      <c r="U151" s="188">
        <f>opex_orig!U151</f>
        <v>1.4636E-3</v>
      </c>
      <c r="V151" s="188">
        <f>opex_orig!V151</f>
        <v>2.61247E-3</v>
      </c>
      <c r="W151" s="188">
        <f>opex_orig!W151</f>
        <v>4.82089E-4</v>
      </c>
      <c r="X151" s="188">
        <f>opex_orig!X151</f>
        <v>1.83034E-4</v>
      </c>
      <c r="Y151" s="188">
        <f>opex_orig!Y151</f>
        <v>1.00537E-4</v>
      </c>
      <c r="Z151" s="188">
        <f>opex_orig!Z151</f>
        <v>4.2496E-4</v>
      </c>
      <c r="AA151" s="188">
        <f>opex_orig!AA151</f>
        <v>2.0543800000000001E-4</v>
      </c>
      <c r="AB151" s="188">
        <f>opex_orig!$AB151</f>
        <v>4.0779143705006998E-4</v>
      </c>
      <c r="AC151" s="188">
        <f>opex_orig!$AB151</f>
        <v>4.0779143705006998E-4</v>
      </c>
      <c r="AD151" s="188">
        <f>opex_orig!$AB151</f>
        <v>4.0779143705006998E-4</v>
      </c>
      <c r="AE151" s="188">
        <f>opex_orig!$AC151</f>
        <v>1.47205900693031E-2</v>
      </c>
      <c r="AF151" s="188">
        <f>opex_orig!$AD151</f>
        <v>4.8451550028647903E-3</v>
      </c>
      <c r="AG151" s="188">
        <f>opex_orig!$AD151</f>
        <v>4.8451550028647903E-3</v>
      </c>
      <c r="AH151" s="188">
        <f>opex_orig!$AD151</f>
        <v>4.8451550028647903E-3</v>
      </c>
      <c r="AI151" s="188">
        <f>opex_orig!AE151</f>
        <v>3.8648020000000001E-3</v>
      </c>
      <c r="AJ151" s="188">
        <f>opex_orig!AF151</f>
        <v>1.1499850000000001E-3</v>
      </c>
      <c r="AK151" s="188">
        <f>opex_orig!AG151</f>
        <v>1.8349999999999999E-4</v>
      </c>
      <c r="AL151" s="188">
        <f>opex_orig!AH151</f>
        <v>2.4061300000000001E-4</v>
      </c>
      <c r="AM151" s="188">
        <f>opex_orig!AI151</f>
        <v>2.1080099999999999E-4</v>
      </c>
      <c r="AN151" s="188">
        <f>opex_orig!AJ151</f>
        <v>4.3507099999999998E-4</v>
      </c>
      <c r="AO151" s="188">
        <f>opex_orig!AK151</f>
        <v>2.6100100000000002E-4</v>
      </c>
      <c r="AP151" s="284">
        <f>opex_concordance!M435</f>
        <v>5.9833910216383905E-4</v>
      </c>
      <c r="AQ151" s="284">
        <f>opex_concordance!M489</f>
        <v>3.9779198371535775E-4</v>
      </c>
      <c r="AR151" s="284">
        <f>opex_concordance!M543</f>
        <v>0</v>
      </c>
      <c r="AS151" s="188">
        <f>opex_orig!$AM151</f>
        <v>2.4495527498332099E-4</v>
      </c>
      <c r="AT151" s="188">
        <f>opex_orig!AN151</f>
        <v>6.7969700000000005E-4</v>
      </c>
      <c r="AU151" s="188">
        <f>opex_orig!$AO151</f>
        <v>1.02592142149026E-3</v>
      </c>
      <c r="AV151" s="188">
        <f>opex_orig!$AO151</f>
        <v>1.02592142149026E-3</v>
      </c>
      <c r="AW151" s="188">
        <f>opex_orig!$AO151</f>
        <v>1.02592142149026E-3</v>
      </c>
      <c r="AX151" s="188">
        <f>opex_orig!$AP151</f>
        <v>1.58024908945407E-3</v>
      </c>
      <c r="AY151" s="188">
        <f>opex_orig!AQ151</f>
        <v>1.8066779999999999E-3</v>
      </c>
      <c r="AZ151" s="188">
        <f>opex_orig!AR151</f>
        <v>0</v>
      </c>
      <c r="BA151" s="188">
        <f>opex_orig!AS151</f>
        <v>1.0807729999999999E-3</v>
      </c>
      <c r="BB151" s="188">
        <f>opex_orig!AT151</f>
        <v>8.3712299999999995E-4</v>
      </c>
      <c r="BC151" s="188">
        <f>opex_orig!AU151</f>
        <v>1.4913540000000001E-3</v>
      </c>
      <c r="BD151" s="188">
        <f>opex_orig!AV151</f>
        <v>1.14617E-4</v>
      </c>
      <c r="BE151" s="188">
        <f>opex_orig!AW151</f>
        <v>1.2604910000000001E-3</v>
      </c>
      <c r="BF151" s="188">
        <f>opex_orig!AX151</f>
        <v>0</v>
      </c>
      <c r="BG151" s="188">
        <f>opex_orig!AY151</f>
        <v>5.5049799999999996E-4</v>
      </c>
      <c r="BH151" s="188">
        <f>opex_orig!AZ151</f>
        <v>0</v>
      </c>
      <c r="BI151" s="188">
        <f>opex_orig!BA151</f>
        <v>8.9336400000000001E-4</v>
      </c>
      <c r="BJ151" s="188">
        <f>opex_orig!BB151</f>
        <v>1.2793080000000001E-3</v>
      </c>
      <c r="BK151" s="188">
        <f>opex_orig!BC151</f>
        <v>2.0519269999999998E-3</v>
      </c>
      <c r="BL151" s="188">
        <f>opex_orig!BD151</f>
        <v>1.2801699999999999E-4</v>
      </c>
      <c r="BM151" s="188">
        <f>opex_orig!BE151</f>
        <v>2.4504300000000002E-4</v>
      </c>
      <c r="BN151" s="188">
        <f>opex_orig!BF151</f>
        <v>9.1299999999999997E-5</v>
      </c>
      <c r="BO151" s="188">
        <f>opex_orig!BG151</f>
        <v>3.7532599999999999E-4</v>
      </c>
      <c r="BP151" s="188">
        <f>opex_orig!$BH151</f>
        <v>7.0941738088187698E-4</v>
      </c>
      <c r="BQ151" s="188">
        <f>opex_orig!$BH151</f>
        <v>7.0941738088187698E-4</v>
      </c>
      <c r="BR151" s="188">
        <f>opex_orig!BI151</f>
        <v>9.816759999999999E-4</v>
      </c>
      <c r="BS151" s="188">
        <f>opex_orig!BJ151</f>
        <v>3.2180400000000002E-4</v>
      </c>
      <c r="BT151" s="188">
        <f>opex_orig!BK151</f>
        <v>1.668817E-3</v>
      </c>
      <c r="BU151" s="188">
        <f>opex_orig!BL151</f>
        <v>0</v>
      </c>
      <c r="BV151" s="27">
        <f>opex_orig!BM151</f>
        <v>9.06552981922833E-4</v>
      </c>
      <c r="BW151" s="27">
        <f>opex_orig!BN151</f>
        <v>4.31597988665329E-3</v>
      </c>
      <c r="BX151" s="27">
        <f>opex_orig!BO151</f>
        <v>8.9157486830278797E-4</v>
      </c>
      <c r="BY151" s="27">
        <f>opex_orig!BP151</f>
        <v>3.4094000825991501E-3</v>
      </c>
      <c r="BZ151" s="27">
        <f>opex_orig!BQ151</f>
        <v>4.3309313224459202E-4</v>
      </c>
      <c r="CA151" s="27">
        <f>opex_orig!BR151</f>
        <v>1.76900244559416E-5</v>
      </c>
      <c r="CB151" s="27">
        <f>opex_orig!BS151</f>
        <v>7.4462640213385797E-4</v>
      </c>
      <c r="CC151" s="27">
        <f>opex_orig!BT151</f>
        <v>1.02870188231935E-4</v>
      </c>
      <c r="CD151" s="27">
        <f>opex_orig!BU151</f>
        <v>4.7382137204071802E-5</v>
      </c>
      <c r="CE151" s="27">
        <f>opex_orig!BV151</f>
        <v>4.7382137204071897E-5</v>
      </c>
      <c r="CF151" s="27">
        <f>opex_orig!BW151</f>
        <v>4.2682116581145297E-6</v>
      </c>
      <c r="CG151" s="27">
        <f>opex_orig!BX151</f>
        <v>7.4992149924902901E-6</v>
      </c>
      <c r="CH151" s="27">
        <f>opex_orig!BY151</f>
        <v>6.2745877962952505E-8</v>
      </c>
      <c r="CI151" s="27">
        <f>opex_orig!BZ151</f>
        <v>2.2840429999999999E-3</v>
      </c>
      <c r="CJ151" s="27">
        <f>opex_orig!CA151</f>
        <v>8.4203299999999995E-4</v>
      </c>
      <c r="CK151" s="27">
        <f>opex_orig!CB151</f>
        <v>5.7005800000000002E-4</v>
      </c>
      <c r="CL151" s="27">
        <f>opex_orig!CC151</f>
        <v>3.3559399999999999E-4</v>
      </c>
      <c r="CM151" s="27">
        <f>opex_orig!CD151</f>
        <v>1.5528429999999999E-3</v>
      </c>
      <c r="CN151" s="27">
        <f>opex_orig!CE151</f>
        <v>1.0244633E-2</v>
      </c>
      <c r="CO151" s="27">
        <f>opex_orig!CF151</f>
        <v>6.9147100000000003E-4</v>
      </c>
      <c r="CP151" s="27">
        <f>opex_orig!CG151</f>
        <v>2.3148299999999999E-4</v>
      </c>
    </row>
    <row r="152" spans="1:94" x14ac:dyDescent="0.25">
      <c r="A152" s="6" t="s">
        <v>295</v>
      </c>
      <c r="B152" s="2" t="s">
        <v>294</v>
      </c>
      <c r="C152" s="1" t="s">
        <v>335</v>
      </c>
      <c r="D152" s="188">
        <f>opex_orig!D152</f>
        <v>3.6141E-4</v>
      </c>
      <c r="E152" s="188">
        <f>opex_orig!E152</f>
        <v>1.5144299999999999E-4</v>
      </c>
      <c r="F152" s="188">
        <f>opex_orig!F152</f>
        <v>2.4700000000000001E-5</v>
      </c>
      <c r="G152" s="188">
        <f>opex_orig!G152</f>
        <v>5.7300000000000002E-6</v>
      </c>
      <c r="H152" s="188">
        <f>opex_orig!H152</f>
        <v>9.4499999999999993E-6</v>
      </c>
      <c r="I152" s="188">
        <f>opex_orig!I152</f>
        <v>1.09522E-4</v>
      </c>
      <c r="J152" s="188">
        <f>opex_orig!J152</f>
        <v>7.1299999999999998E-5</v>
      </c>
      <c r="K152" s="188">
        <f>opex_orig!K152</f>
        <v>1.5400000000000002E-5</v>
      </c>
      <c r="L152" s="188">
        <f>opex_orig!L152</f>
        <v>1.42516E-4</v>
      </c>
      <c r="M152" s="188">
        <f>opex_orig!M152</f>
        <v>4.0025299999999999E-4</v>
      </c>
      <c r="N152" s="188">
        <f>opex_orig!N152</f>
        <v>9.6061200000000001E-4</v>
      </c>
      <c r="O152" s="188">
        <f>opex_orig!O152</f>
        <v>2.4738000000000001E-4</v>
      </c>
      <c r="P152" s="188">
        <f>opex_orig!P152</f>
        <v>1.5653299999999999E-4</v>
      </c>
      <c r="Q152" s="188">
        <f>opex_orig!Q152</f>
        <v>3.2100000000000001E-5</v>
      </c>
      <c r="R152" s="188">
        <f>opex_orig!R152</f>
        <v>1.9899999999999999E-5</v>
      </c>
      <c r="S152" s="188">
        <f>opex_orig!S152</f>
        <v>3.5099999999999999E-5</v>
      </c>
      <c r="T152" s="188">
        <f>opex_orig!T152</f>
        <v>1.8600000000000001E-5</v>
      </c>
      <c r="U152" s="188">
        <f>opex_orig!U152</f>
        <v>3.0597799999999999E-4</v>
      </c>
      <c r="V152" s="188">
        <f>opex_orig!V152</f>
        <v>5.7236600000000004E-4</v>
      </c>
      <c r="W152" s="188">
        <f>opex_orig!W152</f>
        <v>1.0179900000000001E-4</v>
      </c>
      <c r="X152" s="188">
        <f>opex_orig!X152</f>
        <v>4.1100000000000003E-5</v>
      </c>
      <c r="Y152" s="188">
        <f>opex_orig!Y152</f>
        <v>2.2500000000000001E-5</v>
      </c>
      <c r="Z152" s="188">
        <f>opex_orig!Z152</f>
        <v>8.9499999999999994E-5</v>
      </c>
      <c r="AA152" s="188">
        <f>opex_orig!AA152</f>
        <v>4.6999999999999997E-5</v>
      </c>
      <c r="AB152" s="188">
        <f>opex_orig!$AB152</f>
        <v>3.6122724475254003E-5</v>
      </c>
      <c r="AC152" s="188">
        <f>opex_orig!$AB152</f>
        <v>3.6122724475254003E-5</v>
      </c>
      <c r="AD152" s="188">
        <f>opex_orig!$AB152</f>
        <v>3.6122724475254003E-5</v>
      </c>
      <c r="AE152" s="188">
        <f>opex_orig!$AC152</f>
        <v>3.51658865794856E-3</v>
      </c>
      <c r="AF152" s="188">
        <f>opex_orig!$AD152</f>
        <v>9.9503212743291109E-4</v>
      </c>
      <c r="AG152" s="188">
        <f>opex_orig!$AD152</f>
        <v>9.9503212743291109E-4</v>
      </c>
      <c r="AH152" s="188">
        <f>opex_orig!$AD152</f>
        <v>9.9503212743291109E-4</v>
      </c>
      <c r="AI152" s="188">
        <f>opex_orig!AE152</f>
        <v>7.5445199999999997E-4</v>
      </c>
      <c r="AJ152" s="188">
        <f>opex_orig!AF152</f>
        <v>2.0940499999999999E-4</v>
      </c>
      <c r="AK152" s="188">
        <f>opex_orig!AG152</f>
        <v>3.8500000000000001E-5</v>
      </c>
      <c r="AL152" s="188">
        <f>opex_orig!AH152</f>
        <v>5.4700000000000001E-5</v>
      </c>
      <c r="AM152" s="188">
        <f>opex_orig!AI152</f>
        <v>3.8000000000000002E-5</v>
      </c>
      <c r="AN152" s="188">
        <f>opex_orig!AJ152</f>
        <v>1.04827E-4</v>
      </c>
      <c r="AO152" s="188">
        <f>opex_orig!AK152</f>
        <v>4.6999999999999997E-5</v>
      </c>
      <c r="AP152" s="188">
        <f>opex_orig!$AL152</f>
        <v>1.3512775337577799E-4</v>
      </c>
      <c r="AQ152" s="188">
        <f>opex_orig!$AL152</f>
        <v>1.3512775337577799E-4</v>
      </c>
      <c r="AR152" s="188">
        <f>opex_orig!$AL152</f>
        <v>1.3512775337577799E-4</v>
      </c>
      <c r="AS152" s="188">
        <f>opex_orig!$AM152</f>
        <v>5.0574544437702795E-4</v>
      </c>
      <c r="AT152" s="188">
        <f>opex_orig!AN152</f>
        <v>1.4677399999999999E-4</v>
      </c>
      <c r="AU152" s="188">
        <f>opex_orig!$AO152</f>
        <v>1.9499961782822999E-4</v>
      </c>
      <c r="AV152" s="188">
        <f>opex_orig!$AO152</f>
        <v>1.9499961782822999E-4</v>
      </c>
      <c r="AW152" s="188">
        <f>opex_orig!$AO152</f>
        <v>1.9499961782822999E-4</v>
      </c>
      <c r="AX152" s="188">
        <f>opex_orig!$AP152</f>
        <v>3.1904948747469197E-4</v>
      </c>
      <c r="AY152" s="188">
        <f>opex_orig!AQ152</f>
        <v>3.8755000000000001E-4</v>
      </c>
      <c r="AZ152" s="188">
        <f>opex_orig!AR152</f>
        <v>0</v>
      </c>
      <c r="BA152" s="188">
        <f>opex_orig!AS152</f>
        <v>2.2894899999999999E-4</v>
      </c>
      <c r="BB152" s="188">
        <f>opex_orig!AT152</f>
        <v>1.6331000000000001E-4</v>
      </c>
      <c r="BC152" s="188">
        <f>opex_orig!AU152</f>
        <v>3.6683100000000003E-4</v>
      </c>
      <c r="BD152" s="188">
        <f>opex_orig!AV152</f>
        <v>4.0289999999999998E-4</v>
      </c>
      <c r="BE152" s="188">
        <f>opex_orig!AW152</f>
        <v>2.6685100000000002E-4</v>
      </c>
      <c r="BF152" s="188">
        <f>opex_orig!AX152</f>
        <v>0</v>
      </c>
      <c r="BG152" s="188">
        <f>opex_orig!AY152</f>
        <v>1.03575E-4</v>
      </c>
      <c r="BH152" s="188">
        <f>opex_orig!AZ152</f>
        <v>0</v>
      </c>
      <c r="BI152" s="188">
        <f>opex_orig!BA152</f>
        <v>1.6847100000000001E-4</v>
      </c>
      <c r="BJ152" s="188">
        <f>opex_orig!BB152</f>
        <v>2.2697099999999999E-4</v>
      </c>
      <c r="BK152" s="188">
        <f>opex_orig!BC152</f>
        <v>3.62925E-4</v>
      </c>
      <c r="BL152" s="188">
        <f>opex_orig!BD152</f>
        <v>3.0300000000000001E-5</v>
      </c>
      <c r="BM152" s="188">
        <f>opex_orig!BE152</f>
        <v>4.6199999999999998E-5</v>
      </c>
      <c r="BN152" s="188">
        <f>opex_orig!BF152</f>
        <v>1.9599999999999999E-5</v>
      </c>
      <c r="BO152" s="188">
        <f>opex_orig!BG152</f>
        <v>7.6899999999999999E-5</v>
      </c>
      <c r="BP152" s="188">
        <f>opex_orig!$BH152</f>
        <v>1.2729870880822801E-4</v>
      </c>
      <c r="BQ152" s="188">
        <f>opex_orig!$BH152</f>
        <v>1.2729870880822801E-4</v>
      </c>
      <c r="BR152" s="188">
        <f>opex_orig!BI152</f>
        <v>1.83318E-4</v>
      </c>
      <c r="BS152" s="188">
        <f>opex_orig!BJ152</f>
        <v>6.3600000000000001E-5</v>
      </c>
      <c r="BT152" s="188">
        <f>opex_orig!BK152</f>
        <v>3.1004699999999998E-4</v>
      </c>
      <c r="BU152" s="188">
        <f>opex_orig!BL152</f>
        <v>0</v>
      </c>
      <c r="BV152" s="27">
        <f>opex_orig!BM152</f>
        <v>1.6932946730991E-4</v>
      </c>
      <c r="BW152" s="27">
        <f>opex_orig!BN152</f>
        <v>9.6656315429329497E-4</v>
      </c>
      <c r="BX152" s="27">
        <f>opex_orig!BO152</f>
        <v>1.7124384044226099E-4</v>
      </c>
      <c r="BY152" s="27">
        <f>opex_orig!BP152</f>
        <v>8.3341159985566096E-4</v>
      </c>
      <c r="BZ152" s="27">
        <f>opex_orig!BQ152</f>
        <v>7.6213680567842503E-5</v>
      </c>
      <c r="CA152" s="27">
        <f>opex_orig!BR152</f>
        <v>4.7919268110639304E-6</v>
      </c>
      <c r="CB152" s="27">
        <f>opex_orig!BS152</f>
        <v>1.7331354867221999E-4</v>
      </c>
      <c r="CC152" s="27">
        <f>opex_orig!BT152</f>
        <v>4.2864053637616997E-3</v>
      </c>
      <c r="CD152" s="27">
        <f>opex_orig!BU152</f>
        <v>7.9693628963268797E-6</v>
      </c>
      <c r="CE152" s="27">
        <f>opex_orig!BV152</f>
        <v>7.9693628963268899E-6</v>
      </c>
      <c r="CF152" s="27">
        <f>opex_orig!BW152</f>
        <v>3.9296589954353803E-6</v>
      </c>
      <c r="CG152" s="27">
        <f>opex_orig!BX152</f>
        <v>5.9043087107970504E-6</v>
      </c>
      <c r="CH152" s="27">
        <f>opex_orig!BY152</f>
        <v>2.10514152409404E-6</v>
      </c>
      <c r="CI152" s="27">
        <f>opex_orig!BZ152</f>
        <v>5.1942600000000002E-4</v>
      </c>
      <c r="CJ152" s="27">
        <f>opex_orig!CA152</f>
        <v>1.7230300000000001E-4</v>
      </c>
      <c r="CK152" s="27">
        <f>opex_orig!CB152</f>
        <v>1.08175E-4</v>
      </c>
      <c r="CL152" s="27">
        <f>opex_orig!CC152</f>
        <v>7.6500000000000003E-5</v>
      </c>
      <c r="CM152" s="27">
        <f>opex_orig!CD152</f>
        <v>2.3549899999999999E-4</v>
      </c>
      <c r="CN152" s="27">
        <f>opex_orig!CE152</f>
        <v>1.8284659999999999E-3</v>
      </c>
      <c r="CO152" s="27">
        <f>opex_orig!CF152</f>
        <v>1.2280400000000001E-4</v>
      </c>
      <c r="CP152" s="27">
        <f>opex_orig!CG152</f>
        <v>7.5619800000000003E-4</v>
      </c>
    </row>
    <row r="153" spans="1:94" x14ac:dyDescent="0.25">
      <c r="A153" s="6" t="s">
        <v>297</v>
      </c>
      <c r="B153" s="2" t="s">
        <v>296</v>
      </c>
      <c r="C153" s="1" t="s">
        <v>335</v>
      </c>
      <c r="D153" s="188">
        <f>opex_orig!D153</f>
        <v>5.9800000000000006E-8</v>
      </c>
      <c r="E153" s="188">
        <f>opex_orig!E153</f>
        <v>1.33E-8</v>
      </c>
      <c r="F153" s="188">
        <f>opex_orig!F153</f>
        <v>2.14E-8</v>
      </c>
      <c r="G153" s="188">
        <f>opex_orig!G153</f>
        <v>3.8199999999999996E-9</v>
      </c>
      <c r="H153" s="188">
        <f>opex_orig!H153</f>
        <v>8.6100000000000007E-9</v>
      </c>
      <c r="I153" s="188">
        <f>opex_orig!I153</f>
        <v>1.8699999999999999E-8</v>
      </c>
      <c r="J153" s="188">
        <f>opex_orig!J153</f>
        <v>5.0699999999999997E-8</v>
      </c>
      <c r="K153" s="188">
        <f>opex_orig!K153</f>
        <v>1.1199999999999999E-8</v>
      </c>
      <c r="L153" s="188">
        <f>opex_orig!L153</f>
        <v>6.7099999999999999E-8</v>
      </c>
      <c r="M153" s="188">
        <f>opex_orig!M153</f>
        <v>5.5000000000000003E-8</v>
      </c>
      <c r="N153" s="188">
        <f>opex_orig!N153</f>
        <v>3.7499999999999998E-8</v>
      </c>
      <c r="O153" s="188">
        <f>opex_orig!O153</f>
        <v>3.5399999999999999E-8</v>
      </c>
      <c r="P153" s="188">
        <f>opex_orig!P153</f>
        <v>8.5E-9</v>
      </c>
      <c r="Q153" s="188">
        <f>opex_orig!Q153</f>
        <v>4.5900000000000001E-9</v>
      </c>
      <c r="R153" s="188">
        <f>opex_orig!R153</f>
        <v>5.6599999999999999E-9</v>
      </c>
      <c r="S153" s="188">
        <f>opex_orig!S153</f>
        <v>8.6100000000000007E-9</v>
      </c>
      <c r="T153" s="188">
        <f>opex_orig!T153</f>
        <v>2.85E-8</v>
      </c>
      <c r="U153" s="188">
        <f>opex_orig!U153</f>
        <v>7.61E-9</v>
      </c>
      <c r="V153" s="188">
        <f>opex_orig!V153</f>
        <v>8.4599999999999993E-9</v>
      </c>
      <c r="W153" s="188">
        <f>opex_orig!W153</f>
        <v>3.2600000000000001E-8</v>
      </c>
      <c r="X153" s="188">
        <f>opex_orig!X153</f>
        <v>1.3799999999999999E-8</v>
      </c>
      <c r="Y153" s="188">
        <f>opex_orig!Y153</f>
        <v>2.23E-7</v>
      </c>
      <c r="Z153" s="188">
        <f>opex_orig!Z153</f>
        <v>4.0300000000000004E-9</v>
      </c>
      <c r="AA153" s="188">
        <f>opex_orig!AA153</f>
        <v>3.6500000000000003E-8</v>
      </c>
      <c r="AB153" s="188">
        <f>opex_orig!$AB153</f>
        <v>3.3124385624188101E-7</v>
      </c>
      <c r="AC153" s="188">
        <f>opex_orig!$AB153</f>
        <v>3.3124385624188101E-7</v>
      </c>
      <c r="AD153" s="188">
        <f>opex_orig!$AB153</f>
        <v>3.3124385624188101E-7</v>
      </c>
      <c r="AE153" s="188">
        <f>opex_orig!$AC153</f>
        <v>3.6858164331613297E-8</v>
      </c>
      <c r="AF153" s="188">
        <f>opex_orig!$AD153</f>
        <v>1.79447557831874E-8</v>
      </c>
      <c r="AG153" s="188">
        <f>opex_orig!$AD153</f>
        <v>1.79447557831874E-8</v>
      </c>
      <c r="AH153" s="188">
        <f>opex_orig!$AD153</f>
        <v>1.79447557831874E-8</v>
      </c>
      <c r="AI153" s="188">
        <f>opex_orig!AE153</f>
        <v>1.48E-8</v>
      </c>
      <c r="AJ153" s="188">
        <f>opex_orig!AF153</f>
        <v>2.4999999999999999E-8</v>
      </c>
      <c r="AK153" s="188">
        <f>opex_orig!AG153</f>
        <v>5.6599999999999999E-9</v>
      </c>
      <c r="AL153" s="188">
        <f>opex_orig!AH153</f>
        <v>2.1699999999999999E-8</v>
      </c>
      <c r="AM153" s="188">
        <f>opex_orig!AI153</f>
        <v>1.3000000000000001E-8</v>
      </c>
      <c r="AN153" s="188">
        <f>opex_orig!AJ153</f>
        <v>2.5600000000000001E-8</v>
      </c>
      <c r="AO153" s="188">
        <f>opex_orig!AK153</f>
        <v>1.9799999999999999E-8</v>
      </c>
      <c r="AP153" s="188">
        <f>opex_orig!$AL153</f>
        <v>1.48236781438993E-8</v>
      </c>
      <c r="AQ153" s="188">
        <f>opex_orig!$AL153</f>
        <v>1.48236781438993E-8</v>
      </c>
      <c r="AR153" s="188">
        <f>opex_orig!$AL153</f>
        <v>1.48236781438993E-8</v>
      </c>
      <c r="AS153" s="188">
        <f>opex_orig!$AM153</f>
        <v>1.68812119936103E-8</v>
      </c>
      <c r="AT153" s="188">
        <f>opex_orig!AN153</f>
        <v>1.33E-8</v>
      </c>
      <c r="AU153" s="188">
        <f>opex_orig!$AO153</f>
        <v>4.5260085548045498E-8</v>
      </c>
      <c r="AV153" s="188">
        <f>opex_orig!$AO153</f>
        <v>4.5260085548045498E-8</v>
      </c>
      <c r="AW153" s="188">
        <f>opex_orig!$AO153</f>
        <v>4.5260085548045498E-8</v>
      </c>
      <c r="AX153" s="188">
        <f>opex_orig!$AP153</f>
        <v>1.0647973758409799E-8</v>
      </c>
      <c r="AY153" s="188">
        <f>opex_orig!AQ153</f>
        <v>7.6000000000000002E-9</v>
      </c>
      <c r="AZ153" s="188">
        <f>opex_orig!AR153</f>
        <v>0</v>
      </c>
      <c r="BA153" s="188">
        <f>opex_orig!AS153</f>
        <v>9.8099999999999998E-9</v>
      </c>
      <c r="BB153" s="188">
        <f>opex_orig!AT153</f>
        <v>7.0800000000000004E-9</v>
      </c>
      <c r="BC153" s="188">
        <f>opex_orig!AU153</f>
        <v>4.6299999999999999E-9</v>
      </c>
      <c r="BD153" s="188">
        <f>opex_orig!AV153</f>
        <v>4.4699999999999997E-9</v>
      </c>
      <c r="BE153" s="188">
        <f>opex_orig!AW153</f>
        <v>5.0799999999999998E-9</v>
      </c>
      <c r="BF153" s="188">
        <f>opex_orig!AX153</f>
        <v>0</v>
      </c>
      <c r="BG153" s="188">
        <f>opex_orig!AY153</f>
        <v>2.18E-8</v>
      </c>
      <c r="BH153" s="188">
        <f>opex_orig!AZ153</f>
        <v>0</v>
      </c>
      <c r="BI153" s="188">
        <f>opex_orig!BA153</f>
        <v>1E-8</v>
      </c>
      <c r="BJ153" s="188">
        <f>opex_orig!BB153</f>
        <v>7.8000000000000004E-9</v>
      </c>
      <c r="BK153" s="188">
        <f>opex_orig!BC153</f>
        <v>9.94E-9</v>
      </c>
      <c r="BL153" s="188">
        <f>opex_orig!BD153</f>
        <v>1.73E-9</v>
      </c>
      <c r="BM153" s="188">
        <f>opex_orig!BE153</f>
        <v>6.5899999999999998E-9</v>
      </c>
      <c r="BN153" s="188">
        <f>opex_orig!BF153</f>
        <v>1.74E-9</v>
      </c>
      <c r="BO153" s="188">
        <f>opex_orig!BG153</f>
        <v>6.8800000000000002E-9</v>
      </c>
      <c r="BP153" s="188">
        <f>opex_orig!$BH153</f>
        <v>5.8491541064663598E-9</v>
      </c>
      <c r="BQ153" s="188">
        <f>opex_orig!$BH153</f>
        <v>5.8491541064663598E-9</v>
      </c>
      <c r="BR153" s="188">
        <f>opex_orig!BI153</f>
        <v>3.94E-9</v>
      </c>
      <c r="BS153" s="188">
        <f>opex_orig!BJ153</f>
        <v>1.24E-8</v>
      </c>
      <c r="BT153" s="188">
        <f>opex_orig!BK153</f>
        <v>6.3099999999999999E-9</v>
      </c>
      <c r="BU153" s="188">
        <f>opex_orig!BL153</f>
        <v>0</v>
      </c>
      <c r="BV153" s="27">
        <f>opex_orig!BM153</f>
        <v>5.9684984694976295E-8</v>
      </c>
      <c r="BW153" s="27">
        <f>opex_orig!BN153</f>
        <v>1.35342489055662E-8</v>
      </c>
      <c r="BX153" s="27">
        <f>opex_orig!BO153</f>
        <v>3.1995826005544702E-9</v>
      </c>
      <c r="BY153" s="27">
        <f>opex_orig!BP153</f>
        <v>9.5225606378635995E-9</v>
      </c>
      <c r="BZ153" s="27">
        <f>opex_orig!BQ153</f>
        <v>3.7491506243653902E-8</v>
      </c>
      <c r="CA153" s="27">
        <f>opex_orig!BR153</f>
        <v>2.1966410998050101E-7</v>
      </c>
      <c r="CB153" s="27">
        <f>opex_orig!BS153</f>
        <v>1.00449291662653E-7</v>
      </c>
      <c r="CC153" s="27">
        <f>opex_orig!BT153</f>
        <v>1.18568197719708E-8</v>
      </c>
      <c r="CD153" s="27">
        <f>opex_orig!BU153</f>
        <v>3.8002937281402397E-9</v>
      </c>
      <c r="CE153" s="27">
        <f>opex_orig!BV153</f>
        <v>3.8002937281402496E-9</v>
      </c>
      <c r="CF153" s="27">
        <f>opex_orig!BW153</f>
        <v>1.36619149831936E-8</v>
      </c>
      <c r="CG153" s="27">
        <f>opex_orig!BX153</f>
        <v>4.7866875770247495E-10</v>
      </c>
      <c r="CH153" s="27">
        <f>opex_orig!BY153</f>
        <v>2.7009100532561298E-9</v>
      </c>
      <c r="CI153" s="27">
        <f>opex_orig!BZ153</f>
        <v>8.9600000000000005E-9</v>
      </c>
      <c r="CJ153" s="27">
        <f>opex_orig!CA153</f>
        <v>4.9399999999999999E-9</v>
      </c>
      <c r="CK153" s="27">
        <f>opex_orig!CB153</f>
        <v>4.5399999999999996E-9</v>
      </c>
      <c r="CL153" s="27">
        <f>opex_orig!CC153</f>
        <v>2.1200000000000001E-9</v>
      </c>
      <c r="CM153" s="27">
        <f>opex_orig!CD153</f>
        <v>8.5999999999999993E-9</v>
      </c>
      <c r="CN153" s="27">
        <f>opex_orig!CE153</f>
        <v>3.8300000000000003E-5</v>
      </c>
      <c r="CO153" s="27">
        <f>opex_orig!CF153</f>
        <v>4.2300000000000002E-8</v>
      </c>
      <c r="CP153" s="27">
        <f>opex_orig!CG153</f>
        <v>1.4100000000000001E-8</v>
      </c>
    </row>
    <row r="154" spans="1:94" x14ac:dyDescent="0.25">
      <c r="A154" s="6" t="s">
        <v>299</v>
      </c>
      <c r="B154" s="2" t="s">
        <v>298</v>
      </c>
      <c r="C154" s="1" t="s">
        <v>335</v>
      </c>
      <c r="D154" s="188">
        <f>opex_orig!D154</f>
        <v>4.5905799999999998E-4</v>
      </c>
      <c r="E154" s="188">
        <f>opex_orig!E154</f>
        <v>1.65141E-4</v>
      </c>
      <c r="F154" s="188">
        <f>opex_orig!F154</f>
        <v>1.6490799999999999E-4</v>
      </c>
      <c r="G154" s="188">
        <f>opex_orig!G154</f>
        <v>9.6600000000000007E-6</v>
      </c>
      <c r="H154" s="188">
        <f>opex_orig!H154</f>
        <v>1.6099999999999998E-5</v>
      </c>
      <c r="I154" s="188">
        <f>opex_orig!I154</f>
        <v>1.5862800000000001E-4</v>
      </c>
      <c r="J154" s="188">
        <f>opex_orig!J154</f>
        <v>1.5508300000000001E-4</v>
      </c>
      <c r="K154" s="188">
        <f>opex_orig!K154</f>
        <v>2.5700000000000001E-5</v>
      </c>
      <c r="L154" s="188">
        <f>opex_orig!L154</f>
        <v>2.1560199999999999E-4</v>
      </c>
      <c r="M154" s="188">
        <f>opex_orig!M154</f>
        <v>6.0227900000000005E-4</v>
      </c>
      <c r="N154" s="188">
        <f>opex_orig!N154</f>
        <v>9.4162499999999997E-4</v>
      </c>
      <c r="O154" s="188">
        <f>opex_orig!O154</f>
        <v>3.3530000000000002E-4</v>
      </c>
      <c r="P154" s="188">
        <f>opex_orig!P154</f>
        <v>1.6721499999999999E-4</v>
      </c>
      <c r="Q154" s="188">
        <f>opex_orig!Q154</f>
        <v>7.8499999999999997E-5</v>
      </c>
      <c r="R154" s="188">
        <f>opex_orig!R154</f>
        <v>2.44E-5</v>
      </c>
      <c r="S154" s="188">
        <f>opex_orig!S154</f>
        <v>4.2400000000000001E-5</v>
      </c>
      <c r="T154" s="188">
        <f>opex_orig!T154</f>
        <v>3.15E-5</v>
      </c>
      <c r="U154" s="188">
        <f>opex_orig!U154</f>
        <v>3.6199600000000001E-4</v>
      </c>
      <c r="V154" s="188">
        <f>opex_orig!V154</f>
        <v>6.2190599999999998E-4</v>
      </c>
      <c r="W154" s="188">
        <f>opex_orig!W154</f>
        <v>1.2652799999999999E-4</v>
      </c>
      <c r="X154" s="188">
        <f>opex_orig!X154</f>
        <v>5.3699999999999997E-5</v>
      </c>
      <c r="Y154" s="188">
        <f>opex_orig!Y154</f>
        <v>3.3399999999999999E-5</v>
      </c>
      <c r="Z154" s="188">
        <f>opex_orig!Z154</f>
        <v>1.16698E-4</v>
      </c>
      <c r="AA154" s="188">
        <f>opex_orig!AA154</f>
        <v>8.0900000000000001E-5</v>
      </c>
      <c r="AB154" s="188">
        <f>opex_orig!$AB154</f>
        <v>6.00974610040198E-5</v>
      </c>
      <c r="AC154" s="188">
        <f>opex_orig!$AB154</f>
        <v>6.00974610040198E-5</v>
      </c>
      <c r="AD154" s="188">
        <f>opex_orig!$AB154</f>
        <v>6.00974610040198E-5</v>
      </c>
      <c r="AE154" s="188">
        <f>opex_orig!$AC154</f>
        <v>3.2787202138873702E-3</v>
      </c>
      <c r="AF154" s="188">
        <f>opex_orig!$AD154</f>
        <v>1.19876281626405E-3</v>
      </c>
      <c r="AG154" s="188">
        <f>opex_orig!$AD154</f>
        <v>1.19876281626405E-3</v>
      </c>
      <c r="AH154" s="188">
        <f>opex_orig!$AD154</f>
        <v>1.19876281626405E-3</v>
      </c>
      <c r="AI154" s="188">
        <f>opex_orig!AE154</f>
        <v>9.8096399999999997E-4</v>
      </c>
      <c r="AJ154" s="188">
        <f>opex_orig!AF154</f>
        <v>3.2990599999999998E-4</v>
      </c>
      <c r="AK154" s="188">
        <f>opex_orig!AG154</f>
        <v>5.5000000000000002E-5</v>
      </c>
      <c r="AL154" s="188">
        <f>opex_orig!AH154</f>
        <v>6.1500000000000004E-5</v>
      </c>
      <c r="AM154" s="188">
        <f>opex_orig!AI154</f>
        <v>3.95296E-4</v>
      </c>
      <c r="AN154" s="188">
        <f>opex_orig!AJ154</f>
        <v>1.0030300000000001E-4</v>
      </c>
      <c r="AO154" s="188">
        <f>opex_orig!AK154</f>
        <v>6.5319100000000001E-4</v>
      </c>
      <c r="AP154" s="188">
        <f>opex_orig!$AL154</f>
        <v>1.4631340572300599E-4</v>
      </c>
      <c r="AQ154" s="188">
        <f>opex_orig!$AL154</f>
        <v>1.4631340572300599E-4</v>
      </c>
      <c r="AR154" s="188">
        <f>opex_orig!$AL154</f>
        <v>1.4631340572300599E-4</v>
      </c>
      <c r="AS154" s="188">
        <f>opex_orig!$AM154</f>
        <v>4.5476328950981099E-4</v>
      </c>
      <c r="AT154" s="188">
        <f>opex_orig!AN154</f>
        <v>1.6961E-4</v>
      </c>
      <c r="AU154" s="188">
        <f>opex_orig!$AO154</f>
        <v>3.1085848023983001E-4</v>
      </c>
      <c r="AV154" s="188">
        <f>opex_orig!$AO154</f>
        <v>3.1085848023983001E-4</v>
      </c>
      <c r="AW154" s="188">
        <f>opex_orig!$AO154</f>
        <v>3.1085848023983001E-4</v>
      </c>
      <c r="AX154" s="188">
        <f>opex_orig!$AP154</f>
        <v>4.3920308043526998E-4</v>
      </c>
      <c r="AY154" s="188">
        <f>opex_orig!AQ154</f>
        <v>4.9028299999999999E-4</v>
      </c>
      <c r="AZ154" s="188">
        <f>opex_orig!AR154</f>
        <v>0</v>
      </c>
      <c r="BA154" s="188">
        <f>opex_orig!AS154</f>
        <v>3.00966E-4</v>
      </c>
      <c r="BB154" s="188">
        <f>opex_orig!AT154</f>
        <v>2.5911400000000001E-4</v>
      </c>
      <c r="BC154" s="188">
        <f>opex_orig!AU154</f>
        <v>3.2238299999999998E-4</v>
      </c>
      <c r="BD154" s="188">
        <f>opex_orig!AV154</f>
        <v>3.4757599999999999E-4</v>
      </c>
      <c r="BE154" s="188">
        <f>opex_orig!AW154</f>
        <v>3.3749099999999998E-4</v>
      </c>
      <c r="BF154" s="188">
        <f>opex_orig!AX154</f>
        <v>0</v>
      </c>
      <c r="BG154" s="188">
        <f>opex_orig!AY154</f>
        <v>1.88841E-4</v>
      </c>
      <c r="BH154" s="188">
        <f>opex_orig!AZ154</f>
        <v>0</v>
      </c>
      <c r="BI154" s="188">
        <f>opex_orig!BA154</f>
        <v>2.5232299999999999E-4</v>
      </c>
      <c r="BJ154" s="188">
        <f>opex_orig!BB154</f>
        <v>3.47012E-4</v>
      </c>
      <c r="BK154" s="188">
        <f>opex_orig!BC154</f>
        <v>5.5958600000000005E-4</v>
      </c>
      <c r="BL154" s="188">
        <f>opex_orig!BD154</f>
        <v>3.6999999999999998E-5</v>
      </c>
      <c r="BM154" s="188">
        <f>opex_orig!BE154</f>
        <v>7.1099999999999994E-5</v>
      </c>
      <c r="BN154" s="188">
        <f>opex_orig!BF154</f>
        <v>2.2900000000000001E-5</v>
      </c>
      <c r="BO154" s="188">
        <f>opex_orig!BG154</f>
        <v>1.0135499999999999E-4</v>
      </c>
      <c r="BP154" s="188">
        <f>opex_orig!$BH154</f>
        <v>1.9590367138453099E-4</v>
      </c>
      <c r="BQ154" s="188">
        <f>opex_orig!$BH154</f>
        <v>1.9590367138453099E-4</v>
      </c>
      <c r="BR154" s="188">
        <f>opex_orig!BI154</f>
        <v>2.60683E-4</v>
      </c>
      <c r="BS154" s="188">
        <f>opex_orig!BJ154</f>
        <v>9.3300000000000005E-5</v>
      </c>
      <c r="BT154" s="188">
        <f>opex_orig!BK154</f>
        <v>5.1384399999999995E-4</v>
      </c>
      <c r="BU154" s="188">
        <f>opex_orig!BL154</f>
        <v>0</v>
      </c>
      <c r="BV154" s="27">
        <f>opex_orig!BM154</f>
        <v>2.3533445448944499E-4</v>
      </c>
      <c r="BW154" s="27">
        <f>opex_orig!BN154</f>
        <v>9.2141172416562603E-4</v>
      </c>
      <c r="BX154" s="27">
        <f>opex_orig!BO154</f>
        <v>2.2693953237543299E-4</v>
      </c>
      <c r="BY154" s="27">
        <f>opex_orig!BP154</f>
        <v>7.41883456431368E-4</v>
      </c>
      <c r="BZ154" s="27">
        <f>opex_orig!BQ154</f>
        <v>3.30980313877647E-3</v>
      </c>
      <c r="CA154" s="27">
        <f>opex_orig!BR154</f>
        <v>2.9163671353881902E-6</v>
      </c>
      <c r="CB154" s="27">
        <f>opex_orig!BS154</f>
        <v>2.0828994071538101E-4</v>
      </c>
      <c r="CC154" s="27">
        <f>opex_orig!BT154</f>
        <v>3.0968596744851998E-4</v>
      </c>
      <c r="CD154" s="27">
        <f>opex_orig!BU154</f>
        <v>1.5535380806972601E-5</v>
      </c>
      <c r="CE154" s="27">
        <f>opex_orig!BV154</f>
        <v>1.5535380806972601E-5</v>
      </c>
      <c r="CF154" s="27">
        <f>opex_orig!BW154</f>
        <v>1.59291745929494E-6</v>
      </c>
      <c r="CG154" s="27">
        <f>opex_orig!BX154</f>
        <v>4.1330530822725E-6</v>
      </c>
      <c r="CH154" s="27">
        <f>opex_orig!BY154</f>
        <v>1.6990441657205E-6</v>
      </c>
      <c r="CI154" s="27">
        <f>opex_orig!BZ154</f>
        <v>5.1322399999999995E-4</v>
      </c>
      <c r="CJ154" s="27">
        <f>opex_orig!CA154</f>
        <v>2.0832000000000001E-4</v>
      </c>
      <c r="CK154" s="27">
        <f>opex_orig!CB154</f>
        <v>1.47372E-4</v>
      </c>
      <c r="CL154" s="27">
        <f>opex_orig!CC154</f>
        <v>8.03E-5</v>
      </c>
      <c r="CM154" s="27">
        <f>opex_orig!CD154</f>
        <v>2.72451E-4</v>
      </c>
      <c r="CN154" s="27">
        <f>opex_orig!CE154</f>
        <v>2.738252E-3</v>
      </c>
      <c r="CO154" s="27">
        <f>opex_orig!CF154</f>
        <v>2.33303E-4</v>
      </c>
      <c r="CP154" s="27">
        <f>opex_orig!CG154</f>
        <v>6.62899E-4</v>
      </c>
    </row>
    <row r="155" spans="1:94" x14ac:dyDescent="0.25">
      <c r="A155" s="6" t="s">
        <v>301</v>
      </c>
      <c r="B155" s="2" t="s">
        <v>300</v>
      </c>
      <c r="C155" s="1" t="s">
        <v>335</v>
      </c>
      <c r="D155" s="188">
        <f>opex_orig!D155</f>
        <v>8.87827E-4</v>
      </c>
      <c r="E155" s="188">
        <f>opex_orig!E155</f>
        <v>3.2305600000000001E-4</v>
      </c>
      <c r="F155" s="188">
        <f>opex_orig!F155</f>
        <v>8.0900000000000001E-5</v>
      </c>
      <c r="G155" s="188">
        <f>opex_orig!G155</f>
        <v>1.7900000000000001E-5</v>
      </c>
      <c r="H155" s="188">
        <f>opex_orig!H155</f>
        <v>3.0000000000000001E-5</v>
      </c>
      <c r="I155" s="188">
        <f>opex_orig!I155</f>
        <v>2.9926300000000002E-4</v>
      </c>
      <c r="J155" s="188">
        <f>opex_orig!J155</f>
        <v>2.8236599999999999E-4</v>
      </c>
      <c r="K155" s="188">
        <f>opex_orig!K155</f>
        <v>4.7800000000000003E-5</v>
      </c>
      <c r="L155" s="188">
        <f>opex_orig!L155</f>
        <v>4.0429300000000001E-4</v>
      </c>
      <c r="M155" s="188">
        <f>opex_orig!M155</f>
        <v>1.131347E-3</v>
      </c>
      <c r="N155" s="188">
        <f>opex_orig!N155</f>
        <v>1.8647030000000001E-3</v>
      </c>
      <c r="O155" s="188">
        <f>opex_orig!O155</f>
        <v>6.4103300000000005E-4</v>
      </c>
      <c r="P155" s="188">
        <f>opex_orig!P155</f>
        <v>3.1710700000000001E-4</v>
      </c>
      <c r="Q155" s="188">
        <f>opex_orig!Q155</f>
        <v>4.9200000000000003E-5</v>
      </c>
      <c r="R155" s="188">
        <f>opex_orig!R155</f>
        <v>4.3900000000000003E-5</v>
      </c>
      <c r="S155" s="188">
        <f>opex_orig!S155</f>
        <v>8.1899999999999999E-5</v>
      </c>
      <c r="T155" s="188">
        <f>opex_orig!T155</f>
        <v>5.8400000000000003E-5</v>
      </c>
      <c r="U155" s="188">
        <f>opex_orig!U155</f>
        <v>6.98031E-4</v>
      </c>
      <c r="V155" s="188">
        <f>opex_orig!V155</f>
        <v>1.213371E-3</v>
      </c>
      <c r="W155" s="188">
        <f>opex_orig!W155</f>
        <v>2.41179E-4</v>
      </c>
      <c r="X155" s="188">
        <f>opex_orig!X155</f>
        <v>1.02834E-4</v>
      </c>
      <c r="Y155" s="188">
        <f>opex_orig!Y155</f>
        <v>6.0999999999999999E-5</v>
      </c>
      <c r="Z155" s="188">
        <f>opex_orig!Z155</f>
        <v>2.22766E-4</v>
      </c>
      <c r="AA155" s="188">
        <f>opex_orig!AA155</f>
        <v>1.4192999999999999E-4</v>
      </c>
      <c r="AB155" s="188">
        <f>opex_orig!$AB155</f>
        <v>1.75779615479713E-4</v>
      </c>
      <c r="AC155" s="188">
        <f>opex_orig!$AB155</f>
        <v>1.75779615479713E-4</v>
      </c>
      <c r="AD155" s="188">
        <f>opex_orig!$AB155</f>
        <v>1.75779615479713E-4</v>
      </c>
      <c r="AE155" s="188">
        <f>opex_orig!$AC155</f>
        <v>6.5440124258429903E-3</v>
      </c>
      <c r="AF155" s="188">
        <f>opex_orig!$AD155</f>
        <v>2.3060063501480301E-3</v>
      </c>
      <c r="AG155" s="188">
        <f>opex_orig!$AD155</f>
        <v>2.3060063501480301E-3</v>
      </c>
      <c r="AH155" s="188">
        <f>opex_orig!$AD155</f>
        <v>2.3060063501480301E-3</v>
      </c>
      <c r="AI155" s="188">
        <f>opex_orig!AE155</f>
        <v>1.8678080000000001E-3</v>
      </c>
      <c r="AJ155" s="188">
        <f>opex_orig!AF155</f>
        <v>6.1852000000000001E-4</v>
      </c>
      <c r="AK155" s="188">
        <f>opex_orig!AG155</f>
        <v>1.042E-4</v>
      </c>
      <c r="AL155" s="188">
        <f>opex_orig!AH155</f>
        <v>1.1934699999999999E-4</v>
      </c>
      <c r="AM155" s="188">
        <f>opex_orig!AI155</f>
        <v>7.9468599999999996E-4</v>
      </c>
      <c r="AN155" s="188">
        <f>opex_orig!AJ155</f>
        <v>1.9937899999999999E-4</v>
      </c>
      <c r="AO155" s="188">
        <f>opex_orig!AK155</f>
        <v>1.3182510000000001E-3</v>
      </c>
      <c r="AP155" s="188">
        <f>opex_orig!$AL155</f>
        <v>2.8567617890058202E-4</v>
      </c>
      <c r="AQ155" s="188">
        <f>opex_orig!$AL155</f>
        <v>2.8567617890058202E-4</v>
      </c>
      <c r="AR155" s="188">
        <f>opex_orig!$AL155</f>
        <v>2.8567617890058202E-4</v>
      </c>
      <c r="AS155" s="188">
        <f>opex_orig!$AM155</f>
        <v>9.1403329914841304E-4</v>
      </c>
      <c r="AT155" s="188">
        <f>opex_orig!AN155</f>
        <v>3.2839399999999997E-4</v>
      </c>
      <c r="AU155" s="188">
        <f>opex_orig!$AO155</f>
        <v>5.8404726826616002E-4</v>
      </c>
      <c r="AV155" s="188">
        <f>opex_orig!$AO155</f>
        <v>5.8404726826616002E-4</v>
      </c>
      <c r="AW155" s="188">
        <f>opex_orig!$AO155</f>
        <v>5.8404726826616002E-4</v>
      </c>
      <c r="AX155" s="188">
        <f>opex_orig!$AP155</f>
        <v>8.3863771021095497E-4</v>
      </c>
      <c r="AY155" s="188">
        <f>opex_orig!AQ155</f>
        <v>9.40236E-4</v>
      </c>
      <c r="AZ155" s="188">
        <f>opex_orig!AR155</f>
        <v>0</v>
      </c>
      <c r="BA155" s="188">
        <f>opex_orig!AS155</f>
        <v>5.7917799999999996E-4</v>
      </c>
      <c r="BB155" s="188">
        <f>opex_orig!AT155</f>
        <v>4.9100200000000004E-4</v>
      </c>
      <c r="BC155" s="188">
        <f>opex_orig!AU155</f>
        <v>6.5167600000000001E-4</v>
      </c>
      <c r="BD155" s="188">
        <f>opex_orig!AV155</f>
        <v>7.0493699999999999E-4</v>
      </c>
      <c r="BE155" s="188">
        <f>opex_orig!AW155</f>
        <v>6.5039399999999999E-4</v>
      </c>
      <c r="BF155" s="188">
        <f>opex_orig!AX155</f>
        <v>0</v>
      </c>
      <c r="BG155" s="188">
        <f>opex_orig!AY155</f>
        <v>3.5110300000000002E-4</v>
      </c>
      <c r="BH155" s="188">
        <f>opex_orig!AZ155</f>
        <v>0</v>
      </c>
      <c r="BI155" s="188">
        <f>opex_orig!BA155</f>
        <v>4.7515399999999998E-4</v>
      </c>
      <c r="BJ155" s="188">
        <f>opex_orig!BB155</f>
        <v>6.50422E-4</v>
      </c>
      <c r="BK155" s="188">
        <f>opex_orig!BC155</f>
        <v>1.0500399999999999E-3</v>
      </c>
      <c r="BL155" s="188">
        <f>opex_orig!BD155</f>
        <v>7.5199999999999998E-5</v>
      </c>
      <c r="BM155" s="188">
        <f>opex_orig!BE155</f>
        <v>1.4140999999999999E-4</v>
      </c>
      <c r="BN155" s="188">
        <f>opex_orig!BF155</f>
        <v>4.4199999999999997E-5</v>
      </c>
      <c r="BO155" s="188">
        <f>opex_orig!BG155</f>
        <v>1.9395400000000001E-4</v>
      </c>
      <c r="BP155" s="188">
        <f>opex_orig!$BH155</f>
        <v>3.69167925723472E-4</v>
      </c>
      <c r="BQ155" s="188">
        <f>opex_orig!$BH155</f>
        <v>3.69167925723472E-4</v>
      </c>
      <c r="BR155" s="188">
        <f>opex_orig!BI155</f>
        <v>4.9282299999999998E-4</v>
      </c>
      <c r="BS155" s="188">
        <f>opex_orig!BJ155</f>
        <v>1.7614900000000001E-4</v>
      </c>
      <c r="BT155" s="188">
        <f>opex_orig!BK155</f>
        <v>9.6810400000000001E-4</v>
      </c>
      <c r="BU155" s="188">
        <f>opex_orig!BL155</f>
        <v>0</v>
      </c>
      <c r="BV155" s="27">
        <f>opex_orig!BM155</f>
        <v>4.43155536702237E-4</v>
      </c>
      <c r="BW155" s="27">
        <f>opex_orig!BN155</f>
        <v>1.83405471052581E-3</v>
      </c>
      <c r="BX155" s="27">
        <f>opex_orig!BO155</f>
        <v>4.3143751782531101E-4</v>
      </c>
      <c r="BY155" s="27">
        <f>opex_orig!BP155</f>
        <v>1.49388600936813E-3</v>
      </c>
      <c r="BZ155" s="27">
        <f>opex_orig!BQ155</f>
        <v>2.2234702234125601E-4</v>
      </c>
      <c r="CA155" s="27">
        <f>opex_orig!BR155</f>
        <v>7.45277610514715E-6</v>
      </c>
      <c r="CB155" s="27">
        <f>opex_orig!BS155</f>
        <v>3.2417242088143898E-4</v>
      </c>
      <c r="CC155" s="27">
        <f>opex_orig!BT155</f>
        <v>6.25276723281627E-4</v>
      </c>
      <c r="CD155" s="27">
        <f>opex_orig!BU155</f>
        <v>2.92708586837795E-5</v>
      </c>
      <c r="CE155" s="27">
        <f>opex_orig!BV155</f>
        <v>2.9270858683779601E-5</v>
      </c>
      <c r="CF155" s="27">
        <f>opex_orig!BW155</f>
        <v>3.2735414489275702E-6</v>
      </c>
      <c r="CG155" s="27">
        <f>opex_orig!BX155</f>
        <v>5.5476878097768999E-6</v>
      </c>
      <c r="CH155" s="27">
        <f>opex_orig!BY155</f>
        <v>1.8375001341602801E-6</v>
      </c>
      <c r="CI155" s="27">
        <f>opex_orig!BZ155</f>
        <v>1.016901E-3</v>
      </c>
      <c r="CJ155" s="27">
        <f>opex_orig!CA155</f>
        <v>4.0141800000000001E-4</v>
      </c>
      <c r="CK155" s="27">
        <f>opex_orig!CB155</f>
        <v>2.7997299999999998E-4</v>
      </c>
      <c r="CL155" s="27">
        <f>opex_orig!CC155</f>
        <v>1.57706E-4</v>
      </c>
      <c r="CM155" s="27">
        <f>opex_orig!CD155</f>
        <v>5.3330999999999995E-4</v>
      </c>
      <c r="CN155" s="27">
        <f>opex_orig!CE155</f>
        <v>5.1360080000000001E-3</v>
      </c>
      <c r="CO155" s="27">
        <f>opex_orig!CF155</f>
        <v>4.3637100000000001E-4</v>
      </c>
      <c r="CP155" s="27">
        <f>opex_orig!CG155</f>
        <v>1.336877E-3</v>
      </c>
    </row>
    <row r="156" spans="1:94" x14ac:dyDescent="0.25">
      <c r="A156" s="6" t="s">
        <v>303</v>
      </c>
      <c r="B156" s="2" t="s">
        <v>302</v>
      </c>
      <c r="C156" s="1" t="s">
        <v>335</v>
      </c>
      <c r="D156" s="188">
        <f>opex_orig!D156</f>
        <v>6.9707000000000005E-4</v>
      </c>
      <c r="E156" s="188">
        <f>opex_orig!E156</f>
        <v>7.3923700000000001E-4</v>
      </c>
      <c r="F156" s="188">
        <f>opex_orig!F156</f>
        <v>1.1307900000000001E-4</v>
      </c>
      <c r="G156" s="188">
        <f>opex_orig!G156</f>
        <v>2.48E-5</v>
      </c>
      <c r="H156" s="188">
        <f>opex_orig!H156</f>
        <v>4.1600000000000002E-5</v>
      </c>
      <c r="I156" s="188">
        <f>opex_orig!I156</f>
        <v>4.7487099999999997E-4</v>
      </c>
      <c r="J156" s="188">
        <f>opex_orig!J156</f>
        <v>3.9058499999999999E-4</v>
      </c>
      <c r="K156" s="188">
        <f>opex_orig!K156</f>
        <v>6.6299999999999999E-5</v>
      </c>
      <c r="L156" s="188">
        <f>opex_orig!L156</f>
        <v>6.00561E-4</v>
      </c>
      <c r="M156" s="188">
        <f>opex_orig!M156</f>
        <v>1.6706609999999999E-3</v>
      </c>
      <c r="N156" s="188">
        <f>opex_orig!N156</f>
        <v>4.7147619999999999E-3</v>
      </c>
      <c r="O156" s="188">
        <f>opex_orig!O156</f>
        <v>1.2280850000000001E-3</v>
      </c>
      <c r="P156" s="188">
        <f>opex_orig!P156</f>
        <v>5.1373100000000002E-4</v>
      </c>
      <c r="Q156" s="188">
        <f>opex_orig!Q156</f>
        <v>7.6500000000000003E-5</v>
      </c>
      <c r="R156" s="188">
        <f>opex_orig!R156</f>
        <v>5.94E-5</v>
      </c>
      <c r="S156" s="188">
        <f>opex_orig!S156</f>
        <v>1.72564E-4</v>
      </c>
      <c r="T156" s="188">
        <f>opex_orig!T156</f>
        <v>8.2700000000000004E-5</v>
      </c>
      <c r="U156" s="188">
        <f>opex_orig!U156</f>
        <v>1.3881290000000001E-3</v>
      </c>
      <c r="V156" s="188">
        <f>opex_orig!V156</f>
        <v>2.679617E-3</v>
      </c>
      <c r="W156" s="188">
        <f>opex_orig!W156</f>
        <v>4.4044599999999999E-4</v>
      </c>
      <c r="X156" s="188">
        <f>opex_orig!X156</f>
        <v>2.0505400000000001E-4</v>
      </c>
      <c r="Y156" s="188">
        <f>opex_orig!Y156</f>
        <v>8.4699999999999999E-5</v>
      </c>
      <c r="Z156" s="188">
        <f>opex_orig!Z156</f>
        <v>5.0925799999999995E-4</v>
      </c>
      <c r="AA156" s="188">
        <f>opex_orig!AA156</f>
        <v>1.9376500000000001E-4</v>
      </c>
      <c r="AB156" s="188">
        <f>opex_orig!$AB156</f>
        <v>2.8991103986343098E-4</v>
      </c>
      <c r="AC156" s="188">
        <f>opex_orig!$AB156</f>
        <v>2.8991103986343098E-4</v>
      </c>
      <c r="AD156" s="188">
        <f>opex_orig!$AB156</f>
        <v>2.8991103986343098E-4</v>
      </c>
      <c r="AE156" s="188">
        <f>opex_orig!$AC156</f>
        <v>1.7375960445600001E-2</v>
      </c>
      <c r="AF156" s="188">
        <f>opex_orig!$AD156</f>
        <v>4.4715935971112999E-3</v>
      </c>
      <c r="AG156" s="188">
        <f>opex_orig!$AD156</f>
        <v>4.4715935971112999E-3</v>
      </c>
      <c r="AH156" s="188">
        <f>opex_orig!$AD156</f>
        <v>4.4715935971112999E-3</v>
      </c>
      <c r="AI156" s="188">
        <f>opex_orig!AE156</f>
        <v>3.24968E-3</v>
      </c>
      <c r="AJ156" s="188">
        <f>opex_orig!AF156</f>
        <v>8.8707599999999999E-4</v>
      </c>
      <c r="AK156" s="188">
        <f>opex_orig!AG156</f>
        <v>1.67999E-4</v>
      </c>
      <c r="AL156" s="188">
        <f>opex_orig!AH156</f>
        <v>2.7130999999999998E-4</v>
      </c>
      <c r="AM156" s="188">
        <f>opex_orig!AI156</f>
        <v>1.7002200000000001E-4</v>
      </c>
      <c r="AN156" s="188">
        <f>opex_orig!AJ156</f>
        <v>5.2481700000000001E-4</v>
      </c>
      <c r="AO156" s="188">
        <f>opex_orig!AK156</f>
        <v>2.0376300000000001E-4</v>
      </c>
      <c r="AP156" s="188">
        <f>opex_orig!$AL156</f>
        <v>6.5255405964827597E-4</v>
      </c>
      <c r="AQ156" s="188">
        <f>opex_orig!$AL156</f>
        <v>6.5255405964827597E-4</v>
      </c>
      <c r="AR156" s="188">
        <f>opex_orig!$AL156</f>
        <v>6.5255405964827597E-4</v>
      </c>
      <c r="AS156" s="188">
        <f>opex_orig!$AM156</f>
        <v>1.9103215063761699E-4</v>
      </c>
      <c r="AT156" s="188">
        <f>opex_orig!AN156</f>
        <v>6.9379000000000001E-4</v>
      </c>
      <c r="AU156" s="188">
        <f>opex_orig!$AO156</f>
        <v>9.0770493286724998E-4</v>
      </c>
      <c r="AV156" s="188">
        <f>opex_orig!$AO156</f>
        <v>9.0770493286724998E-4</v>
      </c>
      <c r="AW156" s="188">
        <f>opex_orig!$AO156</f>
        <v>9.0770493286724998E-4</v>
      </c>
      <c r="AX156" s="188">
        <f>opex_orig!$AP156</f>
        <v>1.5359243953784001E-3</v>
      </c>
      <c r="AY156" s="188">
        <f>opex_orig!AQ156</f>
        <v>1.777215E-3</v>
      </c>
      <c r="AZ156" s="188">
        <f>opex_orig!AR156</f>
        <v>0</v>
      </c>
      <c r="BA156" s="188">
        <f>opex_orig!AS156</f>
        <v>1.1616409999999999E-3</v>
      </c>
      <c r="BB156" s="188">
        <f>opex_orig!AT156</f>
        <v>8.4000199999999996E-4</v>
      </c>
      <c r="BC156" s="188">
        <f>opex_orig!AU156</f>
        <v>1.854117E-3</v>
      </c>
      <c r="BD156" s="188">
        <f>opex_orig!AV156</f>
        <v>8.0900000000000001E-5</v>
      </c>
      <c r="BE156" s="188">
        <f>opex_orig!AW156</f>
        <v>1.352107E-3</v>
      </c>
      <c r="BF156" s="188">
        <f>opex_orig!AX156</f>
        <v>0</v>
      </c>
      <c r="BG156" s="188">
        <f>opex_orig!AY156</f>
        <v>4.9199599999999997E-4</v>
      </c>
      <c r="BH156" s="188">
        <f>opex_orig!AZ156</f>
        <v>0</v>
      </c>
      <c r="BI156" s="188">
        <f>opex_orig!BA156</f>
        <v>7.3457600000000002E-4</v>
      </c>
      <c r="BJ156" s="188">
        <f>opex_orig!BB156</f>
        <v>9.1581699999999998E-4</v>
      </c>
      <c r="BK156" s="188">
        <f>opex_orig!BC156</f>
        <v>1.460774E-3</v>
      </c>
      <c r="BL156" s="188">
        <f>opex_orig!BD156</f>
        <v>1.20862E-4</v>
      </c>
      <c r="BM156" s="188">
        <f>opex_orig!BE156</f>
        <v>2.0387399999999999E-4</v>
      </c>
      <c r="BN156" s="188">
        <f>opex_orig!BF156</f>
        <v>8.0799999999999999E-5</v>
      </c>
      <c r="BO156" s="188">
        <f>opex_orig!BG156</f>
        <v>3.5260700000000001E-4</v>
      </c>
      <c r="BP156" s="188">
        <f>opex_orig!$BH156</f>
        <v>5.1405708517077197E-4</v>
      </c>
      <c r="BQ156" s="188">
        <f>opex_orig!$BH156</f>
        <v>5.1405708517077197E-4</v>
      </c>
      <c r="BR156" s="188">
        <f>opex_orig!BI156</f>
        <v>7.6133099999999997E-4</v>
      </c>
      <c r="BS156" s="188">
        <f>opex_orig!BJ156</f>
        <v>3.0819700000000002E-4</v>
      </c>
      <c r="BT156" s="188">
        <f>opex_orig!BK156</f>
        <v>1.516454E-3</v>
      </c>
      <c r="BU156" s="188">
        <f>opex_orig!BL156</f>
        <v>0</v>
      </c>
      <c r="BV156" s="27">
        <f>opex_orig!BM156</f>
        <v>6.9135370975218597E-4</v>
      </c>
      <c r="BW156" s="27">
        <f>opex_orig!BN156</f>
        <v>4.7477773061178497E-3</v>
      </c>
      <c r="BX156" s="27">
        <f>opex_orig!BO156</f>
        <v>7.2964137879135099E-4</v>
      </c>
      <c r="BY156" s="27">
        <f>opex_orig!BP156</f>
        <v>4.1797246635399098E-3</v>
      </c>
      <c r="BZ156" s="27">
        <f>opex_orig!BQ156</f>
        <v>3.0727488364640302E-4</v>
      </c>
      <c r="CA156" s="27">
        <f>opex_orig!BR156</f>
        <v>3.58614301365673E-6</v>
      </c>
      <c r="CB156" s="27">
        <f>opex_orig!BS156</f>
        <v>4.5025273427052898E-4</v>
      </c>
      <c r="CC156" s="27">
        <f>opex_orig!BT156</f>
        <v>8.5120931893341599E-5</v>
      </c>
      <c r="CD156" s="27">
        <f>opex_orig!BU156</f>
        <v>4.0212646970507597E-5</v>
      </c>
      <c r="CE156" s="27">
        <f>opex_orig!BV156</f>
        <v>4.0212646970507801E-5</v>
      </c>
      <c r="CF156" s="27">
        <f>opex_orig!BW156</f>
        <v>5.9407479125004303E-6</v>
      </c>
      <c r="CG156" s="27">
        <f>opex_orig!BX156</f>
        <v>5.6119771733730298E-6</v>
      </c>
      <c r="CH156" s="27">
        <f>opex_orig!BY156</f>
        <v>3.3365552552091599E-6</v>
      </c>
      <c r="CI156" s="27">
        <f>opex_orig!BZ156</f>
        <v>2.528481E-3</v>
      </c>
      <c r="CJ156" s="27">
        <f>opex_orig!CA156</f>
        <v>7.8226599999999999E-4</v>
      </c>
      <c r="CK156" s="27">
        <f>opex_orig!CB156</f>
        <v>4.61638E-4</v>
      </c>
      <c r="CL156" s="27">
        <f>opex_orig!CC156</f>
        <v>3.6790500000000002E-4</v>
      </c>
      <c r="CM156" s="27">
        <f>opex_orig!CD156</f>
        <v>1.102699E-3</v>
      </c>
      <c r="CN156" s="27">
        <f>opex_orig!CE156</f>
        <v>7.3718589999999997E-3</v>
      </c>
      <c r="CO156" s="27">
        <f>opex_orig!CF156</f>
        <v>6.1086500000000004E-4</v>
      </c>
      <c r="CP156" s="27">
        <f>opex_orig!CG156</f>
        <v>3.8294660000000001E-3</v>
      </c>
    </row>
    <row r="157" spans="1:94" x14ac:dyDescent="0.25">
      <c r="A157" s="6" t="s">
        <v>305</v>
      </c>
      <c r="B157" s="2" t="s">
        <v>304</v>
      </c>
      <c r="C157" s="1" t="s">
        <v>335</v>
      </c>
      <c r="D157" s="188">
        <f>opex_orig!D157</f>
        <v>4.7901999999999998E-4</v>
      </c>
      <c r="E157" s="188">
        <f>opex_orig!E157</f>
        <v>3.9701500000000002E-4</v>
      </c>
      <c r="F157" s="188">
        <f>opex_orig!F157</f>
        <v>7.7899999999999996E-5</v>
      </c>
      <c r="G157" s="188">
        <f>opex_orig!G157</f>
        <v>1.73E-5</v>
      </c>
      <c r="H157" s="188">
        <f>opex_orig!H157</f>
        <v>2.87E-5</v>
      </c>
      <c r="I157" s="188">
        <f>opex_orig!I157</f>
        <v>3.0340199999999998E-4</v>
      </c>
      <c r="J157" s="188">
        <f>opex_orig!J157</f>
        <v>2.7058399999999998E-4</v>
      </c>
      <c r="K157" s="188">
        <f>opex_orig!K157</f>
        <v>4.5899999999999998E-5</v>
      </c>
      <c r="L157" s="188">
        <f>opex_orig!L157</f>
        <v>3.97768E-4</v>
      </c>
      <c r="M157" s="188">
        <f>opex_orig!M157</f>
        <v>1.1072969999999999E-3</v>
      </c>
      <c r="N157" s="188">
        <f>opex_orig!N157</f>
        <v>2.428188E-3</v>
      </c>
      <c r="O157" s="188">
        <f>opex_orig!O157</f>
        <v>7.1870500000000004E-4</v>
      </c>
      <c r="P157" s="188">
        <f>opex_orig!P157</f>
        <v>3.2418099999999999E-4</v>
      </c>
      <c r="Q157" s="188">
        <f>opex_orig!Q157</f>
        <v>5.5000000000000002E-5</v>
      </c>
      <c r="R157" s="188">
        <f>opex_orig!R157</f>
        <v>4.1699999999999997E-5</v>
      </c>
      <c r="S157" s="188">
        <f>opex_orig!S157</f>
        <v>9.7999999999999997E-5</v>
      </c>
      <c r="T157" s="188">
        <f>opex_orig!T157</f>
        <v>5.77E-5</v>
      </c>
      <c r="U157" s="188">
        <f>opex_orig!U157</f>
        <v>7.9353300000000002E-4</v>
      </c>
      <c r="V157" s="188">
        <f>opex_orig!V157</f>
        <v>1.4602250000000001E-3</v>
      </c>
      <c r="W157" s="188">
        <f>opex_orig!W157</f>
        <v>2.6311800000000001E-4</v>
      </c>
      <c r="X157" s="188">
        <f>opex_orig!X157</f>
        <v>1.20642E-4</v>
      </c>
      <c r="Y157" s="188">
        <f>opex_orig!Y157</f>
        <v>5.7299999999999997E-5</v>
      </c>
      <c r="Z157" s="188">
        <f>opex_orig!Z157</f>
        <v>3.3895000000000003E-4</v>
      </c>
      <c r="AA157" s="188">
        <f>opex_orig!AA157</f>
        <v>1.37269E-4</v>
      </c>
      <c r="AB157" s="188">
        <f>opex_orig!$AB157</f>
        <v>1.7018294170267301E-4</v>
      </c>
      <c r="AC157" s="188">
        <f>opex_orig!$AB157</f>
        <v>1.7018294170267301E-4</v>
      </c>
      <c r="AD157" s="188">
        <f>opex_orig!$AB157</f>
        <v>1.7018294170267301E-4</v>
      </c>
      <c r="AE157" s="188">
        <f>opex_orig!$AC157</f>
        <v>8.7720385080731194E-3</v>
      </c>
      <c r="AF157" s="188">
        <f>opex_orig!$AD157</f>
        <v>2.5827499330849401E-3</v>
      </c>
      <c r="AG157" s="188">
        <f>opex_orig!$AD157</f>
        <v>2.5827499330849401E-3</v>
      </c>
      <c r="AH157" s="188">
        <f>opex_orig!$AD157</f>
        <v>2.5827499330849401E-3</v>
      </c>
      <c r="AI157" s="188">
        <f>opex_orig!AE157</f>
        <v>1.977389E-3</v>
      </c>
      <c r="AJ157" s="188">
        <f>opex_orig!AF157</f>
        <v>6.0040199999999999E-4</v>
      </c>
      <c r="AK157" s="188">
        <f>opex_orig!AG157</f>
        <v>1.07865E-4</v>
      </c>
      <c r="AL157" s="188">
        <f>opex_orig!AH157</f>
        <v>1.5752600000000001E-4</v>
      </c>
      <c r="AM157" s="188">
        <f>opex_orig!AI157</f>
        <v>1.17812E-4</v>
      </c>
      <c r="AN157" s="188">
        <f>opex_orig!AJ157</f>
        <v>2.7084599999999999E-4</v>
      </c>
      <c r="AO157" s="188">
        <f>opex_orig!AK157</f>
        <v>1.41772E-4</v>
      </c>
      <c r="AP157" s="188">
        <f>opex_orig!$AL157</f>
        <v>3.52067367083704E-4</v>
      </c>
      <c r="AQ157" s="188">
        <f>opex_orig!$AL157</f>
        <v>3.52067367083704E-4</v>
      </c>
      <c r="AR157" s="188">
        <f>opex_orig!$AL157</f>
        <v>3.52067367083704E-4</v>
      </c>
      <c r="AS157" s="188">
        <f>opex_orig!$AM157</f>
        <v>1.3196219483485399E-4</v>
      </c>
      <c r="AT157" s="188">
        <f>opex_orig!AN157</f>
        <v>3.89081E-4</v>
      </c>
      <c r="AU157" s="188">
        <f>opex_orig!$AO157</f>
        <v>5.8526037394860395E-4</v>
      </c>
      <c r="AV157" s="188">
        <f>opex_orig!$AO157</f>
        <v>5.8526037394860395E-4</v>
      </c>
      <c r="AW157" s="188">
        <f>opex_orig!$AO157</f>
        <v>5.8526037394860395E-4</v>
      </c>
      <c r="AX157" s="188">
        <f>opex_orig!$AP157</f>
        <v>9.1321580100747995E-4</v>
      </c>
      <c r="AY157" s="188">
        <f>opex_orig!AQ157</f>
        <v>1.038258E-3</v>
      </c>
      <c r="AZ157" s="188">
        <f>opex_orig!AR157</f>
        <v>0</v>
      </c>
      <c r="BA157" s="188">
        <f>opex_orig!AS157</f>
        <v>6.6460800000000002E-4</v>
      </c>
      <c r="BB157" s="188">
        <f>opex_orig!AT157</f>
        <v>5.1970599999999999E-4</v>
      </c>
      <c r="BC157" s="188">
        <f>opex_orig!AU157</f>
        <v>9.1173600000000001E-4</v>
      </c>
      <c r="BD157" s="188">
        <f>opex_orig!AV157</f>
        <v>5.5999999999999999E-5</v>
      </c>
      <c r="BE157" s="188">
        <f>opex_orig!AW157</f>
        <v>7.90812E-4</v>
      </c>
      <c r="BF157" s="188">
        <f>opex_orig!AX157</f>
        <v>0</v>
      </c>
      <c r="BG157" s="188">
        <f>opex_orig!AY157</f>
        <v>3.4501300000000003E-4</v>
      </c>
      <c r="BH157" s="188">
        <f>opex_orig!AZ157</f>
        <v>0</v>
      </c>
      <c r="BI157" s="188">
        <f>opex_orig!BA157</f>
        <v>4.7686000000000001E-4</v>
      </c>
      <c r="BJ157" s="188">
        <f>opex_orig!BB157</f>
        <v>6.2354000000000001E-4</v>
      </c>
      <c r="BK157" s="188">
        <f>opex_orig!BC157</f>
        <v>9.9850500000000001E-4</v>
      </c>
      <c r="BL157" s="188">
        <f>opex_orig!BD157</f>
        <v>7.5799999999999999E-5</v>
      </c>
      <c r="BM157" s="188">
        <f>opex_orig!BE157</f>
        <v>1.3647900000000001E-4</v>
      </c>
      <c r="BN157" s="188">
        <f>opex_orig!BF157</f>
        <v>4.7200000000000002E-5</v>
      </c>
      <c r="BO157" s="188">
        <f>opex_orig!BG157</f>
        <v>2.11084E-4</v>
      </c>
      <c r="BP157" s="188">
        <f>opex_orig!$BH157</f>
        <v>3.5283240885361299E-4</v>
      </c>
      <c r="BQ157" s="188">
        <f>opex_orig!$BH157</f>
        <v>3.5283240885361299E-4</v>
      </c>
      <c r="BR157" s="188">
        <f>opex_orig!BI157</f>
        <v>4.9329799999999998E-4</v>
      </c>
      <c r="BS157" s="188">
        <f>opex_orig!BJ157</f>
        <v>2.0016000000000001E-4</v>
      </c>
      <c r="BT157" s="188">
        <f>opex_orig!BK157</f>
        <v>9.7698100000000003E-4</v>
      </c>
      <c r="BU157" s="188">
        <f>opex_orig!BL157</f>
        <v>0</v>
      </c>
      <c r="BV157" s="27">
        <f>opex_orig!BM157</f>
        <v>4.4324302003774502E-4</v>
      </c>
      <c r="BW157" s="27">
        <f>opex_orig!BN157</f>
        <v>2.4212579089995601E-3</v>
      </c>
      <c r="BX157" s="27">
        <f>opex_orig!BO157</f>
        <v>4.5044097314015302E-4</v>
      </c>
      <c r="BY157" s="27">
        <f>opex_orig!BP157</f>
        <v>2.0678779877519701E-3</v>
      </c>
      <c r="BZ157" s="27">
        <f>opex_orig!BQ157</f>
        <v>2.12076564350015E-4</v>
      </c>
      <c r="CA157" s="27">
        <f>opex_orig!BR157</f>
        <v>2.5373068295384999E-6</v>
      </c>
      <c r="CB157" s="27">
        <f>opex_orig!BS157</f>
        <v>3.12448134508119E-4</v>
      </c>
      <c r="CC157" s="27">
        <f>opex_orig!BT157</f>
        <v>1.3564830593289399E-4</v>
      </c>
      <c r="CD157" s="27">
        <f>opex_orig!BU157</f>
        <v>2.78260725717538E-5</v>
      </c>
      <c r="CE157" s="27">
        <f>opex_orig!BV157</f>
        <v>2.7826072571753698E-5</v>
      </c>
      <c r="CF157" s="27">
        <f>opex_orig!BW157</f>
        <v>6.2280127523064099E-6</v>
      </c>
      <c r="CG157" s="27">
        <f>opex_orig!BX157</f>
        <v>5.0951320917932E-6</v>
      </c>
      <c r="CH157" s="27">
        <f>opex_orig!BY157</f>
        <v>1.06490403504606E-5</v>
      </c>
      <c r="CI157" s="27">
        <f>opex_orig!BZ157</f>
        <v>1.3103030000000001E-3</v>
      </c>
      <c r="CJ157" s="27">
        <f>opex_orig!CA157</f>
        <v>4.5096099999999999E-4</v>
      </c>
      <c r="CK157" s="27">
        <f>opex_orig!CB157</f>
        <v>2.8874800000000002E-4</v>
      </c>
      <c r="CL157" s="27">
        <f>opex_orig!CC157</f>
        <v>1.9595100000000001E-4</v>
      </c>
      <c r="CM157" s="27">
        <f>opex_orig!CD157</f>
        <v>6.17156E-4</v>
      </c>
      <c r="CN157" s="27">
        <f>opex_orig!CE157</f>
        <v>4.955877E-3</v>
      </c>
      <c r="CO157" s="27">
        <f>opex_orig!CF157</f>
        <v>4.1694799999999999E-4</v>
      </c>
      <c r="CP157" s="27">
        <f>opex_orig!CG157</f>
        <v>1.8783809999999999E-3</v>
      </c>
    </row>
    <row r="158" spans="1:94" x14ac:dyDescent="0.25">
      <c r="A158" s="6" t="s">
        <v>307</v>
      </c>
      <c r="B158" s="2" t="s">
        <v>306</v>
      </c>
      <c r="C158" s="1" t="s">
        <v>335</v>
      </c>
      <c r="D158" s="188">
        <f>opex_orig!D158</f>
        <v>5.94E-5</v>
      </c>
      <c r="E158" s="188">
        <f>opex_orig!E158</f>
        <v>1.2505700000000001E-4</v>
      </c>
      <c r="F158" s="188">
        <f>opex_orig!F158</f>
        <v>1.04E-5</v>
      </c>
      <c r="G158" s="188">
        <f>opex_orig!G158</f>
        <v>2.6199999999999999E-6</v>
      </c>
      <c r="H158" s="188">
        <f>opex_orig!H158</f>
        <v>5.1399999999999999E-6</v>
      </c>
      <c r="I158" s="188">
        <f>opex_orig!I158</f>
        <v>5.2800000000000003E-5</v>
      </c>
      <c r="J158" s="188">
        <f>opex_orig!J158</f>
        <v>3.3699999999999999E-5</v>
      </c>
      <c r="K158" s="188">
        <f>opex_orig!K158</f>
        <v>7.4900000000000003E-6</v>
      </c>
      <c r="L158" s="188">
        <f>opex_orig!L158</f>
        <v>5.9599999999999999E-5</v>
      </c>
      <c r="M158" s="188">
        <f>opex_orig!M158</f>
        <v>1.60085E-4</v>
      </c>
      <c r="N158" s="188">
        <f>opex_orig!N158</f>
        <v>6.5300000000000002E-5</v>
      </c>
      <c r="O158" s="188">
        <f>opex_orig!O158</f>
        <v>1.81977E-4</v>
      </c>
      <c r="P158" s="188">
        <f>opex_orig!P158</f>
        <v>6.0900000000000003E-5</v>
      </c>
      <c r="Q158" s="188">
        <f>opex_orig!Q158</f>
        <v>1.5E-5</v>
      </c>
      <c r="R158" s="188">
        <f>opex_orig!R158</f>
        <v>7.7200000000000006E-6</v>
      </c>
      <c r="S158" s="188">
        <f>opex_orig!S158</f>
        <v>2.8900000000000001E-5</v>
      </c>
      <c r="T158" s="188">
        <f>opex_orig!T158</f>
        <v>1.11E-5</v>
      </c>
      <c r="U158" s="188">
        <f>opex_orig!U158</f>
        <v>2.06937E-4</v>
      </c>
      <c r="V158" s="188">
        <f>opex_orig!V158</f>
        <v>4.3846899999999998E-4</v>
      </c>
      <c r="W158" s="188">
        <f>opex_orig!W158</f>
        <v>6.0900000000000003E-5</v>
      </c>
      <c r="X158" s="188">
        <f>opex_orig!X158</f>
        <v>3.4700000000000003E-5</v>
      </c>
      <c r="Y158" s="188">
        <f>opex_orig!Y158</f>
        <v>8.2500000000000006E-6</v>
      </c>
      <c r="Z158" s="188">
        <f>opex_orig!Z158</f>
        <v>1.53172E-4</v>
      </c>
      <c r="AA158" s="188">
        <f>opex_orig!AA158</f>
        <v>2.8600000000000001E-5</v>
      </c>
      <c r="AB158" s="188">
        <f>opex_orig!$AB158</f>
        <v>2.3514239141681801E-5</v>
      </c>
      <c r="AC158" s="188">
        <f>opex_orig!$AB158</f>
        <v>2.3514239141681801E-5</v>
      </c>
      <c r="AD158" s="188">
        <f>opex_orig!$AB158</f>
        <v>2.3514239141681801E-5</v>
      </c>
      <c r="AE158" s="188">
        <f>opex_orig!$AC158</f>
        <v>1.6716436963089799E-4</v>
      </c>
      <c r="AF158" s="188">
        <f>opex_orig!$AD158</f>
        <v>6.4446358509226095E-4</v>
      </c>
      <c r="AG158" s="188">
        <f>opex_orig!$AD158</f>
        <v>6.4446358509226095E-4</v>
      </c>
      <c r="AH158" s="188">
        <f>opex_orig!$AD158</f>
        <v>6.4446358509226095E-4</v>
      </c>
      <c r="AI158" s="188">
        <f>opex_orig!AE158</f>
        <v>4.1050599999999999E-4</v>
      </c>
      <c r="AJ158" s="188">
        <f>opex_orig!AF158</f>
        <v>8.0099999999999995E-5</v>
      </c>
      <c r="AK158" s="188">
        <f>opex_orig!AG158</f>
        <v>2.0100000000000001E-5</v>
      </c>
      <c r="AL158" s="188">
        <f>opex_orig!AH158</f>
        <v>5.7200000000000001E-5</v>
      </c>
      <c r="AM158" s="188">
        <f>opex_orig!AI158</f>
        <v>1.5500000000000001E-5</v>
      </c>
      <c r="AN158" s="188">
        <f>opex_orig!AJ158</f>
        <v>9.7600000000000001E-5</v>
      </c>
      <c r="AO158" s="188">
        <f>opex_orig!AK158</f>
        <v>1.8600000000000001E-5</v>
      </c>
      <c r="AP158" s="188">
        <f>opex_orig!$AL158</f>
        <v>1.1006166006732599E-4</v>
      </c>
      <c r="AQ158" s="188">
        <f>opex_orig!$AL158</f>
        <v>1.1006166006732599E-4</v>
      </c>
      <c r="AR158" s="188">
        <f>opex_orig!$AL158</f>
        <v>1.1006166006732599E-4</v>
      </c>
      <c r="AS158" s="188">
        <f>opex_orig!$AM158</f>
        <v>1.7025550726392001E-5</v>
      </c>
      <c r="AT158" s="188">
        <f>opex_orig!AN158</f>
        <v>1.09815E-4</v>
      </c>
      <c r="AU158" s="188">
        <f>opex_orig!$AO158</f>
        <v>9.6434465253483897E-5</v>
      </c>
      <c r="AV158" s="188">
        <f>opex_orig!$AO158</f>
        <v>9.6434465253483897E-5</v>
      </c>
      <c r="AW158" s="188">
        <f>opex_orig!$AO158</f>
        <v>9.6434465253483897E-5</v>
      </c>
      <c r="AX158" s="188">
        <f>opex_orig!$AP158</f>
        <v>2.0824144172198301E-4</v>
      </c>
      <c r="AY158" s="188">
        <f>opex_orig!AQ158</f>
        <v>2.51573E-4</v>
      </c>
      <c r="AZ158" s="188">
        <f>opex_orig!AR158</f>
        <v>0</v>
      </c>
      <c r="BA158" s="188">
        <f>opex_orig!AS158</f>
        <v>1.7688099999999999E-4</v>
      </c>
      <c r="BB158" s="188">
        <f>opex_orig!AT158</f>
        <v>1.06901E-4</v>
      </c>
      <c r="BC158" s="188">
        <f>opex_orig!AU158</f>
        <v>9.1700000000000003E-6</v>
      </c>
      <c r="BD158" s="188">
        <f>opex_orig!AV158</f>
        <v>7.3499999999999999E-6</v>
      </c>
      <c r="BE158" s="188">
        <f>opex_orig!AW158</f>
        <v>2.16281E-4</v>
      </c>
      <c r="BF158" s="188">
        <f>opex_orig!AX158</f>
        <v>0</v>
      </c>
      <c r="BG158" s="188">
        <f>opex_orig!AY158</f>
        <v>7.2000000000000002E-5</v>
      </c>
      <c r="BH158" s="188">
        <f>opex_orig!AZ158</f>
        <v>0</v>
      </c>
      <c r="BI158" s="188">
        <f>opex_orig!BA158</f>
        <v>7.8200000000000003E-5</v>
      </c>
      <c r="BJ158" s="188">
        <f>opex_orig!BB158</f>
        <v>7.86E-5</v>
      </c>
      <c r="BK158" s="188">
        <f>opex_orig!BC158</f>
        <v>1.2342599999999999E-4</v>
      </c>
      <c r="BL158" s="188">
        <f>opex_orig!BD158</f>
        <v>1.9899999999999999E-5</v>
      </c>
      <c r="BM158" s="188">
        <f>opex_orig!BE158</f>
        <v>2.4300000000000001E-5</v>
      </c>
      <c r="BN158" s="188">
        <f>opex_orig!BF158</f>
        <v>1.31E-5</v>
      </c>
      <c r="BO158" s="188">
        <f>opex_orig!BG158</f>
        <v>4.85E-5</v>
      </c>
      <c r="BP158" s="188">
        <f>opex_orig!$BH158</f>
        <v>4.4988827566755897E-5</v>
      </c>
      <c r="BQ158" s="188">
        <f>opex_orig!$BH158</f>
        <v>4.4988827566755897E-5</v>
      </c>
      <c r="BR158" s="188">
        <f>opex_orig!BI158</f>
        <v>8.0900000000000001E-5</v>
      </c>
      <c r="BS158" s="188">
        <f>opex_orig!BJ158</f>
        <v>5.1900000000000001E-5</v>
      </c>
      <c r="BT158" s="188">
        <f>opex_orig!BK158</f>
        <v>1.63015E-4</v>
      </c>
      <c r="BU158" s="188">
        <f>opex_orig!BL158</f>
        <v>0</v>
      </c>
      <c r="BV158" s="27">
        <f>opex_orig!BM158</f>
        <v>7.5109643191318906E-5</v>
      </c>
      <c r="BW158" s="27">
        <f>opex_orig!BN158</f>
        <v>8.7805780293134697E-4</v>
      </c>
      <c r="BX158" s="27">
        <f>opex_orig!BO158</f>
        <v>8.9157373576567806E-5</v>
      </c>
      <c r="BY158" s="27">
        <f>opex_orig!BP158</f>
        <v>8.0310225274494898E-4</v>
      </c>
      <c r="BZ158" s="27">
        <f>opex_orig!BQ158</f>
        <v>3.2654315572785503E-5</v>
      </c>
      <c r="CA158" s="27">
        <f>opex_orig!BR158</f>
        <v>7.0137476346523402E-7</v>
      </c>
      <c r="CB158" s="27">
        <f>opex_orig!BS158</f>
        <v>1.3482800810826E-4</v>
      </c>
      <c r="CC158" s="27">
        <f>opex_orig!BT158</f>
        <v>3.23909204280854E-5</v>
      </c>
      <c r="CD158" s="27">
        <f>opex_orig!BU158</f>
        <v>3.8619931204369496E-6</v>
      </c>
      <c r="CE158" s="27">
        <f>opex_orig!BV158</f>
        <v>3.8619931204369496E-6</v>
      </c>
      <c r="CF158" s="27">
        <f>opex_orig!BW158</f>
        <v>2.28900890051315E-6</v>
      </c>
      <c r="CG158" s="27">
        <f>opex_orig!BX158</f>
        <v>3.2704113175192299E-6</v>
      </c>
      <c r="CH158" s="27">
        <f>opex_orig!BY158</f>
        <v>2.3796066895425801E-5</v>
      </c>
      <c r="CI158" s="27">
        <f>opex_orig!BZ158</f>
        <v>4.5326699999999998E-4</v>
      </c>
      <c r="CJ158" s="27">
        <f>opex_orig!CA158</f>
        <v>1.14239E-4</v>
      </c>
      <c r="CK158" s="27">
        <f>opex_orig!CB158</f>
        <v>5.5000000000000002E-5</v>
      </c>
      <c r="CL158" s="27">
        <f>opex_orig!CC158</f>
        <v>6.3800000000000006E-5</v>
      </c>
      <c r="CM158" s="27">
        <f>opex_orig!CD158</f>
        <v>1.75489E-4</v>
      </c>
      <c r="CN158" s="27">
        <f>opex_orig!CE158</f>
        <v>6.5546300000000001E-4</v>
      </c>
      <c r="CO158" s="27">
        <f>opex_orig!CF158</f>
        <v>5.3100000000000003E-5</v>
      </c>
      <c r="CP158" s="27">
        <f>opex_orig!CG158</f>
        <v>1.6699999999999999E-5</v>
      </c>
    </row>
    <row r="159" spans="1:94" x14ac:dyDescent="0.25">
      <c r="A159" s="6" t="s">
        <v>309</v>
      </c>
      <c r="B159" s="2" t="s">
        <v>308</v>
      </c>
      <c r="C159" s="1" t="s">
        <v>335</v>
      </c>
      <c r="D159" s="188">
        <f>opex_orig!D159</f>
        <v>3.3694699999999998E-4</v>
      </c>
      <c r="E159" s="188">
        <f>opex_orig!E159</f>
        <v>3.5291700000000001E-4</v>
      </c>
      <c r="F159" s="188">
        <f>opex_orig!F159</f>
        <v>5.6499999999999998E-5</v>
      </c>
      <c r="G159" s="188">
        <f>opex_orig!G159</f>
        <v>1.24E-5</v>
      </c>
      <c r="H159" s="188">
        <f>opex_orig!H159</f>
        <v>2.02E-5</v>
      </c>
      <c r="I159" s="188">
        <f>opex_orig!I159</f>
        <v>2.2928400000000001E-4</v>
      </c>
      <c r="J159" s="188">
        <f>opex_orig!J159</f>
        <v>1.9313500000000001E-4</v>
      </c>
      <c r="K159" s="188">
        <f>opex_orig!K159</f>
        <v>3.2299999999999999E-5</v>
      </c>
      <c r="L159" s="188">
        <f>opex_orig!L159</f>
        <v>2.9492400000000001E-4</v>
      </c>
      <c r="M159" s="188">
        <f>opex_orig!M159</f>
        <v>8.0630299999999997E-4</v>
      </c>
      <c r="N159" s="188">
        <f>opex_orig!N159</f>
        <v>2.2460449999999999E-3</v>
      </c>
      <c r="O159" s="188">
        <f>opex_orig!O159</f>
        <v>5.9304799999999999E-4</v>
      </c>
      <c r="P159" s="188">
        <f>opex_orig!P159</f>
        <v>2.5541499999999999E-4</v>
      </c>
      <c r="Q159" s="188">
        <f>opex_orig!Q159</f>
        <v>4.46E-5</v>
      </c>
      <c r="R159" s="188">
        <f>opex_orig!R159</f>
        <v>3.4700000000000003E-5</v>
      </c>
      <c r="S159" s="188">
        <f>opex_orig!S159</f>
        <v>8.6100000000000006E-5</v>
      </c>
      <c r="T159" s="188">
        <f>opex_orig!T159</f>
        <v>4.6E-5</v>
      </c>
      <c r="U159" s="188">
        <f>opex_orig!U159</f>
        <v>6.6500499999999998E-4</v>
      </c>
      <c r="V159" s="188">
        <f>opex_orig!V159</f>
        <v>1.2779550000000001E-3</v>
      </c>
      <c r="W159" s="188">
        <f>opex_orig!W159</f>
        <v>2.1432299999999999E-4</v>
      </c>
      <c r="X159" s="188">
        <f>opex_orig!X159</f>
        <v>1.0064399999999999E-4</v>
      </c>
      <c r="Y159" s="188">
        <f>opex_orig!Y159</f>
        <v>4.5399999999999999E-5</v>
      </c>
      <c r="Z159" s="188">
        <f>opex_orig!Z159</f>
        <v>2.9094199999999998E-4</v>
      </c>
      <c r="AA159" s="188">
        <f>opex_orig!AA159</f>
        <v>1.0050199999999999E-4</v>
      </c>
      <c r="AB159" s="188">
        <f>opex_orig!$AB159</f>
        <v>9.4316181983729501E-5</v>
      </c>
      <c r="AC159" s="188">
        <f>opex_orig!$AB159</f>
        <v>9.4316181983729501E-5</v>
      </c>
      <c r="AD159" s="188">
        <f>opex_orig!$AB159</f>
        <v>9.4316181983729501E-5</v>
      </c>
      <c r="AE159" s="188">
        <f>opex_orig!$AC159</f>
        <v>8.2592784153750504E-3</v>
      </c>
      <c r="AF159" s="188">
        <f>opex_orig!$AD159</f>
        <v>2.13560390731099E-3</v>
      </c>
      <c r="AG159" s="188">
        <f>opex_orig!$AD159</f>
        <v>2.13560390731099E-3</v>
      </c>
      <c r="AH159" s="188">
        <f>opex_orig!$AD159</f>
        <v>2.13560390731099E-3</v>
      </c>
      <c r="AI159" s="188">
        <f>opex_orig!AE159</f>
        <v>1.555833E-3</v>
      </c>
      <c r="AJ159" s="188">
        <f>opex_orig!AF159</f>
        <v>4.3222300000000003E-4</v>
      </c>
      <c r="AK159" s="188">
        <f>opex_orig!AG159</f>
        <v>8.5000000000000006E-5</v>
      </c>
      <c r="AL159" s="188">
        <f>opex_orig!AH159</f>
        <v>1.4557799999999999E-4</v>
      </c>
      <c r="AM159" s="188">
        <f>opex_orig!AI159</f>
        <v>8.7700000000000004E-5</v>
      </c>
      <c r="AN159" s="188">
        <f>opex_orig!AJ159</f>
        <v>2.6766700000000002E-4</v>
      </c>
      <c r="AO159" s="188">
        <f>opex_orig!AK159</f>
        <v>1.13113E-4</v>
      </c>
      <c r="AP159" s="188">
        <f>opex_orig!$AL159</f>
        <v>3.20465060044885E-4</v>
      </c>
      <c r="AQ159" s="188">
        <f>opex_orig!$AL159</f>
        <v>3.20465060044885E-4</v>
      </c>
      <c r="AR159" s="188">
        <f>opex_orig!$AL159</f>
        <v>3.20465060044885E-4</v>
      </c>
      <c r="AS159" s="188">
        <f>opex_orig!$AM159</f>
        <v>1.00451769635191E-4</v>
      </c>
      <c r="AT159" s="188">
        <f>opex_orig!AN159</f>
        <v>3.4226699999999999E-4</v>
      </c>
      <c r="AU159" s="188">
        <f>opex_orig!$AO159</f>
        <v>4.3960917091354399E-4</v>
      </c>
      <c r="AV159" s="188">
        <f>opex_orig!$AO159</f>
        <v>4.3960917091354399E-4</v>
      </c>
      <c r="AW159" s="188">
        <f>opex_orig!$AO159</f>
        <v>4.3960917091354399E-4</v>
      </c>
      <c r="AX159" s="188">
        <f>opex_orig!$AP159</f>
        <v>7.3555164518019701E-4</v>
      </c>
      <c r="AY159" s="188">
        <f>opex_orig!AQ159</f>
        <v>8.5991400000000003E-4</v>
      </c>
      <c r="AZ159" s="188">
        <f>opex_orig!AR159</f>
        <v>0</v>
      </c>
      <c r="BA159" s="188">
        <f>opex_orig!AS159</f>
        <v>5.59721E-4</v>
      </c>
      <c r="BB159" s="188">
        <f>opex_orig!AT159</f>
        <v>4.0738100000000001E-4</v>
      </c>
      <c r="BC159" s="188">
        <f>opex_orig!AU159</f>
        <v>5.0800000000000002E-5</v>
      </c>
      <c r="BD159" s="188">
        <f>opex_orig!AV159</f>
        <v>3.9700000000000003E-5</v>
      </c>
      <c r="BE159" s="188">
        <f>opex_orig!AW159</f>
        <v>6.7311200000000002E-4</v>
      </c>
      <c r="BF159" s="188">
        <f>opex_orig!AX159</f>
        <v>0</v>
      </c>
      <c r="BG159" s="188">
        <f>opex_orig!AY159</f>
        <v>2.4203899999999999E-4</v>
      </c>
      <c r="BH159" s="188">
        <f>opex_orig!AZ159</f>
        <v>0</v>
      </c>
      <c r="BI159" s="188">
        <f>opex_orig!BA159</f>
        <v>3.5712599999999998E-4</v>
      </c>
      <c r="BJ159" s="188">
        <f>opex_orig!BB159</f>
        <v>4.4195699999999998E-4</v>
      </c>
      <c r="BK159" s="188">
        <f>opex_orig!BC159</f>
        <v>7.04414E-4</v>
      </c>
      <c r="BL159" s="188">
        <f>opex_orig!BD159</f>
        <v>6.97E-5</v>
      </c>
      <c r="BM159" s="188">
        <f>opex_orig!BE159</f>
        <v>1.02754E-4</v>
      </c>
      <c r="BN159" s="188">
        <f>opex_orig!BF159</f>
        <v>4.1600000000000002E-5</v>
      </c>
      <c r="BO159" s="188">
        <f>opex_orig!BG159</f>
        <v>1.70891E-4</v>
      </c>
      <c r="BP159" s="188">
        <f>opex_orig!$BH159</f>
        <v>2.5102751442709502E-4</v>
      </c>
      <c r="BQ159" s="188">
        <f>opex_orig!$BH159</f>
        <v>2.5102751442709502E-4</v>
      </c>
      <c r="BR159" s="188">
        <f>opex_orig!BI159</f>
        <v>3.69353E-4</v>
      </c>
      <c r="BS159" s="188">
        <f>opex_orig!BJ159</f>
        <v>1.5924799999999999E-4</v>
      </c>
      <c r="BT159" s="188">
        <f>opex_orig!BK159</f>
        <v>7.2962500000000002E-4</v>
      </c>
      <c r="BU159" s="188">
        <f>opex_orig!BL159</f>
        <v>0</v>
      </c>
      <c r="BV159" s="27">
        <f>opex_orig!BM159</f>
        <v>3.3821731219164301E-4</v>
      </c>
      <c r="BW159" s="27">
        <f>opex_orig!BN159</f>
        <v>2.2620877252600602E-3</v>
      </c>
      <c r="BX159" s="27">
        <f>opex_orig!BO159</f>
        <v>3.4996638482635199E-4</v>
      </c>
      <c r="BY159" s="27">
        <f>opex_orig!BP159</f>
        <v>1.9851687858298199E-3</v>
      </c>
      <c r="BZ159" s="27">
        <f>opex_orig!BQ159</f>
        <v>1.4896906946066101E-4</v>
      </c>
      <c r="CA159" s="27">
        <f>opex_orig!BR159</f>
        <v>4.2519184490714E-6</v>
      </c>
      <c r="CB159" s="27">
        <f>opex_orig!BS159</f>
        <v>2.4094553631591901E-4</v>
      </c>
      <c r="CC159" s="27">
        <f>opex_orig!BT159</f>
        <v>3.5010661756235698E-4</v>
      </c>
      <c r="CD159" s="27">
        <f>opex_orig!BU159</f>
        <v>1.97086189991677E-5</v>
      </c>
      <c r="CE159" s="27">
        <f>opex_orig!BV159</f>
        <v>1.9708618999167799E-5</v>
      </c>
      <c r="CF159" s="27">
        <f>opex_orig!BW159</f>
        <v>8.3438702378099102E-6</v>
      </c>
      <c r="CG159" s="27">
        <f>opex_orig!BX159</f>
        <v>9.7631584927433804E-6</v>
      </c>
      <c r="CH159" s="27">
        <f>opex_orig!BY159</f>
        <v>1.1804607575677201E-5</v>
      </c>
      <c r="CI159" s="27">
        <f>opex_orig!BZ159</f>
        <v>1.203951E-3</v>
      </c>
      <c r="CJ159" s="27">
        <f>opex_orig!CA159</f>
        <v>3.7406499999999998E-4</v>
      </c>
      <c r="CK159" s="27">
        <f>opex_orig!CB159</f>
        <v>2.2205099999999999E-4</v>
      </c>
      <c r="CL159" s="27">
        <f>opex_orig!CC159</f>
        <v>1.75699E-4</v>
      </c>
      <c r="CM159" s="27">
        <f>opex_orig!CD159</f>
        <v>5.3047399999999996E-4</v>
      </c>
      <c r="CN159" s="27">
        <f>opex_orig!CE159</f>
        <v>3.5400539999999999E-3</v>
      </c>
      <c r="CO159" s="27">
        <f>opex_orig!CF159</f>
        <v>2.9606400000000002E-4</v>
      </c>
      <c r="CP159" s="27">
        <f>opex_orig!CG159</f>
        <v>8.8399999999999994E-5</v>
      </c>
    </row>
    <row r="160" spans="1:94" x14ac:dyDescent="0.25">
      <c r="A160" s="6" t="s">
        <v>311</v>
      </c>
      <c r="B160" s="2" t="s">
        <v>310</v>
      </c>
      <c r="C160" s="1" t="s">
        <v>335</v>
      </c>
      <c r="D160" s="188">
        <f>opex_orig!D160</f>
        <v>1.0507599999999999E-4</v>
      </c>
      <c r="E160" s="188">
        <f>opex_orig!E160</f>
        <v>9.3700000000000001E-5</v>
      </c>
      <c r="F160" s="188">
        <f>opex_orig!F160</f>
        <v>1.7099999999999999E-5</v>
      </c>
      <c r="G160" s="188">
        <f>opex_orig!G160</f>
        <v>4.1699999999999999E-6</v>
      </c>
      <c r="H160" s="188">
        <f>opex_orig!H160</f>
        <v>7.17E-6</v>
      </c>
      <c r="I160" s="188">
        <f>opex_orig!I160</f>
        <v>6.7600000000000003E-5</v>
      </c>
      <c r="J160" s="188">
        <f>opex_orig!J160</f>
        <v>5.7800000000000002E-5</v>
      </c>
      <c r="K160" s="188">
        <f>opex_orig!K160</f>
        <v>1.13E-5</v>
      </c>
      <c r="L160" s="188">
        <f>opex_orig!L160</f>
        <v>8.7800000000000006E-5</v>
      </c>
      <c r="M160" s="188">
        <f>opex_orig!M160</f>
        <v>2.42215E-4</v>
      </c>
      <c r="N160" s="188">
        <f>opex_orig!N160</f>
        <v>1.16901E-4</v>
      </c>
      <c r="O160" s="188">
        <f>opex_orig!O160</f>
        <v>1.6979699999999999E-4</v>
      </c>
      <c r="P160" s="188">
        <f>opex_orig!P160</f>
        <v>7.3300000000000006E-5</v>
      </c>
      <c r="Q160" s="188">
        <f>opex_orig!Q160</f>
        <v>1.3200000000000001E-5</v>
      </c>
      <c r="R160" s="188">
        <f>opex_orig!R160</f>
        <v>1.1399999999999999E-5</v>
      </c>
      <c r="S160" s="188">
        <f>opex_orig!S160</f>
        <v>2.37E-5</v>
      </c>
      <c r="T160" s="188">
        <f>opex_orig!T160</f>
        <v>1.5E-5</v>
      </c>
      <c r="U160" s="188">
        <f>opex_orig!U160</f>
        <v>1.83077E-4</v>
      </c>
      <c r="V160" s="188">
        <f>opex_orig!V160</f>
        <v>3.4190400000000003E-4</v>
      </c>
      <c r="W160" s="188">
        <f>opex_orig!W160</f>
        <v>6.0099999999999997E-5</v>
      </c>
      <c r="X160" s="188">
        <f>opex_orig!X160</f>
        <v>2.8799999999999999E-5</v>
      </c>
      <c r="Y160" s="188">
        <f>opex_orig!Y160</f>
        <v>1.26E-5</v>
      </c>
      <c r="Z160" s="188">
        <f>opex_orig!Z160</f>
        <v>9.1100000000000005E-5</v>
      </c>
      <c r="AA160" s="188">
        <f>opex_orig!AA160</f>
        <v>3.9900000000000001E-5</v>
      </c>
      <c r="AB160" s="188">
        <f>opex_orig!$AB160</f>
        <v>2.6778410060271498E-5</v>
      </c>
      <c r="AC160" s="188">
        <f>opex_orig!$AB160</f>
        <v>2.6778410060271498E-5</v>
      </c>
      <c r="AD160" s="188">
        <f>opex_orig!$AB160</f>
        <v>2.6778410060271498E-5</v>
      </c>
      <c r="AE160" s="188">
        <f>opex_orig!$AC160</f>
        <v>3.0340557009651999E-4</v>
      </c>
      <c r="AF160" s="188">
        <f>opex_orig!$AD160</f>
        <v>5.8993459686822701E-4</v>
      </c>
      <c r="AG160" s="188">
        <f>opex_orig!$AD160</f>
        <v>5.8993459686822701E-4</v>
      </c>
      <c r="AH160" s="188">
        <f>opex_orig!$AD160</f>
        <v>5.8993459686822701E-4</v>
      </c>
      <c r="AI160" s="188">
        <f>opex_orig!AE160</f>
        <v>4.44048E-4</v>
      </c>
      <c r="AJ160" s="188">
        <f>opex_orig!AF160</f>
        <v>1.3071400000000001E-4</v>
      </c>
      <c r="AK160" s="188">
        <f>opex_orig!AG160</f>
        <v>2.6299999999999999E-5</v>
      </c>
      <c r="AL160" s="188">
        <f>opex_orig!AH160</f>
        <v>4.3800000000000001E-5</v>
      </c>
      <c r="AM160" s="188">
        <f>opex_orig!AI160</f>
        <v>2.69E-5</v>
      </c>
      <c r="AN160" s="188">
        <f>opex_orig!AJ160</f>
        <v>1.3699999999999999E-5</v>
      </c>
      <c r="AO160" s="188">
        <f>opex_orig!AK160</f>
        <v>3.2199999999999997E-5</v>
      </c>
      <c r="AP160" s="188">
        <f>opex_orig!$AL160</f>
        <v>8.3576928500994502E-5</v>
      </c>
      <c r="AQ160" s="188">
        <f>opex_orig!$AL160</f>
        <v>8.3576928500994502E-5</v>
      </c>
      <c r="AR160" s="188">
        <f>opex_orig!$AL160</f>
        <v>8.3576928500994502E-5</v>
      </c>
      <c r="AS160" s="188">
        <f>opex_orig!$AM160</f>
        <v>2.9659330173209399E-5</v>
      </c>
      <c r="AT160" s="188">
        <f>opex_orig!AN160</f>
        <v>9.1600000000000004E-5</v>
      </c>
      <c r="AU160" s="188">
        <f>opex_orig!$AO160</f>
        <v>1.28330186247315E-4</v>
      </c>
      <c r="AV160" s="188">
        <f>opex_orig!$AO160</f>
        <v>1.28330186247315E-4</v>
      </c>
      <c r="AW160" s="188">
        <f>opex_orig!$AO160</f>
        <v>1.28330186247315E-4</v>
      </c>
      <c r="AX160" s="188">
        <f>opex_orig!$AP160</f>
        <v>2.06537463384535E-4</v>
      </c>
      <c r="AY160" s="188">
        <f>opex_orig!AQ160</f>
        <v>2.3619299999999999E-4</v>
      </c>
      <c r="AZ160" s="188">
        <f>opex_orig!AR160</f>
        <v>0</v>
      </c>
      <c r="BA160" s="188">
        <f>opex_orig!AS160</f>
        <v>1.5522100000000001E-4</v>
      </c>
      <c r="BB160" s="188">
        <f>opex_orig!AT160</f>
        <v>1.18738E-4</v>
      </c>
      <c r="BC160" s="188">
        <f>opex_orig!AU160</f>
        <v>1.5800000000000001E-5</v>
      </c>
      <c r="BD160" s="188">
        <f>opex_orig!AV160</f>
        <v>1.24E-5</v>
      </c>
      <c r="BE160" s="188">
        <f>opex_orig!AW160</f>
        <v>1.8018400000000001E-4</v>
      </c>
      <c r="BF160" s="188">
        <f>opex_orig!AX160</f>
        <v>0</v>
      </c>
      <c r="BG160" s="188">
        <f>opex_orig!AY160</f>
        <v>9.8499999999999995E-5</v>
      </c>
      <c r="BH160" s="188">
        <f>opex_orig!AZ160</f>
        <v>0</v>
      </c>
      <c r="BI160" s="188">
        <f>opex_orig!BA160</f>
        <v>1.05364E-4</v>
      </c>
      <c r="BJ160" s="188">
        <f>opex_orig!BB160</f>
        <v>1.3524899999999999E-4</v>
      </c>
      <c r="BK160" s="188">
        <f>opex_orig!BC160</f>
        <v>2.1655200000000001E-4</v>
      </c>
      <c r="BL160" s="188">
        <f>opex_orig!BD160</f>
        <v>2.0699999999999998E-5</v>
      </c>
      <c r="BM160" s="188">
        <f>opex_orig!BE160</f>
        <v>3.3300000000000003E-5</v>
      </c>
      <c r="BN160" s="188">
        <f>opex_orig!BF160</f>
        <v>1.19E-5</v>
      </c>
      <c r="BO160" s="188">
        <f>opex_orig!BG160</f>
        <v>4.88E-5</v>
      </c>
      <c r="BP160" s="188">
        <f>opex_orig!$BH160</f>
        <v>7.8289234911365095E-5</v>
      </c>
      <c r="BQ160" s="188">
        <f>opex_orig!$BH160</f>
        <v>7.8289234911365095E-5</v>
      </c>
      <c r="BR160" s="188">
        <f>opex_orig!BI160</f>
        <v>1.10241E-4</v>
      </c>
      <c r="BS160" s="188">
        <f>opex_orig!BJ160</f>
        <v>4.7700000000000001E-5</v>
      </c>
      <c r="BT160" s="188">
        <f>opex_orig!BK160</f>
        <v>2.14348E-4</v>
      </c>
      <c r="BU160" s="188">
        <f>opex_orig!BL160</f>
        <v>0</v>
      </c>
      <c r="BV160" s="27">
        <f>opex_orig!BM160</f>
        <v>9.8278917622810294E-5</v>
      </c>
      <c r="BW160" s="27">
        <f>opex_orig!BN160</f>
        <v>5.8409760438884204E-4</v>
      </c>
      <c r="BX160" s="27">
        <f>opex_orig!BO160</f>
        <v>1.0113078259079E-4</v>
      </c>
      <c r="BY160" s="27">
        <f>opex_orig!BP160</f>
        <v>5.0099327148420104E-4</v>
      </c>
      <c r="BZ160" s="27">
        <f>opex_orig!BQ160</f>
        <v>4.8935475925847199E-5</v>
      </c>
      <c r="CA160" s="27">
        <f>opex_orig!BR160</f>
        <v>1.1697981551185399E-6</v>
      </c>
      <c r="CB160" s="27">
        <f>opex_orig!BS160</f>
        <v>1.5039156228156499E-4</v>
      </c>
      <c r="CC160" s="27">
        <f>opex_orig!BT160</f>
        <v>1.47924455836965E-5</v>
      </c>
      <c r="CD160" s="27">
        <f>opex_orig!BU160</f>
        <v>6.4881583355903499E-6</v>
      </c>
      <c r="CE160" s="27">
        <f>opex_orig!BV160</f>
        <v>6.4881583355903703E-6</v>
      </c>
      <c r="CF160" s="27">
        <f>opex_orig!BW160</f>
        <v>2.0339755801592598E-6</v>
      </c>
      <c r="CG160" s="27">
        <f>opex_orig!BX160</f>
        <v>2.4866381741655799E-6</v>
      </c>
      <c r="CH160" s="27">
        <f>opex_orig!BY160</f>
        <v>1.41279623428962E-5</v>
      </c>
      <c r="CI160" s="27">
        <f>opex_orig!BZ160</f>
        <v>3.1285800000000001E-4</v>
      </c>
      <c r="CJ160" s="27">
        <f>opex_orig!CA160</f>
        <v>1.03671E-4</v>
      </c>
      <c r="CK160" s="27">
        <f>opex_orig!CB160</f>
        <v>6.4999999999999994E-5</v>
      </c>
      <c r="CL160" s="27">
        <f>opex_orig!CC160</f>
        <v>4.6699999999999997E-5</v>
      </c>
      <c r="CM160" s="27">
        <f>opex_orig!CD160</f>
        <v>1.4586499999999999E-4</v>
      </c>
      <c r="CN160" s="27">
        <f>opex_orig!CE160</f>
        <v>1.072655E-3</v>
      </c>
      <c r="CO160" s="27">
        <f>opex_orig!CF160</f>
        <v>9.1100000000000005E-5</v>
      </c>
      <c r="CP160" s="27">
        <f>opex_orig!CG160</f>
        <v>2.7399999999999999E-5</v>
      </c>
    </row>
    <row r="161" spans="1:94" x14ac:dyDescent="0.25">
      <c r="A161" s="6" t="s">
        <v>313</v>
      </c>
      <c r="B161" s="2" t="s">
        <v>312</v>
      </c>
      <c r="C161" s="1" t="s">
        <v>335</v>
      </c>
      <c r="D161" s="188">
        <f>opex_orig!D161</f>
        <v>1.3304500000000001E-4</v>
      </c>
      <c r="E161" s="188">
        <f>opex_orig!E161</f>
        <v>1.18399E-4</v>
      </c>
      <c r="F161" s="188">
        <f>opex_orig!F161</f>
        <v>2.1699999999999999E-5</v>
      </c>
      <c r="G161" s="188">
        <f>opex_orig!G161</f>
        <v>5.1200000000000001E-6</v>
      </c>
      <c r="H161" s="188">
        <f>opex_orig!H161</f>
        <v>8.5599999999999994E-6</v>
      </c>
      <c r="I161" s="188">
        <f>opex_orig!I161</f>
        <v>8.5699999999999996E-5</v>
      </c>
      <c r="J161" s="188">
        <f>opex_orig!J161</f>
        <v>7.3200000000000004E-5</v>
      </c>
      <c r="K161" s="188">
        <f>opex_orig!K161</f>
        <v>1.38E-5</v>
      </c>
      <c r="L161" s="188">
        <f>opex_orig!L161</f>
        <v>1.11383E-4</v>
      </c>
      <c r="M161" s="188">
        <f>opex_orig!M161</f>
        <v>3.0776700000000002E-4</v>
      </c>
      <c r="N161" s="188">
        <f>opex_orig!N161</f>
        <v>1.4861900000000001E-4</v>
      </c>
      <c r="O161" s="188">
        <f>opex_orig!O161</f>
        <v>2.14677E-4</v>
      </c>
      <c r="P161" s="188">
        <f>opex_orig!P161</f>
        <v>9.31E-5</v>
      </c>
      <c r="Q161" s="188">
        <f>opex_orig!Q161</f>
        <v>1.6500000000000001E-5</v>
      </c>
      <c r="R161" s="188">
        <f>opex_orig!R161</f>
        <v>1.3699999999999999E-5</v>
      </c>
      <c r="S161" s="188">
        <f>opex_orig!S161</f>
        <v>2.9899999999999998E-5</v>
      </c>
      <c r="T161" s="188">
        <f>opex_orig!T161</f>
        <v>1.8099999999999999E-5</v>
      </c>
      <c r="U161" s="188">
        <f>opex_orig!U161</f>
        <v>2.31776E-4</v>
      </c>
      <c r="V161" s="188">
        <f>opex_orig!V161</f>
        <v>4.3249E-4</v>
      </c>
      <c r="W161" s="188">
        <f>opex_orig!W161</f>
        <v>7.6199999999999995E-5</v>
      </c>
      <c r="X161" s="188">
        <f>opex_orig!X161</f>
        <v>3.65E-5</v>
      </c>
      <c r="Y161" s="188">
        <f>opex_orig!Y161</f>
        <v>1.6200000000000001E-5</v>
      </c>
      <c r="Z161" s="188">
        <f>opex_orig!Z161</f>
        <v>1.12279E-4</v>
      </c>
      <c r="AA161" s="188">
        <f>opex_orig!AA161</f>
        <v>4.71E-5</v>
      </c>
      <c r="AB161" s="188">
        <f>opex_orig!$AB161</f>
        <v>3.2079500677445198E-5</v>
      </c>
      <c r="AC161" s="188">
        <f>opex_orig!$AB161</f>
        <v>3.2079500677445198E-5</v>
      </c>
      <c r="AD161" s="188">
        <f>opex_orig!$AB161</f>
        <v>3.2079500677445198E-5</v>
      </c>
      <c r="AE161" s="188">
        <f>opex_orig!$AC161</f>
        <v>3.8614433275978299E-4</v>
      </c>
      <c r="AF161" s="188">
        <f>opex_orig!$AD161</f>
        <v>7.4766594732178905E-4</v>
      </c>
      <c r="AG161" s="188">
        <f>opex_orig!$AD161</f>
        <v>7.4766594732178905E-4</v>
      </c>
      <c r="AH161" s="188">
        <f>opex_orig!$AD161</f>
        <v>7.4766594732178905E-4</v>
      </c>
      <c r="AI161" s="188">
        <f>opex_orig!AE161</f>
        <v>5.6330200000000001E-4</v>
      </c>
      <c r="AJ161" s="188">
        <f>opex_orig!AF161</f>
        <v>1.6634700000000001E-4</v>
      </c>
      <c r="AK161" s="188">
        <f>opex_orig!AG161</f>
        <v>3.2299999999999999E-5</v>
      </c>
      <c r="AL161" s="188">
        <f>opex_orig!AH161</f>
        <v>5.4500000000000003E-5</v>
      </c>
      <c r="AM161" s="188">
        <f>opex_orig!AI161</f>
        <v>3.4100000000000002E-5</v>
      </c>
      <c r="AN161" s="188">
        <f>opex_orig!AJ161</f>
        <v>8.3599999999999999E-5</v>
      </c>
      <c r="AO161" s="188">
        <f>opex_orig!AK161</f>
        <v>4.0899999999999998E-5</v>
      </c>
      <c r="AP161" s="188">
        <f>opex_orig!$AL161</f>
        <v>1.05693926440086E-4</v>
      </c>
      <c r="AQ161" s="188">
        <f>opex_orig!$AL161</f>
        <v>1.05693926440086E-4</v>
      </c>
      <c r="AR161" s="188">
        <f>opex_orig!$AL161</f>
        <v>1.05693926440086E-4</v>
      </c>
      <c r="AS161" s="188">
        <f>opex_orig!$AM161</f>
        <v>3.7626757112614798E-5</v>
      </c>
      <c r="AT161" s="188">
        <f>opex_orig!AN161</f>
        <v>1.15925E-4</v>
      </c>
      <c r="AU161" s="188">
        <f>opex_orig!$AO161</f>
        <v>1.633530897815E-4</v>
      </c>
      <c r="AV161" s="188">
        <f>opex_orig!$AO161</f>
        <v>1.633530897815E-4</v>
      </c>
      <c r="AW161" s="188">
        <f>opex_orig!$AO161</f>
        <v>1.633530897815E-4</v>
      </c>
      <c r="AX161" s="188">
        <f>opex_orig!$AP161</f>
        <v>2.6195583907484598E-4</v>
      </c>
      <c r="AY161" s="188">
        <f>opex_orig!AQ161</f>
        <v>3.0014899999999999E-4</v>
      </c>
      <c r="AZ161" s="188">
        <f>opex_orig!AR161</f>
        <v>0</v>
      </c>
      <c r="BA161" s="188">
        <f>opex_orig!AS161</f>
        <v>1.962E-4</v>
      </c>
      <c r="BB161" s="188">
        <f>opex_orig!AT161</f>
        <v>1.50309E-4</v>
      </c>
      <c r="BC161" s="188">
        <f>opex_orig!AU161</f>
        <v>2.0100000000000001E-5</v>
      </c>
      <c r="BD161" s="188">
        <f>opex_orig!AV161</f>
        <v>1.59E-5</v>
      </c>
      <c r="BE161" s="188">
        <f>opex_orig!AW161</f>
        <v>2.4156899999999999E-4</v>
      </c>
      <c r="BF161" s="188">
        <f>opex_orig!AX161</f>
        <v>0</v>
      </c>
      <c r="BG161" s="188">
        <f>opex_orig!AY161</f>
        <v>1.15844E-4</v>
      </c>
      <c r="BH161" s="188">
        <f>opex_orig!AZ161</f>
        <v>0</v>
      </c>
      <c r="BI161" s="188">
        <f>opex_orig!BA161</f>
        <v>1.3406599999999999E-4</v>
      </c>
      <c r="BJ161" s="188">
        <f>opex_orig!BB161</f>
        <v>1.7222200000000001E-4</v>
      </c>
      <c r="BK161" s="188">
        <f>opex_orig!BC161</f>
        <v>2.75918E-4</v>
      </c>
      <c r="BL161" s="188">
        <f>opex_orig!BD161</f>
        <v>2.5700000000000001E-5</v>
      </c>
      <c r="BM161" s="188">
        <f>opex_orig!BE161</f>
        <v>4.2400000000000001E-5</v>
      </c>
      <c r="BN161" s="188">
        <f>opex_orig!BF161</f>
        <v>1.49E-5</v>
      </c>
      <c r="BO161" s="188">
        <f>opex_orig!BG161</f>
        <v>6.1799999999999998E-5</v>
      </c>
      <c r="BP161" s="188">
        <f>opex_orig!$BH161</f>
        <v>9.9021341907965901E-5</v>
      </c>
      <c r="BQ161" s="188">
        <f>opex_orig!$BH161</f>
        <v>9.9021341907965901E-5</v>
      </c>
      <c r="BR161" s="188">
        <f>opex_orig!BI161</f>
        <v>1.3979500000000001E-4</v>
      </c>
      <c r="BS161" s="188">
        <f>opex_orig!BJ161</f>
        <v>5.9799999999999997E-5</v>
      </c>
      <c r="BT161" s="188">
        <f>opex_orig!BK161</f>
        <v>2.7349600000000003E-4</v>
      </c>
      <c r="BU161" s="188">
        <f>opex_orig!BL161</f>
        <v>0</v>
      </c>
      <c r="BV161" s="27">
        <f>opex_orig!BM161</f>
        <v>1.2510818549199101E-4</v>
      </c>
      <c r="BW161" s="27">
        <f>opex_orig!BN161</f>
        <v>7.3678973656984197E-4</v>
      </c>
      <c r="BX161" s="27">
        <f>opex_orig!BO161</f>
        <v>1.2832648099402901E-4</v>
      </c>
      <c r="BY161" s="27">
        <f>opex_orig!BP161</f>
        <v>6.3248259259981305E-4</v>
      </c>
      <c r="BZ161" s="27">
        <f>opex_orig!BQ161</f>
        <v>5.9285309974792903E-5</v>
      </c>
      <c r="CA161" s="27">
        <f>opex_orig!BR161</f>
        <v>1.3634233575037001E-6</v>
      </c>
      <c r="CB161" s="27">
        <f>opex_orig!BS161</f>
        <v>1.6068637442023299E-4</v>
      </c>
      <c r="CC161" s="27">
        <f>opex_orig!BT161</f>
        <v>6.8112521435454102E-5</v>
      </c>
      <c r="CD161" s="27">
        <f>opex_orig!BU161</f>
        <v>8.1795120597588196E-6</v>
      </c>
      <c r="CE161" s="27">
        <f>opex_orig!BV161</f>
        <v>8.1795120597588399E-6</v>
      </c>
      <c r="CF161" s="27">
        <f>opex_orig!BW161</f>
        <v>2.6447906039046701E-6</v>
      </c>
      <c r="CG161" s="27">
        <f>opex_orig!BX161</f>
        <v>4.0505349240296001E-6</v>
      </c>
      <c r="CH161" s="27">
        <f>opex_orig!BY161</f>
        <v>1.5527391045972502E-5</v>
      </c>
      <c r="CI161" s="27">
        <f>opex_orig!BZ161</f>
        <v>3.95227E-4</v>
      </c>
      <c r="CJ161" s="27">
        <f>opex_orig!CA161</f>
        <v>1.31335E-4</v>
      </c>
      <c r="CK161" s="27">
        <f>opex_orig!CB161</f>
        <v>8.25E-5</v>
      </c>
      <c r="CL161" s="27">
        <f>opex_orig!CC161</f>
        <v>5.8999999999999998E-5</v>
      </c>
      <c r="CM161" s="27">
        <f>opex_orig!CD161</f>
        <v>1.84363E-4</v>
      </c>
      <c r="CN161" s="27">
        <f>opex_orig!CE161</f>
        <v>1.3650960000000001E-3</v>
      </c>
      <c r="CO161" s="27">
        <f>opex_orig!CF161</f>
        <v>1.1574900000000001E-4</v>
      </c>
      <c r="CP161" s="27">
        <f>opex_orig!CG161</f>
        <v>3.4799999999999999E-5</v>
      </c>
    </row>
    <row r="162" spans="1:94" x14ac:dyDescent="0.25">
      <c r="A162" s="5" t="s">
        <v>315</v>
      </c>
      <c r="B162" s="2" t="s">
        <v>314</v>
      </c>
      <c r="C162" s="1" t="s">
        <v>335</v>
      </c>
      <c r="D162" s="188">
        <f>opex_orig!D162</f>
        <v>3.0699999999999998E-6</v>
      </c>
      <c r="E162" s="188">
        <f>opex_orig!E162</f>
        <v>3.5499999999999999E-7</v>
      </c>
      <c r="F162" s="188">
        <f>opex_orig!F162</f>
        <v>3.3699999999999999E-6</v>
      </c>
      <c r="G162" s="188">
        <f>opex_orig!G162</f>
        <v>2.8100000000000002E-6</v>
      </c>
      <c r="H162" s="188">
        <f>opex_orig!H162</f>
        <v>3.9299999999999996E-6</v>
      </c>
      <c r="I162" s="188">
        <f>opex_orig!I162</f>
        <v>1.2699999999999999E-6</v>
      </c>
      <c r="J162" s="188">
        <f>opex_orig!J162</f>
        <v>1.8500000000000001E-6</v>
      </c>
      <c r="K162" s="188">
        <f>opex_orig!K162</f>
        <v>1.1399999999999999E-5</v>
      </c>
      <c r="L162" s="188">
        <f>opex_orig!L162</f>
        <v>1.9199999999999999E-5</v>
      </c>
      <c r="M162" s="188">
        <f>opex_orig!M162</f>
        <v>1.6645000000000001E-4</v>
      </c>
      <c r="N162" s="188">
        <f>opex_orig!N162</f>
        <v>9.8099999999999999E-5</v>
      </c>
      <c r="O162" s="188">
        <f>opex_orig!O162</f>
        <v>2.7900000000000001E-5</v>
      </c>
      <c r="P162" s="188">
        <f>opex_orig!P162</f>
        <v>2.39E-6</v>
      </c>
      <c r="Q162" s="188">
        <f>opex_orig!Q162</f>
        <v>5.4634900000000001E-4</v>
      </c>
      <c r="R162" s="188">
        <f>opex_orig!R162</f>
        <v>5.8188599999999999E-4</v>
      </c>
      <c r="S162" s="188">
        <f>opex_orig!S162</f>
        <v>2.7099999999999999E-6</v>
      </c>
      <c r="T162" s="188">
        <f>opex_orig!T162</f>
        <v>3.069713E-3</v>
      </c>
      <c r="U162" s="188">
        <f>opex_orig!U162</f>
        <v>1.22E-5</v>
      </c>
      <c r="V162" s="188">
        <f>opex_orig!V162</f>
        <v>6.61E-7</v>
      </c>
      <c r="W162" s="188">
        <f>opex_orig!W162</f>
        <v>3.0300000000000001E-5</v>
      </c>
      <c r="X162" s="188">
        <f>opex_orig!X162</f>
        <v>8.4100000000000008E-6</v>
      </c>
      <c r="Y162" s="188">
        <f>opex_orig!Y162</f>
        <v>4.4799999999999999E-7</v>
      </c>
      <c r="Z162" s="188">
        <f>opex_orig!Z162</f>
        <v>7.4900000000000002E-8</v>
      </c>
      <c r="AA162" s="188">
        <f>opex_orig!AA162</f>
        <v>2.17E-7</v>
      </c>
      <c r="AB162" s="188">
        <f>opex_orig!$AB162</f>
        <v>1.3847483179878599E-6</v>
      </c>
      <c r="AC162" s="188">
        <f>opex_orig!$AB162</f>
        <v>1.3847483179878599E-6</v>
      </c>
      <c r="AD162" s="188">
        <f>opex_orig!$AB162</f>
        <v>1.3847483179878599E-6</v>
      </c>
      <c r="AE162" s="188">
        <f>opex_orig!$AC162</f>
        <v>4.3668233248707203E-5</v>
      </c>
      <c r="AF162" s="188">
        <f>opex_orig!$AD162</f>
        <v>3.96084116528952E-5</v>
      </c>
      <c r="AG162" s="188">
        <f>opex_orig!$AD162</f>
        <v>3.96084116528952E-5</v>
      </c>
      <c r="AH162" s="188">
        <f>opex_orig!$AD162</f>
        <v>3.96084116528952E-5</v>
      </c>
      <c r="AI162" s="188">
        <f>opex_orig!AE162</f>
        <v>9.0599999999999997E-6</v>
      </c>
      <c r="AJ162" s="188">
        <f>opex_orig!AF162</f>
        <v>2.3730100000000001E-4</v>
      </c>
      <c r="AK162" s="188">
        <f>opex_orig!AG162</f>
        <v>7.0500000000000003E-7</v>
      </c>
      <c r="AL162" s="188">
        <f>opex_orig!AH162</f>
        <v>8.9999999999999996E-7</v>
      </c>
      <c r="AM162" s="188">
        <f>opex_orig!AI162</f>
        <v>8.7499999999999999E-7</v>
      </c>
      <c r="AN162" s="188">
        <f>opex_orig!AJ162</f>
        <v>1.3799999999999999E-6</v>
      </c>
      <c r="AO162" s="188">
        <f>opex_orig!AK162</f>
        <v>1.2500000000000001E-6</v>
      </c>
      <c r="AP162" s="188">
        <f>opex_orig!$AL162</f>
        <v>7.6877982635626802E-7</v>
      </c>
      <c r="AQ162" s="188">
        <f>opex_orig!$AL162</f>
        <v>7.6877982635626802E-7</v>
      </c>
      <c r="AR162" s="188">
        <f>opex_orig!$AL162</f>
        <v>7.6877982635626802E-7</v>
      </c>
      <c r="AS162" s="188">
        <f>opex_orig!$AM162</f>
        <v>6.9330753583842795E-7</v>
      </c>
      <c r="AT162" s="188">
        <f>opex_orig!AN162</f>
        <v>1.26E-6</v>
      </c>
      <c r="AU162" s="188">
        <f>opex_orig!$AO162</f>
        <v>7.8205414033679097E-7</v>
      </c>
      <c r="AV162" s="188">
        <f>opex_orig!$AO162</f>
        <v>7.8205414033679097E-7</v>
      </c>
      <c r="AW162" s="188">
        <f>opex_orig!$AO162</f>
        <v>7.8205414033679097E-7</v>
      </c>
      <c r="AX162" s="188">
        <f>opex_orig!$AP162</f>
        <v>5.1733314594485897E-7</v>
      </c>
      <c r="AY162" s="188">
        <f>opex_orig!AQ162</f>
        <v>1.2300000000000001E-6</v>
      </c>
      <c r="AZ162" s="188">
        <f>opex_orig!AR162</f>
        <v>0</v>
      </c>
      <c r="BA162" s="188">
        <f>opex_orig!AS162</f>
        <v>1.57E-6</v>
      </c>
      <c r="BB162" s="188">
        <f>opex_orig!AT162</f>
        <v>1.77E-6</v>
      </c>
      <c r="BC162" s="188">
        <f>opex_orig!AU162</f>
        <v>1.4399999999999999E-7</v>
      </c>
      <c r="BD162" s="188">
        <f>opex_orig!AV162</f>
        <v>5.7299999999999997E-8</v>
      </c>
      <c r="BE162" s="188">
        <f>opex_orig!AW162</f>
        <v>2.43E-6</v>
      </c>
      <c r="BF162" s="188">
        <f>opex_orig!AX162</f>
        <v>0</v>
      </c>
      <c r="BG162" s="188">
        <f>opex_orig!AY162</f>
        <v>2.4499999999999998E-7</v>
      </c>
      <c r="BH162" s="188">
        <f>opex_orig!AZ162</f>
        <v>0</v>
      </c>
      <c r="BI162" s="188">
        <f>opex_orig!BA162</f>
        <v>1.1200000000000001E-6</v>
      </c>
      <c r="BJ162" s="188">
        <f>opex_orig!BB162</f>
        <v>6.4899999999999995E-7</v>
      </c>
      <c r="BK162" s="188">
        <f>opex_orig!BC162</f>
        <v>9.569999999999999E-7</v>
      </c>
      <c r="BL162" s="188">
        <f>opex_orig!BD162</f>
        <v>1.73E-6</v>
      </c>
      <c r="BM162" s="188">
        <f>opex_orig!BE162</f>
        <v>7.3099999999999997E-7</v>
      </c>
      <c r="BN162" s="188">
        <f>opex_orig!BF162</f>
        <v>2.5799999999999999E-6</v>
      </c>
      <c r="BO162" s="188">
        <f>opex_orig!BG162</f>
        <v>7.7700000000000004E-7</v>
      </c>
      <c r="BP162" s="188">
        <f>opex_orig!$BH162</f>
        <v>9.57439489476464E-7</v>
      </c>
      <c r="BQ162" s="188">
        <f>opex_orig!$BH162</f>
        <v>9.57439489476464E-7</v>
      </c>
      <c r="BR162" s="188">
        <f>opex_orig!BI162</f>
        <v>7.9299999999999997E-7</v>
      </c>
      <c r="BS162" s="188">
        <f>opex_orig!BJ162</f>
        <v>1.1599999999999999E-6</v>
      </c>
      <c r="BT162" s="188">
        <f>opex_orig!BK162</f>
        <v>9.1200000000000001E-7</v>
      </c>
      <c r="BU162" s="188">
        <f>opex_orig!BL162</f>
        <v>0</v>
      </c>
      <c r="BV162" s="27">
        <f>opex_orig!BM162</f>
        <v>9.1952157672422796E-7</v>
      </c>
      <c r="BW162" s="27">
        <f>opex_orig!BN162</f>
        <v>5.9543591135705804E-7</v>
      </c>
      <c r="BX162" s="27">
        <f>opex_orig!BO162</f>
        <v>2.4655283410438898E-7</v>
      </c>
      <c r="BY162" s="27">
        <f>opex_orig!BP162</f>
        <v>3.7710360526712302E-7</v>
      </c>
      <c r="BZ162" s="27">
        <f>opex_orig!BQ162</f>
        <v>2.1620859308802301E-7</v>
      </c>
      <c r="CA162" s="27">
        <f>opex_orig!BR162</f>
        <v>1.9337730303935E-6</v>
      </c>
      <c r="CB162" s="27">
        <f>opex_orig!BS162</f>
        <v>4.8943631265472696E-7</v>
      </c>
      <c r="CC162" s="27">
        <f>opex_orig!BT162</f>
        <v>4.3298060544080799E-6</v>
      </c>
      <c r="CD162" s="27">
        <f>opex_orig!BU162</f>
        <v>1.4409365371630599E-7</v>
      </c>
      <c r="CE162" s="27">
        <f>opex_orig!BV162</f>
        <v>1.4409365371630599E-7</v>
      </c>
      <c r="CF162" s="27">
        <f>opex_orig!BW162</f>
        <v>1.3891020648707101E-6</v>
      </c>
      <c r="CG162" s="27">
        <f>opex_orig!BX162</f>
        <v>1.8212736406923799E-6</v>
      </c>
      <c r="CH162" s="27">
        <f>opex_orig!BY162</f>
        <v>6.7885518158220102E-7</v>
      </c>
      <c r="CI162" s="27">
        <f>opex_orig!BZ162</f>
        <v>3.5699999999999998E-7</v>
      </c>
      <c r="CJ162" s="27">
        <f>opex_orig!CA162</f>
        <v>2.41E-7</v>
      </c>
      <c r="CK162" s="27">
        <f>opex_orig!CB162</f>
        <v>2.3200000000000001E-7</v>
      </c>
      <c r="CL162" s="27">
        <f>opex_orig!CC162</f>
        <v>8.0900000000000003E-8</v>
      </c>
      <c r="CM162" s="27">
        <f>opex_orig!CD162</f>
        <v>4.4799999999999999E-7</v>
      </c>
      <c r="CN162" s="27">
        <f>opex_orig!CE162</f>
        <v>1.1599999999999999E-6</v>
      </c>
      <c r="CO162" s="27">
        <f>opex_orig!CF162</f>
        <v>2.6999999999999999E-5</v>
      </c>
      <c r="CP162" s="27">
        <f>opex_orig!CG162</f>
        <v>2.65E-5</v>
      </c>
    </row>
    <row r="163" spans="1:94" x14ac:dyDescent="0.25">
      <c r="A163" s="5" t="s">
        <v>317</v>
      </c>
      <c r="B163" s="2" t="s">
        <v>316</v>
      </c>
      <c r="C163" s="1" t="s">
        <v>335</v>
      </c>
      <c r="D163" s="188">
        <f>opex_orig!D163</f>
        <v>2.23262E-4</v>
      </c>
      <c r="E163" s="188">
        <f>opex_orig!E163</f>
        <v>3.0800000000000003E-5</v>
      </c>
      <c r="F163" s="188">
        <f>opex_orig!F163</f>
        <v>9.7999999999999997E-5</v>
      </c>
      <c r="G163" s="188">
        <f>opex_orig!G163</f>
        <v>2.3800000000000001E-6</v>
      </c>
      <c r="H163" s="188">
        <f>opex_orig!H163</f>
        <v>5.0799999999999996E-6</v>
      </c>
      <c r="I163" s="188">
        <f>opex_orig!I163</f>
        <v>3.8399999999999998E-5</v>
      </c>
      <c r="J163" s="188">
        <f>opex_orig!J163</f>
        <v>1.21416E-4</v>
      </c>
      <c r="K163" s="188">
        <f>opex_orig!K163</f>
        <v>7.5000000000000002E-6</v>
      </c>
      <c r="L163" s="188">
        <f>opex_orig!L163</f>
        <v>4.1600000000000002E-5</v>
      </c>
      <c r="M163" s="188">
        <f>opex_orig!M163</f>
        <v>1.07506E-4</v>
      </c>
      <c r="N163" s="188">
        <f>opex_orig!N163</f>
        <v>7.25E-5</v>
      </c>
      <c r="O163" s="188">
        <f>opex_orig!O163</f>
        <v>1.5858499999999999E-4</v>
      </c>
      <c r="P163" s="188">
        <f>opex_orig!P163</f>
        <v>5.2200000000000002E-5</v>
      </c>
      <c r="Q163" s="188">
        <f>opex_orig!Q163</f>
        <v>6.8499999999999998E-5</v>
      </c>
      <c r="R163" s="188">
        <f>opex_orig!R163</f>
        <v>2.9200000000000002E-5</v>
      </c>
      <c r="S163" s="188">
        <f>opex_orig!S163</f>
        <v>5.2099999999999999E-5</v>
      </c>
      <c r="T163" s="188">
        <f>opex_orig!T163</f>
        <v>4.32E-5</v>
      </c>
      <c r="U163" s="188">
        <f>opex_orig!U163</f>
        <v>5.3600000000000002E-5</v>
      </c>
      <c r="V163" s="188">
        <f>opex_orig!V163</f>
        <v>6.0800000000000001E-5</v>
      </c>
      <c r="W163" s="188">
        <f>opex_orig!W163</f>
        <v>5.3199999999999999E-5</v>
      </c>
      <c r="X163" s="188">
        <f>opex_orig!X163</f>
        <v>8.1199999999999995E-5</v>
      </c>
      <c r="Y163" s="188">
        <f>opex_orig!Y163</f>
        <v>4.7400000000000004E-6</v>
      </c>
      <c r="Z163" s="188">
        <f>opex_orig!Z163</f>
        <v>6.2534099999999996E-4</v>
      </c>
      <c r="AA163" s="188">
        <f>opex_orig!AA163</f>
        <v>2.41E-5</v>
      </c>
      <c r="AB163" s="188">
        <f>opex_orig!$AB163</f>
        <v>2.1192933224346199E-5</v>
      </c>
      <c r="AC163" s="188">
        <f>opex_orig!$AB163</f>
        <v>2.1192933224346199E-5</v>
      </c>
      <c r="AD163" s="188">
        <f>opex_orig!$AB163</f>
        <v>2.1192933224346199E-5</v>
      </c>
      <c r="AE163" s="188">
        <f>opex_orig!$AC163</f>
        <v>1.13136768777148E-4</v>
      </c>
      <c r="AF163" s="188">
        <f>opex_orig!$AD163</f>
        <v>7.7942863584130604E-5</v>
      </c>
      <c r="AG163" s="188">
        <f>opex_orig!$AD163</f>
        <v>7.7942863584130604E-5</v>
      </c>
      <c r="AH163" s="188">
        <f>opex_orig!$AD163</f>
        <v>7.7942863584130604E-5</v>
      </c>
      <c r="AI163" s="188">
        <f>opex_orig!AE163</f>
        <v>7.4400000000000006E-5</v>
      </c>
      <c r="AJ163" s="188">
        <f>opex_orig!AF163</f>
        <v>5.8976799999999995E-4</v>
      </c>
      <c r="AK163" s="188">
        <f>opex_orig!AG163</f>
        <v>2.7500000000000001E-5</v>
      </c>
      <c r="AL163" s="188">
        <f>opex_orig!AH163</f>
        <v>1.33E-5</v>
      </c>
      <c r="AM163" s="188">
        <f>opex_orig!AI163</f>
        <v>2.4600000000000002E-5</v>
      </c>
      <c r="AN163" s="188">
        <f>opex_orig!AJ163</f>
        <v>1.19E-5</v>
      </c>
      <c r="AO163" s="188">
        <f>opex_orig!AK163</f>
        <v>1.36E-5</v>
      </c>
      <c r="AP163" s="188">
        <f>opex_orig!$AL163</f>
        <v>1.9225811905037701E-5</v>
      </c>
      <c r="AQ163" s="188">
        <f>opex_orig!$AL163</f>
        <v>1.9225811905037701E-5</v>
      </c>
      <c r="AR163" s="188">
        <f>opex_orig!$AL163</f>
        <v>1.9225811905037701E-5</v>
      </c>
      <c r="AS163" s="188">
        <f>opex_orig!$AM163</f>
        <v>1.7662469224607301E-5</v>
      </c>
      <c r="AT163" s="188">
        <f>opex_orig!AN163</f>
        <v>2.5400000000000001E-5</v>
      </c>
      <c r="AU163" s="188">
        <f>opex_orig!$AO163</f>
        <v>1.3967744771570899E-5</v>
      </c>
      <c r="AV163" s="188">
        <f>opex_orig!$AO163</f>
        <v>1.3967744771570899E-5</v>
      </c>
      <c r="AW163" s="188">
        <f>opex_orig!$AO163</f>
        <v>1.3967744771570899E-5</v>
      </c>
      <c r="AX163" s="188">
        <f>opex_orig!$AP163</f>
        <v>1.7450745944546499E-5</v>
      </c>
      <c r="AY163" s="188">
        <f>opex_orig!AQ163</f>
        <v>8.7899999999999995E-5</v>
      </c>
      <c r="AZ163" s="188">
        <f>opex_orig!AR163</f>
        <v>0</v>
      </c>
      <c r="BA163" s="188">
        <f>opex_orig!AS163</f>
        <v>2.0400000000000001E-5</v>
      </c>
      <c r="BB163" s="188">
        <f>opex_orig!AT163</f>
        <v>1.9300000000000002E-5</v>
      </c>
      <c r="BC163" s="188">
        <f>opex_orig!AU163</f>
        <v>7.96E-6</v>
      </c>
      <c r="BD163" s="188">
        <f>opex_orig!AV163</f>
        <v>4.6E-6</v>
      </c>
      <c r="BE163" s="188">
        <f>opex_orig!AW163</f>
        <v>1.4399999999999999E-5</v>
      </c>
      <c r="BF163" s="188">
        <f>opex_orig!AX163</f>
        <v>0</v>
      </c>
      <c r="BG163" s="188">
        <f>opex_orig!AY163</f>
        <v>2.6299999999999999E-5</v>
      </c>
      <c r="BH163" s="188">
        <f>opex_orig!AZ163</f>
        <v>0</v>
      </c>
      <c r="BI163" s="188">
        <f>opex_orig!BA163</f>
        <v>2.48E-5</v>
      </c>
      <c r="BJ163" s="188">
        <f>opex_orig!BB163</f>
        <v>2.5700000000000001E-5</v>
      </c>
      <c r="BK163" s="188">
        <f>opex_orig!BC163</f>
        <v>4.4299999999999999E-5</v>
      </c>
      <c r="BL163" s="188">
        <f>opex_orig!BD163</f>
        <v>1.2082300000000001E-4</v>
      </c>
      <c r="BM163" s="188">
        <f>opex_orig!BE163</f>
        <v>3.18E-5</v>
      </c>
      <c r="BN163" s="188">
        <f>opex_orig!BF163</f>
        <v>1.26E-5</v>
      </c>
      <c r="BO163" s="188">
        <f>opex_orig!BG163</f>
        <v>5.4500000000000003E-5</v>
      </c>
      <c r="BP163" s="188">
        <f>opex_orig!$BH163</f>
        <v>2.8513923540861499E-5</v>
      </c>
      <c r="BQ163" s="188">
        <f>opex_orig!$BH163</f>
        <v>2.8513923540861499E-5</v>
      </c>
      <c r="BR163" s="188">
        <f>opex_orig!BI163</f>
        <v>1.8899999999999999E-5</v>
      </c>
      <c r="BS163" s="188">
        <f>opex_orig!BJ163</f>
        <v>2.1490499999999999E-4</v>
      </c>
      <c r="BT163" s="188">
        <f>opex_orig!BK163</f>
        <v>1.5E-5</v>
      </c>
      <c r="BU163" s="188">
        <f>opex_orig!BL163</f>
        <v>0</v>
      </c>
      <c r="BV163" s="27">
        <f>opex_orig!BM163</f>
        <v>2.7178667076136001E-5</v>
      </c>
      <c r="BW163" s="27">
        <f>opex_orig!BN163</f>
        <v>5.2998248676683503E-5</v>
      </c>
      <c r="BX163" s="27">
        <f>opex_orig!BO163</f>
        <v>1.5105540152157899E-5</v>
      </c>
      <c r="BY163" s="27">
        <f>opex_orig!BP163</f>
        <v>3.3545981816338698E-5</v>
      </c>
      <c r="BZ163" s="27">
        <f>opex_orig!BQ163</f>
        <v>1.62103461719277E-5</v>
      </c>
      <c r="CA163" s="27">
        <f>opex_orig!BR163</f>
        <v>6.4780126218526204E-5</v>
      </c>
      <c r="CB163" s="27">
        <f>opex_orig!BS163</f>
        <v>2.2941245202591399E-5</v>
      </c>
      <c r="CC163" s="27">
        <f>opex_orig!BT163</f>
        <v>9.7134247988924896E-5</v>
      </c>
      <c r="CD163" s="27">
        <f>opex_orig!BU163</f>
        <v>3.0034955208036401E-5</v>
      </c>
      <c r="CE163" s="27">
        <f>opex_orig!BV163</f>
        <v>3.0034955208036499E-5</v>
      </c>
      <c r="CF163" s="27">
        <f>opex_orig!BW163</f>
        <v>4.0714813644691102E-5</v>
      </c>
      <c r="CG163" s="27">
        <f>opex_orig!BX163</f>
        <v>4.3523285205156897E-6</v>
      </c>
      <c r="CH163" s="27">
        <f>opex_orig!BY163</f>
        <v>4.1746528477457003E-5</v>
      </c>
      <c r="CI163" s="27">
        <f>opex_orig!BZ163</f>
        <v>4.71E-5</v>
      </c>
      <c r="CJ163" s="27">
        <f>opex_orig!CA163</f>
        <v>3.3699999999999999E-5</v>
      </c>
      <c r="CK163" s="27">
        <f>opex_orig!CB163</f>
        <v>2.8799999999999999E-5</v>
      </c>
      <c r="CL163" s="27">
        <f>opex_orig!CC163</f>
        <v>4.18E-5</v>
      </c>
      <c r="CM163" s="27">
        <f>opex_orig!CD163</f>
        <v>7.5199999999999998E-5</v>
      </c>
      <c r="CN163" s="27">
        <f>opex_orig!CE163</f>
        <v>1.43392E-4</v>
      </c>
      <c r="CO163" s="27">
        <f>opex_orig!CF163</f>
        <v>1.45084E-4</v>
      </c>
      <c r="CP163" s="27">
        <f>opex_orig!CG163</f>
        <v>4.7899999999999999E-5</v>
      </c>
    </row>
    <row r="164" spans="1:94" x14ac:dyDescent="0.25">
      <c r="A164" s="5" t="s">
        <v>319</v>
      </c>
      <c r="B164" s="2" t="s">
        <v>318</v>
      </c>
      <c r="C164" s="1" t="s">
        <v>335</v>
      </c>
      <c r="D164" s="188">
        <f>opex_orig!D164</f>
        <v>5.49E-5</v>
      </c>
      <c r="E164" s="188">
        <f>opex_orig!E164</f>
        <v>2.6100000000000001E-5</v>
      </c>
      <c r="F164" s="188">
        <f>opex_orig!F164</f>
        <v>2.4600000000000002E-5</v>
      </c>
      <c r="G164" s="188">
        <f>opex_orig!G164</f>
        <v>5.0900000000000004E-6</v>
      </c>
      <c r="H164" s="188">
        <f>opex_orig!H164</f>
        <v>8.32E-6</v>
      </c>
      <c r="I164" s="188">
        <f>opex_orig!I164</f>
        <v>4.0299999999999997E-5</v>
      </c>
      <c r="J164" s="188">
        <f>opex_orig!J164</f>
        <v>7.7200000000000006E-5</v>
      </c>
      <c r="K164" s="188">
        <f>opex_orig!K164</f>
        <v>1.63E-5</v>
      </c>
      <c r="L164" s="188">
        <f>opex_orig!L164</f>
        <v>4.9700000000000002E-5</v>
      </c>
      <c r="M164" s="188">
        <f>opex_orig!M164</f>
        <v>1.42733E-4</v>
      </c>
      <c r="N164" s="188">
        <f>opex_orig!N164</f>
        <v>1.01235E-4</v>
      </c>
      <c r="O164" s="188">
        <f>opex_orig!O164</f>
        <v>6.86E-5</v>
      </c>
      <c r="P164" s="188">
        <f>opex_orig!P164</f>
        <v>3.2898699999999999E-4</v>
      </c>
      <c r="Q164" s="188">
        <f>opex_orig!Q164</f>
        <v>1.8762600000000001E-4</v>
      </c>
      <c r="R164" s="188">
        <f>opex_orig!R164</f>
        <v>4.4299999999999999E-5</v>
      </c>
      <c r="S164" s="188">
        <f>opex_orig!S164</f>
        <v>1.24845E-4</v>
      </c>
      <c r="T164" s="188">
        <f>opex_orig!T164</f>
        <v>1.4848500000000001E-4</v>
      </c>
      <c r="U164" s="188">
        <f>opex_orig!U164</f>
        <v>7.2200000000000007E-5</v>
      </c>
      <c r="V164" s="188">
        <f>opex_orig!V164</f>
        <v>4.7700000000000001E-5</v>
      </c>
      <c r="W164" s="188">
        <f>opex_orig!W164</f>
        <v>4.3699999999999998E-5</v>
      </c>
      <c r="X164" s="188">
        <f>opex_orig!X164</f>
        <v>6.2100000000000005E-5</v>
      </c>
      <c r="Y164" s="188">
        <f>opex_orig!Y164</f>
        <v>2.0299999999999999E-5</v>
      </c>
      <c r="Z164" s="188">
        <f>opex_orig!Z164</f>
        <v>1.6200000000000001E-5</v>
      </c>
      <c r="AA164" s="188">
        <f>opex_orig!AA164</f>
        <v>5.3300000000000001E-5</v>
      </c>
      <c r="AB164" s="188">
        <f>opex_orig!$AB164</f>
        <v>5.2384373153058202E-5</v>
      </c>
      <c r="AC164" s="188">
        <f>opex_orig!$AB164</f>
        <v>5.2384373153058202E-5</v>
      </c>
      <c r="AD164" s="188">
        <f>opex_orig!$AB164</f>
        <v>5.2384373153058202E-5</v>
      </c>
      <c r="AE164" s="188">
        <f>opex_orig!$AC164</f>
        <v>9.6183959114447799E-5</v>
      </c>
      <c r="AF164" s="188">
        <f>opex_orig!$AD164</f>
        <v>5.2585023334554401E-5</v>
      </c>
      <c r="AG164" s="188">
        <f>opex_orig!$AD164</f>
        <v>5.2585023334554401E-5</v>
      </c>
      <c r="AH164" s="188">
        <f>opex_orig!$AD164</f>
        <v>5.2585023334554401E-5</v>
      </c>
      <c r="AI164" s="188">
        <f>opex_orig!AE164</f>
        <v>4.6600000000000001E-5</v>
      </c>
      <c r="AJ164" s="188">
        <f>opex_orig!AF164</f>
        <v>1.1233E-4</v>
      </c>
      <c r="AK164" s="188">
        <f>opex_orig!AG164</f>
        <v>3.2700000000000002E-5</v>
      </c>
      <c r="AL164" s="188">
        <f>opex_orig!AH164</f>
        <v>1.5618300000000001E-4</v>
      </c>
      <c r="AM164" s="188">
        <f>opex_orig!AI164</f>
        <v>5.02E-5</v>
      </c>
      <c r="AN164" s="188">
        <f>opex_orig!AJ164</f>
        <v>1.7628199999999999E-4</v>
      </c>
      <c r="AO164" s="188">
        <f>opex_orig!AK164</f>
        <v>1.26484E-4</v>
      </c>
      <c r="AP164" s="188">
        <f>opex_orig!$AL164</f>
        <v>1.04720304548453E-4</v>
      </c>
      <c r="AQ164" s="188">
        <f>opex_orig!$AL164</f>
        <v>1.04720304548453E-4</v>
      </c>
      <c r="AR164" s="188">
        <f>opex_orig!$AL164</f>
        <v>1.04720304548453E-4</v>
      </c>
      <c r="AS164" s="188">
        <f>opex_orig!$AM164</f>
        <v>1.04171819738258E-4</v>
      </c>
      <c r="AT164" s="188">
        <f>opex_orig!AN164</f>
        <v>1.0063799999999999E-4</v>
      </c>
      <c r="AU164" s="188">
        <f>opex_orig!$AO164</f>
        <v>3.2056024835260102E-5</v>
      </c>
      <c r="AV164" s="188">
        <f>opex_orig!$AO164</f>
        <v>3.2056024835260102E-5</v>
      </c>
      <c r="AW164" s="188">
        <f>opex_orig!$AO164</f>
        <v>3.2056024835260102E-5</v>
      </c>
      <c r="AX164" s="188">
        <f>opex_orig!$AP164</f>
        <v>4.2290329449059799E-5</v>
      </c>
      <c r="AY164" s="188">
        <f>opex_orig!AQ164</f>
        <v>7.0500000000000006E-5</v>
      </c>
      <c r="AZ164" s="188">
        <f>opex_orig!AR164</f>
        <v>0</v>
      </c>
      <c r="BA164" s="188">
        <f>opex_orig!AS164</f>
        <v>4.6300000000000001E-5</v>
      </c>
      <c r="BB164" s="188">
        <f>opex_orig!AT164</f>
        <v>4.3399999999999998E-5</v>
      </c>
      <c r="BC164" s="188">
        <f>opex_orig!AU164</f>
        <v>1.7499999999999998E-5</v>
      </c>
      <c r="BD164" s="188">
        <f>opex_orig!AV164</f>
        <v>1.36E-5</v>
      </c>
      <c r="BE164" s="188">
        <f>opex_orig!AW164</f>
        <v>3.1300000000000002E-5</v>
      </c>
      <c r="BF164" s="188">
        <f>opex_orig!AX164</f>
        <v>0</v>
      </c>
      <c r="BG164" s="188">
        <f>opex_orig!AY164</f>
        <v>9.4500000000000007E-5</v>
      </c>
      <c r="BH164" s="188">
        <f>opex_orig!AZ164</f>
        <v>0</v>
      </c>
      <c r="BI164" s="188">
        <f>opex_orig!BA164</f>
        <v>4.9400000000000001E-5</v>
      </c>
      <c r="BJ164" s="188">
        <f>opex_orig!BB164</f>
        <v>4.1399999999999997E-5</v>
      </c>
      <c r="BK164" s="188">
        <f>opex_orig!BC164</f>
        <v>3.8699999999999999E-5</v>
      </c>
      <c r="BL164" s="188">
        <f>opex_orig!BD164</f>
        <v>5.0899999999999997E-5</v>
      </c>
      <c r="BM164" s="188">
        <f>opex_orig!BE164</f>
        <v>5.9599999999999999E-5</v>
      </c>
      <c r="BN164" s="188">
        <f>opex_orig!BF164</f>
        <v>7.6699999999999994E-5</v>
      </c>
      <c r="BO164" s="188">
        <f>opex_orig!BG164</f>
        <v>4.85E-5</v>
      </c>
      <c r="BP164" s="188">
        <f>opex_orig!$BH164</f>
        <v>3.37841055797442E-5</v>
      </c>
      <c r="BQ164" s="188">
        <f>opex_orig!$BH164</f>
        <v>3.37841055797442E-5</v>
      </c>
      <c r="BR164" s="188">
        <f>opex_orig!BI164</f>
        <v>2.1100000000000001E-5</v>
      </c>
      <c r="BS164" s="188">
        <f>opex_orig!BJ164</f>
        <v>6.0999999999999999E-5</v>
      </c>
      <c r="BT164" s="188">
        <f>opex_orig!BK164</f>
        <v>3.04E-5</v>
      </c>
      <c r="BU164" s="188">
        <f>opex_orig!BL164</f>
        <v>0</v>
      </c>
      <c r="BV164" s="27">
        <f>opex_orig!BM164</f>
        <v>2.3048704198728399E-5</v>
      </c>
      <c r="BW164" s="27">
        <f>opex_orig!BN164</f>
        <v>4.4263032493905502E-5</v>
      </c>
      <c r="BX164" s="27">
        <f>opex_orig!BO164</f>
        <v>1.51329221303918E-5</v>
      </c>
      <c r="BY164" s="27">
        <f>opex_orig!BP164</f>
        <v>2.5958667366038199E-5</v>
      </c>
      <c r="BZ164" s="27">
        <f>opex_orig!BQ164</f>
        <v>1.9557936922317601E-5</v>
      </c>
      <c r="CA164" s="27">
        <f>opex_orig!BR164</f>
        <v>4.0047176341573201E-4</v>
      </c>
      <c r="CB164" s="27">
        <f>opex_orig!BS164</f>
        <v>1.1561893699226E-4</v>
      </c>
      <c r="CC164" s="27">
        <f>opex_orig!BT164</f>
        <v>1.1309361249905999E-5</v>
      </c>
      <c r="CD164" s="27">
        <f>opex_orig!BU164</f>
        <v>1.31250331663879E-5</v>
      </c>
      <c r="CE164" s="27">
        <f>opex_orig!BV164</f>
        <v>1.31250331663879E-5</v>
      </c>
      <c r="CF164" s="27">
        <f>opex_orig!BW164</f>
        <v>1.6061716490178999E-5</v>
      </c>
      <c r="CG164" s="27">
        <f>opex_orig!BX164</f>
        <v>1.12627202847729E-5</v>
      </c>
      <c r="CH164" s="27">
        <f>opex_orig!BY164</f>
        <v>7.8128938811943504E-5</v>
      </c>
      <c r="CI164" s="27">
        <f>opex_orig!BZ164</f>
        <v>3.18E-5</v>
      </c>
      <c r="CJ164" s="27">
        <f>opex_orig!CA164</f>
        <v>2.0999999999999999E-5</v>
      </c>
      <c r="CK164" s="27">
        <f>opex_orig!CB164</f>
        <v>1.7E-5</v>
      </c>
      <c r="CL164" s="27">
        <f>opex_orig!CC164</f>
        <v>1.7099999999999999E-5</v>
      </c>
      <c r="CM164" s="27">
        <f>opex_orig!CD164</f>
        <v>3.0499999999999999E-5</v>
      </c>
      <c r="CN164" s="27">
        <f>opex_orig!CE164</f>
        <v>5.5600000000000003E-5</v>
      </c>
      <c r="CO164" s="27">
        <f>opex_orig!CF164</f>
        <v>5.9799999999999997E-5</v>
      </c>
      <c r="CP164" s="27">
        <f>opex_orig!CG164</f>
        <v>3.6999999999999998E-5</v>
      </c>
    </row>
    <row r="165" spans="1:94" x14ac:dyDescent="0.25">
      <c r="A165" s="5" t="s">
        <v>321</v>
      </c>
      <c r="B165" s="2" t="s">
        <v>320</v>
      </c>
      <c r="C165" s="1" t="s">
        <v>335</v>
      </c>
      <c r="D165" s="188">
        <f>opex_orig!D165</f>
        <v>2.8200000000000001E-7</v>
      </c>
      <c r="E165" s="188">
        <f>opex_orig!E165</f>
        <v>5.6700000000000003E-7</v>
      </c>
      <c r="F165" s="188">
        <f>opex_orig!F165</f>
        <v>9.2600000000000001E-7</v>
      </c>
      <c r="G165" s="188">
        <f>opex_orig!G165</f>
        <v>1.0700000000000001E-7</v>
      </c>
      <c r="H165" s="188">
        <f>opex_orig!H165</f>
        <v>4.8900000000000001E-8</v>
      </c>
      <c r="I165" s="188">
        <f>opex_orig!I165</f>
        <v>5.2099999999999997E-7</v>
      </c>
      <c r="J165" s="188">
        <f>opex_orig!J165</f>
        <v>1.9099999999999999E-6</v>
      </c>
      <c r="K165" s="188">
        <f>opex_orig!K165</f>
        <v>2.6800000000000002E-7</v>
      </c>
      <c r="L165" s="188">
        <f>opex_orig!L165</f>
        <v>1.7099999999999999E-6</v>
      </c>
      <c r="M165" s="188">
        <f>opex_orig!M165</f>
        <v>1.9E-6</v>
      </c>
      <c r="N165" s="188">
        <f>opex_orig!N165</f>
        <v>1.3200000000000001E-6</v>
      </c>
      <c r="O165" s="188">
        <f>opex_orig!O165</f>
        <v>6.3100000000000003E-8</v>
      </c>
      <c r="P165" s="188">
        <f>opex_orig!P165</f>
        <v>2.4899999999999999E-6</v>
      </c>
      <c r="Q165" s="188">
        <f>opex_orig!Q165</f>
        <v>2.6100000000000001E-5</v>
      </c>
      <c r="R165" s="188">
        <f>opex_orig!R165</f>
        <v>2.4899999999999999E-5</v>
      </c>
      <c r="S165" s="188">
        <f>opex_orig!S165</f>
        <v>4.75E-7</v>
      </c>
      <c r="T165" s="188">
        <f>opex_orig!T165</f>
        <v>7.0299999999999998E-7</v>
      </c>
      <c r="U165" s="188">
        <f>opex_orig!U165</f>
        <v>7.9599999999999998E-7</v>
      </c>
      <c r="V165" s="188">
        <f>opex_orig!V165</f>
        <v>9.33E-7</v>
      </c>
      <c r="W165" s="188">
        <f>opex_orig!W165</f>
        <v>5.1399999999999997E-7</v>
      </c>
      <c r="X165" s="188">
        <f>opex_orig!X165</f>
        <v>2.35E-7</v>
      </c>
      <c r="Y165" s="188">
        <f>opex_orig!Y165</f>
        <v>1.3199999999999999E-7</v>
      </c>
      <c r="Z165" s="188">
        <f>opex_orig!Z165</f>
        <v>4.75E-7</v>
      </c>
      <c r="AA165" s="188">
        <f>opex_orig!AA165</f>
        <v>2.26E-6</v>
      </c>
      <c r="AB165" s="188">
        <f>opex_orig!$AB165</f>
        <v>1.7846163263408401E-6</v>
      </c>
      <c r="AC165" s="188">
        <f>opex_orig!$AB165</f>
        <v>1.7846163263408401E-6</v>
      </c>
      <c r="AD165" s="188">
        <f>opex_orig!$AB165</f>
        <v>1.7846163263408401E-6</v>
      </c>
      <c r="AE165" s="188">
        <f>opex_orig!$AC165</f>
        <v>1.51834511102114E-6</v>
      </c>
      <c r="AF165" s="188">
        <f>opex_orig!$AD165</f>
        <v>8.5840372566698495E-7</v>
      </c>
      <c r="AG165" s="188">
        <f>opex_orig!$AD165</f>
        <v>8.5840372566698495E-7</v>
      </c>
      <c r="AH165" s="188">
        <f>opex_orig!$AD165</f>
        <v>8.5840372566698495E-7</v>
      </c>
      <c r="AI165" s="188">
        <f>opex_orig!AE165</f>
        <v>7.0699999999999996E-7</v>
      </c>
      <c r="AJ165" s="188">
        <f>opex_orig!AF165</f>
        <v>1.7999999999999999E-6</v>
      </c>
      <c r="AK165" s="188">
        <f>opex_orig!AG165</f>
        <v>6.7400000000000003E-7</v>
      </c>
      <c r="AL165" s="188">
        <f>opex_orig!AH165</f>
        <v>1.73E-7</v>
      </c>
      <c r="AM165" s="188">
        <f>opex_orig!AI165</f>
        <v>2.36E-7</v>
      </c>
      <c r="AN165" s="188">
        <f>opex_orig!AJ165</f>
        <v>2.8599999999999999E-7</v>
      </c>
      <c r="AO165" s="188">
        <f>opex_orig!AK165</f>
        <v>4.6899999999999998E-7</v>
      </c>
      <c r="AP165" s="188">
        <f>opex_orig!$AL165</f>
        <v>3.4614722113146099E-7</v>
      </c>
      <c r="AQ165" s="188">
        <f>opex_orig!$AL165</f>
        <v>3.4614722113146099E-7</v>
      </c>
      <c r="AR165" s="188">
        <f>opex_orig!$AL165</f>
        <v>3.4614722113146099E-7</v>
      </c>
      <c r="AS165" s="188">
        <f>opex_orig!$AM165</f>
        <v>4.5591543449837997E-7</v>
      </c>
      <c r="AT165" s="188">
        <f>opex_orig!AN165</f>
        <v>2.4900000000000002E-7</v>
      </c>
      <c r="AU165" s="188">
        <f>opex_orig!$AO165</f>
        <v>1.58607042941954E-6</v>
      </c>
      <c r="AV165" s="188">
        <f>opex_orig!$AO165</f>
        <v>1.58607042941954E-6</v>
      </c>
      <c r="AW165" s="188">
        <f>opex_orig!$AO165</f>
        <v>1.58607042941954E-6</v>
      </c>
      <c r="AX165" s="188">
        <f>opex_orig!$AP165</f>
        <v>2.20198139225125E-7</v>
      </c>
      <c r="AY165" s="188">
        <f>opex_orig!AQ165</f>
        <v>1.74E-7</v>
      </c>
      <c r="AZ165" s="188">
        <f>opex_orig!AR165</f>
        <v>0</v>
      </c>
      <c r="BA165" s="188">
        <f>opex_orig!AS165</f>
        <v>2.05E-7</v>
      </c>
      <c r="BB165" s="188">
        <f>opex_orig!AT165</f>
        <v>1.4399999999999999E-7</v>
      </c>
      <c r="BC165" s="188">
        <f>opex_orig!AU165</f>
        <v>9.9400000000000003E-8</v>
      </c>
      <c r="BD165" s="188">
        <f>opex_orig!AV165</f>
        <v>5.25E-8</v>
      </c>
      <c r="BE165" s="188">
        <f>opex_orig!AW165</f>
        <v>1.36E-7</v>
      </c>
      <c r="BF165" s="188">
        <f>opex_orig!AX165</f>
        <v>0</v>
      </c>
      <c r="BG165" s="188">
        <f>opex_orig!AY165</f>
        <v>1.17E-6</v>
      </c>
      <c r="BH165" s="188">
        <f>opex_orig!AZ165</f>
        <v>0</v>
      </c>
      <c r="BI165" s="188">
        <f>opex_orig!BA165</f>
        <v>2.1500000000000001E-7</v>
      </c>
      <c r="BJ165" s="188">
        <f>opex_orig!BB165</f>
        <v>1.6500000000000001E-7</v>
      </c>
      <c r="BK165" s="188">
        <f>opex_orig!BC165</f>
        <v>4.0400000000000002E-7</v>
      </c>
      <c r="BL165" s="188">
        <f>opex_orig!BD165</f>
        <v>9.5600000000000004E-7</v>
      </c>
      <c r="BM165" s="188">
        <f>opex_orig!BE165</f>
        <v>6.4300000000000003E-7</v>
      </c>
      <c r="BN165" s="188">
        <f>opex_orig!BF165</f>
        <v>1.17E-6</v>
      </c>
      <c r="BO165" s="188">
        <f>opex_orig!BG165</f>
        <v>4.46E-7</v>
      </c>
      <c r="BP165" s="188">
        <f>opex_orig!$BH165</f>
        <v>2.2164024773430399E-7</v>
      </c>
      <c r="BQ165" s="188">
        <f>opex_orig!$BH165</f>
        <v>2.2164024773430399E-7</v>
      </c>
      <c r="BR165" s="188">
        <f>opex_orig!BI165</f>
        <v>5.7700000000000004E-7</v>
      </c>
      <c r="BS165" s="188">
        <f>opex_orig!BJ165</f>
        <v>2.17E-6</v>
      </c>
      <c r="BT165" s="188">
        <f>opex_orig!BK165</f>
        <v>5.3900000000000005E-7</v>
      </c>
      <c r="BU165" s="188">
        <f>opex_orig!BL165</f>
        <v>0</v>
      </c>
      <c r="BV165" s="27">
        <f>opex_orig!BM165</f>
        <v>5.7654186785735303E-7</v>
      </c>
      <c r="BW165" s="27">
        <f>opex_orig!BN165</f>
        <v>1.22306166621198E-6</v>
      </c>
      <c r="BX165" s="27">
        <f>opex_orig!BO165</f>
        <v>2.13435460522069E-7</v>
      </c>
      <c r="BY165" s="27">
        <f>opex_orig!BP165</f>
        <v>3.39938748611201E-7</v>
      </c>
      <c r="BZ165" s="27">
        <f>opex_orig!BQ165</f>
        <v>6.3754401403648799E-7</v>
      </c>
      <c r="CA165" s="27">
        <f>opex_orig!BR165</f>
        <v>1.2319222570579099E-6</v>
      </c>
      <c r="CB165" s="27">
        <f>opex_orig!BS165</f>
        <v>1.2856170297006901E-6</v>
      </c>
      <c r="CC165" s="27">
        <f>opex_orig!BT165</f>
        <v>7.1397410649271795E-7</v>
      </c>
      <c r="CD165" s="27">
        <f>opex_orig!BU165</f>
        <v>3.2345005118112098E-7</v>
      </c>
      <c r="CE165" s="27">
        <f>opex_orig!BV165</f>
        <v>3.2345005118112098E-7</v>
      </c>
      <c r="CF165" s="27">
        <f>opex_orig!BW165</f>
        <v>3.3598391751656198E-6</v>
      </c>
      <c r="CG165" s="27">
        <f>opex_orig!BX165</f>
        <v>1.9762208876009702E-6</v>
      </c>
      <c r="CH165" s="27">
        <f>opex_orig!BY165</f>
        <v>8.4008251806134998E-8</v>
      </c>
      <c r="CI165" s="27">
        <f>opex_orig!BZ165</f>
        <v>4.1199999999999998E-7</v>
      </c>
      <c r="CJ165" s="27">
        <f>opex_orig!CA165</f>
        <v>3.72E-7</v>
      </c>
      <c r="CK165" s="27">
        <f>opex_orig!CB165</f>
        <v>3.72E-7</v>
      </c>
      <c r="CL165" s="27">
        <f>opex_orig!CC165</f>
        <v>2.2399999999999999E-7</v>
      </c>
      <c r="CM165" s="27">
        <f>opex_orig!CD165</f>
        <v>9.9900000000000009E-7</v>
      </c>
      <c r="CN165" s="27">
        <f>opex_orig!CE165</f>
        <v>7.6000000000000003E-7</v>
      </c>
      <c r="CO165" s="27">
        <f>opex_orig!CF165</f>
        <v>4.33E-6</v>
      </c>
      <c r="CP165" s="27">
        <f>opex_orig!CG165</f>
        <v>1.37E-7</v>
      </c>
    </row>
    <row r="166" spans="1:94" x14ac:dyDescent="0.25">
      <c r="A166" s="5" t="s">
        <v>323</v>
      </c>
      <c r="B166" s="2" t="s">
        <v>322</v>
      </c>
      <c r="C166" s="1" t="s">
        <v>335</v>
      </c>
      <c r="D166" s="188">
        <f>opex_orig!D166</f>
        <v>0</v>
      </c>
      <c r="E166" s="188">
        <f>opex_orig!E166</f>
        <v>0</v>
      </c>
      <c r="F166" s="188">
        <f>opex_orig!F166</f>
        <v>0</v>
      </c>
      <c r="G166" s="188">
        <f>opex_orig!G166</f>
        <v>0</v>
      </c>
      <c r="H166" s="188">
        <f>opex_orig!H166</f>
        <v>0</v>
      </c>
      <c r="I166" s="188">
        <f>opex_orig!I166</f>
        <v>0</v>
      </c>
      <c r="J166" s="188">
        <f>opex_orig!J166</f>
        <v>0</v>
      </c>
      <c r="K166" s="188">
        <f>opex_orig!K166</f>
        <v>0</v>
      </c>
      <c r="L166" s="188">
        <f>opex_orig!L166</f>
        <v>0</v>
      </c>
      <c r="M166" s="188">
        <f>opex_orig!M166</f>
        <v>0</v>
      </c>
      <c r="N166" s="188">
        <f>opex_orig!N166</f>
        <v>0</v>
      </c>
      <c r="O166" s="188">
        <f>opex_orig!O166</f>
        <v>0</v>
      </c>
      <c r="P166" s="188">
        <f>opex_orig!P166</f>
        <v>0</v>
      </c>
      <c r="Q166" s="188">
        <f>opex_orig!Q166</f>
        <v>0</v>
      </c>
      <c r="R166" s="188">
        <f>opex_orig!R166</f>
        <v>0</v>
      </c>
      <c r="S166" s="188">
        <f>opex_orig!S166</f>
        <v>0</v>
      </c>
      <c r="T166" s="188">
        <f>opex_orig!T166</f>
        <v>0</v>
      </c>
      <c r="U166" s="188">
        <f>opex_orig!U166</f>
        <v>0</v>
      </c>
      <c r="V166" s="188">
        <f>opex_orig!V166</f>
        <v>0</v>
      </c>
      <c r="W166" s="188">
        <f>opex_orig!W166</f>
        <v>0</v>
      </c>
      <c r="X166" s="188">
        <f>opex_orig!X166</f>
        <v>0</v>
      </c>
      <c r="Y166" s="188">
        <f>opex_orig!Y166</f>
        <v>0</v>
      </c>
      <c r="Z166" s="188">
        <f>opex_orig!Z166</f>
        <v>0</v>
      </c>
      <c r="AA166" s="188">
        <f>opex_orig!AA166</f>
        <v>0</v>
      </c>
      <c r="AB166" s="188">
        <f>opex_orig!$AB166</f>
        <v>0</v>
      </c>
      <c r="AC166" s="188">
        <f>opex_orig!$AB166</f>
        <v>0</v>
      </c>
      <c r="AD166" s="188">
        <f>opex_orig!$AB166</f>
        <v>0</v>
      </c>
      <c r="AE166" s="188">
        <f>opex_orig!$AC166</f>
        <v>0</v>
      </c>
      <c r="AF166" s="188">
        <f>opex_orig!$AD166</f>
        <v>0</v>
      </c>
      <c r="AG166" s="188">
        <f>opex_orig!$AD166</f>
        <v>0</v>
      </c>
      <c r="AH166" s="188">
        <f>opex_orig!$AD166</f>
        <v>0</v>
      </c>
      <c r="AI166" s="188">
        <f>opex_orig!AE166</f>
        <v>0</v>
      </c>
      <c r="AJ166" s="188">
        <f>opex_orig!AF166</f>
        <v>0</v>
      </c>
      <c r="AK166" s="188">
        <f>opex_orig!AG166</f>
        <v>0</v>
      </c>
      <c r="AL166" s="188">
        <f>opex_orig!AH166</f>
        <v>0</v>
      </c>
      <c r="AM166" s="188">
        <f>opex_orig!AI166</f>
        <v>0</v>
      </c>
      <c r="AN166" s="188">
        <f>opex_orig!AJ166</f>
        <v>0</v>
      </c>
      <c r="AO166" s="188">
        <f>opex_orig!AK166</f>
        <v>0</v>
      </c>
      <c r="AP166" s="188">
        <f>opex_orig!$AL166</f>
        <v>0</v>
      </c>
      <c r="AQ166" s="188">
        <f>opex_orig!$AL166</f>
        <v>0</v>
      </c>
      <c r="AR166" s="188">
        <f>opex_orig!$AL166</f>
        <v>0</v>
      </c>
      <c r="AS166" s="188">
        <f>opex_orig!$AM166</f>
        <v>0</v>
      </c>
      <c r="AT166" s="188">
        <f>opex_orig!AN166</f>
        <v>0</v>
      </c>
      <c r="AU166" s="188">
        <f>opex_orig!$AO166</f>
        <v>0</v>
      </c>
      <c r="AV166" s="188">
        <f>opex_orig!$AO166</f>
        <v>0</v>
      </c>
      <c r="AW166" s="188">
        <f>opex_orig!$AO166</f>
        <v>0</v>
      </c>
      <c r="AX166" s="188">
        <f>opex_orig!$AP166</f>
        <v>0</v>
      </c>
      <c r="AY166" s="188">
        <f>opex_orig!AQ166</f>
        <v>0</v>
      </c>
      <c r="AZ166" s="188">
        <f>opex_orig!AR166</f>
        <v>0</v>
      </c>
      <c r="BA166" s="188">
        <f>opex_orig!AS166</f>
        <v>0</v>
      </c>
      <c r="BB166" s="188">
        <f>opex_orig!AT166</f>
        <v>0</v>
      </c>
      <c r="BC166" s="188">
        <f>opex_orig!AU166</f>
        <v>0</v>
      </c>
      <c r="BD166" s="188">
        <f>opex_orig!AV166</f>
        <v>0</v>
      </c>
      <c r="BE166" s="188">
        <f>opex_orig!AW166</f>
        <v>0</v>
      </c>
      <c r="BF166" s="188">
        <f>opex_orig!AX166</f>
        <v>0</v>
      </c>
      <c r="BG166" s="188">
        <f>opex_orig!AY166</f>
        <v>0</v>
      </c>
      <c r="BH166" s="188">
        <f>opex_orig!AZ166</f>
        <v>0</v>
      </c>
      <c r="BI166" s="188">
        <f>opex_orig!BA166</f>
        <v>0</v>
      </c>
      <c r="BJ166" s="188">
        <f>opex_orig!BB166</f>
        <v>0</v>
      </c>
      <c r="BK166" s="188">
        <f>opex_orig!BC166</f>
        <v>0</v>
      </c>
      <c r="BL166" s="188">
        <f>opex_orig!BD166</f>
        <v>0</v>
      </c>
      <c r="BM166" s="188">
        <f>opex_orig!BE166</f>
        <v>0</v>
      </c>
      <c r="BN166" s="188">
        <f>opex_orig!BF166</f>
        <v>0</v>
      </c>
      <c r="BO166" s="188">
        <f>opex_orig!BG166</f>
        <v>0</v>
      </c>
      <c r="BP166" s="188">
        <f>opex_orig!$BH166</f>
        <v>0</v>
      </c>
      <c r="BQ166" s="188">
        <f>opex_orig!$BH166</f>
        <v>0</v>
      </c>
      <c r="BR166" s="188">
        <f>opex_orig!BI166</f>
        <v>0</v>
      </c>
      <c r="BS166" s="188">
        <f>opex_orig!BJ166</f>
        <v>0</v>
      </c>
      <c r="BT166" s="188">
        <f>opex_orig!BK166</f>
        <v>0</v>
      </c>
      <c r="BU166" s="188">
        <f>opex_orig!BL166</f>
        <v>0</v>
      </c>
      <c r="BV166" s="27">
        <f>opex_orig!BM166</f>
        <v>0</v>
      </c>
      <c r="BW166" s="27">
        <f>opex_orig!BN166</f>
        <v>0</v>
      </c>
      <c r="BX166" s="27">
        <f>opex_orig!BO166</f>
        <v>0</v>
      </c>
      <c r="BY166" s="27">
        <f>opex_orig!BP166</f>
        <v>0</v>
      </c>
      <c r="BZ166" s="27">
        <f>opex_orig!BQ166</f>
        <v>0</v>
      </c>
      <c r="CA166" s="27">
        <f>opex_orig!BR166</f>
        <v>0</v>
      </c>
      <c r="CB166" s="27">
        <f>opex_orig!BS166</f>
        <v>0</v>
      </c>
      <c r="CC166" s="27">
        <f>opex_orig!BT166</f>
        <v>0</v>
      </c>
      <c r="CD166" s="27">
        <f>opex_orig!BU166</f>
        <v>0</v>
      </c>
      <c r="CE166" s="27">
        <f>opex_orig!BV166</f>
        <v>0</v>
      </c>
      <c r="CF166" s="27">
        <f>opex_orig!BW166</f>
        <v>0</v>
      </c>
      <c r="CG166" s="27">
        <f>opex_orig!BX166</f>
        <v>0</v>
      </c>
      <c r="CH166" s="27">
        <f>opex_orig!BY166</f>
        <v>0</v>
      </c>
      <c r="CI166" s="27">
        <f>opex_orig!BZ166</f>
        <v>0</v>
      </c>
      <c r="CJ166" s="27">
        <f>opex_orig!CA166</f>
        <v>0</v>
      </c>
      <c r="CK166" s="27">
        <f>opex_orig!CB166</f>
        <v>0</v>
      </c>
      <c r="CL166" s="27">
        <f>opex_orig!CC166</f>
        <v>0</v>
      </c>
      <c r="CM166" s="27">
        <f>opex_orig!CD166</f>
        <v>0</v>
      </c>
      <c r="CN166" s="27">
        <f>opex_orig!CE166</f>
        <v>0</v>
      </c>
      <c r="CO166" s="27">
        <f>opex_orig!CF166</f>
        <v>0</v>
      </c>
      <c r="CP166" s="27">
        <f>opex_orig!CG166</f>
        <v>0</v>
      </c>
    </row>
    <row r="167" spans="1:94" x14ac:dyDescent="0.25">
      <c r="A167" s="43" t="s">
        <v>370</v>
      </c>
      <c r="B167" s="43">
        <v>1</v>
      </c>
      <c r="C167" s="43" t="s">
        <v>379</v>
      </c>
      <c r="D167" s="188">
        <f>opex_orig!D167</f>
        <v>1.1094641000000001E-2</v>
      </c>
      <c r="E167" s="188">
        <f>opex_orig!E167</f>
        <v>4.6216080000000001E-3</v>
      </c>
      <c r="F167" s="188">
        <f>opex_orig!F167</f>
        <v>1.1293766E-2</v>
      </c>
      <c r="G167" s="188">
        <f>opex_orig!G167</f>
        <v>2.8879779999999998E-3</v>
      </c>
      <c r="H167" s="188">
        <f>opex_orig!H167</f>
        <v>2.6131599999999999E-4</v>
      </c>
      <c r="I167" s="188">
        <f>opex_orig!I167</f>
        <v>1.3412949E-2</v>
      </c>
      <c r="J167" s="188">
        <f>opex_orig!J167</f>
        <v>1.3272533E-2</v>
      </c>
      <c r="K167" s="188">
        <f>opex_orig!K167</f>
        <v>4.7301800000000002E-4</v>
      </c>
      <c r="L167" s="188">
        <f>opex_orig!L167</f>
        <v>2.7519213000000001E-2</v>
      </c>
      <c r="M167" s="188">
        <f>opex_orig!M167</f>
        <v>1.6251565999999999E-2</v>
      </c>
      <c r="N167" s="188">
        <f>opex_orig!N167</f>
        <v>8.5591299999999999E-3</v>
      </c>
      <c r="O167" s="188">
        <f>opex_orig!O167</f>
        <v>5.3130499999999997E-3</v>
      </c>
      <c r="P167" s="188">
        <f>opex_orig!P167</f>
        <v>3.3073723999999999E-2</v>
      </c>
      <c r="Q167" s="188">
        <f>opex_orig!Q167</f>
        <v>5.7810674999999999E-2</v>
      </c>
      <c r="R167" s="188">
        <f>opex_orig!R167</f>
        <v>5.9012006999999998E-2</v>
      </c>
      <c r="S167" s="188">
        <f>opex_orig!S167</f>
        <v>2.2181962999999999E-2</v>
      </c>
      <c r="T167" s="188">
        <f>opex_orig!T167</f>
        <v>5.9909979000000002E-2</v>
      </c>
      <c r="U167" s="188">
        <f>opex_orig!U167</f>
        <v>1.1152987E-2</v>
      </c>
      <c r="V167" s="188">
        <f>opex_orig!V167</f>
        <v>-1.0856124999999999E-2</v>
      </c>
      <c r="W167" s="188">
        <f>opex_orig!W167</f>
        <v>2.1083039000000001E-2</v>
      </c>
      <c r="X167" s="188">
        <f>opex_orig!X167</f>
        <v>1.9118890999999999E-2</v>
      </c>
      <c r="Y167" s="188">
        <f>opex_orig!Y167</f>
        <v>2.2557173999999999E-2</v>
      </c>
      <c r="Z167" s="188">
        <f>opex_orig!Z167</f>
        <v>1.2734137E-2</v>
      </c>
      <c r="AA167" s="188">
        <f>opex_orig!AA167</f>
        <v>3.5246630000000001E-2</v>
      </c>
      <c r="AB167" s="188">
        <f>opex_orig!$AB167</f>
        <v>3.8373787899811301E-2</v>
      </c>
      <c r="AC167" s="188">
        <f>opex_orig!$AB167</f>
        <v>3.8373787899811301E-2</v>
      </c>
      <c r="AD167" s="188">
        <f>opex_orig!$AB167</f>
        <v>3.8373787899811301E-2</v>
      </c>
      <c r="AE167" s="188">
        <f>opex_orig!$AC167</f>
        <v>1.6426119751658801E-2</v>
      </c>
      <c r="AF167" s="188">
        <f>opex_orig!$AD167</f>
        <v>4.1252095697665803E-2</v>
      </c>
      <c r="AG167" s="188">
        <f>opex_orig!$AD167</f>
        <v>4.1252095697665803E-2</v>
      </c>
      <c r="AH167" s="188">
        <f>opex_orig!$AD167</f>
        <v>4.1252095697665803E-2</v>
      </c>
      <c r="AI167" s="188">
        <f>opex_orig!AE167</f>
        <v>4.3852934000000003E-2</v>
      </c>
      <c r="AJ167" s="188">
        <f>opex_orig!AF167</f>
        <v>4.7079289000000003E-2</v>
      </c>
      <c r="AK167" s="188">
        <f>opex_orig!AG167</f>
        <v>1.9997298E-2</v>
      </c>
      <c r="AL167" s="188">
        <f>opex_orig!AH167</f>
        <v>1.8428727999999998E-2</v>
      </c>
      <c r="AM167" s="188">
        <f>opex_orig!AI167</f>
        <v>1.2308176000000001E-2</v>
      </c>
      <c r="AN167" s="188">
        <f>opex_orig!AJ167</f>
        <v>3.3281481000000002E-2</v>
      </c>
      <c r="AO167" s="188">
        <f>opex_orig!AK167</f>
        <v>1.809361E-2</v>
      </c>
      <c r="AP167" s="188">
        <f>opex_orig!$AL167</f>
        <v>1.4590982803862699E-2</v>
      </c>
      <c r="AQ167" s="188">
        <f>opex_orig!$AL167</f>
        <v>1.4590982803862699E-2</v>
      </c>
      <c r="AR167" s="188">
        <f>opex_orig!$AL167</f>
        <v>1.4590982803862699E-2</v>
      </c>
      <c r="AS167" s="188">
        <f>opex_orig!$AM167</f>
        <v>1.3968475925001601E-2</v>
      </c>
      <c r="AT167" s="188">
        <f>opex_orig!AN167</f>
        <v>1.7255943999999999E-2</v>
      </c>
      <c r="AU167" s="188">
        <f>opex_orig!$AO167</f>
        <v>9.1212096186146403E-3</v>
      </c>
      <c r="AV167" s="188">
        <f>opex_orig!$AO167</f>
        <v>9.1212096186146403E-3</v>
      </c>
      <c r="AW167" s="188">
        <f>opex_orig!$AO167</f>
        <v>9.1212096186146403E-3</v>
      </c>
      <c r="AX167" s="188">
        <f>opex_orig!$AP167</f>
        <v>6.7200368914564698E-3</v>
      </c>
      <c r="AY167" s="188">
        <f>opex_orig!AQ167</f>
        <v>8.8108140000000001E-3</v>
      </c>
      <c r="AZ167" s="188">
        <f>opex_orig!AR167</f>
        <v>0</v>
      </c>
      <c r="BA167" s="188">
        <f>opex_orig!AS167</f>
        <v>1.5313128000000001E-2</v>
      </c>
      <c r="BB167" s="188">
        <f>opex_orig!AT167</f>
        <v>1.1940994999999999E-2</v>
      </c>
      <c r="BC167" s="188">
        <f>opex_orig!AU167</f>
        <v>8.7802569999999996E-3</v>
      </c>
      <c r="BD167" s="188">
        <f>opex_orig!AV167</f>
        <v>6.400284E-3</v>
      </c>
      <c r="BE167" s="188">
        <f>opex_orig!AW167</f>
        <v>8.5897200000000003E-3</v>
      </c>
      <c r="BF167" s="188">
        <f>opex_orig!AX167</f>
        <v>0</v>
      </c>
      <c r="BG167" s="188">
        <f>opex_orig!AY167</f>
        <v>5.9938680000000003E-3</v>
      </c>
      <c r="BH167" s="188">
        <f>opex_orig!AZ167</f>
        <v>0</v>
      </c>
      <c r="BI167" s="188">
        <f>opex_orig!BA167</f>
        <v>1.2311681E-2</v>
      </c>
      <c r="BJ167" s="188">
        <f>opex_orig!BB167</f>
        <v>9.1525719999999994E-3</v>
      </c>
      <c r="BK167" s="188">
        <f>opex_orig!BC167</f>
        <v>7.7226059999999999E-3</v>
      </c>
      <c r="BL167" s="188">
        <f>opex_orig!BD167</f>
        <v>1.9455324E-2</v>
      </c>
      <c r="BM167" s="188">
        <f>opex_orig!BE167</f>
        <v>8.2965069999999998E-3</v>
      </c>
      <c r="BN167" s="188">
        <f>opex_orig!BF167</f>
        <v>1.6568550000000001E-2</v>
      </c>
      <c r="BO167" s="188">
        <f>opex_orig!BG167</f>
        <v>1.3043165000000001E-2</v>
      </c>
      <c r="BP167" s="188">
        <f>opex_orig!$BH167</f>
        <v>1.4311192638375899E-2</v>
      </c>
      <c r="BQ167" s="188">
        <f>opex_orig!$BH167</f>
        <v>1.4311192638375899E-2</v>
      </c>
      <c r="BR167" s="188">
        <f>opex_orig!BI167</f>
        <v>1.5739138E-2</v>
      </c>
      <c r="BS167" s="188">
        <f>opex_orig!BJ167</f>
        <v>2.0712100000000001E-2</v>
      </c>
      <c r="BT167" s="188">
        <f>opex_orig!BK167</f>
        <v>6.3544500000000002E-3</v>
      </c>
      <c r="BU167" s="188">
        <f>opex_orig!BL167</f>
        <v>0</v>
      </c>
      <c r="BV167" s="27">
        <f>opex_orig!BM167</f>
        <v>1.9217877874260401E-2</v>
      </c>
      <c r="BW167" s="27">
        <f>opex_orig!BN167</f>
        <v>2.1220448352368498E-2</v>
      </c>
      <c r="BX167" s="27">
        <f>opex_orig!BO167</f>
        <v>9.3574532956588097E-4</v>
      </c>
      <c r="BY167" s="27">
        <f>opex_orig!BP167</f>
        <v>4.0371168910868999E-4</v>
      </c>
      <c r="BZ167" s="27">
        <f>opex_orig!BQ167</f>
        <v>-2.5512486208753999E-4</v>
      </c>
      <c r="CA167" s="27">
        <f>opex_orig!BR167</f>
        <v>2.03087027167414E-2</v>
      </c>
      <c r="CB167" s="27">
        <f>opex_orig!BS167</f>
        <v>3.9110640227603501E-2</v>
      </c>
      <c r="CC167" s="27">
        <f>opex_orig!BT167</f>
        <v>4.09221332653113E-2</v>
      </c>
      <c r="CD167" s="27">
        <f>opex_orig!BU167</f>
        <v>-3.2882927891388098E-3</v>
      </c>
      <c r="CE167" s="27">
        <f>opex_orig!BV167</f>
        <v>-3.2882927891387998E-3</v>
      </c>
      <c r="CF167" s="27">
        <f>opex_orig!BW167</f>
        <v>2.3256485429826401E-2</v>
      </c>
      <c r="CG167" s="27">
        <f>opex_orig!BX167</f>
        <v>2.0046903056631399E-2</v>
      </c>
      <c r="CH167" s="27">
        <f>opex_orig!BY167</f>
        <v>5.9474249329968497E-3</v>
      </c>
      <c r="CI167" s="27">
        <f>opex_orig!BZ167</f>
        <v>7.1576210000000003E-3</v>
      </c>
      <c r="CJ167" s="27">
        <f>opex_orig!CA167</f>
        <v>4.1212219999999999E-3</v>
      </c>
      <c r="CK167" s="27">
        <f>opex_orig!CB167</f>
        <v>4.8623620000000003E-3</v>
      </c>
      <c r="CL167" s="27">
        <f>opex_orig!CC167</f>
        <v>1.1264098E-2</v>
      </c>
      <c r="CM167" s="27">
        <f>opex_orig!CD167</f>
        <v>1.7738519000000001E-2</v>
      </c>
      <c r="CN167" s="27">
        <f>opex_orig!CE167</f>
        <v>1.9976437999999999E-2</v>
      </c>
      <c r="CO167" s="27">
        <f>opex_orig!CF167</f>
        <v>2.3290529000000001E-2</v>
      </c>
      <c r="CP167" s="27">
        <f>opex_orig!CG167</f>
        <v>2.601351E-3</v>
      </c>
    </row>
    <row r="168" spans="1:94" x14ac:dyDescent="0.25">
      <c r="A168" s="43" t="s">
        <v>371</v>
      </c>
      <c r="B168" s="43">
        <v>2</v>
      </c>
      <c r="C168" s="43" t="s">
        <v>379</v>
      </c>
      <c r="D168" s="188">
        <f>opex_orig!D168</f>
        <v>-1.0000000000000001E-5</v>
      </c>
      <c r="E168" s="188">
        <f>opex_orig!E168</f>
        <v>-2.0699999999999998E-5</v>
      </c>
      <c r="F168" s="188">
        <f>opex_orig!F168</f>
        <v>-3.54E-6</v>
      </c>
      <c r="G168" s="188">
        <f>opex_orig!G168</f>
        <v>-2.7499999999999999E-6</v>
      </c>
      <c r="H168" s="188">
        <f>opex_orig!H168</f>
        <v>-3.3000000000000002E-6</v>
      </c>
      <c r="I168" s="188">
        <f>opex_orig!I168</f>
        <v>-4.6900000000000002E-5</v>
      </c>
      <c r="J168" s="188">
        <f>opex_orig!J168</f>
        <v>-4.2299999999999998E-5</v>
      </c>
      <c r="K168" s="188">
        <f>opex_orig!K168</f>
        <v>-7.7500000000000003E-6</v>
      </c>
      <c r="L168" s="188">
        <f>opex_orig!L168</f>
        <v>-7.1699999999999995E-5</v>
      </c>
      <c r="M168" s="188">
        <f>opex_orig!M168</f>
        <v>-2.2211E-4</v>
      </c>
      <c r="N168" s="188">
        <f>opex_orig!N168</f>
        <v>-8.1899999999999999E-5</v>
      </c>
      <c r="O168" s="188">
        <f>opex_orig!O168</f>
        <v>-2.0082300000000001E-4</v>
      </c>
      <c r="P168" s="188">
        <f>opex_orig!P168</f>
        <v>-3.1050700000000001E-4</v>
      </c>
      <c r="Q168" s="188">
        <f>opex_orig!Q168</f>
        <v>-3.9355100000000001E-4</v>
      </c>
      <c r="R168" s="188">
        <f>opex_orig!R168</f>
        <v>-1.1220799999999999E-4</v>
      </c>
      <c r="S168" s="188">
        <f>opex_orig!S168</f>
        <v>-5.3235200000000004E-4</v>
      </c>
      <c r="T168" s="188">
        <f>opex_orig!T168</f>
        <v>-5.58082E-4</v>
      </c>
      <c r="U168" s="188">
        <f>opex_orig!U168</f>
        <v>-4.7798900000000001E-4</v>
      </c>
      <c r="V168" s="188">
        <f>opex_orig!V168</f>
        <v>-5.4825399999999997E-4</v>
      </c>
      <c r="W168" s="188">
        <f>opex_orig!W168</f>
        <v>-1.7002900000000001E-4</v>
      </c>
      <c r="X168" s="188">
        <f>opex_orig!X168</f>
        <v>-3.0037400000000001E-4</v>
      </c>
      <c r="Y168" s="188">
        <f>opex_orig!Y168</f>
        <v>2.0699999999999998E-5</v>
      </c>
      <c r="Z168" s="188">
        <f>opex_orig!Z168</f>
        <v>2.9296500000000001E-4</v>
      </c>
      <c r="AA168" s="188">
        <f>opex_orig!AA168</f>
        <v>3.7004399999999998E-4</v>
      </c>
      <c r="AB168" s="188">
        <f>opex_orig!$AB168</f>
        <v>-1.37692962018158E-3</v>
      </c>
      <c r="AC168" s="188">
        <f>opex_orig!$AB168</f>
        <v>-1.37692962018158E-3</v>
      </c>
      <c r="AD168" s="188">
        <f>opex_orig!$AB168</f>
        <v>-1.37692962018158E-3</v>
      </c>
      <c r="AE168" s="188">
        <f>opex_orig!$AC168</f>
        <v>-1.50305529414925E-3</v>
      </c>
      <c r="AF168" s="188">
        <f>opex_orig!$AD168</f>
        <v>-1.79799507611615E-3</v>
      </c>
      <c r="AG168" s="188">
        <f>opex_orig!$AD168</f>
        <v>-1.79799507611615E-3</v>
      </c>
      <c r="AH168" s="188">
        <f>opex_orig!$AD168</f>
        <v>-1.79799507611615E-3</v>
      </c>
      <c r="AI168" s="188">
        <f>opex_orig!AE168</f>
        <v>-2.035153E-3</v>
      </c>
      <c r="AJ168" s="188">
        <f>opex_orig!AF168</f>
        <v>-4.9239399999999995E-4</v>
      </c>
      <c r="AK168" s="188">
        <f>opex_orig!AG168</f>
        <v>-2.2181300000000001E-4</v>
      </c>
      <c r="AL168" s="188">
        <f>opex_orig!AH168</f>
        <v>-1.2977749999999999E-3</v>
      </c>
      <c r="AM168" s="188">
        <f>opex_orig!AI168</f>
        <v>-1.8425760000000001E-3</v>
      </c>
      <c r="AN168" s="188">
        <f>opex_orig!AJ168</f>
        <v>-1.8275959999999999E-3</v>
      </c>
      <c r="AO168" s="188">
        <f>opex_orig!AK168</f>
        <v>-1.41431E-3</v>
      </c>
      <c r="AP168" s="188">
        <f>opex_orig!$AL168</f>
        <v>-1.3269491119265E-3</v>
      </c>
      <c r="AQ168" s="188">
        <f>opex_orig!$AL168</f>
        <v>-1.3269491119265E-3</v>
      </c>
      <c r="AR168" s="188">
        <f>opex_orig!$AL168</f>
        <v>-1.3269491119265E-3</v>
      </c>
      <c r="AS168" s="188">
        <f>opex_orig!$AM168</f>
        <v>-1.35022049380928E-3</v>
      </c>
      <c r="AT168" s="188">
        <f>opex_orig!AN168</f>
        <v>-1.3119830000000001E-3</v>
      </c>
      <c r="AU168" s="188">
        <f>opex_orig!$AO168</f>
        <v>1.38613233379743E-5</v>
      </c>
      <c r="AV168" s="188">
        <f>opex_orig!$AO168</f>
        <v>1.38613233379743E-5</v>
      </c>
      <c r="AW168" s="188">
        <f>opex_orig!$AO168</f>
        <v>1.38613233379743E-5</v>
      </c>
      <c r="AX168" s="188">
        <f>opex_orig!$AP168</f>
        <v>1.5823821074542599E-5</v>
      </c>
      <c r="AY168" s="188">
        <f>opex_orig!AQ168</f>
        <v>4.7299999999999996E-6</v>
      </c>
      <c r="AZ168" s="188">
        <f>opex_orig!AR168</f>
        <v>0</v>
      </c>
      <c r="BA168" s="188">
        <f>opex_orig!AS168</f>
        <v>8.5900000000000008E-6</v>
      </c>
      <c r="BB168" s="188">
        <f>opex_orig!AT168</f>
        <v>1.06E-5</v>
      </c>
      <c r="BC168" s="188">
        <f>opex_orig!AU168</f>
        <v>1.3900000000000001E-5</v>
      </c>
      <c r="BD168" s="188">
        <f>opex_orig!AV168</f>
        <v>1.6799999999999998E-5</v>
      </c>
      <c r="BE168" s="188">
        <f>opex_orig!AW168</f>
        <v>1.33E-5</v>
      </c>
      <c r="BF168" s="188">
        <f>opex_orig!AX168</f>
        <v>0</v>
      </c>
      <c r="BG168" s="188">
        <f>opex_orig!AY168</f>
        <v>5.6699999999999999E-6</v>
      </c>
      <c r="BH168" s="188">
        <f>opex_orig!AZ168</f>
        <v>0</v>
      </c>
      <c r="BI168" s="188">
        <f>opex_orig!BA168</f>
        <v>7.3200000000000002E-6</v>
      </c>
      <c r="BJ168" s="188">
        <f>opex_orig!BB168</f>
        <v>-1.1472399999999999E-4</v>
      </c>
      <c r="BK168" s="188">
        <f>opex_orig!BC168</f>
        <v>-3.2050900000000002E-4</v>
      </c>
      <c r="BL168" s="188">
        <f>opex_orig!BD168</f>
        <v>-1.6699999999999999E-5</v>
      </c>
      <c r="BM168" s="188">
        <f>opex_orig!BE168</f>
        <v>-7.1600000000000006E-5</v>
      </c>
      <c r="BN168" s="188">
        <f>opex_orig!BF168</f>
        <v>-4.0819899999999999E-4</v>
      </c>
      <c r="BO168" s="188">
        <f>opex_orig!BG168</f>
        <v>-1.0143179999999999E-3</v>
      </c>
      <c r="BP168" s="188">
        <f>opex_orig!$BH168</f>
        <v>-1.6007953468615601E-4</v>
      </c>
      <c r="BQ168" s="188">
        <f>opex_orig!$BH168</f>
        <v>-1.6007953468615601E-4</v>
      </c>
      <c r="BR168" s="188">
        <f>opex_orig!BI168</f>
        <v>-7.3361200000000002E-4</v>
      </c>
      <c r="BS168" s="188">
        <f>opex_orig!BJ168</f>
        <v>-3.6077899999999998E-4</v>
      </c>
      <c r="BT168" s="188">
        <f>opex_orig!BK168</f>
        <v>-2.6847699999999998E-4</v>
      </c>
      <c r="BU168" s="188">
        <f>opex_orig!BL168</f>
        <v>0</v>
      </c>
      <c r="BV168" s="27">
        <f>opex_orig!BM168</f>
        <v>4.1393068854815897E-3</v>
      </c>
      <c r="BW168" s="27">
        <f>opex_orig!BN168</f>
        <v>2.2836270809513799E-2</v>
      </c>
      <c r="BX168" s="27">
        <f>opex_orig!BO168</f>
        <v>1.5624396048960301E-3</v>
      </c>
      <c r="BY168" s="27">
        <f>opex_orig!BP168</f>
        <v>1.48529342370016E-3</v>
      </c>
      <c r="BZ168" s="27">
        <f>opex_orig!BQ168</f>
        <v>1.56747473013872E-3</v>
      </c>
      <c r="CA168" s="27">
        <f>opex_orig!BR168</f>
        <v>5.5669920881360304E-4</v>
      </c>
      <c r="CB168" s="27">
        <f>opex_orig!BS168</f>
        <v>1.0066004416298201E-2</v>
      </c>
      <c r="CC168" s="27">
        <f>opex_orig!BT168</f>
        <v>2.8348540627027101E-3</v>
      </c>
      <c r="CD168" s="27">
        <f>opex_orig!BU168</f>
        <v>1.61013995642182E-3</v>
      </c>
      <c r="CE168" s="27">
        <f>opex_orig!BV168</f>
        <v>1.61013995642182E-3</v>
      </c>
      <c r="CF168" s="27">
        <f>opex_orig!BW168</f>
        <v>3.22247696629291E-3</v>
      </c>
      <c r="CG168" s="27">
        <f>opex_orig!BX168</f>
        <v>2.2521604509950701E-4</v>
      </c>
      <c r="CH168" s="27">
        <f>opex_orig!BY168</f>
        <v>4.4007112319954897E-4</v>
      </c>
      <c r="CI168" s="27">
        <f>opex_orig!BZ168</f>
        <v>6.7704439999999996E-3</v>
      </c>
      <c r="CJ168" s="27">
        <f>opex_orig!CA168</f>
        <v>2.0967920000000001E-3</v>
      </c>
      <c r="CK168" s="27">
        <f>opex_orig!CB168</f>
        <v>2.4892069999999998E-3</v>
      </c>
      <c r="CL168" s="27">
        <f>opex_orig!CC168</f>
        <v>5.4513230000000001E-3</v>
      </c>
      <c r="CM168" s="27">
        <f>opex_orig!CD168</f>
        <v>8.7165809999999993E-3</v>
      </c>
      <c r="CN168" s="27">
        <f>opex_orig!CE168</f>
        <v>3.2298370000000002E-3</v>
      </c>
      <c r="CO168" s="27">
        <f>opex_orig!CF168</f>
        <v>8.0546700000000003E-4</v>
      </c>
      <c r="CP168" s="27">
        <f>opex_orig!CG168</f>
        <v>1.8752630000000001E-3</v>
      </c>
    </row>
    <row r="169" spans="1:94" x14ac:dyDescent="0.25">
      <c r="A169" s="38" t="s">
        <v>372</v>
      </c>
      <c r="B169" s="38">
        <v>3</v>
      </c>
      <c r="C169" s="38" t="s">
        <v>379</v>
      </c>
      <c r="D169" s="463">
        <f>labcap_calc!I332</f>
        <v>6.5532020000000002E-3</v>
      </c>
      <c r="E169" s="463">
        <f>labcap_calc!I343</f>
        <v>1.1406179000000001E-2</v>
      </c>
      <c r="F169" s="463">
        <f>labcap_calc!I354</f>
        <v>3.7727540000000001E-3</v>
      </c>
      <c r="G169" s="463">
        <f>labcap_calc!I365</f>
        <v>1.4311269999999999E-3</v>
      </c>
      <c r="H169" s="463">
        <f>labcap_calc!I376</f>
        <v>5.3929181999999992E-2</v>
      </c>
      <c r="I169" s="463">
        <f>labcap_calc!I387</f>
        <v>6.5435440000000001E-3</v>
      </c>
      <c r="J169" s="463">
        <f>labcap_calc!I398</f>
        <v>8.6924910000000001E-3</v>
      </c>
      <c r="K169" s="463">
        <f>labcap_calc!I409</f>
        <v>2.1498171999999999E-2</v>
      </c>
      <c r="L169" s="463">
        <f>labcap_calc!I420</f>
        <v>6.4801169999999996E-3</v>
      </c>
      <c r="M169" s="463">
        <f>labcap_calc!I431</f>
        <v>8.4600379999999996E-3</v>
      </c>
      <c r="N169" s="463">
        <f>labcap_calc!I442</f>
        <v>4.3551800000000002E-3</v>
      </c>
      <c r="O169" s="463">
        <f>labcap_calc!I453</f>
        <v>3.1409799999999994E-3</v>
      </c>
      <c r="P169" s="463">
        <f>labcap_calc!I464</f>
        <v>1.1379752E-2</v>
      </c>
      <c r="Q169" s="463">
        <f>labcap_calc!I475</f>
        <v>1.2001839E-2</v>
      </c>
      <c r="R169" s="463">
        <f>labcap_calc!I486</f>
        <v>5.7799210000000004E-3</v>
      </c>
      <c r="S169" s="463">
        <f>labcap_calc!I497</f>
        <v>5.416372E-3</v>
      </c>
      <c r="T169" s="463">
        <f>labcap_calc!I508</f>
        <v>6.2026850000000003E-3</v>
      </c>
      <c r="U169" s="463">
        <f>labcap_calc!I519</f>
        <v>9.5347120000000007E-3</v>
      </c>
      <c r="V169" s="463">
        <f>labcap_calc!I530</f>
        <v>1.3258851E-2</v>
      </c>
      <c r="W169" s="463">
        <f>labcap_calc!I541</f>
        <v>7.5331790000000001E-3</v>
      </c>
      <c r="X169" s="463">
        <f>labcap_calc!I552</f>
        <v>1.214459E-2</v>
      </c>
      <c r="Y169" s="463">
        <f>labcap_calc!I563</f>
        <v>2.60914E-4</v>
      </c>
      <c r="Z169" s="463">
        <f>labcap_calc!I574</f>
        <v>1.2977349999999999E-3</v>
      </c>
      <c r="AA169" s="463">
        <f>labcap_calc!I585</f>
        <v>2.1418689999999998E-3</v>
      </c>
      <c r="AB169" s="245">
        <f>labcap_calc!I167</f>
        <v>2.0894772559803799E-3</v>
      </c>
      <c r="AC169" s="245">
        <f>labcap_calc!I178</f>
        <v>3.1649320574649751E-3</v>
      </c>
      <c r="AD169" s="245">
        <f>labcap_calc!I189</f>
        <v>3.6832739814603556E-3</v>
      </c>
      <c r="AE169" s="227">
        <f>labcap_calc!I200</f>
        <v>8.8951152203076492E-3</v>
      </c>
      <c r="AF169" s="227">
        <f>labcap_calc!I211</f>
        <v>1.3590283572723801E-2</v>
      </c>
      <c r="AG169" s="227">
        <f>labcap_calc!I222</f>
        <v>6.0224452719306546E-3</v>
      </c>
      <c r="AH169" s="227">
        <f>labcap_calc!I233</f>
        <v>4.8317819931048079E-3</v>
      </c>
      <c r="AI169" s="463">
        <f>labcap_calc!I596</f>
        <v>1.4454549000000001E-2</v>
      </c>
      <c r="AJ169" s="463">
        <f>labcap_calc!I607</f>
        <v>5.4511079999999996E-3</v>
      </c>
      <c r="AK169" s="463">
        <f>labcap_calc!I618</f>
        <v>8.8320989999999995E-3</v>
      </c>
      <c r="AL169" s="463">
        <f>labcap_calc!I629</f>
        <v>6.5227469999999989E-3</v>
      </c>
      <c r="AM169" s="463">
        <f>labcap_calc!I640</f>
        <v>1.3083896999999999E-2</v>
      </c>
      <c r="AN169" s="463">
        <f>labcap_calc!I651</f>
        <v>1.4390134000000001E-2</v>
      </c>
      <c r="AO169" s="463">
        <f>labcap_calc!I662</f>
        <v>1.0452292999999998E-2</v>
      </c>
      <c r="AP169" s="227">
        <f>labcap_calc!I244</f>
        <v>1.05295467349773E-2</v>
      </c>
      <c r="AQ169" s="227">
        <f>labcap_calc!I255</f>
        <v>8.4740798731724274E-3</v>
      </c>
      <c r="AR169" s="227">
        <f>labcap_calc!I266</f>
        <v>9.2995621137247162E-3</v>
      </c>
      <c r="AS169" s="227">
        <f>labcap_calc!I277</f>
        <v>1.0540024019467501E-2</v>
      </c>
      <c r="AT169" s="463">
        <f>labcap_calc!I673</f>
        <v>1.0981424E-2</v>
      </c>
      <c r="AU169" s="227">
        <f>labcap_calc!I288</f>
        <v>3.4890727097774501E-3</v>
      </c>
      <c r="AV169" s="227">
        <f>labcap_calc!I299</f>
        <v>4.7398929800778061E-3</v>
      </c>
      <c r="AW169" s="227">
        <f>labcap_calc!I310</f>
        <v>3.9128892728891472E-3</v>
      </c>
      <c r="AX169" s="227">
        <f>labcap_calc!I321</f>
        <v>4.5823446607328299E-3</v>
      </c>
      <c r="AY169" s="463">
        <f>labcap_calc!I684</f>
        <v>2.6920030000000001E-3</v>
      </c>
      <c r="AZ169" s="463">
        <f>labcap_calc!I695</f>
        <v>0</v>
      </c>
      <c r="BA169" s="463">
        <f>labcap_calc!I706</f>
        <v>3.9808680000000003E-3</v>
      </c>
      <c r="BB169" s="463">
        <f>labcap_calc!I717</f>
        <v>4.4061789999999997E-3</v>
      </c>
      <c r="BC169" s="463">
        <f>labcap_calc!I728</f>
        <v>4.5111739999999997E-3</v>
      </c>
      <c r="BD169" s="463">
        <f>labcap_calc!I739</f>
        <v>4.5659089999999999E-3</v>
      </c>
      <c r="BE169" s="463">
        <f>labcap_calc!I750</f>
        <v>4.5246119999999999E-3</v>
      </c>
      <c r="BF169" s="463">
        <f>labcap_calc!I761</f>
        <v>0</v>
      </c>
      <c r="BG169" s="463">
        <f>labcap_calc!I772</f>
        <v>1.0510669999999999E-3</v>
      </c>
      <c r="BH169" s="463">
        <f>labcap_calc!I783</f>
        <v>0</v>
      </c>
      <c r="BI169" s="463">
        <f>labcap_calc!I794</f>
        <v>5.4425339999999997E-3</v>
      </c>
      <c r="BJ169" s="463">
        <f>labcap_calc!I805</f>
        <v>8.6842489999999998E-3</v>
      </c>
      <c r="BK169" s="463">
        <f>labcap_calc!I816</f>
        <v>8.1242339999999993E-3</v>
      </c>
      <c r="BL169" s="463">
        <f>labcap_calc!I827</f>
        <v>1.4842049999999999E-3</v>
      </c>
      <c r="BM169" s="463">
        <f>labcap_calc!I838</f>
        <v>9.3267220000000008E-3</v>
      </c>
      <c r="BN169" s="463">
        <f>labcap_calc!I849</f>
        <v>5.52317E-3</v>
      </c>
      <c r="BO169" s="463">
        <f>labcap_calc!I860</f>
        <v>1.9586411000000001E-2</v>
      </c>
      <c r="BP169" s="245">
        <f>labcap_calc!I145</f>
        <v>6.351985119297212E-3</v>
      </c>
      <c r="BQ169" s="245">
        <f>labcap_calc!I156</f>
        <v>3.5207869768284182E-3</v>
      </c>
      <c r="BR169" s="463">
        <f>labcap_calc!I871</f>
        <v>7.2820360000000004E-3</v>
      </c>
      <c r="BS169" s="463">
        <f>labcap_calc!I882</f>
        <v>9.9469840000000007E-3</v>
      </c>
      <c r="BT169" s="463">
        <f>labcap_calc!I893</f>
        <v>3.4587650000000004E-3</v>
      </c>
      <c r="BU169" s="463">
        <f>labcap_calc!I904</f>
        <v>0</v>
      </c>
      <c r="BV169" s="464">
        <f>labcap_calc!I2</f>
        <v>1.5354003933229E-3</v>
      </c>
      <c r="BW169" s="464">
        <f>labcap_calc!I13</f>
        <v>9.0300792336197699E-4</v>
      </c>
      <c r="BX169" s="464">
        <f>labcap_calc!I24</f>
        <v>1.4042359838410802E-3</v>
      </c>
      <c r="BY169" s="464">
        <f>labcap_calc!I35</f>
        <v>9.1941358960136003E-4</v>
      </c>
      <c r="BZ169" s="227">
        <f>labcap_calc!I46</f>
        <v>6.2925704329554102E-4</v>
      </c>
      <c r="CA169" s="464">
        <f>labcap_calc!I57</f>
        <v>1.49948297489806E-3</v>
      </c>
      <c r="CB169" s="464">
        <f>labcap_calc!I68</f>
        <v>5.2574219357217798E-4</v>
      </c>
      <c r="CC169" s="227">
        <f>labcap_calc!I79</f>
        <v>3.5188500358481301E-5</v>
      </c>
      <c r="CD169" s="227">
        <f>labcap_calc!I90</f>
        <v>3.2858403239308901E-4</v>
      </c>
      <c r="CE169" s="227">
        <f>labcap_calc!I101</f>
        <v>3.2858403239308998E-4</v>
      </c>
      <c r="CF169" s="464">
        <f>labcap_calc!I112</f>
        <v>1.4154968383210699E-3</v>
      </c>
      <c r="CG169" s="464">
        <f>labcap_calc!I123</f>
        <v>7.0163303107703296E-5</v>
      </c>
      <c r="CH169" s="464">
        <f>labcap_calc!I134</f>
        <v>4.6726272755630803E-6</v>
      </c>
      <c r="CI169" s="464">
        <f>labcap_calc!I915</f>
        <v>9.0061000000000004E-4</v>
      </c>
      <c r="CJ169" s="464">
        <f>labcap_calc!I926</f>
        <v>7.1392000000000005E-4</v>
      </c>
      <c r="CK169" s="464">
        <f>labcap_calc!I937</f>
        <v>8.53804E-4</v>
      </c>
      <c r="CL169" s="464">
        <f>labcap_calc!I948</f>
        <v>2.9946299999999998E-4</v>
      </c>
      <c r="CM169" s="464">
        <f>labcap_calc!I959</f>
        <v>1.155131E-3</v>
      </c>
      <c r="CN169" s="464">
        <f>labcap_calc!I970</f>
        <v>5.6532980000000002E-3</v>
      </c>
      <c r="CO169" s="464">
        <f>labcap_calc!I981</f>
        <v>3.757299E-3</v>
      </c>
      <c r="CP169" s="464">
        <f>labcap_calc!I992</f>
        <v>1.0304667E-2</v>
      </c>
    </row>
    <row r="170" spans="1:94" x14ac:dyDescent="0.25">
      <c r="A170" s="38" t="s">
        <v>373</v>
      </c>
      <c r="B170" s="38">
        <v>4</v>
      </c>
      <c r="C170" s="38" t="s">
        <v>379</v>
      </c>
      <c r="D170" s="463">
        <f>labcap_calc!I333</f>
        <v>5.1618493000000001E-2</v>
      </c>
      <c r="E170" s="463">
        <f>labcap_calc!I344</f>
        <v>8.9844591000000001E-2</v>
      </c>
      <c r="F170" s="463">
        <f>labcap_calc!I355</f>
        <v>2.9717358999999999E-2</v>
      </c>
      <c r="G170" s="463">
        <f>labcap_calc!I366</f>
        <v>1.1272752000000002E-2</v>
      </c>
      <c r="H170" s="463">
        <f>labcap_calc!I377</f>
        <v>0.42479125899999998</v>
      </c>
      <c r="I170" s="463">
        <f>labcap_calc!I388</f>
        <v>5.1542417E-2</v>
      </c>
      <c r="J170" s="463">
        <f>labcap_calc!I399</f>
        <v>6.846932E-2</v>
      </c>
      <c r="K170" s="463">
        <f>labcap_calc!I410</f>
        <v>0.169337553</v>
      </c>
      <c r="L170" s="463">
        <f>labcap_calc!I421</f>
        <v>5.1042812E-2</v>
      </c>
      <c r="M170" s="463">
        <f>labcap_calc!I432</f>
        <v>6.6638321E-2</v>
      </c>
      <c r="N170" s="463">
        <f>labcap_calc!I443</f>
        <v>3.4305031999999999E-2</v>
      </c>
      <c r="O170" s="463">
        <f>labcap_calc!I454</f>
        <v>3.2155441999999999E-2</v>
      </c>
      <c r="P170" s="463">
        <f>labcap_calc!I465</f>
        <v>7.7338494999999993E-2</v>
      </c>
      <c r="Q170" s="463">
        <f>labcap_calc!I476</f>
        <v>6.3284425000000005E-2</v>
      </c>
      <c r="R170" s="463">
        <f>labcap_calc!I487</f>
        <v>3.7369977999999998E-2</v>
      </c>
      <c r="S170" s="463">
        <f>labcap_calc!I498</f>
        <v>5.9899886999999992E-2</v>
      </c>
      <c r="T170" s="463">
        <f>labcap_calc!I509</f>
        <v>6.8595762000000005E-2</v>
      </c>
      <c r="U170" s="463">
        <f>labcap_calc!I520</f>
        <v>7.9269931000000002E-2</v>
      </c>
      <c r="V170" s="463">
        <f>labcap_calc!I531</f>
        <v>0.11023177400000002</v>
      </c>
      <c r="W170" s="463">
        <f>labcap_calc!I542</f>
        <v>6.2629540999999997E-2</v>
      </c>
      <c r="X170" s="463">
        <f>labcap_calc!I553</f>
        <v>0.104142605</v>
      </c>
      <c r="Y170" s="463">
        <f>labcap_calc!I564</f>
        <v>2.533432E-3</v>
      </c>
      <c r="Z170" s="463">
        <f>labcap_calc!I575</f>
        <v>1.2600787000000002E-2</v>
      </c>
      <c r="AA170" s="463">
        <f>labcap_calc!I586</f>
        <v>2.0797184999999999E-2</v>
      </c>
      <c r="AB170" s="245">
        <f>labcap_calc!I168</f>
        <v>1.9118201818306101E-2</v>
      </c>
      <c r="AC170" s="245">
        <f>labcap_calc!I179</f>
        <v>2.8958348143134957E-2</v>
      </c>
      <c r="AD170" s="245">
        <f>labcap_calc!I190</f>
        <v>3.3701048971999985E-2</v>
      </c>
      <c r="AE170" s="227">
        <f>labcap_calc!I201</f>
        <v>8.1388111543926694E-2</v>
      </c>
      <c r="AF170" s="227">
        <f>labcap_calc!I212</f>
        <v>0.131959371148891</v>
      </c>
      <c r="AG170" s="227">
        <f>labcap_calc!I223</f>
        <v>5.8476932185404097E-2</v>
      </c>
      <c r="AH170" s="227">
        <f>labcap_calc!I234</f>
        <v>4.6915791707123025E-2</v>
      </c>
      <c r="AI170" s="463">
        <f>labcap_calc!I597</f>
        <v>0.14035124800000001</v>
      </c>
      <c r="AJ170" s="463">
        <f>labcap_calc!I608</f>
        <v>5.2929341999999997E-2</v>
      </c>
      <c r="AK170" s="463">
        <f>labcap_calc!I619</f>
        <v>8.0811530000000006E-2</v>
      </c>
      <c r="AL170" s="463">
        <f>labcap_calc!I630</f>
        <v>6.3007526999999994E-2</v>
      </c>
      <c r="AM170" s="463">
        <f>labcap_calc!I641</f>
        <v>0.12638601799999999</v>
      </c>
      <c r="AN170" s="463">
        <f>labcap_calc!I652</f>
        <v>0.139003827</v>
      </c>
      <c r="AO170" s="463">
        <f>labcap_calc!I663</f>
        <v>0.100965613</v>
      </c>
      <c r="AP170" s="227">
        <f>labcap_calc!I245</f>
        <v>0.101711858375403</v>
      </c>
      <c r="AQ170" s="227">
        <f>labcap_calc!I256</f>
        <v>8.1856744038073276E-2</v>
      </c>
      <c r="AR170" s="227">
        <f>labcap_calc!I267</f>
        <v>8.9830623147566166E-2</v>
      </c>
      <c r="AS170" s="227">
        <f>labcap_calc!I278</f>
        <v>0.101813065398154</v>
      </c>
      <c r="AT170" s="463">
        <f>labcap_calc!I674</f>
        <v>0.10607684100000001</v>
      </c>
      <c r="AU170" s="227">
        <f>opex_concordance!M607</f>
        <v>4.1017073062728802E-2</v>
      </c>
      <c r="AV170" s="227">
        <f>labcap_calc!I300</f>
        <v>5.5721549203761787E-2</v>
      </c>
      <c r="AW170" s="227">
        <f>labcap_calc!I311</f>
        <v>4.599940400860808E-2</v>
      </c>
      <c r="AX170" s="227">
        <f>labcap_calc!I322</f>
        <v>5.3869432190903309E-2</v>
      </c>
      <c r="AY170" s="463">
        <f>labcap_calc!I685</f>
        <v>3.1646832E-2</v>
      </c>
      <c r="AZ170" s="463">
        <f>labcap_calc!I696</f>
        <v>0</v>
      </c>
      <c r="BA170" s="463">
        <f>labcap_calc!I707</f>
        <v>4.6798553E-2</v>
      </c>
      <c r="BB170" s="463">
        <f>labcap_calc!I718</f>
        <v>5.1798456999999999E-2</v>
      </c>
      <c r="BC170" s="463">
        <f>labcap_calc!I729</f>
        <v>5.3032758999999999E-2</v>
      </c>
      <c r="BD170" s="463">
        <f>labcap_calc!I740</f>
        <v>5.3676214999999999E-2</v>
      </c>
      <c r="BE170" s="463">
        <f>labcap_calc!I751</f>
        <v>5.3190732999999997E-2</v>
      </c>
      <c r="BF170" s="463">
        <f>labcap_calc!I762</f>
        <v>0</v>
      </c>
      <c r="BG170" s="463">
        <f>labcap_calc!I773</f>
        <v>1.2356205E-2</v>
      </c>
      <c r="BH170" s="463">
        <f>labcap_calc!I784</f>
        <v>0</v>
      </c>
      <c r="BI170" s="463">
        <f>labcap_calc!I795</f>
        <v>6.3981706999999999E-2</v>
      </c>
      <c r="BJ170" s="463">
        <f>labcap_calc!I806</f>
        <v>9.4310986999999999E-2</v>
      </c>
      <c r="BK170" s="463">
        <f>labcap_calc!I817</f>
        <v>8.7404361E-2</v>
      </c>
      <c r="BL170" s="463">
        <f>labcap_calc!I828</f>
        <v>1.4693895E-2</v>
      </c>
      <c r="BM170" s="463">
        <f>labcap_calc!I839</f>
        <v>7.6008618E-2</v>
      </c>
      <c r="BN170" s="463">
        <f>labcap_calc!I850</f>
        <v>4.3643003E-2</v>
      </c>
      <c r="BO170" s="463">
        <f>labcap_calc!I861</f>
        <v>0.15510922299999999</v>
      </c>
      <c r="BP170" s="245">
        <f>labcap_calc!I146</f>
        <v>6.0050003470095481E-2</v>
      </c>
      <c r="BQ170" s="245">
        <f>labcap_calc!I157</f>
        <v>3.3284597839140645E-2</v>
      </c>
      <c r="BR170" s="463">
        <f>labcap_calc!I872</f>
        <v>8.3892715000000007E-2</v>
      </c>
      <c r="BS170" s="463">
        <f>labcap_calc!I883</f>
        <v>8.6107845000000002E-2</v>
      </c>
      <c r="BT170" s="463">
        <f>labcap_calc!I894</f>
        <v>1.6569912999999999E-2</v>
      </c>
      <c r="BU170" s="463">
        <f>labcap_calc!I905</f>
        <v>0</v>
      </c>
      <c r="BV170" s="464">
        <f>labcap_calc!I3</f>
        <v>2.3872619079459801E-2</v>
      </c>
      <c r="BW170" s="464">
        <f>labcap_calc!I14</f>
        <v>1.4040092912497699E-2</v>
      </c>
      <c r="BX170" s="464">
        <f>labcap_calc!I25</f>
        <v>2.1833256579643402E-2</v>
      </c>
      <c r="BY170" s="464">
        <f>labcap_calc!I36</f>
        <v>1.4295170495225299E-2</v>
      </c>
      <c r="BZ170" s="227">
        <f>labcap_calc!I47</f>
        <v>9.78377611665362E-3</v>
      </c>
      <c r="CA170" s="464">
        <f>labcap_calc!I58</f>
        <v>2.5602987428067998E-2</v>
      </c>
      <c r="CB170" s="464">
        <f>labcap_calc!I69</f>
        <v>8.1743128214047008E-3</v>
      </c>
      <c r="CC170" s="227">
        <f>labcap_calc!I80</f>
        <v>1.4602311602215101E-3</v>
      </c>
      <c r="CD170" s="227">
        <f>labcap_calc!I91</f>
        <v>5.1088702823233398E-3</v>
      </c>
      <c r="CE170" s="227">
        <f>labcap_calc!I102</f>
        <v>5.1088702823233398E-3</v>
      </c>
      <c r="CF170" s="464">
        <f>labcap_calc!I113</f>
        <v>1.2981058556713301E-2</v>
      </c>
      <c r="CG170" s="464">
        <f>labcap_calc!I124</f>
        <v>1.0265351011156201E-3</v>
      </c>
      <c r="CH170" s="464">
        <f>labcap_calc!I135</f>
        <v>1.9390186789404701E-4</v>
      </c>
      <c r="CI170" s="464">
        <f>labcap_calc!I916</f>
        <v>1.4002809999999999E-2</v>
      </c>
      <c r="CJ170" s="464">
        <f>labcap_calc!I927</f>
        <v>1.110013E-2</v>
      </c>
      <c r="CK170" s="464">
        <f>labcap_calc!I938</f>
        <v>1.3275060999999999E-2</v>
      </c>
      <c r="CL170" s="464">
        <f>labcap_calc!I949</f>
        <v>4.656093E-3</v>
      </c>
      <c r="CM170" s="464">
        <f>labcap_calc!I960</f>
        <v>1.7960133E-2</v>
      </c>
      <c r="CN170" s="464">
        <f>labcap_calc!I971</f>
        <v>8.0504987E-2</v>
      </c>
      <c r="CO170" s="464">
        <f>labcap_calc!I982</f>
        <v>6.7552206000000004E-2</v>
      </c>
      <c r="CP170" s="464">
        <f>labcap_calc!I993</f>
        <v>0.18526684000000002</v>
      </c>
    </row>
    <row r="171" spans="1:94" x14ac:dyDescent="0.25">
      <c r="A171" s="38" t="s">
        <v>374</v>
      </c>
      <c r="B171" s="38">
        <v>5</v>
      </c>
      <c r="C171" s="38" t="s">
        <v>379</v>
      </c>
      <c r="D171" s="463">
        <f>labcap_calc!I334</f>
        <v>4.1662375000000001E-2</v>
      </c>
      <c r="E171" s="463">
        <f>labcap_calc!I345</f>
        <v>7.2515466000000001E-2</v>
      </c>
      <c r="F171" s="463">
        <f>labcap_calc!I356</f>
        <v>2.3985507999999999E-2</v>
      </c>
      <c r="G171" s="463">
        <f>labcap_calc!I367</f>
        <v>9.0984759999999994E-3</v>
      </c>
      <c r="H171" s="463">
        <f>labcap_calc!I378</f>
        <v>0.342857992</v>
      </c>
      <c r="I171" s="463">
        <f>labcap_calc!I389</f>
        <v>4.1600972000000007E-2</v>
      </c>
      <c r="J171" s="463">
        <f>labcap_calc!I400</f>
        <v>5.5263034000000009E-2</v>
      </c>
      <c r="K171" s="463">
        <f>labcap_calc!I411</f>
        <v>0.13667591300000001</v>
      </c>
      <c r="L171" s="463">
        <f>labcap_calc!I422</f>
        <v>4.1197730999999994E-2</v>
      </c>
      <c r="M171" s="463">
        <f>labcap_calc!I433</f>
        <v>5.3785196E-2</v>
      </c>
      <c r="N171" s="463">
        <f>labcap_calc!I444</f>
        <v>2.7688316000000001E-2</v>
      </c>
      <c r="O171" s="463">
        <f>labcap_calc!I455</f>
        <v>2.6155127E-2</v>
      </c>
      <c r="P171" s="463">
        <f>labcap_calc!I466</f>
        <v>6.2086834E-2</v>
      </c>
      <c r="Q171" s="463">
        <f>labcap_calc!I477</f>
        <v>5.0227645000000001E-2</v>
      </c>
      <c r="R171" s="463">
        <f>labcap_calc!I488</f>
        <v>2.9940085000000002E-2</v>
      </c>
      <c r="S171" s="463">
        <f>labcap_calc!I499</f>
        <v>4.8815554999999997E-2</v>
      </c>
      <c r="T171" s="463">
        <f>labcap_calc!I510</f>
        <v>5.5902278999999999E-2</v>
      </c>
      <c r="U171" s="463">
        <f>labcap_calc!I521</f>
        <v>6.4093831000000004E-2</v>
      </c>
      <c r="V171" s="463">
        <f>labcap_calc!I532</f>
        <v>8.9128079999999998E-2</v>
      </c>
      <c r="W171" s="463">
        <f>labcap_calc!I543</f>
        <v>5.0639217000000007E-2</v>
      </c>
      <c r="X171" s="463">
        <f>labcap_calc!I554</f>
        <v>8.4286530999999998E-2</v>
      </c>
      <c r="Y171" s="463">
        <f>labcap_calc!I565</f>
        <v>2.0578020000000001E-3</v>
      </c>
      <c r="Z171" s="463">
        <f>labcap_calc!I576</f>
        <v>1.0235101E-2</v>
      </c>
      <c r="AA171" s="463">
        <f>labcap_calc!I587</f>
        <v>1.6892697000000002E-2</v>
      </c>
      <c r="AB171" s="245">
        <f>labcap_calc!I169</f>
        <v>1.5503091021983701E-2</v>
      </c>
      <c r="AC171" s="245">
        <f>labcap_calc!I180</f>
        <v>2.3482538335767543E-2</v>
      </c>
      <c r="AD171" s="245">
        <f>labcap_calc!I191</f>
        <v>2.7328429457678854E-2</v>
      </c>
      <c r="AE171" s="227">
        <f>labcap_calc!I202</f>
        <v>6.5998220615631403E-2</v>
      </c>
      <c r="AF171" s="227">
        <f>labcap_calc!I213</f>
        <v>0.10718516514040501</v>
      </c>
      <c r="AG171" s="227">
        <f>labcap_calc!I224</f>
        <v>4.7498404839507138E-2</v>
      </c>
      <c r="AH171" s="227">
        <f>labcap_calc!I235</f>
        <v>3.8107766337768634E-2</v>
      </c>
      <c r="AI171" s="463">
        <f>labcap_calc!I598</f>
        <v>0.11400154100000001</v>
      </c>
      <c r="AJ171" s="463">
        <f>labcap_calc!I609</f>
        <v>4.2992325999999997E-2</v>
      </c>
      <c r="AK171" s="463">
        <f>labcap_calc!I620</f>
        <v>6.5530667000000001E-2</v>
      </c>
      <c r="AL171" s="463">
        <f>labcap_calc!I631</f>
        <v>5.1171195999999995E-2</v>
      </c>
      <c r="AM171" s="463">
        <f>labcap_calc!I642</f>
        <v>0.10264366699999999</v>
      </c>
      <c r="AN171" s="463">
        <f>labcap_calc!I653</f>
        <v>0.11289114699999998</v>
      </c>
      <c r="AO171" s="463">
        <f>labcap_calc!I664</f>
        <v>8.1998634000000001E-2</v>
      </c>
      <c r="AP171" s="227">
        <f>labcap_calc!I246</f>
        <v>8.26046924153198E-2</v>
      </c>
      <c r="AQ171" s="227">
        <f>labcap_calc!I257</f>
        <v>6.6479477136559731E-2</v>
      </c>
      <c r="AR171" s="227">
        <f>labcap_calc!I268</f>
        <v>7.2955416537504689E-2</v>
      </c>
      <c r="AS171" s="227">
        <f>labcap_calc!I279</f>
        <v>8.2686887108493201E-2</v>
      </c>
      <c r="AT171" s="463">
        <f>labcap_calc!I675</f>
        <v>8.6149688000000002E-2</v>
      </c>
      <c r="AU171" s="227">
        <f>opex_concordance!M608</f>
        <v>3.3474090041934301E-2</v>
      </c>
      <c r="AV171" s="227">
        <f>labcap_calc!I301</f>
        <v>4.5474433352917162E-2</v>
      </c>
      <c r="AW171" s="227">
        <f>labcap_calc!I312</f>
        <v>3.7540177216073181E-2</v>
      </c>
      <c r="AX171" s="227">
        <f>labcap_calc!I323</f>
        <v>4.39629180976547E-2</v>
      </c>
      <c r="AY171" s="463">
        <f>labcap_calc!I686</f>
        <v>2.5827023000000001E-2</v>
      </c>
      <c r="AZ171" s="463">
        <f>labcap_calc!I697</f>
        <v>0</v>
      </c>
      <c r="BA171" s="463">
        <f>labcap_calc!I708</f>
        <v>3.8192363999999999E-2</v>
      </c>
      <c r="BB171" s="463">
        <f>labcap_calc!I719</f>
        <v>4.2272791999999997E-2</v>
      </c>
      <c r="BC171" s="463">
        <f>labcap_calc!I730</f>
        <v>4.3280107999999998E-2</v>
      </c>
      <c r="BD171" s="463">
        <f>labcap_calc!I741</f>
        <v>4.3805232999999992E-2</v>
      </c>
      <c r="BE171" s="463">
        <f>labcap_calc!I752</f>
        <v>4.3409030999999994E-2</v>
      </c>
      <c r="BF171" s="463">
        <f>labcap_calc!I763</f>
        <v>0</v>
      </c>
      <c r="BG171" s="463">
        <f>labcap_calc!I774</f>
        <v>1.0083916E-2</v>
      </c>
      <c r="BH171" s="463">
        <f>labcap_calc!I785</f>
        <v>0</v>
      </c>
      <c r="BI171" s="463">
        <f>labcap_calc!I796</f>
        <v>5.2215559000000002E-2</v>
      </c>
      <c r="BJ171" s="463">
        <f>labcap_calc!I807</f>
        <v>7.6825457E-2</v>
      </c>
      <c r="BK171" s="463">
        <f>labcap_calc!I818</f>
        <v>7.1183056999999994E-2</v>
      </c>
      <c r="BL171" s="463">
        <f>labcap_calc!I829</f>
        <v>1.1941482999999999E-2</v>
      </c>
      <c r="BM171" s="463">
        <f>labcap_calc!I840</f>
        <v>6.1417384999999991E-2</v>
      </c>
      <c r="BN171" s="463">
        <f>labcap_calc!I851</f>
        <v>3.5228942999999999E-2</v>
      </c>
      <c r="BO171" s="463">
        <f>labcap_calc!I862</f>
        <v>0.12521452499999999</v>
      </c>
      <c r="BP171" s="245">
        <f>labcap_calc!I147</f>
        <v>4.8740231391436364E-2</v>
      </c>
      <c r="BQ171" s="245">
        <f>labcap_calc!I158</f>
        <v>2.7015801943433899E-2</v>
      </c>
      <c r="BR171" s="463">
        <f>labcap_calc!I873</f>
        <v>6.8433706999999996E-2</v>
      </c>
      <c r="BS171" s="463">
        <f>labcap_calc!I884</f>
        <v>6.9710573999999997E-2</v>
      </c>
      <c r="BT171" s="463">
        <f>labcap_calc!I895</f>
        <v>1.3083419999999998E-2</v>
      </c>
      <c r="BU171" s="463">
        <f>labcap_calc!I906</f>
        <v>0</v>
      </c>
      <c r="BV171" s="464">
        <f>labcap_calc!I4</f>
        <v>5.2417823993075499E-2</v>
      </c>
      <c r="BW171" s="464">
        <f>labcap_calc!I15</f>
        <v>3.0828252094305796E-2</v>
      </c>
      <c r="BX171" s="464">
        <f>labcap_calc!I26</f>
        <v>4.7939934733401399E-2</v>
      </c>
      <c r="BY171" s="464">
        <f>labcap_calc!I37</f>
        <v>3.13883335748023E-2</v>
      </c>
      <c r="BZ171" s="227">
        <f>labcap_calc!I48</f>
        <v>2.1482529954626801E-2</v>
      </c>
      <c r="CA171" s="464">
        <f>labcap_calc!I59</f>
        <v>3.6669761821682301E-2</v>
      </c>
      <c r="CB171" s="464">
        <f>labcap_calc!I70</f>
        <v>1.7948583241348799E-2</v>
      </c>
      <c r="CC171" s="227">
        <f>labcap_calc!I81</f>
        <v>1.6365853074895801E-3</v>
      </c>
      <c r="CD171" s="227">
        <f>labcap_calc!I92</f>
        <v>1.1217699338740899E-2</v>
      </c>
      <c r="CE171" s="227">
        <f>labcap_calc!I103</f>
        <v>1.1217699338741E-2</v>
      </c>
      <c r="CF171" s="464">
        <f>labcap_calc!I114</f>
        <v>1.6318747470693201E-2</v>
      </c>
      <c r="CG171" s="464">
        <f>labcap_calc!I125</f>
        <v>2.1835723980346898E-3</v>
      </c>
      <c r="CH171" s="464">
        <f>labcap_calc!I136</f>
        <v>2.1731966604625301E-4</v>
      </c>
      <c r="CI171" s="464">
        <f>labcap_calc!I917</f>
        <v>3.0746390000000002E-2</v>
      </c>
      <c r="CJ171" s="464">
        <f>labcap_calc!I928</f>
        <v>2.4372887999999999E-2</v>
      </c>
      <c r="CK171" s="464">
        <f>labcap_calc!I939</f>
        <v>2.9148449E-2</v>
      </c>
      <c r="CL171" s="464">
        <f>labcap_calc!I950</f>
        <v>1.0223522000000001E-2</v>
      </c>
      <c r="CM171" s="464">
        <f>labcap_calc!I961</f>
        <v>3.9435600000000001E-2</v>
      </c>
      <c r="CN171" s="464">
        <f>labcap_calc!I972</f>
        <v>0.182927531</v>
      </c>
      <c r="CO171" s="464">
        <f>labcap_calc!I983</f>
        <v>4.3496106E-2</v>
      </c>
      <c r="CP171" s="464">
        <f>labcap_calc!I994</f>
        <v>0.119291235</v>
      </c>
    </row>
    <row r="172" spans="1:94" x14ac:dyDescent="0.25">
      <c r="A172" s="43" t="s">
        <v>375</v>
      </c>
      <c r="B172" s="43">
        <v>6</v>
      </c>
      <c r="C172" s="43" t="s">
        <v>379</v>
      </c>
      <c r="D172" s="463">
        <f>labcap_calc!I335</f>
        <v>3.7616176000000001E-2</v>
      </c>
      <c r="E172" s="463">
        <f>labcap_calc!I346</f>
        <v>3.5656532999999997E-2</v>
      </c>
      <c r="F172" s="463">
        <f>labcap_calc!I357</f>
        <v>3.8810554999999997E-2</v>
      </c>
      <c r="G172" s="463">
        <f>labcap_calc!I368</f>
        <v>4.9808804999999998E-2</v>
      </c>
      <c r="H172" s="463">
        <f>labcap_calc!I379</f>
        <v>1.5923209000000001E-2</v>
      </c>
      <c r="I172" s="463">
        <f>labcap_calc!I390</f>
        <v>4.4156775000000002E-2</v>
      </c>
      <c r="J172" s="463">
        <f>labcap_calc!I401</f>
        <v>5.8707941E-2</v>
      </c>
      <c r="K172" s="463">
        <f>labcap_calc!I412</f>
        <v>1.3055663E-2</v>
      </c>
      <c r="L172" s="463">
        <f>labcap_calc!I423</f>
        <v>5.0123489999999993E-2</v>
      </c>
      <c r="M172" s="463">
        <f>labcap_calc!I434</f>
        <v>4.0126920000000003E-2</v>
      </c>
      <c r="N172" s="463">
        <f>labcap_calc!I445</f>
        <v>3.0698599E-2</v>
      </c>
      <c r="O172" s="463">
        <f>labcap_calc!I456</f>
        <v>3.8896093999999999E-2</v>
      </c>
      <c r="P172" s="463">
        <f>labcap_calc!I467</f>
        <v>7.5192202999999999E-2</v>
      </c>
      <c r="Q172" s="463">
        <f>labcap_calc!I478</f>
        <v>3.5726748000000003E-2</v>
      </c>
      <c r="R172" s="463">
        <f>labcap_calc!I489</f>
        <v>2.0568030000000001E-2</v>
      </c>
      <c r="S172" s="463">
        <f>labcap_calc!I500</f>
        <v>5.1451341999999997E-2</v>
      </c>
      <c r="T172" s="463">
        <f>labcap_calc!I511</f>
        <v>5.8859899E-2</v>
      </c>
      <c r="U172" s="463">
        <f>labcap_calc!I522</f>
        <v>9.0522117999999999E-2</v>
      </c>
      <c r="V172" s="463">
        <f>labcap_calc!I533</f>
        <v>0.12632651</v>
      </c>
      <c r="W172" s="463">
        <f>labcap_calc!I544</f>
        <v>4.6824007000000001E-2</v>
      </c>
      <c r="X172" s="463">
        <f>labcap_calc!I555</f>
        <v>6.5886701000000006E-2</v>
      </c>
      <c r="Y172" s="463">
        <f>labcap_calc!I566</f>
        <v>1.1066133000000001E-2</v>
      </c>
      <c r="Z172" s="463">
        <f>labcap_calc!I577</f>
        <v>2.5041468000000004E-2</v>
      </c>
      <c r="AA172" s="463">
        <f>labcap_calc!I588</f>
        <v>0.237483271</v>
      </c>
      <c r="AB172" s="189">
        <f>labcap_calc!I170</f>
        <v>1.6966862703751199E-2</v>
      </c>
      <c r="AC172" s="189">
        <f>labcap_calc!I181</f>
        <v>2.6370975087125798E-2</v>
      </c>
      <c r="AD172" s="189">
        <f>labcap_calc!I192</f>
        <v>3.3679203038238514E-2</v>
      </c>
      <c r="AE172" s="189">
        <f>labcap_calc!I203</f>
        <v>7.07507608489613E-2</v>
      </c>
      <c r="AF172" s="189">
        <f>labcap_calc!I214</f>
        <v>9.6972910774539706E-2</v>
      </c>
      <c r="AG172" s="189">
        <f>labcap_calc!I225</f>
        <v>2.1667014007606629E-2</v>
      </c>
      <c r="AH172" s="189">
        <f>labcap_calc!I236</f>
        <v>1.7383352342651027E-2</v>
      </c>
      <c r="AI172" s="463">
        <f>labcap_calc!I599</f>
        <v>0.10345973900000001</v>
      </c>
      <c r="AJ172" s="463">
        <f>labcap_calc!I610</f>
        <v>5.0368270999999992E-2</v>
      </c>
      <c r="AK172" s="463">
        <f>labcap_calc!I621</f>
        <v>4.9159138999999998E-2</v>
      </c>
      <c r="AL172" s="463">
        <f>labcap_calc!I632</f>
        <v>7.4897470999999993E-2</v>
      </c>
      <c r="AM172" s="463">
        <f>labcap_calc!I643</f>
        <v>0.15127358299999999</v>
      </c>
      <c r="AN172" s="463">
        <f>labcap_calc!I654</f>
        <v>0.122638104</v>
      </c>
      <c r="AO172" s="463">
        <f>labcap_calc!I665</f>
        <v>9.101611200000001E-2</v>
      </c>
      <c r="AP172" s="189">
        <f>labcap_calc!I247</f>
        <v>8.9656316685048101E-2</v>
      </c>
      <c r="AQ172" s="189">
        <f>labcap_calc!I258</f>
        <v>8.7655792749954095E-2</v>
      </c>
      <c r="AR172" s="189">
        <f>labcap_calc!I269</f>
        <v>7.079920523626064E-2</v>
      </c>
      <c r="AS172" s="189">
        <f>labcap_calc!I280</f>
        <v>8.9832462324537093E-2</v>
      </c>
      <c r="AT172" s="463">
        <f>labcap_calc!I676</f>
        <v>7.9225959999999998E-2</v>
      </c>
      <c r="AU172" s="189">
        <f>opex_concordance!M609</f>
        <v>6.4305291228469799E-2</v>
      </c>
      <c r="AV172" s="239">
        <f>labcap_calc!I302</f>
        <v>0.19869779088507472</v>
      </c>
      <c r="AW172" s="239">
        <f>labcap_calc!I313</f>
        <v>0.15677485804327543</v>
      </c>
      <c r="AX172" s="239">
        <f>labcap_calc!I324</f>
        <v>8.4403785042961199E-2</v>
      </c>
      <c r="AY172" s="463">
        <f>labcap_calc!I687</f>
        <v>4.9937247999999997E-2</v>
      </c>
      <c r="AZ172" s="463">
        <f>labcap_calc!I698</f>
        <v>0</v>
      </c>
      <c r="BA172" s="463">
        <f>labcap_calc!I709</f>
        <v>6.7300267999999996E-2</v>
      </c>
      <c r="BB172" s="463">
        <f>labcap_calc!I720</f>
        <v>7.3316016999999997E-2</v>
      </c>
      <c r="BC172" s="463">
        <f>labcap_calc!I731</f>
        <v>6.8841863000000003E-2</v>
      </c>
      <c r="BD172" s="463">
        <f>labcap_calc!I742</f>
        <v>6.8829944000000004E-2</v>
      </c>
      <c r="BE172" s="463">
        <f>labcap_calc!I753</f>
        <v>4.3962078000000009E-2</v>
      </c>
      <c r="BF172" s="463">
        <f>labcap_calc!I764</f>
        <v>0</v>
      </c>
      <c r="BG172" s="463">
        <f>labcap_calc!I775</f>
        <v>1.2968891999999999E-2</v>
      </c>
      <c r="BH172" s="463">
        <f>labcap_calc!I786</f>
        <v>0</v>
      </c>
      <c r="BI172" s="463">
        <f>labcap_calc!I797</f>
        <v>2.7393292E-2</v>
      </c>
      <c r="BJ172" s="463">
        <f>labcap_calc!I808</f>
        <v>4.4349530999999998E-2</v>
      </c>
      <c r="BK172" s="463">
        <f>labcap_calc!I819</f>
        <v>3.6815788000000002E-2</v>
      </c>
      <c r="BL172" s="463">
        <f>labcap_calc!I830</f>
        <v>5.5330830000000003E-3</v>
      </c>
      <c r="BM172" s="463">
        <f>labcap_calc!I841</f>
        <v>2.9086240999999999E-2</v>
      </c>
      <c r="BN172" s="463">
        <f>labcap_calc!I852</f>
        <v>1.9830510999999999E-2</v>
      </c>
      <c r="BO172" s="463">
        <f>labcap_calc!I863</f>
        <v>5.6598955999999992E-2</v>
      </c>
      <c r="BP172" s="189">
        <f>labcap_calc!I148</f>
        <v>3.8361563177222439E-2</v>
      </c>
      <c r="BQ172" s="189">
        <f>labcap_calc!I159</f>
        <v>2.1263099567854278E-2</v>
      </c>
      <c r="BR172" s="463">
        <f>labcap_calc!I874</f>
        <v>2.0624667999999999E-2</v>
      </c>
      <c r="BS172" s="463">
        <f>labcap_calc!I885</f>
        <v>3.3220697E-2</v>
      </c>
      <c r="BT172" s="463">
        <f>labcap_calc!I896</f>
        <v>3.5045889999999998E-3</v>
      </c>
      <c r="BU172" s="463">
        <f>labcap_calc!I907</f>
        <v>0</v>
      </c>
      <c r="BV172" s="464">
        <f>labcap_calc!I5</f>
        <v>8.5753400470552396E-2</v>
      </c>
      <c r="BW172" s="464">
        <f>labcap_calc!I16</f>
        <v>5.8101751216910899E-2</v>
      </c>
      <c r="BX172" s="464">
        <f>labcap_calc!I27</f>
        <v>0.28665823996199402</v>
      </c>
      <c r="BY172" s="464">
        <f>labcap_calc!I38</f>
        <v>0.40226381012782197</v>
      </c>
      <c r="BZ172" s="239">
        <f>labcap_calc!I49</f>
        <v>0.38432064379752401</v>
      </c>
      <c r="CA172" s="464">
        <f>labcap_calc!I60</f>
        <v>0.42194821526933501</v>
      </c>
      <c r="CB172" s="464">
        <f>labcap_calc!I71</f>
        <v>3.3705098157663899E-2</v>
      </c>
      <c r="CC172" s="239">
        <f>labcap_calc!I82</f>
        <v>5.4764153480878503E-3</v>
      </c>
      <c r="CD172" s="239">
        <f>labcap_calc!I93</f>
        <v>0.46317330193951101</v>
      </c>
      <c r="CE172" s="239">
        <f>labcap_calc!I104</f>
        <v>0.46317330193951201</v>
      </c>
      <c r="CF172" s="464">
        <f>labcap_calc!I115</f>
        <v>0.50434904837405903</v>
      </c>
      <c r="CG172" s="464">
        <f>labcap_calc!I126</f>
        <v>0.70732922475813498</v>
      </c>
      <c r="CH172" s="464">
        <f>labcap_calc!I137</f>
        <v>0.14987762101875901</v>
      </c>
      <c r="CI172" s="464">
        <f>labcap_calc!I918</f>
        <v>0.198982256</v>
      </c>
      <c r="CJ172" s="464">
        <f>labcap_calc!I929</f>
        <v>0.19343668899999999</v>
      </c>
      <c r="CK172" s="464">
        <f>labcap_calc!I940</f>
        <v>0.19427140700000001</v>
      </c>
      <c r="CL172" s="464">
        <f>labcap_calc!I951</f>
        <v>5.5653619999999999E-3</v>
      </c>
      <c r="CM172" s="464">
        <f>labcap_calc!I962</f>
        <v>3.5386885999999999E-2</v>
      </c>
      <c r="CN172" s="464">
        <f>labcap_calc!I973</f>
        <v>0.17053499999999999</v>
      </c>
      <c r="CO172" s="464">
        <f>labcap_calc!I984</f>
        <v>3.1262209999999999E-2</v>
      </c>
      <c r="CP172" s="464">
        <f>labcap_calc!I995</f>
        <v>5.1982584999999998E-2</v>
      </c>
    </row>
    <row r="173" spans="1:94" x14ac:dyDescent="0.25">
      <c r="A173" s="38" t="s">
        <v>376</v>
      </c>
      <c r="B173" s="38">
        <v>7</v>
      </c>
      <c r="C173" s="38" t="s">
        <v>379</v>
      </c>
      <c r="D173" s="188">
        <f>opex_orig!D173</f>
        <v>0</v>
      </c>
      <c r="E173" s="188">
        <f>opex_orig!E173</f>
        <v>0</v>
      </c>
      <c r="F173" s="188">
        <f>opex_orig!F173</f>
        <v>0</v>
      </c>
      <c r="G173" s="188">
        <f>opex_orig!G173</f>
        <v>0</v>
      </c>
      <c r="H173" s="188">
        <f>opex_orig!H173</f>
        <v>0</v>
      </c>
      <c r="I173" s="188">
        <f>opex_orig!I173</f>
        <v>0</v>
      </c>
      <c r="J173" s="188">
        <f>opex_orig!J173</f>
        <v>0</v>
      </c>
      <c r="K173" s="188">
        <f>opex_orig!K173</f>
        <v>0</v>
      </c>
      <c r="L173" s="188">
        <f>opex_orig!L173</f>
        <v>0</v>
      </c>
      <c r="M173" s="188">
        <f>opex_orig!M173</f>
        <v>0</v>
      </c>
      <c r="N173" s="188">
        <f>opex_orig!N173</f>
        <v>0</v>
      </c>
      <c r="O173" s="188">
        <f>opex_orig!O173</f>
        <v>0</v>
      </c>
      <c r="P173" s="188">
        <f>opex_orig!P173</f>
        <v>0</v>
      </c>
      <c r="Q173" s="188">
        <f>opex_orig!Q173</f>
        <v>0</v>
      </c>
      <c r="R173" s="188">
        <f>opex_orig!R173</f>
        <v>0</v>
      </c>
      <c r="S173" s="188">
        <f>opex_orig!S173</f>
        <v>0</v>
      </c>
      <c r="T173" s="188">
        <f>opex_orig!T173</f>
        <v>0</v>
      </c>
      <c r="U173" s="188">
        <f>opex_orig!U173</f>
        <v>0</v>
      </c>
      <c r="V173" s="188">
        <f>opex_orig!V173</f>
        <v>0</v>
      </c>
      <c r="W173" s="188">
        <f>opex_orig!W173</f>
        <v>0</v>
      </c>
      <c r="X173" s="188">
        <f>opex_orig!X173</f>
        <v>0</v>
      </c>
      <c r="Y173" s="188">
        <f>opex_orig!Y173</f>
        <v>0</v>
      </c>
      <c r="Z173" s="188">
        <f>opex_orig!Z173</f>
        <v>0</v>
      </c>
      <c r="AA173" s="188">
        <f>opex_orig!AA173</f>
        <v>0</v>
      </c>
      <c r="AB173" s="188">
        <f>opex_orig!$AB173</f>
        <v>0</v>
      </c>
      <c r="AC173" s="188">
        <f>opex_orig!$AB173</f>
        <v>0</v>
      </c>
      <c r="AD173" s="188">
        <f>opex_orig!$AB173</f>
        <v>0</v>
      </c>
      <c r="AE173" s="188">
        <f>opex_orig!$AC173</f>
        <v>0</v>
      </c>
      <c r="AF173" s="188">
        <f>opex_orig!$AD173</f>
        <v>0</v>
      </c>
      <c r="AG173" s="188">
        <f>opex_orig!$AD173</f>
        <v>0</v>
      </c>
      <c r="AH173" s="188">
        <f>opex_orig!$AD173</f>
        <v>0</v>
      </c>
      <c r="AI173" s="188">
        <f>opex_orig!AE173</f>
        <v>0</v>
      </c>
      <c r="AJ173" s="188">
        <f>opex_orig!AF173</f>
        <v>0</v>
      </c>
      <c r="AK173" s="188">
        <f>opex_orig!AG173</f>
        <v>0</v>
      </c>
      <c r="AL173" s="188">
        <f>opex_orig!AH173</f>
        <v>0</v>
      </c>
      <c r="AM173" s="188">
        <f>opex_orig!AI173</f>
        <v>0</v>
      </c>
      <c r="AN173" s="188">
        <f>opex_orig!AJ173</f>
        <v>0</v>
      </c>
      <c r="AO173" s="188">
        <f>opex_orig!AK173</f>
        <v>0</v>
      </c>
      <c r="AP173" s="188">
        <f>opex_orig!$AL173</f>
        <v>0</v>
      </c>
      <c r="AQ173" s="188">
        <f>opex_orig!$AL173</f>
        <v>0</v>
      </c>
      <c r="AR173" s="188">
        <f>opex_orig!$AL173</f>
        <v>0</v>
      </c>
      <c r="AS173" s="188">
        <f>opex_orig!$AM173</f>
        <v>0</v>
      </c>
      <c r="AT173" s="188">
        <f>opex_orig!AN173</f>
        <v>0</v>
      </c>
      <c r="AU173" s="188">
        <f>opex_orig!$AO173</f>
        <v>0</v>
      </c>
      <c r="AV173" s="188">
        <f>opex_orig!$AO173</f>
        <v>0</v>
      </c>
      <c r="AW173" s="188">
        <f>opex_orig!$AO173</f>
        <v>0</v>
      </c>
      <c r="AX173" s="188">
        <f>opex_orig!$AP173</f>
        <v>0</v>
      </c>
      <c r="AY173" s="188">
        <f>opex_orig!AQ173</f>
        <v>0</v>
      </c>
      <c r="AZ173" s="188">
        <f>opex_orig!AR173</f>
        <v>0</v>
      </c>
      <c r="BA173" s="188">
        <f>opex_orig!AS173</f>
        <v>0</v>
      </c>
      <c r="BB173" s="188">
        <f>opex_orig!AT173</f>
        <v>0</v>
      </c>
      <c r="BC173" s="188">
        <f>opex_orig!AU173</f>
        <v>0</v>
      </c>
      <c r="BD173" s="188">
        <f>opex_orig!AV173</f>
        <v>0</v>
      </c>
      <c r="BE173" s="188">
        <f>opex_orig!AW173</f>
        <v>0</v>
      </c>
      <c r="BF173" s="188">
        <f>opex_orig!AX173</f>
        <v>0</v>
      </c>
      <c r="BG173" s="188">
        <f>opex_orig!AY173</f>
        <v>0</v>
      </c>
      <c r="BH173" s="188">
        <f>opex_orig!AZ173</f>
        <v>0</v>
      </c>
      <c r="BI173" s="188">
        <f>opex_orig!BA173</f>
        <v>0</v>
      </c>
      <c r="BJ173" s="188">
        <f>opex_orig!BB173</f>
        <v>0</v>
      </c>
      <c r="BK173" s="188">
        <f>opex_orig!BC173</f>
        <v>0</v>
      </c>
      <c r="BL173" s="188">
        <f>opex_orig!BD173</f>
        <v>0</v>
      </c>
      <c r="BM173" s="188">
        <f>opex_orig!BE173</f>
        <v>0</v>
      </c>
      <c r="BN173" s="188">
        <f>opex_orig!BF173</f>
        <v>0</v>
      </c>
      <c r="BO173" s="188">
        <f>opex_orig!BG173</f>
        <v>0</v>
      </c>
      <c r="BP173" s="188">
        <f>opex_orig!$BH173</f>
        <v>0</v>
      </c>
      <c r="BQ173" s="188">
        <f>opex_orig!$BH173</f>
        <v>0</v>
      </c>
      <c r="BR173" s="188">
        <f>opex_orig!BI173</f>
        <v>0</v>
      </c>
      <c r="BS173" s="188">
        <f>opex_orig!BJ173</f>
        <v>0</v>
      </c>
      <c r="BT173" s="188">
        <f>opex_orig!BK173</f>
        <v>0</v>
      </c>
      <c r="BU173" s="188">
        <f>opex_orig!BL173</f>
        <v>0</v>
      </c>
      <c r="BV173" s="27">
        <f>opex_orig!BM173</f>
        <v>0</v>
      </c>
      <c r="BW173" s="27">
        <f>opex_orig!BN173</f>
        <v>0</v>
      </c>
      <c r="BX173" s="27">
        <f>opex_orig!BO173</f>
        <v>0</v>
      </c>
      <c r="BY173" s="27">
        <f>opex_orig!BP173</f>
        <v>0</v>
      </c>
      <c r="BZ173" s="27">
        <f>opex_orig!BQ173</f>
        <v>0</v>
      </c>
      <c r="CA173" s="27">
        <f>opex_orig!BR173</f>
        <v>0</v>
      </c>
      <c r="CB173" s="27">
        <f>opex_orig!BS173</f>
        <v>0</v>
      </c>
      <c r="CC173" s="27">
        <f>opex_orig!BT173</f>
        <v>0</v>
      </c>
      <c r="CD173" s="27">
        <f>opex_orig!BU173</f>
        <v>0</v>
      </c>
      <c r="CE173" s="27">
        <f>opex_orig!BV173</f>
        <v>0</v>
      </c>
      <c r="CF173" s="27">
        <f>opex_orig!BW173</f>
        <v>0</v>
      </c>
      <c r="CG173" s="27">
        <f>opex_orig!BX173</f>
        <v>0</v>
      </c>
      <c r="CH173" s="27">
        <f>opex_orig!BY173</f>
        <v>0</v>
      </c>
      <c r="CI173" s="27">
        <f>opex_orig!BZ173</f>
        <v>0</v>
      </c>
      <c r="CJ173" s="27">
        <f>opex_orig!CA173</f>
        <v>0</v>
      </c>
      <c r="CK173" s="27">
        <f>opex_orig!CB173</f>
        <v>0</v>
      </c>
      <c r="CL173" s="27">
        <f>opex_orig!CC173</f>
        <v>0</v>
      </c>
      <c r="CM173" s="27">
        <f>opex_orig!CD173</f>
        <v>0</v>
      </c>
      <c r="CN173" s="27">
        <f>opex_orig!CE173</f>
        <v>0</v>
      </c>
      <c r="CO173" s="27">
        <f>opex_orig!CF173</f>
        <v>0</v>
      </c>
      <c r="CP173" s="27">
        <f>opex_orig!CG173</f>
        <v>0</v>
      </c>
    </row>
    <row r="174" spans="1:94" x14ac:dyDescent="0.25">
      <c r="A174" s="43" t="s">
        <v>377</v>
      </c>
      <c r="B174" s="43">
        <v>8</v>
      </c>
      <c r="C174" s="43" t="s">
        <v>379</v>
      </c>
      <c r="D174" s="188">
        <f>opex_orig!D174</f>
        <v>0</v>
      </c>
      <c r="E174" s="188">
        <f>opex_orig!E174</f>
        <v>0</v>
      </c>
      <c r="F174" s="188">
        <f>opex_orig!F174</f>
        <v>0</v>
      </c>
      <c r="G174" s="188">
        <f>opex_orig!G174</f>
        <v>0</v>
      </c>
      <c r="H174" s="188">
        <f>opex_orig!H174</f>
        <v>0</v>
      </c>
      <c r="I174" s="188">
        <f>opex_orig!I174</f>
        <v>0</v>
      </c>
      <c r="J174" s="188">
        <f>opex_orig!J174</f>
        <v>0</v>
      </c>
      <c r="K174" s="188">
        <f>opex_orig!K174</f>
        <v>0</v>
      </c>
      <c r="L174" s="188">
        <f>opex_orig!L174</f>
        <v>0</v>
      </c>
      <c r="M174" s="188">
        <f>opex_orig!M174</f>
        <v>0</v>
      </c>
      <c r="N174" s="188">
        <f>opex_orig!N174</f>
        <v>0</v>
      </c>
      <c r="O174" s="188">
        <f>opex_orig!O174</f>
        <v>0</v>
      </c>
      <c r="P174" s="188">
        <f>opex_orig!P174</f>
        <v>0</v>
      </c>
      <c r="Q174" s="188">
        <f>opex_orig!Q174</f>
        <v>0</v>
      </c>
      <c r="R174" s="188">
        <f>opex_orig!R174</f>
        <v>0</v>
      </c>
      <c r="S174" s="188">
        <f>opex_orig!S174</f>
        <v>0</v>
      </c>
      <c r="T174" s="188">
        <f>opex_orig!T174</f>
        <v>0</v>
      </c>
      <c r="U174" s="188">
        <f>opex_orig!U174</f>
        <v>0</v>
      </c>
      <c r="V174" s="188">
        <f>opex_orig!V174</f>
        <v>0</v>
      </c>
      <c r="W174" s="188">
        <f>opex_orig!W174</f>
        <v>0</v>
      </c>
      <c r="X174" s="188">
        <f>opex_orig!X174</f>
        <v>0</v>
      </c>
      <c r="Y174" s="188">
        <f>opex_orig!Y174</f>
        <v>0</v>
      </c>
      <c r="Z174" s="188">
        <f>opex_orig!Z174</f>
        <v>0</v>
      </c>
      <c r="AA174" s="188">
        <f>opex_orig!AA174</f>
        <v>0</v>
      </c>
      <c r="AB174" s="188">
        <f>opex_orig!$AB174</f>
        <v>0</v>
      </c>
      <c r="AC174" s="188">
        <f>opex_orig!$AB174</f>
        <v>0</v>
      </c>
      <c r="AD174" s="188">
        <f>opex_orig!$AB174</f>
        <v>0</v>
      </c>
      <c r="AE174" s="188">
        <f>opex_orig!$AC174</f>
        <v>0</v>
      </c>
      <c r="AF174" s="188">
        <f>opex_orig!$AD174</f>
        <v>0</v>
      </c>
      <c r="AG174" s="188">
        <f>opex_orig!$AD174</f>
        <v>0</v>
      </c>
      <c r="AH174" s="188">
        <f>opex_orig!$AD174</f>
        <v>0</v>
      </c>
      <c r="AI174" s="188">
        <f>opex_orig!AE174</f>
        <v>0</v>
      </c>
      <c r="AJ174" s="188">
        <f>opex_orig!AF174</f>
        <v>0</v>
      </c>
      <c r="AK174" s="188">
        <f>opex_orig!AG174</f>
        <v>0</v>
      </c>
      <c r="AL174" s="188">
        <f>opex_orig!AH174</f>
        <v>0</v>
      </c>
      <c r="AM174" s="188">
        <f>opex_orig!AI174</f>
        <v>0</v>
      </c>
      <c r="AN174" s="188">
        <f>opex_orig!AJ174</f>
        <v>0</v>
      </c>
      <c r="AO174" s="188">
        <f>opex_orig!AK174</f>
        <v>0</v>
      </c>
      <c r="AP174" s="188">
        <f>opex_orig!$AL174</f>
        <v>0</v>
      </c>
      <c r="AQ174" s="188">
        <f>opex_orig!$AL174</f>
        <v>0</v>
      </c>
      <c r="AR174" s="188">
        <f>opex_orig!$AL174</f>
        <v>0</v>
      </c>
      <c r="AS174" s="188">
        <f>opex_orig!$AM174</f>
        <v>0</v>
      </c>
      <c r="AT174" s="188">
        <f>opex_orig!AN174</f>
        <v>0</v>
      </c>
      <c r="AU174" s="188">
        <f>opex_orig!$AO174</f>
        <v>0</v>
      </c>
      <c r="AV174" s="188">
        <f>opex_orig!$AO174</f>
        <v>0</v>
      </c>
      <c r="AW174" s="188">
        <f>opex_orig!$AO174</f>
        <v>0</v>
      </c>
      <c r="AX174" s="188">
        <f>opex_orig!$AP174</f>
        <v>0</v>
      </c>
      <c r="AY174" s="188">
        <f>opex_orig!AQ174</f>
        <v>0</v>
      </c>
      <c r="AZ174" s="188">
        <f>opex_orig!AR174</f>
        <v>0</v>
      </c>
      <c r="BA174" s="188">
        <f>opex_orig!AS174</f>
        <v>0</v>
      </c>
      <c r="BB174" s="188">
        <f>opex_orig!AT174</f>
        <v>0</v>
      </c>
      <c r="BC174" s="188">
        <f>opex_orig!AU174</f>
        <v>0</v>
      </c>
      <c r="BD174" s="188">
        <f>opex_orig!AV174</f>
        <v>0</v>
      </c>
      <c r="BE174" s="188">
        <f>opex_orig!AW174</f>
        <v>0</v>
      </c>
      <c r="BF174" s="188">
        <f>opex_orig!AX174</f>
        <v>0</v>
      </c>
      <c r="BG174" s="188">
        <f>opex_orig!AY174</f>
        <v>0</v>
      </c>
      <c r="BH174" s="188">
        <f>opex_orig!AZ174</f>
        <v>0</v>
      </c>
      <c r="BI174" s="188">
        <f>opex_orig!BA174</f>
        <v>0</v>
      </c>
      <c r="BJ174" s="188">
        <f>opex_orig!BB174</f>
        <v>0</v>
      </c>
      <c r="BK174" s="188">
        <f>opex_orig!BC174</f>
        <v>0</v>
      </c>
      <c r="BL174" s="188">
        <f>opex_orig!BD174</f>
        <v>0</v>
      </c>
      <c r="BM174" s="188">
        <f>opex_orig!BE174</f>
        <v>0</v>
      </c>
      <c r="BN174" s="188">
        <f>opex_orig!BF174</f>
        <v>0</v>
      </c>
      <c r="BO174" s="188">
        <f>opex_orig!BG174</f>
        <v>0</v>
      </c>
      <c r="BP174" s="188">
        <f>opex_orig!$BH174</f>
        <v>0</v>
      </c>
      <c r="BQ174" s="188">
        <f>opex_orig!$BH174</f>
        <v>0</v>
      </c>
      <c r="BR174" s="188">
        <f>opex_orig!BI174</f>
        <v>0</v>
      </c>
      <c r="BS174" s="188">
        <f>opex_orig!BJ174</f>
        <v>0</v>
      </c>
      <c r="BT174" s="188">
        <f>opex_orig!BK174</f>
        <v>0</v>
      </c>
      <c r="BU174" s="188">
        <f>opex_orig!BL174</f>
        <v>0</v>
      </c>
      <c r="BV174" s="27">
        <f>opex_orig!BM174</f>
        <v>0</v>
      </c>
      <c r="BW174" s="27">
        <f>opex_orig!BN174</f>
        <v>0</v>
      </c>
      <c r="BX174" s="27">
        <f>opex_orig!BO174</f>
        <v>0</v>
      </c>
      <c r="BY174" s="27">
        <f>opex_orig!BP174</f>
        <v>0</v>
      </c>
      <c r="BZ174" s="27">
        <f>opex_orig!BQ174</f>
        <v>0</v>
      </c>
      <c r="CA174" s="27">
        <f>opex_orig!BR174</f>
        <v>0</v>
      </c>
      <c r="CB174" s="27">
        <f>opex_orig!BS174</f>
        <v>0</v>
      </c>
      <c r="CC174" s="27">
        <f>opex_orig!BT174</f>
        <v>0</v>
      </c>
      <c r="CD174" s="27">
        <f>opex_orig!BU174</f>
        <v>0</v>
      </c>
      <c r="CE174" s="27">
        <f>opex_orig!BV174</f>
        <v>0</v>
      </c>
      <c r="CF174" s="27">
        <f>opex_orig!BW174</f>
        <v>0</v>
      </c>
      <c r="CG174" s="27">
        <f>opex_orig!BX174</f>
        <v>0</v>
      </c>
      <c r="CH174" s="27">
        <f>opex_orig!BY174</f>
        <v>0</v>
      </c>
      <c r="CI174" s="27">
        <f>opex_orig!BZ174</f>
        <v>0</v>
      </c>
      <c r="CJ174" s="27">
        <f>opex_orig!CA174</f>
        <v>0</v>
      </c>
      <c r="CK174" s="27">
        <f>opex_orig!CB174</f>
        <v>0</v>
      </c>
      <c r="CL174" s="27">
        <f>opex_orig!CC174</f>
        <v>0</v>
      </c>
      <c r="CM174" s="27">
        <f>opex_orig!CD174</f>
        <v>0</v>
      </c>
      <c r="CN174" s="27">
        <f>opex_orig!CE174</f>
        <v>0</v>
      </c>
      <c r="CO174" s="27">
        <f>opex_orig!CF174</f>
        <v>0</v>
      </c>
      <c r="CP174" s="27">
        <f>opex_orig!CG174</f>
        <v>0</v>
      </c>
    </row>
    <row r="175" spans="1:94" x14ac:dyDescent="0.25">
      <c r="A175" s="43" t="s">
        <v>378</v>
      </c>
      <c r="B175" s="43">
        <v>9</v>
      </c>
      <c r="C175" s="43" t="s">
        <v>379</v>
      </c>
      <c r="D175" s="188">
        <f>opex_orig!D175</f>
        <v>3.0952513000000001E-2</v>
      </c>
      <c r="E175" s="188">
        <f>opex_orig!E175</f>
        <v>5.0094341000000001E-2</v>
      </c>
      <c r="F175" s="188">
        <f>opex_orig!F175</f>
        <v>0.38141762899999998</v>
      </c>
      <c r="G175" s="188">
        <f>opex_orig!G175</f>
        <v>0.83545048799999999</v>
      </c>
      <c r="H175" s="188">
        <f>opex_orig!H175</f>
        <v>1.0747684E-2</v>
      </c>
      <c r="I175" s="188">
        <f>opex_orig!I175</f>
        <v>2.5513395000000001E-2</v>
      </c>
      <c r="J175" s="188">
        <f>opex_orig!J175</f>
        <v>5.2844174000000001E-2</v>
      </c>
      <c r="K175" s="188">
        <f>opex_orig!K175</f>
        <v>7.2142815999999998E-2</v>
      </c>
      <c r="L175" s="188">
        <f>opex_orig!L175</f>
        <v>2.7349254E-2</v>
      </c>
      <c r="M175" s="188">
        <f>opex_orig!M175</f>
        <v>3.2233487999999998E-2</v>
      </c>
      <c r="N175" s="188">
        <f>opex_orig!N175</f>
        <v>1.6662318999999998E-2</v>
      </c>
      <c r="O175" s="188">
        <f>opex_orig!O175</f>
        <v>0.13487027200000001</v>
      </c>
      <c r="P175" s="188">
        <f>opex_orig!P175</f>
        <v>5.4126549000000003E-2</v>
      </c>
      <c r="Q175" s="188">
        <f>opex_orig!Q175</f>
        <v>6.0455898000000001E-2</v>
      </c>
      <c r="R175" s="188">
        <f>opex_orig!R175</f>
        <v>3.1493156000000001E-2</v>
      </c>
      <c r="S175" s="188">
        <f>opex_orig!S175</f>
        <v>8.9304930000000005E-2</v>
      </c>
      <c r="T175" s="188">
        <f>opex_orig!T175</f>
        <v>0.102393532</v>
      </c>
      <c r="U175" s="188">
        <f>opex_orig!U175</f>
        <v>3.8400761999999998E-2</v>
      </c>
      <c r="V175" s="188">
        <f>opex_orig!V175</f>
        <v>5.3421637000000001E-2</v>
      </c>
      <c r="W175" s="188">
        <f>opex_orig!W175</f>
        <v>3.0294115999999999E-2</v>
      </c>
      <c r="X175" s="188">
        <f>opex_orig!X175</f>
        <v>0.11061180900000001</v>
      </c>
      <c r="Y175" s="188">
        <f>opex_orig!Y175</f>
        <v>-3.8496114999999997E-2</v>
      </c>
      <c r="Z175" s="188">
        <f>opex_orig!Z175</f>
        <v>-9.9263460000000008E-3</v>
      </c>
      <c r="AA175" s="188">
        <f>opex_orig!AA175</f>
        <v>-2.1740316999999999E-2</v>
      </c>
      <c r="AB175" s="188">
        <f>opex_orig!$AB175</f>
        <v>1.5677574550000201E-2</v>
      </c>
      <c r="AC175" s="188">
        <f>opex_orig!$AB175</f>
        <v>1.5677574550000201E-2</v>
      </c>
      <c r="AD175" s="188">
        <f>opex_orig!$AB175</f>
        <v>1.5677574550000201E-2</v>
      </c>
      <c r="AE175" s="188">
        <f>opex_orig!$AC175</f>
        <v>6.5654605634915E-2</v>
      </c>
      <c r="AF175" s="188">
        <f>opex_orig!$AD175</f>
        <v>0.16308611079326399</v>
      </c>
      <c r="AG175" s="188">
        <f>opex_orig!$AD175</f>
        <v>0.16308611079326399</v>
      </c>
      <c r="AH175" s="188">
        <f>opex_orig!$AD175</f>
        <v>0.16308611079326399</v>
      </c>
      <c r="AI175" s="188">
        <f>opex_orig!AE175</f>
        <v>0.173500398</v>
      </c>
      <c r="AJ175" s="188">
        <f>opex_orig!AF175</f>
        <v>6.8790061E-2</v>
      </c>
      <c r="AK175" s="188">
        <f>opex_orig!AG175</f>
        <v>0.14811727199999999</v>
      </c>
      <c r="AL175" s="188">
        <f>opex_orig!AH175</f>
        <v>6.3215387999999997E-2</v>
      </c>
      <c r="AM175" s="188">
        <f>opex_orig!AI175</f>
        <v>0.12758918499999999</v>
      </c>
      <c r="AN175" s="188">
        <f>opex_orig!AJ175</f>
        <v>4.7831307000000003E-2</v>
      </c>
      <c r="AO175" s="188">
        <f>opex_orig!AK175</f>
        <v>5.4951398999999998E-2</v>
      </c>
      <c r="AP175" s="188">
        <f>opex_orig!$AL175</f>
        <v>6.36384671503607E-2</v>
      </c>
      <c r="AQ175" s="188">
        <f>opex_orig!$AL175</f>
        <v>6.36384671503607E-2</v>
      </c>
      <c r="AR175" s="188">
        <f>opex_orig!$AL175</f>
        <v>6.36384671503607E-2</v>
      </c>
      <c r="AS175" s="188">
        <f>opex_orig!$AM175</f>
        <v>6.3690313630891102E-2</v>
      </c>
      <c r="AT175" s="188">
        <f>opex_orig!AN175</f>
        <v>9.2028012000000006E-2</v>
      </c>
      <c r="AU175" s="188">
        <f>opex_orig!$AO175</f>
        <v>2.64411298464235E-3</v>
      </c>
      <c r="AV175" s="188">
        <f>opex_orig!$AO175</f>
        <v>2.64411298464235E-3</v>
      </c>
      <c r="AW175" s="188">
        <f>opex_orig!$AO175</f>
        <v>2.64411298464235E-3</v>
      </c>
      <c r="AX175" s="188">
        <f>opex_orig!$AP175</f>
        <v>3.4945324240890901E-3</v>
      </c>
      <c r="AY175" s="188">
        <f>opex_orig!AQ175</f>
        <v>7.9759399999999999E-4</v>
      </c>
      <c r="AZ175" s="188">
        <f>opex_orig!AR175</f>
        <v>0</v>
      </c>
      <c r="BA175" s="188">
        <f>opex_orig!AS175</f>
        <v>1.8598600000000001E-3</v>
      </c>
      <c r="BB175" s="188">
        <f>opex_orig!AT175</f>
        <v>2.1140210000000002E-3</v>
      </c>
      <c r="BC175" s="188">
        <f>opex_orig!AU175</f>
        <v>6.1204200000000003E-4</v>
      </c>
      <c r="BD175" s="188">
        <f>opex_orig!AV175</f>
        <v>5.7530600000000004E-4</v>
      </c>
      <c r="BE175" s="188">
        <f>opex_orig!AW175</f>
        <v>1.2907439999999999E-3</v>
      </c>
      <c r="BF175" s="188">
        <f>opex_orig!AX175</f>
        <v>0</v>
      </c>
      <c r="BG175" s="188">
        <f>opex_orig!AY175</f>
        <v>2.5342600000000001E-4</v>
      </c>
      <c r="BH175" s="188">
        <f>opex_orig!AZ175</f>
        <v>0</v>
      </c>
      <c r="BI175" s="188">
        <f>opex_orig!BA175</f>
        <v>3.1777999999999998E-4</v>
      </c>
      <c r="BJ175" s="188">
        <f>opex_orig!BB175</f>
        <v>9.3027401999999995E-2</v>
      </c>
      <c r="BK175" s="188">
        <f>opex_orig!BC175</f>
        <v>7.6691798000000005E-2</v>
      </c>
      <c r="BL175" s="188">
        <f>opex_orig!BD175</f>
        <v>1.372912E-3</v>
      </c>
      <c r="BM175" s="188">
        <f>opex_orig!BE175</f>
        <v>7.7889587999999996E-2</v>
      </c>
      <c r="BN175" s="188">
        <f>opex_orig!BF175</f>
        <v>2.9870790000000001E-2</v>
      </c>
      <c r="BO175" s="188">
        <f>opex_orig!BG175</f>
        <v>0.13532033199999999</v>
      </c>
      <c r="BP175" s="189">
        <f>opex_concordance!M115</f>
        <v>8.5293908050613348E-2</v>
      </c>
      <c r="BQ175" s="189">
        <f>opex_concordance!M158</f>
        <v>7.3121487331764143E-2</v>
      </c>
      <c r="BR175" s="188">
        <f>opex_orig!BI175</f>
        <v>0.15978751199999999</v>
      </c>
      <c r="BS175" s="188">
        <f>opex_orig!BJ175</f>
        <v>0.12379754699999999</v>
      </c>
      <c r="BT175" s="188">
        <f>opex_orig!BK175</f>
        <v>0.119477341</v>
      </c>
      <c r="BU175" s="188">
        <f>opex_orig!BL175</f>
        <v>0</v>
      </c>
      <c r="BV175" s="27">
        <f>opex_orig!BM175</f>
        <v>0.14009712470071001</v>
      </c>
      <c r="BW175" s="27">
        <f>opex_orig!BN175</f>
        <v>0.234836223813777</v>
      </c>
      <c r="BX175" s="27">
        <f>opex_orig!BO175</f>
        <v>0.488338162635226</v>
      </c>
      <c r="BY175" s="27">
        <f>opex_orig!BP175</f>
        <v>0.32230837156694397</v>
      </c>
      <c r="BZ175" s="27">
        <f>opex_orig!BQ175</f>
        <v>0.31460392943249899</v>
      </c>
      <c r="CA175" s="27">
        <f>opex_orig!BR175</f>
        <v>0.297465391113024</v>
      </c>
      <c r="CB175" s="27">
        <f>opex_orig!BS175</f>
        <v>0.13662292856663799</v>
      </c>
      <c r="CC175" s="27">
        <f>opex_orig!BT175</f>
        <v>2.1511488365284302E-2</v>
      </c>
      <c r="CD175" s="27">
        <f>opex_orig!BU175</f>
        <v>0.333059271095485</v>
      </c>
      <c r="CE175" s="27">
        <f>opex_orig!BV175</f>
        <v>0.333059271095486</v>
      </c>
      <c r="CF175" s="27">
        <f>opex_orig!BW175</f>
        <v>6.2830168609727594E-2</v>
      </c>
      <c r="CG175" s="27">
        <f>opex_orig!BX175</f>
        <v>3.7523160432135299E-3</v>
      </c>
      <c r="CH175" s="27">
        <f>opex_orig!BY175</f>
        <v>1.75365994254091E-3</v>
      </c>
      <c r="CI175" s="27">
        <f>opex_orig!BZ175</f>
        <v>0.40122091700000001</v>
      </c>
      <c r="CJ175" s="27">
        <f>opex_orig!CA175</f>
        <v>0.35421503700000001</v>
      </c>
      <c r="CK175" s="27">
        <f>opex_orig!CB175</f>
        <v>0.37755069699999999</v>
      </c>
      <c r="CL175" s="27">
        <f>opex_orig!CC175</f>
        <v>9.7344134999999998E-2</v>
      </c>
      <c r="CM175" s="27">
        <f>opex_orig!CD175</f>
        <v>0.24967217899999999</v>
      </c>
      <c r="CN175" s="27">
        <f>opex_orig!CE175</f>
        <v>8.7914087000000002E-2</v>
      </c>
      <c r="CO175" s="27">
        <f>opex_orig!CF175</f>
        <v>0.13882391199999999</v>
      </c>
      <c r="CP175" s="27">
        <f>opex_orig!CG175</f>
        <v>0.50646185499999996</v>
      </c>
    </row>
    <row r="176" spans="1:94" x14ac:dyDescent="0.25">
      <c r="A176" s="4" t="s">
        <v>1068</v>
      </c>
      <c r="B176" s="355">
        <v>10</v>
      </c>
      <c r="C176" s="1" t="s">
        <v>1074</v>
      </c>
      <c r="D176" s="462">
        <f>labcap_calc!H337</f>
        <v>2.24971E-4</v>
      </c>
      <c r="E176" s="462">
        <f>labcap_calc!H348</f>
        <v>4.2425299999999998E-4</v>
      </c>
      <c r="F176" s="462">
        <f>labcap_calc!H359</f>
        <v>1.34623E-4</v>
      </c>
      <c r="G176" s="462">
        <f>labcap_calc!H370</f>
        <v>4.7599999999999998E-5</v>
      </c>
      <c r="H176" s="462">
        <f>labcap_calc!H381</f>
        <v>1.74989E-3</v>
      </c>
      <c r="I176" s="462">
        <f>labcap_calc!H392</f>
        <v>2.3518000000000001E-4</v>
      </c>
      <c r="J176" s="462">
        <f>labcap_calc!H403</f>
        <v>3.1128500000000001E-4</v>
      </c>
      <c r="K176" s="462">
        <f>labcap_calc!H414</f>
        <v>8.7381299999999998E-4</v>
      </c>
      <c r="L176" s="462">
        <f>labcap_calc!H425</f>
        <v>2.4361900000000001E-4</v>
      </c>
      <c r="M176" s="462">
        <f>labcap_calc!H436</f>
        <v>2.8376200000000001E-4</v>
      </c>
      <c r="N176" s="462">
        <f>labcap_calc!H447</f>
        <v>1.7470800000000001E-4</v>
      </c>
      <c r="O176" s="462">
        <f>labcap_calc!H458</f>
        <v>1.62285E-4</v>
      </c>
      <c r="P176" s="462">
        <f>labcap_calc!H469</f>
        <v>2.5577100000000001E-4</v>
      </c>
      <c r="Q176" s="462">
        <f>labcap_calc!H480</f>
        <v>8.42E-5</v>
      </c>
      <c r="R176" s="462">
        <f>labcap_calc!H491</f>
        <v>1.81015E-4</v>
      </c>
      <c r="S176" s="462">
        <f>labcap_calc!H502</f>
        <v>6.7826500000000005E-4</v>
      </c>
      <c r="T176" s="462">
        <f>labcap_calc!H513</f>
        <v>7.6338700000000003E-4</v>
      </c>
      <c r="U176" s="462">
        <f>labcap_calc!H524</f>
        <v>2.8463099999999998E-4</v>
      </c>
      <c r="V176" s="462">
        <f>labcap_calc!H535</f>
        <v>3.1583499999999999E-4</v>
      </c>
      <c r="W176" s="462">
        <f>labcap_calc!H546</f>
        <v>1.7173500000000001E-4</v>
      </c>
      <c r="X176" s="462">
        <f>labcap_calc!H557</f>
        <v>2.2904300000000001E-4</v>
      </c>
      <c r="Y176" s="462">
        <f>labcap_calc!H568</f>
        <v>7.9200000000000004E-6</v>
      </c>
      <c r="Z176" s="462">
        <f>labcap_calc!H579</f>
        <v>4.57E-5</v>
      </c>
      <c r="AA176" s="462">
        <f>labcap_calc!H590</f>
        <v>7.6000000000000004E-5</v>
      </c>
      <c r="AB176" s="370">
        <f>labcap_calc!H172</f>
        <v>6.8416599191246001E-3</v>
      </c>
      <c r="AC176" s="370">
        <f>labcap_calc!H183</f>
        <v>6.8416599191246001E-3</v>
      </c>
      <c r="AD176" s="370">
        <f>labcap_calc!H194</f>
        <v>6.8416599191246001E-3</v>
      </c>
      <c r="AE176" s="370">
        <f>labcap_calc!H205</f>
        <v>6.1579544640138796E-3</v>
      </c>
      <c r="AF176" s="370">
        <f>labcap_calc!H216</f>
        <v>4.1257682955284103E-4</v>
      </c>
      <c r="AG176" s="370">
        <f>labcap_calc!H227</f>
        <v>4.1257682955284103E-4</v>
      </c>
      <c r="AH176" s="370">
        <f>labcap_calc!H238</f>
        <v>4.1257682955284103E-4</v>
      </c>
      <c r="AI176" s="462">
        <f>labcap_calc!H601</f>
        <v>3.1991799999999998E-4</v>
      </c>
      <c r="AJ176" s="462">
        <f>labcap_calc!H612</f>
        <v>2.18443E-4</v>
      </c>
      <c r="AK176" s="462">
        <f>labcap_calc!H623</f>
        <v>2.5620299999999999E-4</v>
      </c>
      <c r="AL176" s="462">
        <f>labcap_calc!H634</f>
        <v>2.5954100000000001E-4</v>
      </c>
      <c r="AM176" s="462">
        <f>labcap_calc!H645</f>
        <v>5.2824100000000004E-4</v>
      </c>
      <c r="AN176" s="462">
        <f>labcap_calc!H656</f>
        <v>5.72088E-4</v>
      </c>
      <c r="AO176" s="462">
        <f>labcap_calc!H667</f>
        <v>4.2356300000000001E-4</v>
      </c>
      <c r="AP176" s="370">
        <f>labcap_calc!H249</f>
        <v>7.1718872118275499E-5</v>
      </c>
      <c r="AQ176" s="370">
        <f>labcap_calc!H260</f>
        <v>7.1718872118275499E-5</v>
      </c>
      <c r="AR176" s="370">
        <f>labcap_calc!H271</f>
        <v>7.1718872118275499E-5</v>
      </c>
      <c r="AS176" s="370">
        <f>labcap_calc!H282</f>
        <v>7.1669195021667605E-5</v>
      </c>
      <c r="AT176" s="462">
        <f>labcap_calc!H678</f>
        <v>4.2540900000000002E-4</v>
      </c>
      <c r="AU176" s="370">
        <f>labcap_calc!H293</f>
        <v>3.7828056299533898E-4</v>
      </c>
      <c r="AV176" s="370">
        <f>labcap_calc!H304</f>
        <v>3.7828056299533898E-4</v>
      </c>
      <c r="AW176" s="370">
        <f>labcap_calc!H315</f>
        <v>3.7828056299533898E-4</v>
      </c>
      <c r="AX176" s="370">
        <f>labcap_calc!H326</f>
        <v>3.6992528865454802E-4</v>
      </c>
      <c r="AY176" s="462">
        <f>labcap_calc!H689</f>
        <v>1.74974E-4</v>
      </c>
      <c r="AZ176" s="462">
        <f>labcap_calc!H700</f>
        <v>0</v>
      </c>
      <c r="BA176" s="462">
        <f>labcap_calc!H711</f>
        <v>2.5293400000000001E-4</v>
      </c>
      <c r="BB176" s="462">
        <f>labcap_calc!H722</f>
        <v>2.7838400000000001E-4</v>
      </c>
      <c r="BC176" s="462">
        <f>labcap_calc!H733</f>
        <v>3.0676400000000001E-4</v>
      </c>
      <c r="BD176" s="462">
        <f>labcap_calc!H744</f>
        <v>3.2168000000000002E-4</v>
      </c>
      <c r="BE176" s="462">
        <f>labcap_calc!H755</f>
        <v>3.2230399999999998E-4</v>
      </c>
      <c r="BF176" s="462">
        <f>labcap_calc!H766</f>
        <v>0</v>
      </c>
      <c r="BG176" s="462">
        <f>labcap_calc!H777</f>
        <v>8.6199999999999995E-5</v>
      </c>
      <c r="BH176" s="462">
        <f>labcap_calc!H788</f>
        <v>0</v>
      </c>
      <c r="BI176" s="462">
        <f>labcap_calc!H799</f>
        <v>3.1230400000000001E-4</v>
      </c>
      <c r="BJ176" s="462">
        <f>labcap_calc!H810</f>
        <v>5.7002699999999997E-4</v>
      </c>
      <c r="BK176" s="462">
        <f>labcap_calc!H821</f>
        <v>3.1975599999999998E-4</v>
      </c>
      <c r="BL176" s="462">
        <f>labcap_calc!H832</f>
        <v>3.8000000000000002E-5</v>
      </c>
      <c r="BM176" s="462">
        <f>labcap_calc!H843</f>
        <v>2.10041E-4</v>
      </c>
      <c r="BN176" s="462">
        <f>labcap_calc!H854</f>
        <v>7.8100000000000001E-5</v>
      </c>
      <c r="BO176" s="462">
        <f>labcap_calc!H865</f>
        <v>1.9252399999999999E-4</v>
      </c>
      <c r="BP176" s="370">
        <f>labcap_calc!H150</f>
        <v>2.5293746933511603E-4</v>
      </c>
      <c r="BQ176" s="370">
        <f>labcap_calc!H161</f>
        <v>2.5293746933511603E-4</v>
      </c>
      <c r="BR176" s="462">
        <f>labcap_calc!H876</f>
        <v>3.9806900000000003E-4</v>
      </c>
      <c r="BS176" s="462">
        <f>labcap_calc!H887</f>
        <v>7.5515700000000001E-4</v>
      </c>
      <c r="BT176" s="462">
        <f>labcap_calc!H898</f>
        <v>0</v>
      </c>
      <c r="BU176" s="462">
        <f>labcap_calc!H909</f>
        <v>0</v>
      </c>
      <c r="BV176" s="465">
        <f>labcap_calc!H7</f>
        <v>1.09064739834762E-5</v>
      </c>
      <c r="BW176" s="465">
        <f>labcap_calc!H18</f>
        <v>3.8646043258471297E-5</v>
      </c>
      <c r="BX176" s="465">
        <f>labcap_calc!H29</f>
        <v>3.7989642375837803E-5</v>
      </c>
      <c r="BY176" s="465">
        <f>labcap_calc!H40</f>
        <v>5.2306425062487002E-5</v>
      </c>
      <c r="BZ176" s="371">
        <f>labcap_calc!H51</f>
        <v>1.05097939659807E-4</v>
      </c>
      <c r="CA176" s="465">
        <f>labcap_calc!H62</f>
        <v>4.6494514553130002E-5</v>
      </c>
      <c r="CB176" s="465">
        <f>labcap_calc!H73</f>
        <v>6.01060058776879E-5</v>
      </c>
      <c r="CC176" s="371">
        <f>labcap_calc!H84</f>
        <v>1.5514070429880201E-5</v>
      </c>
      <c r="CD176" s="371">
        <f>labcap_calc!H95</f>
        <v>3.6046753502252601E-4</v>
      </c>
      <c r="CE176" s="371">
        <f>labcap_calc!H106</f>
        <v>7.6413469267740401E-4</v>
      </c>
      <c r="CF176" s="465">
        <f>labcap_calc!H117</f>
        <v>5.5357603499048801E-4</v>
      </c>
      <c r="CG176" s="465">
        <f>labcap_calc!H128</f>
        <v>2.8602382327974901E-5</v>
      </c>
      <c r="CH176" s="465">
        <f>labcap_calc!H139</f>
        <v>1.2676225041033401E-5</v>
      </c>
      <c r="CI176" s="465">
        <f>labcap_calc!H920</f>
        <v>5.5300000000000002E-5</v>
      </c>
      <c r="CJ176" s="465">
        <f>labcap_calc!H931</f>
        <v>2.9499999999999999E-5</v>
      </c>
      <c r="CK176" s="465">
        <f>labcap_calc!H942</f>
        <v>3.3599999999999997E-5</v>
      </c>
      <c r="CL176" s="465">
        <f>labcap_calc!H953</f>
        <v>1.2999999999999999E-5</v>
      </c>
      <c r="CM176" s="465">
        <f>labcap_calc!H964</f>
        <v>5.5999999999999999E-5</v>
      </c>
      <c r="CN176" s="465">
        <f>labcap_calc!H975</f>
        <v>3.8949200000000002E-4</v>
      </c>
      <c r="CO176" s="465">
        <f>labcap_calc!H986</f>
        <v>6.1071499999999996E-4</v>
      </c>
      <c r="CP176" s="465">
        <f>labcap_calc!H997</f>
        <v>1.8959599999999999E-3</v>
      </c>
    </row>
    <row r="177" spans="1:94" x14ac:dyDescent="0.25">
      <c r="A177" s="4" t="s">
        <v>1069</v>
      </c>
      <c r="B177" s="355">
        <v>11</v>
      </c>
      <c r="C177" s="1" t="s">
        <v>1074</v>
      </c>
      <c r="D177" s="462">
        <f>labcap_calc!H338</f>
        <v>5.5937300000000005E-4</v>
      </c>
      <c r="E177" s="462">
        <f>labcap_calc!H349</f>
        <v>1.0394309999999999E-3</v>
      </c>
      <c r="F177" s="462">
        <f>labcap_calc!H360</f>
        <v>3.35574E-4</v>
      </c>
      <c r="G177" s="462">
        <f>labcap_calc!H371</f>
        <v>1.17427E-4</v>
      </c>
      <c r="H177" s="462">
        <f>labcap_calc!H382</f>
        <v>4.1021779999999997E-3</v>
      </c>
      <c r="I177" s="462">
        <f>labcap_calc!H393</f>
        <v>5.7457500000000002E-4</v>
      </c>
      <c r="J177" s="462">
        <f>labcap_calc!H404</f>
        <v>7.79705E-4</v>
      </c>
      <c r="K177" s="462">
        <f>labcap_calc!H415</f>
        <v>2.1074000000000002E-3</v>
      </c>
      <c r="L177" s="462">
        <f>labcap_calc!H426</f>
        <v>6.0053999999999999E-4</v>
      </c>
      <c r="M177" s="462">
        <f>labcap_calc!H437</f>
        <v>6.9913500000000003E-4</v>
      </c>
      <c r="N177" s="462">
        <f>labcap_calc!H448</f>
        <v>4.25139E-4</v>
      </c>
      <c r="O177" s="462">
        <f>labcap_calc!H459</f>
        <v>1.19431E-4</v>
      </c>
      <c r="P177" s="462">
        <f>labcap_calc!H470</f>
        <v>1.363036E-3</v>
      </c>
      <c r="Q177" s="462">
        <f>labcap_calc!H481</f>
        <v>1.9075419999999999E-3</v>
      </c>
      <c r="R177" s="462">
        <f>labcap_calc!H492</f>
        <v>1.0254960000000001E-3</v>
      </c>
      <c r="S177" s="462">
        <f>labcap_calc!H503</f>
        <v>4.4411899999999998E-4</v>
      </c>
      <c r="T177" s="462">
        <f>labcap_calc!H514</f>
        <v>5.7106400000000003E-4</v>
      </c>
      <c r="U177" s="462">
        <f>labcap_calc!H525</f>
        <v>5.2905599999999997E-4</v>
      </c>
      <c r="V177" s="462">
        <f>labcap_calc!H536</f>
        <v>6.64407E-4</v>
      </c>
      <c r="W177" s="462">
        <f>labcap_calc!H547</f>
        <v>3.58938E-4</v>
      </c>
      <c r="X177" s="462">
        <f>labcap_calc!H558</f>
        <v>3.6380100000000002E-4</v>
      </c>
      <c r="Y177" s="462">
        <f>labcap_calc!H569</f>
        <v>6.9399999999999996E-6</v>
      </c>
      <c r="Z177" s="462">
        <f>labcap_calc!H580</f>
        <v>4.6999999999999997E-5</v>
      </c>
      <c r="AA177" s="462">
        <f>labcap_calc!H591</f>
        <v>9.1700000000000006E-5</v>
      </c>
      <c r="AB177" s="370">
        <f>labcap_calc!H173</f>
        <v>9.8085617875942298E-3</v>
      </c>
      <c r="AC177" s="370">
        <f>labcap_calc!H184</f>
        <v>9.8085617875942298E-3</v>
      </c>
      <c r="AD177" s="370">
        <f>labcap_calc!H195</f>
        <v>9.8085617875942298E-3</v>
      </c>
      <c r="AE177" s="370">
        <f>labcap_calc!H206</f>
        <v>7.8664415809781493E-3</v>
      </c>
      <c r="AF177" s="370">
        <f>labcap_calc!H217</f>
        <v>4.48445981606745E-4</v>
      </c>
      <c r="AG177" s="370">
        <f>labcap_calc!H228</f>
        <v>4.48445981606745E-4</v>
      </c>
      <c r="AH177" s="370">
        <f>labcap_calc!H239</f>
        <v>4.48445981606745E-4</v>
      </c>
      <c r="AI177" s="462">
        <f>labcap_calc!H602</f>
        <v>3.88203E-4</v>
      </c>
      <c r="AJ177" s="462">
        <f>labcap_calc!H613</f>
        <v>2.3055999999999999E-4</v>
      </c>
      <c r="AK177" s="462">
        <f>labcap_calc!H624</f>
        <v>4.1430299999999998E-4</v>
      </c>
      <c r="AL177" s="462">
        <f>labcap_calc!H635</f>
        <v>3.6569499999999997E-4</v>
      </c>
      <c r="AM177" s="462">
        <f>labcap_calc!H646</f>
        <v>6.8440199999999997E-4</v>
      </c>
      <c r="AN177" s="462">
        <f>labcap_calc!H657</f>
        <v>7.5883799999999996E-4</v>
      </c>
      <c r="AO177" s="462">
        <f>labcap_calc!H668</f>
        <v>5.7047499999999998E-4</v>
      </c>
      <c r="AP177" s="370">
        <f>labcap_calc!H250</f>
        <v>9.0901649153739202E-5</v>
      </c>
      <c r="AQ177" s="370">
        <f>labcap_calc!H261</f>
        <v>9.0901649153739202E-5</v>
      </c>
      <c r="AR177" s="370">
        <f>labcap_calc!H272</f>
        <v>9.0901649153739202E-5</v>
      </c>
      <c r="AS177" s="370">
        <f>labcap_calc!H283</f>
        <v>9.1140223274622706E-5</v>
      </c>
      <c r="AT177" s="462">
        <f>labcap_calc!H679</f>
        <v>5.5480099999999995E-4</v>
      </c>
      <c r="AU177" s="370">
        <f>labcap_calc!H294</f>
        <v>1.87585185778832E-4</v>
      </c>
      <c r="AV177" s="370">
        <f>labcap_calc!H305</f>
        <v>1.87585185778832E-4</v>
      </c>
      <c r="AW177" s="370">
        <f>labcap_calc!H316</f>
        <v>1.87585185778832E-4</v>
      </c>
      <c r="AX177" s="370">
        <f>labcap_calc!H327</f>
        <v>1.8749408035536599E-4</v>
      </c>
      <c r="AY177" s="462">
        <f>labcap_calc!H690</f>
        <v>8.6600000000000004E-5</v>
      </c>
      <c r="AZ177" s="462">
        <f>labcap_calc!H701</f>
        <v>0</v>
      </c>
      <c r="BA177" s="462">
        <f>labcap_calc!H712</f>
        <v>1.09497E-4</v>
      </c>
      <c r="BB177" s="462">
        <f>labcap_calc!H723</f>
        <v>1.2326500000000001E-4</v>
      </c>
      <c r="BC177" s="462">
        <f>labcap_calc!H734</f>
        <v>1.7140999999999999E-4</v>
      </c>
      <c r="BD177" s="462">
        <f>labcap_calc!H745</f>
        <v>1.7818399999999999E-4</v>
      </c>
      <c r="BE177" s="462">
        <f>labcap_calc!H756</f>
        <v>1.4368000000000001E-4</v>
      </c>
      <c r="BF177" s="462">
        <f>labcap_calc!H767</f>
        <v>0</v>
      </c>
      <c r="BG177" s="462">
        <f>labcap_calc!H778</f>
        <v>3.8399999999999998E-5</v>
      </c>
      <c r="BH177" s="462">
        <f>labcap_calc!H789</f>
        <v>0</v>
      </c>
      <c r="BI177" s="462">
        <f>labcap_calc!H800</f>
        <v>1.65367E-4</v>
      </c>
      <c r="BJ177" s="462">
        <f>labcap_calc!H811</f>
        <v>3.66984E-4</v>
      </c>
      <c r="BK177" s="462">
        <f>labcap_calc!H822</f>
        <v>2.9456099999999999E-4</v>
      </c>
      <c r="BL177" s="462">
        <f>labcap_calc!H833</f>
        <v>3.9700000000000003E-5</v>
      </c>
      <c r="BM177" s="462">
        <f>labcap_calc!H844</f>
        <v>5.5149099999999998E-4</v>
      </c>
      <c r="BN177" s="462">
        <f>labcap_calc!H855</f>
        <v>1.9477700000000001E-4</v>
      </c>
      <c r="BO177" s="462">
        <f>labcap_calc!H866</f>
        <v>5.9715500000000004E-4</v>
      </c>
      <c r="BP177" s="370">
        <f>labcap_calc!H151</f>
        <v>3.1909017360691E-4</v>
      </c>
      <c r="BQ177" s="370">
        <f>labcap_calc!H162</f>
        <v>3.1909017360691E-4</v>
      </c>
      <c r="BR177" s="462">
        <f>labcap_calc!H877</f>
        <v>2.41325E-4</v>
      </c>
      <c r="BS177" s="462">
        <f>labcap_calc!H888</f>
        <v>1.276964E-3</v>
      </c>
      <c r="BT177" s="462">
        <f>labcap_calc!H899</f>
        <v>8.2183799999999997E-4</v>
      </c>
      <c r="BU177" s="462">
        <f>labcap_calc!H910</f>
        <v>0</v>
      </c>
      <c r="BV177" s="465">
        <f>labcap_calc!H8</f>
        <v>8.1944936609517401E-6</v>
      </c>
      <c r="BW177" s="465">
        <f>labcap_calc!H19</f>
        <v>2.85557154164066E-5</v>
      </c>
      <c r="BX177" s="465">
        <f>labcap_calc!H30</f>
        <v>2.3830632020232299E-5</v>
      </c>
      <c r="BY177" s="465">
        <f>labcap_calc!H41</f>
        <v>3.6351536901749403E-5</v>
      </c>
      <c r="BZ177" s="371">
        <f>labcap_calc!H52</f>
        <v>6.1607513435438E-5</v>
      </c>
      <c r="CA177" s="465">
        <f>labcap_calc!H63</f>
        <v>4.53995004570547E-5</v>
      </c>
      <c r="CB177" s="465">
        <f>labcap_calc!H74</f>
        <v>3.6960879786593897E-5</v>
      </c>
      <c r="CC177" s="371">
        <f>labcap_calc!H85</f>
        <v>3.8799494899978897E-6</v>
      </c>
      <c r="CD177" s="371">
        <f>labcap_calc!H96</f>
        <v>2.15541775499495E-4</v>
      </c>
      <c r="CE177" s="371">
        <f>labcap_calc!H107</f>
        <v>4.5691479087057503E-4</v>
      </c>
      <c r="CF177" s="465">
        <f>labcap_calc!H118</f>
        <v>1.8759257268544899E-4</v>
      </c>
      <c r="CG177" s="465">
        <f>labcap_calc!H129</f>
        <v>1.12857991940804E-5</v>
      </c>
      <c r="CH177" s="465">
        <f>labcap_calc!H140</f>
        <v>3.1702262217660201E-6</v>
      </c>
      <c r="CI177" s="465">
        <f>labcap_calc!H921</f>
        <v>3.7400000000000001E-5</v>
      </c>
      <c r="CJ177" s="465">
        <f>labcap_calc!H932</f>
        <v>2.1100000000000001E-5</v>
      </c>
      <c r="CK177" s="465">
        <f>labcap_calc!H943</f>
        <v>2.3900000000000002E-5</v>
      </c>
      <c r="CL177" s="465">
        <f>labcap_calc!H954</f>
        <v>7.1600000000000001E-6</v>
      </c>
      <c r="CM177" s="465">
        <f>labcap_calc!H965</f>
        <v>4.1399999999999997E-5</v>
      </c>
      <c r="CN177" s="465">
        <f>labcap_calc!H976</f>
        <v>3.5002299999999998E-4</v>
      </c>
      <c r="CO177" s="465">
        <f>labcap_calc!H987</f>
        <v>5.0800000000000002E-5</v>
      </c>
      <c r="CP177" s="465">
        <f>labcap_calc!H998</f>
        <v>1.19193E-4</v>
      </c>
    </row>
    <row r="178" spans="1:94" x14ac:dyDescent="0.25">
      <c r="A178" s="4" t="s">
        <v>1070</v>
      </c>
      <c r="B178" s="355">
        <v>12</v>
      </c>
      <c r="C178" s="1" t="s">
        <v>1074</v>
      </c>
      <c r="D178" s="462">
        <f>labcap_calc!H339</f>
        <v>2.6849040000000001E-3</v>
      </c>
      <c r="E178" s="462">
        <f>labcap_calc!H350</f>
        <v>5.1695990000000004E-3</v>
      </c>
      <c r="F178" s="462">
        <f>labcap_calc!H361</f>
        <v>1.6166329999999999E-3</v>
      </c>
      <c r="G178" s="462">
        <f>labcap_calc!H372</f>
        <v>5.8073300000000005E-4</v>
      </c>
      <c r="H178" s="462">
        <f>labcap_calc!H383</f>
        <v>2.1631851000000001E-2</v>
      </c>
      <c r="I178" s="462">
        <f>labcap_calc!H394</f>
        <v>2.8567140000000002E-3</v>
      </c>
      <c r="J178" s="462">
        <f>labcap_calc!H405</f>
        <v>3.7916640000000001E-3</v>
      </c>
      <c r="K178" s="462">
        <f>labcap_calc!H416</f>
        <v>1.0625005999999999E-2</v>
      </c>
      <c r="L178" s="462">
        <f>labcap_calc!H427</f>
        <v>2.9234980000000001E-3</v>
      </c>
      <c r="M178" s="462">
        <f>labcap_calc!H438</f>
        <v>3.5103809999999999E-3</v>
      </c>
      <c r="N178" s="462">
        <f>labcap_calc!H449</f>
        <v>2.0935989999999998E-3</v>
      </c>
      <c r="O178" s="462">
        <f>labcap_calc!H460</f>
        <v>1.9616220000000001E-3</v>
      </c>
      <c r="P178" s="462">
        <f>labcap_calc!H471</f>
        <v>3.2244959999999999E-3</v>
      </c>
      <c r="Q178" s="462">
        <f>labcap_calc!H482</f>
        <v>9.9462800000000001E-4</v>
      </c>
      <c r="R178" s="462">
        <f>labcap_calc!H493</f>
        <v>2.138849E-3</v>
      </c>
      <c r="S178" s="462">
        <f>labcap_calc!H504</f>
        <v>8.2828099999999998E-3</v>
      </c>
      <c r="T178" s="462">
        <f>labcap_calc!H515</f>
        <v>9.5295699999999994E-3</v>
      </c>
      <c r="U178" s="462">
        <f>labcap_calc!H526</f>
        <v>2.582913E-3</v>
      </c>
      <c r="V178" s="462">
        <f>labcap_calc!H537</f>
        <v>4.0505360000000004E-3</v>
      </c>
      <c r="W178" s="462">
        <f>labcap_calc!H548</f>
        <v>2.156243E-3</v>
      </c>
      <c r="X178" s="462">
        <f>labcap_calc!H559</f>
        <v>2.7879100000000002E-3</v>
      </c>
      <c r="Y178" s="462">
        <f>labcap_calc!H570</f>
        <v>9.3599999999999998E-5</v>
      </c>
      <c r="Z178" s="462">
        <f>labcap_calc!H581</f>
        <v>4.8871400000000001E-4</v>
      </c>
      <c r="AA178" s="462">
        <f>labcap_calc!H592</f>
        <v>9.1006300000000002E-4</v>
      </c>
      <c r="AB178" s="370">
        <f>labcap_calc!H174</f>
        <v>7.28309686749712E-2</v>
      </c>
      <c r="AC178" s="370">
        <f>labcap_calc!H185</f>
        <v>7.28309686749712E-2</v>
      </c>
      <c r="AD178" s="370">
        <f>labcap_calc!H196</f>
        <v>7.28309686749712E-2</v>
      </c>
      <c r="AE178" s="370">
        <f>labcap_calc!H207</f>
        <v>7.61937727976396E-2</v>
      </c>
      <c r="AF178" s="370">
        <f>labcap_calc!H218</f>
        <v>4.0669188983245399E-3</v>
      </c>
      <c r="AG178" s="370">
        <f>labcap_calc!H229</f>
        <v>4.0669188983245399E-3</v>
      </c>
      <c r="AH178" s="370">
        <f>labcap_calc!H240</f>
        <v>4.0669188983245399E-3</v>
      </c>
      <c r="AI178" s="462">
        <f>labcap_calc!H603</f>
        <v>3.599554E-3</v>
      </c>
      <c r="AJ178" s="462">
        <f>labcap_calc!H614</f>
        <v>2.1639839999999999E-3</v>
      </c>
      <c r="AK178" s="462">
        <f>labcap_calc!H625</f>
        <v>3.2673250000000002E-3</v>
      </c>
      <c r="AL178" s="462">
        <f>labcap_calc!H636</f>
        <v>3.3294850000000001E-3</v>
      </c>
      <c r="AM178" s="462">
        <f>labcap_calc!H647</f>
        <v>6.5338449999999999E-3</v>
      </c>
      <c r="AN178" s="462">
        <f>labcap_calc!H658</f>
        <v>7.1711559999999997E-3</v>
      </c>
      <c r="AO178" s="462">
        <f>labcap_calc!H669</f>
        <v>5.3220949999999998E-3</v>
      </c>
      <c r="AP178" s="370">
        <f>labcap_calc!H251</f>
        <v>8.8546909302365698E-4</v>
      </c>
      <c r="AQ178" s="370">
        <f>labcap_calc!H262</f>
        <v>8.8546909302365698E-4</v>
      </c>
      <c r="AR178" s="370">
        <f>labcap_calc!H273</f>
        <v>8.8546909302365698E-4</v>
      </c>
      <c r="AS178" s="370">
        <f>labcap_calc!H284</f>
        <v>8.8621226144005704E-4</v>
      </c>
      <c r="AT178" s="462">
        <f>labcap_calc!H680</f>
        <v>5.2865380000000003E-3</v>
      </c>
      <c r="AU178" s="370">
        <f>labcap_calc!H295</f>
        <v>4.5776163923563502E-3</v>
      </c>
      <c r="AV178" s="370">
        <f>labcap_calc!H306</f>
        <v>4.5776163923563502E-3</v>
      </c>
      <c r="AW178" s="370">
        <f>labcap_calc!H317</f>
        <v>4.5776163923563502E-3</v>
      </c>
      <c r="AX178" s="370">
        <f>labcap_calc!H328</f>
        <v>4.5800303616456498E-3</v>
      </c>
      <c r="AY178" s="462">
        <f>labcap_calc!H691</f>
        <v>2.11283E-3</v>
      </c>
      <c r="AZ178" s="462">
        <f>labcap_calc!H702</f>
        <v>0</v>
      </c>
      <c r="BA178" s="462">
        <f>labcap_calc!H713</f>
        <v>3.0944079999999999E-3</v>
      </c>
      <c r="BB178" s="462">
        <f>labcap_calc!H724</f>
        <v>3.4226460000000001E-3</v>
      </c>
      <c r="BC178" s="462">
        <f>labcap_calc!H735</f>
        <v>3.9594139999999996E-3</v>
      </c>
      <c r="BD178" s="462">
        <f>labcap_calc!H746</f>
        <v>4.1133589999999996E-3</v>
      </c>
      <c r="BE178" s="462">
        <f>labcap_calc!H757</f>
        <v>2.8758719999999998E-3</v>
      </c>
      <c r="BF178" s="462">
        <f>labcap_calc!H768</f>
        <v>0</v>
      </c>
      <c r="BG178" s="462">
        <f>labcap_calc!H779</f>
        <v>9.1906099999999999E-4</v>
      </c>
      <c r="BH178" s="462">
        <f>labcap_calc!H790</f>
        <v>0</v>
      </c>
      <c r="BI178" s="462">
        <f>labcap_calc!H801</f>
        <v>3.8608929999999998E-3</v>
      </c>
      <c r="BJ178" s="462">
        <f>labcap_calc!H812</f>
        <v>7.0771999999999996E-3</v>
      </c>
      <c r="BK178" s="462">
        <f>labcap_calc!H823</f>
        <v>4.1411039999999996E-3</v>
      </c>
      <c r="BL178" s="462">
        <f>labcap_calc!H834</f>
        <v>4.4878000000000002E-4</v>
      </c>
      <c r="BM178" s="462">
        <f>labcap_calc!H845</f>
        <v>2.658793E-3</v>
      </c>
      <c r="BN178" s="462">
        <f>labcap_calc!H856</f>
        <v>9.23276E-4</v>
      </c>
      <c r="BO178" s="462">
        <f>labcap_calc!H867</f>
        <v>2.3678010000000001E-3</v>
      </c>
      <c r="BP178" s="370">
        <f>labcap_calc!H152</f>
        <v>2.9886681459578802E-3</v>
      </c>
      <c r="BQ178" s="370">
        <f>labcap_calc!H163</f>
        <v>2.9886681459578802E-3</v>
      </c>
      <c r="BR178" s="462">
        <f>labcap_calc!H878</f>
        <v>5.0583779999999997E-3</v>
      </c>
      <c r="BS178" s="462">
        <f>labcap_calc!H889</f>
        <v>9.5319930000000008E-3</v>
      </c>
      <c r="BT178" s="462">
        <f>labcap_calc!H900</f>
        <v>0</v>
      </c>
      <c r="BU178" s="462">
        <f>labcap_calc!H911</f>
        <v>0</v>
      </c>
      <c r="BV178" s="465">
        <f>labcap_calc!H9</f>
        <v>1.96875649561672E-4</v>
      </c>
      <c r="BW178" s="465">
        <f>labcap_calc!H20</f>
        <v>6.8492247646510795E-4</v>
      </c>
      <c r="BX178" s="465">
        <f>labcap_calc!H31</f>
        <v>5.3736973256998395E-4</v>
      </c>
      <c r="BY178" s="465">
        <f>labcap_calc!H42</f>
        <v>7.4883184065273702E-4</v>
      </c>
      <c r="BZ178" s="371">
        <f>labcap_calc!H53</f>
        <v>1.6583048993306299E-3</v>
      </c>
      <c r="CA178" s="465">
        <f>labcap_calc!H64</f>
        <v>7.1639687399868495E-4</v>
      </c>
      <c r="CB178" s="465">
        <f>labcap_calc!H75</f>
        <v>9.838404119987031E-4</v>
      </c>
      <c r="CC178" s="371">
        <f>labcap_calc!H86</f>
        <v>2.4853510024365E-4</v>
      </c>
      <c r="CD178" s="371">
        <f>labcap_calc!H97</f>
        <v>5.9002843890480798E-3</v>
      </c>
      <c r="CE178" s="371">
        <f>labcap_calc!H108</f>
        <v>1.25076783906568E-2</v>
      </c>
      <c r="CF178" s="465">
        <f>labcap_calc!H119</f>
        <v>5.0316107466097304E-3</v>
      </c>
      <c r="CG178" s="465">
        <f>labcap_calc!H130</f>
        <v>3.8426678866586099E-4</v>
      </c>
      <c r="CH178" s="465">
        <f>labcap_calc!H141</f>
        <v>2.5859499083645098E-4</v>
      </c>
      <c r="CI178" s="465">
        <f>labcap_calc!H922</f>
        <v>8.31039E-4</v>
      </c>
      <c r="CJ178" s="465">
        <f>labcap_calc!H933</f>
        <v>4.3680800000000001E-4</v>
      </c>
      <c r="CK178" s="465">
        <f>labcap_calc!H944</f>
        <v>4.8725500000000002E-4</v>
      </c>
      <c r="CL178" s="465">
        <f>labcap_calc!H955</f>
        <v>2.04859E-4</v>
      </c>
      <c r="CM178" s="465">
        <f>labcap_calc!H966</f>
        <v>1.1015879999999999E-3</v>
      </c>
      <c r="CN178" s="465">
        <f>labcap_calc!H977</f>
        <v>6.4790819999999997E-3</v>
      </c>
      <c r="CO178" s="465">
        <f>labcap_calc!H988</f>
        <v>9.599659E-3</v>
      </c>
      <c r="CP178" s="465">
        <f>labcap_calc!H999</f>
        <v>3.0386661999999998E-2</v>
      </c>
    </row>
    <row r="179" spans="1:94" x14ac:dyDescent="0.25">
      <c r="A179" s="4" t="s">
        <v>1071</v>
      </c>
      <c r="B179" s="355">
        <v>13</v>
      </c>
      <c r="C179" s="1" t="s">
        <v>1074</v>
      </c>
      <c r="D179" s="462">
        <f>labcap_calc!H340</f>
        <v>2.3544210000000002E-3</v>
      </c>
      <c r="E179" s="462">
        <f>labcap_calc!H351</f>
        <v>4.4390239999999997E-3</v>
      </c>
      <c r="F179" s="462">
        <f>labcap_calc!H362</f>
        <v>1.4185129999999999E-3</v>
      </c>
      <c r="G179" s="462">
        <f>labcap_calc!H373</f>
        <v>5.06913E-4</v>
      </c>
      <c r="H179" s="462">
        <f>labcap_calc!H384</f>
        <v>1.8070194000000001E-2</v>
      </c>
      <c r="I179" s="462">
        <f>labcap_calc!H395</f>
        <v>2.4838009999999999E-3</v>
      </c>
      <c r="J179" s="462">
        <f>labcap_calc!H406</f>
        <v>3.311596E-3</v>
      </c>
      <c r="K179" s="462">
        <f>labcap_calc!H417</f>
        <v>8.9668809999999995E-3</v>
      </c>
      <c r="L179" s="462">
        <f>labcap_calc!H428</f>
        <v>2.5549349999999999E-3</v>
      </c>
      <c r="M179" s="462">
        <f>labcap_calc!H439</f>
        <v>3.0376399999999999E-3</v>
      </c>
      <c r="N179" s="462">
        <f>labcap_calc!H450</f>
        <v>1.817817E-3</v>
      </c>
      <c r="O179" s="462">
        <f>labcap_calc!H461</f>
        <v>5.2594000000000002E-4</v>
      </c>
      <c r="P179" s="462">
        <f>labcap_calc!H472</f>
        <v>5.6798869999999998E-3</v>
      </c>
      <c r="Q179" s="462">
        <f>labcap_calc!H483</f>
        <v>7.9488920000000008E-3</v>
      </c>
      <c r="R179" s="462">
        <f>labcap_calc!H494</f>
        <v>4.2733279999999998E-3</v>
      </c>
      <c r="S179" s="462">
        <f>labcap_calc!H505</f>
        <v>1.599411E-3</v>
      </c>
      <c r="T179" s="462">
        <f>labcap_calc!H516</f>
        <v>1.841978E-3</v>
      </c>
      <c r="U179" s="462">
        <f>labcap_calc!H527</f>
        <v>1.8681380000000001E-3</v>
      </c>
      <c r="V179" s="462">
        <f>labcap_calc!H538</f>
        <v>2.930818E-3</v>
      </c>
      <c r="W179" s="462">
        <f>labcap_calc!H549</f>
        <v>1.5852189999999999E-3</v>
      </c>
      <c r="X179" s="462">
        <f>labcap_calc!H560</f>
        <v>1.4242580000000001E-3</v>
      </c>
      <c r="Y179" s="462">
        <f>labcap_calc!H571</f>
        <v>2.9499999999999999E-5</v>
      </c>
      <c r="Z179" s="462">
        <f>labcap_calc!H582</f>
        <v>1.9583900000000001E-4</v>
      </c>
      <c r="AA179" s="462">
        <f>labcap_calc!H593</f>
        <v>3.8828300000000001E-4</v>
      </c>
      <c r="AB179" s="370">
        <f>labcap_calc!H175</f>
        <v>4.08731148861965E-2</v>
      </c>
      <c r="AC179" s="370">
        <f>labcap_calc!H186</f>
        <v>4.08731148861965E-2</v>
      </c>
      <c r="AD179" s="370">
        <f>labcap_calc!H197</f>
        <v>4.08731148861965E-2</v>
      </c>
      <c r="AE179" s="370">
        <f>labcap_calc!H208</f>
        <v>3.5082533233366103E-2</v>
      </c>
      <c r="AF179" s="370">
        <f>labcap_calc!H219</f>
        <v>1.9559406591141801E-3</v>
      </c>
      <c r="AG179" s="370">
        <f>labcap_calc!H230</f>
        <v>1.9559406591141801E-3</v>
      </c>
      <c r="AH179" s="370">
        <f>labcap_calc!H241</f>
        <v>1.9559406591141801E-3</v>
      </c>
      <c r="AI179" s="462">
        <f>labcap_calc!H604</f>
        <v>1.6843489999999999E-3</v>
      </c>
      <c r="AJ179" s="462">
        <f>labcap_calc!H615</f>
        <v>1.014692E-3</v>
      </c>
      <c r="AK179" s="462">
        <f>labcap_calc!H626</f>
        <v>1.5177669999999999E-3</v>
      </c>
      <c r="AL179" s="462">
        <f>labcap_calc!H637</f>
        <v>1.5238820000000001E-3</v>
      </c>
      <c r="AM179" s="462">
        <f>labcap_calc!H648</f>
        <v>2.8519610000000001E-3</v>
      </c>
      <c r="AN179" s="462">
        <f>labcap_calc!H659</f>
        <v>3.1621430000000001E-3</v>
      </c>
      <c r="AO179" s="462">
        <f>labcap_calc!H670</f>
        <v>2.377218E-3</v>
      </c>
      <c r="AP179" s="370">
        <f>labcap_calc!H252</f>
        <v>3.7879493749067798E-4</v>
      </c>
      <c r="AQ179" s="370">
        <f>labcap_calc!H263</f>
        <v>3.7879493749067798E-4</v>
      </c>
      <c r="AR179" s="370">
        <f>labcap_calc!H274</f>
        <v>3.7879493749067798E-4</v>
      </c>
      <c r="AS179" s="370">
        <f>labcap_calc!H285</f>
        <v>3.7978909623347898E-4</v>
      </c>
      <c r="AT179" s="462">
        <f>labcap_calc!H681</f>
        <v>2.3119019999999998E-3</v>
      </c>
      <c r="AU179" s="370">
        <f>labcap_calc!H296</f>
        <v>7.0564123959574203E-4</v>
      </c>
      <c r="AV179" s="370">
        <f>labcap_calc!H307</f>
        <v>7.0564123959574203E-4</v>
      </c>
      <c r="AW179" s="370">
        <f>labcap_calc!H318</f>
        <v>7.0564123959574203E-4</v>
      </c>
      <c r="AX179" s="370">
        <f>labcap_calc!H329</f>
        <v>6.4224919278275797E-4</v>
      </c>
      <c r="AY179" s="462">
        <f>labcap_calc!H692</f>
        <v>3.6100200000000002E-4</v>
      </c>
      <c r="AZ179" s="462">
        <f>labcap_calc!H703</f>
        <v>0</v>
      </c>
      <c r="BA179" s="462">
        <f>labcap_calc!H714</f>
        <v>3.9955500000000001E-4</v>
      </c>
      <c r="BB179" s="462">
        <f>labcap_calc!H725</f>
        <v>4.29474E-4</v>
      </c>
      <c r="BC179" s="462">
        <f>labcap_calc!H736</f>
        <v>7.1427999999999997E-4</v>
      </c>
      <c r="BD179" s="462">
        <f>labcap_calc!H747</f>
        <v>7.42507E-4</v>
      </c>
      <c r="BE179" s="462">
        <f>labcap_calc!H758</f>
        <v>5.9872600000000005E-4</v>
      </c>
      <c r="BF179" s="462">
        <f>labcap_calc!H769</f>
        <v>0</v>
      </c>
      <c r="BG179" s="462">
        <f>labcap_calc!H780</f>
        <v>1.6020300000000001E-4</v>
      </c>
      <c r="BH179" s="462">
        <f>labcap_calc!H791</f>
        <v>0</v>
      </c>
      <c r="BI179" s="462">
        <f>labcap_calc!H802</f>
        <v>6.8909899999999998E-4</v>
      </c>
      <c r="BJ179" s="462">
        <f>labcap_calc!H813</f>
        <v>1.5867920000000001E-3</v>
      </c>
      <c r="BK179" s="462">
        <f>labcap_calc!H824</f>
        <v>1.1073260000000001E-3</v>
      </c>
      <c r="BL179" s="462">
        <f>labcap_calc!H835</f>
        <v>1.65534E-4</v>
      </c>
      <c r="BM179" s="462">
        <f>labcap_calc!H846</f>
        <v>1.937214E-3</v>
      </c>
      <c r="BN179" s="462">
        <f>labcap_calc!H857</f>
        <v>8.1165299999999996E-4</v>
      </c>
      <c r="BO179" s="462">
        <f>labcap_calc!H868</f>
        <v>1.8824320000000001E-3</v>
      </c>
      <c r="BP179" s="370">
        <f>labcap_calc!H153</f>
        <v>1.32967601237896E-3</v>
      </c>
      <c r="BQ179" s="370">
        <f>labcap_calc!H164</f>
        <v>1.32967601237896E-3</v>
      </c>
      <c r="BR179" s="462">
        <f>labcap_calc!H879</f>
        <v>1.0056240000000001E-3</v>
      </c>
      <c r="BS179" s="462">
        <f>labcap_calc!H890</f>
        <v>5.6360569999999999E-3</v>
      </c>
      <c r="BT179" s="462">
        <f>labcap_calc!H901</f>
        <v>3.4246699999999999E-3</v>
      </c>
      <c r="BU179" s="462">
        <f>labcap_calc!H912</f>
        <v>0</v>
      </c>
      <c r="BV179" s="465">
        <f>labcap_calc!H10</f>
        <v>1.92811615551389E-5</v>
      </c>
      <c r="BW179" s="465">
        <f>labcap_calc!H21</f>
        <v>6.7189918626761895E-5</v>
      </c>
      <c r="BX179" s="465">
        <f>labcap_calc!H32</f>
        <v>5.6072075341723103E-5</v>
      </c>
      <c r="BY179" s="465">
        <f>labcap_calc!H43</f>
        <v>8.5533028003629305E-5</v>
      </c>
      <c r="BZ179" s="371">
        <f>labcap_calc!H54</f>
        <v>1.4495885514186901E-4</v>
      </c>
      <c r="CA179" s="465">
        <f>labcap_calc!H65</f>
        <v>2.4376822780900501E-4</v>
      </c>
      <c r="CB179" s="465">
        <f>labcap_calc!H76</f>
        <v>8.6966775968509995E-5</v>
      </c>
      <c r="CC179" s="371">
        <f>labcap_calc!H87</f>
        <v>1.11408554029922E-4</v>
      </c>
      <c r="CD179" s="371">
        <f>labcap_calc!H98</f>
        <v>5.0715711882397003E-4</v>
      </c>
      <c r="CE179" s="371">
        <f>labcap_calc!H109</f>
        <v>1.07509362558127E-3</v>
      </c>
      <c r="CF179" s="465">
        <f>labcap_calc!H120</f>
        <v>9.2623832763558296E-4</v>
      </c>
      <c r="CG179" s="465">
        <f>labcap_calc!H131</f>
        <v>1.4171613736630801E-4</v>
      </c>
      <c r="CH179" s="465">
        <f>labcap_calc!H142</f>
        <v>8.5041930162181302E-5</v>
      </c>
      <c r="CI179" s="465">
        <f>labcap_calc!H923</f>
        <v>8.7999999999999998E-5</v>
      </c>
      <c r="CJ179" s="465">
        <f>labcap_calc!H934</f>
        <v>4.9700000000000002E-5</v>
      </c>
      <c r="CK179" s="465">
        <f>labcap_calc!H945</f>
        <v>5.63E-5</v>
      </c>
      <c r="CL179" s="465">
        <f>labcap_calc!H956</f>
        <v>2.0400000000000001E-5</v>
      </c>
      <c r="CM179" s="465">
        <f>labcap_calc!H967</f>
        <v>9.7399999999999996E-5</v>
      </c>
      <c r="CN179" s="465">
        <f>labcap_calc!H978</f>
        <v>7.76255E-4</v>
      </c>
      <c r="CO179" s="465">
        <f>labcap_calc!H989</f>
        <v>3.2418300000000002E-4</v>
      </c>
      <c r="CP179" s="465">
        <f>labcap_calc!H1000</f>
        <v>1.041639E-3</v>
      </c>
    </row>
    <row r="180" spans="1:94" x14ac:dyDescent="0.25">
      <c r="A180" s="4" t="s">
        <v>1072</v>
      </c>
      <c r="B180" s="355">
        <v>14</v>
      </c>
      <c r="C180" s="1" t="s">
        <v>1074</v>
      </c>
      <c r="D180" s="462">
        <f>labcap_calc!H341</f>
        <v>1.0432460000000001E-3</v>
      </c>
      <c r="E180" s="462">
        <f>labcap_calc!H352</f>
        <v>2.0301849999999999E-3</v>
      </c>
      <c r="F180" s="462">
        <f>labcap_calc!H363</f>
        <v>6.3400200000000005E-4</v>
      </c>
      <c r="G180" s="462">
        <f>labcap_calc!H374</f>
        <v>2.2642699999999999E-4</v>
      </c>
      <c r="H180" s="462">
        <f>labcap_calc!H385</f>
        <v>8.5498810000000005E-3</v>
      </c>
      <c r="I180" s="462">
        <f>labcap_calc!H396</f>
        <v>1.127931E-3</v>
      </c>
      <c r="J180" s="462">
        <f>labcap_calc!H407</f>
        <v>1.506206E-3</v>
      </c>
      <c r="K180" s="462">
        <f>labcap_calc!H418</f>
        <v>4.2536120000000004E-3</v>
      </c>
      <c r="L180" s="462">
        <f>labcap_calc!H429</f>
        <v>1.1459899999999999E-3</v>
      </c>
      <c r="M180" s="462">
        <f>labcap_calc!H440</f>
        <v>1.405664E-3</v>
      </c>
      <c r="N180" s="462">
        <f>labcap_calc!H451</f>
        <v>8.2458200000000003E-4</v>
      </c>
      <c r="O180" s="462">
        <f>labcap_calc!H462</f>
        <v>7.7559799999999996E-4</v>
      </c>
      <c r="P180" s="462">
        <f>labcap_calc!H473</f>
        <v>1.263894E-3</v>
      </c>
      <c r="Q180" s="462">
        <f>labcap_calc!H484</f>
        <v>2.9268700000000003E-4</v>
      </c>
      <c r="R180" s="462">
        <f>labcap_calc!H495</f>
        <v>8.3107099999999996E-4</v>
      </c>
      <c r="S180" s="462">
        <f>labcap_calc!H506</f>
        <v>3.3902250000000002E-3</v>
      </c>
      <c r="T180" s="462">
        <f>labcap_calc!H517</f>
        <v>3.8721319999999999E-3</v>
      </c>
      <c r="U180" s="462">
        <f>labcap_calc!H528</f>
        <v>1.0602470000000001E-3</v>
      </c>
      <c r="V180" s="462">
        <f>labcap_calc!H539</f>
        <v>1.6083779999999999E-3</v>
      </c>
      <c r="W180" s="462">
        <f>labcap_calc!H550</f>
        <v>8.7733899999999998E-4</v>
      </c>
      <c r="X180" s="462">
        <f>labcap_calc!H561</f>
        <v>1.1027400000000001E-3</v>
      </c>
      <c r="Y180" s="462">
        <f>labcap_calc!H572</f>
        <v>3.6399999999999997E-5</v>
      </c>
      <c r="Z180" s="462">
        <f>labcap_calc!H583</f>
        <v>1.9024100000000001E-4</v>
      </c>
      <c r="AA180" s="462">
        <f>labcap_calc!H594</f>
        <v>3.6043000000000002E-4</v>
      </c>
      <c r="AB180" s="370">
        <f>labcap_calc!H176</f>
        <v>2.84545258168175E-2</v>
      </c>
      <c r="AC180" s="370">
        <f>labcap_calc!H187</f>
        <v>2.84545258168175E-2</v>
      </c>
      <c r="AD180" s="370">
        <f>labcap_calc!H198</f>
        <v>2.84545258168175E-2</v>
      </c>
      <c r="AE180" s="370">
        <f>labcap_calc!H209</f>
        <v>3.0133956640500701E-2</v>
      </c>
      <c r="AF180" s="370">
        <f>labcap_calc!H220</f>
        <v>1.6238841283597999E-3</v>
      </c>
      <c r="AG180" s="370">
        <f>labcap_calc!H231</f>
        <v>1.6238841283597999E-3</v>
      </c>
      <c r="AH180" s="370">
        <f>labcap_calc!H242</f>
        <v>1.6238841283597999E-3</v>
      </c>
      <c r="AI180" s="462">
        <f>labcap_calc!H605</f>
        <v>1.4320509999999999E-3</v>
      </c>
      <c r="AJ180" s="462">
        <f>labcap_calc!H616</f>
        <v>8.9359800000000001E-4</v>
      </c>
      <c r="AK180" s="462">
        <f>labcap_calc!H627</f>
        <v>1.307957E-3</v>
      </c>
      <c r="AL180" s="462">
        <f>labcap_calc!H638</f>
        <v>1.3048739999999999E-3</v>
      </c>
      <c r="AM180" s="462">
        <f>labcap_calc!H649</f>
        <v>2.548748E-3</v>
      </c>
      <c r="AN180" s="462">
        <f>labcap_calc!H660</f>
        <v>2.8086539999999998E-3</v>
      </c>
      <c r="AO180" s="462">
        <f>labcap_calc!H671</f>
        <v>2.1052380000000002E-3</v>
      </c>
      <c r="AP180" s="370">
        <f>labcap_calc!H253</f>
        <v>3.4534530815274301E-4</v>
      </c>
      <c r="AQ180" s="370">
        <f>labcap_calc!H264</f>
        <v>3.4534530815274301E-4</v>
      </c>
      <c r="AR180" s="370">
        <f>labcap_calc!H275</f>
        <v>3.4534530815274301E-4</v>
      </c>
      <c r="AS180" s="370">
        <f>labcap_calc!H286</f>
        <v>3.4564404819614498E-4</v>
      </c>
      <c r="AT180" s="462">
        <f>labcap_calc!H682</f>
        <v>2.0624580000000001E-3</v>
      </c>
      <c r="AU180" s="370">
        <f>labcap_calc!H297</f>
        <v>1.7955768749206701E-3</v>
      </c>
      <c r="AV180" s="370">
        <f>labcap_calc!H308</f>
        <v>1.7955768749206701E-3</v>
      </c>
      <c r="AW180" s="370">
        <f>labcap_calc!H319</f>
        <v>1.7955768749206701E-3</v>
      </c>
      <c r="AX180" s="370">
        <f>labcap_calc!H330</f>
        <v>1.8563095528323201E-3</v>
      </c>
      <c r="AY180" s="462">
        <f>labcap_calc!H693</f>
        <v>8.4049700000000005E-4</v>
      </c>
      <c r="AZ180" s="462">
        <f>labcap_calc!H704</f>
        <v>0</v>
      </c>
      <c r="BA180" s="462">
        <f>labcap_calc!H715</f>
        <v>1.22211E-3</v>
      </c>
      <c r="BB180" s="462">
        <f>labcap_calc!H726</f>
        <v>1.352198E-3</v>
      </c>
      <c r="BC180" s="462">
        <f>labcap_calc!H737</f>
        <v>1.5709210000000001E-3</v>
      </c>
      <c r="BD180" s="462">
        <f>labcap_calc!H748</f>
        <v>1.6458989999999999E-3</v>
      </c>
      <c r="BE180" s="462">
        <f>labcap_calc!H759</f>
        <v>1.189374E-3</v>
      </c>
      <c r="BF180" s="462">
        <f>labcap_calc!H770</f>
        <v>0</v>
      </c>
      <c r="BG180" s="462">
        <f>labcap_calc!H781</f>
        <v>3.58594E-4</v>
      </c>
      <c r="BH180" s="462">
        <f>labcap_calc!H792</f>
        <v>0</v>
      </c>
      <c r="BI180" s="462">
        <f>labcap_calc!H803</f>
        <v>1.546537E-3</v>
      </c>
      <c r="BJ180" s="462">
        <f>labcap_calc!H814</f>
        <v>2.8247860000000001E-3</v>
      </c>
      <c r="BK180" s="462">
        <f>labcap_calc!H825</f>
        <v>1.6244919999999999E-3</v>
      </c>
      <c r="BL180" s="462">
        <f>labcap_calc!H836</f>
        <v>1.7437799999999999E-4</v>
      </c>
      <c r="BM180" s="462">
        <f>labcap_calc!H847</f>
        <v>1.085309E-3</v>
      </c>
      <c r="BN180" s="462">
        <f>labcap_calc!H858</f>
        <v>3.5874799999999999E-4</v>
      </c>
      <c r="BO180" s="462">
        <f>labcap_calc!H869</f>
        <v>9.5949999999999996E-4</v>
      </c>
      <c r="BP180" s="370">
        <f>labcap_calc!H154</f>
        <v>1.04798695233956E-3</v>
      </c>
      <c r="BQ180" s="370">
        <f>labcap_calc!H165</f>
        <v>1.04798695233956E-3</v>
      </c>
      <c r="BR180" s="462">
        <f>labcap_calc!H880</f>
        <v>2.029271E-3</v>
      </c>
      <c r="BS180" s="462">
        <f>labcap_calc!H891</f>
        <v>3.8426060000000001E-3</v>
      </c>
      <c r="BT180" s="462">
        <f>labcap_calc!H902</f>
        <v>0</v>
      </c>
      <c r="BU180" s="462">
        <f>labcap_calc!H913</f>
        <v>0</v>
      </c>
      <c r="BV180" s="465">
        <f>labcap_calc!H11</f>
        <v>1.9044632531111801E-4</v>
      </c>
      <c r="BW180" s="465">
        <f>labcap_calc!H22</f>
        <v>6.3990681274080595E-4</v>
      </c>
      <c r="BX180" s="465">
        <f>labcap_calc!H33</f>
        <v>5.9271673541817197E-4</v>
      </c>
      <c r="BY180" s="465">
        <f>labcap_calc!H44</f>
        <v>8.6731839361864501E-4</v>
      </c>
      <c r="BZ180" s="371">
        <f>labcap_calc!H55</f>
        <v>1.5505395740113199E-3</v>
      </c>
      <c r="CA180" s="465">
        <f>labcap_calc!H66</f>
        <v>7.0227359882270703E-4</v>
      </c>
      <c r="CB180" s="465">
        <f>labcap_calc!H77</f>
        <v>8.9209966618462996E-4</v>
      </c>
      <c r="CC180" s="371">
        <f>labcap_calc!H88</f>
        <v>3.1586907358370497E-4</v>
      </c>
      <c r="CD180" s="371">
        <f>labcap_calc!H99</f>
        <v>5.3500970987472602E-3</v>
      </c>
      <c r="CE180" s="371">
        <f>labcap_calc!H110</f>
        <v>1.1341367543931599E-2</v>
      </c>
      <c r="CF180" s="465">
        <f>labcap_calc!H121</f>
        <v>3.5488177957405899E-3</v>
      </c>
      <c r="CG180" s="465">
        <f>labcap_calc!H132</f>
        <v>5.4966317343450302E-4</v>
      </c>
      <c r="CH180" s="465">
        <f>labcap_calc!H143</f>
        <v>2.63665480853938E-4</v>
      </c>
      <c r="CI180" s="465">
        <f>labcap_calc!H924</f>
        <v>9.0787400000000003E-4</v>
      </c>
      <c r="CJ180" s="465">
        <f>labcap_calc!H935</f>
        <v>4.8357499999999998E-4</v>
      </c>
      <c r="CK180" s="465">
        <f>labcap_calc!H946</f>
        <v>5.4076500000000002E-4</v>
      </c>
      <c r="CL180" s="465">
        <f>labcap_calc!H957</f>
        <v>2.16109E-4</v>
      </c>
      <c r="CM180" s="465">
        <f>labcap_calc!H968</f>
        <v>9.3691300000000005E-4</v>
      </c>
      <c r="CN180" s="465">
        <f>labcap_calc!H979</f>
        <v>6.5292559999999998E-3</v>
      </c>
      <c r="CO180" s="465">
        <f>labcap_calc!H990</f>
        <v>2.9126460000000001E-3</v>
      </c>
      <c r="CP180" s="465">
        <f>labcap_calc!H1001</f>
        <v>9.0310640000000001E-3</v>
      </c>
    </row>
    <row r="181" spans="1:94" x14ac:dyDescent="0.25">
      <c r="A181" s="4" t="s">
        <v>1073</v>
      </c>
      <c r="B181" s="355">
        <v>15</v>
      </c>
      <c r="C181" s="1" t="s">
        <v>1074</v>
      </c>
      <c r="D181" s="462">
        <f>labcap_calc!H342</f>
        <v>1.0012459999999999E-3</v>
      </c>
      <c r="E181" s="462">
        <f>labcap_calc!H353</f>
        <v>1.9317589999999999E-3</v>
      </c>
      <c r="F181" s="462">
        <f>labcap_calc!H364</f>
        <v>6.0259099999999998E-4</v>
      </c>
      <c r="G181" s="462">
        <f>labcap_calc!H375</f>
        <v>2.1917099999999999E-4</v>
      </c>
      <c r="H181" s="462">
        <f>labcap_calc!H386</f>
        <v>8.182992E-3</v>
      </c>
      <c r="I181" s="462">
        <f>labcap_calc!H397</f>
        <v>1.0640300000000001E-3</v>
      </c>
      <c r="J181" s="462">
        <f>labcap_calc!H408</f>
        <v>1.4225850000000001E-3</v>
      </c>
      <c r="K181" s="462">
        <f>labcap_calc!H419</f>
        <v>3.9943399999999999E-3</v>
      </c>
      <c r="L181" s="462">
        <f>labcap_calc!H430</f>
        <v>1.1088750000000001E-3</v>
      </c>
      <c r="M181" s="462">
        <f>labcap_calc!H441</f>
        <v>1.3358619999999999E-3</v>
      </c>
      <c r="N181" s="462">
        <f>labcap_calc!H452</f>
        <v>7.8297299999999996E-4</v>
      </c>
      <c r="O181" s="462">
        <f>labcap_calc!H463</f>
        <v>2.4867299999999998E-4</v>
      </c>
      <c r="P181" s="462">
        <f>labcap_calc!H474</f>
        <v>1.935825E-3</v>
      </c>
      <c r="Q181" s="462">
        <f>labcap_calc!H485</f>
        <v>2.4432199999999999E-3</v>
      </c>
      <c r="R181" s="462">
        <f>labcap_calc!H496</f>
        <v>1.725049E-3</v>
      </c>
      <c r="S181" s="462">
        <f>labcap_calc!H507</f>
        <v>7.8275399999999998E-4</v>
      </c>
      <c r="T181" s="462">
        <f>labcap_calc!H518</f>
        <v>9.0732699999999998E-4</v>
      </c>
      <c r="U181" s="462">
        <f>labcap_calc!H529</f>
        <v>9.3470499999999998E-4</v>
      </c>
      <c r="V181" s="462">
        <f>labcap_calc!H540</f>
        <v>1.3649790000000001E-3</v>
      </c>
      <c r="W181" s="462">
        <f>labcap_calc!H551</f>
        <v>7.3853299999999998E-4</v>
      </c>
      <c r="X181" s="462">
        <f>labcap_calc!H562</f>
        <v>6.9155099999999999E-4</v>
      </c>
      <c r="Y181" s="462">
        <f>labcap_calc!H573</f>
        <v>1.34E-5</v>
      </c>
      <c r="Z181" s="462">
        <f>labcap_calc!H584</f>
        <v>7.0199999999999999E-5</v>
      </c>
      <c r="AA181" s="462">
        <f>labcap_calc!H595</f>
        <v>1.68505E-4</v>
      </c>
      <c r="AB181" s="370">
        <f>labcap_calc!H177</f>
        <v>1.2439681995484699E-2</v>
      </c>
      <c r="AC181" s="370">
        <f>labcap_calc!H188</f>
        <v>1.2439681995484699E-2</v>
      </c>
      <c r="AD181" s="370">
        <f>labcap_calc!H199</f>
        <v>1.2439681995484699E-2</v>
      </c>
      <c r="AE181" s="370">
        <f>labcap_calc!H210</f>
        <v>1.5813854342637601E-2</v>
      </c>
      <c r="AF181" s="370">
        <f>labcap_calc!H221</f>
        <v>8.7148272413930703E-4</v>
      </c>
      <c r="AG181" s="370">
        <f>labcap_calc!H232</f>
        <v>8.7148272413930703E-4</v>
      </c>
      <c r="AH181" s="370">
        <f>labcap_calc!H243</f>
        <v>8.7148272413930703E-4</v>
      </c>
      <c r="AI181" s="462">
        <f>labcap_calc!H606</f>
        <v>7.4528500000000004E-4</v>
      </c>
      <c r="AJ181" s="462">
        <f>labcap_calc!H617</f>
        <v>4.5423700000000002E-4</v>
      </c>
      <c r="AK181" s="462">
        <f>labcap_calc!H628</f>
        <v>7.0949700000000001E-4</v>
      </c>
      <c r="AL181" s="462">
        <f>labcap_calc!H639</f>
        <v>4.8343799999999999E-4</v>
      </c>
      <c r="AM181" s="462">
        <f>labcap_calc!H650</f>
        <v>1.0050739999999999E-3</v>
      </c>
      <c r="AN181" s="462">
        <f>labcap_calc!H661</f>
        <v>1.0789160000000001E-3</v>
      </c>
      <c r="AO181" s="462">
        <f>labcap_calc!H672</f>
        <v>8.0385999999999999E-4</v>
      </c>
      <c r="AP181" s="370">
        <f>labcap_calc!H254</f>
        <v>1.3742887021158401E-4</v>
      </c>
      <c r="AQ181" s="370">
        <f>labcap_calc!H265</f>
        <v>1.3742887021158401E-4</v>
      </c>
      <c r="AR181" s="370">
        <f>labcap_calc!H276</f>
        <v>1.3742887021158401E-4</v>
      </c>
      <c r="AS181" s="370">
        <f>labcap_calc!H287</f>
        <v>1.3520390578673999E-4</v>
      </c>
      <c r="AT181" s="462">
        <f>labcap_calc!H683</f>
        <v>8.0410300000000002E-4</v>
      </c>
      <c r="AU181" s="370">
        <f>labcap_calc!H298</f>
        <v>2.75610006443124E-4</v>
      </c>
      <c r="AV181" s="370">
        <f>labcap_calc!H309</f>
        <v>2.75610006443124E-4</v>
      </c>
      <c r="AW181" s="370">
        <f>labcap_calc!H320</f>
        <v>2.75610006443124E-4</v>
      </c>
      <c r="AX181" s="370">
        <f>labcap_calc!H331</f>
        <v>2.8430178530263899E-4</v>
      </c>
      <c r="AY181" s="462">
        <f>labcap_calc!H694</f>
        <v>1.2575600000000001E-4</v>
      </c>
      <c r="AZ181" s="462">
        <f>labcap_calc!H705</f>
        <v>0</v>
      </c>
      <c r="BA181" s="462">
        <f>labcap_calc!H716</f>
        <v>1.8821699999999999E-4</v>
      </c>
      <c r="BB181" s="462">
        <f>labcap_calc!H727</f>
        <v>2.0552999999999999E-4</v>
      </c>
      <c r="BC181" s="462">
        <f>labcap_calc!H738</f>
        <v>2.3750600000000001E-4</v>
      </c>
      <c r="BD181" s="462">
        <f>labcap_calc!H749</f>
        <v>2.5035900000000002E-4</v>
      </c>
      <c r="BE181" s="462">
        <f>labcap_calc!H760</f>
        <v>2.1927599999999999E-4</v>
      </c>
      <c r="BF181" s="462">
        <f>labcap_calc!H771</f>
        <v>0</v>
      </c>
      <c r="BG181" s="462">
        <f>labcap_calc!H782</f>
        <v>6.4700000000000001E-5</v>
      </c>
      <c r="BH181" s="462">
        <f>labcap_calc!H793</f>
        <v>0</v>
      </c>
      <c r="BI181" s="462">
        <f>labcap_calc!H804</f>
        <v>2.3116799999999999E-4</v>
      </c>
      <c r="BJ181" s="462">
        <f>labcap_calc!H815</f>
        <v>7.5025199999999997E-4</v>
      </c>
      <c r="BK181" s="462">
        <f>labcap_calc!H826</f>
        <v>4.38023E-4</v>
      </c>
      <c r="BL181" s="462">
        <f>labcap_calc!H837</f>
        <v>6.6799999999999997E-5</v>
      </c>
      <c r="BM181" s="462">
        <f>labcap_calc!H848</f>
        <v>9.3526500000000001E-4</v>
      </c>
      <c r="BN181" s="462">
        <f>labcap_calc!H859</f>
        <v>3.2764600000000001E-4</v>
      </c>
      <c r="BO181" s="462">
        <f>labcap_calc!H870</f>
        <v>8.8863799999999997E-4</v>
      </c>
      <c r="BP181" s="370">
        <f>labcap_calc!H155</f>
        <v>4.7685544881004099E-4</v>
      </c>
      <c r="BQ181" s="370">
        <f>labcap_calc!H166</f>
        <v>4.7685544881004099E-4</v>
      </c>
      <c r="BR181" s="462">
        <f>labcap_calc!H881</f>
        <v>3.4291500000000001E-4</v>
      </c>
      <c r="BS181" s="462">
        <f>labcap_calc!H892</f>
        <v>2.7126009999999998E-3</v>
      </c>
      <c r="BT181" s="462">
        <f>labcap_calc!H903</f>
        <v>1.509575E-3</v>
      </c>
      <c r="BU181" s="462">
        <f>labcap_calc!H914</f>
        <v>0</v>
      </c>
      <c r="BV181" s="465">
        <f>labcap_calc!H12</f>
        <v>4.7350482917290899E-5</v>
      </c>
      <c r="BW181" s="465">
        <f>labcap_calc!H23</f>
        <v>1.99890007914769E-4</v>
      </c>
      <c r="BX181" s="465">
        <f>labcap_calc!H34</f>
        <v>1.61076424834357E-4</v>
      </c>
      <c r="BY181" s="465">
        <f>labcap_calc!H45</f>
        <v>2.0842237371708101E-4</v>
      </c>
      <c r="BZ181" s="371">
        <f>labcap_calc!H56</f>
        <v>4.4008601747723202E-4</v>
      </c>
      <c r="CA181" s="465">
        <f>labcap_calc!H67</f>
        <v>2.1501080993261801E-4</v>
      </c>
      <c r="CB181" s="465">
        <f>labcap_calc!H78</f>
        <v>2.5872615850600598E-4</v>
      </c>
      <c r="CC181" s="371">
        <f>labcap_calc!H89</f>
        <v>6.7249638333113099E-5</v>
      </c>
      <c r="CD181" s="371">
        <f>labcap_calc!H100</f>
        <v>1.5087924285052099E-3</v>
      </c>
      <c r="CE181" s="371">
        <f>labcap_calc!H111</f>
        <v>3.19840353611255E-3</v>
      </c>
      <c r="CF181" s="465">
        <f>labcap_calc!H122</f>
        <v>1.7352312973366001E-3</v>
      </c>
      <c r="CG181" s="465">
        <f>labcap_calc!H133</f>
        <v>1.5536781594964301E-4</v>
      </c>
      <c r="CH181" s="465">
        <f>labcap_calc!H144</f>
        <v>4.9882203842358697E-5</v>
      </c>
      <c r="CI181" s="465">
        <f>labcap_calc!H925</f>
        <v>2.1724299999999999E-4</v>
      </c>
      <c r="CJ181" s="465">
        <f>labcap_calc!H936</f>
        <v>1.21248E-4</v>
      </c>
      <c r="CK181" s="465">
        <f>labcap_calc!H947</f>
        <v>1.37849E-4</v>
      </c>
      <c r="CL181" s="465">
        <f>labcap_calc!H958</f>
        <v>5.1100000000000002E-5</v>
      </c>
      <c r="CM181" s="465">
        <f>labcap_calc!H969</f>
        <v>2.8969100000000002E-4</v>
      </c>
      <c r="CN181" s="465">
        <f>labcap_calc!H980</f>
        <v>2.7404510000000001E-3</v>
      </c>
      <c r="CO181" s="465">
        <f>labcap_calc!H991</f>
        <v>7.45702E-4</v>
      </c>
      <c r="CP181" s="465">
        <f>labcap_calc!H1002</f>
        <v>2.3485899999999998E-3</v>
      </c>
    </row>
  </sheetData>
  <conditionalFormatting sqref="BV1">
    <cfRule type="colorScale" priority="25">
      <colorScale>
        <cfvo type="min"/>
        <cfvo type="max"/>
        <color rgb="FFFCFCFF"/>
        <color rgb="FF63BE7B"/>
      </colorScale>
    </cfRule>
  </conditionalFormatting>
  <conditionalFormatting sqref="BW1">
    <cfRule type="colorScale" priority="24">
      <colorScale>
        <cfvo type="min"/>
        <cfvo type="max"/>
        <color rgb="FFFCFCFF"/>
        <color rgb="FF63BE7B"/>
      </colorScale>
    </cfRule>
  </conditionalFormatting>
  <conditionalFormatting sqref="BX1">
    <cfRule type="colorScale" priority="23">
      <colorScale>
        <cfvo type="min"/>
        <cfvo type="max"/>
        <color rgb="FFFCFCFF"/>
        <color rgb="FF63BE7B"/>
      </colorScale>
    </cfRule>
  </conditionalFormatting>
  <conditionalFormatting sqref="BY1">
    <cfRule type="colorScale" priority="22">
      <colorScale>
        <cfvo type="min"/>
        <cfvo type="max"/>
        <color rgb="FFFCFCFF"/>
        <color rgb="FF63BE7B"/>
      </colorScale>
    </cfRule>
  </conditionalFormatting>
  <conditionalFormatting sqref="BZ1">
    <cfRule type="colorScale" priority="21">
      <colorScale>
        <cfvo type="min"/>
        <cfvo type="max"/>
        <color rgb="FFFCFCFF"/>
        <color rgb="FF63BE7B"/>
      </colorScale>
    </cfRule>
  </conditionalFormatting>
  <conditionalFormatting sqref="CA1">
    <cfRule type="colorScale" priority="20">
      <colorScale>
        <cfvo type="min"/>
        <cfvo type="max"/>
        <color rgb="FFFCFCFF"/>
        <color rgb="FF63BE7B"/>
      </colorScale>
    </cfRule>
  </conditionalFormatting>
  <conditionalFormatting sqref="CB1">
    <cfRule type="colorScale" priority="19">
      <colorScale>
        <cfvo type="min"/>
        <cfvo type="max"/>
        <color rgb="FFFCFCFF"/>
        <color rgb="FF63BE7B"/>
      </colorScale>
    </cfRule>
  </conditionalFormatting>
  <conditionalFormatting sqref="CC1">
    <cfRule type="colorScale" priority="18">
      <colorScale>
        <cfvo type="min"/>
        <cfvo type="max"/>
        <color rgb="FFFCFCFF"/>
        <color rgb="FF63BE7B"/>
      </colorScale>
    </cfRule>
  </conditionalFormatting>
  <conditionalFormatting sqref="CE1">
    <cfRule type="colorScale" priority="17">
      <colorScale>
        <cfvo type="min"/>
        <cfvo type="max"/>
        <color rgb="FFFCFCFF"/>
        <color rgb="FF63BE7B"/>
      </colorScale>
    </cfRule>
  </conditionalFormatting>
  <conditionalFormatting sqref="CF1">
    <cfRule type="colorScale" priority="16">
      <colorScale>
        <cfvo type="min"/>
        <cfvo type="max"/>
        <color rgb="FFFCFCFF"/>
        <color rgb="FF63BE7B"/>
      </colorScale>
    </cfRule>
  </conditionalFormatting>
  <conditionalFormatting sqref="CG1">
    <cfRule type="colorScale" priority="15">
      <colorScale>
        <cfvo type="min"/>
        <cfvo type="max"/>
        <color rgb="FFFCFCFF"/>
        <color rgb="FF63BE7B"/>
      </colorScale>
    </cfRule>
  </conditionalFormatting>
  <conditionalFormatting sqref="CH1">
    <cfRule type="colorScale" priority="14">
      <colorScale>
        <cfvo type="min"/>
        <cfvo type="max"/>
        <color rgb="FFFCFCFF"/>
        <color rgb="FF63BE7B"/>
      </colorScale>
    </cfRule>
  </conditionalFormatting>
  <conditionalFormatting sqref="BV1:CH1 BV182:CH1048576">
    <cfRule type="colorScale" priority="13">
      <colorScale>
        <cfvo type="min"/>
        <cfvo type="max"/>
        <color rgb="FFFCFCFF"/>
        <color rgb="FF63BE7B"/>
      </colorScale>
    </cfRule>
  </conditionalFormatting>
  <conditionalFormatting sqref="CI1:CP1">
    <cfRule type="colorScale" priority="2">
      <colorScale>
        <cfvo type="min"/>
        <cfvo type="max"/>
        <color rgb="FFFCFCFF"/>
        <color rgb="FF63BE7B"/>
      </colorScale>
    </cfRule>
  </conditionalFormatting>
  <conditionalFormatting sqref="CI1:CP1 CI182:CP1048576">
    <cfRule type="colorScale" priority="1">
      <colorScale>
        <cfvo type="min"/>
        <cfvo type="max"/>
        <color rgb="FFFCFCFF"/>
        <color rgb="FF63BE7B"/>
      </colorScale>
    </cfRule>
  </conditionalFormatting>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81"/>
  <sheetViews>
    <sheetView zoomScale="75" zoomScaleNormal="75" workbookViewId="0">
      <pane xSplit="3" ySplit="1" topLeftCell="D134" activePane="bottomRight" state="frozen"/>
      <selection activeCell="D2" sqref="D2"/>
      <selection pane="topRight" activeCell="D2" sqref="D2"/>
      <selection pane="bottomLeft" activeCell="D2" sqref="D2"/>
      <selection pane="bottomRight" activeCell="D169" sqref="D169"/>
    </sheetView>
  </sheetViews>
  <sheetFormatPr defaultColWidth="8.75" defaultRowHeight="15" x14ac:dyDescent="0.25"/>
  <cols>
    <col min="1" max="1" width="45.75" style="4" customWidth="1"/>
    <col min="2" max="2" width="12.375" style="4" customWidth="1"/>
    <col min="3" max="3" width="25" style="1" bestFit="1" customWidth="1"/>
    <col min="4" max="67" width="9.625" style="1" customWidth="1"/>
    <col min="68" max="73" width="9.625" style="188" customWidth="1"/>
    <col min="74" max="86" width="9.625" style="25" customWidth="1"/>
    <col min="87" max="94" width="9.625" style="86" customWidth="1"/>
    <col min="95" max="16384" width="8.75" style="4"/>
  </cols>
  <sheetData>
    <row r="1" spans="1:94" ht="15" customHeight="1" x14ac:dyDescent="0.25">
      <c r="A1" s="3" t="s">
        <v>0</v>
      </c>
      <c r="B1" s="3" t="s">
        <v>1</v>
      </c>
      <c r="C1" s="10" t="s">
        <v>324</v>
      </c>
      <c r="D1" s="10" t="s">
        <v>90</v>
      </c>
      <c r="E1" s="10" t="s">
        <v>92</v>
      </c>
      <c r="F1" s="10" t="s">
        <v>94</v>
      </c>
      <c r="G1" s="10" t="s">
        <v>96</v>
      </c>
      <c r="H1" s="10" t="s">
        <v>98</v>
      </c>
      <c r="I1" s="10" t="s">
        <v>100</v>
      </c>
      <c r="J1" s="10" t="s">
        <v>102</v>
      </c>
      <c r="K1" s="10" t="s">
        <v>104</v>
      </c>
      <c r="L1" s="10" t="s">
        <v>106</v>
      </c>
      <c r="M1" s="10" t="s">
        <v>108</v>
      </c>
      <c r="N1" s="10" t="s">
        <v>110</v>
      </c>
      <c r="O1" s="10" t="s">
        <v>112</v>
      </c>
      <c r="P1" s="10" t="s">
        <v>114</v>
      </c>
      <c r="Q1" s="10" t="s">
        <v>116</v>
      </c>
      <c r="R1" s="10" t="s">
        <v>118</v>
      </c>
      <c r="S1" s="10" t="s">
        <v>120</v>
      </c>
      <c r="T1" s="10" t="s">
        <v>122</v>
      </c>
      <c r="U1" s="10" t="s">
        <v>124</v>
      </c>
      <c r="V1" s="10" t="s">
        <v>126</v>
      </c>
      <c r="W1" s="10" t="s">
        <v>128</v>
      </c>
      <c r="X1" s="10" t="s">
        <v>130</v>
      </c>
      <c r="Y1" s="10" t="s">
        <v>132</v>
      </c>
      <c r="Z1" s="10" t="s">
        <v>134</v>
      </c>
      <c r="AA1" s="10" t="s">
        <v>136</v>
      </c>
      <c r="AB1" s="24" t="s">
        <v>737</v>
      </c>
      <c r="AC1" s="24" t="s">
        <v>738</v>
      </c>
      <c r="AD1" s="24" t="s">
        <v>748</v>
      </c>
      <c r="AE1" s="24" t="s">
        <v>140</v>
      </c>
      <c r="AF1" s="24" t="s">
        <v>739</v>
      </c>
      <c r="AG1" s="24" t="s">
        <v>740</v>
      </c>
      <c r="AH1" s="24" t="s">
        <v>926</v>
      </c>
      <c r="AI1" s="26" t="s">
        <v>144</v>
      </c>
      <c r="AJ1" s="26" t="s">
        <v>146</v>
      </c>
      <c r="AK1" s="26" t="s">
        <v>148</v>
      </c>
      <c r="AL1" s="26" t="s">
        <v>150</v>
      </c>
      <c r="AM1" s="26" t="s">
        <v>152</v>
      </c>
      <c r="AN1" s="26" t="s">
        <v>154</v>
      </c>
      <c r="AO1" s="26" t="s">
        <v>156</v>
      </c>
      <c r="AP1" s="24" t="s">
        <v>735</v>
      </c>
      <c r="AQ1" s="24" t="s">
        <v>736</v>
      </c>
      <c r="AR1" s="24" t="s">
        <v>744</v>
      </c>
      <c r="AS1" s="24" t="s">
        <v>160</v>
      </c>
      <c r="AT1" s="26" t="s">
        <v>162</v>
      </c>
      <c r="AU1" s="24" t="s">
        <v>730</v>
      </c>
      <c r="AV1" s="24" t="s">
        <v>731</v>
      </c>
      <c r="AW1" s="24" t="s">
        <v>746</v>
      </c>
      <c r="AX1" s="24" t="s">
        <v>166</v>
      </c>
      <c r="AY1" s="26" t="s">
        <v>168</v>
      </c>
      <c r="AZ1" s="26" t="s">
        <v>170</v>
      </c>
      <c r="BA1" s="26" t="s">
        <v>172</v>
      </c>
      <c r="BB1" s="26" t="s">
        <v>174</v>
      </c>
      <c r="BC1" s="26" t="s">
        <v>176</v>
      </c>
      <c r="BD1" s="26" t="s">
        <v>178</v>
      </c>
      <c r="BE1" s="26" t="s">
        <v>180</v>
      </c>
      <c r="BF1" s="26" t="s">
        <v>182</v>
      </c>
      <c r="BG1" s="26" t="s">
        <v>184</v>
      </c>
      <c r="BH1" s="26" t="s">
        <v>186</v>
      </c>
      <c r="BI1" s="26" t="s">
        <v>188</v>
      </c>
      <c r="BJ1" s="26" t="s">
        <v>190</v>
      </c>
      <c r="BK1" s="26" t="s">
        <v>192</v>
      </c>
      <c r="BL1" s="26" t="s">
        <v>194</v>
      </c>
      <c r="BM1" s="26" t="s">
        <v>196</v>
      </c>
      <c r="BN1" s="26" t="s">
        <v>198</v>
      </c>
      <c r="BO1" s="26" t="s">
        <v>200</v>
      </c>
      <c r="BP1" s="190" t="s">
        <v>733</v>
      </c>
      <c r="BQ1" s="190" t="s">
        <v>734</v>
      </c>
      <c r="BR1" s="26" t="s">
        <v>204</v>
      </c>
      <c r="BS1" s="26" t="s">
        <v>206</v>
      </c>
      <c r="BT1" s="26" t="s">
        <v>208</v>
      </c>
      <c r="BU1" s="26" t="s">
        <v>210</v>
      </c>
      <c r="BV1" s="26" t="s">
        <v>3</v>
      </c>
      <c r="BW1" s="26" t="s">
        <v>5</v>
      </c>
      <c r="BX1" s="26" t="s">
        <v>7</v>
      </c>
      <c r="BY1" s="26" t="s">
        <v>9</v>
      </c>
      <c r="BZ1" s="26" t="s">
        <v>336</v>
      </c>
      <c r="CA1" s="26" t="s">
        <v>337</v>
      </c>
      <c r="CB1" s="26" t="s">
        <v>11</v>
      </c>
      <c r="CC1" s="26" t="s">
        <v>13</v>
      </c>
      <c r="CD1" s="28" t="s">
        <v>338</v>
      </c>
      <c r="CE1" s="26" t="s">
        <v>339</v>
      </c>
      <c r="CF1" s="26" t="s">
        <v>15</v>
      </c>
      <c r="CG1" s="26" t="s">
        <v>17</v>
      </c>
      <c r="CH1" s="26" t="s">
        <v>19</v>
      </c>
      <c r="CI1" s="26" t="s">
        <v>21</v>
      </c>
      <c r="CJ1" s="26" t="s">
        <v>212</v>
      </c>
      <c r="CK1" s="26" t="s">
        <v>214</v>
      </c>
      <c r="CL1" s="26" t="s">
        <v>216</v>
      </c>
      <c r="CM1" s="26" t="s">
        <v>218</v>
      </c>
      <c r="CN1" s="26" t="s">
        <v>220</v>
      </c>
      <c r="CO1" s="26" t="s">
        <v>222</v>
      </c>
      <c r="CP1" s="26" t="s">
        <v>224</v>
      </c>
    </row>
    <row r="2" spans="1:94" x14ac:dyDescent="0.25">
      <c r="A2" s="5" t="s">
        <v>23</v>
      </c>
      <c r="B2" s="2" t="s">
        <v>22</v>
      </c>
      <c r="C2" s="1" t="s">
        <v>325</v>
      </c>
      <c r="D2" s="188">
        <f>opex_orig!D2</f>
        <v>4.7099999999999998E-6</v>
      </c>
      <c r="E2" s="188">
        <f>opex_orig!E2</f>
        <v>5.4500000000000003E-6</v>
      </c>
      <c r="F2" s="188">
        <f>opex_orig!F2</f>
        <v>2.41E-5</v>
      </c>
      <c r="G2" s="188">
        <f>opex_orig!G2</f>
        <v>1.19E-6</v>
      </c>
      <c r="H2" s="188">
        <f>opex_orig!H2</f>
        <v>1.35E-6</v>
      </c>
      <c r="I2" s="188">
        <f>opex_orig!I2</f>
        <v>3.3900000000000002E-6</v>
      </c>
      <c r="J2" s="188">
        <f>opex_orig!J2</f>
        <v>1.7001830000000001E-3</v>
      </c>
      <c r="K2" s="188">
        <f>opex_orig!K2</f>
        <v>1.27E-5</v>
      </c>
      <c r="L2" s="188">
        <f>opex_orig!L2</f>
        <v>4.1969700000000002E-4</v>
      </c>
      <c r="M2" s="188">
        <f>opex_orig!M2</f>
        <v>4.0421899999999999E-4</v>
      </c>
      <c r="N2" s="188">
        <f>opex_orig!N2</f>
        <v>1.052297E-3</v>
      </c>
      <c r="O2" s="188">
        <f>opex_orig!O2</f>
        <v>1.0026785E-2</v>
      </c>
      <c r="P2" s="188">
        <f>opex_orig!P2</f>
        <v>1.4309069999999999E-3</v>
      </c>
      <c r="Q2" s="188">
        <f>opex_orig!Q2</f>
        <v>2.7500000000000001E-5</v>
      </c>
      <c r="R2" s="188">
        <f>opex_orig!R2</f>
        <v>1.24E-5</v>
      </c>
      <c r="S2" s="188">
        <f>opex_orig!S2</f>
        <v>2.3599999999999999E-6</v>
      </c>
      <c r="T2" s="188">
        <f>opex_orig!T2</f>
        <v>3.0900000000000001E-6</v>
      </c>
      <c r="U2" s="188">
        <f>opex_orig!U2</f>
        <v>2.5299999999999999E-6</v>
      </c>
      <c r="V2" s="188">
        <f>opex_orig!V2</f>
        <v>4.1699999999999999E-6</v>
      </c>
      <c r="W2" s="188">
        <f>opex_orig!W2</f>
        <v>2.7700000000000002E-6</v>
      </c>
      <c r="X2" s="188">
        <f>opex_orig!X2</f>
        <v>1.13E-5</v>
      </c>
      <c r="Y2" s="188">
        <f>opex_orig!Y2</f>
        <v>9.7300000000000004E-7</v>
      </c>
      <c r="Z2" s="188">
        <f>opex_orig!Z2</f>
        <v>1.0100000000000001E-6</v>
      </c>
      <c r="AA2" s="188">
        <f>opex_orig!AA2</f>
        <v>7.1799999999999999E-6</v>
      </c>
      <c r="AB2" s="188">
        <f>opex_orig!$AB2</f>
        <v>2.5635095410803999E-4</v>
      </c>
      <c r="AC2" s="188">
        <f>opex_orig!$AB2</f>
        <v>2.5635095410803999E-4</v>
      </c>
      <c r="AD2" s="188">
        <f>opex_orig!$AB2</f>
        <v>2.5635095410803999E-4</v>
      </c>
      <c r="AE2" s="188">
        <f>opex_orig!$AC2</f>
        <v>8.8072851094694998E-5</v>
      </c>
      <c r="AF2" s="188">
        <f>opex_orig!$AD2</f>
        <v>6.2079689877585098E-5</v>
      </c>
      <c r="AG2" s="188">
        <f>opex_orig!$AD2</f>
        <v>6.2079689877585098E-5</v>
      </c>
      <c r="AH2" s="188">
        <f>opex_orig!$AD2</f>
        <v>6.2079689877585098E-5</v>
      </c>
      <c r="AI2" s="188">
        <f>opex_orig!AE2</f>
        <v>5.0300000000000003E-5</v>
      </c>
      <c r="AJ2" s="188">
        <f>opex_orig!AF2</f>
        <v>6.3399999999999996E-5</v>
      </c>
      <c r="AK2" s="188">
        <f>opex_orig!AG2</f>
        <v>1.95E-6</v>
      </c>
      <c r="AL2" s="188">
        <f>opex_orig!AH2</f>
        <v>8.4399999999999999E-7</v>
      </c>
      <c r="AM2" s="188">
        <f>opex_orig!AI2</f>
        <v>2.83E-6</v>
      </c>
      <c r="AN2" s="188">
        <f>opex_orig!AJ2</f>
        <v>5.4899999999999995E-7</v>
      </c>
      <c r="AO2" s="188">
        <f>opex_orig!AK2</f>
        <v>3.4300000000000002E-6</v>
      </c>
      <c r="AP2" s="188">
        <f>opex_orig!$AL2</f>
        <v>1.32070289340045E-6</v>
      </c>
      <c r="AQ2" s="188">
        <f>opex_orig!$AL2</f>
        <v>1.32070289340045E-6</v>
      </c>
      <c r="AR2" s="188">
        <f>opex_orig!$AL2</f>
        <v>1.32070289340045E-6</v>
      </c>
      <c r="AS2" s="188">
        <f>opex_orig!$AM2</f>
        <v>2.2462385770093401E-6</v>
      </c>
      <c r="AT2" s="188">
        <f>opex_orig!AN2</f>
        <v>5.3600000000000004E-6</v>
      </c>
      <c r="AU2" s="188">
        <f>opex_orig!$AO2</f>
        <v>6.0340918307895499E-7</v>
      </c>
      <c r="AV2" s="188">
        <f>opex_orig!$AO2</f>
        <v>6.0340918307895499E-7</v>
      </c>
      <c r="AW2" s="188">
        <f>opex_orig!$AO2</f>
        <v>6.0340918307895499E-7</v>
      </c>
      <c r="AX2" s="188">
        <f>opex_orig!$AP2</f>
        <v>9.4895279719534805E-7</v>
      </c>
      <c r="AY2" s="188">
        <f>opex_orig!AQ2</f>
        <v>1.2699999999999999E-6</v>
      </c>
      <c r="AZ2" s="188">
        <f>opex_orig!AR2</f>
        <v>0</v>
      </c>
      <c r="BA2" s="188">
        <f>opex_orig!AS2</f>
        <v>9.8599999999999996E-7</v>
      </c>
      <c r="BB2" s="188">
        <f>opex_orig!AT2</f>
        <v>5.8899999999999999E-7</v>
      </c>
      <c r="BC2" s="188">
        <f>opex_orig!AU2</f>
        <v>1.3400000000000001E-6</v>
      </c>
      <c r="BD2" s="188">
        <f>opex_orig!AV2</f>
        <v>1.3200000000000001E-6</v>
      </c>
      <c r="BE2" s="188">
        <f>opex_orig!AW2</f>
        <v>9.0100000000000003E-7</v>
      </c>
      <c r="BF2" s="188">
        <f>opex_orig!AX2</f>
        <v>0</v>
      </c>
      <c r="BG2" s="188">
        <f>opex_orig!AY2</f>
        <v>5.9000000000000003E-6</v>
      </c>
      <c r="BH2" s="188">
        <f>opex_orig!AZ2</f>
        <v>0</v>
      </c>
      <c r="BI2" s="188">
        <f>opex_orig!BA2</f>
        <v>5.5400000000000001E-7</v>
      </c>
      <c r="BJ2" s="188">
        <f>opex_orig!BB2</f>
        <v>4.15E-7</v>
      </c>
      <c r="BK2" s="188">
        <f>opex_orig!BC2</f>
        <v>7.7899999999999997E-7</v>
      </c>
      <c r="BL2" s="188">
        <f>opex_orig!BD2</f>
        <v>2.5800000000000001E-7</v>
      </c>
      <c r="BM2" s="188">
        <f>opex_orig!BE2</f>
        <v>1.29E-5</v>
      </c>
      <c r="BN2" s="188">
        <f>opex_orig!BF2</f>
        <v>6.5000000000000002E-7</v>
      </c>
      <c r="BO2" s="188">
        <f>opex_orig!BG2</f>
        <v>3.3899999999999997E-5</v>
      </c>
      <c r="BP2" s="188">
        <f>opex_orig!$BH2</f>
        <v>9.2354873016701E-7</v>
      </c>
      <c r="BQ2" s="188">
        <f>opex_orig!$BH2</f>
        <v>9.2354873016701E-7</v>
      </c>
      <c r="BR2" s="188">
        <f>opex_orig!BI2</f>
        <v>6.92E-7</v>
      </c>
      <c r="BS2" s="188">
        <f>opex_orig!BJ2</f>
        <v>1.48E-6</v>
      </c>
      <c r="BT2" s="188">
        <f>opex_orig!BK2</f>
        <v>2.8524300000000002E-4</v>
      </c>
      <c r="BU2" s="188">
        <f>opex_orig!BL2</f>
        <v>0</v>
      </c>
      <c r="BV2" s="27">
        <f>opex_orig!BM2</f>
        <v>4.0059935488491897E-6</v>
      </c>
      <c r="BW2" s="27">
        <f>opex_orig!BN2</f>
        <v>2.3666686553420099E-5</v>
      </c>
      <c r="BX2" s="27">
        <f>opex_orig!BO2</f>
        <v>6.2480255108572701E-7</v>
      </c>
      <c r="BY2" s="27">
        <f>opex_orig!BP2</f>
        <v>2.5199845595808698E-6</v>
      </c>
      <c r="BZ2" s="27">
        <f>opex_orig!BQ2</f>
        <v>8.0720609694100406E-6</v>
      </c>
      <c r="CA2" s="27">
        <f>opex_orig!BR2</f>
        <v>1.70104992858016E-7</v>
      </c>
      <c r="CB2" s="27">
        <f>opex_orig!BS2</f>
        <v>3.14424888827703E-5</v>
      </c>
      <c r="CC2" s="27">
        <f>opex_orig!BT2</f>
        <v>4.2065437282019902E-7</v>
      </c>
      <c r="CD2" s="27">
        <f>opex_orig!BU2</f>
        <v>3.0333085193102798E-7</v>
      </c>
      <c r="CE2" s="27">
        <f>opex_orig!BV2</f>
        <v>3.0333085193102899E-7</v>
      </c>
      <c r="CF2" s="27">
        <f>opex_orig!BW2</f>
        <v>1.51719488873251E-6</v>
      </c>
      <c r="CG2" s="27">
        <f>opex_orig!BX2</f>
        <v>3.8051596501042501E-7</v>
      </c>
      <c r="CH2" s="27">
        <f>opex_orig!BY2</f>
        <v>3.9724160144309002E-5</v>
      </c>
      <c r="CI2" s="27">
        <f>opex_orig!Y2</f>
        <v>9.7300000000000004E-7</v>
      </c>
      <c r="CJ2" s="27">
        <f>opex_orig!Z2</f>
        <v>1.0100000000000001E-6</v>
      </c>
      <c r="CK2" s="27">
        <f>opex_orig!AA2</f>
        <v>7.1799999999999999E-6</v>
      </c>
      <c r="CL2" s="27">
        <f>opex_orig!AB2</f>
        <v>2.5635095410803999E-4</v>
      </c>
      <c r="CM2" s="27">
        <f>opex_orig!AC2</f>
        <v>8.8072851094694998E-5</v>
      </c>
      <c r="CN2" s="27">
        <f>opex_orig!AD2</f>
        <v>6.2079689877585098E-5</v>
      </c>
      <c r="CO2" s="27">
        <f>opex_orig!AE2</f>
        <v>5.0300000000000003E-5</v>
      </c>
      <c r="CP2" s="27">
        <f>opex_orig!AF2</f>
        <v>6.3399999999999996E-5</v>
      </c>
    </row>
    <row r="3" spans="1:94" x14ac:dyDescent="0.25">
      <c r="A3" s="5" t="s">
        <v>25</v>
      </c>
      <c r="B3" s="2" t="s">
        <v>24</v>
      </c>
      <c r="C3" s="1" t="s">
        <v>325</v>
      </c>
      <c r="D3" s="188">
        <f>opex_orig!D3</f>
        <v>4.5700000000000003E-6</v>
      </c>
      <c r="E3" s="188">
        <f>opex_orig!E3</f>
        <v>6.7900000000000002E-6</v>
      </c>
      <c r="F3" s="188">
        <f>opex_orig!F3</f>
        <v>2.3300000000000001E-5</v>
      </c>
      <c r="G3" s="188">
        <f>opex_orig!G3</f>
        <v>6.6400000000000002E-7</v>
      </c>
      <c r="H3" s="188">
        <f>opex_orig!H3</f>
        <v>6.75E-7</v>
      </c>
      <c r="I3" s="188">
        <f>opex_orig!I3</f>
        <v>3.6200000000000001E-6</v>
      </c>
      <c r="J3" s="188">
        <f>opex_orig!J3</f>
        <v>1.8099999999999999E-5</v>
      </c>
      <c r="K3" s="188">
        <f>opex_orig!K3</f>
        <v>2.0700000000000001E-6</v>
      </c>
      <c r="L3" s="188">
        <f>opex_orig!L3</f>
        <v>3.0303534999999999E-2</v>
      </c>
      <c r="M3" s="188">
        <f>opex_orig!M3</f>
        <v>3.5543452000000003E-2</v>
      </c>
      <c r="N3" s="188">
        <f>opex_orig!N3</f>
        <v>3.2944673000000001E-2</v>
      </c>
      <c r="O3" s="188">
        <f>opex_orig!O3</f>
        <v>1.2748373E-2</v>
      </c>
      <c r="P3" s="188">
        <f>opex_orig!P3</f>
        <v>2.451342E-3</v>
      </c>
      <c r="Q3" s="188">
        <f>opex_orig!Q3</f>
        <v>9.9500000000000006E-5</v>
      </c>
      <c r="R3" s="188">
        <f>opex_orig!R3</f>
        <v>1.8499999999999999E-5</v>
      </c>
      <c r="S3" s="188">
        <f>opex_orig!S3</f>
        <v>2.8799999999999999E-5</v>
      </c>
      <c r="T3" s="188">
        <f>opex_orig!T3</f>
        <v>2.6299999999999999E-5</v>
      </c>
      <c r="U3" s="188">
        <f>opex_orig!U3</f>
        <v>4.7099999999999998E-6</v>
      </c>
      <c r="V3" s="188">
        <f>opex_orig!V3</f>
        <v>4.9400000000000001E-6</v>
      </c>
      <c r="W3" s="188">
        <f>opex_orig!W3</f>
        <v>2.9500000000000001E-6</v>
      </c>
      <c r="X3" s="188">
        <f>opex_orig!X3</f>
        <v>5.2800000000000003E-6</v>
      </c>
      <c r="Y3" s="188">
        <f>opex_orig!Y3</f>
        <v>8.6400000000000001E-7</v>
      </c>
      <c r="Z3" s="188">
        <f>opex_orig!Z3</f>
        <v>4.2872899999999998E-4</v>
      </c>
      <c r="AA3" s="188">
        <f>opex_orig!AA3</f>
        <v>3.7000000000000002E-6</v>
      </c>
      <c r="AB3" s="188">
        <f>opex_orig!$AB3</f>
        <v>6.9137020226511402E-4</v>
      </c>
      <c r="AC3" s="188">
        <f>opex_orig!$AB3</f>
        <v>6.9137020226511402E-4</v>
      </c>
      <c r="AD3" s="188">
        <f>opex_orig!$AB3</f>
        <v>6.9137020226511402E-4</v>
      </c>
      <c r="AE3" s="188">
        <f>opex_orig!$AC3</f>
        <v>1.08333817586238E-2</v>
      </c>
      <c r="AF3" s="188">
        <f>opex_orig!$AD3</f>
        <v>5.3969859103065601E-3</v>
      </c>
      <c r="AG3" s="188">
        <f>opex_orig!$AD3</f>
        <v>5.3969859103065601E-3</v>
      </c>
      <c r="AH3" s="188">
        <f>opex_orig!$AD3</f>
        <v>5.3969859103065601E-3</v>
      </c>
      <c r="AI3" s="188">
        <f>opex_orig!AE3</f>
        <v>5.3668919999999998E-3</v>
      </c>
      <c r="AJ3" s="188">
        <f>opex_orig!AF3</f>
        <v>4.5390669999999999E-3</v>
      </c>
      <c r="AK3" s="188">
        <f>opex_orig!AG3</f>
        <v>1.6099999999999998E-5</v>
      </c>
      <c r="AL3" s="188">
        <f>opex_orig!AH3</f>
        <v>1.1800000000000001E-5</v>
      </c>
      <c r="AM3" s="188">
        <f>opex_orig!AI3</f>
        <v>4.6399999999999996E-6</v>
      </c>
      <c r="AN3" s="188">
        <f>opex_orig!AJ3</f>
        <v>3.1700000000000001E-6</v>
      </c>
      <c r="AO3" s="188">
        <f>opex_orig!AK3</f>
        <v>5.4999999999999999E-6</v>
      </c>
      <c r="AP3" s="188">
        <f>opex_orig!$AL3</f>
        <v>3.6502467033151902E-6</v>
      </c>
      <c r="AQ3" s="188">
        <f>opex_orig!$AL3</f>
        <v>3.6502467033151902E-6</v>
      </c>
      <c r="AR3" s="188">
        <f>opex_orig!$AL3</f>
        <v>3.6502467033151902E-6</v>
      </c>
      <c r="AS3" s="188">
        <f>opex_orig!$AM3</f>
        <v>3.14474142906157E-6</v>
      </c>
      <c r="AT3" s="188">
        <f>opex_orig!AN3</f>
        <v>1.1199999999999999E-5</v>
      </c>
      <c r="AU3" s="188">
        <f>opex_orig!$AO3</f>
        <v>1.75393432855517E-6</v>
      </c>
      <c r="AV3" s="188">
        <f>opex_orig!$AO3</f>
        <v>1.75393432855517E-6</v>
      </c>
      <c r="AW3" s="188">
        <f>opex_orig!$AO3</f>
        <v>1.75393432855517E-6</v>
      </c>
      <c r="AX3" s="188">
        <f>opex_orig!$AP3</f>
        <v>2.0158827936232199E-6</v>
      </c>
      <c r="AY3" s="188">
        <f>opex_orig!AQ3</f>
        <v>3.0800000000000002E-6</v>
      </c>
      <c r="AZ3" s="188">
        <f>opex_orig!AR3</f>
        <v>0</v>
      </c>
      <c r="BA3" s="188">
        <f>opex_orig!AS3</f>
        <v>5.5799999999999999E-6</v>
      </c>
      <c r="BB3" s="188">
        <f>opex_orig!AT3</f>
        <v>4.7199999999999997E-6</v>
      </c>
      <c r="BC3" s="188">
        <f>opex_orig!AU3</f>
        <v>1.5E-6</v>
      </c>
      <c r="BD3" s="188">
        <f>opex_orig!AV3</f>
        <v>5.3499999999999996E-7</v>
      </c>
      <c r="BE3" s="188">
        <f>opex_orig!AW3</f>
        <v>1.5600000000000001E-6</v>
      </c>
      <c r="BF3" s="188">
        <f>opex_orig!AX3</f>
        <v>0</v>
      </c>
      <c r="BG3" s="188">
        <f>opex_orig!AY3</f>
        <v>2.7199999999999998E-6</v>
      </c>
      <c r="BH3" s="188">
        <f>opex_orig!AZ3</f>
        <v>0</v>
      </c>
      <c r="BI3" s="188">
        <f>opex_orig!BA3</f>
        <v>1.22E-6</v>
      </c>
      <c r="BJ3" s="188">
        <f>opex_orig!BB3</f>
        <v>1.2100000000000001E-6</v>
      </c>
      <c r="BK3" s="188">
        <f>opex_orig!BC3</f>
        <v>2.3800000000000001E-6</v>
      </c>
      <c r="BL3" s="188">
        <f>opex_orig!BD3</f>
        <v>3.7400000000000002E-6</v>
      </c>
      <c r="BM3" s="188">
        <f>opex_orig!BE3</f>
        <v>4.3699999999999997E-6</v>
      </c>
      <c r="BN3" s="188">
        <f>opex_orig!BF3</f>
        <v>1.66E-6</v>
      </c>
      <c r="BO3" s="188">
        <f>opex_orig!BG3</f>
        <v>1.4399999999999999E-5</v>
      </c>
      <c r="BP3" s="188">
        <f>opex_orig!$BH3</f>
        <v>1.3095730095945599E-6</v>
      </c>
      <c r="BQ3" s="188">
        <f>opex_orig!$BH3</f>
        <v>1.3095730095945599E-6</v>
      </c>
      <c r="BR3" s="188">
        <f>opex_orig!BI3</f>
        <v>2.4499999999999998E-6</v>
      </c>
      <c r="BS3" s="188">
        <f>opex_orig!BJ3</f>
        <v>1.24249E-4</v>
      </c>
      <c r="BT3" s="188">
        <f>opex_orig!BK3</f>
        <v>7.7799999999999994E-5</v>
      </c>
      <c r="BU3" s="188">
        <f>opex_orig!BL3</f>
        <v>0</v>
      </c>
      <c r="BV3" s="27">
        <f>opex_orig!BM3</f>
        <v>8.1506668659692803E-6</v>
      </c>
      <c r="BW3" s="27">
        <f>opex_orig!BN3</f>
        <v>3.81311848483976E-5</v>
      </c>
      <c r="BX3" s="27">
        <f>opex_orig!BO3</f>
        <v>1.9405806420825001E-6</v>
      </c>
      <c r="BY3" s="27">
        <f>opex_orig!BP3</f>
        <v>5.9106631693904599E-6</v>
      </c>
      <c r="BZ3" s="27">
        <f>opex_orig!BQ3</f>
        <v>3.5311531227553401E-6</v>
      </c>
      <c r="CA3" s="27">
        <f>opex_orig!BR3</f>
        <v>1.0981743401556701E-7</v>
      </c>
      <c r="CB3" s="27">
        <f>opex_orig!BS3</f>
        <v>2.0882865983200501E-5</v>
      </c>
      <c r="CC3" s="27">
        <f>opex_orig!BT3</f>
        <v>5.8279733294884198E-7</v>
      </c>
      <c r="CD3" s="27">
        <f>opex_orig!BU3</f>
        <v>7.4809859392345E-7</v>
      </c>
      <c r="CE3" s="27">
        <f>opex_orig!BV3</f>
        <v>7.4809859392345095E-7</v>
      </c>
      <c r="CF3" s="27">
        <f>opex_orig!BW3</f>
        <v>7.4116903318488501E-6</v>
      </c>
      <c r="CG3" s="27">
        <f>opex_orig!BX3</f>
        <v>4.88461904935668E-7</v>
      </c>
      <c r="CH3" s="27">
        <f>opex_orig!BY3</f>
        <v>3.4349817764955398E-6</v>
      </c>
      <c r="CI3" s="27">
        <f>opex_orig!Y3</f>
        <v>8.6400000000000001E-7</v>
      </c>
      <c r="CJ3" s="27">
        <f>opex_orig!Z3</f>
        <v>4.2872899999999998E-4</v>
      </c>
      <c r="CK3" s="27">
        <f>opex_orig!AA3</f>
        <v>3.7000000000000002E-6</v>
      </c>
      <c r="CL3" s="27">
        <f>opex_orig!AB3</f>
        <v>6.9137020226511402E-4</v>
      </c>
      <c r="CM3" s="27">
        <f>opex_orig!AC3</f>
        <v>1.08333817586238E-2</v>
      </c>
      <c r="CN3" s="27">
        <f>opex_orig!AD3</f>
        <v>5.3969859103065601E-3</v>
      </c>
      <c r="CO3" s="27">
        <f>opex_orig!AE3</f>
        <v>5.3668919999999998E-3</v>
      </c>
      <c r="CP3" s="27">
        <f>opex_orig!AF3</f>
        <v>4.5390669999999999E-3</v>
      </c>
    </row>
    <row r="4" spans="1:94" x14ac:dyDescent="0.25">
      <c r="A4" s="5" t="s">
        <v>27</v>
      </c>
      <c r="B4" s="2" t="s">
        <v>26</v>
      </c>
      <c r="C4" s="1" t="s">
        <v>325</v>
      </c>
      <c r="D4" s="188">
        <f>opex_orig!D4</f>
        <v>5.6400000000000002E-6</v>
      </c>
      <c r="E4" s="188">
        <f>opex_orig!E4</f>
        <v>5.4299999999999997E-6</v>
      </c>
      <c r="F4" s="188">
        <f>opex_orig!F4</f>
        <v>1.4800000000000001E-5</v>
      </c>
      <c r="G4" s="188">
        <f>opex_orig!G4</f>
        <v>1.0899999999999999E-6</v>
      </c>
      <c r="H4" s="188">
        <f>opex_orig!H4</f>
        <v>1.22E-6</v>
      </c>
      <c r="I4" s="188">
        <f>opex_orig!I4</f>
        <v>4.7199999999999997E-6</v>
      </c>
      <c r="J4" s="188">
        <f>opex_orig!J4</f>
        <v>1.5800000000000001E-5</v>
      </c>
      <c r="K4" s="188">
        <f>opex_orig!K4</f>
        <v>2.7800000000000001E-6</v>
      </c>
      <c r="L4" s="188">
        <f>opex_orig!L4</f>
        <v>4.4177942999999997E-2</v>
      </c>
      <c r="M4" s="188">
        <f>opex_orig!M4</f>
        <v>5.2844980999999999E-2</v>
      </c>
      <c r="N4" s="188">
        <f>opex_orig!N4</f>
        <v>5.5589567999999999E-2</v>
      </c>
      <c r="O4" s="188">
        <f>opex_orig!O4</f>
        <v>9.8015359999999996E-3</v>
      </c>
      <c r="P4" s="188">
        <f>opex_orig!P4</f>
        <v>1.7074950000000001E-3</v>
      </c>
      <c r="Q4" s="188">
        <f>opex_orig!Q4</f>
        <v>1.21818E-4</v>
      </c>
      <c r="R4" s="188">
        <f>opex_orig!R4</f>
        <v>3.3599999999999997E-5</v>
      </c>
      <c r="S4" s="188">
        <f>opex_orig!S4</f>
        <v>2.4300000000000001E-5</v>
      </c>
      <c r="T4" s="188">
        <f>opex_orig!T4</f>
        <v>2.34E-5</v>
      </c>
      <c r="U4" s="188">
        <f>opex_orig!U4</f>
        <v>1.0699999999999999E-5</v>
      </c>
      <c r="V4" s="188">
        <f>opex_orig!V4</f>
        <v>1.3200000000000001E-5</v>
      </c>
      <c r="W4" s="188">
        <f>opex_orig!W4</f>
        <v>3.2200000000000001E-6</v>
      </c>
      <c r="X4" s="188">
        <f>opex_orig!X4</f>
        <v>3.3500000000000001E-6</v>
      </c>
      <c r="Y4" s="188">
        <f>opex_orig!Y4</f>
        <v>1.7099999999999999E-6</v>
      </c>
      <c r="Z4" s="188">
        <f>opex_orig!Z4</f>
        <v>1.8328299999999999E-4</v>
      </c>
      <c r="AA4" s="188">
        <f>opex_orig!AA4</f>
        <v>1.03E-5</v>
      </c>
      <c r="AB4" s="188">
        <f>opex_orig!$AB4</f>
        <v>3.9091818214950498E-4</v>
      </c>
      <c r="AC4" s="188">
        <f>opex_orig!$AB4</f>
        <v>3.9091818214950498E-4</v>
      </c>
      <c r="AD4" s="188">
        <f>opex_orig!$AB4</f>
        <v>3.9091818214950498E-4</v>
      </c>
      <c r="AE4" s="188">
        <f>opex_orig!$AC4</f>
        <v>7.6306391172149398E-3</v>
      </c>
      <c r="AF4" s="188">
        <f>opex_orig!$AD4</f>
        <v>3.9053434058628502E-3</v>
      </c>
      <c r="AG4" s="188">
        <f>opex_orig!$AD4</f>
        <v>3.9053434058628502E-3</v>
      </c>
      <c r="AH4" s="188">
        <f>opex_orig!$AD4</f>
        <v>3.9053434058628502E-3</v>
      </c>
      <c r="AI4" s="188">
        <f>opex_orig!AE4</f>
        <v>3.8017530000000002E-3</v>
      </c>
      <c r="AJ4" s="188">
        <f>opex_orig!AF4</f>
        <v>3.569301E-3</v>
      </c>
      <c r="AK4" s="188">
        <f>opex_orig!AG4</f>
        <v>5.9800000000000003E-6</v>
      </c>
      <c r="AL4" s="188">
        <f>opex_orig!AH4</f>
        <v>4.0799999999999999E-6</v>
      </c>
      <c r="AM4" s="188">
        <f>opex_orig!AI4</f>
        <v>4.16E-6</v>
      </c>
      <c r="AN4" s="188">
        <f>opex_orig!AJ4</f>
        <v>2.17E-6</v>
      </c>
      <c r="AO4" s="188">
        <f>opex_orig!AK4</f>
        <v>5.1599999999999997E-6</v>
      </c>
      <c r="AP4" s="188">
        <f>opex_orig!$AL4</f>
        <v>2.8878020605785502E-6</v>
      </c>
      <c r="AQ4" s="188">
        <f>opex_orig!$AL4</f>
        <v>2.8878020605785502E-6</v>
      </c>
      <c r="AR4" s="188">
        <f>opex_orig!$AL4</f>
        <v>2.8878020605785502E-6</v>
      </c>
      <c r="AS4" s="188">
        <f>opex_orig!$AM4</f>
        <v>3.4022056056284901E-6</v>
      </c>
      <c r="AT4" s="188">
        <f>opex_orig!AN4</f>
        <v>7.8900000000000007E-6</v>
      </c>
      <c r="AU4" s="188">
        <f>opex_orig!$AO4</f>
        <v>1.54396575275685E-6</v>
      </c>
      <c r="AV4" s="188">
        <f>opex_orig!$AO4</f>
        <v>1.54396575275685E-6</v>
      </c>
      <c r="AW4" s="188">
        <f>opex_orig!$AO4</f>
        <v>1.54396575275685E-6</v>
      </c>
      <c r="AX4" s="188">
        <f>opex_orig!$AP4</f>
        <v>2.0200053433418101E-6</v>
      </c>
      <c r="AY4" s="188">
        <f>opex_orig!AQ4</f>
        <v>2.8700000000000001E-6</v>
      </c>
      <c r="AZ4" s="188">
        <f>opex_orig!AR4</f>
        <v>0</v>
      </c>
      <c r="BA4" s="188">
        <f>opex_orig!AS4</f>
        <v>3.23E-6</v>
      </c>
      <c r="BB4" s="188">
        <f>opex_orig!AT4</f>
        <v>2.6199999999999999E-6</v>
      </c>
      <c r="BC4" s="188">
        <f>opex_orig!AU4</f>
        <v>1.8700000000000001E-6</v>
      </c>
      <c r="BD4" s="188">
        <f>opex_orig!AV4</f>
        <v>1.5999999999999999E-6</v>
      </c>
      <c r="BE4" s="188">
        <f>opex_orig!AW4</f>
        <v>1.79E-6</v>
      </c>
      <c r="BF4" s="188">
        <f>opex_orig!AX4</f>
        <v>0</v>
      </c>
      <c r="BG4" s="188">
        <f>opex_orig!AY4</f>
        <v>5.7899999999999996E-6</v>
      </c>
      <c r="BH4" s="188">
        <f>opex_orig!AZ4</f>
        <v>0</v>
      </c>
      <c r="BI4" s="188">
        <f>opex_orig!BA4</f>
        <v>1.4899999999999999E-6</v>
      </c>
      <c r="BJ4" s="188">
        <f>opex_orig!BB4</f>
        <v>8.6099999999999999E-7</v>
      </c>
      <c r="BK4" s="188">
        <f>opex_orig!BC4</f>
        <v>2.6299999999999998E-6</v>
      </c>
      <c r="BL4" s="188">
        <f>opex_orig!BD4</f>
        <v>3.2600000000000001E-6</v>
      </c>
      <c r="BM4" s="188">
        <f>opex_orig!BE4</f>
        <v>3.9500000000000003E-6</v>
      </c>
      <c r="BN4" s="188">
        <f>opex_orig!BF4</f>
        <v>1.6899999999999999E-6</v>
      </c>
      <c r="BO4" s="188">
        <f>opex_orig!BG4</f>
        <v>8.0600000000000008E-6</v>
      </c>
      <c r="BP4" s="188">
        <f>opex_orig!$BH4</f>
        <v>2.7738992921792502E-6</v>
      </c>
      <c r="BQ4" s="188">
        <f>opex_orig!$BH4</f>
        <v>2.7738992921792502E-6</v>
      </c>
      <c r="BR4" s="188">
        <f>opex_orig!BI4</f>
        <v>2.0600000000000002E-6</v>
      </c>
      <c r="BS4" s="188">
        <f>opex_orig!BJ4</f>
        <v>5.6400000000000002E-5</v>
      </c>
      <c r="BT4" s="188">
        <f>opex_orig!BK4</f>
        <v>4.6499999999999999E-5</v>
      </c>
      <c r="BU4" s="188">
        <f>opex_orig!BL4</f>
        <v>0</v>
      </c>
      <c r="BV4" s="27">
        <f>opex_orig!BM4</f>
        <v>9.2554371606333499E-6</v>
      </c>
      <c r="BW4" s="27">
        <f>opex_orig!BN4</f>
        <v>3.0004397944589501E-5</v>
      </c>
      <c r="BX4" s="27">
        <f>opex_orig!BO4</f>
        <v>2.71744830176484E-6</v>
      </c>
      <c r="BY4" s="27">
        <f>opex_orig!BP4</f>
        <v>6.7608806709892103E-6</v>
      </c>
      <c r="BZ4" s="27">
        <f>opex_orig!BQ4</f>
        <v>9.0764697549774002E-6</v>
      </c>
      <c r="CA4" s="27">
        <f>opex_orig!BR4</f>
        <v>2.54580738085961E-7</v>
      </c>
      <c r="CB4" s="27">
        <f>opex_orig!BS4</f>
        <v>2.8600295128253999E-5</v>
      </c>
      <c r="CC4" s="27">
        <f>opex_orig!BT4</f>
        <v>9.4552827812069497E-7</v>
      </c>
      <c r="CD4" s="27">
        <f>opex_orig!BU4</f>
        <v>3.0021769808777601E-6</v>
      </c>
      <c r="CE4" s="27">
        <f>opex_orig!BV4</f>
        <v>3.0021769808777601E-6</v>
      </c>
      <c r="CF4" s="27">
        <f>opex_orig!BW4</f>
        <v>8.6419249570513802E-6</v>
      </c>
      <c r="CG4" s="27">
        <f>opex_orig!BX4</f>
        <v>1.01706811526365E-6</v>
      </c>
      <c r="CH4" s="27">
        <f>opex_orig!BY4</f>
        <v>1.48411691079235E-5</v>
      </c>
      <c r="CI4" s="27">
        <f>opex_orig!Y4</f>
        <v>1.7099999999999999E-6</v>
      </c>
      <c r="CJ4" s="27">
        <f>opex_orig!Z4</f>
        <v>1.8328299999999999E-4</v>
      </c>
      <c r="CK4" s="27">
        <f>opex_orig!AA4</f>
        <v>1.03E-5</v>
      </c>
      <c r="CL4" s="27">
        <f>opex_orig!AB4</f>
        <v>3.9091818214950498E-4</v>
      </c>
      <c r="CM4" s="27">
        <f>opex_orig!AC4</f>
        <v>7.6306391172149398E-3</v>
      </c>
      <c r="CN4" s="27">
        <f>opex_orig!AD4</f>
        <v>3.9053434058628502E-3</v>
      </c>
      <c r="CO4" s="27">
        <f>opex_orig!AE4</f>
        <v>3.8017530000000002E-3</v>
      </c>
      <c r="CP4" s="27">
        <f>opex_orig!AF4</f>
        <v>3.569301E-3</v>
      </c>
    </row>
    <row r="5" spans="1:94" x14ac:dyDescent="0.25">
      <c r="A5" s="5" t="s">
        <v>29</v>
      </c>
      <c r="B5" s="2" t="s">
        <v>28</v>
      </c>
      <c r="C5" s="1" t="s">
        <v>325</v>
      </c>
      <c r="D5" s="188">
        <f>opex_orig!D5</f>
        <v>2.3799999999999999E-5</v>
      </c>
      <c r="E5" s="188">
        <f>opex_orig!E5</f>
        <v>3.9799999999999998E-5</v>
      </c>
      <c r="F5" s="188">
        <f>opex_orig!F5</f>
        <v>1.05468E-4</v>
      </c>
      <c r="G5" s="188">
        <f>opex_orig!G5</f>
        <v>3.8999999999999999E-6</v>
      </c>
      <c r="H5" s="188">
        <f>opex_orig!H5</f>
        <v>3.19E-6</v>
      </c>
      <c r="I5" s="188">
        <f>opex_orig!I5</f>
        <v>2.37E-5</v>
      </c>
      <c r="J5" s="188">
        <f>opex_orig!J5</f>
        <v>3.1600000000000002E-5</v>
      </c>
      <c r="K5" s="188">
        <f>opex_orig!K5</f>
        <v>7.1600000000000001E-6</v>
      </c>
      <c r="L5" s="188">
        <f>opex_orig!L5</f>
        <v>4.8133914E-2</v>
      </c>
      <c r="M5" s="188">
        <f>opex_orig!M5</f>
        <v>4.5783371000000003E-2</v>
      </c>
      <c r="N5" s="188">
        <f>opex_orig!N5</f>
        <v>3.9651406E-2</v>
      </c>
      <c r="O5" s="188">
        <f>opex_orig!O5</f>
        <v>2.917003E-3</v>
      </c>
      <c r="P5" s="188">
        <f>opex_orig!P5</f>
        <v>4.58932E-4</v>
      </c>
      <c r="Q5" s="188">
        <f>opex_orig!Q5</f>
        <v>2.2037900000000001E-4</v>
      </c>
      <c r="R5" s="188">
        <f>opex_orig!R5</f>
        <v>5.52E-5</v>
      </c>
      <c r="S5" s="188">
        <f>opex_orig!S5</f>
        <v>1.9400000000000001E-5</v>
      </c>
      <c r="T5" s="188">
        <f>opex_orig!T5</f>
        <v>2.55E-5</v>
      </c>
      <c r="U5" s="188">
        <f>opex_orig!U5</f>
        <v>5.0099999999999998E-5</v>
      </c>
      <c r="V5" s="188">
        <f>opex_orig!V5</f>
        <v>8.5000000000000006E-5</v>
      </c>
      <c r="W5" s="188">
        <f>opex_orig!W5</f>
        <v>1.73E-5</v>
      </c>
      <c r="X5" s="188">
        <f>opex_orig!X5</f>
        <v>1.33E-5</v>
      </c>
      <c r="Y5" s="188">
        <f>opex_orig!Y5</f>
        <v>6.7499999999999997E-6</v>
      </c>
      <c r="Z5" s="188">
        <f>opex_orig!Z5</f>
        <v>4.3512999999999999E-4</v>
      </c>
      <c r="AA5" s="188">
        <f>opex_orig!AA5</f>
        <v>3.0700000000000001E-5</v>
      </c>
      <c r="AB5" s="188">
        <f>opex_orig!$AB5</f>
        <v>2.6398995416881997E-4</v>
      </c>
      <c r="AC5" s="188">
        <f>opex_orig!$AB5</f>
        <v>2.6398995416881997E-4</v>
      </c>
      <c r="AD5" s="188">
        <f>opex_orig!$AB5</f>
        <v>2.6398995416881997E-4</v>
      </c>
      <c r="AE5" s="188">
        <f>opex_orig!$AC5</f>
        <v>2.6223217922986901E-3</v>
      </c>
      <c r="AF5" s="188">
        <f>opex_orig!$AD5</f>
        <v>1.47731003015292E-3</v>
      </c>
      <c r="AG5" s="188">
        <f>opex_orig!$AD5</f>
        <v>1.47731003015292E-3</v>
      </c>
      <c r="AH5" s="188">
        <f>opex_orig!$AD5</f>
        <v>1.47731003015292E-3</v>
      </c>
      <c r="AI5" s="188">
        <f>opex_orig!AE5</f>
        <v>1.492461E-3</v>
      </c>
      <c r="AJ5" s="188">
        <f>opex_orig!AF5</f>
        <v>1.382805E-3</v>
      </c>
      <c r="AK5" s="188">
        <f>opex_orig!AG5</f>
        <v>5.2099999999999999E-5</v>
      </c>
      <c r="AL5" s="188">
        <f>opex_orig!AH5</f>
        <v>4.1699999999999997E-5</v>
      </c>
      <c r="AM5" s="188">
        <f>opex_orig!AI5</f>
        <v>1.52E-5</v>
      </c>
      <c r="AN5" s="188">
        <f>opex_orig!AJ5</f>
        <v>2.58E-5</v>
      </c>
      <c r="AO5" s="188">
        <f>opex_orig!AK5</f>
        <v>3.26E-5</v>
      </c>
      <c r="AP5" s="188">
        <f>opex_orig!$AL5</f>
        <v>2.13902961806828E-5</v>
      </c>
      <c r="AQ5" s="188">
        <f>opex_orig!$AL5</f>
        <v>2.13902961806828E-5</v>
      </c>
      <c r="AR5" s="188">
        <f>opex_orig!$AL5</f>
        <v>2.13902961806828E-5</v>
      </c>
      <c r="AS5" s="188">
        <f>opex_orig!$AM5</f>
        <v>2.0163970879711499E-5</v>
      </c>
      <c r="AT5" s="188">
        <f>opex_orig!AN5</f>
        <v>2.9799999999999999E-5</v>
      </c>
      <c r="AU5" s="188">
        <f>opex_orig!$AO5</f>
        <v>1.1329822884584199E-5</v>
      </c>
      <c r="AV5" s="188">
        <f>opex_orig!$AO5</f>
        <v>1.1329822884584199E-5</v>
      </c>
      <c r="AW5" s="188">
        <f>opex_orig!$AO5</f>
        <v>1.1329822884584199E-5</v>
      </c>
      <c r="AX5" s="188">
        <f>opex_orig!$AP5</f>
        <v>2.4637383657795899E-5</v>
      </c>
      <c r="AY5" s="188">
        <f>opex_orig!AQ5</f>
        <v>3.3899999999999997E-5</v>
      </c>
      <c r="AZ5" s="188">
        <f>opex_orig!AR5</f>
        <v>0</v>
      </c>
      <c r="BA5" s="188">
        <f>opex_orig!AS5</f>
        <v>3.4600000000000001E-5</v>
      </c>
      <c r="BB5" s="188">
        <f>opex_orig!AT5</f>
        <v>2.4000000000000001E-5</v>
      </c>
      <c r="BC5" s="188">
        <f>opex_orig!AU5</f>
        <v>2.6699999999999998E-5</v>
      </c>
      <c r="BD5" s="188">
        <f>opex_orig!AV5</f>
        <v>1.1600000000000001E-5</v>
      </c>
      <c r="BE5" s="188">
        <f>opex_orig!AW5</f>
        <v>2.41E-5</v>
      </c>
      <c r="BF5" s="188">
        <f>opex_orig!AX5</f>
        <v>0</v>
      </c>
      <c r="BG5" s="188">
        <f>opex_orig!AY5</f>
        <v>2.1399999999999998E-5</v>
      </c>
      <c r="BH5" s="188">
        <f>opex_orig!AZ5</f>
        <v>0</v>
      </c>
      <c r="BI5" s="188">
        <f>opex_orig!BA5</f>
        <v>1.01E-5</v>
      </c>
      <c r="BJ5" s="188">
        <f>opex_orig!BB5</f>
        <v>1.3200000000000001E-5</v>
      </c>
      <c r="BK5" s="188">
        <f>opex_orig!BC5</f>
        <v>1.31E-5</v>
      </c>
      <c r="BL5" s="188">
        <f>opex_orig!BD5</f>
        <v>1.2300000000000001E-5</v>
      </c>
      <c r="BM5" s="188">
        <f>opex_orig!BE5</f>
        <v>1.34E-5</v>
      </c>
      <c r="BN5" s="188">
        <f>opex_orig!BF5</f>
        <v>3.0899999999999999E-5</v>
      </c>
      <c r="BO5" s="188">
        <f>opex_orig!BG5</f>
        <v>3.6300000000000001E-5</v>
      </c>
      <c r="BP5" s="188">
        <f>opex_orig!$BH5</f>
        <v>1.4437854679112399E-5</v>
      </c>
      <c r="BQ5" s="188">
        <f>opex_orig!$BH5</f>
        <v>1.4437854679112399E-5</v>
      </c>
      <c r="BR5" s="188">
        <f>opex_orig!BI5</f>
        <v>1.2999999999999999E-5</v>
      </c>
      <c r="BS5" s="188">
        <f>opex_orig!BJ5</f>
        <v>1.83454E-4</v>
      </c>
      <c r="BT5" s="188">
        <f>opex_orig!BK5</f>
        <v>1.6259E-4</v>
      </c>
      <c r="BU5" s="188">
        <f>opex_orig!BL5</f>
        <v>0</v>
      </c>
      <c r="BV5" s="27">
        <f>opex_orig!BM5</f>
        <v>2.7029491260443198E-5</v>
      </c>
      <c r="BW5" s="27">
        <f>opex_orig!BN5</f>
        <v>1.34404858140836E-4</v>
      </c>
      <c r="BX5" s="27">
        <f>opex_orig!BO5</f>
        <v>1.7514496997939899E-5</v>
      </c>
      <c r="BY5" s="27">
        <f>opex_orig!BP5</f>
        <v>1.07024393829226E-4</v>
      </c>
      <c r="BZ5" s="27">
        <f>opex_orig!BQ5</f>
        <v>3.2927106211466703E-5</v>
      </c>
      <c r="CA5" s="27">
        <f>opex_orig!BR5</f>
        <v>1.1145424608715299E-6</v>
      </c>
      <c r="CB5" s="27">
        <f>opex_orig!BS5</f>
        <v>7.52960943890219E-5</v>
      </c>
      <c r="CC5" s="27">
        <f>opex_orig!BT5</f>
        <v>3.0969534561804899E-6</v>
      </c>
      <c r="CD5" s="27">
        <f>opex_orig!BU5</f>
        <v>9.4255485452580808E-6</v>
      </c>
      <c r="CE5" s="27">
        <f>opex_orig!BV5</f>
        <v>9.4255485452581096E-6</v>
      </c>
      <c r="CF5" s="27">
        <f>opex_orig!BW5</f>
        <v>2.4014948795505301E-5</v>
      </c>
      <c r="CG5" s="27">
        <f>opex_orig!BX5</f>
        <v>5.6662083579293398E-6</v>
      </c>
      <c r="CH5" s="27">
        <f>opex_orig!BY5</f>
        <v>4.9506988337283403E-5</v>
      </c>
      <c r="CI5" s="27">
        <f>opex_orig!Y5</f>
        <v>6.7499999999999997E-6</v>
      </c>
      <c r="CJ5" s="27">
        <f>opex_orig!Z5</f>
        <v>4.3512999999999999E-4</v>
      </c>
      <c r="CK5" s="27">
        <f>opex_orig!AA5</f>
        <v>3.0700000000000001E-5</v>
      </c>
      <c r="CL5" s="27">
        <f>opex_orig!AB5</f>
        <v>2.6398995416881997E-4</v>
      </c>
      <c r="CM5" s="27">
        <f>opex_orig!AC5</f>
        <v>2.6223217922986901E-3</v>
      </c>
      <c r="CN5" s="27">
        <f>opex_orig!AD5</f>
        <v>1.47731003015292E-3</v>
      </c>
      <c r="CO5" s="27">
        <f>opex_orig!AE5</f>
        <v>1.492461E-3</v>
      </c>
      <c r="CP5" s="27">
        <f>opex_orig!AF5</f>
        <v>1.382805E-3</v>
      </c>
    </row>
    <row r="6" spans="1:94" x14ac:dyDescent="0.25">
      <c r="A6" s="5" t="s">
        <v>31</v>
      </c>
      <c r="B6" s="2" t="s">
        <v>30</v>
      </c>
      <c r="C6" s="1" t="s">
        <v>325</v>
      </c>
      <c r="D6" s="188">
        <f>opex_orig!D6</f>
        <v>5.3900000000000001E-6</v>
      </c>
      <c r="E6" s="188">
        <f>opex_orig!E6</f>
        <v>6.6000000000000003E-6</v>
      </c>
      <c r="F6" s="188">
        <f>opex_orig!F6</f>
        <v>2.2799999999999999E-5</v>
      </c>
      <c r="G6" s="188">
        <f>opex_orig!G6</f>
        <v>7.2900000000000003E-7</v>
      </c>
      <c r="H6" s="188">
        <f>opex_orig!H6</f>
        <v>8.7167596999999999E-2</v>
      </c>
      <c r="I6" s="188">
        <f>opex_orig!I6</f>
        <v>5.5999999999999997E-6</v>
      </c>
      <c r="J6" s="188">
        <f>opex_orig!J6</f>
        <v>5.8999999999999998E-5</v>
      </c>
      <c r="K6" s="188">
        <f>opex_orig!K6</f>
        <v>1.37E-6</v>
      </c>
      <c r="L6" s="188">
        <f>opex_orig!L6</f>
        <v>4.2637011000000002E-2</v>
      </c>
      <c r="M6" s="188">
        <f>opex_orig!M6</f>
        <v>1.3523300000000001E-4</v>
      </c>
      <c r="N6" s="188">
        <f>opex_orig!N6</f>
        <v>4.7779838999999998E-2</v>
      </c>
      <c r="O6" s="188">
        <f>opex_orig!O6</f>
        <v>5.2529499999999995E-4</v>
      </c>
      <c r="P6" s="188">
        <f>opex_orig!P6</f>
        <v>8.2000000000000001E-5</v>
      </c>
      <c r="Q6" s="188">
        <f>opex_orig!Q6</f>
        <v>1.1746700000000001E-4</v>
      </c>
      <c r="R6" s="188">
        <f>opex_orig!R6</f>
        <v>1.52E-5</v>
      </c>
      <c r="S6" s="188">
        <f>opex_orig!S6</f>
        <v>1.1800000000000001E-5</v>
      </c>
      <c r="T6" s="188">
        <f>opex_orig!T6</f>
        <v>7.3799999999999996E-6</v>
      </c>
      <c r="U6" s="188">
        <f>opex_orig!U6</f>
        <v>1.6500000000000001E-5</v>
      </c>
      <c r="V6" s="188">
        <f>opex_orig!V6</f>
        <v>1.42E-5</v>
      </c>
      <c r="W6" s="188">
        <f>opex_orig!W6</f>
        <v>5.5799999999999999E-6</v>
      </c>
      <c r="X6" s="188">
        <f>opex_orig!X6</f>
        <v>7.9400000000000002E-6</v>
      </c>
      <c r="Y6" s="188">
        <f>opex_orig!Y6</f>
        <v>1.4699999999999999E-6</v>
      </c>
      <c r="Z6" s="188">
        <f>opex_orig!Z6</f>
        <v>6.0136100000000002E-4</v>
      </c>
      <c r="AA6" s="188">
        <f>opex_orig!AA6</f>
        <v>6.9299999999999997E-6</v>
      </c>
      <c r="AB6" s="188">
        <f>opex_orig!$AB6</f>
        <v>1.9295825082987501E-3</v>
      </c>
      <c r="AC6" s="188">
        <f>opex_orig!$AB6</f>
        <v>1.9295825082987501E-3</v>
      </c>
      <c r="AD6" s="188">
        <f>opex_orig!$AB6</f>
        <v>1.9295825082987501E-3</v>
      </c>
      <c r="AE6" s="188">
        <f>opex_orig!$AC6</f>
        <v>1.03276120516338E-2</v>
      </c>
      <c r="AF6" s="188">
        <f>opex_orig!$AD6</f>
        <v>5.4057003692516903E-3</v>
      </c>
      <c r="AG6" s="188">
        <f>opex_orig!$AD6</f>
        <v>5.4057003692516903E-3</v>
      </c>
      <c r="AH6" s="188">
        <f>opex_orig!$AD6</f>
        <v>5.4057003692516903E-3</v>
      </c>
      <c r="AI6" s="188">
        <f>opex_orig!AE6</f>
        <v>5.6725090000000001E-3</v>
      </c>
      <c r="AJ6" s="188">
        <f>opex_orig!AF6</f>
        <v>3.9565829999999996E-3</v>
      </c>
      <c r="AK6" s="188">
        <f>opex_orig!AG6</f>
        <v>9.1400000000000006E-6</v>
      </c>
      <c r="AL6" s="188">
        <f>opex_orig!AH6</f>
        <v>1.1000000000000001E-6</v>
      </c>
      <c r="AM6" s="188">
        <f>opex_orig!AI6</f>
        <v>1.55E-6</v>
      </c>
      <c r="AN6" s="188">
        <f>opex_orig!AJ6</f>
        <v>1.7E-6</v>
      </c>
      <c r="AO6" s="188">
        <f>opex_orig!AK6</f>
        <v>2.08E-6</v>
      </c>
      <c r="AP6" s="188">
        <f>opex_orig!$AL6</f>
        <v>1.87170251141367E-6</v>
      </c>
      <c r="AQ6" s="188">
        <f>opex_orig!$AL6</f>
        <v>1.87170251141367E-6</v>
      </c>
      <c r="AR6" s="188">
        <f>opex_orig!$AL6</f>
        <v>1.87170251141367E-6</v>
      </c>
      <c r="AS6" s="188">
        <f>opex_orig!$AM6</f>
        <v>1.6159411099682499E-6</v>
      </c>
      <c r="AT6" s="188">
        <f>opex_orig!AN6</f>
        <v>1.9800000000000001E-6</v>
      </c>
      <c r="AU6" s="188">
        <f>opex_orig!$AO6</f>
        <v>1.9999439975512799E-6</v>
      </c>
      <c r="AV6" s="188">
        <f>opex_orig!$AO6</f>
        <v>1.9999439975512799E-6</v>
      </c>
      <c r="AW6" s="188">
        <f>opex_orig!$AO6</f>
        <v>1.9999439975512799E-6</v>
      </c>
      <c r="AX6" s="188">
        <f>opex_orig!$AP6</f>
        <v>2.4471023060981198E-6</v>
      </c>
      <c r="AY6" s="188">
        <f>opex_orig!AQ6</f>
        <v>3.5599999999999998E-6</v>
      </c>
      <c r="AZ6" s="188">
        <f>opex_orig!AR6</f>
        <v>0</v>
      </c>
      <c r="BA6" s="188">
        <f>opex_orig!AS6</f>
        <v>3.9500000000000003E-6</v>
      </c>
      <c r="BB6" s="188">
        <f>opex_orig!AT6</f>
        <v>3.1300000000000001E-6</v>
      </c>
      <c r="BC6" s="188">
        <f>opex_orig!AU6</f>
        <v>2.1299999999999999E-6</v>
      </c>
      <c r="BD6" s="188">
        <f>opex_orig!AV6</f>
        <v>1.1400000000000001E-6</v>
      </c>
      <c r="BE6" s="188">
        <f>opex_orig!AW6</f>
        <v>2.1399999999999998E-6</v>
      </c>
      <c r="BF6" s="188">
        <f>opex_orig!AX6</f>
        <v>0</v>
      </c>
      <c r="BG6" s="188">
        <f>opex_orig!AY6</f>
        <v>4.1899999999999997E-6</v>
      </c>
      <c r="BH6" s="188">
        <f>opex_orig!AZ6</f>
        <v>0</v>
      </c>
      <c r="BI6" s="188">
        <f>opex_orig!BA6</f>
        <v>2.0999999999999998E-6</v>
      </c>
      <c r="BJ6" s="188">
        <f>opex_orig!BB6</f>
        <v>8.78E-7</v>
      </c>
      <c r="BK6" s="188">
        <f>opex_orig!BC6</f>
        <v>2.6800000000000002E-6</v>
      </c>
      <c r="BL6" s="188">
        <f>opex_orig!BD6</f>
        <v>3.6899999999999998E-6</v>
      </c>
      <c r="BM6" s="188">
        <f>opex_orig!BE6</f>
        <v>2.0800000000000001E-5</v>
      </c>
      <c r="BN6" s="188">
        <f>opex_orig!BF6</f>
        <v>7.7000000000000008E-6</v>
      </c>
      <c r="BO6" s="188">
        <f>opex_orig!BG6</f>
        <v>5.3300000000000001E-5</v>
      </c>
      <c r="BP6" s="188">
        <f>opex_orig!$BH6</f>
        <v>2.6870260228513101E-6</v>
      </c>
      <c r="BQ6" s="188">
        <f>opex_orig!$BH6</f>
        <v>2.6870260228513101E-6</v>
      </c>
      <c r="BR6" s="188">
        <f>opex_orig!BI6</f>
        <v>2.7300000000000001E-6</v>
      </c>
      <c r="BS6" s="188">
        <f>opex_orig!BJ6</f>
        <v>1.9512800000000001E-4</v>
      </c>
      <c r="BT6" s="188">
        <f>opex_orig!BK6</f>
        <v>4.3272699999999999E-4</v>
      </c>
      <c r="BU6" s="188">
        <f>opex_orig!BL6</f>
        <v>0</v>
      </c>
      <c r="BV6" s="27">
        <f>opex_orig!BM6</f>
        <v>4.9947610782088204E-6</v>
      </c>
      <c r="BW6" s="27">
        <f>opex_orig!BN6</f>
        <v>1.0544534882370699E-5</v>
      </c>
      <c r="BX6" s="27">
        <f>opex_orig!BO6</f>
        <v>1.95910026709198E-6</v>
      </c>
      <c r="BY6" s="27">
        <f>opex_orig!BP6</f>
        <v>7.4302451879980997E-6</v>
      </c>
      <c r="BZ6" s="27">
        <f>opex_orig!BQ6</f>
        <v>5.7747763410687196E-6</v>
      </c>
      <c r="CA6" s="27">
        <f>opex_orig!BR6</f>
        <v>1.6831819767579501E-7</v>
      </c>
      <c r="CB6" s="27">
        <f>opex_orig!BS6</f>
        <v>1.10339496318347E-5</v>
      </c>
      <c r="CC6" s="27">
        <f>opex_orig!BT6</f>
        <v>8.52288166039791E-7</v>
      </c>
      <c r="CD6" s="27">
        <f>opex_orig!BU6</f>
        <v>2.6148531584017501E-6</v>
      </c>
      <c r="CE6" s="27">
        <f>opex_orig!BV6</f>
        <v>2.6148531584017599E-6</v>
      </c>
      <c r="CF6" s="27">
        <f>opex_orig!BW6</f>
        <v>1.3867375652559399E-6</v>
      </c>
      <c r="CG6" s="27">
        <f>opex_orig!BX6</f>
        <v>3.0910267754775402E-6</v>
      </c>
      <c r="CH6" s="27">
        <f>opex_orig!BY6</f>
        <v>4.8163447629127004E-6</v>
      </c>
      <c r="CI6" s="27">
        <f>opex_orig!Y6</f>
        <v>1.4699999999999999E-6</v>
      </c>
      <c r="CJ6" s="27">
        <f>opex_orig!Z6</f>
        <v>6.0136100000000002E-4</v>
      </c>
      <c r="CK6" s="27">
        <f>opex_orig!AA6</f>
        <v>6.9299999999999997E-6</v>
      </c>
      <c r="CL6" s="27">
        <f>opex_orig!AB6</f>
        <v>1.9295825082987501E-3</v>
      </c>
      <c r="CM6" s="27">
        <f>opex_orig!AC6</f>
        <v>1.03276120516338E-2</v>
      </c>
      <c r="CN6" s="27">
        <f>opex_orig!AD6</f>
        <v>5.4057003692516903E-3</v>
      </c>
      <c r="CO6" s="27">
        <f>opex_orig!AE6</f>
        <v>5.6725090000000001E-3</v>
      </c>
      <c r="CP6" s="27">
        <f>opex_orig!AF6</f>
        <v>3.9565829999999996E-3</v>
      </c>
    </row>
    <row r="7" spans="1:94" x14ac:dyDescent="0.25">
      <c r="A7" s="5" t="s">
        <v>33</v>
      </c>
      <c r="B7" s="2" t="s">
        <v>32</v>
      </c>
      <c r="C7" s="1" t="s">
        <v>325</v>
      </c>
      <c r="D7" s="188">
        <f>opex_orig!D7</f>
        <v>2.6100000000000001E-5</v>
      </c>
      <c r="E7" s="188">
        <f>opex_orig!E7</f>
        <v>9.6900000000000004E-6</v>
      </c>
      <c r="F7" s="188">
        <f>opex_orig!F7</f>
        <v>2.05E-5</v>
      </c>
      <c r="G7" s="188">
        <f>opex_orig!G7</f>
        <v>8.8000000000000004E-7</v>
      </c>
      <c r="H7" s="188">
        <f>opex_orig!H7</f>
        <v>1.06E-6</v>
      </c>
      <c r="I7" s="188">
        <f>opex_orig!I7</f>
        <v>9.7599999999999997E-6</v>
      </c>
      <c r="J7" s="188">
        <f>opex_orig!J7</f>
        <v>4.9499999999999997E-5</v>
      </c>
      <c r="K7" s="188">
        <f>opex_orig!K7</f>
        <v>0.459987743</v>
      </c>
      <c r="L7" s="188">
        <f>opex_orig!L7</f>
        <v>5.4299999999999998E-5</v>
      </c>
      <c r="M7" s="188">
        <f>opex_orig!M7</f>
        <v>3.6999999999999998E-5</v>
      </c>
      <c r="N7" s="188">
        <f>opex_orig!N7</f>
        <v>1.059606E-3</v>
      </c>
      <c r="O7" s="188">
        <f>opex_orig!O7</f>
        <v>6.02E-5</v>
      </c>
      <c r="P7" s="188">
        <f>opex_orig!P7</f>
        <v>1.3699999999999999E-5</v>
      </c>
      <c r="Q7" s="188">
        <f>opex_orig!Q7</f>
        <v>3.3899999999999997E-5</v>
      </c>
      <c r="R7" s="188">
        <f>opex_orig!R7</f>
        <v>3.5200000000000002E-6</v>
      </c>
      <c r="S7" s="188">
        <f>opex_orig!S7</f>
        <v>5.7899999999999996E-6</v>
      </c>
      <c r="T7" s="188">
        <f>opex_orig!T7</f>
        <v>5.6099999999999997E-6</v>
      </c>
      <c r="U7" s="188">
        <f>opex_orig!U7</f>
        <v>1.19E-5</v>
      </c>
      <c r="V7" s="188">
        <f>opex_orig!V7</f>
        <v>1.326303E-3</v>
      </c>
      <c r="W7" s="188">
        <f>opex_orig!W7</f>
        <v>1.42473E-4</v>
      </c>
      <c r="X7" s="188">
        <f>opex_orig!X7</f>
        <v>5.2100000000000001E-6</v>
      </c>
      <c r="Y7" s="188">
        <f>opex_orig!Y7</f>
        <v>9.3600000000000002E-7</v>
      </c>
      <c r="Z7" s="188">
        <f>opex_orig!Z7</f>
        <v>1.4023599999999999E-4</v>
      </c>
      <c r="AA7" s="188">
        <f>opex_orig!AA7</f>
        <v>4.6199999999999998E-6</v>
      </c>
      <c r="AB7" s="188">
        <f>opex_orig!$AB7</f>
        <v>5.4961139789089296E-4</v>
      </c>
      <c r="AC7" s="188">
        <f>opex_orig!$AB7</f>
        <v>5.4961139789089296E-4</v>
      </c>
      <c r="AD7" s="188">
        <f>opex_orig!$AB7</f>
        <v>5.4961139789089296E-4</v>
      </c>
      <c r="AE7" s="188">
        <f>opex_orig!$AC7</f>
        <v>1.54751358076817E-5</v>
      </c>
      <c r="AF7" s="188">
        <f>opex_orig!$AD7</f>
        <v>1.05746440436805E-4</v>
      </c>
      <c r="AG7" s="188">
        <f>opex_orig!$AD7</f>
        <v>1.05746440436805E-4</v>
      </c>
      <c r="AH7" s="188">
        <f>opex_orig!$AD7</f>
        <v>1.05746440436805E-4</v>
      </c>
      <c r="AI7" s="188">
        <f>opex_orig!AE7</f>
        <v>1.1459E-4</v>
      </c>
      <c r="AJ7" s="188">
        <f>opex_orig!AF7</f>
        <v>8.3399999999999994E-5</v>
      </c>
      <c r="AK7" s="188">
        <f>opex_orig!AG7</f>
        <v>1.03E-5</v>
      </c>
      <c r="AL7" s="188">
        <f>opex_orig!AH7</f>
        <v>5.6899999999999997E-6</v>
      </c>
      <c r="AM7" s="188">
        <f>opex_orig!AI7</f>
        <v>3.0400000000000001E-6</v>
      </c>
      <c r="AN7" s="188">
        <f>opex_orig!AJ7</f>
        <v>2.96E-6</v>
      </c>
      <c r="AO7" s="188">
        <f>opex_orig!AK7</f>
        <v>3.2600000000000001E-6</v>
      </c>
      <c r="AP7" s="188">
        <f>opex_orig!$AL7</f>
        <v>3.7196890334302801E-6</v>
      </c>
      <c r="AQ7" s="188">
        <f>opex_orig!$AL7</f>
        <v>3.7196890334302801E-6</v>
      </c>
      <c r="AR7" s="188">
        <f>opex_orig!$AL7</f>
        <v>3.7196890334302801E-6</v>
      </c>
      <c r="AS7" s="188">
        <f>opex_orig!$AM7</f>
        <v>2.6377320507412798E-6</v>
      </c>
      <c r="AT7" s="188">
        <f>opex_orig!AN7</f>
        <v>3.6500000000000002E-6</v>
      </c>
      <c r="AU7" s="188">
        <f>opex_orig!$AO7</f>
        <v>1.43266590334269E-6</v>
      </c>
      <c r="AV7" s="188">
        <f>opex_orig!$AO7</f>
        <v>1.43266590334269E-6</v>
      </c>
      <c r="AW7" s="188">
        <f>opex_orig!$AO7</f>
        <v>1.43266590334269E-6</v>
      </c>
      <c r="AX7" s="188">
        <f>opex_orig!$AP7</f>
        <v>1.9078844683532999E-6</v>
      </c>
      <c r="AY7" s="188">
        <f>opex_orig!AQ7</f>
        <v>2.7999999999999999E-6</v>
      </c>
      <c r="AZ7" s="188">
        <f>opex_orig!AR7</f>
        <v>0</v>
      </c>
      <c r="BA7" s="188">
        <f>opex_orig!AS7</f>
        <v>3.98E-6</v>
      </c>
      <c r="BB7" s="188">
        <f>opex_orig!AT7</f>
        <v>3.1700000000000001E-6</v>
      </c>
      <c r="BC7" s="188">
        <f>opex_orig!AU7</f>
        <v>1.3599999999999999E-6</v>
      </c>
      <c r="BD7" s="188">
        <f>opex_orig!AV7</f>
        <v>6.61E-7</v>
      </c>
      <c r="BE7" s="188">
        <f>opex_orig!AW7</f>
        <v>1.61E-6</v>
      </c>
      <c r="BF7" s="188">
        <f>opex_orig!AX7</f>
        <v>0</v>
      </c>
      <c r="BG7" s="188">
        <f>opex_orig!AY7</f>
        <v>3.5599999999999998E-6</v>
      </c>
      <c r="BH7" s="188">
        <f>opex_orig!AZ7</f>
        <v>0</v>
      </c>
      <c r="BI7" s="188">
        <f>opex_orig!BA7</f>
        <v>1.7099999999999999E-6</v>
      </c>
      <c r="BJ7" s="188">
        <f>opex_orig!BB7</f>
        <v>2.65E-6</v>
      </c>
      <c r="BK7" s="188">
        <f>opex_orig!BC7</f>
        <v>4.1200000000000004E-6</v>
      </c>
      <c r="BL7" s="188">
        <f>opex_orig!BD7</f>
        <v>1.4699999999999999E-6</v>
      </c>
      <c r="BM7" s="188">
        <f>opex_orig!BE7</f>
        <v>3.7799999999999997E-5</v>
      </c>
      <c r="BN7" s="188">
        <f>opex_orig!BF7</f>
        <v>4.8600000000000002E-5</v>
      </c>
      <c r="BO7" s="188">
        <f>opex_orig!BG7</f>
        <v>9.8800000000000003E-5</v>
      </c>
      <c r="BP7" s="188">
        <f>opex_orig!$BH7</f>
        <v>2.20630357283205E-6</v>
      </c>
      <c r="BQ7" s="188">
        <f>opex_orig!$BH7</f>
        <v>2.20630357283205E-6</v>
      </c>
      <c r="BR7" s="188">
        <f>opex_orig!BI7</f>
        <v>2.4600000000000002E-6</v>
      </c>
      <c r="BS7" s="188">
        <f>opex_orig!BJ7</f>
        <v>5.8699999999999997E-5</v>
      </c>
      <c r="BT7" s="188">
        <f>opex_orig!BK7</f>
        <v>8.1945900000000003E-4</v>
      </c>
      <c r="BU7" s="188">
        <f>opex_orig!BL7</f>
        <v>0</v>
      </c>
      <c r="BV7" s="27">
        <f>opex_orig!BM7</f>
        <v>3.0062628985074001E-6</v>
      </c>
      <c r="BW7" s="27">
        <f>opex_orig!BN7</f>
        <v>8.4958291046238802E-6</v>
      </c>
      <c r="BX7" s="27">
        <f>opex_orig!BO7</f>
        <v>1.5028367101685401E-6</v>
      </c>
      <c r="BY7" s="27">
        <f>opex_orig!BP7</f>
        <v>6.0015416432402698E-6</v>
      </c>
      <c r="BZ7" s="27">
        <f>opex_orig!BQ7</f>
        <v>4.29964705279371E-6</v>
      </c>
      <c r="CA7" s="27">
        <f>opex_orig!BR7</f>
        <v>1.91207364275816E-7</v>
      </c>
      <c r="CB7" s="27">
        <f>opex_orig!BS7</f>
        <v>1.00610884072258E-5</v>
      </c>
      <c r="CC7" s="27">
        <f>opex_orig!BT7</f>
        <v>3.7374336664819197E-5</v>
      </c>
      <c r="CD7" s="27">
        <f>opex_orig!BU7</f>
        <v>1.6894299205273301E-6</v>
      </c>
      <c r="CE7" s="27">
        <f>opex_orig!BV7</f>
        <v>1.68942992052734E-6</v>
      </c>
      <c r="CF7" s="27">
        <f>opex_orig!BW7</f>
        <v>2.5534183777905799E-6</v>
      </c>
      <c r="CG7" s="27">
        <f>opex_orig!BX7</f>
        <v>4.9346653140120699E-6</v>
      </c>
      <c r="CH7" s="27">
        <f>opex_orig!BY7</f>
        <v>2.49407832468011E-6</v>
      </c>
      <c r="CI7" s="27">
        <f>opex_orig!Y7</f>
        <v>9.3600000000000002E-7</v>
      </c>
      <c r="CJ7" s="27">
        <f>opex_orig!Z7</f>
        <v>1.4023599999999999E-4</v>
      </c>
      <c r="CK7" s="27">
        <f>opex_orig!AA7</f>
        <v>4.6199999999999998E-6</v>
      </c>
      <c r="CL7" s="27">
        <f>opex_orig!AB7</f>
        <v>5.4961139789089296E-4</v>
      </c>
      <c r="CM7" s="27">
        <f>opex_orig!AC7</f>
        <v>1.54751358076817E-5</v>
      </c>
      <c r="CN7" s="27">
        <f>opex_orig!AD7</f>
        <v>1.05746440436805E-4</v>
      </c>
      <c r="CO7" s="27">
        <f>opex_orig!AE7</f>
        <v>1.1459E-4</v>
      </c>
      <c r="CP7" s="27">
        <f>opex_orig!AF7</f>
        <v>8.3399999999999994E-5</v>
      </c>
    </row>
    <row r="8" spans="1:94" x14ac:dyDescent="0.25">
      <c r="A8" s="5" t="s">
        <v>35</v>
      </c>
      <c r="B8" s="2" t="s">
        <v>34</v>
      </c>
      <c r="C8" s="1" t="s">
        <v>325</v>
      </c>
      <c r="D8" s="188">
        <f>opex_orig!D8</f>
        <v>8.6700000000000002E-7</v>
      </c>
      <c r="E8" s="188">
        <f>opex_orig!E8</f>
        <v>1.53E-6</v>
      </c>
      <c r="F8" s="188">
        <f>opex_orig!F8</f>
        <v>7.0099999999999998E-6</v>
      </c>
      <c r="G8" s="188">
        <f>opex_orig!G8</f>
        <v>4.3799999999999998E-7</v>
      </c>
      <c r="H8" s="188">
        <f>opex_orig!H8</f>
        <v>6.9299999999999997E-6</v>
      </c>
      <c r="I8" s="188">
        <f>opex_orig!I8</f>
        <v>9.1200000000000001E-7</v>
      </c>
      <c r="J8" s="188">
        <f>opex_orig!J8</f>
        <v>8.2400000000000007E-6</v>
      </c>
      <c r="K8" s="188">
        <f>opex_orig!K8</f>
        <v>2.62E-8</v>
      </c>
      <c r="L8" s="188">
        <f>opex_orig!L8</f>
        <v>1.5061E-4</v>
      </c>
      <c r="M8" s="188">
        <f>opex_orig!M8</f>
        <v>5.2499999999999997E-6</v>
      </c>
      <c r="N8" s="188">
        <f>opex_orig!N8</f>
        <v>2.5597E-4</v>
      </c>
      <c r="O8" s="188">
        <f>opex_orig!O8</f>
        <v>8.7100000000000003E-5</v>
      </c>
      <c r="P8" s="188">
        <f>opex_orig!P8</f>
        <v>7.2260900000000003E-4</v>
      </c>
      <c r="Q8" s="188">
        <f>opex_orig!Q8</f>
        <v>2.6900000000000001E-6</v>
      </c>
      <c r="R8" s="188">
        <f>opex_orig!R8</f>
        <v>2.1E-7</v>
      </c>
      <c r="S8" s="188">
        <f>opex_orig!S8</f>
        <v>4.2800000000000002E-7</v>
      </c>
      <c r="T8" s="188">
        <f>opex_orig!T8</f>
        <v>3.1699999999999999E-7</v>
      </c>
      <c r="U8" s="188">
        <f>opex_orig!U8</f>
        <v>2.1299999999999999E-7</v>
      </c>
      <c r="V8" s="188">
        <f>opex_orig!V8</f>
        <v>2.5699999999999999E-7</v>
      </c>
      <c r="W8" s="188">
        <f>opex_orig!W8</f>
        <v>2.3900000000000001E-7</v>
      </c>
      <c r="X8" s="188">
        <f>opex_orig!X8</f>
        <v>9.3299999999999995E-8</v>
      </c>
      <c r="Y8" s="188">
        <f>opex_orig!Y8</f>
        <v>2.1500000000000001E-8</v>
      </c>
      <c r="Z8" s="188">
        <f>opex_orig!Z8</f>
        <v>7.0500000000000003E-8</v>
      </c>
      <c r="AA8" s="188">
        <f>opex_orig!AA8</f>
        <v>1.4000000000000001E-7</v>
      </c>
      <c r="AB8" s="188">
        <f>opex_orig!$AB8</f>
        <v>1.75606128250703E-5</v>
      </c>
      <c r="AC8" s="188">
        <f>opex_orig!$AB8</f>
        <v>1.75606128250703E-5</v>
      </c>
      <c r="AD8" s="188">
        <f>opex_orig!$AB8</f>
        <v>1.75606128250703E-5</v>
      </c>
      <c r="AE8" s="188">
        <f>opex_orig!$AC8</f>
        <v>2.5198025670741999E-5</v>
      </c>
      <c r="AF8" s="188">
        <f>opex_orig!$AD8</f>
        <v>1.2237764747378399E-5</v>
      </c>
      <c r="AG8" s="188">
        <f>opex_orig!$AD8</f>
        <v>1.2237764747378399E-5</v>
      </c>
      <c r="AH8" s="188">
        <f>opex_orig!$AD8</f>
        <v>1.2237764747378399E-5</v>
      </c>
      <c r="AI8" s="188">
        <f>opex_orig!AE8</f>
        <v>1.1800000000000001E-5</v>
      </c>
      <c r="AJ8" s="188">
        <f>opex_orig!AF8</f>
        <v>1.15E-5</v>
      </c>
      <c r="AK8" s="188">
        <f>opex_orig!AG8</f>
        <v>9.1100000000000004E-7</v>
      </c>
      <c r="AL8" s="188">
        <f>opex_orig!AH8</f>
        <v>3.3599999999999999E-7</v>
      </c>
      <c r="AM8" s="188">
        <f>opex_orig!AI8</f>
        <v>5.4899999999999995E-7</v>
      </c>
      <c r="AN8" s="188">
        <f>opex_orig!AJ8</f>
        <v>1.2700000000000001E-7</v>
      </c>
      <c r="AO8" s="188">
        <f>opex_orig!AK8</f>
        <v>5.3300000000000002E-7</v>
      </c>
      <c r="AP8" s="188">
        <f>opex_orig!$AL8</f>
        <v>3.4898193225122803E-7</v>
      </c>
      <c r="AQ8" s="188">
        <f>opex_orig!$AL8</f>
        <v>3.4898193225122803E-7</v>
      </c>
      <c r="AR8" s="188">
        <f>opex_orig!$AL8</f>
        <v>3.4898193225122803E-7</v>
      </c>
      <c r="AS8" s="188">
        <f>opex_orig!$AM8</f>
        <v>4.0234554027215903E-8</v>
      </c>
      <c r="AT8" s="188">
        <f>opex_orig!AN8</f>
        <v>1.33E-6</v>
      </c>
      <c r="AU8" s="188">
        <f>opex_orig!$AO8</f>
        <v>7.3040998371177704E-8</v>
      </c>
      <c r="AV8" s="188">
        <f>opex_orig!$AO8</f>
        <v>7.3040998371177704E-8</v>
      </c>
      <c r="AW8" s="188">
        <f>opex_orig!$AO8</f>
        <v>7.3040998371177704E-8</v>
      </c>
      <c r="AX8" s="188">
        <f>opex_orig!$AP8</f>
        <v>7.5418212669092298E-8</v>
      </c>
      <c r="AY8" s="188">
        <f>opex_orig!AQ8</f>
        <v>1.3899999999999999E-7</v>
      </c>
      <c r="AZ8" s="188">
        <f>opex_orig!AR8</f>
        <v>0</v>
      </c>
      <c r="BA8" s="188">
        <f>opex_orig!AS8</f>
        <v>2.11E-7</v>
      </c>
      <c r="BB8" s="188">
        <f>opex_orig!AT8</f>
        <v>1.8199999999999999E-7</v>
      </c>
      <c r="BC8" s="188">
        <f>opex_orig!AU8</f>
        <v>1.89E-8</v>
      </c>
      <c r="BD8" s="188">
        <f>opex_orig!AV8</f>
        <v>1.59E-8</v>
      </c>
      <c r="BE8" s="188">
        <f>opex_orig!AW8</f>
        <v>5.2299999999999998E-8</v>
      </c>
      <c r="BF8" s="188">
        <f>opex_orig!AX8</f>
        <v>0</v>
      </c>
      <c r="BG8" s="188">
        <f>opex_orig!AY8</f>
        <v>1.61E-7</v>
      </c>
      <c r="BH8" s="188">
        <f>opex_orig!AZ8</f>
        <v>0</v>
      </c>
      <c r="BI8" s="188">
        <f>opex_orig!BA8</f>
        <v>9.1300000000000004E-8</v>
      </c>
      <c r="BJ8" s="188">
        <f>opex_orig!BB8</f>
        <v>4.14E-8</v>
      </c>
      <c r="BK8" s="188">
        <f>opex_orig!BC8</f>
        <v>1.1600000000000001E-7</v>
      </c>
      <c r="BL8" s="188">
        <f>opex_orig!BD8</f>
        <v>1.24E-7</v>
      </c>
      <c r="BM8" s="188">
        <f>opex_orig!BE8</f>
        <v>9.2699999999999998E-7</v>
      </c>
      <c r="BN8" s="188">
        <f>opex_orig!BF8</f>
        <v>9.7800000000000002E-8</v>
      </c>
      <c r="BO8" s="188">
        <f>opex_orig!BG8</f>
        <v>2.6400000000000001E-6</v>
      </c>
      <c r="BP8" s="188">
        <f>opex_orig!$BH8</f>
        <v>7.7032511048254499E-8</v>
      </c>
      <c r="BQ8" s="188">
        <f>opex_orig!$BH8</f>
        <v>7.7032511048254499E-8</v>
      </c>
      <c r="BR8" s="188">
        <f>opex_orig!BI8</f>
        <v>9.2399999999999994E-8</v>
      </c>
      <c r="BS8" s="188">
        <f>opex_orig!BJ8</f>
        <v>3.0499999999999999E-7</v>
      </c>
      <c r="BT8" s="188">
        <f>opex_orig!BK8</f>
        <v>2.0299999999999999E-5</v>
      </c>
      <c r="BU8" s="188">
        <f>opex_orig!BL8</f>
        <v>0</v>
      </c>
      <c r="BV8" s="27">
        <f>opex_orig!BM8</f>
        <v>1.0555221273605E-7</v>
      </c>
      <c r="BW8" s="27">
        <f>opex_orig!BN8</f>
        <v>3.6737280402816802E-7</v>
      </c>
      <c r="BX8" s="27">
        <f>opex_orig!BO8</f>
        <v>3.2161222639475197E-8</v>
      </c>
      <c r="BY8" s="27">
        <f>opex_orig!BP8</f>
        <v>8.5694378812688495E-8</v>
      </c>
      <c r="BZ8" s="27">
        <f>opex_orig!BQ8</f>
        <v>9.1905614577162498E-8</v>
      </c>
      <c r="CA8" s="27">
        <f>opex_orig!BR8</f>
        <v>4.0688750127938799E-9</v>
      </c>
      <c r="CB8" s="27">
        <f>opex_orig!BS8</f>
        <v>3.7461556278706799E-7</v>
      </c>
      <c r="CC8" s="27">
        <f>opex_orig!BT8</f>
        <v>2.30770657486689E-8</v>
      </c>
      <c r="CD8" s="27">
        <f>opex_orig!BU8</f>
        <v>3.3939728049769503E-8</v>
      </c>
      <c r="CE8" s="27">
        <f>opex_orig!BV8</f>
        <v>3.3939728049769602E-8</v>
      </c>
      <c r="CF8" s="27">
        <f>opex_orig!BW8</f>
        <v>8.8459240977324305E-8</v>
      </c>
      <c r="CG8" s="27">
        <f>opex_orig!BX8</f>
        <v>1.55624417851064E-7</v>
      </c>
      <c r="CH8" s="27">
        <f>opex_orig!BY8</f>
        <v>1.52892156164356E-8</v>
      </c>
      <c r="CI8" s="27">
        <f>opex_orig!Y8</f>
        <v>2.1500000000000001E-8</v>
      </c>
      <c r="CJ8" s="27">
        <f>opex_orig!Z8</f>
        <v>7.0500000000000003E-8</v>
      </c>
      <c r="CK8" s="27">
        <f>opex_orig!AA8</f>
        <v>1.4000000000000001E-7</v>
      </c>
      <c r="CL8" s="27">
        <f>opex_orig!AB8</f>
        <v>1.75606128250703E-5</v>
      </c>
      <c r="CM8" s="27">
        <f>opex_orig!AC8</f>
        <v>2.5198025670741999E-5</v>
      </c>
      <c r="CN8" s="27">
        <f>opex_orig!AD8</f>
        <v>1.2237764747378399E-5</v>
      </c>
      <c r="CO8" s="27">
        <f>opex_orig!AE8</f>
        <v>1.1800000000000001E-5</v>
      </c>
      <c r="CP8" s="27">
        <f>opex_orig!AF8</f>
        <v>1.15E-5</v>
      </c>
    </row>
    <row r="9" spans="1:94" x14ac:dyDescent="0.25">
      <c r="A9" s="5" t="s">
        <v>37</v>
      </c>
      <c r="B9" s="2" t="s">
        <v>36</v>
      </c>
      <c r="C9" s="1" t="s">
        <v>325</v>
      </c>
      <c r="D9" s="188">
        <f>opex_orig!D9</f>
        <v>1.7099999999999999E-5</v>
      </c>
      <c r="E9" s="188">
        <f>opex_orig!E9</f>
        <v>2.19E-5</v>
      </c>
      <c r="F9" s="188">
        <f>opex_orig!F9</f>
        <v>5.02E-5</v>
      </c>
      <c r="G9" s="188">
        <f>opex_orig!G9</f>
        <v>5.48E-6</v>
      </c>
      <c r="H9" s="188">
        <f>opex_orig!H9</f>
        <v>1.5500000000000001E-5</v>
      </c>
      <c r="I9" s="188">
        <f>opex_orig!I9</f>
        <v>2.2399999999999999E-5</v>
      </c>
      <c r="J9" s="188">
        <f>opex_orig!J9</f>
        <v>5.41E-5</v>
      </c>
      <c r="K9" s="188">
        <f>opex_orig!K9</f>
        <v>1.6799999999999998E-5</v>
      </c>
      <c r="L9" s="188">
        <f>opex_orig!L9</f>
        <v>3.4660429999999998E-3</v>
      </c>
      <c r="M9" s="188">
        <f>opex_orig!M9</f>
        <v>3.5306619999999999E-3</v>
      </c>
      <c r="N9" s="188">
        <f>opex_orig!N9</f>
        <v>5.7242170000000002E-3</v>
      </c>
      <c r="O9" s="188">
        <f>opex_orig!O9</f>
        <v>7.9365669999999999E-2</v>
      </c>
      <c r="P9" s="188">
        <f>opex_orig!P9</f>
        <v>1.2195546E-2</v>
      </c>
      <c r="Q9" s="188">
        <f>opex_orig!Q9</f>
        <v>1.9171100000000001E-4</v>
      </c>
      <c r="R9" s="188">
        <f>opex_orig!R9</f>
        <v>1.2836299999999999E-4</v>
      </c>
      <c r="S9" s="188">
        <f>opex_orig!S9</f>
        <v>8.53E-5</v>
      </c>
      <c r="T9" s="188">
        <f>opex_orig!T9</f>
        <v>3.3699999999999999E-5</v>
      </c>
      <c r="U9" s="188">
        <f>opex_orig!U9</f>
        <v>4.6900000000000002E-5</v>
      </c>
      <c r="V9" s="188">
        <f>opex_orig!V9</f>
        <v>2.7800000000000001E-5</v>
      </c>
      <c r="W9" s="188">
        <f>opex_orig!W9</f>
        <v>2.3200000000000001E-5</v>
      </c>
      <c r="X9" s="188">
        <f>opex_orig!X9</f>
        <v>1.9599999999999999E-5</v>
      </c>
      <c r="Y9" s="188">
        <f>opex_orig!Y9</f>
        <v>1.6399999999999999E-5</v>
      </c>
      <c r="Z9" s="188">
        <f>opex_orig!Z9</f>
        <v>1.6399999999999999E-5</v>
      </c>
      <c r="AA9" s="188">
        <f>opex_orig!AA9</f>
        <v>5.91E-5</v>
      </c>
      <c r="AB9" s="188">
        <f>opex_orig!$AB9</f>
        <v>6.8300018472459002E-5</v>
      </c>
      <c r="AC9" s="188">
        <f>opex_orig!$AB9</f>
        <v>6.8300018472459002E-5</v>
      </c>
      <c r="AD9" s="188">
        <f>opex_orig!$AB9</f>
        <v>6.8300018472459002E-5</v>
      </c>
      <c r="AE9" s="188">
        <f>opex_orig!$AC9</f>
        <v>7.9347477517161804E-4</v>
      </c>
      <c r="AF9" s="188">
        <f>opex_orig!$AD9</f>
        <v>2.6895197862001301E-4</v>
      </c>
      <c r="AG9" s="188">
        <f>opex_orig!$AD9</f>
        <v>2.6895197862001301E-4</v>
      </c>
      <c r="AH9" s="188">
        <f>opex_orig!$AD9</f>
        <v>2.6895197862001301E-4</v>
      </c>
      <c r="AI9" s="188">
        <f>opex_orig!AE9</f>
        <v>1.5848500000000001E-4</v>
      </c>
      <c r="AJ9" s="188">
        <f>opex_orig!AF9</f>
        <v>3.86785E-4</v>
      </c>
      <c r="AK9" s="188">
        <f>opex_orig!AG9</f>
        <v>1.8700000000000001E-5</v>
      </c>
      <c r="AL9" s="188">
        <f>opex_orig!AH9</f>
        <v>2.0800000000000001E-5</v>
      </c>
      <c r="AM9" s="188">
        <f>opex_orig!AI9</f>
        <v>3.3300000000000003E-5</v>
      </c>
      <c r="AN9" s="188">
        <f>opex_orig!AJ9</f>
        <v>1.4800000000000001E-5</v>
      </c>
      <c r="AO9" s="188">
        <f>opex_orig!AK9</f>
        <v>3.7599999999999999E-5</v>
      </c>
      <c r="AP9" s="188">
        <f>opex_orig!$AL9</f>
        <v>2.1780617985482599E-5</v>
      </c>
      <c r="AQ9" s="188">
        <f>opex_orig!$AL9</f>
        <v>2.1780617985482599E-5</v>
      </c>
      <c r="AR9" s="188">
        <f>opex_orig!$AL9</f>
        <v>2.1780617985482599E-5</v>
      </c>
      <c r="AS9" s="188">
        <f>opex_orig!$AM9</f>
        <v>2.77916238542939E-5</v>
      </c>
      <c r="AT9" s="188">
        <f>opex_orig!AN9</f>
        <v>5.8600000000000001E-5</v>
      </c>
      <c r="AU9" s="188">
        <f>opex_orig!$AO9</f>
        <v>1.31731680429376E-5</v>
      </c>
      <c r="AV9" s="188">
        <f>opex_orig!$AO9</f>
        <v>1.31731680429376E-5</v>
      </c>
      <c r="AW9" s="188">
        <f>opex_orig!$AO9</f>
        <v>1.31731680429376E-5</v>
      </c>
      <c r="AX9" s="188">
        <f>opex_orig!$AP9</f>
        <v>2.08574421188413E-5</v>
      </c>
      <c r="AY9" s="188">
        <f>opex_orig!AQ9</f>
        <v>2.6999999999999999E-5</v>
      </c>
      <c r="AZ9" s="188">
        <f>opex_orig!AR9</f>
        <v>0</v>
      </c>
      <c r="BA9" s="188">
        <f>opex_orig!AS9</f>
        <v>2.1399999999999998E-5</v>
      </c>
      <c r="BB9" s="188">
        <f>opex_orig!AT9</f>
        <v>1.6799999999999998E-5</v>
      </c>
      <c r="BC9" s="188">
        <f>opex_orig!AU9</f>
        <v>1.2799999999999999E-5</v>
      </c>
      <c r="BD9" s="188">
        <f>opex_orig!AV9</f>
        <v>9.9499999999999996E-6</v>
      </c>
      <c r="BE9" s="188">
        <f>opex_orig!AW9</f>
        <v>1.8700000000000001E-5</v>
      </c>
      <c r="BF9" s="188">
        <f>opex_orig!AX9</f>
        <v>0</v>
      </c>
      <c r="BG9" s="188">
        <f>opex_orig!AY9</f>
        <v>5.3999999999999998E-5</v>
      </c>
      <c r="BH9" s="188">
        <f>opex_orig!AZ9</f>
        <v>0</v>
      </c>
      <c r="BI9" s="188">
        <f>opex_orig!BA9</f>
        <v>1.5800000000000001E-5</v>
      </c>
      <c r="BJ9" s="188">
        <f>opex_orig!BB9</f>
        <v>1.5099999999999999E-5</v>
      </c>
      <c r="BK9" s="188">
        <f>opex_orig!BC9</f>
        <v>1.5500000000000001E-5</v>
      </c>
      <c r="BL9" s="188">
        <f>opex_orig!BD9</f>
        <v>1.66E-5</v>
      </c>
      <c r="BM9" s="188">
        <f>opex_orig!BE9</f>
        <v>1.22E-5</v>
      </c>
      <c r="BN9" s="188">
        <f>opex_orig!BF9</f>
        <v>1.5400000000000002E-5</v>
      </c>
      <c r="BO9" s="188">
        <f>opex_orig!BG9</f>
        <v>2.2399999999999999E-5</v>
      </c>
      <c r="BP9" s="188">
        <f>opex_orig!$BH9</f>
        <v>1.5694151735061099E-5</v>
      </c>
      <c r="BQ9" s="188">
        <f>opex_orig!$BH9</f>
        <v>1.5694151735061099E-5</v>
      </c>
      <c r="BR9" s="188">
        <f>opex_orig!BI9</f>
        <v>9.9000000000000001E-6</v>
      </c>
      <c r="BS9" s="188">
        <f>opex_orig!BJ9</f>
        <v>9.8700000000000004E-6</v>
      </c>
      <c r="BT9" s="188">
        <f>opex_orig!BK9</f>
        <v>3.7499999999999997E-5</v>
      </c>
      <c r="BU9" s="188">
        <f>opex_orig!BL9</f>
        <v>0</v>
      </c>
      <c r="BV9" s="27">
        <f>opex_orig!BM9</f>
        <v>4.0475561448742303E-5</v>
      </c>
      <c r="BW9" s="27">
        <f>opex_orig!BN9</f>
        <v>1.99757728456767E-4</v>
      </c>
      <c r="BX9" s="27">
        <f>opex_orig!BO9</f>
        <v>7.9562447175385305E-6</v>
      </c>
      <c r="BY9" s="27">
        <f>opex_orig!BP9</f>
        <v>2.5729757899980798E-5</v>
      </c>
      <c r="BZ9" s="27">
        <f>opex_orig!BQ9</f>
        <v>1.7798462658515301E-5</v>
      </c>
      <c r="CA9" s="27">
        <f>opex_orig!BR9</f>
        <v>9.8027025201533409E-7</v>
      </c>
      <c r="CB9" s="27">
        <f>opex_orig!BS9</f>
        <v>1.21667092573394E-4</v>
      </c>
      <c r="CC9" s="27">
        <f>opex_orig!BT9</f>
        <v>6.8333262620606603E-6</v>
      </c>
      <c r="CD9" s="27">
        <f>opex_orig!BU9</f>
        <v>7.7966844605378704E-6</v>
      </c>
      <c r="CE9" s="27">
        <f>opex_orig!BV9</f>
        <v>7.7966844605378805E-6</v>
      </c>
      <c r="CF9" s="27">
        <f>opex_orig!BW9</f>
        <v>5.0074867288667003E-6</v>
      </c>
      <c r="CG9" s="27">
        <f>opex_orig!BX9</f>
        <v>4.2602464618092303E-7</v>
      </c>
      <c r="CH9" s="27">
        <f>opex_orig!BY9</f>
        <v>2.1268313759980102E-5</v>
      </c>
      <c r="CI9" s="27">
        <f>opex_orig!Y9</f>
        <v>1.6399999999999999E-5</v>
      </c>
      <c r="CJ9" s="27">
        <f>opex_orig!Z9</f>
        <v>1.6399999999999999E-5</v>
      </c>
      <c r="CK9" s="27">
        <f>opex_orig!AA9</f>
        <v>5.91E-5</v>
      </c>
      <c r="CL9" s="27">
        <f>opex_orig!AB9</f>
        <v>6.8300018472459002E-5</v>
      </c>
      <c r="CM9" s="27">
        <f>opex_orig!AC9</f>
        <v>7.9347477517161804E-4</v>
      </c>
      <c r="CN9" s="27">
        <f>opex_orig!AD9</f>
        <v>2.6895197862001301E-4</v>
      </c>
      <c r="CO9" s="27">
        <f>opex_orig!AE9</f>
        <v>1.5848500000000001E-4</v>
      </c>
      <c r="CP9" s="27">
        <f>opex_orig!AF9</f>
        <v>3.86785E-4</v>
      </c>
    </row>
    <row r="10" spans="1:94" x14ac:dyDescent="0.25">
      <c r="A10" s="5" t="s">
        <v>39</v>
      </c>
      <c r="B10" s="2" t="s">
        <v>38</v>
      </c>
      <c r="C10" s="1" t="s">
        <v>325</v>
      </c>
      <c r="D10" s="188">
        <f>opex_orig!D10</f>
        <v>0.30680001499999998</v>
      </c>
      <c r="E10" s="188">
        <f>opex_orig!E10</f>
        <v>1.8700000000000001E-5</v>
      </c>
      <c r="F10" s="188">
        <f>opex_orig!F10</f>
        <v>4.57E-5</v>
      </c>
      <c r="G10" s="188">
        <f>opex_orig!G10</f>
        <v>5.804877E-3</v>
      </c>
      <c r="H10" s="188">
        <f>opex_orig!H10</f>
        <v>1.1999999999999999E-6</v>
      </c>
      <c r="I10" s="188">
        <f>opex_orig!I10</f>
        <v>1.7759949000000001E-2</v>
      </c>
      <c r="J10" s="188">
        <f>opex_orig!J10</f>
        <v>2.5000000000000001E-5</v>
      </c>
      <c r="K10" s="188">
        <f>opex_orig!K10</f>
        <v>1.22E-6</v>
      </c>
      <c r="L10" s="188">
        <f>opex_orig!L10</f>
        <v>1.3591231E-2</v>
      </c>
      <c r="M10" s="188">
        <f>opex_orig!M10</f>
        <v>5.4345499999999998E-4</v>
      </c>
      <c r="N10" s="188">
        <f>opex_orig!N10</f>
        <v>1.8597507999999999E-2</v>
      </c>
      <c r="O10" s="188">
        <f>opex_orig!O10</f>
        <v>1.381712E-3</v>
      </c>
      <c r="P10" s="188">
        <f>opex_orig!P10</f>
        <v>2.0892799999999999E-4</v>
      </c>
      <c r="Q10" s="188">
        <f>opex_orig!Q10</f>
        <v>8.1899999999999999E-5</v>
      </c>
      <c r="R10" s="188">
        <f>opex_orig!R10</f>
        <v>6.3488709999999999E-3</v>
      </c>
      <c r="S10" s="188">
        <f>opex_orig!S10</f>
        <v>1.15E-5</v>
      </c>
      <c r="T10" s="188">
        <f>opex_orig!T10</f>
        <v>9.38E-6</v>
      </c>
      <c r="U10" s="188">
        <f>opex_orig!U10</f>
        <v>1.08E-5</v>
      </c>
      <c r="V10" s="188">
        <f>opex_orig!V10</f>
        <v>1.2E-5</v>
      </c>
      <c r="W10" s="188">
        <f>opex_orig!W10</f>
        <v>5.0699999999999997E-6</v>
      </c>
      <c r="X10" s="188">
        <f>opex_orig!X10</f>
        <v>1.3900000000000001E-5</v>
      </c>
      <c r="Y10" s="188">
        <f>opex_orig!Y10</f>
        <v>2.2400000000000002E-6</v>
      </c>
      <c r="Z10" s="188">
        <f>opex_orig!Z10</f>
        <v>3.6814600000000002E-4</v>
      </c>
      <c r="AA10" s="188">
        <f>opex_orig!AA10</f>
        <v>6.4699999999999999E-6</v>
      </c>
      <c r="AB10" s="188">
        <f>opex_orig!$AB10</f>
        <v>1.5051218643121999E-4</v>
      </c>
      <c r="AC10" s="188">
        <f>opex_orig!$AB10</f>
        <v>1.5051218643121999E-4</v>
      </c>
      <c r="AD10" s="188">
        <f>opex_orig!$AB10</f>
        <v>1.5051218643121999E-4</v>
      </c>
      <c r="AE10" s="188">
        <f>opex_orig!$AC10</f>
        <v>2.9685817651921899E-5</v>
      </c>
      <c r="AF10" s="188">
        <f>opex_orig!$AD10</f>
        <v>3.9248443445086702E-5</v>
      </c>
      <c r="AG10" s="188">
        <f>opex_orig!$AD10</f>
        <v>3.9248443445086702E-5</v>
      </c>
      <c r="AH10" s="188">
        <f>opex_orig!$AD10</f>
        <v>3.9248443445086702E-5</v>
      </c>
      <c r="AI10" s="188">
        <f>opex_orig!AE10</f>
        <v>3.8999999999999999E-5</v>
      </c>
      <c r="AJ10" s="188">
        <f>opex_orig!AF10</f>
        <v>4.2500000000000003E-5</v>
      </c>
      <c r="AK10" s="188">
        <f>opex_orig!AG10</f>
        <v>7.5700000000000004E-6</v>
      </c>
      <c r="AL10" s="188">
        <f>opex_orig!AH10</f>
        <v>2.76E-5</v>
      </c>
      <c r="AM10" s="188">
        <f>opex_orig!AI10</f>
        <v>6.6000000000000003E-6</v>
      </c>
      <c r="AN10" s="188">
        <f>opex_orig!AJ10</f>
        <v>1.01E-5</v>
      </c>
      <c r="AO10" s="188">
        <f>opex_orig!AK10</f>
        <v>1.26E-5</v>
      </c>
      <c r="AP10" s="188">
        <f>opex_orig!$AL10</f>
        <v>6.5707614208099398E-6</v>
      </c>
      <c r="AQ10" s="188">
        <f>opex_orig!$AL10</f>
        <v>6.5707614208099398E-6</v>
      </c>
      <c r="AR10" s="188">
        <f>opex_orig!$AL10</f>
        <v>6.5707614208099398E-6</v>
      </c>
      <c r="AS10" s="188">
        <f>opex_orig!$AM10</f>
        <v>5.7284523888278197E-6</v>
      </c>
      <c r="AT10" s="188">
        <f>opex_orig!AN10</f>
        <v>1.15E-5</v>
      </c>
      <c r="AU10" s="188">
        <f>opex_orig!$AO10</f>
        <v>2.5104817050889702E-6</v>
      </c>
      <c r="AV10" s="188">
        <f>opex_orig!$AO10</f>
        <v>2.5104817050889702E-6</v>
      </c>
      <c r="AW10" s="188">
        <f>opex_orig!$AO10</f>
        <v>2.5104817050889702E-6</v>
      </c>
      <c r="AX10" s="188">
        <f>opex_orig!$AP10</f>
        <v>3.0537104704655202E-6</v>
      </c>
      <c r="AY10" s="188">
        <f>opex_orig!AQ10</f>
        <v>3.9500000000000003E-6</v>
      </c>
      <c r="AZ10" s="188">
        <f>opex_orig!AR10</f>
        <v>0</v>
      </c>
      <c r="BA10" s="188">
        <f>opex_orig!AS10</f>
        <v>4.8099999999999997E-6</v>
      </c>
      <c r="BB10" s="188">
        <f>opex_orig!AT10</f>
        <v>4.3000000000000003E-6</v>
      </c>
      <c r="BC10" s="188">
        <f>opex_orig!AU10</f>
        <v>2.1500000000000002E-6</v>
      </c>
      <c r="BD10" s="188">
        <f>opex_orig!AV10</f>
        <v>1.0499999999999999E-6</v>
      </c>
      <c r="BE10" s="188">
        <f>opex_orig!AW10</f>
        <v>2.3199999999999998E-6</v>
      </c>
      <c r="BF10" s="188">
        <f>opex_orig!AX10</f>
        <v>0</v>
      </c>
      <c r="BG10" s="188">
        <f>opex_orig!AY10</f>
        <v>4.0600000000000001E-6</v>
      </c>
      <c r="BH10" s="188">
        <f>opex_orig!AZ10</f>
        <v>0</v>
      </c>
      <c r="BI10" s="188">
        <f>opex_orig!BA10</f>
        <v>3.2600000000000001E-6</v>
      </c>
      <c r="BJ10" s="188">
        <f>opex_orig!BB10</f>
        <v>4.3599999999999998E-6</v>
      </c>
      <c r="BK10" s="188">
        <f>opex_orig!BC10</f>
        <v>4.5199999999999999E-6</v>
      </c>
      <c r="BL10" s="188">
        <f>opex_orig!BD10</f>
        <v>3.0599999999999999E-6</v>
      </c>
      <c r="BM10" s="188">
        <f>opex_orig!BE10</f>
        <v>1.1800000000000001E-5</v>
      </c>
      <c r="BN10" s="188">
        <f>opex_orig!BF10</f>
        <v>3.0199999999999999E-6</v>
      </c>
      <c r="BO10" s="188">
        <f>opex_orig!BG10</f>
        <v>2.62E-5</v>
      </c>
      <c r="BP10" s="188">
        <f>opex_orig!$BH10</f>
        <v>2.8237569616865799E-6</v>
      </c>
      <c r="BQ10" s="188">
        <f>opex_orig!$BH10</f>
        <v>2.8237569616865799E-6</v>
      </c>
      <c r="BR10" s="188">
        <f>opex_orig!BI10</f>
        <v>4.6199999999999998E-6</v>
      </c>
      <c r="BS10" s="188">
        <f>opex_orig!BJ10</f>
        <v>1.2291599999999999E-4</v>
      </c>
      <c r="BT10" s="188">
        <f>opex_orig!BK10</f>
        <v>1.9084399999999999E-4</v>
      </c>
      <c r="BU10" s="188">
        <f>opex_orig!BL10</f>
        <v>0</v>
      </c>
      <c r="BV10" s="27">
        <f>opex_orig!BM10</f>
        <v>5.7486924260052897E-6</v>
      </c>
      <c r="BW10" s="27">
        <f>opex_orig!BN10</f>
        <v>1.1281052135699199E-5</v>
      </c>
      <c r="BX10" s="27">
        <f>opex_orig!BO10</f>
        <v>2.52563232342309E-6</v>
      </c>
      <c r="BY10" s="27">
        <f>opex_orig!BP10</f>
        <v>6.8244168730467096E-6</v>
      </c>
      <c r="BZ10" s="27">
        <f>opex_orig!BQ10</f>
        <v>4.5174781901651801E-6</v>
      </c>
      <c r="CA10" s="27">
        <f>opex_orig!BR10</f>
        <v>2.4691803696459298E-7</v>
      </c>
      <c r="CB10" s="27">
        <f>opex_orig!BS10</f>
        <v>9.8477740930591592E-6</v>
      </c>
      <c r="CC10" s="27">
        <f>opex_orig!BT10</f>
        <v>9.8489023406946605E-7</v>
      </c>
      <c r="CD10" s="27">
        <f>opex_orig!BU10</f>
        <v>2.6130358624211E-6</v>
      </c>
      <c r="CE10" s="27">
        <f>opex_orig!BV10</f>
        <v>2.6130358624211E-6</v>
      </c>
      <c r="CF10" s="27">
        <f>opex_orig!BW10</f>
        <v>5.90891427211575E-6</v>
      </c>
      <c r="CG10" s="27">
        <f>opex_orig!BX10</f>
        <v>1.7841140580640401E-6</v>
      </c>
      <c r="CH10" s="27">
        <f>opex_orig!BY10</f>
        <v>6.8634367760156597E-6</v>
      </c>
      <c r="CI10" s="27">
        <f>opex_orig!Y10</f>
        <v>2.2400000000000002E-6</v>
      </c>
      <c r="CJ10" s="27">
        <f>opex_orig!Z10</f>
        <v>3.6814600000000002E-4</v>
      </c>
      <c r="CK10" s="27">
        <f>opex_orig!AA10</f>
        <v>6.4699999999999999E-6</v>
      </c>
      <c r="CL10" s="27">
        <f>opex_orig!AB10</f>
        <v>1.5051218643121999E-4</v>
      </c>
      <c r="CM10" s="27">
        <f>opex_orig!AC10</f>
        <v>2.9685817651921899E-5</v>
      </c>
      <c r="CN10" s="27">
        <f>opex_orig!AD10</f>
        <v>3.9248443445086702E-5</v>
      </c>
      <c r="CO10" s="27">
        <f>opex_orig!AE10</f>
        <v>3.8999999999999999E-5</v>
      </c>
      <c r="CP10" s="27">
        <f>opex_orig!AF10</f>
        <v>4.2500000000000003E-5</v>
      </c>
    </row>
    <row r="11" spans="1:94" x14ac:dyDescent="0.25">
      <c r="A11" s="5" t="s">
        <v>41</v>
      </c>
      <c r="B11" s="2" t="s">
        <v>40</v>
      </c>
      <c r="C11" s="1" t="s">
        <v>325</v>
      </c>
      <c r="D11" s="188">
        <f>opex_orig!D11</f>
        <v>1.8199999999999999E-5</v>
      </c>
      <c r="E11" s="188">
        <f>opex_orig!E11</f>
        <v>0.49671729399999998</v>
      </c>
      <c r="F11" s="188">
        <f>opex_orig!F11</f>
        <v>3.54E-5</v>
      </c>
      <c r="G11" s="188">
        <f>opex_orig!G11</f>
        <v>9.2122600000000003E-4</v>
      </c>
      <c r="H11" s="188">
        <f>opex_orig!H11</f>
        <v>2.83E-6</v>
      </c>
      <c r="I11" s="188">
        <f>opex_orig!I11</f>
        <v>1.31E-5</v>
      </c>
      <c r="J11" s="188">
        <f>opex_orig!J11</f>
        <v>1.0700399999999999E-4</v>
      </c>
      <c r="K11" s="188">
        <f>opex_orig!K11</f>
        <v>5.2599999999999996E-6</v>
      </c>
      <c r="L11" s="188">
        <f>opex_orig!L11</f>
        <v>1.2561263E-2</v>
      </c>
      <c r="M11" s="188">
        <f>opex_orig!M11</f>
        <v>1.03669E-4</v>
      </c>
      <c r="N11" s="188">
        <f>opex_orig!N11</f>
        <v>1.7294224E-2</v>
      </c>
      <c r="O11" s="188">
        <f>opex_orig!O11</f>
        <v>2.0646140000000002E-3</v>
      </c>
      <c r="P11" s="188">
        <f>opex_orig!P11</f>
        <v>3.0454599999999999E-4</v>
      </c>
      <c r="Q11" s="188">
        <f>opex_orig!Q11</f>
        <v>8.9699999999999998E-5</v>
      </c>
      <c r="R11" s="188">
        <f>opex_orig!R11</f>
        <v>8.0866200000000003E-4</v>
      </c>
      <c r="S11" s="188">
        <f>opex_orig!S11</f>
        <v>1.84E-5</v>
      </c>
      <c r="T11" s="188">
        <f>opex_orig!T11</f>
        <v>1.88E-5</v>
      </c>
      <c r="U11" s="188">
        <f>opex_orig!U11</f>
        <v>3.3300000000000003E-5</v>
      </c>
      <c r="V11" s="188">
        <f>opex_orig!V11</f>
        <v>7.8899999999999993E-5</v>
      </c>
      <c r="W11" s="188">
        <f>opex_orig!W11</f>
        <v>3.8500000000000001E-5</v>
      </c>
      <c r="X11" s="188">
        <f>opex_orig!X11</f>
        <v>4.5300000000000003E-5</v>
      </c>
      <c r="Y11" s="188">
        <f>opex_orig!Y11</f>
        <v>9.5999999999999996E-6</v>
      </c>
      <c r="Z11" s="188">
        <f>opex_orig!Z11</f>
        <v>1.2495760000000001E-3</v>
      </c>
      <c r="AA11" s="188">
        <f>opex_orig!AA11</f>
        <v>1.4800000000000001E-5</v>
      </c>
      <c r="AB11" s="188">
        <f>opex_orig!$AB11</f>
        <v>7.7945012262194705E-5</v>
      </c>
      <c r="AC11" s="188">
        <f>opex_orig!$AB11</f>
        <v>7.7945012262194705E-5</v>
      </c>
      <c r="AD11" s="188">
        <f>opex_orig!$AB11</f>
        <v>7.7945012262194705E-5</v>
      </c>
      <c r="AE11" s="188">
        <f>opex_orig!$AC11</f>
        <v>3.4568210543324898E-4</v>
      </c>
      <c r="AF11" s="188">
        <f>opex_orig!$AD11</f>
        <v>1.2886983380055501E-4</v>
      </c>
      <c r="AG11" s="188">
        <f>opex_orig!$AD11</f>
        <v>1.2886983380055501E-4</v>
      </c>
      <c r="AH11" s="188">
        <f>opex_orig!$AD11</f>
        <v>1.2886983380055501E-4</v>
      </c>
      <c r="AI11" s="188">
        <f>opex_orig!AE11</f>
        <v>1.15443E-4</v>
      </c>
      <c r="AJ11" s="188">
        <f>opex_orig!AF11</f>
        <v>2.8099999999999999E-5</v>
      </c>
      <c r="AK11" s="188">
        <f>opex_orig!AG11</f>
        <v>5.3700000000000003E-6</v>
      </c>
      <c r="AL11" s="188">
        <f>opex_orig!AH11</f>
        <v>1.9476500000000001E-4</v>
      </c>
      <c r="AM11" s="188">
        <f>opex_orig!AI11</f>
        <v>3.4600000000000001E-5</v>
      </c>
      <c r="AN11" s="188">
        <f>opex_orig!AJ11</f>
        <v>7.5900000000000002E-5</v>
      </c>
      <c r="AO11" s="188">
        <f>opex_orig!AK11</f>
        <v>8.6000000000000003E-5</v>
      </c>
      <c r="AP11" s="188">
        <f>opex_orig!$AL11</f>
        <v>4.16584815545092E-5</v>
      </c>
      <c r="AQ11" s="188">
        <f>opex_orig!$AL11</f>
        <v>4.16584815545092E-5</v>
      </c>
      <c r="AR11" s="188">
        <f>opex_orig!$AL11</f>
        <v>4.16584815545092E-5</v>
      </c>
      <c r="AS11" s="188">
        <f>opex_orig!$AM11</f>
        <v>3.6137758667588702E-5</v>
      </c>
      <c r="AT11" s="188">
        <f>opex_orig!AN11</f>
        <v>7.4400000000000006E-5</v>
      </c>
      <c r="AU11" s="188">
        <f>opex_orig!$AO11</f>
        <v>8.9161567717198893E-6</v>
      </c>
      <c r="AV11" s="188">
        <f>opex_orig!$AO11</f>
        <v>8.9161567717198893E-6</v>
      </c>
      <c r="AW11" s="188">
        <f>opex_orig!$AO11</f>
        <v>8.9161567717198893E-6</v>
      </c>
      <c r="AX11" s="188">
        <f>opex_orig!$AP11</f>
        <v>2.0262286038513401E-5</v>
      </c>
      <c r="AY11" s="188">
        <f>opex_orig!AQ11</f>
        <v>2.5299999999999998E-5</v>
      </c>
      <c r="AZ11" s="188">
        <f>opex_orig!AR11</f>
        <v>0</v>
      </c>
      <c r="BA11" s="188">
        <f>opex_orig!AS11</f>
        <v>2.55E-5</v>
      </c>
      <c r="BB11" s="188">
        <f>opex_orig!AT11</f>
        <v>1.91E-5</v>
      </c>
      <c r="BC11" s="188">
        <f>opex_orig!AU11</f>
        <v>2.0299999999999999E-5</v>
      </c>
      <c r="BD11" s="188">
        <f>opex_orig!AV11</f>
        <v>7.2300000000000002E-6</v>
      </c>
      <c r="BE11" s="188">
        <f>opex_orig!AW11</f>
        <v>1.9300000000000002E-5</v>
      </c>
      <c r="BF11" s="188">
        <f>opex_orig!AX11</f>
        <v>0</v>
      </c>
      <c r="BG11" s="188">
        <f>opex_orig!AY11</f>
        <v>8.7800000000000006E-6</v>
      </c>
      <c r="BH11" s="188">
        <f>opex_orig!AZ11</f>
        <v>0</v>
      </c>
      <c r="BI11" s="188">
        <f>opex_orig!BA11</f>
        <v>1.15E-5</v>
      </c>
      <c r="BJ11" s="188">
        <f>opex_orig!BB11</f>
        <v>1.6500000000000001E-5</v>
      </c>
      <c r="BK11" s="188">
        <f>opex_orig!BC11</f>
        <v>1.3699999999999999E-5</v>
      </c>
      <c r="BL11" s="188">
        <f>opex_orig!BD11</f>
        <v>7.6699999999999994E-6</v>
      </c>
      <c r="BM11" s="188">
        <f>opex_orig!BE11</f>
        <v>1.1199999999999999E-5</v>
      </c>
      <c r="BN11" s="188">
        <f>opex_orig!BF11</f>
        <v>1.45E-5</v>
      </c>
      <c r="BO11" s="188">
        <f>opex_orig!BG11</f>
        <v>1.04E-5</v>
      </c>
      <c r="BP11" s="188">
        <f>opex_orig!$BH11</f>
        <v>5.0951967360878102E-6</v>
      </c>
      <c r="BQ11" s="188">
        <f>opex_orig!$BH11</f>
        <v>5.0951967360878102E-6</v>
      </c>
      <c r="BR11" s="188">
        <f>opex_orig!BI11</f>
        <v>1.5699999999999999E-5</v>
      </c>
      <c r="BS11" s="188">
        <f>opex_orig!BJ11</f>
        <v>1.50815E-4</v>
      </c>
      <c r="BT11" s="188">
        <f>opex_orig!BK11</f>
        <v>9.4499999999999993E-6</v>
      </c>
      <c r="BU11" s="188">
        <f>opex_orig!BL11</f>
        <v>0</v>
      </c>
      <c r="BV11" s="27">
        <f>opex_orig!BM11</f>
        <v>1.35945836774948E-5</v>
      </c>
      <c r="BW11" s="27">
        <f>opex_orig!BN11</f>
        <v>9.7459627490837695E-5</v>
      </c>
      <c r="BX11" s="27">
        <f>opex_orig!BO11</f>
        <v>1.09427694524679E-5</v>
      </c>
      <c r="BY11" s="27">
        <f>opex_orig!BP11</f>
        <v>8.6423362833220902E-5</v>
      </c>
      <c r="BZ11" s="27">
        <f>opex_orig!BQ11</f>
        <v>1.7201854165105302E-5</v>
      </c>
      <c r="CA11" s="27">
        <f>opex_orig!BR11</f>
        <v>1.1906531688928001E-6</v>
      </c>
      <c r="CB11" s="27">
        <f>opex_orig!BS11</f>
        <v>2.6906909862313001E-5</v>
      </c>
      <c r="CC11" s="27">
        <f>opex_orig!BT11</f>
        <v>3.0843566856520298E-6</v>
      </c>
      <c r="CD11" s="27">
        <f>opex_orig!BU11</f>
        <v>4.4573768899576904E-6</v>
      </c>
      <c r="CE11" s="27">
        <f>opex_orig!BV11</f>
        <v>4.4573768899577099E-6</v>
      </c>
      <c r="CF11" s="27">
        <f>opex_orig!BW11</f>
        <v>2.25390338206324E-5</v>
      </c>
      <c r="CG11" s="27">
        <f>opex_orig!BX11</f>
        <v>2.1681588641072298E-6</v>
      </c>
      <c r="CH11" s="27">
        <f>opex_orig!BY11</f>
        <v>5.9305368938858399E-6</v>
      </c>
      <c r="CI11" s="27">
        <f>opex_orig!Y11</f>
        <v>9.5999999999999996E-6</v>
      </c>
      <c r="CJ11" s="27">
        <f>opex_orig!Z11</f>
        <v>1.2495760000000001E-3</v>
      </c>
      <c r="CK11" s="27">
        <f>opex_orig!AA11</f>
        <v>1.4800000000000001E-5</v>
      </c>
      <c r="CL11" s="27">
        <f>opex_orig!AB11</f>
        <v>7.7945012262194705E-5</v>
      </c>
      <c r="CM11" s="27">
        <f>opex_orig!AC11</f>
        <v>3.4568210543324898E-4</v>
      </c>
      <c r="CN11" s="27">
        <f>opex_orig!AD11</f>
        <v>1.2886983380055501E-4</v>
      </c>
      <c r="CO11" s="27">
        <f>opex_orig!AE11</f>
        <v>1.15443E-4</v>
      </c>
      <c r="CP11" s="27">
        <f>opex_orig!AF11</f>
        <v>2.8099999999999999E-5</v>
      </c>
    </row>
    <row r="12" spans="1:94" x14ac:dyDescent="0.25">
      <c r="A12" s="5" t="s">
        <v>43</v>
      </c>
      <c r="B12" s="2" t="s">
        <v>42</v>
      </c>
      <c r="C12" s="1" t="s">
        <v>325</v>
      </c>
      <c r="D12" s="188">
        <f>opex_orig!D12</f>
        <v>1.38E-5</v>
      </c>
      <c r="E12" s="188">
        <f>opex_orig!E12</f>
        <v>3.2700000000000002E-5</v>
      </c>
      <c r="F12" s="188">
        <f>opex_orig!F12</f>
        <v>0.16682038900000001</v>
      </c>
      <c r="G12" s="188">
        <f>opex_orig!G12</f>
        <v>3.9579539999999996E-3</v>
      </c>
      <c r="H12" s="188">
        <f>opex_orig!H12</f>
        <v>1.4699999999999999E-6</v>
      </c>
      <c r="I12" s="188">
        <f>opex_orig!I12</f>
        <v>1.6699999999999999E-5</v>
      </c>
      <c r="J12" s="188">
        <f>opex_orig!J12</f>
        <v>2.3200000000000001E-5</v>
      </c>
      <c r="K12" s="188">
        <f>opex_orig!K12</f>
        <v>1.15E-6</v>
      </c>
      <c r="L12" s="188">
        <f>opex_orig!L12</f>
        <v>2.5642205000000001E-2</v>
      </c>
      <c r="M12" s="188">
        <f>opex_orig!M12</f>
        <v>3.1608682999999999E-2</v>
      </c>
      <c r="N12" s="188">
        <f>opex_orig!N12</f>
        <v>3.2791763000000002E-2</v>
      </c>
      <c r="O12" s="188">
        <f>opex_orig!O12</f>
        <v>5.38416E-4</v>
      </c>
      <c r="P12" s="188">
        <f>opex_orig!P12</f>
        <v>1.05945E-4</v>
      </c>
      <c r="Q12" s="188">
        <f>opex_orig!Q12</f>
        <v>1.14275E-4</v>
      </c>
      <c r="R12" s="188">
        <f>opex_orig!R12</f>
        <v>5.1980400000000001E-4</v>
      </c>
      <c r="S12" s="188">
        <f>opex_orig!S12</f>
        <v>2.7699999999999999E-5</v>
      </c>
      <c r="T12" s="188">
        <f>opex_orig!T12</f>
        <v>2.6400000000000001E-5</v>
      </c>
      <c r="U12" s="188">
        <f>opex_orig!U12</f>
        <v>1.7200000000000001E-5</v>
      </c>
      <c r="V12" s="188">
        <f>opex_orig!V12</f>
        <v>1.3200000000000001E-5</v>
      </c>
      <c r="W12" s="188">
        <f>opex_orig!W12</f>
        <v>8.2600000000000005E-6</v>
      </c>
      <c r="X12" s="188">
        <f>opex_orig!X12</f>
        <v>7.8299999999999996E-6</v>
      </c>
      <c r="Y12" s="188">
        <f>opex_orig!Y12</f>
        <v>2.7300000000000001E-6</v>
      </c>
      <c r="Z12" s="188">
        <f>opex_orig!Z12</f>
        <v>4.72404E-4</v>
      </c>
      <c r="AA12" s="188">
        <f>opex_orig!AA12</f>
        <v>1.0000000000000001E-5</v>
      </c>
      <c r="AB12" s="188">
        <f>opex_orig!$AB12</f>
        <v>6.3587340005322101E-5</v>
      </c>
      <c r="AC12" s="188">
        <f>opex_orig!$AB12</f>
        <v>6.3587340005322101E-5</v>
      </c>
      <c r="AD12" s="188">
        <f>opex_orig!$AB12</f>
        <v>6.3587340005322101E-5</v>
      </c>
      <c r="AE12" s="188">
        <f>opex_orig!$AC12</f>
        <v>4.5550212098428897E-5</v>
      </c>
      <c r="AF12" s="188">
        <f>opex_orig!$AD12</f>
        <v>2.8995459319350501E-5</v>
      </c>
      <c r="AG12" s="188">
        <f>opex_orig!$AD12</f>
        <v>2.8995459319350501E-5</v>
      </c>
      <c r="AH12" s="188">
        <f>opex_orig!$AD12</f>
        <v>2.8995459319350501E-5</v>
      </c>
      <c r="AI12" s="188">
        <f>opex_orig!AE12</f>
        <v>2.9200000000000002E-5</v>
      </c>
      <c r="AJ12" s="188">
        <f>opex_orig!AF12</f>
        <v>1.1750400000000001E-4</v>
      </c>
      <c r="AK12" s="188">
        <f>opex_orig!AG12</f>
        <v>3.0599999999999998E-5</v>
      </c>
      <c r="AL12" s="188">
        <f>opex_orig!AH12</f>
        <v>3.2199999999999997E-5</v>
      </c>
      <c r="AM12" s="188">
        <f>opex_orig!AI12</f>
        <v>7.6399999999999997E-6</v>
      </c>
      <c r="AN12" s="188">
        <f>opex_orig!AJ12</f>
        <v>1.2500000000000001E-5</v>
      </c>
      <c r="AO12" s="188">
        <f>opex_orig!AK12</f>
        <v>1.49E-5</v>
      </c>
      <c r="AP12" s="188">
        <f>opex_orig!$AL12</f>
        <v>8.2384688723707604E-6</v>
      </c>
      <c r="AQ12" s="188">
        <f>opex_orig!$AL12</f>
        <v>8.2384688723707604E-6</v>
      </c>
      <c r="AR12" s="188">
        <f>opex_orig!$AL12</f>
        <v>8.2384688723707604E-6</v>
      </c>
      <c r="AS12" s="188">
        <f>opex_orig!$AM12</f>
        <v>6.3378684464660198E-6</v>
      </c>
      <c r="AT12" s="188">
        <f>opex_orig!AN12</f>
        <v>1.33E-5</v>
      </c>
      <c r="AU12" s="188">
        <f>opex_orig!$AO12</f>
        <v>7.9638240677743898E-6</v>
      </c>
      <c r="AV12" s="188">
        <f>opex_orig!$AO12</f>
        <v>7.9638240677743898E-6</v>
      </c>
      <c r="AW12" s="188">
        <f>opex_orig!$AO12</f>
        <v>7.9638240677743898E-6</v>
      </c>
      <c r="AX12" s="188">
        <f>opex_orig!$AP12</f>
        <v>8.0277025505255606E-6</v>
      </c>
      <c r="AY12" s="188">
        <f>opex_orig!AQ12</f>
        <v>1.2E-5</v>
      </c>
      <c r="AZ12" s="188">
        <f>opex_orig!AR12</f>
        <v>0</v>
      </c>
      <c r="BA12" s="188">
        <f>opex_orig!AS12</f>
        <v>1.4600000000000001E-5</v>
      </c>
      <c r="BB12" s="188">
        <f>opex_orig!AT12</f>
        <v>1.29E-5</v>
      </c>
      <c r="BC12" s="188">
        <f>opex_orig!AU12</f>
        <v>4.1200000000000004E-6</v>
      </c>
      <c r="BD12" s="188">
        <f>opex_orig!AV12</f>
        <v>1.6199999999999999E-6</v>
      </c>
      <c r="BE12" s="188">
        <f>opex_orig!AW12</f>
        <v>5.8200000000000002E-6</v>
      </c>
      <c r="BF12" s="188">
        <f>opex_orig!AX12</f>
        <v>0</v>
      </c>
      <c r="BG12" s="188">
        <f>opex_orig!AY12</f>
        <v>1.01E-5</v>
      </c>
      <c r="BH12" s="188">
        <f>opex_orig!AZ12</f>
        <v>0</v>
      </c>
      <c r="BI12" s="188">
        <f>opex_orig!BA12</f>
        <v>8.4300000000000006E-6</v>
      </c>
      <c r="BJ12" s="188">
        <f>opex_orig!BB12</f>
        <v>5.75E-6</v>
      </c>
      <c r="BK12" s="188">
        <f>opex_orig!BC12</f>
        <v>6.8399999999999997E-6</v>
      </c>
      <c r="BL12" s="188">
        <f>opex_orig!BD12</f>
        <v>4.5600000000000004E-6</v>
      </c>
      <c r="BM12" s="188">
        <f>opex_orig!BE12</f>
        <v>3.3500000000000001E-6</v>
      </c>
      <c r="BN12" s="188">
        <f>opex_orig!BF12</f>
        <v>1.8700000000000001E-6</v>
      </c>
      <c r="BO12" s="188">
        <f>opex_orig!BG12</f>
        <v>1.1399999999999999E-5</v>
      </c>
      <c r="BP12" s="188">
        <f>opex_orig!$BH12</f>
        <v>4.2967988923090602E-6</v>
      </c>
      <c r="BQ12" s="188">
        <f>opex_orig!$BH12</f>
        <v>4.2967988923090602E-6</v>
      </c>
      <c r="BR12" s="188">
        <f>opex_orig!BI12</f>
        <v>7.8199999999999997E-6</v>
      </c>
      <c r="BS12" s="188">
        <f>opex_orig!BJ12</f>
        <v>1.7311E-4</v>
      </c>
      <c r="BT12" s="188">
        <f>opex_orig!BK12</f>
        <v>3.8399999999999997E-6</v>
      </c>
      <c r="BU12" s="188">
        <f>opex_orig!BL12</f>
        <v>0</v>
      </c>
      <c r="BV12" s="27">
        <f>opex_orig!BM12</f>
        <v>6.69657766286421E-6</v>
      </c>
      <c r="BW12" s="27">
        <f>opex_orig!BN12</f>
        <v>1.8908780649113599E-5</v>
      </c>
      <c r="BX12" s="27">
        <f>opex_orig!BO12</f>
        <v>2.6578816196440101E-6</v>
      </c>
      <c r="BY12" s="27">
        <f>opex_orig!BP12</f>
        <v>1.15383009240367E-5</v>
      </c>
      <c r="BZ12" s="27">
        <f>opex_orig!BQ12</f>
        <v>4.9018960117277204E-6</v>
      </c>
      <c r="CA12" s="27">
        <f>opex_orig!BR12</f>
        <v>2.17444103891164E-7</v>
      </c>
      <c r="CB12" s="27">
        <f>opex_orig!BS12</f>
        <v>1.2339696014075899E-5</v>
      </c>
      <c r="CC12" s="27">
        <f>opex_orig!BT12</f>
        <v>9.3326752528708198E-7</v>
      </c>
      <c r="CD12" s="27">
        <f>opex_orig!BU12</f>
        <v>2.37899400350489E-6</v>
      </c>
      <c r="CE12" s="27">
        <f>opex_orig!BV12</f>
        <v>2.3789940035049002E-6</v>
      </c>
      <c r="CF12" s="27">
        <f>opex_orig!BW12</f>
        <v>4.1476410596135304E-6</v>
      </c>
      <c r="CG12" s="27">
        <f>opex_orig!BX12</f>
        <v>1.88491280804234E-6</v>
      </c>
      <c r="CH12" s="27">
        <f>opex_orig!BY12</f>
        <v>8.9963376128656205E-6</v>
      </c>
      <c r="CI12" s="27">
        <f>opex_orig!Y12</f>
        <v>2.7300000000000001E-6</v>
      </c>
      <c r="CJ12" s="27">
        <f>opex_orig!Z12</f>
        <v>4.72404E-4</v>
      </c>
      <c r="CK12" s="27">
        <f>opex_orig!AA12</f>
        <v>1.0000000000000001E-5</v>
      </c>
      <c r="CL12" s="27">
        <f>opex_orig!AB12</f>
        <v>6.3587340005322101E-5</v>
      </c>
      <c r="CM12" s="27">
        <f>opex_orig!AC12</f>
        <v>4.5550212098428897E-5</v>
      </c>
      <c r="CN12" s="27">
        <f>opex_orig!AD12</f>
        <v>2.8995459319350501E-5</v>
      </c>
      <c r="CO12" s="27">
        <f>opex_orig!AE12</f>
        <v>2.9200000000000002E-5</v>
      </c>
      <c r="CP12" s="27">
        <f>opex_orig!AF12</f>
        <v>1.1750400000000001E-4</v>
      </c>
    </row>
    <row r="13" spans="1:94" x14ac:dyDescent="0.25">
      <c r="A13" s="5" t="s">
        <v>45</v>
      </c>
      <c r="B13" s="2" t="s">
        <v>44</v>
      </c>
      <c r="C13" s="1" t="s">
        <v>325</v>
      </c>
      <c r="D13" s="188">
        <f>opex_orig!D13</f>
        <v>1.2251440000000001E-3</v>
      </c>
      <c r="E13" s="188">
        <f>opex_orig!E13</f>
        <v>2.7980253E-2</v>
      </c>
      <c r="F13" s="188">
        <f>opex_orig!F13</f>
        <v>2.3871470000000001E-3</v>
      </c>
      <c r="G13" s="188">
        <f>opex_orig!G13</f>
        <v>1.1947401E-2</v>
      </c>
      <c r="H13" s="188">
        <f>opex_orig!H13</f>
        <v>1.8300000000000001E-5</v>
      </c>
      <c r="I13" s="188">
        <f>opex_orig!I13</f>
        <v>9.8180360000000005E-3</v>
      </c>
      <c r="J13" s="188">
        <f>opex_orig!J13</f>
        <v>3.03166E-4</v>
      </c>
      <c r="K13" s="188">
        <f>opex_orig!K13</f>
        <v>3.6300000000000001E-5</v>
      </c>
      <c r="L13" s="188">
        <f>opex_orig!L13</f>
        <v>4.9153620000000004E-3</v>
      </c>
      <c r="M13" s="188">
        <f>opex_orig!M13</f>
        <v>8.4320399999999996E-4</v>
      </c>
      <c r="N13" s="188">
        <f>opex_orig!N13</f>
        <v>5.9541300000000002E-3</v>
      </c>
      <c r="O13" s="188">
        <f>opex_orig!O13</f>
        <v>6.1522699999999998E-4</v>
      </c>
      <c r="P13" s="188">
        <f>opex_orig!P13</f>
        <v>3.00921E-4</v>
      </c>
      <c r="Q13" s="188">
        <f>opex_orig!Q13</f>
        <v>2.24415E-4</v>
      </c>
      <c r="R13" s="188">
        <f>opex_orig!R13</f>
        <v>2.76741E-4</v>
      </c>
      <c r="S13" s="188">
        <f>opex_orig!S13</f>
        <v>1.0256599999999999E-4</v>
      </c>
      <c r="T13" s="188">
        <f>opex_orig!T13</f>
        <v>1.13539E-4</v>
      </c>
      <c r="U13" s="188">
        <f>opex_orig!U13</f>
        <v>2.7725500000000001E-4</v>
      </c>
      <c r="V13" s="188">
        <f>opex_orig!V13</f>
        <v>5.1504399999999998E-4</v>
      </c>
      <c r="W13" s="188">
        <f>opex_orig!W13</f>
        <v>1.2682500000000001E-4</v>
      </c>
      <c r="X13" s="188">
        <f>opex_orig!X13</f>
        <v>1.44516E-4</v>
      </c>
      <c r="Y13" s="188">
        <f>opex_orig!Y13</f>
        <v>4.49E-5</v>
      </c>
      <c r="Z13" s="188">
        <f>opex_orig!Z13</f>
        <v>7.4085199999999996E-4</v>
      </c>
      <c r="AA13" s="188">
        <f>opex_orig!AA13</f>
        <v>1.6386600000000001E-4</v>
      </c>
      <c r="AB13" s="188">
        <f>opex_orig!$AB13</f>
        <v>5.9862125154225699E-4</v>
      </c>
      <c r="AC13" s="188">
        <f>opex_orig!$AB13</f>
        <v>5.9862125154225699E-4</v>
      </c>
      <c r="AD13" s="188">
        <f>opex_orig!$AB13</f>
        <v>5.9862125154225699E-4</v>
      </c>
      <c r="AE13" s="188">
        <f>opex_orig!$AC13</f>
        <v>2.03200183827213E-3</v>
      </c>
      <c r="AF13" s="188">
        <f>opex_orig!$AD13</f>
        <v>6.02849990165906E-4</v>
      </c>
      <c r="AG13" s="188">
        <f>opex_orig!$AD13</f>
        <v>6.02849990165906E-4</v>
      </c>
      <c r="AH13" s="188">
        <f>opex_orig!$AD13</f>
        <v>6.02849990165906E-4</v>
      </c>
      <c r="AI13" s="188">
        <f>opex_orig!AE13</f>
        <v>4.0793900000000001E-4</v>
      </c>
      <c r="AJ13" s="188">
        <f>opex_orig!AF13</f>
        <v>2.0705499999999999E-4</v>
      </c>
      <c r="AK13" s="188">
        <f>opex_orig!AG13</f>
        <v>7.4099999999999999E-5</v>
      </c>
      <c r="AL13" s="188">
        <f>opex_orig!AH13</f>
        <v>4.1174499999999998E-4</v>
      </c>
      <c r="AM13" s="188">
        <f>opex_orig!AI13</f>
        <v>1.02434E-4</v>
      </c>
      <c r="AN13" s="188">
        <f>opex_orig!AJ13</f>
        <v>2.9339900000000001E-4</v>
      </c>
      <c r="AO13" s="188">
        <f>opex_orig!AK13</f>
        <v>1.9161199999999999E-4</v>
      </c>
      <c r="AP13" s="188">
        <f>opex_orig!$AL13</f>
        <v>1.6725877606595601E-4</v>
      </c>
      <c r="AQ13" s="188">
        <f>opex_orig!$AL13</f>
        <v>1.6725877606595601E-4</v>
      </c>
      <c r="AR13" s="188">
        <f>opex_orig!$AL13</f>
        <v>1.6725877606595601E-4</v>
      </c>
      <c r="AS13" s="188">
        <f>opex_orig!$AM13</f>
        <v>1.02432135031415E-4</v>
      </c>
      <c r="AT13" s="188">
        <f>opex_orig!AN13</f>
        <v>2.1703200000000001E-4</v>
      </c>
      <c r="AU13" s="188">
        <f>opex_orig!$AO13</f>
        <v>9.8723033692773503E-5</v>
      </c>
      <c r="AV13" s="188">
        <f>opex_orig!$AO13</f>
        <v>9.8723033692773503E-5</v>
      </c>
      <c r="AW13" s="188">
        <f>opex_orig!$AO13</f>
        <v>9.8723033692773503E-5</v>
      </c>
      <c r="AX13" s="188">
        <f>opex_orig!$AP13</f>
        <v>2.0647885871765E-4</v>
      </c>
      <c r="AY13" s="188">
        <f>opex_orig!AQ13</f>
        <v>2.82532E-4</v>
      </c>
      <c r="AZ13" s="188">
        <f>opex_orig!AR13</f>
        <v>0</v>
      </c>
      <c r="BA13" s="188">
        <f>opex_orig!AS13</f>
        <v>2.5874699999999998E-4</v>
      </c>
      <c r="BB13" s="188">
        <f>opex_orig!AT13</f>
        <v>1.98736E-4</v>
      </c>
      <c r="BC13" s="188">
        <f>opex_orig!AU13</f>
        <v>1.85947E-4</v>
      </c>
      <c r="BD13" s="188">
        <f>opex_orig!AV13</f>
        <v>4.5300000000000003E-5</v>
      </c>
      <c r="BE13" s="188">
        <f>opex_orig!AW13</f>
        <v>3.4925400000000001E-4</v>
      </c>
      <c r="BF13" s="188">
        <f>opex_orig!AX13</f>
        <v>0</v>
      </c>
      <c r="BG13" s="188">
        <f>opex_orig!AY13</f>
        <v>1.2864699999999999E-4</v>
      </c>
      <c r="BH13" s="188">
        <f>opex_orig!AZ13</f>
        <v>0</v>
      </c>
      <c r="BI13" s="188">
        <f>opex_orig!BA13</f>
        <v>1.3606299999999999E-4</v>
      </c>
      <c r="BJ13" s="188">
        <f>opex_orig!BB13</f>
        <v>9.2399999999999996E-5</v>
      </c>
      <c r="BK13" s="188">
        <f>opex_orig!BC13</f>
        <v>1.16876E-4</v>
      </c>
      <c r="BL13" s="188">
        <f>opex_orig!BD13</f>
        <v>1.27529E-4</v>
      </c>
      <c r="BM13" s="188">
        <f>opex_orig!BE13</f>
        <v>1.08952E-4</v>
      </c>
      <c r="BN13" s="188">
        <f>opex_orig!BF13</f>
        <v>1.3937500000000001E-4</v>
      </c>
      <c r="BO13" s="188">
        <f>opex_orig!BG13</f>
        <v>1.08554E-4</v>
      </c>
      <c r="BP13" s="188">
        <f>opex_orig!$BH13</f>
        <v>1.05049162046147E-4</v>
      </c>
      <c r="BQ13" s="188">
        <f>opex_orig!$BH13</f>
        <v>1.05049162046147E-4</v>
      </c>
      <c r="BR13" s="188">
        <f>opex_orig!BI13</f>
        <v>9.8200000000000002E-5</v>
      </c>
      <c r="BS13" s="188">
        <f>opex_orig!BJ13</f>
        <v>1.1018099999999999E-4</v>
      </c>
      <c r="BT13" s="188">
        <f>opex_orig!BK13</f>
        <v>1.6132399999999999E-4</v>
      </c>
      <c r="BU13" s="188">
        <f>opex_orig!BL13</f>
        <v>0</v>
      </c>
      <c r="BV13" s="27">
        <f>opex_orig!BM13</f>
        <v>1.13775652616053E-4</v>
      </c>
      <c r="BW13" s="27">
        <f>opex_orig!BN13</f>
        <v>8.6590994480378197E-4</v>
      </c>
      <c r="BX13" s="27">
        <f>opex_orig!BO13</f>
        <v>8.6357232148240003E-5</v>
      </c>
      <c r="BY13" s="27">
        <f>opex_orig!BP13</f>
        <v>7.7691296612167099E-4</v>
      </c>
      <c r="BZ13" s="27">
        <f>opex_orig!BQ13</f>
        <v>1.2256470862852001E-4</v>
      </c>
      <c r="CA13" s="27">
        <f>opex_orig!BR13</f>
        <v>2.3110012343302599E-5</v>
      </c>
      <c r="CB13" s="27">
        <f>opex_orig!BS13</f>
        <v>2.3350818995089001E-4</v>
      </c>
      <c r="CC13" s="27">
        <f>opex_orig!BT13</f>
        <v>3.0394576239496001E-5</v>
      </c>
      <c r="CD13" s="27">
        <f>opex_orig!BU13</f>
        <v>5.32550584164694E-5</v>
      </c>
      <c r="CE13" s="27">
        <f>opex_orig!BV13</f>
        <v>5.3255058416469501E-5</v>
      </c>
      <c r="CF13" s="27">
        <f>opex_orig!BW13</f>
        <v>1.1701265118850301E-4</v>
      </c>
      <c r="CG13" s="27">
        <f>opex_orig!BX13</f>
        <v>2.10816740454389E-5</v>
      </c>
      <c r="CH13" s="27">
        <f>opex_orig!BY13</f>
        <v>3.6380746754708997E-4</v>
      </c>
      <c r="CI13" s="27">
        <f>opex_orig!Y13</f>
        <v>4.49E-5</v>
      </c>
      <c r="CJ13" s="27">
        <f>opex_orig!Z13</f>
        <v>7.4085199999999996E-4</v>
      </c>
      <c r="CK13" s="27">
        <f>opex_orig!AA13</f>
        <v>1.6386600000000001E-4</v>
      </c>
      <c r="CL13" s="27">
        <f>opex_orig!AB13</f>
        <v>5.9862125154225699E-4</v>
      </c>
      <c r="CM13" s="27">
        <f>opex_orig!AC13</f>
        <v>2.03200183827213E-3</v>
      </c>
      <c r="CN13" s="27">
        <f>opex_orig!AD13</f>
        <v>6.02849990165906E-4</v>
      </c>
      <c r="CO13" s="27">
        <f>opex_orig!AE13</f>
        <v>4.0793900000000001E-4</v>
      </c>
      <c r="CP13" s="27">
        <f>opex_orig!AF13</f>
        <v>2.0705499999999999E-4</v>
      </c>
    </row>
    <row r="14" spans="1:94" x14ac:dyDescent="0.25">
      <c r="A14" s="5" t="s">
        <v>47</v>
      </c>
      <c r="B14" s="2" t="s">
        <v>46</v>
      </c>
      <c r="C14" s="1" t="s">
        <v>325</v>
      </c>
      <c r="D14" s="188">
        <f>opex_orig!D14</f>
        <v>3.1496999999999997E-4</v>
      </c>
      <c r="E14" s="188">
        <f>opex_orig!E14</f>
        <v>6.5200850000000001E-3</v>
      </c>
      <c r="F14" s="188">
        <f>opex_orig!F14</f>
        <v>4.9657E-4</v>
      </c>
      <c r="G14" s="188">
        <f>opex_orig!G14</f>
        <v>1.37396E-3</v>
      </c>
      <c r="H14" s="188">
        <f>opex_orig!H14</f>
        <v>8.4800000000000001E-6</v>
      </c>
      <c r="I14" s="188">
        <f>opex_orig!I14</f>
        <v>2.2704359999999998E-3</v>
      </c>
      <c r="J14" s="188">
        <f>opex_orig!J14</f>
        <v>5.5500000000000001E-5</v>
      </c>
      <c r="K14" s="188">
        <f>opex_orig!K14</f>
        <v>1.9000000000000001E-5</v>
      </c>
      <c r="L14" s="188">
        <f>opex_orig!L14</f>
        <v>7.6957600000000001E-4</v>
      </c>
      <c r="M14" s="188">
        <f>opex_orig!M14</f>
        <v>2.2602899999999999E-4</v>
      </c>
      <c r="N14" s="188">
        <f>opex_orig!N14</f>
        <v>9.4909200000000001E-4</v>
      </c>
      <c r="O14" s="188">
        <f>opex_orig!O14</f>
        <v>4.1100000000000003E-5</v>
      </c>
      <c r="P14" s="188">
        <f>opex_orig!P14</f>
        <v>1.9599999999999999E-5</v>
      </c>
      <c r="Q14" s="188">
        <f>opex_orig!Q14</f>
        <v>3.29E-5</v>
      </c>
      <c r="R14" s="188">
        <f>opex_orig!R14</f>
        <v>6.5500000000000006E-5</v>
      </c>
      <c r="S14" s="188">
        <f>opex_orig!S14</f>
        <v>1.6200000000000001E-5</v>
      </c>
      <c r="T14" s="188">
        <f>opex_orig!T14</f>
        <v>3.65E-5</v>
      </c>
      <c r="U14" s="188">
        <f>opex_orig!U14</f>
        <v>1.8600000000000001E-5</v>
      </c>
      <c r="V14" s="188">
        <f>opex_orig!V14</f>
        <v>2.26E-5</v>
      </c>
      <c r="W14" s="188">
        <f>opex_orig!W14</f>
        <v>1.33E-5</v>
      </c>
      <c r="X14" s="188">
        <f>opex_orig!X14</f>
        <v>2.0100000000000001E-5</v>
      </c>
      <c r="Y14" s="188">
        <f>opex_orig!Y14</f>
        <v>1.8E-5</v>
      </c>
      <c r="Z14" s="188">
        <f>opex_orig!Z14</f>
        <v>8.1000000000000004E-6</v>
      </c>
      <c r="AA14" s="188">
        <f>opex_orig!AA14</f>
        <v>5.7000000000000003E-5</v>
      </c>
      <c r="AB14" s="188">
        <f>opex_orig!$AB14</f>
        <v>4.9308516102304498E-5</v>
      </c>
      <c r="AC14" s="188">
        <f>opex_orig!$AB14</f>
        <v>4.9308516102304498E-5</v>
      </c>
      <c r="AD14" s="188">
        <f>opex_orig!$AB14</f>
        <v>4.9308516102304498E-5</v>
      </c>
      <c r="AE14" s="188">
        <f>opex_orig!$AC14</f>
        <v>6.8756552819594603E-5</v>
      </c>
      <c r="AF14" s="188">
        <f>opex_orig!$AD14</f>
        <v>2.17060825538901E-5</v>
      </c>
      <c r="AG14" s="188">
        <f>opex_orig!$AD14</f>
        <v>2.17060825538901E-5</v>
      </c>
      <c r="AH14" s="188">
        <f>opex_orig!$AD14</f>
        <v>2.17060825538901E-5</v>
      </c>
      <c r="AI14" s="188">
        <f>opex_orig!AE14</f>
        <v>1.6099999999999998E-5</v>
      </c>
      <c r="AJ14" s="188">
        <f>opex_orig!AF14</f>
        <v>3.0199999999999999E-5</v>
      </c>
      <c r="AK14" s="188">
        <f>opex_orig!AG14</f>
        <v>2.16E-5</v>
      </c>
      <c r="AL14" s="188">
        <f>opex_orig!AH14</f>
        <v>1.17E-5</v>
      </c>
      <c r="AM14" s="188">
        <f>opex_orig!AI14</f>
        <v>2.4000000000000001E-5</v>
      </c>
      <c r="AN14" s="188">
        <f>opex_orig!AJ14</f>
        <v>1.43E-5</v>
      </c>
      <c r="AO14" s="188">
        <f>opex_orig!AK14</f>
        <v>3.0499999999999999E-5</v>
      </c>
      <c r="AP14" s="188">
        <f>opex_orig!$AL14</f>
        <v>1.52380921851642E-5</v>
      </c>
      <c r="AQ14" s="188">
        <f>opex_orig!$AL14</f>
        <v>1.52380921851642E-5</v>
      </c>
      <c r="AR14" s="188">
        <f>opex_orig!$AL14</f>
        <v>1.52380921851642E-5</v>
      </c>
      <c r="AS14" s="188">
        <f>opex_orig!$AM14</f>
        <v>2.48794865472445E-5</v>
      </c>
      <c r="AT14" s="188">
        <f>opex_orig!AN14</f>
        <v>1.7099999999999999E-5</v>
      </c>
      <c r="AU14" s="188">
        <f>opex_orig!$AO14</f>
        <v>1.51973948154517E-5</v>
      </c>
      <c r="AV14" s="188">
        <f>opex_orig!$AO14</f>
        <v>1.51973948154517E-5</v>
      </c>
      <c r="AW14" s="188">
        <f>opex_orig!$AO14</f>
        <v>1.51973948154517E-5</v>
      </c>
      <c r="AX14" s="188">
        <f>opex_orig!$AP14</f>
        <v>2.2665363203160399E-5</v>
      </c>
      <c r="AY14" s="188">
        <f>opex_orig!AQ14</f>
        <v>2.9899999999999998E-5</v>
      </c>
      <c r="AZ14" s="188">
        <f>opex_orig!AR14</f>
        <v>0</v>
      </c>
      <c r="BA14" s="188">
        <f>opex_orig!AS14</f>
        <v>2.3600000000000001E-5</v>
      </c>
      <c r="BB14" s="188">
        <f>opex_orig!AT14</f>
        <v>1.98E-5</v>
      </c>
      <c r="BC14" s="188">
        <f>opex_orig!AU14</f>
        <v>1.1600000000000001E-5</v>
      </c>
      <c r="BD14" s="188">
        <f>opex_orig!AV14</f>
        <v>1.11E-5</v>
      </c>
      <c r="BE14" s="188">
        <f>opex_orig!AW14</f>
        <v>1.8099999999999999E-5</v>
      </c>
      <c r="BF14" s="188">
        <f>opex_orig!AX14</f>
        <v>0</v>
      </c>
      <c r="BG14" s="188">
        <f>opex_orig!AY14</f>
        <v>5.9599999999999999E-5</v>
      </c>
      <c r="BH14" s="188">
        <f>opex_orig!AZ14</f>
        <v>0</v>
      </c>
      <c r="BI14" s="188">
        <f>opex_orig!BA14</f>
        <v>1.8600000000000001E-5</v>
      </c>
      <c r="BJ14" s="188">
        <f>opex_orig!BB14</f>
        <v>1.47E-5</v>
      </c>
      <c r="BK14" s="188">
        <f>opex_orig!BC14</f>
        <v>1.5699999999999999E-5</v>
      </c>
      <c r="BL14" s="188">
        <f>opex_orig!BD14</f>
        <v>1.1600000000000001E-5</v>
      </c>
      <c r="BM14" s="188">
        <f>opex_orig!BE14</f>
        <v>9.1900000000000001E-6</v>
      </c>
      <c r="BN14" s="188">
        <f>opex_orig!BF14</f>
        <v>1.24E-5</v>
      </c>
      <c r="BO14" s="188">
        <f>opex_orig!BG14</f>
        <v>2.37E-5</v>
      </c>
      <c r="BP14" s="188">
        <f>opex_orig!$BH14</f>
        <v>2.02263696121965E-5</v>
      </c>
      <c r="BQ14" s="188">
        <f>opex_orig!$BH14</f>
        <v>2.02263696121965E-5</v>
      </c>
      <c r="BR14" s="188">
        <f>opex_orig!BI14</f>
        <v>1.03E-5</v>
      </c>
      <c r="BS14" s="188">
        <f>opex_orig!BJ14</f>
        <v>1.0499999999999999E-5</v>
      </c>
      <c r="BT14" s="188">
        <f>opex_orig!BK14</f>
        <v>2.5000000000000001E-5</v>
      </c>
      <c r="BU14" s="188">
        <f>opex_orig!BL14</f>
        <v>0</v>
      </c>
      <c r="BV14" s="27">
        <f>opex_orig!BM14</f>
        <v>9.48582179931853E-6</v>
      </c>
      <c r="BW14" s="27">
        <f>opex_orig!BN14</f>
        <v>2.3921215976045699E-5</v>
      </c>
      <c r="BX14" s="27">
        <f>opex_orig!BO14</f>
        <v>3.3633318161821098E-6</v>
      </c>
      <c r="BY14" s="27">
        <f>opex_orig!BP14</f>
        <v>1.14510312256993E-5</v>
      </c>
      <c r="BZ14" s="27">
        <f>opex_orig!BQ14</f>
        <v>1.7338088346896499E-5</v>
      </c>
      <c r="CA14" s="27">
        <f>opex_orig!BR14</f>
        <v>1.3561729073329599E-5</v>
      </c>
      <c r="CB14" s="27">
        <f>opex_orig!BS14</f>
        <v>6.5957562521505104E-5</v>
      </c>
      <c r="CC14" s="27">
        <f>opex_orig!BT14</f>
        <v>4.09161192952233E-6</v>
      </c>
      <c r="CD14" s="27">
        <f>opex_orig!BU14</f>
        <v>7.0749000051864003E-6</v>
      </c>
      <c r="CE14" s="27">
        <f>opex_orig!BV14</f>
        <v>7.0749000051864096E-6</v>
      </c>
      <c r="CF14" s="27">
        <f>opex_orig!BW14</f>
        <v>6.6493854841455597E-6</v>
      </c>
      <c r="CG14" s="27">
        <f>opex_orig!BX14</f>
        <v>1.89599648389596E-7</v>
      </c>
      <c r="CH14" s="27">
        <f>opex_orig!BY14</f>
        <v>8.7213870526461499E-7</v>
      </c>
      <c r="CI14" s="27">
        <f>opex_orig!Y14</f>
        <v>1.8E-5</v>
      </c>
      <c r="CJ14" s="27">
        <f>opex_orig!Z14</f>
        <v>8.1000000000000004E-6</v>
      </c>
      <c r="CK14" s="27">
        <f>opex_orig!AA14</f>
        <v>5.7000000000000003E-5</v>
      </c>
      <c r="CL14" s="27">
        <f>opex_orig!AB14</f>
        <v>4.9308516102304498E-5</v>
      </c>
      <c r="CM14" s="27">
        <f>opex_orig!AC14</f>
        <v>6.8756552819594603E-5</v>
      </c>
      <c r="CN14" s="27">
        <f>opex_orig!AD14</f>
        <v>2.17060825538901E-5</v>
      </c>
      <c r="CO14" s="27">
        <f>opex_orig!AE14</f>
        <v>1.6099999999999998E-5</v>
      </c>
      <c r="CP14" s="27">
        <f>opex_orig!AF14</f>
        <v>3.0199999999999999E-5</v>
      </c>
    </row>
    <row r="15" spans="1:94" x14ac:dyDescent="0.25">
      <c r="A15" s="5" t="s">
        <v>49</v>
      </c>
      <c r="B15" s="2" t="s">
        <v>48</v>
      </c>
      <c r="C15" s="1" t="s">
        <v>325</v>
      </c>
      <c r="D15" s="188">
        <f>opex_orig!D15</f>
        <v>1.9603060000000002E-3</v>
      </c>
      <c r="E15" s="188">
        <f>opex_orig!E15</f>
        <v>1.36E-5</v>
      </c>
      <c r="F15" s="188">
        <f>opex_orig!F15</f>
        <v>2.9099999999999999E-5</v>
      </c>
      <c r="G15" s="188">
        <f>opex_orig!G15</f>
        <v>7.6639120000000002E-3</v>
      </c>
      <c r="H15" s="188">
        <f>opex_orig!H15</f>
        <v>9.850000000000001E-7</v>
      </c>
      <c r="I15" s="188">
        <f>opex_orig!I15</f>
        <v>0.33535817200000001</v>
      </c>
      <c r="J15" s="188">
        <f>opex_orig!J15</f>
        <v>1.8899999999999999E-5</v>
      </c>
      <c r="K15" s="188">
        <f>opex_orig!K15</f>
        <v>1.3799999999999999E-6</v>
      </c>
      <c r="L15" s="188">
        <f>opex_orig!L15</f>
        <v>3.045376E-2</v>
      </c>
      <c r="M15" s="188">
        <f>opex_orig!M15</f>
        <v>8.9630049999999996E-3</v>
      </c>
      <c r="N15" s="188">
        <f>opex_orig!N15</f>
        <v>3.3670537E-2</v>
      </c>
      <c r="O15" s="188">
        <f>opex_orig!O15</f>
        <v>5.3335199999999996E-4</v>
      </c>
      <c r="P15" s="188">
        <f>opex_orig!P15</f>
        <v>8.92E-5</v>
      </c>
      <c r="Q15" s="188">
        <f>opex_orig!Q15</f>
        <v>2.0440899999999999E-4</v>
      </c>
      <c r="R15" s="188">
        <f>opex_orig!R15</f>
        <v>8.6899999999999998E-5</v>
      </c>
      <c r="S15" s="188">
        <f>opex_orig!S15</f>
        <v>1.15E-5</v>
      </c>
      <c r="T15" s="188">
        <f>opex_orig!T15</f>
        <v>6.5599999999999999E-6</v>
      </c>
      <c r="U15" s="188">
        <f>opex_orig!U15</f>
        <v>9.6800000000000005E-6</v>
      </c>
      <c r="V15" s="188">
        <f>opex_orig!V15</f>
        <v>1.3200000000000001E-5</v>
      </c>
      <c r="W15" s="188">
        <f>opex_orig!W15</f>
        <v>4.6E-6</v>
      </c>
      <c r="X15" s="188">
        <f>opex_orig!X15</f>
        <v>9.3100000000000006E-6</v>
      </c>
      <c r="Y15" s="188">
        <f>opex_orig!Y15</f>
        <v>1.9700000000000002E-6</v>
      </c>
      <c r="Z15" s="188">
        <f>opex_orig!Z15</f>
        <v>1.014966E-3</v>
      </c>
      <c r="AA15" s="188">
        <f>opex_orig!AA15</f>
        <v>6.3500000000000002E-6</v>
      </c>
      <c r="AB15" s="188">
        <f>opex_orig!$AB15</f>
        <v>1.07657519302187E-4</v>
      </c>
      <c r="AC15" s="188">
        <f>opex_orig!$AB15</f>
        <v>1.07657519302187E-4</v>
      </c>
      <c r="AD15" s="188">
        <f>opex_orig!$AB15</f>
        <v>1.07657519302187E-4</v>
      </c>
      <c r="AE15" s="188">
        <f>opex_orig!$AC15</f>
        <v>5.8585800164570801E-5</v>
      </c>
      <c r="AF15" s="188">
        <f>opex_orig!$AD15</f>
        <v>4.9656906127345398E-5</v>
      </c>
      <c r="AG15" s="188">
        <f>opex_orig!$AD15</f>
        <v>4.9656906127345398E-5</v>
      </c>
      <c r="AH15" s="188">
        <f>opex_orig!$AD15</f>
        <v>4.9656906127345398E-5</v>
      </c>
      <c r="AI15" s="188">
        <f>opex_orig!AE15</f>
        <v>5.0899999999999997E-5</v>
      </c>
      <c r="AJ15" s="188">
        <f>opex_orig!AF15</f>
        <v>3.2299999999999999E-5</v>
      </c>
      <c r="AK15" s="188">
        <f>opex_orig!AG15</f>
        <v>6.1299999999999998E-6</v>
      </c>
      <c r="AL15" s="188">
        <f>opex_orig!AH15</f>
        <v>2.2799999999999999E-5</v>
      </c>
      <c r="AM15" s="188">
        <f>opex_orig!AI15</f>
        <v>4.8199999999999996E-6</v>
      </c>
      <c r="AN15" s="188">
        <f>opex_orig!AJ15</f>
        <v>7.9899999999999997E-6</v>
      </c>
      <c r="AO15" s="188">
        <f>opex_orig!AK15</f>
        <v>9.0699999999999996E-6</v>
      </c>
      <c r="AP15" s="188">
        <f>opex_orig!$AL15</f>
        <v>5.6594203690750201E-6</v>
      </c>
      <c r="AQ15" s="188">
        <f>opex_orig!$AL15</f>
        <v>5.6594203690750201E-6</v>
      </c>
      <c r="AR15" s="188">
        <f>opex_orig!$AL15</f>
        <v>5.6594203690750201E-6</v>
      </c>
      <c r="AS15" s="188">
        <f>opex_orig!$AM15</f>
        <v>4.34858867431015E-6</v>
      </c>
      <c r="AT15" s="188">
        <f>opex_orig!AN15</f>
        <v>8.8000000000000004E-6</v>
      </c>
      <c r="AU15" s="188">
        <f>opex_orig!$AO15</f>
        <v>2.9500354567151198E-6</v>
      </c>
      <c r="AV15" s="188">
        <f>opex_orig!$AO15</f>
        <v>2.9500354567151198E-6</v>
      </c>
      <c r="AW15" s="188">
        <f>opex_orig!$AO15</f>
        <v>2.9500354567151198E-6</v>
      </c>
      <c r="AX15" s="188">
        <f>opex_orig!$AP15</f>
        <v>4.3238104465157202E-6</v>
      </c>
      <c r="AY15" s="188">
        <f>opex_orig!AQ15</f>
        <v>5.4399999999999996E-6</v>
      </c>
      <c r="AZ15" s="188">
        <f>opex_orig!AR15</f>
        <v>0</v>
      </c>
      <c r="BA15" s="188">
        <f>opex_orig!AS15</f>
        <v>5.5799999999999999E-6</v>
      </c>
      <c r="BB15" s="188">
        <f>opex_orig!AT15</f>
        <v>4.3000000000000003E-6</v>
      </c>
      <c r="BC15" s="188">
        <f>opex_orig!AU15</f>
        <v>4.4100000000000001E-6</v>
      </c>
      <c r="BD15" s="188">
        <f>opex_orig!AV15</f>
        <v>1.1200000000000001E-6</v>
      </c>
      <c r="BE15" s="188">
        <f>opex_orig!AW15</f>
        <v>3.7500000000000001E-6</v>
      </c>
      <c r="BF15" s="188">
        <f>opex_orig!AX15</f>
        <v>0</v>
      </c>
      <c r="BG15" s="188">
        <f>opex_orig!AY15</f>
        <v>3.9299999999999996E-6</v>
      </c>
      <c r="BH15" s="188">
        <f>opex_orig!AZ15</f>
        <v>0</v>
      </c>
      <c r="BI15" s="188">
        <f>opex_orig!BA15</f>
        <v>3.36E-6</v>
      </c>
      <c r="BJ15" s="188">
        <f>opex_orig!BB15</f>
        <v>4.9699999999999998E-6</v>
      </c>
      <c r="BK15" s="188">
        <f>opex_orig!BC15</f>
        <v>4.42E-6</v>
      </c>
      <c r="BL15" s="188">
        <f>opex_orig!BD15</f>
        <v>3.49E-6</v>
      </c>
      <c r="BM15" s="188">
        <f>opex_orig!BE15</f>
        <v>7.8800000000000008E-6</v>
      </c>
      <c r="BN15" s="188">
        <f>opex_orig!BF15</f>
        <v>2.51E-5</v>
      </c>
      <c r="BO15" s="188">
        <f>opex_orig!BG15</f>
        <v>1.6200000000000001E-5</v>
      </c>
      <c r="BP15" s="188">
        <f>opex_orig!$BH15</f>
        <v>3.0340668660825402E-6</v>
      </c>
      <c r="BQ15" s="188">
        <f>opex_orig!$BH15</f>
        <v>3.0340668660825402E-6</v>
      </c>
      <c r="BR15" s="188">
        <f>opex_orig!BI15</f>
        <v>3.8399999999999997E-6</v>
      </c>
      <c r="BS15" s="188">
        <f>opex_orig!BJ15</f>
        <v>3.1381399999999999E-4</v>
      </c>
      <c r="BT15" s="188">
        <f>opex_orig!BK15</f>
        <v>1.09412E-4</v>
      </c>
      <c r="BU15" s="188">
        <f>opex_orig!BL15</f>
        <v>0</v>
      </c>
      <c r="BV15" s="27">
        <f>opex_orig!BM15</f>
        <v>4.67258516452962E-6</v>
      </c>
      <c r="BW15" s="27">
        <f>opex_orig!BN15</f>
        <v>1.7232094584709599E-5</v>
      </c>
      <c r="BX15" s="27">
        <f>opex_orig!BO15</f>
        <v>2.4273660630615599E-6</v>
      </c>
      <c r="BY15" s="27">
        <f>opex_orig!BP15</f>
        <v>1.41749446190871E-5</v>
      </c>
      <c r="BZ15" s="27">
        <f>opex_orig!BQ15</f>
        <v>5.59192666834081E-6</v>
      </c>
      <c r="CA15" s="27">
        <f>opex_orig!BR15</f>
        <v>2.2172558711310999E-7</v>
      </c>
      <c r="CB15" s="27">
        <f>opex_orig!BS15</f>
        <v>1.1588758844039099E-5</v>
      </c>
      <c r="CC15" s="27">
        <f>opex_orig!BT15</f>
        <v>7.6399962066904095E-7</v>
      </c>
      <c r="CD15" s="27">
        <f>opex_orig!BU15</f>
        <v>1.9560697756414E-6</v>
      </c>
      <c r="CE15" s="27">
        <f>opex_orig!BV15</f>
        <v>1.9560697756414E-6</v>
      </c>
      <c r="CF15" s="27">
        <f>opex_orig!BW15</f>
        <v>1.02981651211895E-5</v>
      </c>
      <c r="CG15" s="27">
        <f>opex_orig!BX15</f>
        <v>1.0202442963802199E-6</v>
      </c>
      <c r="CH15" s="27">
        <f>opex_orig!BY15</f>
        <v>4.6902846262415303E-6</v>
      </c>
      <c r="CI15" s="27">
        <f>opex_orig!Y15</f>
        <v>1.9700000000000002E-6</v>
      </c>
      <c r="CJ15" s="27">
        <f>opex_orig!Z15</f>
        <v>1.014966E-3</v>
      </c>
      <c r="CK15" s="27">
        <f>opex_orig!AA15</f>
        <v>6.3500000000000002E-6</v>
      </c>
      <c r="CL15" s="27">
        <f>opex_orig!AB15</f>
        <v>1.07657519302187E-4</v>
      </c>
      <c r="CM15" s="27">
        <f>opex_orig!AC15</f>
        <v>5.8585800164570801E-5</v>
      </c>
      <c r="CN15" s="27">
        <f>opex_orig!AD15</f>
        <v>4.9656906127345398E-5</v>
      </c>
      <c r="CO15" s="27">
        <f>opex_orig!AE15</f>
        <v>5.0899999999999997E-5</v>
      </c>
      <c r="CP15" s="27">
        <f>opex_orig!AF15</f>
        <v>3.2299999999999999E-5</v>
      </c>
    </row>
    <row r="16" spans="1:94" x14ac:dyDescent="0.25">
      <c r="A16" s="5" t="s">
        <v>51</v>
      </c>
      <c r="B16" s="2" t="s">
        <v>50</v>
      </c>
      <c r="C16" s="1" t="s">
        <v>325</v>
      </c>
      <c r="D16" s="188">
        <f>opex_orig!D16</f>
        <v>5.8699999999999995E-7</v>
      </c>
      <c r="E16" s="188">
        <f>opex_orig!E16</f>
        <v>6.3799999999999997E-7</v>
      </c>
      <c r="F16" s="188">
        <f>opex_orig!F16</f>
        <v>9.1999999999999998E-7</v>
      </c>
      <c r="G16" s="188">
        <f>opex_orig!G16</f>
        <v>1.04E-7</v>
      </c>
      <c r="H16" s="188">
        <f>opex_orig!H16</f>
        <v>6.73E-8</v>
      </c>
      <c r="I16" s="188">
        <f>opex_orig!I16</f>
        <v>5.8100000000000003E-6</v>
      </c>
      <c r="J16" s="188">
        <f>opex_orig!J16</f>
        <v>1.15E-6</v>
      </c>
      <c r="K16" s="188">
        <f>opex_orig!K16</f>
        <v>7.4200000000000003E-8</v>
      </c>
      <c r="L16" s="188">
        <f>opex_orig!L16</f>
        <v>6.3099999999999997E-6</v>
      </c>
      <c r="M16" s="188">
        <f>opex_orig!M16</f>
        <v>1.17E-5</v>
      </c>
      <c r="N16" s="188">
        <f>opex_orig!N16</f>
        <v>1.9020714000000001E-2</v>
      </c>
      <c r="O16" s="188">
        <f>opex_orig!O16</f>
        <v>1.4500000000000001E-6</v>
      </c>
      <c r="P16" s="188">
        <f>opex_orig!P16</f>
        <v>2.0699999999999998E-5</v>
      </c>
      <c r="Q16" s="188">
        <f>opex_orig!Q16</f>
        <v>6.0800000000000002E-8</v>
      </c>
      <c r="R16" s="188">
        <f>opex_orig!R16</f>
        <v>7.8600000000000002E-8</v>
      </c>
      <c r="S16" s="188">
        <f>opex_orig!S16</f>
        <v>1.0699999999999999E-6</v>
      </c>
      <c r="T16" s="188">
        <f>opex_orig!T16</f>
        <v>1.6899999999999999E-7</v>
      </c>
      <c r="U16" s="188">
        <f>opex_orig!U16</f>
        <v>8.4900000000000005E-7</v>
      </c>
      <c r="V16" s="188">
        <f>opex_orig!V16</f>
        <v>6.3499999999999996E-7</v>
      </c>
      <c r="W16" s="188">
        <f>opex_orig!W16</f>
        <v>2.4999999999999999E-7</v>
      </c>
      <c r="X16" s="188">
        <f>opex_orig!X16</f>
        <v>1.54E-7</v>
      </c>
      <c r="Y16" s="188">
        <f>opex_orig!Y16</f>
        <v>6.7099999999999999E-8</v>
      </c>
      <c r="Z16" s="188">
        <f>opex_orig!Z16</f>
        <v>1.9599999999999999E-6</v>
      </c>
      <c r="AA16" s="188">
        <f>opex_orig!AA16</f>
        <v>2.96E-7</v>
      </c>
      <c r="AB16" s="188">
        <f>opex_orig!$AB16</f>
        <v>8.9654649341802794E-3</v>
      </c>
      <c r="AC16" s="188">
        <f>opex_orig!$AB16</f>
        <v>8.9654649341802794E-3</v>
      </c>
      <c r="AD16" s="188">
        <f>opex_orig!$AB16</f>
        <v>8.9654649341802794E-3</v>
      </c>
      <c r="AE16" s="188">
        <f>opex_orig!$AC16</f>
        <v>3.71038346291847E-7</v>
      </c>
      <c r="AF16" s="188">
        <f>opex_orig!$AD16</f>
        <v>1.81683672834203E-3</v>
      </c>
      <c r="AG16" s="188">
        <f>opex_orig!$AD16</f>
        <v>1.81683672834203E-3</v>
      </c>
      <c r="AH16" s="188">
        <f>opex_orig!$AD16</f>
        <v>1.81683672834203E-3</v>
      </c>
      <c r="AI16" s="188">
        <f>opex_orig!AE16</f>
        <v>2.0014350000000002E-3</v>
      </c>
      <c r="AJ16" s="188">
        <f>opex_orig!AF16</f>
        <v>8.9146099999999997E-4</v>
      </c>
      <c r="AK16" s="188">
        <f>opex_orig!AG16</f>
        <v>1.6500000000000001E-7</v>
      </c>
      <c r="AL16" s="188">
        <f>opex_orig!AH16</f>
        <v>3.4100000000000001E-8</v>
      </c>
      <c r="AM16" s="188">
        <f>opex_orig!AI16</f>
        <v>7.3900000000000007E-8</v>
      </c>
      <c r="AN16" s="188">
        <f>opex_orig!AJ16</f>
        <v>6.6899999999999997E-8</v>
      </c>
      <c r="AO16" s="188">
        <f>opex_orig!AK16</f>
        <v>8.9000000000000003E-8</v>
      </c>
      <c r="AP16" s="188">
        <f>opex_orig!$AL16</f>
        <v>7.5242867691451605E-8</v>
      </c>
      <c r="AQ16" s="188">
        <f>opex_orig!$AL16</f>
        <v>7.5242867691451605E-8</v>
      </c>
      <c r="AR16" s="188">
        <f>opex_orig!$AL16</f>
        <v>7.5242867691451605E-8</v>
      </c>
      <c r="AS16" s="188">
        <f>opex_orig!$AM16</f>
        <v>8.3601813747779195E-8</v>
      </c>
      <c r="AT16" s="188">
        <f>opex_orig!AN16</f>
        <v>1.03E-7</v>
      </c>
      <c r="AU16" s="188">
        <f>opex_orig!$AO16</f>
        <v>4.4885538010246002E-8</v>
      </c>
      <c r="AV16" s="188">
        <f>opex_orig!$AO16</f>
        <v>4.4885538010246002E-8</v>
      </c>
      <c r="AW16" s="188">
        <f>opex_orig!$AO16</f>
        <v>4.4885538010246002E-8</v>
      </c>
      <c r="AX16" s="188">
        <f>opex_orig!$AP16</f>
        <v>5.4115545258125003E-8</v>
      </c>
      <c r="AY16" s="188">
        <f>opex_orig!AQ16</f>
        <v>7.24E-8</v>
      </c>
      <c r="AZ16" s="188">
        <f>opex_orig!AR16</f>
        <v>0</v>
      </c>
      <c r="BA16" s="188">
        <f>opex_orig!AS16</f>
        <v>8.5500000000000005E-8</v>
      </c>
      <c r="BB16" s="188">
        <f>opex_orig!AT16</f>
        <v>7.2100000000000004E-8</v>
      </c>
      <c r="BC16" s="188">
        <f>opex_orig!AU16</f>
        <v>4.1799999999999997E-8</v>
      </c>
      <c r="BD16" s="188">
        <f>opex_orig!AV16</f>
        <v>3.7300000000000003E-8</v>
      </c>
      <c r="BE16" s="188">
        <f>opex_orig!AW16</f>
        <v>4.6900000000000003E-8</v>
      </c>
      <c r="BF16" s="188">
        <f>opex_orig!AX16</f>
        <v>0</v>
      </c>
      <c r="BG16" s="188">
        <f>opex_orig!AY16</f>
        <v>1.8199999999999999E-7</v>
      </c>
      <c r="BH16" s="188">
        <f>opex_orig!AZ16</f>
        <v>0</v>
      </c>
      <c r="BI16" s="188">
        <f>opex_orig!BA16</f>
        <v>3.6300000000000001E-8</v>
      </c>
      <c r="BJ16" s="188">
        <f>opex_orig!BB16</f>
        <v>5.4499999999999998E-8</v>
      </c>
      <c r="BK16" s="188">
        <f>opex_orig!BC16</f>
        <v>2.23E-7</v>
      </c>
      <c r="BL16" s="188">
        <f>opex_orig!BD16</f>
        <v>2.9499999999999998E-7</v>
      </c>
      <c r="BM16" s="188">
        <f>opex_orig!BE16</f>
        <v>6.68222E-4</v>
      </c>
      <c r="BN16" s="188">
        <f>opex_orig!BF16</f>
        <v>6.5999999999999995E-8</v>
      </c>
      <c r="BO16" s="188">
        <f>opex_orig!BG16</f>
        <v>1.7362689999999999E-3</v>
      </c>
      <c r="BP16" s="188">
        <f>opex_orig!$BH16</f>
        <v>2.2320383265746601E-7</v>
      </c>
      <c r="BQ16" s="188">
        <f>opex_orig!$BH16</f>
        <v>2.2320383265746601E-7</v>
      </c>
      <c r="BR16" s="188">
        <f>opex_orig!BI16</f>
        <v>5.02E-8</v>
      </c>
      <c r="BS16" s="188">
        <f>opex_orig!BJ16</f>
        <v>1.5200000000000001E-7</v>
      </c>
      <c r="BT16" s="188">
        <f>opex_orig!BK16</f>
        <v>1.5077165E-2</v>
      </c>
      <c r="BU16" s="188">
        <f>opex_orig!BL16</f>
        <v>0</v>
      </c>
      <c r="BV16" s="27">
        <f>opex_orig!BM16</f>
        <v>2.6485428201044202E-7</v>
      </c>
      <c r="BW16" s="27">
        <f>opex_orig!BN16</f>
        <v>3.0915730962423102E-7</v>
      </c>
      <c r="BX16" s="27">
        <f>opex_orig!BO16</f>
        <v>1.0718678750979199E-7</v>
      </c>
      <c r="BY16" s="27">
        <f>opex_orig!BP16</f>
        <v>1.8501068362486399E-7</v>
      </c>
      <c r="BZ16" s="27">
        <f>opex_orig!BQ16</f>
        <v>2.0637923133594001E-7</v>
      </c>
      <c r="CA16" s="27">
        <f>opex_orig!BR16</f>
        <v>2.4577290246118101E-8</v>
      </c>
      <c r="CB16" s="27">
        <f>opex_orig!BS16</f>
        <v>4.6585109773163002E-7</v>
      </c>
      <c r="CC16" s="27">
        <f>opex_orig!BT16</f>
        <v>1.78244045380164E-7</v>
      </c>
      <c r="CD16" s="27">
        <f>opex_orig!BU16</f>
        <v>1.71043557286977E-7</v>
      </c>
      <c r="CE16" s="27">
        <f>opex_orig!BV16</f>
        <v>1.7104355728697801E-7</v>
      </c>
      <c r="CF16" s="27">
        <f>opex_orig!BW16</f>
        <v>1.2128038684720101E-6</v>
      </c>
      <c r="CG16" s="27">
        <f>opex_orig!BX16</f>
        <v>4.8952177857585999E-8</v>
      </c>
      <c r="CH16" s="27">
        <f>opex_orig!BY16</f>
        <v>2.7977296955742199E-8</v>
      </c>
      <c r="CI16" s="27">
        <f>opex_orig!Y16</f>
        <v>6.7099999999999999E-8</v>
      </c>
      <c r="CJ16" s="27">
        <f>opex_orig!Z16</f>
        <v>1.9599999999999999E-6</v>
      </c>
      <c r="CK16" s="27">
        <f>opex_orig!AA16</f>
        <v>2.96E-7</v>
      </c>
      <c r="CL16" s="27">
        <f>opex_orig!AB16</f>
        <v>8.9654649341802794E-3</v>
      </c>
      <c r="CM16" s="27">
        <f>opex_orig!AC16</f>
        <v>3.71038346291847E-7</v>
      </c>
      <c r="CN16" s="27">
        <f>opex_orig!AD16</f>
        <v>1.81683672834203E-3</v>
      </c>
      <c r="CO16" s="27">
        <f>opex_orig!AE16</f>
        <v>2.0014350000000002E-3</v>
      </c>
      <c r="CP16" s="27">
        <f>opex_orig!AF16</f>
        <v>8.9146099999999997E-4</v>
      </c>
    </row>
    <row r="17" spans="1:94" x14ac:dyDescent="0.25">
      <c r="A17" s="5" t="s">
        <v>53</v>
      </c>
      <c r="B17" s="2" t="s">
        <v>52</v>
      </c>
      <c r="C17" s="1" t="s">
        <v>325</v>
      </c>
      <c r="D17" s="188">
        <f>opex_orig!D17</f>
        <v>0</v>
      </c>
      <c r="E17" s="188">
        <f>opex_orig!E17</f>
        <v>0</v>
      </c>
      <c r="F17" s="188">
        <f>opex_orig!F17</f>
        <v>0</v>
      </c>
      <c r="G17" s="188">
        <f>opex_orig!G17</f>
        <v>0</v>
      </c>
      <c r="H17" s="188">
        <f>opex_orig!H17</f>
        <v>0</v>
      </c>
      <c r="I17" s="188">
        <f>opex_orig!I17</f>
        <v>0</v>
      </c>
      <c r="J17" s="188">
        <f>opex_orig!J17</f>
        <v>0</v>
      </c>
      <c r="K17" s="188">
        <f>opex_orig!K17</f>
        <v>0</v>
      </c>
      <c r="L17" s="188">
        <f>opex_orig!L17</f>
        <v>0</v>
      </c>
      <c r="M17" s="188">
        <f>opex_orig!M17</f>
        <v>0</v>
      </c>
      <c r="N17" s="188">
        <f>opex_orig!N17</f>
        <v>0</v>
      </c>
      <c r="O17" s="188">
        <f>opex_orig!O17</f>
        <v>0</v>
      </c>
      <c r="P17" s="188">
        <f>opex_orig!P17</f>
        <v>0</v>
      </c>
      <c r="Q17" s="188">
        <f>opex_orig!Q17</f>
        <v>0</v>
      </c>
      <c r="R17" s="188">
        <f>opex_orig!R17</f>
        <v>0</v>
      </c>
      <c r="S17" s="188">
        <f>opex_orig!S17</f>
        <v>0</v>
      </c>
      <c r="T17" s="188">
        <f>opex_orig!T17</f>
        <v>0</v>
      </c>
      <c r="U17" s="188">
        <f>opex_orig!U17</f>
        <v>0</v>
      </c>
      <c r="V17" s="188">
        <f>opex_orig!V17</f>
        <v>0</v>
      </c>
      <c r="W17" s="188">
        <f>opex_orig!W17</f>
        <v>0</v>
      </c>
      <c r="X17" s="188">
        <f>opex_orig!X17</f>
        <v>0</v>
      </c>
      <c r="Y17" s="188">
        <f>opex_orig!Y17</f>
        <v>0</v>
      </c>
      <c r="Z17" s="188">
        <f>opex_orig!Z17</f>
        <v>0</v>
      </c>
      <c r="AA17" s="188">
        <f>opex_orig!AA17</f>
        <v>0</v>
      </c>
      <c r="AB17" s="224">
        <f>opex_concordance!M183</f>
        <v>0</v>
      </c>
      <c r="AC17" s="224">
        <f>opex_concordance!M228</f>
        <v>0</v>
      </c>
      <c r="AD17" s="224">
        <f>opex_concordance!M273</f>
        <v>7.4813005906688212E-2</v>
      </c>
      <c r="AE17" s="188">
        <f>opex_orig!$AC17</f>
        <v>0</v>
      </c>
      <c r="AF17" s="188">
        <f>opex_orig!$AD17</f>
        <v>0</v>
      </c>
      <c r="AG17" s="188">
        <f>opex_orig!$AD17</f>
        <v>0</v>
      </c>
      <c r="AH17" s="188">
        <f>opex_orig!$AD17</f>
        <v>0</v>
      </c>
      <c r="AI17" s="188">
        <f>opex_orig!AE17</f>
        <v>0</v>
      </c>
      <c r="AJ17" s="188">
        <f>opex_orig!AF17</f>
        <v>0</v>
      </c>
      <c r="AK17" s="188">
        <f>opex_orig!AG17</f>
        <v>0</v>
      </c>
      <c r="AL17" s="188">
        <f>opex_orig!AH17</f>
        <v>0</v>
      </c>
      <c r="AM17" s="188">
        <f>opex_orig!AI17</f>
        <v>0</v>
      </c>
      <c r="AN17" s="188">
        <f>opex_orig!AJ17</f>
        <v>0</v>
      </c>
      <c r="AO17" s="188">
        <f>opex_orig!AK17</f>
        <v>0</v>
      </c>
      <c r="AP17" s="188">
        <f>opex_orig!$AL17</f>
        <v>0</v>
      </c>
      <c r="AQ17" s="188">
        <f>opex_orig!$AL17</f>
        <v>0</v>
      </c>
      <c r="AR17" s="188">
        <f>opex_orig!$AL17</f>
        <v>0</v>
      </c>
      <c r="AS17" s="188">
        <f>opex_orig!$AM17</f>
        <v>0</v>
      </c>
      <c r="AT17" s="188">
        <f>opex_orig!AN17</f>
        <v>0</v>
      </c>
      <c r="AU17" s="188">
        <f>opex_orig!$AO17</f>
        <v>0</v>
      </c>
      <c r="AV17" s="188">
        <f>opex_orig!$AO17</f>
        <v>0</v>
      </c>
      <c r="AW17" s="188">
        <f>opex_orig!$AO17</f>
        <v>0</v>
      </c>
      <c r="AX17" s="188">
        <f>opex_orig!$AP17</f>
        <v>0</v>
      </c>
      <c r="AY17" s="188">
        <f>opex_orig!AQ17</f>
        <v>0</v>
      </c>
      <c r="AZ17" s="188">
        <f>opex_orig!AR17</f>
        <v>0</v>
      </c>
      <c r="BA17" s="188">
        <f>opex_orig!AS17</f>
        <v>0</v>
      </c>
      <c r="BB17" s="188">
        <f>opex_orig!AT17</f>
        <v>0</v>
      </c>
      <c r="BC17" s="188">
        <f>opex_orig!AU17</f>
        <v>0</v>
      </c>
      <c r="BD17" s="188">
        <f>opex_orig!AV17</f>
        <v>0</v>
      </c>
      <c r="BE17" s="188">
        <f>opex_orig!AW17</f>
        <v>0</v>
      </c>
      <c r="BF17" s="188">
        <f>opex_orig!AX17</f>
        <v>0</v>
      </c>
      <c r="BG17" s="188">
        <f>opex_orig!AY17</f>
        <v>0</v>
      </c>
      <c r="BH17" s="188">
        <f>opex_orig!AZ17</f>
        <v>0</v>
      </c>
      <c r="BI17" s="188">
        <f>opex_orig!BA17</f>
        <v>0</v>
      </c>
      <c r="BJ17" s="188">
        <f>opex_orig!BB17</f>
        <v>0</v>
      </c>
      <c r="BK17" s="188">
        <f>opex_orig!BC17</f>
        <v>0</v>
      </c>
      <c r="BL17" s="188">
        <f>opex_orig!BD17</f>
        <v>0</v>
      </c>
      <c r="BM17" s="188">
        <f>opex_orig!BE17</f>
        <v>0</v>
      </c>
      <c r="BN17" s="188">
        <f>opex_orig!BF17</f>
        <v>0</v>
      </c>
      <c r="BO17" s="188">
        <f>opex_orig!BG17</f>
        <v>0</v>
      </c>
      <c r="BP17" s="188">
        <f>opex_orig!$BH17</f>
        <v>0</v>
      </c>
      <c r="BQ17" s="188">
        <f>opex_orig!$BH17</f>
        <v>0</v>
      </c>
      <c r="BR17" s="188">
        <f>opex_orig!BI17</f>
        <v>0</v>
      </c>
      <c r="BS17" s="188">
        <f>opex_orig!BJ17</f>
        <v>0</v>
      </c>
      <c r="BT17" s="188">
        <f>opex_orig!BK17</f>
        <v>0</v>
      </c>
      <c r="BU17" s="188">
        <f>opex_orig!BL17</f>
        <v>0</v>
      </c>
      <c r="BV17" s="27">
        <f>opex_orig!BM17</f>
        <v>0</v>
      </c>
      <c r="BW17" s="27">
        <f>opex_orig!BN17</f>
        <v>0</v>
      </c>
      <c r="BX17" s="27">
        <f>opex_orig!BO17</f>
        <v>0</v>
      </c>
      <c r="BY17" s="27">
        <f>opex_orig!BP17</f>
        <v>0</v>
      </c>
      <c r="BZ17" s="27">
        <f>opex_orig!BQ17</f>
        <v>0</v>
      </c>
      <c r="CA17" s="27">
        <f>opex_orig!BR17</f>
        <v>0</v>
      </c>
      <c r="CB17" s="27">
        <f>opex_orig!BS17</f>
        <v>0</v>
      </c>
      <c r="CC17" s="27">
        <f>opex_orig!BT17</f>
        <v>0</v>
      </c>
      <c r="CD17" s="27">
        <f>opex_orig!BU17</f>
        <v>0</v>
      </c>
      <c r="CE17" s="27">
        <f>opex_orig!BV17</f>
        <v>0</v>
      </c>
      <c r="CF17" s="27">
        <f>opex_orig!BW17</f>
        <v>0</v>
      </c>
      <c r="CG17" s="27">
        <f>opex_orig!BX17</f>
        <v>0</v>
      </c>
      <c r="CH17" s="27">
        <f>opex_orig!BY17</f>
        <v>0</v>
      </c>
      <c r="CI17" s="27">
        <f>opex_orig!Y17</f>
        <v>0</v>
      </c>
      <c r="CJ17" s="27">
        <f>opex_orig!Z17</f>
        <v>0</v>
      </c>
      <c r="CK17" s="27">
        <f>opex_orig!AA17</f>
        <v>0</v>
      </c>
      <c r="CL17" s="27">
        <f>opex_orig!AB17</f>
        <v>0</v>
      </c>
      <c r="CM17" s="27">
        <f>opex_orig!AC17</f>
        <v>0</v>
      </c>
      <c r="CN17" s="27">
        <f>opex_orig!AD17</f>
        <v>0</v>
      </c>
      <c r="CO17" s="27">
        <f>opex_orig!AE17</f>
        <v>0</v>
      </c>
      <c r="CP17" s="27">
        <f>opex_orig!AF17</f>
        <v>0</v>
      </c>
    </row>
    <row r="18" spans="1:94" x14ac:dyDescent="0.25">
      <c r="A18" s="5" t="s">
        <v>55</v>
      </c>
      <c r="B18" s="2" t="s">
        <v>54</v>
      </c>
      <c r="C18" s="1" t="s">
        <v>325</v>
      </c>
      <c r="D18" s="188">
        <f>opex_orig!D18</f>
        <v>0</v>
      </c>
      <c r="E18" s="188">
        <f>opex_orig!E18</f>
        <v>0</v>
      </c>
      <c r="F18" s="188">
        <f>opex_orig!F18</f>
        <v>0</v>
      </c>
      <c r="G18" s="188">
        <f>opex_orig!G18</f>
        <v>0</v>
      </c>
      <c r="H18" s="188">
        <f>opex_orig!H18</f>
        <v>0</v>
      </c>
      <c r="I18" s="188">
        <f>opex_orig!I18</f>
        <v>0</v>
      </c>
      <c r="J18" s="188">
        <f>opex_orig!J18</f>
        <v>0</v>
      </c>
      <c r="K18" s="188">
        <f>opex_orig!K18</f>
        <v>0</v>
      </c>
      <c r="L18" s="188">
        <f>opex_orig!L18</f>
        <v>0</v>
      </c>
      <c r="M18" s="188">
        <f>opex_orig!M18</f>
        <v>0</v>
      </c>
      <c r="N18" s="188">
        <f>opex_orig!N18</f>
        <v>0</v>
      </c>
      <c r="O18" s="188">
        <f>opex_orig!O18</f>
        <v>0</v>
      </c>
      <c r="P18" s="188">
        <f>opex_orig!P18</f>
        <v>0</v>
      </c>
      <c r="Q18" s="188">
        <f>opex_orig!Q18</f>
        <v>0</v>
      </c>
      <c r="R18" s="188">
        <f>opex_orig!R18</f>
        <v>0</v>
      </c>
      <c r="S18" s="188">
        <f>opex_orig!S18</f>
        <v>0</v>
      </c>
      <c r="T18" s="188">
        <f>opex_orig!T18</f>
        <v>0</v>
      </c>
      <c r="U18" s="188">
        <f>opex_orig!U18</f>
        <v>0</v>
      </c>
      <c r="V18" s="188">
        <f>opex_orig!V18</f>
        <v>0</v>
      </c>
      <c r="W18" s="188">
        <f>opex_orig!W18</f>
        <v>0</v>
      </c>
      <c r="X18" s="188">
        <f>opex_orig!X18</f>
        <v>0</v>
      </c>
      <c r="Y18" s="188">
        <f>opex_orig!Y18</f>
        <v>0</v>
      </c>
      <c r="Z18" s="188">
        <f>opex_orig!Z18</f>
        <v>0</v>
      </c>
      <c r="AA18" s="188">
        <f>opex_orig!AA18</f>
        <v>0</v>
      </c>
      <c r="AB18" s="234">
        <f>opex_concordance!M184</f>
        <v>0</v>
      </c>
      <c r="AC18" s="234">
        <f>opex_concordance!M229</f>
        <v>0</v>
      </c>
      <c r="AD18" s="234">
        <f>opex_concordance!M274</f>
        <v>7.4813005906688212E-2</v>
      </c>
      <c r="AE18" s="188">
        <f>opex_orig!$AC18</f>
        <v>0</v>
      </c>
      <c r="AF18" s="188">
        <f>opex_orig!$AD18</f>
        <v>0</v>
      </c>
      <c r="AG18" s="188">
        <f>opex_orig!$AD18</f>
        <v>0</v>
      </c>
      <c r="AH18" s="188">
        <f>opex_orig!$AD18</f>
        <v>0</v>
      </c>
      <c r="AI18" s="188">
        <f>opex_orig!AE18</f>
        <v>0</v>
      </c>
      <c r="AJ18" s="188">
        <f>opex_orig!AF18</f>
        <v>0</v>
      </c>
      <c r="AK18" s="188">
        <f>opex_orig!AG18</f>
        <v>0</v>
      </c>
      <c r="AL18" s="188">
        <f>opex_orig!AH18</f>
        <v>0</v>
      </c>
      <c r="AM18" s="188">
        <f>opex_orig!AI18</f>
        <v>0</v>
      </c>
      <c r="AN18" s="188">
        <f>opex_orig!AJ18</f>
        <v>0</v>
      </c>
      <c r="AO18" s="188">
        <f>opex_orig!AK18</f>
        <v>0</v>
      </c>
      <c r="AP18" s="188">
        <f>opex_orig!$AL18</f>
        <v>0</v>
      </c>
      <c r="AQ18" s="188">
        <f>opex_orig!$AL18</f>
        <v>0</v>
      </c>
      <c r="AR18" s="188">
        <f>opex_orig!$AL18</f>
        <v>0</v>
      </c>
      <c r="AS18" s="188">
        <f>opex_orig!$AM18</f>
        <v>0</v>
      </c>
      <c r="AT18" s="188">
        <f>opex_orig!AN18</f>
        <v>0</v>
      </c>
      <c r="AU18" s="188">
        <f>opex_orig!$AO18</f>
        <v>0</v>
      </c>
      <c r="AV18" s="188">
        <f>opex_orig!$AO18</f>
        <v>0</v>
      </c>
      <c r="AW18" s="188">
        <f>opex_orig!$AO18</f>
        <v>0</v>
      </c>
      <c r="AX18" s="188">
        <f>opex_orig!$AP18</f>
        <v>0</v>
      </c>
      <c r="AY18" s="188">
        <f>opex_orig!AQ18</f>
        <v>0</v>
      </c>
      <c r="AZ18" s="188">
        <f>opex_orig!AR18</f>
        <v>0</v>
      </c>
      <c r="BA18" s="188">
        <f>opex_orig!AS18</f>
        <v>0</v>
      </c>
      <c r="BB18" s="188">
        <f>opex_orig!AT18</f>
        <v>0</v>
      </c>
      <c r="BC18" s="188">
        <f>opex_orig!AU18</f>
        <v>0</v>
      </c>
      <c r="BD18" s="188">
        <f>opex_orig!AV18</f>
        <v>0</v>
      </c>
      <c r="BE18" s="188">
        <f>opex_orig!AW18</f>
        <v>0</v>
      </c>
      <c r="BF18" s="188">
        <f>opex_orig!AX18</f>
        <v>0</v>
      </c>
      <c r="BG18" s="188">
        <f>opex_orig!AY18</f>
        <v>0</v>
      </c>
      <c r="BH18" s="188">
        <f>opex_orig!AZ18</f>
        <v>0</v>
      </c>
      <c r="BI18" s="188">
        <f>opex_orig!BA18</f>
        <v>0</v>
      </c>
      <c r="BJ18" s="188">
        <f>opex_orig!BB18</f>
        <v>0</v>
      </c>
      <c r="BK18" s="188">
        <f>opex_orig!BC18</f>
        <v>0</v>
      </c>
      <c r="BL18" s="188">
        <f>opex_orig!BD18</f>
        <v>0</v>
      </c>
      <c r="BM18" s="188">
        <f>opex_orig!BE18</f>
        <v>0</v>
      </c>
      <c r="BN18" s="188">
        <f>opex_orig!BF18</f>
        <v>0</v>
      </c>
      <c r="BO18" s="188">
        <f>opex_orig!BG18</f>
        <v>0</v>
      </c>
      <c r="BP18" s="188">
        <f>opex_orig!$BH18</f>
        <v>0</v>
      </c>
      <c r="BQ18" s="188">
        <f>opex_orig!$BH18</f>
        <v>0</v>
      </c>
      <c r="BR18" s="188">
        <f>opex_orig!BI18</f>
        <v>0</v>
      </c>
      <c r="BS18" s="188">
        <f>opex_orig!BJ18</f>
        <v>0</v>
      </c>
      <c r="BT18" s="188">
        <f>opex_orig!BK18</f>
        <v>0</v>
      </c>
      <c r="BU18" s="188">
        <f>opex_orig!BL18</f>
        <v>0</v>
      </c>
      <c r="BV18" s="27">
        <f>opex_orig!BM18</f>
        <v>0</v>
      </c>
      <c r="BW18" s="27">
        <f>opex_orig!BN18</f>
        <v>0</v>
      </c>
      <c r="BX18" s="27">
        <f>opex_orig!BO18</f>
        <v>0</v>
      </c>
      <c r="BY18" s="27">
        <f>opex_orig!BP18</f>
        <v>0</v>
      </c>
      <c r="BZ18" s="27">
        <f>opex_orig!BQ18</f>
        <v>0</v>
      </c>
      <c r="CA18" s="27">
        <f>opex_orig!BR18</f>
        <v>0</v>
      </c>
      <c r="CB18" s="27">
        <f>opex_orig!BS18</f>
        <v>0</v>
      </c>
      <c r="CC18" s="27">
        <f>opex_orig!BT18</f>
        <v>0</v>
      </c>
      <c r="CD18" s="27">
        <f>opex_orig!BU18</f>
        <v>0</v>
      </c>
      <c r="CE18" s="27">
        <f>opex_orig!BV18</f>
        <v>0</v>
      </c>
      <c r="CF18" s="27">
        <f>opex_orig!BW18</f>
        <v>0</v>
      </c>
      <c r="CG18" s="27">
        <f>opex_orig!BX18</f>
        <v>0</v>
      </c>
      <c r="CH18" s="27">
        <f>opex_orig!BY18</f>
        <v>0</v>
      </c>
      <c r="CI18" s="27">
        <f>opex_orig!Y18</f>
        <v>0</v>
      </c>
      <c r="CJ18" s="27">
        <f>opex_orig!Z18</f>
        <v>0</v>
      </c>
      <c r="CK18" s="27">
        <f>opex_orig!AA18</f>
        <v>0</v>
      </c>
      <c r="CL18" s="27">
        <f>opex_orig!AB18</f>
        <v>0</v>
      </c>
      <c r="CM18" s="27">
        <f>opex_orig!AC18</f>
        <v>0</v>
      </c>
      <c r="CN18" s="27">
        <f>opex_orig!AD18</f>
        <v>0</v>
      </c>
      <c r="CO18" s="27">
        <f>opex_orig!AE18</f>
        <v>0</v>
      </c>
      <c r="CP18" s="27">
        <f>opex_orig!AF18</f>
        <v>0</v>
      </c>
    </row>
    <row r="19" spans="1:94" x14ac:dyDescent="0.25">
      <c r="A19" s="5" t="s">
        <v>57</v>
      </c>
      <c r="B19" s="2" t="s">
        <v>56</v>
      </c>
      <c r="C19" s="1" t="s">
        <v>325</v>
      </c>
      <c r="D19" s="188">
        <f>opex_orig!D19</f>
        <v>4.6561399999999999E-4</v>
      </c>
      <c r="E19" s="188">
        <f>opex_orig!E19</f>
        <v>2.49025E-4</v>
      </c>
      <c r="F19" s="188">
        <f>opex_orig!F19</f>
        <v>1.67646E-4</v>
      </c>
      <c r="G19" s="188">
        <f>opex_orig!G19</f>
        <v>3.7200000000000003E-5</v>
      </c>
      <c r="H19" s="188">
        <f>opex_orig!H19</f>
        <v>4.5599999999999997E-5</v>
      </c>
      <c r="I19" s="188">
        <f>opex_orig!I19</f>
        <v>4.71309E-4</v>
      </c>
      <c r="J19" s="188">
        <f>opex_orig!J19</f>
        <v>3.7603400000000003E-4</v>
      </c>
      <c r="K19" s="188">
        <f>opex_orig!K19</f>
        <v>1.11092E-4</v>
      </c>
      <c r="L19" s="188">
        <f>opex_orig!L19</f>
        <v>6.7024770000000001E-3</v>
      </c>
      <c r="M19" s="188">
        <f>opex_orig!M19</f>
        <v>7.7543070000000002E-3</v>
      </c>
      <c r="N19" s="188">
        <f>opex_orig!N19</f>
        <v>8.710476E-3</v>
      </c>
      <c r="O19" s="188">
        <f>opex_orig!O19</f>
        <v>8.6841167999999996E-2</v>
      </c>
      <c r="P19" s="188">
        <f>opex_orig!P19</f>
        <v>1.9023878000000001E-2</v>
      </c>
      <c r="Q19" s="188">
        <f>opex_orig!Q19</f>
        <v>3.2443800000000003E-4</v>
      </c>
      <c r="R19" s="188">
        <f>opex_orig!R19</f>
        <v>2.31096E-4</v>
      </c>
      <c r="S19" s="188">
        <f>opex_orig!S19</f>
        <v>0.24746127000000001</v>
      </c>
      <c r="T19" s="188">
        <f>opex_orig!T19</f>
        <v>5.1552849999999999E-3</v>
      </c>
      <c r="U19" s="188">
        <f>opex_orig!U19</f>
        <v>9.0172163999999999E-2</v>
      </c>
      <c r="V19" s="188">
        <f>opex_orig!V19</f>
        <v>4.2904199999999998E-4</v>
      </c>
      <c r="W19" s="188">
        <f>opex_orig!W19</f>
        <v>3.7532677E-2</v>
      </c>
      <c r="X19" s="188">
        <f>opex_orig!X19</f>
        <v>1.00865E-4</v>
      </c>
      <c r="Y19" s="188">
        <f>opex_orig!Y19</f>
        <v>8.3954199999999998E-4</v>
      </c>
      <c r="Z19" s="188">
        <f>opex_orig!Z19</f>
        <v>3.1935399999999999E-4</v>
      </c>
      <c r="AA19" s="188">
        <f>opex_orig!AA19</f>
        <v>4.1841900000000001E-4</v>
      </c>
      <c r="AB19" s="284">
        <f>opex_concordance!M185</f>
        <v>1.7549611960191201E-4</v>
      </c>
      <c r="AC19" s="284">
        <f>opex_concordance!M230</f>
        <v>2.2111873259401461E-4</v>
      </c>
      <c r="AD19" s="284">
        <f>opex_concordance!M275</f>
        <v>7.5015607405401863E-2</v>
      </c>
      <c r="AE19" s="188">
        <f>opex_orig!$AC19</f>
        <v>1.4250602959395701E-3</v>
      </c>
      <c r="AF19" s="188">
        <f>opex_orig!$AD19</f>
        <v>6.7032224155254402E-4</v>
      </c>
      <c r="AG19" s="188">
        <f>opex_orig!$AD19</f>
        <v>6.7032224155254402E-4</v>
      </c>
      <c r="AH19" s="188">
        <f>opex_orig!$AD19</f>
        <v>6.7032224155254402E-4</v>
      </c>
      <c r="AI19" s="188">
        <f>opex_orig!AE19</f>
        <v>5.9234999999999995E-4</v>
      </c>
      <c r="AJ19" s="188">
        <f>opex_orig!AF19</f>
        <v>8.0176200000000003E-4</v>
      </c>
      <c r="AK19" s="188">
        <f>opex_orig!AG19</f>
        <v>2.28648E-4</v>
      </c>
      <c r="AL19" s="188">
        <f>opex_orig!AH19</f>
        <v>2.9703999999999999E-4</v>
      </c>
      <c r="AM19" s="188">
        <f>opex_orig!AI19</f>
        <v>3.8532099999999999E-4</v>
      </c>
      <c r="AN19" s="188">
        <f>opex_orig!AJ19</f>
        <v>5.3403100000000002E-4</v>
      </c>
      <c r="AO19" s="188">
        <f>opex_orig!AK19</f>
        <v>4.4494499999999998E-4</v>
      </c>
      <c r="AP19" s="188">
        <f>opex_orig!$AL19</f>
        <v>4.2813913786746502E-4</v>
      </c>
      <c r="AQ19" s="188">
        <f>opex_orig!$AL19</f>
        <v>4.2813913786746502E-4</v>
      </c>
      <c r="AR19" s="188">
        <f>opex_orig!$AL19</f>
        <v>4.2813913786746502E-4</v>
      </c>
      <c r="AS19" s="188">
        <f>opex_orig!$AM19</f>
        <v>4.4223446280562499E-4</v>
      </c>
      <c r="AT19" s="188">
        <f>opex_orig!AN19</f>
        <v>3.1315800000000001E-4</v>
      </c>
      <c r="AU19" s="188">
        <f>opex_orig!$AO19</f>
        <v>6.7085912738136402E-4</v>
      </c>
      <c r="AV19" s="188">
        <f>opex_orig!$AO19</f>
        <v>6.7085912738136402E-4</v>
      </c>
      <c r="AW19" s="188">
        <f>opex_orig!$AO19</f>
        <v>6.7085912738136402E-4</v>
      </c>
      <c r="AX19" s="188">
        <f>opex_orig!$AP19</f>
        <v>6.9130115227240504E-4</v>
      </c>
      <c r="AY19" s="188">
        <f>opex_orig!AQ19</f>
        <v>1.3127289999999999E-3</v>
      </c>
      <c r="AZ19" s="188">
        <f>opex_orig!AR19</f>
        <v>0</v>
      </c>
      <c r="BA19" s="188">
        <f>opex_orig!AS19</f>
        <v>7.4404199999999999E-4</v>
      </c>
      <c r="BB19" s="188">
        <f>opex_orig!AT19</f>
        <v>7.2008800000000002E-4</v>
      </c>
      <c r="BC19" s="188">
        <f>opex_orig!AU19</f>
        <v>1.69653E-4</v>
      </c>
      <c r="BD19" s="188">
        <f>opex_orig!AV19</f>
        <v>1.33206E-4</v>
      </c>
      <c r="BE19" s="188">
        <f>opex_orig!AW19</f>
        <v>4.8679600000000001E-4</v>
      </c>
      <c r="BF19" s="188">
        <f>opex_orig!AX19</f>
        <v>0</v>
      </c>
      <c r="BG19" s="188">
        <f>opex_orig!AY19</f>
        <v>1.041099E-3</v>
      </c>
      <c r="BH19" s="188">
        <f>opex_orig!AZ19</f>
        <v>0</v>
      </c>
      <c r="BI19" s="188">
        <f>opex_orig!BA19</f>
        <v>1.1355989999999999E-3</v>
      </c>
      <c r="BJ19" s="188">
        <f>opex_orig!BB19</f>
        <v>7.7299999999999995E-5</v>
      </c>
      <c r="BK19" s="188">
        <f>opex_orig!BC19</f>
        <v>1.6690100000000001E-4</v>
      </c>
      <c r="BL19" s="188">
        <f>opex_orig!BD19</f>
        <v>2.76E-5</v>
      </c>
      <c r="BM19" s="188">
        <f>opex_orig!BE19</f>
        <v>1.1511E-4</v>
      </c>
      <c r="BN19" s="188">
        <f>opex_orig!BF19</f>
        <v>6.5099999999999997E-5</v>
      </c>
      <c r="BO19" s="188">
        <f>opex_orig!BG19</f>
        <v>1.6452900000000001E-4</v>
      </c>
      <c r="BP19" s="188">
        <f>opex_orig!$BH19</f>
        <v>3.9651344089566202E-4</v>
      </c>
      <c r="BQ19" s="188">
        <f>opex_orig!$BH19</f>
        <v>3.9651344089566202E-4</v>
      </c>
      <c r="BR19" s="188">
        <f>opex_orig!BI19</f>
        <v>1.06993E-4</v>
      </c>
      <c r="BS19" s="188">
        <f>opex_orig!BJ19</f>
        <v>1.5136819999999999E-3</v>
      </c>
      <c r="BT19" s="188">
        <f>opex_orig!BK19</f>
        <v>1.46773E-4</v>
      </c>
      <c r="BU19" s="188">
        <f>opex_orig!BL19</f>
        <v>0</v>
      </c>
      <c r="BV19" s="27">
        <f>opex_orig!BM19</f>
        <v>5.0507675663744099E-4</v>
      </c>
      <c r="BW19" s="27">
        <f>opex_orig!BN19</f>
        <v>6.1548312352514704E-4</v>
      </c>
      <c r="BX19" s="27">
        <f>opex_orig!BO19</f>
        <v>9.5120772548679499E-5</v>
      </c>
      <c r="BY19" s="27">
        <f>opex_orig!BP19</f>
        <v>1.4704930705303299E-4</v>
      </c>
      <c r="BZ19" s="27">
        <f>opex_orig!BQ19</f>
        <v>2.0290411604863601E-4</v>
      </c>
      <c r="CA19" s="27">
        <f>opex_orig!BR19</f>
        <v>1.2697500778590599E-6</v>
      </c>
      <c r="CB19" s="27">
        <f>opex_orig!BS19</f>
        <v>7.3312490790736098E-4</v>
      </c>
      <c r="CC19" s="27">
        <f>opex_orig!BT19</f>
        <v>4.8827758569412301E-2</v>
      </c>
      <c r="CD19" s="27">
        <f>opex_orig!BU19</f>
        <v>1.12252453274693E-4</v>
      </c>
      <c r="CE19" s="27">
        <f>opex_orig!BV19</f>
        <v>1.12252453274693E-4</v>
      </c>
      <c r="CF19" s="27">
        <f>opex_orig!BW19</f>
        <v>1.00161804171293E-6</v>
      </c>
      <c r="CG19" s="27">
        <f>opex_orig!BX19</f>
        <v>7.2637337954216603E-7</v>
      </c>
      <c r="CH19" s="27">
        <f>opex_orig!BY19</f>
        <v>1.45073822464957E-5</v>
      </c>
      <c r="CI19" s="27">
        <f>opex_orig!Y19</f>
        <v>8.3954199999999998E-4</v>
      </c>
      <c r="CJ19" s="27">
        <f>opex_orig!Z19</f>
        <v>3.1935399999999999E-4</v>
      </c>
      <c r="CK19" s="27">
        <f>opex_orig!AA19</f>
        <v>4.1841900000000001E-4</v>
      </c>
      <c r="CL19" s="27">
        <f>opex_orig!AB19</f>
        <v>1.7549611960191201E-4</v>
      </c>
      <c r="CM19" s="27">
        <f>opex_orig!AC19</f>
        <v>1.4250602959395701E-3</v>
      </c>
      <c r="CN19" s="27">
        <f>opex_orig!AD19</f>
        <v>6.7032224155254402E-4</v>
      </c>
      <c r="CO19" s="27">
        <f>opex_orig!AE19</f>
        <v>5.9234999999999995E-4</v>
      </c>
      <c r="CP19" s="27">
        <f>opex_orig!AF19</f>
        <v>8.0176200000000003E-4</v>
      </c>
    </row>
    <row r="20" spans="1:94" x14ac:dyDescent="0.25">
      <c r="A20" s="5" t="s">
        <v>59</v>
      </c>
      <c r="B20" s="2" t="s">
        <v>58</v>
      </c>
      <c r="C20" s="1" t="s">
        <v>325</v>
      </c>
      <c r="D20" s="188">
        <f>opex_orig!D20</f>
        <v>5.7839299999999996E-4</v>
      </c>
      <c r="E20" s="188">
        <f>opex_orig!E20</f>
        <v>1.18088E-3</v>
      </c>
      <c r="F20" s="188">
        <f>opex_orig!F20</f>
        <v>4.5255099999999998E-4</v>
      </c>
      <c r="G20" s="188">
        <f>opex_orig!G20</f>
        <v>1.7189500000000001E-4</v>
      </c>
      <c r="H20" s="188">
        <f>opex_orig!H20</f>
        <v>1.7523699999999999E-4</v>
      </c>
      <c r="I20" s="188">
        <f>opex_orig!I20</f>
        <v>2.7258040000000001E-3</v>
      </c>
      <c r="J20" s="188">
        <f>opex_orig!J20</f>
        <v>1.21103E-4</v>
      </c>
      <c r="K20" s="188">
        <f>opex_orig!K20</f>
        <v>2.6762500000000001E-4</v>
      </c>
      <c r="L20" s="188">
        <f>opex_orig!L20</f>
        <v>4.7003899999999996E-3</v>
      </c>
      <c r="M20" s="188">
        <f>opex_orig!M20</f>
        <v>1.3217378E-2</v>
      </c>
      <c r="N20" s="188">
        <f>opex_orig!N20</f>
        <v>5.8931820000000003E-3</v>
      </c>
      <c r="O20" s="188">
        <f>opex_orig!O20</f>
        <v>4.8172550000000003E-3</v>
      </c>
      <c r="P20" s="188">
        <f>opex_orig!P20</f>
        <v>1.0243769999999999E-3</v>
      </c>
      <c r="Q20" s="188">
        <f>opex_orig!Q20</f>
        <v>1.3200000000000001E-5</v>
      </c>
      <c r="R20" s="188">
        <f>opex_orig!R20</f>
        <v>1.36E-5</v>
      </c>
      <c r="S20" s="188">
        <f>opex_orig!S20</f>
        <v>5.58819E-4</v>
      </c>
      <c r="T20" s="188">
        <f>opex_orig!T20</f>
        <v>8.4600000000000003E-6</v>
      </c>
      <c r="U20" s="188">
        <f>opex_orig!U20</f>
        <v>2.0222400000000001E-4</v>
      </c>
      <c r="V20" s="188">
        <f>opex_orig!V20</f>
        <v>7.2599999999999999E-6</v>
      </c>
      <c r="W20" s="188">
        <f>opex_orig!W20</f>
        <v>8.8399999999999994E-5</v>
      </c>
      <c r="X20" s="188">
        <f>opex_orig!X20</f>
        <v>6.3199999999999996E-6</v>
      </c>
      <c r="Y20" s="188">
        <f>opex_orig!Y20</f>
        <v>2.6800000000000002E-6</v>
      </c>
      <c r="Z20" s="188">
        <f>opex_orig!Z20</f>
        <v>4.6099999999999999E-6</v>
      </c>
      <c r="AA20" s="188">
        <f>opex_orig!AA20</f>
        <v>7.7200000000000006E-6</v>
      </c>
      <c r="AB20" s="188">
        <f>opex_orig!$AB20</f>
        <v>7.1600679228081903E-6</v>
      </c>
      <c r="AC20" s="188">
        <f>opex_orig!$AB20</f>
        <v>7.1600679228081903E-6</v>
      </c>
      <c r="AD20" s="188">
        <f>opex_orig!$AB20</f>
        <v>7.1600679228081903E-6</v>
      </c>
      <c r="AE20" s="188">
        <f>opex_orig!$AC20</f>
        <v>7.5975921821049198E-5</v>
      </c>
      <c r="AF20" s="188">
        <f>opex_orig!$AD20</f>
        <v>3.4627153017206103E-5</v>
      </c>
      <c r="AG20" s="188">
        <f>opex_orig!$AD20</f>
        <v>3.4627153017206103E-5</v>
      </c>
      <c r="AH20" s="188">
        <f>opex_orig!$AD20</f>
        <v>3.4627153017206103E-5</v>
      </c>
      <c r="AI20" s="188">
        <f>opex_orig!AE20</f>
        <v>3.0899999999999999E-5</v>
      </c>
      <c r="AJ20" s="188">
        <f>opex_orig!AF20</f>
        <v>4.7899999999999999E-5</v>
      </c>
      <c r="AK20" s="188">
        <f>opex_orig!AG20</f>
        <v>5.5899999999999998E-6</v>
      </c>
      <c r="AL20" s="188">
        <f>opex_orig!AH20</f>
        <v>4.6500000000000004E-6</v>
      </c>
      <c r="AM20" s="188">
        <f>opex_orig!AI20</f>
        <v>9.3600000000000002E-6</v>
      </c>
      <c r="AN20" s="188">
        <f>opex_orig!AJ20</f>
        <v>3.4300000000000002E-6</v>
      </c>
      <c r="AO20" s="188">
        <f>opex_orig!AK20</f>
        <v>7.3200000000000002E-6</v>
      </c>
      <c r="AP20" s="188">
        <f>opex_orig!$AL20</f>
        <v>6.0452200706155197E-6</v>
      </c>
      <c r="AQ20" s="188">
        <f>opex_orig!$AL20</f>
        <v>6.0452200706155197E-6</v>
      </c>
      <c r="AR20" s="188">
        <f>opex_orig!$AL20</f>
        <v>6.0452200706155197E-6</v>
      </c>
      <c r="AS20" s="188">
        <f>opex_orig!$AM20</f>
        <v>6.6625534867270503E-6</v>
      </c>
      <c r="AT20" s="188">
        <f>opex_orig!AN20</f>
        <v>1.06E-5</v>
      </c>
      <c r="AU20" s="188">
        <f>opex_orig!$AO20</f>
        <v>1.7166881729968899E-6</v>
      </c>
      <c r="AV20" s="188">
        <f>opex_orig!$AO20</f>
        <v>1.7166881729968899E-6</v>
      </c>
      <c r="AW20" s="188">
        <f>opex_orig!$AO20</f>
        <v>1.7166881729968899E-6</v>
      </c>
      <c r="AX20" s="188">
        <f>opex_orig!$AP20</f>
        <v>2.69388690246048E-6</v>
      </c>
      <c r="AY20" s="188">
        <f>opex_orig!AQ20</f>
        <v>3.6899999999999998E-6</v>
      </c>
      <c r="AZ20" s="188">
        <f>opex_orig!AR20</f>
        <v>0</v>
      </c>
      <c r="BA20" s="188">
        <f>opex_orig!AS20</f>
        <v>3.2600000000000001E-6</v>
      </c>
      <c r="BB20" s="188">
        <f>opex_orig!AT20</f>
        <v>2.6400000000000001E-6</v>
      </c>
      <c r="BC20" s="188">
        <f>opex_orig!AU20</f>
        <v>1.4500000000000001E-6</v>
      </c>
      <c r="BD20" s="188">
        <f>opex_orig!AV20</f>
        <v>1.39E-6</v>
      </c>
      <c r="BE20" s="188">
        <f>opex_orig!AW20</f>
        <v>2.2199999999999999E-6</v>
      </c>
      <c r="BF20" s="188">
        <f>opex_orig!AX20</f>
        <v>0</v>
      </c>
      <c r="BG20" s="188">
        <f>opex_orig!AY20</f>
        <v>6.9399999999999996E-6</v>
      </c>
      <c r="BH20" s="188">
        <f>opex_orig!AZ20</f>
        <v>0</v>
      </c>
      <c r="BI20" s="188">
        <f>opex_orig!BA20</f>
        <v>1.9599999999999999E-6</v>
      </c>
      <c r="BJ20" s="188">
        <f>opex_orig!BB20</f>
        <v>5.4299999999999997E-6</v>
      </c>
      <c r="BK20" s="188">
        <f>opex_orig!BC20</f>
        <v>6.1800000000000001E-6</v>
      </c>
      <c r="BL20" s="188">
        <f>opex_orig!BD20</f>
        <v>4.0300000000000004E-6</v>
      </c>
      <c r="BM20" s="188">
        <f>opex_orig!BE20</f>
        <v>2.87E-5</v>
      </c>
      <c r="BN20" s="188">
        <f>opex_orig!BF20</f>
        <v>2.65E-6</v>
      </c>
      <c r="BO20" s="188">
        <f>opex_orig!BG20</f>
        <v>9.8400000000000007E-6</v>
      </c>
      <c r="BP20" s="188">
        <f>opex_orig!$BH20</f>
        <v>4.8903273210541702E-6</v>
      </c>
      <c r="BQ20" s="188">
        <f>opex_orig!$BH20</f>
        <v>4.8903273210541702E-6</v>
      </c>
      <c r="BR20" s="188">
        <f>opex_orig!BI20</f>
        <v>5.93E-6</v>
      </c>
      <c r="BS20" s="188">
        <f>opex_orig!BJ20</f>
        <v>7.4399999999999999E-6</v>
      </c>
      <c r="BT20" s="188">
        <f>opex_orig!BK20</f>
        <v>1.88E-5</v>
      </c>
      <c r="BU20" s="188">
        <f>opex_orig!BL20</f>
        <v>0</v>
      </c>
      <c r="BV20" s="27">
        <f>opex_orig!BM20</f>
        <v>9.4746081205695794E-6</v>
      </c>
      <c r="BW20" s="27">
        <f>opex_orig!BN20</f>
        <v>1.9972045732100901E-5</v>
      </c>
      <c r="BX20" s="27">
        <f>opex_orig!BO20</f>
        <v>3.85771627470666E-6</v>
      </c>
      <c r="BY20" s="27">
        <f>opex_orig!BP20</f>
        <v>3.8128463710641402E-6</v>
      </c>
      <c r="BZ20" s="27">
        <f>opex_orig!BQ20</f>
        <v>3.9714738943353602E-6</v>
      </c>
      <c r="CA20" s="27">
        <f>opex_orig!BR20</f>
        <v>2.24226677237464E-8</v>
      </c>
      <c r="CB20" s="27">
        <f>opex_orig!BS20</f>
        <v>1.5027876289866099E-5</v>
      </c>
      <c r="CC20" s="27">
        <f>opex_orig!BT20</f>
        <v>1.06320272710343E-5</v>
      </c>
      <c r="CD20" s="27">
        <f>opex_orig!BU20</f>
        <v>2.8366259606008799E-6</v>
      </c>
      <c r="CE20" s="27">
        <f>opex_orig!BV20</f>
        <v>2.8366259606008799E-6</v>
      </c>
      <c r="CF20" s="27">
        <f>opex_orig!BW20</f>
        <v>1.9754376532101099E-7</v>
      </c>
      <c r="CG20" s="27">
        <f>opex_orig!BX20</f>
        <v>9.6151655691459309E-7</v>
      </c>
      <c r="CH20" s="27">
        <f>opex_orig!BY20</f>
        <v>1.5034340374470801E-6</v>
      </c>
      <c r="CI20" s="27">
        <f>opex_orig!Y20</f>
        <v>2.6800000000000002E-6</v>
      </c>
      <c r="CJ20" s="27">
        <f>opex_orig!Z20</f>
        <v>4.6099999999999999E-6</v>
      </c>
      <c r="CK20" s="27">
        <f>opex_orig!AA20</f>
        <v>7.7200000000000006E-6</v>
      </c>
      <c r="CL20" s="27">
        <f>opex_orig!AB20</f>
        <v>7.1600679228081903E-6</v>
      </c>
      <c r="CM20" s="27">
        <f>opex_orig!AC20</f>
        <v>7.5975921821049198E-5</v>
      </c>
      <c r="CN20" s="27">
        <f>opex_orig!AD20</f>
        <v>3.4627153017206103E-5</v>
      </c>
      <c r="CO20" s="27">
        <f>opex_orig!AE20</f>
        <v>3.0899999999999999E-5</v>
      </c>
      <c r="CP20" s="27">
        <f>opex_orig!AF20</f>
        <v>4.7899999999999999E-5</v>
      </c>
    </row>
    <row r="21" spans="1:94" x14ac:dyDescent="0.25">
      <c r="A21" s="5" t="s">
        <v>61</v>
      </c>
      <c r="B21" s="2" t="s">
        <v>60</v>
      </c>
      <c r="C21" s="1" t="s">
        <v>326</v>
      </c>
      <c r="D21" s="188">
        <f>opex_orig!D21</f>
        <v>1.11265E-4</v>
      </c>
      <c r="E21" s="188">
        <f>opex_orig!E21</f>
        <v>1.98865E-4</v>
      </c>
      <c r="F21" s="188">
        <f>opex_orig!F21</f>
        <v>1.8306600000000001E-4</v>
      </c>
      <c r="G21" s="188">
        <f>opex_orig!G21</f>
        <v>4.6E-5</v>
      </c>
      <c r="H21" s="188">
        <f>opex_orig!H21</f>
        <v>1.3786899999999999E-4</v>
      </c>
      <c r="I21" s="188">
        <f>opex_orig!I21</f>
        <v>5.0590900000000002E-4</v>
      </c>
      <c r="J21" s="188">
        <f>opex_orig!J21</f>
        <v>2.6846919999999998E-3</v>
      </c>
      <c r="K21" s="188">
        <f>opex_orig!K21</f>
        <v>1.0641099999999999E-4</v>
      </c>
      <c r="L21" s="188">
        <f>opex_orig!L21</f>
        <v>4.4276299999999999E-4</v>
      </c>
      <c r="M21" s="188">
        <f>opex_orig!M21</f>
        <v>9.7793899999999994E-4</v>
      </c>
      <c r="N21" s="188">
        <f>opex_orig!N21</f>
        <v>1.1900089999999999E-3</v>
      </c>
      <c r="O21" s="188">
        <f>opex_orig!O21</f>
        <v>1.1699849999999999E-3</v>
      </c>
      <c r="P21" s="188">
        <f>opex_orig!P21</f>
        <v>1.4826590000000001E-3</v>
      </c>
      <c r="Q21" s="188">
        <f>opex_orig!Q21</f>
        <v>1.1966380000000001E-3</v>
      </c>
      <c r="R21" s="188">
        <f>opex_orig!R21</f>
        <v>2.4142599999999999E-4</v>
      </c>
      <c r="S21" s="188">
        <f>opex_orig!S21</f>
        <v>7.5180199999999998E-4</v>
      </c>
      <c r="T21" s="188">
        <f>opex_orig!T21</f>
        <v>1.0777670000000001E-3</v>
      </c>
      <c r="U21" s="188">
        <f>opex_orig!U21</f>
        <v>8.5248019999999997E-3</v>
      </c>
      <c r="V21" s="188">
        <f>opex_orig!V21</f>
        <v>1.521746E-3</v>
      </c>
      <c r="W21" s="188">
        <f>opex_orig!W21</f>
        <v>1.1230649999999999E-3</v>
      </c>
      <c r="X21" s="188">
        <f>opex_orig!X21</f>
        <v>3.43197E-4</v>
      </c>
      <c r="Y21" s="188">
        <f>opex_orig!Y21</f>
        <v>0.74952171099999998</v>
      </c>
      <c r="Z21" s="188">
        <f>opex_orig!Z21</f>
        <v>4.6142379999999997E-3</v>
      </c>
      <c r="AA21" s="188">
        <f>opex_orig!AA21</f>
        <v>4.1452600000000002E-4</v>
      </c>
      <c r="AB21" s="272">
        <f>opex_concordance!M189</f>
        <v>1.89845054350701E-2</v>
      </c>
      <c r="AC21" s="272">
        <f>opex_concordance!M234</f>
        <v>1.5079009570138094E-2</v>
      </c>
      <c r="AD21" s="272">
        <f>opex_concordance!M279</f>
        <v>0</v>
      </c>
      <c r="AE21" s="188">
        <f>opex_orig!$AC21</f>
        <v>3.6500668637103502E-3</v>
      </c>
      <c r="AF21" s="272">
        <f>opex_concordance!$M$311</f>
        <v>1.5464210803373898E-2</v>
      </c>
      <c r="AG21" s="272">
        <f>opex_concordance!$M$347</f>
        <v>0</v>
      </c>
      <c r="AH21" s="272">
        <f>opex_concordance!$M$383</f>
        <v>0</v>
      </c>
      <c r="AI21" s="188">
        <f>opex_orig!AE21</f>
        <v>1.2895808E-2</v>
      </c>
      <c r="AJ21" s="188">
        <f>opex_orig!AF21</f>
        <v>1.4097790000000001E-2</v>
      </c>
      <c r="AK21" s="188">
        <f>opex_orig!AG21</f>
        <v>4.3518499999999999E-4</v>
      </c>
      <c r="AL21" s="188">
        <f>opex_orig!AH21</f>
        <v>2.81823E-4</v>
      </c>
      <c r="AM21" s="188">
        <f>opex_orig!AI21</f>
        <v>6.0976599999999998E-4</v>
      </c>
      <c r="AN21" s="188">
        <f>opex_orig!AJ21</f>
        <v>2.72637E-4</v>
      </c>
      <c r="AO21" s="188">
        <f>opex_orig!AK21</f>
        <v>2.5366659999999999E-3</v>
      </c>
      <c r="AP21" s="272">
        <f>opex_concordance!M421</f>
        <v>9.28829150639718E-3</v>
      </c>
      <c r="AQ21" s="272">
        <f>opex_concordance!M475</f>
        <v>6.1751068755063901E-3</v>
      </c>
      <c r="AR21" s="272">
        <f>opex_concordance!M529</f>
        <v>0</v>
      </c>
      <c r="AS21" s="188">
        <f>opex_orig!$AM21</f>
        <v>7.8601087448428395E-3</v>
      </c>
      <c r="AT21" s="188">
        <f>opex_orig!AN21</f>
        <v>5.2291660000000004E-3</v>
      </c>
      <c r="AU21" s="272">
        <f>opex_concordance!M595</f>
        <v>0.14362150773701499</v>
      </c>
      <c r="AV21" s="272">
        <f>opex_concordance!M641</f>
        <v>0</v>
      </c>
      <c r="AW21" s="272">
        <f>opex_concordance!M687</f>
        <v>5.4698485635967617E-2</v>
      </c>
      <c r="AX21" s="188">
        <f>opex_orig!$AP21</f>
        <v>2.32954737541964E-2</v>
      </c>
      <c r="AY21" s="188">
        <f>opex_orig!AQ21</f>
        <v>5.8274995000000003E-2</v>
      </c>
      <c r="AZ21" s="188">
        <f>opex_orig!AR21</f>
        <v>0</v>
      </c>
      <c r="BA21" s="188">
        <f>opex_orig!AS21</f>
        <v>4.1237013000000003E-2</v>
      </c>
      <c r="BB21" s="188">
        <f>opex_orig!AT21</f>
        <v>3.0875217999999999E-2</v>
      </c>
      <c r="BC21" s="188">
        <f>opex_orig!AU21</f>
        <v>1.3601600000000001E-4</v>
      </c>
      <c r="BD21" s="188">
        <f>opex_orig!AV21</f>
        <v>6.2299999999999996E-5</v>
      </c>
      <c r="BE21" s="188">
        <f>opex_orig!AW21</f>
        <v>3.3230331000000002E-2</v>
      </c>
      <c r="BF21" s="188">
        <f>opex_orig!AX21</f>
        <v>0</v>
      </c>
      <c r="BG21" s="188">
        <f>opex_orig!AY21</f>
        <v>1.6968438999999998E-2</v>
      </c>
      <c r="BH21" s="188">
        <f>opex_orig!AZ21</f>
        <v>0</v>
      </c>
      <c r="BI21" s="188">
        <f>opex_orig!BA21</f>
        <v>1.6326762000000002E-2</v>
      </c>
      <c r="BJ21" s="188">
        <f>opex_orig!BB21</f>
        <v>3.6836399999999999E-4</v>
      </c>
      <c r="BK21" s="188">
        <f>opex_orig!BC21</f>
        <v>6.7534300000000002E-4</v>
      </c>
      <c r="BL21" s="188">
        <f>opex_orig!BD21</f>
        <v>7.2999999999999999E-5</v>
      </c>
      <c r="BM21" s="188">
        <f>opex_orig!BE21</f>
        <v>4.9372299999999995E-4</v>
      </c>
      <c r="BN21" s="188">
        <f>opex_orig!BF21</f>
        <v>1.2435300000000001E-4</v>
      </c>
      <c r="BO21" s="188">
        <f>opex_orig!BG21</f>
        <v>1.1078240000000001E-3</v>
      </c>
      <c r="BP21" s="188">
        <f>opex_orig!$BH21</f>
        <v>5.2455349802427501E-4</v>
      </c>
      <c r="BQ21" s="188">
        <f>opex_orig!$BH21</f>
        <v>5.2455349802427501E-4</v>
      </c>
      <c r="BR21" s="188">
        <f>opex_orig!BI21</f>
        <v>3.0427900000000002E-4</v>
      </c>
      <c r="BS21" s="188">
        <f>opex_orig!BJ21</f>
        <v>1.5199689999999999E-3</v>
      </c>
      <c r="BT21" s="188">
        <f>opex_orig!BK21</f>
        <v>1.9796500000000001E-4</v>
      </c>
      <c r="BU21" s="188">
        <f>opex_orig!BL21</f>
        <v>0</v>
      </c>
      <c r="BV21" s="27">
        <f>opex_orig!BM21</f>
        <v>0.29194198068030602</v>
      </c>
      <c r="BW21" s="27">
        <f>opex_orig!BN21</f>
        <v>5.8680678078267701E-3</v>
      </c>
      <c r="BX21" s="27">
        <f>opex_orig!BO21</f>
        <v>1.25989973558254E-4</v>
      </c>
      <c r="BY21" s="27">
        <f>opex_orig!BP21</f>
        <v>1.65596604292033E-4</v>
      </c>
      <c r="BZ21" s="27">
        <f>opex_orig!BQ21</f>
        <v>1.9319724742737599E-4</v>
      </c>
      <c r="CA21" s="27">
        <f>opex_orig!BR21</f>
        <v>8.6425054310028602E-5</v>
      </c>
      <c r="CB21" s="27">
        <f>opex_orig!BS21</f>
        <v>3.2388546617861699E-3</v>
      </c>
      <c r="CC21" s="27">
        <f>opex_orig!BT21</f>
        <v>3.1673056224531301E-4</v>
      </c>
      <c r="CD21" s="27">
        <f>opex_orig!BU21</f>
        <v>1.1182378651294299E-4</v>
      </c>
      <c r="CE21" s="27">
        <f>opex_orig!BV21</f>
        <v>1.1182378651294299E-4</v>
      </c>
      <c r="CF21" s="27">
        <f>opex_orig!BW21</f>
        <v>3.55016962824601E-6</v>
      </c>
      <c r="CG21" s="27">
        <f>opex_orig!BX21</f>
        <v>6.9320112861441103E-6</v>
      </c>
      <c r="CH21" s="27">
        <f>opex_orig!BY21</f>
        <v>1.32293776707256E-5</v>
      </c>
      <c r="CI21" s="27">
        <f>opex_orig!Y21</f>
        <v>0.74952171099999998</v>
      </c>
      <c r="CJ21" s="27">
        <f>opex_orig!Z21</f>
        <v>4.6142379999999997E-3</v>
      </c>
      <c r="CK21" s="27">
        <f>opex_orig!AA21</f>
        <v>4.1452600000000002E-4</v>
      </c>
      <c r="CL21" s="27">
        <f>opex_orig!AB21</f>
        <v>1.89845054350701E-2</v>
      </c>
      <c r="CM21" s="27">
        <f>opex_orig!AC21</f>
        <v>3.6500668637103502E-3</v>
      </c>
      <c r="CN21" s="27">
        <f>opex_orig!AD21</f>
        <v>1.5464210803373899E-2</v>
      </c>
      <c r="CO21" s="27">
        <f>opex_orig!AE21</f>
        <v>1.2895808E-2</v>
      </c>
      <c r="CP21" s="27">
        <f>opex_orig!AF21</f>
        <v>1.4097790000000001E-2</v>
      </c>
    </row>
    <row r="22" spans="1:94" x14ac:dyDescent="0.25">
      <c r="A22" s="5" t="s">
        <v>63</v>
      </c>
      <c r="B22" s="2" t="s">
        <v>62</v>
      </c>
      <c r="C22" s="1" t="s">
        <v>326</v>
      </c>
      <c r="D22" s="188">
        <f>opex_orig!D22</f>
        <v>5.2200000000000002E-5</v>
      </c>
      <c r="E22" s="188">
        <f>opex_orig!E22</f>
        <v>7.0299999999999996E-6</v>
      </c>
      <c r="F22" s="188">
        <f>opex_orig!F22</f>
        <v>1.03E-5</v>
      </c>
      <c r="G22" s="188">
        <f>opex_orig!G22</f>
        <v>1.28E-6</v>
      </c>
      <c r="H22" s="188">
        <f>opex_orig!H22</f>
        <v>2.2800000000000002E-6</v>
      </c>
      <c r="I22" s="188">
        <f>opex_orig!I22</f>
        <v>8.1999999999999994E-6</v>
      </c>
      <c r="J22" s="188">
        <f>opex_orig!J22</f>
        <v>3.1000000000000001E-5</v>
      </c>
      <c r="K22" s="188">
        <f>opex_orig!K22</f>
        <v>2.92E-6</v>
      </c>
      <c r="L22" s="188">
        <f>opex_orig!L22</f>
        <v>1.33E-5</v>
      </c>
      <c r="M22" s="188">
        <f>opex_orig!M22</f>
        <v>1.6699999999999999E-5</v>
      </c>
      <c r="N22" s="188">
        <f>opex_orig!N22</f>
        <v>1.8E-5</v>
      </c>
      <c r="O22" s="188">
        <f>opex_orig!O22</f>
        <v>2.27E-5</v>
      </c>
      <c r="P22" s="188">
        <f>opex_orig!P22</f>
        <v>2.4199999999999999E-5</v>
      </c>
      <c r="Q22" s="188">
        <f>opex_orig!Q22</f>
        <v>9.0810499999999998E-4</v>
      </c>
      <c r="R22" s="188">
        <f>opex_orig!R22</f>
        <v>1.3499999999999999E-5</v>
      </c>
      <c r="S22" s="188">
        <f>opex_orig!S22</f>
        <v>3.65E-5</v>
      </c>
      <c r="T22" s="188">
        <f>opex_orig!T22</f>
        <v>1.6799999999999998E-5</v>
      </c>
      <c r="U22" s="188">
        <f>opex_orig!U22</f>
        <v>1.3900000000000001E-5</v>
      </c>
      <c r="V22" s="188">
        <f>opex_orig!V22</f>
        <v>1.77E-5</v>
      </c>
      <c r="W22" s="188">
        <f>opex_orig!W22</f>
        <v>1.4399999999999999E-5</v>
      </c>
      <c r="X22" s="188">
        <f>opex_orig!X22</f>
        <v>9.8400000000000007E-6</v>
      </c>
      <c r="Y22" s="188">
        <f>opex_orig!Y22</f>
        <v>4.0899999999999998E-6</v>
      </c>
      <c r="Z22" s="188">
        <f>opex_orig!Z22</f>
        <v>0.226576469</v>
      </c>
      <c r="AA22" s="188">
        <f>opex_orig!AA22</f>
        <v>1.4100000000000001E-5</v>
      </c>
      <c r="AB22" s="188">
        <f>opex_orig!$AB22</f>
        <v>4.37093967398956E-5</v>
      </c>
      <c r="AC22" s="188">
        <f>opex_orig!$AB22</f>
        <v>4.37093967398956E-5</v>
      </c>
      <c r="AD22" s="188">
        <f>opex_orig!$AB22</f>
        <v>4.37093967398956E-5</v>
      </c>
      <c r="AE22" s="188">
        <f>opex_orig!$AC22</f>
        <v>1.9715214114265499E-5</v>
      </c>
      <c r="AF22" s="188">
        <f>opex_orig!$AD22</f>
        <v>3.4479180013033301E-5</v>
      </c>
      <c r="AG22" s="188">
        <f>opex_orig!$AD22</f>
        <v>3.4479180013033301E-5</v>
      </c>
      <c r="AH22" s="188">
        <f>opex_orig!$AD22</f>
        <v>3.4479180013033301E-5</v>
      </c>
      <c r="AI22" s="188">
        <f>opex_orig!AE22</f>
        <v>3.7499999999999997E-5</v>
      </c>
      <c r="AJ22" s="188">
        <f>opex_orig!AF22</f>
        <v>5.2165499999999999E-4</v>
      </c>
      <c r="AK22" s="188">
        <f>opex_orig!AG22</f>
        <v>1.3742E-4</v>
      </c>
      <c r="AL22" s="188">
        <f>opex_orig!AH22</f>
        <v>3.68E-5</v>
      </c>
      <c r="AM22" s="188">
        <f>opex_orig!AI22</f>
        <v>6.2600000000000004E-5</v>
      </c>
      <c r="AN22" s="188">
        <f>opex_orig!AJ22</f>
        <v>4.9200000000000003E-5</v>
      </c>
      <c r="AO22" s="188">
        <f>opex_orig!AK22</f>
        <v>3.29E-5</v>
      </c>
      <c r="AP22" s="348">
        <f>opex_concordance!M422</f>
        <v>3.88904385596317E-5</v>
      </c>
      <c r="AQ22" s="348">
        <f>opex_concordance!M476</f>
        <v>2.5855413169971983E-5</v>
      </c>
      <c r="AR22" s="348">
        <f>opex_concordance!M530</f>
        <v>0</v>
      </c>
      <c r="AS22" s="188">
        <f>opex_orig!$AM22</f>
        <v>3.5689665029099298E-5</v>
      </c>
      <c r="AT22" s="188">
        <f>opex_orig!AN22</f>
        <v>5.5399999999999998E-5</v>
      </c>
      <c r="AU22" s="188">
        <f>opex_orig!$AO22</f>
        <v>1.9161459907773901E-5</v>
      </c>
      <c r="AV22" s="188">
        <f>opex_orig!$AO22</f>
        <v>1.9161459907773901E-5</v>
      </c>
      <c r="AW22" s="188">
        <f>opex_orig!$AO22</f>
        <v>1.9161459907773901E-5</v>
      </c>
      <c r="AX22" s="188">
        <f>opex_orig!$AP22</f>
        <v>1.66710746731291E-5</v>
      </c>
      <c r="AY22" s="188">
        <f>opex_orig!AQ22</f>
        <v>2.3099999999999999E-5</v>
      </c>
      <c r="AZ22" s="188">
        <f>opex_orig!AR22</f>
        <v>0</v>
      </c>
      <c r="BA22" s="188">
        <f>opex_orig!AS22</f>
        <v>4.46E-5</v>
      </c>
      <c r="BB22" s="188">
        <f>opex_orig!AT22</f>
        <v>4.0399999999999999E-5</v>
      </c>
      <c r="BC22" s="188">
        <f>opex_orig!AU22</f>
        <v>1.2300000000000001E-5</v>
      </c>
      <c r="BD22" s="188">
        <f>opex_orig!AV22</f>
        <v>1.1800000000000001E-5</v>
      </c>
      <c r="BE22" s="188">
        <f>opex_orig!AW22</f>
        <v>1.1600000000000001E-5</v>
      </c>
      <c r="BF22" s="188">
        <f>opex_orig!AX22</f>
        <v>0</v>
      </c>
      <c r="BG22" s="188">
        <f>opex_orig!AY22</f>
        <v>1.4800000000000001E-5</v>
      </c>
      <c r="BH22" s="188">
        <f>opex_orig!AZ22</f>
        <v>0</v>
      </c>
      <c r="BI22" s="188">
        <f>opex_orig!BA22</f>
        <v>2.3799999999999999E-5</v>
      </c>
      <c r="BJ22" s="188">
        <f>opex_orig!BB22</f>
        <v>3.26E-5</v>
      </c>
      <c r="BK22" s="188">
        <f>opex_orig!BC22</f>
        <v>4.07E-5</v>
      </c>
      <c r="BL22" s="188">
        <f>opex_orig!BD22</f>
        <v>3.7299999999999999E-5</v>
      </c>
      <c r="BM22" s="188">
        <f>opex_orig!BE22</f>
        <v>5.5300000000000002E-5</v>
      </c>
      <c r="BN22" s="188">
        <f>opex_orig!BF22</f>
        <v>2.6599999999999999E-5</v>
      </c>
      <c r="BO22" s="188">
        <f>opex_orig!BG22</f>
        <v>7.8499999999999997E-5</v>
      </c>
      <c r="BP22" s="188">
        <f>opex_orig!$BH22</f>
        <v>2.3390310783438801E-5</v>
      </c>
      <c r="BQ22" s="188">
        <f>opex_orig!$BH22</f>
        <v>2.3390310783438801E-5</v>
      </c>
      <c r="BR22" s="188">
        <f>opex_orig!BI22</f>
        <v>7.0300000000000001E-5</v>
      </c>
      <c r="BS22" s="188">
        <f>opex_orig!BJ22</f>
        <v>1.702985E-3</v>
      </c>
      <c r="BT22" s="188">
        <f>opex_orig!BK22</f>
        <v>8.3399999999999998E-6</v>
      </c>
      <c r="BU22" s="188">
        <f>opex_orig!BL22</f>
        <v>0</v>
      </c>
      <c r="BV22" s="27">
        <f>opex_orig!BM22</f>
        <v>4.1349560849230603E-5</v>
      </c>
      <c r="BW22" s="27">
        <f>opex_orig!BN22</f>
        <v>5.3760654252330501E-5</v>
      </c>
      <c r="BX22" s="27">
        <f>opex_orig!BO22</f>
        <v>2.4892221796272702E-5</v>
      </c>
      <c r="BY22" s="27">
        <f>opex_orig!BP22</f>
        <v>1.1117066608954801E-5</v>
      </c>
      <c r="BZ22" s="27">
        <f>opex_orig!BQ22</f>
        <v>9.0403126082155297E-6</v>
      </c>
      <c r="CA22" s="27">
        <f>opex_orig!BR22</f>
        <v>1.4618620674975899E-5</v>
      </c>
      <c r="CB22" s="27">
        <f>opex_orig!BS22</f>
        <v>3.8759686665575602E-5</v>
      </c>
      <c r="CC22" s="27">
        <f>opex_orig!BT22</f>
        <v>3.63307388147685E-4</v>
      </c>
      <c r="CD22" s="27">
        <f>opex_orig!BU22</f>
        <v>1.07917541842892E-5</v>
      </c>
      <c r="CE22" s="27">
        <f>opex_orig!BV22</f>
        <v>1.07917541842892E-5</v>
      </c>
      <c r="CF22" s="27">
        <f>opex_orig!BW22</f>
        <v>1.07147097561042E-4</v>
      </c>
      <c r="CG22" s="27">
        <f>opex_orig!BX22</f>
        <v>4.0542645059232103E-5</v>
      </c>
      <c r="CH22" s="27">
        <f>opex_orig!BY22</f>
        <v>5.1891912757954697E-5</v>
      </c>
      <c r="CI22" s="27">
        <f>opex_orig!Y22</f>
        <v>4.0899999999999998E-6</v>
      </c>
      <c r="CJ22" s="27">
        <f>opex_orig!Z22</f>
        <v>0.226576469</v>
      </c>
      <c r="CK22" s="27">
        <f>opex_orig!AA22</f>
        <v>1.4100000000000001E-5</v>
      </c>
      <c r="CL22" s="27">
        <f>opex_orig!AB22</f>
        <v>4.37093967398956E-5</v>
      </c>
      <c r="CM22" s="27">
        <f>opex_orig!AC22</f>
        <v>1.9715214114265499E-5</v>
      </c>
      <c r="CN22" s="27">
        <f>opex_orig!AD22</f>
        <v>3.4479180013033301E-5</v>
      </c>
      <c r="CO22" s="27">
        <f>opex_orig!AE22</f>
        <v>3.7499999999999997E-5</v>
      </c>
      <c r="CP22" s="27">
        <f>opex_orig!AF22</f>
        <v>5.2165499999999999E-4</v>
      </c>
    </row>
    <row r="23" spans="1:94" x14ac:dyDescent="0.25">
      <c r="A23" s="5" t="s">
        <v>65</v>
      </c>
      <c r="B23" s="2" t="s">
        <v>64</v>
      </c>
      <c r="C23" s="1" t="s">
        <v>326</v>
      </c>
      <c r="D23" s="188">
        <f>opex_orig!D23</f>
        <v>1.0719500000000001E-4</v>
      </c>
      <c r="E23" s="188">
        <f>opex_orig!E23</f>
        <v>1.8899999999999999E-5</v>
      </c>
      <c r="F23" s="188">
        <f>opex_orig!F23</f>
        <v>2.3900000000000002E-5</v>
      </c>
      <c r="G23" s="188">
        <f>opex_orig!G23</f>
        <v>4.0600000000000001E-6</v>
      </c>
      <c r="H23" s="188">
        <f>opex_orig!H23</f>
        <v>6.3799999999999999E-6</v>
      </c>
      <c r="I23" s="188">
        <f>opex_orig!I23</f>
        <v>3.01E-5</v>
      </c>
      <c r="J23" s="188">
        <f>opex_orig!J23</f>
        <v>7.9900000000000004E-5</v>
      </c>
      <c r="K23" s="188">
        <f>opex_orig!K23</f>
        <v>9.9000000000000001E-6</v>
      </c>
      <c r="L23" s="188">
        <f>opex_orig!L23</f>
        <v>3.5200000000000002E-5</v>
      </c>
      <c r="M23" s="188">
        <f>opex_orig!M23</f>
        <v>4.6E-5</v>
      </c>
      <c r="N23" s="188">
        <f>opex_orig!N23</f>
        <v>4.6100000000000002E-5</v>
      </c>
      <c r="O23" s="188">
        <f>opex_orig!O23</f>
        <v>4.6199999999999998E-5</v>
      </c>
      <c r="P23" s="188">
        <f>opex_orig!P23</f>
        <v>1.8848399999999999E-4</v>
      </c>
      <c r="Q23" s="188">
        <f>opex_orig!Q23</f>
        <v>1.5505298000000001E-2</v>
      </c>
      <c r="R23" s="188">
        <f>opex_orig!R23</f>
        <v>3.5299999999999997E-5</v>
      </c>
      <c r="S23" s="188">
        <f>opex_orig!S23</f>
        <v>4.8155700000000002E-4</v>
      </c>
      <c r="T23" s="188">
        <f>opex_orig!T23</f>
        <v>1.2613899999999999E-4</v>
      </c>
      <c r="U23" s="188">
        <f>opex_orig!U23</f>
        <v>8.1799999999999996E-5</v>
      </c>
      <c r="V23" s="188">
        <f>opex_orig!V23</f>
        <v>8.8399999999999994E-5</v>
      </c>
      <c r="W23" s="188">
        <f>opex_orig!W23</f>
        <v>4.2700000000000001E-5</v>
      </c>
      <c r="X23" s="188">
        <f>opex_orig!X23</f>
        <v>2.19E-5</v>
      </c>
      <c r="Y23" s="188">
        <f>opex_orig!Y23</f>
        <v>1.6399999999999999E-5</v>
      </c>
      <c r="Z23" s="188">
        <f>opex_orig!Z23</f>
        <v>9.5199999999999997E-5</v>
      </c>
      <c r="AA23" s="188">
        <f>opex_orig!AA23</f>
        <v>5.52E-5</v>
      </c>
      <c r="AB23" s="188">
        <f>opex_orig!$AB23</f>
        <v>1.23299211956506E-4</v>
      </c>
      <c r="AC23" s="188">
        <f>opex_orig!$AB23</f>
        <v>1.23299211956506E-4</v>
      </c>
      <c r="AD23" s="188">
        <f>opex_orig!$AB23</f>
        <v>1.23299211956506E-4</v>
      </c>
      <c r="AE23" s="188">
        <f>opex_orig!$AC23</f>
        <v>5.4895872104014698E-5</v>
      </c>
      <c r="AF23" s="293">
        <f>opex_concordance!$M$312</f>
        <v>5.7937683640318899E-5</v>
      </c>
      <c r="AG23" s="293">
        <f>opex_concordance!$M$348</f>
        <v>0</v>
      </c>
      <c r="AH23" s="293">
        <f>opex_concordance!$M$384</f>
        <v>0</v>
      </c>
      <c r="AI23" s="188">
        <f>opex_orig!AE23</f>
        <v>5.9299999999999998E-5</v>
      </c>
      <c r="AJ23" s="188">
        <f>opex_orig!AF23</f>
        <v>1.1987160000000001E-3</v>
      </c>
      <c r="AK23" s="188">
        <f>opex_orig!AG23</f>
        <v>3.0606999999999997E-4</v>
      </c>
      <c r="AL23" s="188">
        <f>opex_orig!AH23</f>
        <v>6.4900000000000005E-5</v>
      </c>
      <c r="AM23" s="188">
        <f>opex_orig!AI23</f>
        <v>7.6899999999999999E-5</v>
      </c>
      <c r="AN23" s="188">
        <f>opex_orig!AJ23</f>
        <v>7.4800000000000002E-5</v>
      </c>
      <c r="AO23" s="188">
        <f>opex_orig!AK23</f>
        <v>5.2800000000000003E-5</v>
      </c>
      <c r="AP23" s="348">
        <f>opex_concordance!M423</f>
        <v>5.2649147008735097E-5</v>
      </c>
      <c r="AQ23" s="348">
        <f>opex_concordance!M477</f>
        <v>3.5002573881242747E-5</v>
      </c>
      <c r="AR23" s="348">
        <f>opex_concordance!M531</f>
        <v>0</v>
      </c>
      <c r="AS23" s="188">
        <f>opex_orig!$AM23</f>
        <v>4.9804804504434797E-5</v>
      </c>
      <c r="AT23" s="188">
        <f>opex_orig!AN23</f>
        <v>7.5599999999999994E-5</v>
      </c>
      <c r="AU23" s="188">
        <f>opex_orig!$AO23</f>
        <v>2.0532099398601499E-4</v>
      </c>
      <c r="AV23" s="188">
        <f>opex_orig!$AO23</f>
        <v>2.0532099398601499E-4</v>
      </c>
      <c r="AW23" s="188">
        <f>opex_orig!$AO23</f>
        <v>2.0532099398601499E-4</v>
      </c>
      <c r="AX23" s="188">
        <f>opex_orig!$AP23</f>
        <v>3.5250759183475501E-5</v>
      </c>
      <c r="AY23" s="188">
        <f>opex_orig!AQ23</f>
        <v>5.13E-5</v>
      </c>
      <c r="AZ23" s="188">
        <f>opex_orig!AR23</f>
        <v>0</v>
      </c>
      <c r="BA23" s="188">
        <f>opex_orig!AS23</f>
        <v>1.0453E-4</v>
      </c>
      <c r="BB23" s="188">
        <f>opex_orig!AT23</f>
        <v>9.1899999999999998E-5</v>
      </c>
      <c r="BC23" s="188">
        <f>opex_orig!AU23</f>
        <v>2.7399999999999999E-5</v>
      </c>
      <c r="BD23" s="188">
        <f>opex_orig!AV23</f>
        <v>2.5700000000000001E-5</v>
      </c>
      <c r="BE23" s="188">
        <f>opex_orig!AW23</f>
        <v>2.4199999999999999E-5</v>
      </c>
      <c r="BF23" s="188">
        <f>opex_orig!AX23</f>
        <v>0</v>
      </c>
      <c r="BG23" s="188">
        <f>opex_orig!AY23</f>
        <v>1.10171E-4</v>
      </c>
      <c r="BH23" s="188">
        <f>opex_orig!AZ23</f>
        <v>0</v>
      </c>
      <c r="BI23" s="188">
        <f>opex_orig!BA23</f>
        <v>4.3099999999999997E-5</v>
      </c>
      <c r="BJ23" s="188">
        <f>opex_orig!BB23</f>
        <v>4.5800000000000002E-5</v>
      </c>
      <c r="BK23" s="188">
        <f>opex_orig!BC23</f>
        <v>9.4699999999999998E-5</v>
      </c>
      <c r="BL23" s="188">
        <f>opex_orig!BD23</f>
        <v>1.11879E-4</v>
      </c>
      <c r="BM23" s="188">
        <f>opex_orig!BE23</f>
        <v>1.04621E-4</v>
      </c>
      <c r="BN23" s="188">
        <f>opex_orig!BF23</f>
        <v>7.9900000000000004E-5</v>
      </c>
      <c r="BO23" s="188">
        <f>opex_orig!BG23</f>
        <v>1.4765500000000001E-4</v>
      </c>
      <c r="BP23" s="188">
        <f>opex_orig!$BH23</f>
        <v>5.65782206551005E-5</v>
      </c>
      <c r="BQ23" s="188">
        <f>opex_orig!$BH23</f>
        <v>5.65782206551005E-5</v>
      </c>
      <c r="BR23" s="188">
        <f>opex_orig!BI23</f>
        <v>1.10988E-4</v>
      </c>
      <c r="BS23" s="188">
        <f>opex_orig!BJ23</f>
        <v>2.6680717E-2</v>
      </c>
      <c r="BT23" s="188">
        <f>opex_orig!BK23</f>
        <v>1.63E-5</v>
      </c>
      <c r="BU23" s="188">
        <f>opex_orig!BL23</f>
        <v>0</v>
      </c>
      <c r="BV23" s="27">
        <f>opex_orig!BM23</f>
        <v>1.0545997880040001E-4</v>
      </c>
      <c r="BW23" s="27">
        <f>opex_orig!BN23</f>
        <v>1.7219299274710999E-4</v>
      </c>
      <c r="BX23" s="27">
        <f>opex_orig!BO23</f>
        <v>3.9761454309178203E-5</v>
      </c>
      <c r="BY23" s="27">
        <f>opex_orig!BP23</f>
        <v>3.5398760556679297E-5</v>
      </c>
      <c r="BZ23" s="27">
        <f>opex_orig!BQ23</f>
        <v>3.5978476572175E-5</v>
      </c>
      <c r="CA23" s="27">
        <f>opex_orig!BR23</f>
        <v>7.0125071885459699E-5</v>
      </c>
      <c r="CB23" s="27">
        <f>opex_orig!BS23</f>
        <v>1.3738394857886E-4</v>
      </c>
      <c r="CC23" s="27">
        <f>opex_orig!BT23</f>
        <v>2.1398877427752801E-3</v>
      </c>
      <c r="CD23" s="27">
        <f>opex_orig!BU23</f>
        <v>3.0732919006324203E-5</v>
      </c>
      <c r="CE23" s="27">
        <f>opex_orig!BV23</f>
        <v>3.0732919006324203E-5</v>
      </c>
      <c r="CF23" s="27">
        <f>opex_orig!BW23</f>
        <v>2.1746832607788999E-4</v>
      </c>
      <c r="CG23" s="27">
        <f>opex_orig!BX23</f>
        <v>7.7638325067733505E-5</v>
      </c>
      <c r="CH23" s="27">
        <f>opex_orig!BY23</f>
        <v>4.1175999723422601E-5</v>
      </c>
      <c r="CI23" s="27">
        <f>opex_orig!Y23</f>
        <v>1.6399999999999999E-5</v>
      </c>
      <c r="CJ23" s="27">
        <f>opex_orig!Z23</f>
        <v>9.5199999999999997E-5</v>
      </c>
      <c r="CK23" s="27">
        <f>opex_orig!AA23</f>
        <v>5.52E-5</v>
      </c>
      <c r="CL23" s="27">
        <f>opex_orig!AB23</f>
        <v>1.23299211956506E-4</v>
      </c>
      <c r="CM23" s="27">
        <f>opex_orig!AC23</f>
        <v>5.4895872104014698E-5</v>
      </c>
      <c r="CN23" s="27">
        <f>opex_orig!AD23</f>
        <v>5.7937683640318899E-5</v>
      </c>
      <c r="CO23" s="27">
        <f>opex_orig!AE23</f>
        <v>5.9299999999999998E-5</v>
      </c>
      <c r="CP23" s="27">
        <f>opex_orig!AF23</f>
        <v>1.1987160000000001E-3</v>
      </c>
    </row>
    <row r="24" spans="1:94" x14ac:dyDescent="0.25">
      <c r="A24" s="5" t="s">
        <v>67</v>
      </c>
      <c r="B24" s="2" t="s">
        <v>66</v>
      </c>
      <c r="C24" s="1" t="s">
        <v>326</v>
      </c>
      <c r="D24" s="188">
        <f>opex_orig!D24</f>
        <v>2.9499999999999998E-7</v>
      </c>
      <c r="E24" s="188">
        <f>opex_orig!E24</f>
        <v>2.11E-7</v>
      </c>
      <c r="F24" s="188">
        <f>opex_orig!F24</f>
        <v>1.43E-7</v>
      </c>
      <c r="G24" s="188">
        <f>opex_orig!G24</f>
        <v>9.76E-8</v>
      </c>
      <c r="H24" s="188">
        <f>opex_orig!H24</f>
        <v>1.1300000000000001E-7</v>
      </c>
      <c r="I24" s="188">
        <f>opex_orig!I24</f>
        <v>4.82E-7</v>
      </c>
      <c r="J24" s="188">
        <f>opex_orig!J24</f>
        <v>1.02E-6</v>
      </c>
      <c r="K24" s="188">
        <f>opex_orig!K24</f>
        <v>2.8299999999999998E-7</v>
      </c>
      <c r="L24" s="188">
        <f>opex_orig!L24</f>
        <v>2.1799999999999999E-7</v>
      </c>
      <c r="M24" s="188">
        <f>opex_orig!M24</f>
        <v>4.4400000000000001E-7</v>
      </c>
      <c r="N24" s="188">
        <f>opex_orig!N24</f>
        <v>5.0299999999999999E-7</v>
      </c>
      <c r="O24" s="188">
        <f>opex_orig!O24</f>
        <v>1.72E-7</v>
      </c>
      <c r="P24" s="188">
        <f>opex_orig!P24</f>
        <v>2.6800000000000002E-7</v>
      </c>
      <c r="Q24" s="188">
        <f>opex_orig!Q24</f>
        <v>5.5500000000000001E-8</v>
      </c>
      <c r="R24" s="188">
        <f>opex_orig!R24</f>
        <v>2.0100000000000001E-7</v>
      </c>
      <c r="S24" s="188">
        <f>opex_orig!S24</f>
        <v>4.5600000000000001E-7</v>
      </c>
      <c r="T24" s="188">
        <f>opex_orig!T24</f>
        <v>6.8400000000000004E-7</v>
      </c>
      <c r="U24" s="188">
        <f>opex_orig!U24</f>
        <v>1.6300000000000001E-6</v>
      </c>
      <c r="V24" s="188">
        <f>opex_orig!V24</f>
        <v>2.3499999999999999E-6</v>
      </c>
      <c r="W24" s="188">
        <f>opex_orig!W24</f>
        <v>3.2500000000000001E-7</v>
      </c>
      <c r="X24" s="188">
        <f>opex_orig!X24</f>
        <v>1.9600000000000001E-7</v>
      </c>
      <c r="Y24" s="188">
        <f>opex_orig!Y24</f>
        <v>3.0699999999999998E-7</v>
      </c>
      <c r="Z24" s="188">
        <f>opex_orig!Z24</f>
        <v>1.2899999999999999E-6</v>
      </c>
      <c r="AA24" s="188">
        <f>opex_orig!AA24</f>
        <v>1.7400000000000001E-6</v>
      </c>
      <c r="AB24" s="188">
        <f>opex_orig!$AB24</f>
        <v>5.2362642652402097E-6</v>
      </c>
      <c r="AC24" s="188">
        <f>opex_orig!$AB24</f>
        <v>5.2362642652402097E-6</v>
      </c>
      <c r="AD24" s="188">
        <f>opex_orig!$AB24</f>
        <v>5.2362642652402097E-6</v>
      </c>
      <c r="AE24" s="188">
        <f>opex_orig!$AC24</f>
        <v>1.2213668326568499E-6</v>
      </c>
      <c r="AF24" s="188">
        <f>opex_orig!$AD24</f>
        <v>5.8375204116164799E-7</v>
      </c>
      <c r="AG24" s="188">
        <f>opex_orig!$AD24</f>
        <v>5.8375204116164799E-7</v>
      </c>
      <c r="AH24" s="188">
        <f>opex_orig!$AD24</f>
        <v>5.8375204116164799E-7</v>
      </c>
      <c r="AI24" s="188">
        <f>opex_orig!AE24</f>
        <v>5.5799999999999999E-7</v>
      </c>
      <c r="AJ24" s="188">
        <f>opex_orig!AF24</f>
        <v>4.75E-7</v>
      </c>
      <c r="AK24" s="188">
        <f>opex_orig!AG24</f>
        <v>1.2599999999999999E-7</v>
      </c>
      <c r="AL24" s="188">
        <f>opex_orig!AH24</f>
        <v>2.7500000000000001E-7</v>
      </c>
      <c r="AM24" s="188">
        <f>opex_orig!AI24</f>
        <v>5.3399999999999999E-7</v>
      </c>
      <c r="AN24" s="188">
        <f>opex_orig!AJ24</f>
        <v>4.0400000000000002E-7</v>
      </c>
      <c r="AO24" s="188">
        <f>opex_orig!AK24</f>
        <v>4.7599999999999997E-7</v>
      </c>
      <c r="AP24" s="348">
        <f>opex_concordance!M424</f>
        <v>3.27917057013687E-7</v>
      </c>
      <c r="AQ24" s="348">
        <f>opex_concordance!M478</f>
        <v>2.1800810966865138E-7</v>
      </c>
      <c r="AR24" s="348">
        <f>opex_concordance!M532</f>
        <v>0</v>
      </c>
      <c r="AS24" s="188">
        <f>opex_orig!$AM24</f>
        <v>4.3347905772532899E-7</v>
      </c>
      <c r="AT24" s="188">
        <f>opex_orig!AN24</f>
        <v>4.01E-7</v>
      </c>
      <c r="AU24" s="188">
        <f>opex_orig!$AO24</f>
        <v>1.60314168903746E-7</v>
      </c>
      <c r="AV24" s="188">
        <f>opex_orig!$AO24</f>
        <v>1.60314168903746E-7</v>
      </c>
      <c r="AW24" s="188">
        <f>opex_orig!$AO24</f>
        <v>1.60314168903746E-7</v>
      </c>
      <c r="AX24" s="188">
        <f>opex_orig!$AP24</f>
        <v>2.1244611155283699E-7</v>
      </c>
      <c r="AY24" s="188">
        <f>opex_orig!AQ24</f>
        <v>2.4600000000000001E-7</v>
      </c>
      <c r="AZ24" s="188">
        <f>opex_orig!AR24</f>
        <v>0</v>
      </c>
      <c r="BA24" s="188">
        <f>opex_orig!AS24</f>
        <v>2.2000000000000001E-7</v>
      </c>
      <c r="BB24" s="188">
        <f>opex_orig!AT24</f>
        <v>1.91E-7</v>
      </c>
      <c r="BC24" s="188">
        <f>opex_orig!AU24</f>
        <v>2.22E-7</v>
      </c>
      <c r="BD24" s="188">
        <f>opex_orig!AV24</f>
        <v>2.22E-7</v>
      </c>
      <c r="BE24" s="188">
        <f>opex_orig!AW24</f>
        <v>1.99E-7</v>
      </c>
      <c r="BF24" s="188">
        <f>opex_orig!AX24</f>
        <v>0</v>
      </c>
      <c r="BG24" s="188">
        <f>opex_orig!AY24</f>
        <v>6.7999999999999995E-7</v>
      </c>
      <c r="BH24" s="188">
        <f>opex_orig!AZ24</f>
        <v>0</v>
      </c>
      <c r="BI24" s="188">
        <f>opex_orig!BA24</f>
        <v>2.3099999999999999E-7</v>
      </c>
      <c r="BJ24" s="188">
        <f>opex_orig!BB24</f>
        <v>1.6999999999999999E-7</v>
      </c>
      <c r="BK24" s="188">
        <f>opex_orig!BC24</f>
        <v>3.2899999999999999E-7</v>
      </c>
      <c r="BL24" s="188">
        <f>opex_orig!BD24</f>
        <v>1.6999999999999999E-7</v>
      </c>
      <c r="BM24" s="188">
        <f>opex_orig!BE24</f>
        <v>4.8699999999999995E-7</v>
      </c>
      <c r="BN24" s="188">
        <f>opex_orig!BF24</f>
        <v>1.18E-7</v>
      </c>
      <c r="BO24" s="188">
        <f>opex_orig!BG24</f>
        <v>3.4299999999999999E-7</v>
      </c>
      <c r="BP24" s="188">
        <f>opex_orig!$BH24</f>
        <v>2.7362521902359301E-7</v>
      </c>
      <c r="BQ24" s="188">
        <f>opex_orig!$BH24</f>
        <v>2.7362521902359301E-7</v>
      </c>
      <c r="BR24" s="188">
        <f>opex_orig!BI24</f>
        <v>3.96E-7</v>
      </c>
      <c r="BS24" s="188">
        <f>opex_orig!BJ24</f>
        <v>1.73E-7</v>
      </c>
      <c r="BT24" s="188">
        <f>opex_orig!BK24</f>
        <v>1.48E-7</v>
      </c>
      <c r="BU24" s="188">
        <f>opex_orig!BL24</f>
        <v>0</v>
      </c>
      <c r="BV24" s="27">
        <f>opex_orig!BM24</f>
        <v>1.16240307273316E-6</v>
      </c>
      <c r="BW24" s="27">
        <f>opex_orig!BN24</f>
        <v>1.18203024059604E-6</v>
      </c>
      <c r="BX24" s="27">
        <f>opex_orig!BO24</f>
        <v>4.9844305641103203E-7</v>
      </c>
      <c r="BY24" s="27">
        <f>opex_orig!BP24</f>
        <v>7.6550058821843702E-7</v>
      </c>
      <c r="BZ24" s="27">
        <f>opex_orig!BQ24</f>
        <v>1.1910926338215999E-6</v>
      </c>
      <c r="CA24" s="27">
        <f>opex_orig!BR24</f>
        <v>4.67201823025258E-8</v>
      </c>
      <c r="CB24" s="27">
        <f>opex_orig!BS24</f>
        <v>2.1585067224318701E-6</v>
      </c>
      <c r="CC24" s="27">
        <f>opex_orig!BT24</f>
        <v>4.7587164082679898E-7</v>
      </c>
      <c r="CD24" s="27">
        <f>opex_orig!BU24</f>
        <v>6.5533633547143798E-7</v>
      </c>
      <c r="CE24" s="27">
        <f>opex_orig!BV24</f>
        <v>6.5533633547144105E-7</v>
      </c>
      <c r="CF24" s="27">
        <f>opex_orig!BW24</f>
        <v>1.00691333690043E-7</v>
      </c>
      <c r="CG24" s="27">
        <f>opex_orig!BX24</f>
        <v>1.0095853595881E-7</v>
      </c>
      <c r="CH24" s="27">
        <f>opex_orig!BY24</f>
        <v>1.6093042923231299E-7</v>
      </c>
      <c r="CI24" s="27">
        <f>opex_orig!Y24</f>
        <v>3.0699999999999998E-7</v>
      </c>
      <c r="CJ24" s="27">
        <f>opex_orig!Z24</f>
        <v>1.2899999999999999E-6</v>
      </c>
      <c r="CK24" s="27">
        <f>opex_orig!AA24</f>
        <v>1.7400000000000001E-6</v>
      </c>
      <c r="CL24" s="27">
        <f>opex_orig!AB24</f>
        <v>5.2362642652402097E-6</v>
      </c>
      <c r="CM24" s="27">
        <f>opex_orig!AC24</f>
        <v>1.2213668326568499E-6</v>
      </c>
      <c r="CN24" s="27">
        <f>opex_orig!AD24</f>
        <v>5.8375204116164799E-7</v>
      </c>
      <c r="CO24" s="27">
        <f>opex_orig!AE24</f>
        <v>5.5799999999999999E-7</v>
      </c>
      <c r="CP24" s="27">
        <f>opex_orig!AF24</f>
        <v>4.75E-7</v>
      </c>
    </row>
    <row r="25" spans="1:94" x14ac:dyDescent="0.25">
      <c r="A25" s="5" t="s">
        <v>69</v>
      </c>
      <c r="B25" s="2" t="s">
        <v>68</v>
      </c>
      <c r="C25" s="1" t="s">
        <v>326</v>
      </c>
      <c r="D25" s="188">
        <f>opex_orig!D25</f>
        <v>2.4517000000000001E-4</v>
      </c>
      <c r="E25" s="188">
        <f>opex_orig!E25</f>
        <v>7.47E-5</v>
      </c>
      <c r="F25" s="188">
        <f>opex_orig!F25</f>
        <v>4.1100000000000003E-5</v>
      </c>
      <c r="G25" s="188">
        <f>opex_orig!G25</f>
        <v>6.4200000000000004E-6</v>
      </c>
      <c r="H25" s="188">
        <f>opex_orig!H25</f>
        <v>1.33E-5</v>
      </c>
      <c r="I25" s="188">
        <f>opex_orig!I25</f>
        <v>1.68271E-4</v>
      </c>
      <c r="J25" s="188">
        <f>opex_orig!J25</f>
        <v>3.9854300000000001E-4</v>
      </c>
      <c r="K25" s="188">
        <f>opex_orig!K25</f>
        <v>1.8600000000000001E-5</v>
      </c>
      <c r="L25" s="188">
        <f>opex_orig!L25</f>
        <v>1.4455800000000001E-4</v>
      </c>
      <c r="M25" s="188">
        <f>opex_orig!M25</f>
        <v>4.2656399999999999E-4</v>
      </c>
      <c r="N25" s="188">
        <f>opex_orig!N25</f>
        <v>2.0926399999999999E-4</v>
      </c>
      <c r="O25" s="188">
        <f>opex_orig!O25</f>
        <v>2.9155799999999998E-4</v>
      </c>
      <c r="P25" s="188">
        <f>opex_orig!P25</f>
        <v>3.1367400000000001E-4</v>
      </c>
      <c r="Q25" s="188">
        <f>opex_orig!Q25</f>
        <v>1.9826800000000001E-4</v>
      </c>
      <c r="R25" s="188">
        <f>opex_orig!R25</f>
        <v>3.9100000000000002E-5</v>
      </c>
      <c r="S25" s="188">
        <f>opex_orig!S25</f>
        <v>1.33938E-4</v>
      </c>
      <c r="T25" s="188">
        <f>opex_orig!T25</f>
        <v>1.66212E-4</v>
      </c>
      <c r="U25" s="188">
        <f>opex_orig!U25</f>
        <v>4.9059600000000004E-4</v>
      </c>
      <c r="V25" s="188">
        <f>opex_orig!V25</f>
        <v>3.75588E-4</v>
      </c>
      <c r="W25" s="188">
        <f>opex_orig!W25</f>
        <v>1.6208499999999999E-4</v>
      </c>
      <c r="X25" s="188">
        <f>opex_orig!X25</f>
        <v>9.5099999999999994E-5</v>
      </c>
      <c r="Y25" s="188">
        <f>opex_orig!Y25</f>
        <v>2.2097100000000001E-4</v>
      </c>
      <c r="Z25" s="188">
        <f>opex_orig!Z25</f>
        <v>4.6756400000000001E-4</v>
      </c>
      <c r="AA25" s="188">
        <f>opex_orig!AA25</f>
        <v>2.0090099999999999E-4</v>
      </c>
      <c r="AB25" s="188">
        <f>opex_orig!$AB25</f>
        <v>4.0134028601514697E-5</v>
      </c>
      <c r="AC25" s="188">
        <f>opex_orig!$AB25</f>
        <v>4.0134028601514697E-5</v>
      </c>
      <c r="AD25" s="188">
        <f>opex_orig!$AB25</f>
        <v>4.0134028601514697E-5</v>
      </c>
      <c r="AE25" s="188">
        <f>opex_orig!$AC25</f>
        <v>4.4743317631299698E-4</v>
      </c>
      <c r="AF25" s="188">
        <f>opex_orig!$AD25</f>
        <v>5.0096477416577999E-4</v>
      </c>
      <c r="AG25" s="188">
        <f>opex_orig!$AD25</f>
        <v>5.0096477416577999E-4</v>
      </c>
      <c r="AH25" s="188">
        <f>opex_orig!$AD25</f>
        <v>5.0096477416577999E-4</v>
      </c>
      <c r="AI25" s="188">
        <f>opex_orig!AE25</f>
        <v>4.8139500000000002E-4</v>
      </c>
      <c r="AJ25" s="188">
        <f>opex_orig!AF25</f>
        <v>4.6055400000000001E-4</v>
      </c>
      <c r="AK25" s="188">
        <f>opex_orig!AG25</f>
        <v>9.7E-5</v>
      </c>
      <c r="AL25" s="188">
        <f>opex_orig!AH25</f>
        <v>5.8799999999999999E-5</v>
      </c>
      <c r="AM25" s="188">
        <f>opex_orig!AI25</f>
        <v>1.2656200000000001E-4</v>
      </c>
      <c r="AN25" s="188">
        <f>opex_orig!AJ25</f>
        <v>5.13E-5</v>
      </c>
      <c r="AO25" s="188">
        <f>opex_orig!AK25</f>
        <v>9.1799999999999995E-5</v>
      </c>
      <c r="AP25" s="188">
        <f>opex_orig!$AL25</f>
        <v>1.5542377010820699E-4</v>
      </c>
      <c r="AQ25" s="188">
        <f>opex_orig!$AL25</f>
        <v>1.5542377010820699E-4</v>
      </c>
      <c r="AR25" s="188">
        <f>opex_orig!$AL25</f>
        <v>1.5542377010820699E-4</v>
      </c>
      <c r="AS25" s="188">
        <f>opex_orig!$AM25</f>
        <v>9.7343174444135806E-5</v>
      </c>
      <c r="AT25" s="188">
        <f>opex_orig!AN25</f>
        <v>2.1473099999999999E-4</v>
      </c>
      <c r="AU25" s="188">
        <f>opex_orig!$AO25</f>
        <v>1.1474294107694601E-4</v>
      </c>
      <c r="AV25" s="188">
        <f>opex_orig!$AO25</f>
        <v>1.1474294107694601E-4</v>
      </c>
      <c r="AW25" s="188">
        <f>opex_orig!$AO25</f>
        <v>1.1474294107694601E-4</v>
      </c>
      <c r="AX25" s="188">
        <f>opex_orig!$AP25</f>
        <v>2.1774112390585099E-4</v>
      </c>
      <c r="AY25" s="188">
        <f>opex_orig!AQ25</f>
        <v>1.3376999999999999E-4</v>
      </c>
      <c r="AZ25" s="188">
        <f>opex_orig!AR25</f>
        <v>0</v>
      </c>
      <c r="BA25" s="188">
        <f>opex_orig!AS25</f>
        <v>1.5182499999999999E-4</v>
      </c>
      <c r="BB25" s="188">
        <f>opex_orig!AT25</f>
        <v>4.7800000000000003E-5</v>
      </c>
      <c r="BC25" s="188">
        <f>opex_orig!AU25</f>
        <v>2.0800000000000001E-5</v>
      </c>
      <c r="BD25" s="188">
        <f>opex_orig!AV25</f>
        <v>1.6500000000000001E-5</v>
      </c>
      <c r="BE25" s="188">
        <f>opex_orig!AW25</f>
        <v>7.2999999999999999E-5</v>
      </c>
      <c r="BF25" s="188">
        <f>opex_orig!AX25</f>
        <v>0</v>
      </c>
      <c r="BG25" s="188">
        <f>opex_orig!AY25</f>
        <v>6.7999999999999999E-5</v>
      </c>
      <c r="BH25" s="188">
        <f>opex_orig!AZ25</f>
        <v>0</v>
      </c>
      <c r="BI25" s="188">
        <f>opex_orig!BA25</f>
        <v>1.0904900000000001E-4</v>
      </c>
      <c r="BJ25" s="188">
        <f>opex_orig!BB25</f>
        <v>2.4080600000000001E-4</v>
      </c>
      <c r="BK25" s="188">
        <f>opex_orig!BC25</f>
        <v>4.4273799999999997E-4</v>
      </c>
      <c r="BL25" s="188">
        <f>opex_orig!BD25</f>
        <v>5.9299999999999998E-5</v>
      </c>
      <c r="BM25" s="188">
        <f>opex_orig!BE25</f>
        <v>2.1548199999999999E-4</v>
      </c>
      <c r="BN25" s="188">
        <f>opex_orig!BF25</f>
        <v>4.5200000000000001E-5</v>
      </c>
      <c r="BO25" s="188">
        <f>opex_orig!BG25</f>
        <v>2.5255999999999998E-4</v>
      </c>
      <c r="BP25" s="188">
        <f>opex_orig!$BH25</f>
        <v>1.5232161484567301E-4</v>
      </c>
      <c r="BQ25" s="188">
        <f>opex_orig!$BH25</f>
        <v>1.5232161484567301E-4</v>
      </c>
      <c r="BR25" s="188">
        <f>opex_orig!BI25</f>
        <v>1.7933700000000001E-4</v>
      </c>
      <c r="BS25" s="188">
        <f>opex_orig!BJ25</f>
        <v>1.77837E-4</v>
      </c>
      <c r="BT25" s="188">
        <f>opex_orig!BK25</f>
        <v>1.42476E-4</v>
      </c>
      <c r="BU25" s="188">
        <f>opex_orig!BL25</f>
        <v>0</v>
      </c>
      <c r="BV25" s="27">
        <f>opex_orig!BM25</f>
        <v>1.6002869877843799E-4</v>
      </c>
      <c r="BW25" s="27">
        <f>opex_orig!BN25</f>
        <v>2.5186506284692898E-4</v>
      </c>
      <c r="BX25" s="27">
        <f>opex_orig!BO25</f>
        <v>1.14219387489516E-4</v>
      </c>
      <c r="BY25" s="27">
        <f>opex_orig!BP25</f>
        <v>8.3745667609641403E-5</v>
      </c>
      <c r="BZ25" s="27">
        <f>opex_orig!BQ25</f>
        <v>8.9234600161322406E-5</v>
      </c>
      <c r="CA25" s="27">
        <f>opex_orig!BR25</f>
        <v>4.2884317864775998E-7</v>
      </c>
      <c r="CB25" s="27">
        <f>opex_orig!BS25</f>
        <v>1.75791744095147E-4</v>
      </c>
      <c r="CC25" s="27">
        <f>opex_orig!BT25</f>
        <v>1.12169283837012E-6</v>
      </c>
      <c r="CD25" s="27">
        <f>opex_orig!BU25</f>
        <v>4.5565258932628202E-5</v>
      </c>
      <c r="CE25" s="27">
        <f>opex_orig!BV25</f>
        <v>4.5565258932628202E-5</v>
      </c>
      <c r="CF25" s="27">
        <f>opex_orig!BW25</f>
        <v>2.5338256662939301E-6</v>
      </c>
      <c r="CG25" s="27">
        <f>opex_orig!BX25</f>
        <v>8.5972434349110105E-8</v>
      </c>
      <c r="CH25" s="27">
        <f>opex_orig!BY25</f>
        <v>8.14505876605582E-7</v>
      </c>
      <c r="CI25" s="27">
        <f>opex_orig!Y25</f>
        <v>2.2097100000000001E-4</v>
      </c>
      <c r="CJ25" s="27">
        <f>opex_orig!Z25</f>
        <v>4.6756400000000001E-4</v>
      </c>
      <c r="CK25" s="27">
        <f>opex_orig!AA25</f>
        <v>2.0090099999999999E-4</v>
      </c>
      <c r="CL25" s="27">
        <f>opex_orig!AB25</f>
        <v>4.0134028601514697E-5</v>
      </c>
      <c r="CM25" s="27">
        <f>opex_orig!AC25</f>
        <v>4.4743317631299698E-4</v>
      </c>
      <c r="CN25" s="27">
        <f>opex_orig!AD25</f>
        <v>5.0096477416577999E-4</v>
      </c>
      <c r="CO25" s="27">
        <f>opex_orig!AE25</f>
        <v>4.8139500000000002E-4</v>
      </c>
      <c r="CP25" s="27">
        <f>opex_orig!AF25</f>
        <v>4.6055400000000001E-4</v>
      </c>
    </row>
    <row r="26" spans="1:94" x14ac:dyDescent="0.25">
      <c r="A26" s="5" t="s">
        <v>71</v>
      </c>
      <c r="B26" s="2" t="s">
        <v>70</v>
      </c>
      <c r="C26" s="1" t="s">
        <v>326</v>
      </c>
      <c r="D26" s="188">
        <f>opex_orig!D26</f>
        <v>4.7500000000000003E-6</v>
      </c>
      <c r="E26" s="188">
        <f>opex_orig!E26</f>
        <v>7.9999999999999996E-7</v>
      </c>
      <c r="F26" s="188">
        <f>opex_orig!F26</f>
        <v>1.8899999999999999E-6</v>
      </c>
      <c r="G26" s="188">
        <f>opex_orig!G26</f>
        <v>2.8700000000000002E-7</v>
      </c>
      <c r="H26" s="188">
        <f>opex_orig!H26</f>
        <v>1.2200000000000001E-7</v>
      </c>
      <c r="I26" s="188">
        <f>opex_orig!I26</f>
        <v>9.6599999999999994E-7</v>
      </c>
      <c r="J26" s="188">
        <f>opex_orig!J26</f>
        <v>3.9199999999999997E-6</v>
      </c>
      <c r="K26" s="188">
        <f>opex_orig!K26</f>
        <v>2.2000000000000001E-7</v>
      </c>
      <c r="L26" s="188">
        <f>opex_orig!L26</f>
        <v>3.3100000000000001E-6</v>
      </c>
      <c r="M26" s="188">
        <f>opex_orig!M26</f>
        <v>1.48E-6</v>
      </c>
      <c r="N26" s="188">
        <f>opex_orig!N26</f>
        <v>1.57E-6</v>
      </c>
      <c r="O26" s="188">
        <f>opex_orig!O26</f>
        <v>2.03E-6</v>
      </c>
      <c r="P26" s="188">
        <f>opex_orig!P26</f>
        <v>1.42E-6</v>
      </c>
      <c r="Q26" s="188">
        <f>opex_orig!Q26</f>
        <v>6.7999999999999995E-7</v>
      </c>
      <c r="R26" s="188">
        <f>opex_orig!R26</f>
        <v>6.2799999999999996E-7</v>
      </c>
      <c r="S26" s="188">
        <f>opex_orig!S26</f>
        <v>8.6400000000000001E-7</v>
      </c>
      <c r="T26" s="188">
        <f>opex_orig!T26</f>
        <v>1.4300000000000001E-6</v>
      </c>
      <c r="U26" s="188">
        <f>opex_orig!U26</f>
        <v>6.1600000000000001E-7</v>
      </c>
      <c r="V26" s="188">
        <f>opex_orig!V26</f>
        <v>4.9900000000000001E-7</v>
      </c>
      <c r="W26" s="188">
        <f>opex_orig!W26</f>
        <v>6.8800000000000002E-7</v>
      </c>
      <c r="X26" s="188">
        <f>opex_orig!X26</f>
        <v>7.3799999999999996E-7</v>
      </c>
      <c r="Y26" s="188">
        <f>opex_orig!Y26</f>
        <v>3.3599999999999999E-7</v>
      </c>
      <c r="Z26" s="188">
        <f>opex_orig!Z26</f>
        <v>1.1599999999999999E-6</v>
      </c>
      <c r="AA26" s="188">
        <f>opex_orig!AA26</f>
        <v>7.23E-7</v>
      </c>
      <c r="AB26" s="188">
        <f>opex_orig!$AB26</f>
        <v>3.7692057145822001E-6</v>
      </c>
      <c r="AC26" s="188">
        <f>opex_orig!$AB26</f>
        <v>3.7692057145822001E-6</v>
      </c>
      <c r="AD26" s="188">
        <f>opex_orig!$AB26</f>
        <v>3.7692057145822001E-6</v>
      </c>
      <c r="AE26" s="188">
        <f>opex_orig!$AC26</f>
        <v>1.3216069819405901E-6</v>
      </c>
      <c r="AF26" s="188">
        <f>opex_orig!$AD26</f>
        <v>1.1613598891655601E-6</v>
      </c>
      <c r="AG26" s="188">
        <f>opex_orig!$AD26</f>
        <v>1.1613598891655601E-6</v>
      </c>
      <c r="AH26" s="188">
        <f>opex_orig!$AD26</f>
        <v>1.1613598891655601E-6</v>
      </c>
      <c r="AI26" s="188">
        <f>opex_orig!AE26</f>
        <v>9.7699999999999992E-7</v>
      </c>
      <c r="AJ26" s="188">
        <f>opex_orig!AF26</f>
        <v>1.7099999999999999E-5</v>
      </c>
      <c r="AK26" s="188">
        <f>opex_orig!AG26</f>
        <v>4.0999999999999997E-6</v>
      </c>
      <c r="AL26" s="188">
        <f>opex_orig!AH26</f>
        <v>9.91E-6</v>
      </c>
      <c r="AM26" s="188">
        <f>opex_orig!AI26</f>
        <v>6.3899999999999998E-6</v>
      </c>
      <c r="AN26" s="188">
        <f>opex_orig!AJ26</f>
        <v>3.4800000000000001E-6</v>
      </c>
      <c r="AO26" s="188">
        <f>opex_orig!AK26</f>
        <v>6.0100000000000001E-6</v>
      </c>
      <c r="AP26" s="188">
        <f>opex_orig!$AL26</f>
        <v>3.7848046652276698E-6</v>
      </c>
      <c r="AQ26" s="188">
        <f>opex_orig!$AL26</f>
        <v>3.7848046652276698E-6</v>
      </c>
      <c r="AR26" s="188">
        <f>opex_orig!$AL26</f>
        <v>3.7848046652276698E-6</v>
      </c>
      <c r="AS26" s="188">
        <f>opex_orig!$AM26</f>
        <v>3.5134631998571202E-6</v>
      </c>
      <c r="AT26" s="188">
        <f>opex_orig!AN26</f>
        <v>7.2300000000000002E-6</v>
      </c>
      <c r="AU26" s="349">
        <f>opex_concordance!M588</f>
        <v>3.6259517943428798E-2</v>
      </c>
      <c r="AV26" s="349">
        <f>opex_concordance!M634</f>
        <v>3.42072412088337E-2</v>
      </c>
      <c r="AW26" s="349">
        <f>opex_concordance!M680</f>
        <v>3.0055963167240164E-2</v>
      </c>
      <c r="AX26" s="188">
        <f>opex_orig!$AP26</f>
        <v>3.9280943539919702E-5</v>
      </c>
      <c r="AY26" s="188">
        <f>opex_orig!AQ26</f>
        <v>1.9700000000000002E-6</v>
      </c>
      <c r="AZ26" s="188">
        <f>opex_orig!AR26</f>
        <v>0</v>
      </c>
      <c r="BA26" s="188">
        <f>opex_orig!AS26</f>
        <v>1.39574E-4</v>
      </c>
      <c r="BB26" s="188">
        <f>opex_orig!AT26</f>
        <v>6.2899999999999999E-6</v>
      </c>
      <c r="BC26" s="188">
        <f>opex_orig!AU26</f>
        <v>3.3599999999999999E-7</v>
      </c>
      <c r="BD26" s="188">
        <f>opex_orig!AV26</f>
        <v>3.0600000000000001E-7</v>
      </c>
      <c r="BE26" s="188">
        <f>opex_orig!AW26</f>
        <v>5.6400000000000002E-5</v>
      </c>
      <c r="BF26" s="188">
        <f>opex_orig!AX26</f>
        <v>0</v>
      </c>
      <c r="BG26" s="188">
        <f>opex_orig!AY26</f>
        <v>3.8079759999999998E-3</v>
      </c>
      <c r="BH26" s="188">
        <f>opex_orig!AZ26</f>
        <v>0</v>
      </c>
      <c r="BI26" s="188">
        <f>opex_orig!BA26</f>
        <v>5.2899999999999998E-5</v>
      </c>
      <c r="BJ26" s="188">
        <f>opex_orig!BB26</f>
        <v>5.5500000000000002E-6</v>
      </c>
      <c r="BK26" s="188">
        <f>opex_orig!BC26</f>
        <v>3.54E-6</v>
      </c>
      <c r="BL26" s="188">
        <f>opex_orig!BD26</f>
        <v>9.3200000000000003E-7</v>
      </c>
      <c r="BM26" s="188">
        <f>opex_orig!BE26</f>
        <v>4.6099999999999999E-6</v>
      </c>
      <c r="BN26" s="188">
        <f>opex_orig!BF26</f>
        <v>5.0299999999999999E-7</v>
      </c>
      <c r="BO26" s="188">
        <f>opex_orig!BG26</f>
        <v>1.7600000000000001E-5</v>
      </c>
      <c r="BP26" s="188">
        <f>opex_orig!$BH26</f>
        <v>1.6041660002017001E-6</v>
      </c>
      <c r="BQ26" s="188">
        <f>opex_orig!$BH26</f>
        <v>1.6041660002017001E-6</v>
      </c>
      <c r="BR26" s="188">
        <f>opex_orig!BI26</f>
        <v>1.53E-6</v>
      </c>
      <c r="BS26" s="188">
        <f>opex_orig!BJ26</f>
        <v>2.83E-6</v>
      </c>
      <c r="BT26" s="188">
        <f>opex_orig!BK26</f>
        <v>5.8199999999999998E-5</v>
      </c>
      <c r="BU26" s="188">
        <f>opex_orig!BL26</f>
        <v>0</v>
      </c>
      <c r="BV26" s="27">
        <f>opex_orig!BM26</f>
        <v>8.6487324284757695E-7</v>
      </c>
      <c r="BW26" s="27">
        <f>opex_orig!BN26</f>
        <v>1.71104287717088E-6</v>
      </c>
      <c r="BX26" s="27">
        <f>opex_orig!BO26</f>
        <v>2.6009928414700601E-7</v>
      </c>
      <c r="BY26" s="27">
        <f>opex_orig!BP26</f>
        <v>3.8241554477217301E-7</v>
      </c>
      <c r="BZ26" s="27">
        <f>opex_orig!BQ26</f>
        <v>6.2052445643076498E-7</v>
      </c>
      <c r="CA26" s="27">
        <f>opex_orig!BR26</f>
        <v>4.8780531428149099E-7</v>
      </c>
      <c r="CB26" s="27">
        <f>opex_orig!BS26</f>
        <v>1.7846903984326301E-6</v>
      </c>
      <c r="CC26" s="27">
        <f>opex_orig!BT26</f>
        <v>3.7217126365995501E-4</v>
      </c>
      <c r="CD26" s="27">
        <f>opex_orig!BU26</f>
        <v>2.6725053503300898E-7</v>
      </c>
      <c r="CE26" s="27">
        <f>opex_orig!BV26</f>
        <v>2.6725053503300898E-7</v>
      </c>
      <c r="CF26" s="27">
        <f>opex_orig!BW26</f>
        <v>2.71911194589889E-6</v>
      </c>
      <c r="CG26" s="27">
        <f>opex_orig!BX26</f>
        <v>5.3153332391133603E-8</v>
      </c>
      <c r="CH26" s="27">
        <f>opex_orig!BY26</f>
        <v>1.0707152638512001E-6</v>
      </c>
      <c r="CI26" s="27">
        <f>opex_orig!Y26</f>
        <v>3.3599999999999999E-7</v>
      </c>
      <c r="CJ26" s="27">
        <f>opex_orig!Z26</f>
        <v>1.1599999999999999E-6</v>
      </c>
      <c r="CK26" s="27">
        <f>opex_orig!AA26</f>
        <v>7.23E-7</v>
      </c>
      <c r="CL26" s="27">
        <f>opex_orig!AB26</f>
        <v>3.7692057145822001E-6</v>
      </c>
      <c r="CM26" s="27">
        <f>opex_orig!AC26</f>
        <v>1.3216069819405901E-6</v>
      </c>
      <c r="CN26" s="27">
        <f>opex_orig!AD26</f>
        <v>1.1613598891655601E-6</v>
      </c>
      <c r="CO26" s="27">
        <f>opex_orig!AE26</f>
        <v>9.7699999999999992E-7</v>
      </c>
      <c r="CP26" s="27">
        <f>opex_orig!AF26</f>
        <v>1.7099999999999999E-5</v>
      </c>
    </row>
    <row r="27" spans="1:94" x14ac:dyDescent="0.25">
      <c r="A27" s="5" t="s">
        <v>73</v>
      </c>
      <c r="B27" s="2" t="s">
        <v>72</v>
      </c>
      <c r="C27" s="1" t="s">
        <v>326</v>
      </c>
      <c r="D27" s="188">
        <f>opex_orig!D27</f>
        <v>7.5292399999999998E-4</v>
      </c>
      <c r="E27" s="188">
        <f>opex_orig!E27</f>
        <v>3.7982199999999998E-4</v>
      </c>
      <c r="F27" s="188">
        <f>opex_orig!F27</f>
        <v>2.32205E-4</v>
      </c>
      <c r="G27" s="188">
        <f>opex_orig!G27</f>
        <v>5.0599999999999997E-5</v>
      </c>
      <c r="H27" s="188">
        <f>opex_orig!H27</f>
        <v>6.7700000000000006E-5</v>
      </c>
      <c r="I27" s="188">
        <f>opex_orig!I27</f>
        <v>3.19403E-4</v>
      </c>
      <c r="J27" s="188">
        <f>opex_orig!J27</f>
        <v>6.75094E-4</v>
      </c>
      <c r="K27" s="188">
        <f>opex_orig!K27</f>
        <v>1.4751E-4</v>
      </c>
      <c r="L27" s="188">
        <f>opex_orig!L27</f>
        <v>3.61527E-4</v>
      </c>
      <c r="M27" s="188">
        <f>opex_orig!M27</f>
        <v>4.5915799999999998E-4</v>
      </c>
      <c r="N27" s="188">
        <f>opex_orig!N27</f>
        <v>1.3683790000000001E-3</v>
      </c>
      <c r="O27" s="188">
        <f>opex_orig!O27</f>
        <v>1.197077E-3</v>
      </c>
      <c r="P27" s="188">
        <f>opex_orig!P27</f>
        <v>6.2939300000000001E-4</v>
      </c>
      <c r="Q27" s="188">
        <f>opex_orig!Q27</f>
        <v>2.9366100000000002E-4</v>
      </c>
      <c r="R27" s="188">
        <f>opex_orig!R27</f>
        <v>8.61998E-4</v>
      </c>
      <c r="S27" s="188">
        <f>opex_orig!S27</f>
        <v>2.7930300000000001E-4</v>
      </c>
      <c r="T27" s="188">
        <f>opex_orig!T27</f>
        <v>3.8345799999999999E-4</v>
      </c>
      <c r="U27" s="188">
        <f>opex_orig!U27</f>
        <v>8.7423700000000004E-4</v>
      </c>
      <c r="V27" s="188">
        <f>opex_orig!V27</f>
        <v>1.522135E-3</v>
      </c>
      <c r="W27" s="188">
        <f>opex_orig!W27</f>
        <v>4.7186899999999998E-4</v>
      </c>
      <c r="X27" s="188">
        <f>opex_orig!X27</f>
        <v>2.6769899999999999E-4</v>
      </c>
      <c r="Y27" s="188">
        <f>opex_orig!Y27</f>
        <v>2.2000399999999999E-4</v>
      </c>
      <c r="Z27" s="188">
        <f>opex_orig!Z27</f>
        <v>1.6277970000000001E-3</v>
      </c>
      <c r="AA27" s="188">
        <f>opex_orig!AA27</f>
        <v>7.7959600000000002E-4</v>
      </c>
      <c r="AB27" s="188">
        <f>opex_orig!$AB27</f>
        <v>2.8196528439808901E-3</v>
      </c>
      <c r="AC27" s="188">
        <f>opex_orig!$AB27</f>
        <v>2.8196528439808901E-3</v>
      </c>
      <c r="AD27" s="188">
        <f>opex_orig!$AB27</f>
        <v>2.8196528439808901E-3</v>
      </c>
      <c r="AE27" s="188">
        <f>opex_orig!$AC27</f>
        <v>4.1927615297094297E-3</v>
      </c>
      <c r="AF27" s="188">
        <f>opex_orig!$AD27</f>
        <v>1.22735178037086E-3</v>
      </c>
      <c r="AG27" s="188">
        <f>opex_orig!$AD27</f>
        <v>1.22735178037086E-3</v>
      </c>
      <c r="AH27" s="188">
        <f>opex_orig!$AD27</f>
        <v>1.22735178037086E-3</v>
      </c>
      <c r="AI27" s="188">
        <f>opex_orig!AE27</f>
        <v>7.6270600000000004E-4</v>
      </c>
      <c r="AJ27" s="188">
        <f>opex_orig!AF27</f>
        <v>2.0389459999999998E-3</v>
      </c>
      <c r="AK27" s="188">
        <f>opex_orig!AG27</f>
        <v>8.6207799999999995E-4</v>
      </c>
      <c r="AL27" s="188">
        <f>opex_orig!AH27</f>
        <v>2.3857629999999999E-3</v>
      </c>
      <c r="AM27" s="188">
        <f>opex_orig!AI27</f>
        <v>6.3729599999999998E-4</v>
      </c>
      <c r="AN27" s="188">
        <f>opex_orig!AJ27</f>
        <v>1.780326E-3</v>
      </c>
      <c r="AO27" s="188">
        <f>opex_orig!AK27</f>
        <v>1.2380410000000001E-3</v>
      </c>
      <c r="AP27" s="188">
        <f>opex_orig!$AL27</f>
        <v>1.01605961309375E-3</v>
      </c>
      <c r="AQ27" s="188">
        <f>opex_orig!$AL27</f>
        <v>1.01605961309375E-3</v>
      </c>
      <c r="AR27" s="188">
        <f>opex_orig!$AL27</f>
        <v>1.01605961309375E-3</v>
      </c>
      <c r="AS27" s="188">
        <f>opex_orig!$AM27</f>
        <v>8.7712617532300903E-4</v>
      </c>
      <c r="AT27" s="188">
        <f>opex_orig!AN27</f>
        <v>1.162375E-3</v>
      </c>
      <c r="AU27" s="349">
        <f>opex_concordance!M589</f>
        <v>2.3574331783123001E-2</v>
      </c>
      <c r="AV27" s="349">
        <f>opex_concordance!M635</f>
        <v>2.2240032393715449E-2</v>
      </c>
      <c r="AW27" s="349">
        <f>opex_concordance!M681</f>
        <v>1.954105536844988E-2</v>
      </c>
      <c r="AX27" s="188">
        <f>opex_orig!$AP27</f>
        <v>1.5942947992159999E-2</v>
      </c>
      <c r="AY27" s="188">
        <f>opex_orig!AQ27</f>
        <v>1.8966862000000001E-2</v>
      </c>
      <c r="AZ27" s="188">
        <f>opex_orig!AR27</f>
        <v>0</v>
      </c>
      <c r="BA27" s="188">
        <f>opex_orig!AS27</f>
        <v>1.1336254E-2</v>
      </c>
      <c r="BB27" s="188">
        <f>opex_orig!AT27</f>
        <v>1.2041744E-2</v>
      </c>
      <c r="BC27" s="188">
        <f>opex_orig!AU27</f>
        <v>9.8695529000000004E-2</v>
      </c>
      <c r="BD27" s="188">
        <f>opex_orig!AV27</f>
        <v>0.10335649399999999</v>
      </c>
      <c r="BE27" s="188">
        <f>opex_orig!AW27</f>
        <v>1.1759923E-2</v>
      </c>
      <c r="BF27" s="188">
        <f>opex_orig!AX27</f>
        <v>0</v>
      </c>
      <c r="BG27" s="188">
        <f>opex_orig!AY27</f>
        <v>1.5130329E-2</v>
      </c>
      <c r="BH27" s="188">
        <f>opex_orig!AZ27</f>
        <v>0</v>
      </c>
      <c r="BI27" s="188">
        <f>opex_orig!BA27</f>
        <v>1.6733690999999998E-2</v>
      </c>
      <c r="BJ27" s="188">
        <f>opex_orig!BB27</f>
        <v>4.9636350000000001E-3</v>
      </c>
      <c r="BK27" s="188">
        <f>opex_orig!BC27</f>
        <v>6.4068379999999998E-3</v>
      </c>
      <c r="BL27" s="188">
        <f>opex_orig!BD27</f>
        <v>8.6194400000000001E-4</v>
      </c>
      <c r="BM27" s="188">
        <f>opex_orig!BE27</f>
        <v>4.2554969999999996E-3</v>
      </c>
      <c r="BN27" s="188">
        <f>opex_orig!BF27</f>
        <v>3.6370800000000002E-4</v>
      </c>
      <c r="BO27" s="188">
        <f>opex_orig!BG27</f>
        <v>1.2163899999999999E-3</v>
      </c>
      <c r="BP27" s="188">
        <f>opex_orig!$BH27</f>
        <v>1.5049664309949801E-3</v>
      </c>
      <c r="BQ27" s="188">
        <f>opex_orig!$BH27</f>
        <v>1.5049664309949801E-3</v>
      </c>
      <c r="BR27" s="188">
        <f>opex_orig!BI27</f>
        <v>4.0513279999999999E-3</v>
      </c>
      <c r="BS27" s="188">
        <f>opex_orig!BJ27</f>
        <v>3.144399E-3</v>
      </c>
      <c r="BT27" s="188">
        <f>opex_orig!BK27</f>
        <v>1.9298154000000001E-2</v>
      </c>
      <c r="BU27" s="188">
        <f>opex_orig!BL27</f>
        <v>0</v>
      </c>
      <c r="BV27" s="27">
        <f>opex_orig!BM27</f>
        <v>4.6568632111485399E-4</v>
      </c>
      <c r="BW27" s="27">
        <f>opex_orig!BN27</f>
        <v>2.1537630356342299E-3</v>
      </c>
      <c r="BX27" s="27">
        <f>opex_orig!BO27</f>
        <v>2.74574544439246E-4</v>
      </c>
      <c r="BY27" s="27">
        <f>opex_orig!BP27</f>
        <v>1.7574731328117901E-3</v>
      </c>
      <c r="BZ27" s="27">
        <f>opex_orig!BQ27</f>
        <v>5.0039683589188995E-4</v>
      </c>
      <c r="CA27" s="27">
        <f>opex_orig!BR27</f>
        <v>6.9029404911065702E-5</v>
      </c>
      <c r="CB27" s="27">
        <f>opex_orig!BS27</f>
        <v>1.0489511690257301E-3</v>
      </c>
      <c r="CC27" s="27">
        <f>opex_orig!BT27</f>
        <v>1.1565365646315501E-4</v>
      </c>
      <c r="CD27" s="27">
        <f>opex_orig!BU27</f>
        <v>2.0960724725442399E-4</v>
      </c>
      <c r="CE27" s="27">
        <f>opex_orig!BV27</f>
        <v>2.0960724725442399E-4</v>
      </c>
      <c r="CF27" s="27">
        <f>opex_orig!BW27</f>
        <v>4.6435979842765002E-4</v>
      </c>
      <c r="CG27" s="27">
        <f>opex_orig!BX27</f>
        <v>7.3477634767652396E-5</v>
      </c>
      <c r="CH27" s="27">
        <f>opex_orig!BY27</f>
        <v>2.9611193060801299E-3</v>
      </c>
      <c r="CI27" s="27">
        <f>opex_orig!Y27</f>
        <v>2.2000399999999999E-4</v>
      </c>
      <c r="CJ27" s="27">
        <f>opex_orig!Z27</f>
        <v>1.6277970000000001E-3</v>
      </c>
      <c r="CK27" s="27">
        <f>opex_orig!AA27</f>
        <v>7.7959600000000002E-4</v>
      </c>
      <c r="CL27" s="27">
        <f>opex_orig!AB27</f>
        <v>2.8196528439808901E-3</v>
      </c>
      <c r="CM27" s="27">
        <f>opex_orig!AC27</f>
        <v>4.1927615297094297E-3</v>
      </c>
      <c r="CN27" s="27">
        <f>opex_orig!AD27</f>
        <v>1.22735178037086E-3</v>
      </c>
      <c r="CO27" s="27">
        <f>opex_orig!AE27</f>
        <v>7.6270600000000004E-4</v>
      </c>
      <c r="CP27" s="27">
        <f>opex_orig!AF27</f>
        <v>2.0389459999999998E-3</v>
      </c>
    </row>
    <row r="28" spans="1:94" x14ac:dyDescent="0.25">
      <c r="A28" s="5" t="s">
        <v>75</v>
      </c>
      <c r="B28" s="2" t="s">
        <v>74</v>
      </c>
      <c r="C28" s="1" t="s">
        <v>326</v>
      </c>
      <c r="D28" s="188">
        <f>opex_orig!D28</f>
        <v>6.9499999999999995E-5</v>
      </c>
      <c r="E28" s="188">
        <f>opex_orig!E28</f>
        <v>1.7900000000000001E-5</v>
      </c>
      <c r="F28" s="188">
        <f>opex_orig!F28</f>
        <v>1.08E-5</v>
      </c>
      <c r="G28" s="188">
        <f>opex_orig!G28</f>
        <v>8.4799999999999997E-7</v>
      </c>
      <c r="H28" s="188">
        <f>opex_orig!H28</f>
        <v>1.57E-6</v>
      </c>
      <c r="I28" s="188">
        <f>opex_orig!I28</f>
        <v>2.3099999999999999E-5</v>
      </c>
      <c r="J28" s="188">
        <f>opex_orig!J28</f>
        <v>2.8099999999999999E-5</v>
      </c>
      <c r="K28" s="188">
        <f>opex_orig!K28</f>
        <v>2.5799999999999999E-6</v>
      </c>
      <c r="L28" s="188">
        <f>opex_orig!L28</f>
        <v>1.9400000000000001E-5</v>
      </c>
      <c r="M28" s="188">
        <f>opex_orig!M28</f>
        <v>3.5099999999999999E-5</v>
      </c>
      <c r="N28" s="188">
        <f>opex_orig!N28</f>
        <v>7.4800000000000002E-5</v>
      </c>
      <c r="O28" s="188">
        <f>opex_orig!O28</f>
        <v>3.2499999999999997E-5</v>
      </c>
      <c r="P28" s="188">
        <f>opex_orig!P28</f>
        <v>7.5599999999999994E-5</v>
      </c>
      <c r="Q28" s="188">
        <f>opex_orig!Q28</f>
        <v>3.4300000000000002E-6</v>
      </c>
      <c r="R28" s="188">
        <f>opex_orig!R28</f>
        <v>2.5500000000000001E-6</v>
      </c>
      <c r="S28" s="188">
        <f>opex_orig!S28</f>
        <v>2.6100000000000001E-5</v>
      </c>
      <c r="T28" s="188">
        <f>opex_orig!T28</f>
        <v>3.9900000000000001E-5</v>
      </c>
      <c r="U28" s="188">
        <f>opex_orig!U28</f>
        <v>2.1399999999999998E-5</v>
      </c>
      <c r="V28" s="188">
        <f>opex_orig!V28</f>
        <v>3.82E-5</v>
      </c>
      <c r="W28" s="188">
        <f>opex_orig!W28</f>
        <v>1.6699999999999999E-5</v>
      </c>
      <c r="X28" s="188">
        <f>opex_orig!X28</f>
        <v>1.8199999999999999E-5</v>
      </c>
      <c r="Y28" s="188">
        <f>opex_orig!Y28</f>
        <v>2.4000000000000001E-5</v>
      </c>
      <c r="Z28" s="188">
        <f>opex_orig!Z28</f>
        <v>5.0399999999999999E-5</v>
      </c>
      <c r="AA28" s="188">
        <f>opex_orig!AA28</f>
        <v>2.5899999999999999E-5</v>
      </c>
      <c r="AB28" s="188">
        <f>opex_orig!$AB28</f>
        <v>2.1596097588619499E-5</v>
      </c>
      <c r="AC28" s="188">
        <f>opex_orig!$AB28</f>
        <v>2.1596097588619499E-5</v>
      </c>
      <c r="AD28" s="188">
        <f>opex_orig!$AB28</f>
        <v>2.1596097588619499E-5</v>
      </c>
      <c r="AE28" s="188">
        <f>opex_orig!$AC28</f>
        <v>2.40027303160956E-4</v>
      </c>
      <c r="AF28" s="188">
        <f>opex_orig!$AD28</f>
        <v>9.6294733803209504E-5</v>
      </c>
      <c r="AG28" s="188">
        <f>opex_orig!$AD28</f>
        <v>9.6294733803209504E-5</v>
      </c>
      <c r="AH28" s="188">
        <f>opex_orig!$AD28</f>
        <v>9.6294733803209504E-5</v>
      </c>
      <c r="AI28" s="188">
        <f>opex_orig!AE28</f>
        <v>8.5699999999999996E-5</v>
      </c>
      <c r="AJ28" s="188">
        <f>opex_orig!AF28</f>
        <v>5.4799999999999997E-5</v>
      </c>
      <c r="AK28" s="188">
        <f>opex_orig!AG28</f>
        <v>4.1399999999999997E-5</v>
      </c>
      <c r="AL28" s="188">
        <f>opex_orig!AH28</f>
        <v>5.0983500000000004E-4</v>
      </c>
      <c r="AM28" s="188">
        <f>opex_orig!AI28</f>
        <v>1.2845000000000001E-4</v>
      </c>
      <c r="AN28" s="188">
        <f>opex_orig!AJ28</f>
        <v>3.9866400000000002E-4</v>
      </c>
      <c r="AO28" s="188">
        <f>opex_orig!AK28</f>
        <v>2.68554E-4</v>
      </c>
      <c r="AP28" s="188">
        <f>opex_orig!$AL28</f>
        <v>1.00870113392055E-4</v>
      </c>
      <c r="AQ28" s="188">
        <f>opex_orig!$AL28</f>
        <v>1.00870113392055E-4</v>
      </c>
      <c r="AR28" s="188">
        <f>opex_orig!$AL28</f>
        <v>1.00870113392055E-4</v>
      </c>
      <c r="AS28" s="188">
        <f>opex_orig!$AM28</f>
        <v>1.21363559672192E-4</v>
      </c>
      <c r="AT28" s="188">
        <f>opex_orig!AN28</f>
        <v>4.2489999999999997E-4</v>
      </c>
      <c r="AU28" s="188">
        <f>opex_orig!$AO28</f>
        <v>3.6136538497839898E-3</v>
      </c>
      <c r="AV28" s="188">
        <f>opex_orig!$AO28</f>
        <v>3.6136538497839898E-3</v>
      </c>
      <c r="AW28" s="188">
        <f>opex_orig!$AO28</f>
        <v>3.6136538497839898E-3</v>
      </c>
      <c r="AX28" s="188">
        <f>opex_orig!$AP28</f>
        <v>3.6730918128268001E-3</v>
      </c>
      <c r="AY28" s="188">
        <f>opex_orig!AQ28</f>
        <v>6.2399999999999999E-5</v>
      </c>
      <c r="AZ28" s="188">
        <f>opex_orig!AR28</f>
        <v>0</v>
      </c>
      <c r="BA28" s="188">
        <f>opex_orig!AS28</f>
        <v>1.6482399999999999E-4</v>
      </c>
      <c r="BB28" s="188">
        <f>opex_orig!AT28</f>
        <v>1.6609700000000001E-4</v>
      </c>
      <c r="BC28" s="188">
        <f>opex_orig!AU28</f>
        <v>4.6211599999999999E-4</v>
      </c>
      <c r="BD28" s="188">
        <f>opex_orig!AV28</f>
        <v>4.7314699999999999E-4</v>
      </c>
      <c r="BE28" s="188">
        <f>opex_orig!AW28</f>
        <v>3.4420300000000001E-4</v>
      </c>
      <c r="BF28" s="188">
        <f>opex_orig!AX28</f>
        <v>0</v>
      </c>
      <c r="BG28" s="188">
        <f>opex_orig!AY28</f>
        <v>3.3301076999999998E-2</v>
      </c>
      <c r="BH28" s="188">
        <f>opex_orig!AZ28</f>
        <v>0</v>
      </c>
      <c r="BI28" s="188">
        <f>opex_orig!BA28</f>
        <v>2.3485100000000001E-4</v>
      </c>
      <c r="BJ28" s="188">
        <f>opex_orig!BB28</f>
        <v>1.20158E-4</v>
      </c>
      <c r="BK28" s="188">
        <f>opex_orig!BC28</f>
        <v>9.7499999999999998E-5</v>
      </c>
      <c r="BL28" s="188">
        <f>opex_orig!BD28</f>
        <v>5.52E-5</v>
      </c>
      <c r="BM28" s="188">
        <f>opex_orig!BE28</f>
        <v>7.7299999999999995E-5</v>
      </c>
      <c r="BN28" s="188">
        <f>opex_orig!BF28</f>
        <v>1.91492E-4</v>
      </c>
      <c r="BO28" s="188">
        <f>opex_orig!BG28</f>
        <v>6.1199999999999997E-5</v>
      </c>
      <c r="BP28" s="188">
        <f>opex_orig!$BH28</f>
        <v>5.3326345474494502E-5</v>
      </c>
      <c r="BQ28" s="188">
        <f>opex_orig!$BH28</f>
        <v>5.3326345474494502E-5</v>
      </c>
      <c r="BR28" s="188">
        <f>opex_orig!BI28</f>
        <v>7.8399999999999995E-5</v>
      </c>
      <c r="BS28" s="188">
        <f>opex_orig!BJ28</f>
        <v>5.1999999999999997E-5</v>
      </c>
      <c r="BT28" s="188">
        <f>opex_orig!BK28</f>
        <v>3.31505E-4</v>
      </c>
      <c r="BU28" s="188">
        <f>opex_orig!BL28</f>
        <v>0</v>
      </c>
      <c r="BV28" s="27">
        <f>opex_orig!BM28</f>
        <v>1.6627866795222701E-5</v>
      </c>
      <c r="BW28" s="27">
        <f>opex_orig!BN28</f>
        <v>7.3922308623119304E-5</v>
      </c>
      <c r="BX28" s="27">
        <f>opex_orig!BO28</f>
        <v>1.15640286646895E-5</v>
      </c>
      <c r="BY28" s="27">
        <f>opex_orig!BP28</f>
        <v>6.33717624668385E-5</v>
      </c>
      <c r="BZ28" s="27">
        <f>opex_orig!BQ28</f>
        <v>9.7621357122860397E-5</v>
      </c>
      <c r="CA28" s="27">
        <f>opex_orig!BR28</f>
        <v>4.2383442771946398E-6</v>
      </c>
      <c r="CB28" s="27">
        <f>opex_orig!BS28</f>
        <v>2.3733213484927501E-5</v>
      </c>
      <c r="CC28" s="27">
        <f>opex_orig!BT28</f>
        <v>5.0565466224840003E-6</v>
      </c>
      <c r="CD28" s="27">
        <f>opex_orig!BU28</f>
        <v>4.2800455632920297E-6</v>
      </c>
      <c r="CE28" s="27">
        <f>opex_orig!BV28</f>
        <v>4.2800455632920501E-6</v>
      </c>
      <c r="CF28" s="27">
        <f>opex_orig!BW28</f>
        <v>3.6387479216900898E-5</v>
      </c>
      <c r="CG28" s="27">
        <f>opex_orig!BX28</f>
        <v>7.1548645717624798E-6</v>
      </c>
      <c r="CH28" s="27">
        <f>opex_orig!BY28</f>
        <v>4.5093446745452898E-7</v>
      </c>
      <c r="CI28" s="27">
        <f>opex_orig!Y28</f>
        <v>2.4000000000000001E-5</v>
      </c>
      <c r="CJ28" s="27">
        <f>opex_orig!Z28</f>
        <v>5.0399999999999999E-5</v>
      </c>
      <c r="CK28" s="27">
        <f>opex_orig!AA28</f>
        <v>2.5899999999999999E-5</v>
      </c>
      <c r="CL28" s="27">
        <f>opex_orig!AB28</f>
        <v>2.1596097588619499E-5</v>
      </c>
      <c r="CM28" s="27">
        <f>opex_orig!AC28</f>
        <v>2.40027303160956E-4</v>
      </c>
      <c r="CN28" s="27">
        <f>opex_orig!AD28</f>
        <v>9.6294733803209504E-5</v>
      </c>
      <c r="CO28" s="27">
        <f>opex_orig!AE28</f>
        <v>8.5699999999999996E-5</v>
      </c>
      <c r="CP28" s="27">
        <f>opex_orig!AF28</f>
        <v>5.4799999999999997E-5</v>
      </c>
    </row>
    <row r="29" spans="1:94" x14ac:dyDescent="0.25">
      <c r="A29" s="5" t="s">
        <v>77</v>
      </c>
      <c r="B29" s="2" t="s">
        <v>76</v>
      </c>
      <c r="C29" s="1" t="s">
        <v>326</v>
      </c>
      <c r="D29" s="188">
        <f>opex_orig!D29</f>
        <v>1.2300000000000001E-6</v>
      </c>
      <c r="E29" s="188">
        <f>opex_orig!E29</f>
        <v>2.4600000000000001E-7</v>
      </c>
      <c r="F29" s="188">
        <f>opex_orig!F29</f>
        <v>3.3599999999999999E-7</v>
      </c>
      <c r="G29" s="188">
        <f>opex_orig!G29</f>
        <v>3.47E-8</v>
      </c>
      <c r="H29" s="188">
        <f>opex_orig!H29</f>
        <v>5.6400000000000002E-8</v>
      </c>
      <c r="I29" s="188">
        <f>opex_orig!I29</f>
        <v>4.7300000000000001E-7</v>
      </c>
      <c r="J29" s="188">
        <f>opex_orig!J29</f>
        <v>7.3300000000000001E-7</v>
      </c>
      <c r="K29" s="188">
        <f>opex_orig!K29</f>
        <v>9.9E-8</v>
      </c>
      <c r="L29" s="188">
        <f>opex_orig!L29</f>
        <v>5.9400000000000005E-7</v>
      </c>
      <c r="M29" s="188">
        <f>opex_orig!M29</f>
        <v>8.8299999999999995E-7</v>
      </c>
      <c r="N29" s="188">
        <f>opex_orig!N29</f>
        <v>5.06E-7</v>
      </c>
      <c r="O29" s="188">
        <f>opex_orig!O29</f>
        <v>8.2500000000000004E-7</v>
      </c>
      <c r="P29" s="188">
        <f>opex_orig!P29</f>
        <v>1.0699999999999999E-6</v>
      </c>
      <c r="Q29" s="188">
        <f>opex_orig!Q29</f>
        <v>1.29E-7</v>
      </c>
      <c r="R29" s="188">
        <f>opex_orig!R29</f>
        <v>2.3699999999999999E-7</v>
      </c>
      <c r="S29" s="188">
        <f>opex_orig!S29</f>
        <v>6.61E-7</v>
      </c>
      <c r="T29" s="188">
        <f>opex_orig!T29</f>
        <v>7.0399999999999995E-7</v>
      </c>
      <c r="U29" s="188">
        <f>opex_orig!U29</f>
        <v>3.7099999999999997E-7</v>
      </c>
      <c r="V29" s="188">
        <f>opex_orig!V29</f>
        <v>3.7099999999999997E-7</v>
      </c>
      <c r="W29" s="188">
        <f>opex_orig!W29</f>
        <v>6.7100000000000001E-7</v>
      </c>
      <c r="X29" s="188">
        <f>opex_orig!X29</f>
        <v>5.5899999999999996E-7</v>
      </c>
      <c r="Y29" s="188">
        <f>opex_orig!Y29</f>
        <v>4.6199999999999998E-7</v>
      </c>
      <c r="Z29" s="188">
        <f>opex_orig!Z29</f>
        <v>3.8600000000000003E-6</v>
      </c>
      <c r="AA29" s="188">
        <f>opex_orig!AA29</f>
        <v>1.7400000000000001E-6</v>
      </c>
      <c r="AB29" s="188">
        <f>opex_orig!$AB29</f>
        <v>2.5426933172991801E-6</v>
      </c>
      <c r="AC29" s="188">
        <f>opex_orig!$AB29</f>
        <v>2.5426933172991801E-6</v>
      </c>
      <c r="AD29" s="188">
        <f>opex_orig!$AB29</f>
        <v>2.5426933172991801E-6</v>
      </c>
      <c r="AE29" s="188">
        <f>opex_orig!$AC29</f>
        <v>4.8239182424342797E-7</v>
      </c>
      <c r="AF29" s="188">
        <f>opex_orig!$AD29</f>
        <v>8.9225946156324803E-7</v>
      </c>
      <c r="AG29" s="188">
        <f>opex_orig!$AD29</f>
        <v>8.9225946156324803E-7</v>
      </c>
      <c r="AH29" s="188">
        <f>opex_orig!$AD29</f>
        <v>8.9225946156324803E-7</v>
      </c>
      <c r="AI29" s="188">
        <f>opex_orig!AE29</f>
        <v>7.1299999999999999E-7</v>
      </c>
      <c r="AJ29" s="188">
        <f>opex_orig!AF29</f>
        <v>3.2700000000000002E-5</v>
      </c>
      <c r="AK29" s="188">
        <f>opex_orig!AG29</f>
        <v>2.26E-6</v>
      </c>
      <c r="AL29" s="188">
        <f>opex_orig!AH29</f>
        <v>4.4299999999999999E-5</v>
      </c>
      <c r="AM29" s="188">
        <f>opex_orig!AI29</f>
        <v>7.5500000000000006E-5</v>
      </c>
      <c r="AN29" s="188">
        <f>opex_orig!AJ29</f>
        <v>7.96E-6</v>
      </c>
      <c r="AO29" s="188">
        <f>opex_orig!AK29</f>
        <v>9.0599999999999997E-6</v>
      </c>
      <c r="AP29" s="188">
        <f>opex_orig!$AL29</f>
        <v>5.9954304026264903E-6</v>
      </c>
      <c r="AQ29" s="188">
        <f>opex_orig!$AL29</f>
        <v>5.9954304026264903E-6</v>
      </c>
      <c r="AR29" s="188">
        <f>opex_orig!$AL29</f>
        <v>5.9954304026264903E-6</v>
      </c>
      <c r="AS29" s="188">
        <f>opex_orig!$AM29</f>
        <v>5.6325159227175604E-6</v>
      </c>
      <c r="AT29" s="188">
        <f>opex_orig!AN29</f>
        <v>1.8099999999999999E-5</v>
      </c>
      <c r="AU29" s="188">
        <f>opex_orig!$AO29</f>
        <v>3.8825347295320898E-6</v>
      </c>
      <c r="AV29" s="188">
        <f>opex_orig!$AO29</f>
        <v>3.8825347295320898E-6</v>
      </c>
      <c r="AW29" s="188">
        <f>opex_orig!$AO29</f>
        <v>3.8825347295320898E-6</v>
      </c>
      <c r="AX29" s="188">
        <f>opex_orig!$AP29</f>
        <v>1.7231548397229101E-6</v>
      </c>
      <c r="AY29" s="188">
        <f>opex_orig!AQ29</f>
        <v>2.5100000000000001E-6</v>
      </c>
      <c r="AZ29" s="188">
        <f>opex_orig!AR29</f>
        <v>0</v>
      </c>
      <c r="BA29" s="188">
        <f>opex_orig!AS29</f>
        <v>3.8212350000000001E-3</v>
      </c>
      <c r="BB29" s="188">
        <f>opex_orig!AT29</f>
        <v>1.4100000000000001E-6</v>
      </c>
      <c r="BC29" s="188">
        <f>opex_orig!AU29</f>
        <v>2.5100000000000001E-7</v>
      </c>
      <c r="BD29" s="188">
        <f>opex_orig!AV29</f>
        <v>1.73E-7</v>
      </c>
      <c r="BE29" s="188">
        <f>opex_orig!AW29</f>
        <v>1.24E-6</v>
      </c>
      <c r="BF29" s="188">
        <f>opex_orig!AX29</f>
        <v>0</v>
      </c>
      <c r="BG29" s="188">
        <f>opex_orig!AY29</f>
        <v>9.7699999999999992E-7</v>
      </c>
      <c r="BH29" s="188">
        <f>opex_orig!AZ29</f>
        <v>0</v>
      </c>
      <c r="BI29" s="188">
        <f>opex_orig!BA29</f>
        <v>9.9900000000000002E-5</v>
      </c>
      <c r="BJ29" s="188">
        <f>opex_orig!BB29</f>
        <v>6.1099999999999999E-6</v>
      </c>
      <c r="BK29" s="188">
        <f>opex_orig!BC29</f>
        <v>3.0800000000000002E-6</v>
      </c>
      <c r="BL29" s="188">
        <f>opex_orig!BD29</f>
        <v>7.3300000000000001E-6</v>
      </c>
      <c r="BM29" s="188">
        <f>opex_orig!BE29</f>
        <v>5.1599999999999997E-6</v>
      </c>
      <c r="BN29" s="188">
        <f>opex_orig!BF29</f>
        <v>2.4899999999999999E-6</v>
      </c>
      <c r="BO29" s="188">
        <f>opex_orig!BG29</f>
        <v>1.04E-5</v>
      </c>
      <c r="BP29" s="188">
        <f>opex_orig!$BH29</f>
        <v>4.3186031390151298E-6</v>
      </c>
      <c r="BQ29" s="188">
        <f>opex_orig!$BH29</f>
        <v>4.3186031390151298E-6</v>
      </c>
      <c r="BR29" s="188">
        <f>opex_orig!BI29</f>
        <v>3.1099999999999999E-6</v>
      </c>
      <c r="BS29" s="188">
        <f>opex_orig!BJ29</f>
        <v>1.86E-6</v>
      </c>
      <c r="BT29" s="188">
        <f>opex_orig!BK29</f>
        <v>1.05096E-4</v>
      </c>
      <c r="BU29" s="188">
        <f>opex_orig!BL29</f>
        <v>0</v>
      </c>
      <c r="BV29" s="27">
        <f>opex_orig!BM29</f>
        <v>1.05211222108481E-6</v>
      </c>
      <c r="BW29" s="27">
        <f>opex_orig!BN29</f>
        <v>1.85355595265987E-6</v>
      </c>
      <c r="BX29" s="27">
        <f>opex_orig!BO29</f>
        <v>3.71586232102512E-7</v>
      </c>
      <c r="BY29" s="27">
        <f>opex_orig!BP29</f>
        <v>3.0436622981304702E-7</v>
      </c>
      <c r="BZ29" s="27">
        <f>opex_orig!BQ29</f>
        <v>3.66910732948531E-7</v>
      </c>
      <c r="CA29" s="27">
        <f>opex_orig!BR29</f>
        <v>3.0021044782812902E-7</v>
      </c>
      <c r="CB29" s="27">
        <f>opex_orig!BS29</f>
        <v>1.5231435831521799E-6</v>
      </c>
      <c r="CC29" s="27">
        <f>opex_orig!BT29</f>
        <v>6.0566992662685895E-7</v>
      </c>
      <c r="CD29" s="27">
        <f>opex_orig!BU29</f>
        <v>2.8754383216396199E-7</v>
      </c>
      <c r="CE29" s="27">
        <f>opex_orig!BV29</f>
        <v>2.8754383216396199E-7</v>
      </c>
      <c r="CF29" s="27">
        <f>opex_orig!BW29</f>
        <v>1.6665367535863099E-6</v>
      </c>
      <c r="CG29" s="27">
        <f>opex_orig!BX29</f>
        <v>1.8945697207439599E-7</v>
      </c>
      <c r="CH29" s="27">
        <f>opex_orig!BY29</f>
        <v>9.4602635973339406E-8</v>
      </c>
      <c r="CI29" s="27">
        <f>opex_orig!Y29</f>
        <v>4.6199999999999998E-7</v>
      </c>
      <c r="CJ29" s="27">
        <f>opex_orig!Z29</f>
        <v>3.8600000000000003E-6</v>
      </c>
      <c r="CK29" s="27">
        <f>opex_orig!AA29</f>
        <v>1.7400000000000001E-6</v>
      </c>
      <c r="CL29" s="27">
        <f>opex_orig!AB29</f>
        <v>2.5426933172991801E-6</v>
      </c>
      <c r="CM29" s="27">
        <f>opex_orig!AC29</f>
        <v>4.8239182424342797E-7</v>
      </c>
      <c r="CN29" s="27">
        <f>opex_orig!AD29</f>
        <v>8.9225946156324803E-7</v>
      </c>
      <c r="CO29" s="27">
        <f>opex_orig!AE29</f>
        <v>7.1299999999999999E-7</v>
      </c>
      <c r="CP29" s="27">
        <f>opex_orig!AF29</f>
        <v>3.2700000000000002E-5</v>
      </c>
    </row>
    <row r="30" spans="1:94" x14ac:dyDescent="0.25">
      <c r="A30" s="5" t="s">
        <v>79</v>
      </c>
      <c r="B30" s="2" t="s">
        <v>78</v>
      </c>
      <c r="C30" s="1" t="s">
        <v>326</v>
      </c>
      <c r="D30" s="188">
        <f>opex_orig!D30</f>
        <v>3.2121199999999997E-4</v>
      </c>
      <c r="E30" s="188">
        <f>opex_orig!E30</f>
        <v>7.3399999999999995E-5</v>
      </c>
      <c r="F30" s="188">
        <f>opex_orig!F30</f>
        <v>1.0084100000000001E-4</v>
      </c>
      <c r="G30" s="188">
        <f>opex_orig!G30</f>
        <v>1.4800000000000001E-5</v>
      </c>
      <c r="H30" s="188">
        <f>opex_orig!H30</f>
        <v>2.09E-5</v>
      </c>
      <c r="I30" s="188">
        <f>opex_orig!I30</f>
        <v>1.1457E-4</v>
      </c>
      <c r="J30" s="188">
        <f>opex_orig!J30</f>
        <v>1.7083500000000001E-4</v>
      </c>
      <c r="K30" s="188">
        <f>opex_orig!K30</f>
        <v>3.5899999999999998E-5</v>
      </c>
      <c r="L30" s="188">
        <f>opex_orig!L30</f>
        <v>1.6541700000000001E-4</v>
      </c>
      <c r="M30" s="188">
        <f>opex_orig!M30</f>
        <v>1.7083800000000001E-4</v>
      </c>
      <c r="N30" s="188">
        <f>opex_orig!N30</f>
        <v>2.1023E-4</v>
      </c>
      <c r="O30" s="188">
        <f>opex_orig!O30</f>
        <v>2.5870800000000002E-4</v>
      </c>
      <c r="P30" s="188">
        <f>opex_orig!P30</f>
        <v>2.43217E-4</v>
      </c>
      <c r="Q30" s="188">
        <f>opex_orig!Q30</f>
        <v>4.57E-5</v>
      </c>
      <c r="R30" s="188">
        <f>opex_orig!R30</f>
        <v>1.2804900000000001E-4</v>
      </c>
      <c r="S30" s="188">
        <f>opex_orig!S30</f>
        <v>2.4996699999999997E-4</v>
      </c>
      <c r="T30" s="188">
        <f>opex_orig!T30</f>
        <v>2.8664899999999999E-4</v>
      </c>
      <c r="U30" s="188">
        <f>opex_orig!U30</f>
        <v>2.6164100000000001E-4</v>
      </c>
      <c r="V30" s="188">
        <f>opex_orig!V30</f>
        <v>2.9317900000000002E-4</v>
      </c>
      <c r="W30" s="188">
        <f>opex_orig!W30</f>
        <v>3.5760099999999998E-4</v>
      </c>
      <c r="X30" s="188">
        <f>opex_orig!X30</f>
        <v>1.2593700000000001E-4</v>
      </c>
      <c r="Y30" s="188">
        <f>opex_orig!Y30</f>
        <v>1.87655E-4</v>
      </c>
      <c r="Z30" s="188">
        <f>opex_orig!Z30</f>
        <v>1.9804100000000001E-4</v>
      </c>
      <c r="AA30" s="188">
        <f>opex_orig!AA30</f>
        <v>2.28703E-4</v>
      </c>
      <c r="AB30" s="188">
        <f>opex_orig!$AB30</f>
        <v>5.2427569028656504E-4</v>
      </c>
      <c r="AC30" s="188">
        <f>opex_orig!$AB30</f>
        <v>5.2427569028656504E-4</v>
      </c>
      <c r="AD30" s="188">
        <f>opex_orig!$AB30</f>
        <v>5.2427569028656504E-4</v>
      </c>
      <c r="AE30" s="188">
        <f>opex_orig!$AC30</f>
        <v>2.8630270859252E-4</v>
      </c>
      <c r="AF30" s="188">
        <f>opex_orig!$AD30</f>
        <v>1.07888591946831E-4</v>
      </c>
      <c r="AG30" s="188">
        <f>opex_orig!$AD30</f>
        <v>1.07888591946831E-4</v>
      </c>
      <c r="AH30" s="188">
        <f>opex_orig!$AD30</f>
        <v>1.07888591946831E-4</v>
      </c>
      <c r="AI30" s="188">
        <f>opex_orig!AE30</f>
        <v>9.0400000000000002E-5</v>
      </c>
      <c r="AJ30" s="188">
        <f>opex_orig!AF30</f>
        <v>3.8960119999999999E-3</v>
      </c>
      <c r="AK30" s="188">
        <f>opex_orig!AG30</f>
        <v>1.8416680000000001E-3</v>
      </c>
      <c r="AL30" s="188">
        <f>opex_orig!AH30</f>
        <v>9.9677800000000003E-4</v>
      </c>
      <c r="AM30" s="188">
        <f>opex_orig!AI30</f>
        <v>6.0687899999999995E-4</v>
      </c>
      <c r="AN30" s="188">
        <f>opex_orig!AJ30</f>
        <v>9.7659799999999996E-4</v>
      </c>
      <c r="AO30" s="188">
        <f>opex_orig!AK30</f>
        <v>1.379412E-3</v>
      </c>
      <c r="AP30" s="188">
        <f>opex_orig!$AL30</f>
        <v>6.6108658524873204E-4</v>
      </c>
      <c r="AQ30" s="188">
        <f>opex_orig!$AL30</f>
        <v>6.6108658524873204E-4</v>
      </c>
      <c r="AR30" s="188">
        <f>opex_orig!$AL30</f>
        <v>6.6108658524873204E-4</v>
      </c>
      <c r="AS30" s="188">
        <f>opex_orig!$AM30</f>
        <v>6.24846178165957E-4</v>
      </c>
      <c r="AT30" s="188">
        <f>opex_orig!AN30</f>
        <v>1.0342560000000001E-3</v>
      </c>
      <c r="AU30" s="349">
        <f>opex_concordance!M590</f>
        <v>6.7444747463274298E-3</v>
      </c>
      <c r="AV30" s="349">
        <f>opex_concordance!M636</f>
        <v>6.3627397042193912E-3</v>
      </c>
      <c r="AW30" s="349">
        <f>opex_concordance!M682</f>
        <v>5.5905785861319083E-3</v>
      </c>
      <c r="AX30" s="188">
        <f>opex_orig!$AP30</f>
        <v>7.0342769915321002E-3</v>
      </c>
      <c r="AY30" s="188">
        <f>opex_orig!AQ30</f>
        <v>7.2524670000000003E-3</v>
      </c>
      <c r="AZ30" s="188">
        <f>opex_orig!AR30</f>
        <v>0</v>
      </c>
      <c r="BA30" s="188">
        <f>opex_orig!AS30</f>
        <v>4.4905819999999999E-3</v>
      </c>
      <c r="BB30" s="188">
        <f>opex_orig!AT30</f>
        <v>5.0038119999999998E-3</v>
      </c>
      <c r="BC30" s="188">
        <f>opex_orig!AU30</f>
        <v>4.1318519999999997E-2</v>
      </c>
      <c r="BD30" s="188">
        <f>opex_orig!AV30</f>
        <v>4.3362451000000003E-2</v>
      </c>
      <c r="BE30" s="188">
        <f>opex_orig!AW30</f>
        <v>3.7979379999999998E-3</v>
      </c>
      <c r="BF30" s="188">
        <f>opex_orig!AX30</f>
        <v>0</v>
      </c>
      <c r="BG30" s="188">
        <f>opex_orig!AY30</f>
        <v>5.03401E-4</v>
      </c>
      <c r="BH30" s="188">
        <f>opex_orig!AZ30</f>
        <v>0</v>
      </c>
      <c r="BI30" s="188">
        <f>opex_orig!BA30</f>
        <v>7.0853110000000004E-3</v>
      </c>
      <c r="BJ30" s="188">
        <f>opex_orig!BB30</f>
        <v>2.335003E-3</v>
      </c>
      <c r="BK30" s="188">
        <f>opex_orig!BC30</f>
        <v>2.8617069999999998E-3</v>
      </c>
      <c r="BL30" s="188">
        <f>opex_orig!BD30</f>
        <v>1.2280200000000001E-4</v>
      </c>
      <c r="BM30" s="188">
        <f>opex_orig!BE30</f>
        <v>1.94915E-3</v>
      </c>
      <c r="BN30" s="188">
        <f>opex_orig!BF30</f>
        <v>1.4790100000000001E-4</v>
      </c>
      <c r="BO30" s="188">
        <f>opex_orig!BG30</f>
        <v>8.9150000000000004E-4</v>
      </c>
      <c r="BP30" s="188">
        <f>opex_orig!$BH30</f>
        <v>9.3037823267944704E-4</v>
      </c>
      <c r="BQ30" s="188">
        <f>opex_orig!$BH30</f>
        <v>9.3037823267944704E-4</v>
      </c>
      <c r="BR30" s="188">
        <f>opex_orig!BI30</f>
        <v>2.3507710000000002E-3</v>
      </c>
      <c r="BS30" s="188">
        <f>opex_orig!BJ30</f>
        <v>1.8272430000000001E-3</v>
      </c>
      <c r="BT30" s="188">
        <f>opex_orig!BK30</f>
        <v>8.2750250000000001E-3</v>
      </c>
      <c r="BU30" s="188">
        <f>opex_orig!BL30</f>
        <v>0</v>
      </c>
      <c r="BV30" s="27">
        <f>opex_orig!BM30</f>
        <v>1.7184175310904E-4</v>
      </c>
      <c r="BW30" s="27">
        <f>opex_orig!BN30</f>
        <v>3.6808335208619099E-4</v>
      </c>
      <c r="BX30" s="27">
        <f>opex_orig!BO30</f>
        <v>6.5132852541496504E-5</v>
      </c>
      <c r="BY30" s="27">
        <f>opex_orig!BP30</f>
        <v>1.21791183863813E-4</v>
      </c>
      <c r="BZ30" s="27">
        <f>opex_orig!BQ30</f>
        <v>1.4755088167342899E-4</v>
      </c>
      <c r="CA30" s="27">
        <f>opex_orig!BR30</f>
        <v>2.2667259183317202E-5</v>
      </c>
      <c r="CB30" s="27">
        <f>opex_orig!BS30</f>
        <v>3.0668701482005001E-4</v>
      </c>
      <c r="CC30" s="27">
        <f>opex_orig!BT30</f>
        <v>3.1671119109134403E-5</v>
      </c>
      <c r="CD30" s="27">
        <f>opex_orig!BU30</f>
        <v>8.4442282292561304E-5</v>
      </c>
      <c r="CE30" s="27">
        <f>opex_orig!BV30</f>
        <v>8.4442282292561399E-5</v>
      </c>
      <c r="CF30" s="27">
        <f>opex_orig!BW30</f>
        <v>2.21952462770045E-4</v>
      </c>
      <c r="CG30" s="27">
        <f>opex_orig!BX30</f>
        <v>1.09077130003885E-5</v>
      </c>
      <c r="CH30" s="27">
        <f>opex_orig!BY30</f>
        <v>3.12106352737079E-4</v>
      </c>
      <c r="CI30" s="27">
        <f>opex_orig!Y30</f>
        <v>1.87655E-4</v>
      </c>
      <c r="CJ30" s="27">
        <f>opex_orig!Z30</f>
        <v>1.9804100000000001E-4</v>
      </c>
      <c r="CK30" s="27">
        <f>opex_orig!AA30</f>
        <v>2.28703E-4</v>
      </c>
      <c r="CL30" s="27">
        <f>opex_orig!AB30</f>
        <v>5.2427569028656504E-4</v>
      </c>
      <c r="CM30" s="27">
        <f>opex_orig!AC30</f>
        <v>2.8630270859252E-4</v>
      </c>
      <c r="CN30" s="27">
        <f>opex_orig!AD30</f>
        <v>1.07888591946831E-4</v>
      </c>
      <c r="CO30" s="27">
        <f>opex_orig!AE30</f>
        <v>9.0400000000000002E-5</v>
      </c>
      <c r="CP30" s="27">
        <f>opex_orig!AF30</f>
        <v>3.8960119999999999E-3</v>
      </c>
    </row>
    <row r="31" spans="1:94" x14ac:dyDescent="0.25">
      <c r="A31" s="5" t="s">
        <v>81</v>
      </c>
      <c r="B31" s="2" t="s">
        <v>80</v>
      </c>
      <c r="C31" s="1" t="s">
        <v>326</v>
      </c>
      <c r="D31" s="188">
        <f>opex_orig!D31</f>
        <v>1.7499999999999998E-5</v>
      </c>
      <c r="E31" s="188">
        <f>opex_orig!E31</f>
        <v>1.1199999999999999E-5</v>
      </c>
      <c r="F31" s="188">
        <f>opex_orig!F31</f>
        <v>8.9800000000000004E-6</v>
      </c>
      <c r="G31" s="188">
        <f>opex_orig!G31</f>
        <v>2.26E-6</v>
      </c>
      <c r="H31" s="188">
        <f>opex_orig!H31</f>
        <v>2.9399999999999998E-6</v>
      </c>
      <c r="I31" s="188">
        <f>opex_orig!I31</f>
        <v>8.0099999999999995E-6</v>
      </c>
      <c r="J31" s="188">
        <f>opex_orig!J31</f>
        <v>1.6900000000000001E-5</v>
      </c>
      <c r="K31" s="188">
        <f>opex_orig!K31</f>
        <v>5.0799999999999996E-6</v>
      </c>
      <c r="L31" s="188">
        <f>opex_orig!L31</f>
        <v>1.43E-5</v>
      </c>
      <c r="M31" s="188">
        <f>opex_orig!M31</f>
        <v>1.43E-5</v>
      </c>
      <c r="N31" s="188">
        <f>opex_orig!N31</f>
        <v>6.2100000000000005E-5</v>
      </c>
      <c r="O31" s="188">
        <f>opex_orig!O31</f>
        <v>4.8099999999999997E-5</v>
      </c>
      <c r="P31" s="188">
        <f>opex_orig!P31</f>
        <v>2.02E-5</v>
      </c>
      <c r="Q31" s="188">
        <f>opex_orig!Q31</f>
        <v>3.4300000000000002E-6</v>
      </c>
      <c r="R31" s="188">
        <f>opex_orig!R31</f>
        <v>8.7199999999999995E-6</v>
      </c>
      <c r="S31" s="188">
        <f>opex_orig!S31</f>
        <v>9.0100000000000001E-6</v>
      </c>
      <c r="T31" s="188">
        <f>opex_orig!T31</f>
        <v>1.08E-5</v>
      </c>
      <c r="U31" s="188">
        <f>opex_orig!U31</f>
        <v>1.5500000000000001E-5</v>
      </c>
      <c r="V31" s="188">
        <f>opex_orig!V31</f>
        <v>3.0499999999999999E-5</v>
      </c>
      <c r="W31" s="188">
        <f>opex_orig!W31</f>
        <v>6.3100000000000002E-5</v>
      </c>
      <c r="X31" s="188">
        <f>opex_orig!X31</f>
        <v>9.8400000000000007E-6</v>
      </c>
      <c r="Y31" s="188">
        <f>opex_orig!Y31</f>
        <v>7.96E-6</v>
      </c>
      <c r="Z31" s="188">
        <f>opex_orig!Z31</f>
        <v>4.0099999999999999E-5</v>
      </c>
      <c r="AA31" s="188">
        <f>opex_orig!AA31</f>
        <v>1.9700000000000001E-5</v>
      </c>
      <c r="AB31" s="188">
        <f>opex_orig!$AB31</f>
        <v>1.3561961498246899E-4</v>
      </c>
      <c r="AC31" s="188">
        <f>opex_orig!$AB31</f>
        <v>1.3561961498246899E-4</v>
      </c>
      <c r="AD31" s="188">
        <f>opex_orig!$AB31</f>
        <v>1.3561961498246899E-4</v>
      </c>
      <c r="AE31" s="188">
        <f>opex_orig!$AC31</f>
        <v>1.9290262230909499E-4</v>
      </c>
      <c r="AF31" s="188">
        <f>opex_orig!$AD31</f>
        <v>4.1313424733213399E-5</v>
      </c>
      <c r="AG31" s="188">
        <f>opex_orig!$AD31</f>
        <v>4.1313424733213399E-5</v>
      </c>
      <c r="AH31" s="188">
        <f>opex_orig!$AD31</f>
        <v>4.1313424733213399E-5</v>
      </c>
      <c r="AI31" s="188">
        <f>opex_orig!AE31</f>
        <v>2.4199999999999999E-5</v>
      </c>
      <c r="AJ31" s="188">
        <f>opex_orig!AF31</f>
        <v>8.3200000000000003E-5</v>
      </c>
      <c r="AK31" s="188">
        <f>opex_orig!AG31</f>
        <v>4.1199999999999999E-5</v>
      </c>
      <c r="AL31" s="188">
        <f>opex_orig!AH31</f>
        <v>1.5694E-4</v>
      </c>
      <c r="AM31" s="188">
        <f>opex_orig!AI31</f>
        <v>3.3699999999999999E-5</v>
      </c>
      <c r="AN31" s="188">
        <f>opex_orig!AJ31</f>
        <v>9.7E-5</v>
      </c>
      <c r="AO31" s="188">
        <f>opex_orig!AK31</f>
        <v>7.1199999999999996E-5</v>
      </c>
      <c r="AP31" s="188">
        <f>opex_orig!$AL31</f>
        <v>4.7181987372213898E-5</v>
      </c>
      <c r="AQ31" s="188">
        <f>opex_orig!$AL31</f>
        <v>4.7181987372213898E-5</v>
      </c>
      <c r="AR31" s="188">
        <f>opex_orig!$AL31</f>
        <v>4.7181987372213898E-5</v>
      </c>
      <c r="AS31" s="188">
        <f>opex_orig!$AM31</f>
        <v>4.3953328550958999E-5</v>
      </c>
      <c r="AT31" s="188">
        <f>opex_orig!AN31</f>
        <v>1.4008900000000001E-4</v>
      </c>
      <c r="AU31" s="188">
        <f>opex_orig!$AO31</f>
        <v>6.4072934243100395E-4</v>
      </c>
      <c r="AV31" s="188">
        <f>opex_orig!$AO31</f>
        <v>6.4072934243100395E-4</v>
      </c>
      <c r="AW31" s="188">
        <f>opex_orig!$AO31</f>
        <v>6.4072934243100395E-4</v>
      </c>
      <c r="AX31" s="188">
        <f>opex_orig!$AP31</f>
        <v>5.7671480153063102E-4</v>
      </c>
      <c r="AY31" s="188">
        <f>opex_orig!AQ31</f>
        <v>6.6713999999999999E-4</v>
      </c>
      <c r="AZ31" s="188">
        <f>opex_orig!AR31</f>
        <v>0</v>
      </c>
      <c r="BA31" s="188">
        <f>opex_orig!AS31</f>
        <v>3.5218199999999998E-4</v>
      </c>
      <c r="BB31" s="188">
        <f>opex_orig!AT31</f>
        <v>3.7137200000000002E-4</v>
      </c>
      <c r="BC31" s="188">
        <f>opex_orig!AU31</f>
        <v>3.493454E-3</v>
      </c>
      <c r="BD31" s="188">
        <f>opex_orig!AV31</f>
        <v>3.6541439999999998E-3</v>
      </c>
      <c r="BE31" s="188">
        <f>opex_orig!AW31</f>
        <v>6.6470600000000004E-4</v>
      </c>
      <c r="BF31" s="188">
        <f>opex_orig!AX31</f>
        <v>0</v>
      </c>
      <c r="BG31" s="188">
        <f>opex_orig!AY31</f>
        <v>1.493601E-3</v>
      </c>
      <c r="BH31" s="188">
        <f>opex_orig!AZ31</f>
        <v>0</v>
      </c>
      <c r="BI31" s="188">
        <f>opex_orig!BA31</f>
        <v>9.7911900000000008E-4</v>
      </c>
      <c r="BJ31" s="188">
        <f>opex_orig!BB31</f>
        <v>1.8385100000000001E-4</v>
      </c>
      <c r="BK31" s="188">
        <f>opex_orig!BC31</f>
        <v>2.2150499999999999E-4</v>
      </c>
      <c r="BL31" s="188">
        <f>opex_orig!BD31</f>
        <v>2.8E-5</v>
      </c>
      <c r="BM31" s="188">
        <f>opex_orig!BE31</f>
        <v>1.5976200000000001E-4</v>
      </c>
      <c r="BN31" s="188">
        <f>opex_orig!BF31</f>
        <v>1.38E-5</v>
      </c>
      <c r="BO31" s="188">
        <f>opex_orig!BG31</f>
        <v>4.9799999999999998E-5</v>
      </c>
      <c r="BP31" s="188">
        <f>opex_orig!$BH31</f>
        <v>5.2520850081344E-5</v>
      </c>
      <c r="BQ31" s="188">
        <f>opex_orig!$BH31</f>
        <v>5.2520850081344E-5</v>
      </c>
      <c r="BR31" s="188">
        <f>opex_orig!BI31</f>
        <v>1.4376600000000001E-4</v>
      </c>
      <c r="BS31" s="188">
        <f>opex_orig!BJ31</f>
        <v>1.05944E-4</v>
      </c>
      <c r="BT31" s="188">
        <f>opex_orig!BK31</f>
        <v>8.10409E-4</v>
      </c>
      <c r="BU31" s="188">
        <f>opex_orig!BL31</f>
        <v>0</v>
      </c>
      <c r="BV31" s="27">
        <f>opex_orig!BM31</f>
        <v>7.4244990703828801E-6</v>
      </c>
      <c r="BW31" s="27">
        <f>opex_orig!BN31</f>
        <v>7.0311780988442996E-5</v>
      </c>
      <c r="BX31" s="27">
        <f>opex_orig!BO31</f>
        <v>5.8891177497475498E-6</v>
      </c>
      <c r="BY31" s="27">
        <f>opex_orig!BP31</f>
        <v>5.4192345893193603E-5</v>
      </c>
      <c r="BZ31" s="27">
        <f>opex_orig!BQ31</f>
        <v>1.8686868312892E-5</v>
      </c>
      <c r="CA31" s="27">
        <f>opex_orig!BR31</f>
        <v>8.3954645436840004E-6</v>
      </c>
      <c r="CB31" s="27">
        <f>opex_orig!BS31</f>
        <v>4.4486311114153903E-5</v>
      </c>
      <c r="CC31" s="27">
        <f>opex_orig!BT31</f>
        <v>3.54957230690824E-6</v>
      </c>
      <c r="CD31" s="27">
        <f>opex_orig!BU31</f>
        <v>1.9107370317976301E-6</v>
      </c>
      <c r="CE31" s="27">
        <f>opex_orig!BV31</f>
        <v>1.9107370317976301E-6</v>
      </c>
      <c r="CF31" s="27">
        <f>opex_orig!BW31</f>
        <v>6.6281514690317699E-4</v>
      </c>
      <c r="CG31" s="27">
        <f>opex_orig!BX31</f>
        <v>1.8613584103502199E-6</v>
      </c>
      <c r="CH31" s="27">
        <f>opex_orig!BY31</f>
        <v>8.1052858422628996E-5</v>
      </c>
      <c r="CI31" s="27">
        <f>opex_orig!Y31</f>
        <v>7.96E-6</v>
      </c>
      <c r="CJ31" s="27">
        <f>opex_orig!Z31</f>
        <v>4.0099999999999999E-5</v>
      </c>
      <c r="CK31" s="27">
        <f>opex_orig!AA31</f>
        <v>1.9700000000000001E-5</v>
      </c>
      <c r="CL31" s="27">
        <f>opex_orig!AB31</f>
        <v>1.3561961498246899E-4</v>
      </c>
      <c r="CM31" s="27">
        <f>opex_orig!AC31</f>
        <v>1.9290262230909499E-4</v>
      </c>
      <c r="CN31" s="27">
        <f>opex_orig!AD31</f>
        <v>4.1313424733213399E-5</v>
      </c>
      <c r="CO31" s="27">
        <f>opex_orig!AE31</f>
        <v>2.4199999999999999E-5</v>
      </c>
      <c r="CP31" s="27">
        <f>opex_orig!AF31</f>
        <v>8.3200000000000003E-5</v>
      </c>
    </row>
    <row r="32" spans="1:94" x14ac:dyDescent="0.25">
      <c r="A32" s="5" t="s">
        <v>83</v>
      </c>
      <c r="B32" s="2" t="s">
        <v>82</v>
      </c>
      <c r="C32" s="1" t="s">
        <v>326</v>
      </c>
      <c r="D32" s="188">
        <f>opex_orig!D32</f>
        <v>1.01E-5</v>
      </c>
      <c r="E32" s="188">
        <f>opex_orig!E32</f>
        <v>2.3999999999999999E-6</v>
      </c>
      <c r="F32" s="188">
        <f>opex_orig!F32</f>
        <v>3.2399999999999999E-6</v>
      </c>
      <c r="G32" s="188">
        <f>opex_orig!G32</f>
        <v>2.8900000000000001E-7</v>
      </c>
      <c r="H32" s="188">
        <f>opex_orig!H32</f>
        <v>4.3500000000000002E-7</v>
      </c>
      <c r="I32" s="188">
        <f>opex_orig!I32</f>
        <v>3.4599999999999999E-6</v>
      </c>
      <c r="J32" s="188">
        <f>opex_orig!J32</f>
        <v>2.2500000000000001E-5</v>
      </c>
      <c r="K32" s="188">
        <f>opex_orig!K32</f>
        <v>8.23E-7</v>
      </c>
      <c r="L32" s="188">
        <f>opex_orig!L32</f>
        <v>7.2600000000000003E-5</v>
      </c>
      <c r="M32" s="188">
        <f>opex_orig!M32</f>
        <v>5.8300000000000001E-6</v>
      </c>
      <c r="N32" s="188">
        <f>opex_orig!N32</f>
        <v>1.59E-5</v>
      </c>
      <c r="O32" s="188">
        <f>opex_orig!O32</f>
        <v>7.1400000000000002E-6</v>
      </c>
      <c r="P32" s="188">
        <f>opex_orig!P32</f>
        <v>8.5099999999999998E-6</v>
      </c>
      <c r="Q32" s="188">
        <f>opex_orig!Q32</f>
        <v>1.5E-6</v>
      </c>
      <c r="R32" s="188">
        <f>opex_orig!R32</f>
        <v>2.8899999999999999E-6</v>
      </c>
      <c r="S32" s="188">
        <f>opex_orig!S32</f>
        <v>4.3699999999999997E-6</v>
      </c>
      <c r="T32" s="188">
        <f>opex_orig!T32</f>
        <v>1.0200000000000001E-5</v>
      </c>
      <c r="U32" s="188">
        <f>opex_orig!U32</f>
        <v>4.1500000000000001E-6</v>
      </c>
      <c r="V32" s="188">
        <f>opex_orig!V32</f>
        <v>5.0499999999999999E-6</v>
      </c>
      <c r="W32" s="188">
        <f>opex_orig!W32</f>
        <v>3.1499999999999999E-6</v>
      </c>
      <c r="X32" s="188">
        <f>opex_orig!X32</f>
        <v>2.9699999999999999E-6</v>
      </c>
      <c r="Y32" s="188">
        <f>opex_orig!Y32</f>
        <v>3.05E-6</v>
      </c>
      <c r="Z32" s="188">
        <f>opex_orig!Z32</f>
        <v>9.0000000000000002E-6</v>
      </c>
      <c r="AA32" s="188">
        <f>opex_orig!AA32</f>
        <v>9.73E-6</v>
      </c>
      <c r="AB32" s="188">
        <f>opex_orig!$AB32</f>
        <v>1.60132226993228E-5</v>
      </c>
      <c r="AC32" s="188">
        <f>opex_orig!$AB32</f>
        <v>1.60132226993228E-5</v>
      </c>
      <c r="AD32" s="188">
        <f>opex_orig!$AB32</f>
        <v>1.60132226993228E-5</v>
      </c>
      <c r="AE32" s="188">
        <f>opex_orig!$AC32</f>
        <v>1.5966992588181501E-5</v>
      </c>
      <c r="AF32" s="188">
        <f>opex_orig!$AD32</f>
        <v>6.7588696847659401E-6</v>
      </c>
      <c r="AG32" s="188">
        <f>opex_orig!$AD32</f>
        <v>6.7588696847659401E-6</v>
      </c>
      <c r="AH32" s="188">
        <f>opex_orig!$AD32</f>
        <v>6.7588696847659401E-6</v>
      </c>
      <c r="AI32" s="188">
        <f>opex_orig!AE32</f>
        <v>5.75E-6</v>
      </c>
      <c r="AJ32" s="188">
        <f>opex_orig!AF32</f>
        <v>4.7599999999999998E-5</v>
      </c>
      <c r="AK32" s="188">
        <f>opex_orig!AG32</f>
        <v>1.29E-5</v>
      </c>
      <c r="AL32" s="188">
        <f>opex_orig!AH32</f>
        <v>6.8899999999999994E-5</v>
      </c>
      <c r="AM32" s="188">
        <f>opex_orig!AI32</f>
        <v>1.63E-5</v>
      </c>
      <c r="AN32" s="188">
        <f>opex_orig!AJ32</f>
        <v>5.5500000000000001E-5</v>
      </c>
      <c r="AO32" s="188">
        <f>opex_orig!AK32</f>
        <v>4.2599999999999999E-5</v>
      </c>
      <c r="AP32" s="188">
        <f>opex_orig!$AL32</f>
        <v>2.7445612840193302E-5</v>
      </c>
      <c r="AQ32" s="188">
        <f>opex_orig!$AL32</f>
        <v>2.7445612840193302E-5</v>
      </c>
      <c r="AR32" s="188">
        <f>opex_orig!$AL32</f>
        <v>2.7445612840193302E-5</v>
      </c>
      <c r="AS32" s="188">
        <f>opex_orig!$AM32</f>
        <v>2.6970741298199699E-5</v>
      </c>
      <c r="AT32" s="188">
        <f>opex_orig!AN32</f>
        <v>3.57E-5</v>
      </c>
      <c r="AU32" s="188">
        <f>opex_orig!$AO32</f>
        <v>2.0943543525430799E-3</v>
      </c>
      <c r="AV32" s="188">
        <f>opex_orig!$AO32</f>
        <v>2.0943543525430799E-3</v>
      </c>
      <c r="AW32" s="188">
        <f>opex_orig!$AO32</f>
        <v>2.0943543525430799E-3</v>
      </c>
      <c r="AX32" s="188">
        <f>opex_orig!$AP32</f>
        <v>1.46457519736504E-3</v>
      </c>
      <c r="AY32" s="188">
        <f>opex_orig!AQ32</f>
        <v>2.5999999999999998E-5</v>
      </c>
      <c r="AZ32" s="188">
        <f>opex_orig!AR32</f>
        <v>0</v>
      </c>
      <c r="BA32" s="188">
        <f>opex_orig!AS32</f>
        <v>4.07E-5</v>
      </c>
      <c r="BB32" s="188">
        <f>opex_orig!AT32</f>
        <v>4.1E-5</v>
      </c>
      <c r="BC32" s="188">
        <f>opex_orig!AU32</f>
        <v>3.7666899999999999E-4</v>
      </c>
      <c r="BD32" s="188">
        <f>opex_orig!AV32</f>
        <v>3.94714E-4</v>
      </c>
      <c r="BE32" s="188">
        <f>opex_orig!AW32</f>
        <v>1.48262E-4</v>
      </c>
      <c r="BF32" s="188">
        <f>opex_orig!AX32</f>
        <v>0</v>
      </c>
      <c r="BG32" s="188">
        <f>opex_orig!AY32</f>
        <v>0.125664307</v>
      </c>
      <c r="BH32" s="188">
        <f>opex_orig!AZ32</f>
        <v>0</v>
      </c>
      <c r="BI32" s="188">
        <f>opex_orig!BA32</f>
        <v>7.8500900000000003E-4</v>
      </c>
      <c r="BJ32" s="188">
        <f>opex_orig!BB32</f>
        <v>4.5300000000000003E-5</v>
      </c>
      <c r="BK32" s="188">
        <f>opex_orig!BC32</f>
        <v>4.9100000000000001E-5</v>
      </c>
      <c r="BL32" s="188">
        <f>opex_orig!BD32</f>
        <v>1.9400000000000001E-5</v>
      </c>
      <c r="BM32" s="188">
        <f>opex_orig!BE32</f>
        <v>4.1E-5</v>
      </c>
      <c r="BN32" s="188">
        <f>opex_orig!BF32</f>
        <v>1.4800000000000001E-5</v>
      </c>
      <c r="BO32" s="188">
        <f>opex_orig!BG32</f>
        <v>1.9300000000000002E-5</v>
      </c>
      <c r="BP32" s="188">
        <f>opex_orig!$BH32</f>
        <v>2.0129316787357099E-5</v>
      </c>
      <c r="BQ32" s="188">
        <f>opex_orig!$BH32</f>
        <v>2.0129316787357099E-5</v>
      </c>
      <c r="BR32" s="188">
        <f>opex_orig!BI32</f>
        <v>3.9400000000000002E-5</v>
      </c>
      <c r="BS32" s="188">
        <f>opex_orig!BJ32</f>
        <v>2.1299999999999999E-5</v>
      </c>
      <c r="BT32" s="188">
        <f>opex_orig!BK32</f>
        <v>1.96701E-4</v>
      </c>
      <c r="BU32" s="188">
        <f>opex_orig!BL32</f>
        <v>0</v>
      </c>
      <c r="BV32" s="27">
        <f>opex_orig!BM32</f>
        <v>5.2963786326722903E-6</v>
      </c>
      <c r="BW32" s="27">
        <f>opex_orig!BN32</f>
        <v>1.15487004423204E-5</v>
      </c>
      <c r="BX32" s="27">
        <f>opex_orig!BO32</f>
        <v>2.3283273633339301E-6</v>
      </c>
      <c r="BY32" s="27">
        <f>opex_orig!BP32</f>
        <v>5.11549469902427E-6</v>
      </c>
      <c r="BZ32" s="27">
        <f>opex_orig!BQ32</f>
        <v>8.5781722776040798E-6</v>
      </c>
      <c r="CA32" s="27">
        <f>opex_orig!BR32</f>
        <v>2.15170799772743E-6</v>
      </c>
      <c r="CB32" s="27">
        <f>opex_orig!BS32</f>
        <v>9.9910169231071397E-6</v>
      </c>
      <c r="CC32" s="27">
        <f>opex_orig!BT32</f>
        <v>2.6234949962634199E-3</v>
      </c>
      <c r="CD32" s="27">
        <f>opex_orig!BU32</f>
        <v>1.5432766328910899E-6</v>
      </c>
      <c r="CE32" s="27">
        <f>opex_orig!BV32</f>
        <v>1.5432766328910899E-6</v>
      </c>
      <c r="CF32" s="27">
        <f>opex_orig!BW32</f>
        <v>6.7011978622276303E-6</v>
      </c>
      <c r="CG32" s="27">
        <f>opex_orig!BX32</f>
        <v>1.07704737870192E-6</v>
      </c>
      <c r="CH32" s="27">
        <f>opex_orig!BY32</f>
        <v>2.0405883952220799E-5</v>
      </c>
      <c r="CI32" s="27">
        <f>opex_orig!Y32</f>
        <v>3.05E-6</v>
      </c>
      <c r="CJ32" s="27">
        <f>opex_orig!Z32</f>
        <v>9.0000000000000002E-6</v>
      </c>
      <c r="CK32" s="27">
        <f>opex_orig!AA32</f>
        <v>9.73E-6</v>
      </c>
      <c r="CL32" s="27">
        <f>opex_orig!AB32</f>
        <v>1.60132226993228E-5</v>
      </c>
      <c r="CM32" s="27">
        <f>opex_orig!AC32</f>
        <v>1.5966992588181501E-5</v>
      </c>
      <c r="CN32" s="27">
        <f>opex_orig!AD32</f>
        <v>6.7588696847659401E-6</v>
      </c>
      <c r="CO32" s="27">
        <f>opex_orig!AE32</f>
        <v>5.75E-6</v>
      </c>
      <c r="CP32" s="27">
        <f>opex_orig!AF32</f>
        <v>4.7599999999999998E-5</v>
      </c>
    </row>
    <row r="33" spans="1:94" x14ac:dyDescent="0.25">
      <c r="A33" s="5" t="s">
        <v>85</v>
      </c>
      <c r="B33" s="2" t="s">
        <v>84</v>
      </c>
      <c r="C33" s="1" t="s">
        <v>326</v>
      </c>
      <c r="D33" s="188">
        <f>opex_orig!D33</f>
        <v>1.8983199999999999E-4</v>
      </c>
      <c r="E33" s="188">
        <f>opex_orig!E33</f>
        <v>2.0869899999999999E-4</v>
      </c>
      <c r="F33" s="188">
        <f>opex_orig!F33</f>
        <v>3.4271699999999998E-4</v>
      </c>
      <c r="G33" s="188">
        <f>opex_orig!G33</f>
        <v>4.6499999999999999E-5</v>
      </c>
      <c r="H33" s="188">
        <f>opex_orig!H33</f>
        <v>5.9299999999999998E-5</v>
      </c>
      <c r="I33" s="188">
        <f>opex_orig!I33</f>
        <v>4.4376600000000001E-4</v>
      </c>
      <c r="J33" s="188">
        <f>opex_orig!J33</f>
        <v>5.4316599999999998E-4</v>
      </c>
      <c r="K33" s="188">
        <f>opex_orig!K33</f>
        <v>1.11263E-4</v>
      </c>
      <c r="L33" s="188">
        <f>opex_orig!L33</f>
        <v>9.3853299999999997E-4</v>
      </c>
      <c r="M33" s="188">
        <f>opex_orig!M33</f>
        <v>9.04567E-4</v>
      </c>
      <c r="N33" s="188">
        <f>opex_orig!N33</f>
        <v>6.6097400000000005E-4</v>
      </c>
      <c r="O33" s="188">
        <f>opex_orig!O33</f>
        <v>2.55887E-4</v>
      </c>
      <c r="P33" s="188">
        <f>opex_orig!P33</f>
        <v>6.89465E-4</v>
      </c>
      <c r="Q33" s="188">
        <f>opex_orig!Q33</f>
        <v>1.59937E-4</v>
      </c>
      <c r="R33" s="188">
        <f>opex_orig!R33</f>
        <v>2.3257200000000001E-4</v>
      </c>
      <c r="S33" s="188">
        <f>opex_orig!S33</f>
        <v>3.4523799999999999E-4</v>
      </c>
      <c r="T33" s="188">
        <f>opex_orig!T33</f>
        <v>4.6172999999999999E-4</v>
      </c>
      <c r="U33" s="188">
        <f>opex_orig!U33</f>
        <v>7.5492699999999996E-4</v>
      </c>
      <c r="V33" s="188">
        <f>opex_orig!V33</f>
        <v>1.03998E-3</v>
      </c>
      <c r="W33" s="188">
        <f>opex_orig!W33</f>
        <v>1.99719E-4</v>
      </c>
      <c r="X33" s="188">
        <f>opex_orig!X33</f>
        <v>1.2790999999999999E-4</v>
      </c>
      <c r="Y33" s="188">
        <f>opex_orig!Y33</f>
        <v>1.4080900000000001E-3</v>
      </c>
      <c r="Z33" s="188">
        <f>opex_orig!Z33</f>
        <v>1.5879170000000001E-3</v>
      </c>
      <c r="AA33" s="188">
        <f>opex_orig!AA33</f>
        <v>6.6688999999999995E-4</v>
      </c>
      <c r="AB33" s="188">
        <f>opex_orig!$AB33</f>
        <v>8.2281510767581397E-4</v>
      </c>
      <c r="AC33" s="188">
        <f>opex_orig!$AB33</f>
        <v>8.2281510767581397E-4</v>
      </c>
      <c r="AD33" s="188">
        <f>opex_orig!$AB33</f>
        <v>8.2281510767581397E-4</v>
      </c>
      <c r="AE33" s="188">
        <f>opex_orig!$AC33</f>
        <v>6.2705115159581804E-4</v>
      </c>
      <c r="AF33" s="188">
        <f>opex_orig!$AD33</f>
        <v>3.3624147129786598E-3</v>
      </c>
      <c r="AG33" s="188">
        <f>opex_orig!$AD33</f>
        <v>3.3624147129786598E-3</v>
      </c>
      <c r="AH33" s="188">
        <f>opex_orig!$AD33</f>
        <v>3.3624147129786598E-3</v>
      </c>
      <c r="AI33" s="188">
        <f>opex_orig!AE33</f>
        <v>3.4291809999999999E-3</v>
      </c>
      <c r="AJ33" s="188">
        <f>opex_orig!AF33</f>
        <v>7.6217600000000004E-4</v>
      </c>
      <c r="AK33" s="188">
        <f>opex_orig!AG33</f>
        <v>1.4554100000000001E-4</v>
      </c>
      <c r="AL33" s="188">
        <f>opex_orig!AH33</f>
        <v>2.3442162999999999E-2</v>
      </c>
      <c r="AM33" s="188">
        <f>opex_orig!AI33</f>
        <v>1.3968380000000001E-3</v>
      </c>
      <c r="AN33" s="188">
        <f>opex_orig!AJ33</f>
        <v>4.5529539999999997E-3</v>
      </c>
      <c r="AO33" s="188">
        <f>opex_orig!AK33</f>
        <v>4.9184770000000001E-3</v>
      </c>
      <c r="AP33" s="339">
        <f>opex_concordance!M437</f>
        <v>2.2176248757376602E-2</v>
      </c>
      <c r="AQ33" s="339">
        <f>opex_concordance!M491</f>
        <v>1.784723578205907E-2</v>
      </c>
      <c r="AR33" s="339">
        <f>opex_concordance!M545</f>
        <v>1.9585781606683648E-2</v>
      </c>
      <c r="AS33" s="188">
        <f>opex_orig!$AM33</f>
        <v>2.1188770794543101E-2</v>
      </c>
      <c r="AT33" s="188">
        <f>opex_orig!AN33</f>
        <v>4.3246827000000002E-2</v>
      </c>
      <c r="AU33" s="188">
        <f>opex_orig!$AO33</f>
        <v>1.6402065656385501E-3</v>
      </c>
      <c r="AV33" s="188">
        <f>opex_orig!$AO33</f>
        <v>1.6402065656385501E-3</v>
      </c>
      <c r="AW33" s="188">
        <f>opex_orig!$AO33</f>
        <v>1.6402065656385501E-3</v>
      </c>
      <c r="AX33" s="188">
        <f>opex_orig!$AP33</f>
        <v>1.7581214910091601E-3</v>
      </c>
      <c r="AY33" s="188">
        <f>opex_orig!AQ33</f>
        <v>1.9975739999999998E-3</v>
      </c>
      <c r="AZ33" s="188">
        <f>opex_orig!AR33</f>
        <v>0</v>
      </c>
      <c r="BA33" s="188">
        <f>opex_orig!AS33</f>
        <v>1.7073139999999999E-3</v>
      </c>
      <c r="BB33" s="188">
        <f>opex_orig!AT33</f>
        <v>1.880261E-3</v>
      </c>
      <c r="BC33" s="188">
        <f>opex_orig!AU33</f>
        <v>5.7292860000000001E-3</v>
      </c>
      <c r="BD33" s="188">
        <f>opex_orig!AV33</f>
        <v>5.9573739999999997E-3</v>
      </c>
      <c r="BE33" s="188">
        <f>opex_orig!AW33</f>
        <v>1.1299400000000001E-3</v>
      </c>
      <c r="BF33" s="188">
        <f>opex_orig!AX33</f>
        <v>0</v>
      </c>
      <c r="BG33" s="188">
        <f>opex_orig!AY33</f>
        <v>9.3134900000000004E-4</v>
      </c>
      <c r="BH33" s="188">
        <f>opex_orig!AZ33</f>
        <v>0</v>
      </c>
      <c r="BI33" s="188">
        <f>opex_orig!BA33</f>
        <v>3.7958255000000003E-2</v>
      </c>
      <c r="BJ33" s="188">
        <f>opex_orig!BB33</f>
        <v>5.7030700000000004E-4</v>
      </c>
      <c r="BK33" s="188">
        <f>opex_orig!BC33</f>
        <v>1.196576E-3</v>
      </c>
      <c r="BL33" s="188">
        <f>opex_orig!BD33</f>
        <v>5.3999999999999998E-5</v>
      </c>
      <c r="BM33" s="188">
        <f>opex_orig!BE33</f>
        <v>7.2836600000000004E-4</v>
      </c>
      <c r="BN33" s="188">
        <f>opex_orig!BF33</f>
        <v>2.9985899999999998E-4</v>
      </c>
      <c r="BO33" s="188">
        <f>opex_orig!BG33</f>
        <v>2.9589200000000002E-4</v>
      </c>
      <c r="BP33" s="188">
        <f>opex_orig!$BH33</f>
        <v>1.9785214949937901E-4</v>
      </c>
      <c r="BQ33" s="188">
        <f>opex_orig!$BH33</f>
        <v>1.9785214949937901E-4</v>
      </c>
      <c r="BR33" s="188">
        <f>opex_orig!BI33</f>
        <v>4.1041899999999997E-4</v>
      </c>
      <c r="BS33" s="188">
        <f>opex_orig!BJ33</f>
        <v>2.9767200000000002E-4</v>
      </c>
      <c r="BT33" s="188">
        <f>opex_orig!BK33</f>
        <v>2.4259379999999999E-3</v>
      </c>
      <c r="BU33" s="188">
        <f>opex_orig!BL33</f>
        <v>0</v>
      </c>
      <c r="BV33" s="27">
        <f>opex_orig!BM33</f>
        <v>1.2189917940024901E-3</v>
      </c>
      <c r="BW33" s="27">
        <f>opex_orig!BN33</f>
        <v>1.9657155623624498E-3</v>
      </c>
      <c r="BX33" s="27">
        <f>opex_orig!BO33</f>
        <v>3.1538588676767302E-4</v>
      </c>
      <c r="BY33" s="27">
        <f>opex_orig!BP33</f>
        <v>4.1172497033233898E-4</v>
      </c>
      <c r="BZ33" s="27">
        <f>opex_orig!BQ33</f>
        <v>4.2461697830672101E-4</v>
      </c>
      <c r="CA33" s="27">
        <f>opex_orig!BR33</f>
        <v>1.13830492979031E-3</v>
      </c>
      <c r="CB33" s="27">
        <f>opex_orig!BS33</f>
        <v>1.80440708561987E-3</v>
      </c>
      <c r="CC33" s="27">
        <f>opex_orig!BT33</f>
        <v>5.5516886945424296E-4</v>
      </c>
      <c r="CD33" s="27">
        <f>opex_orig!BU33</f>
        <v>2.7430925676028001E-4</v>
      </c>
      <c r="CE33" s="27">
        <f>opex_orig!BV33</f>
        <v>2.7430925676028098E-4</v>
      </c>
      <c r="CF33" s="27">
        <f>opex_orig!BW33</f>
        <v>1.0828598792083899E-3</v>
      </c>
      <c r="CG33" s="27">
        <f>opex_orig!BX33</f>
        <v>5.7006941005823701E-5</v>
      </c>
      <c r="CH33" s="27">
        <f>opex_orig!BY33</f>
        <v>4.0810409469084101E-4</v>
      </c>
      <c r="CI33" s="27">
        <f>opex_orig!Y33</f>
        <v>1.4080900000000001E-3</v>
      </c>
      <c r="CJ33" s="27">
        <f>opex_orig!Z33</f>
        <v>1.5879170000000001E-3</v>
      </c>
      <c r="CK33" s="27">
        <f>opex_orig!AA33</f>
        <v>6.6688999999999995E-4</v>
      </c>
      <c r="CL33" s="27">
        <f>opex_orig!AB33</f>
        <v>8.2281510767581397E-4</v>
      </c>
      <c r="CM33" s="27">
        <f>opex_orig!AC33</f>
        <v>6.2705115159581804E-4</v>
      </c>
      <c r="CN33" s="27">
        <f>opex_orig!AD33</f>
        <v>3.3624147129786598E-3</v>
      </c>
      <c r="CO33" s="27">
        <f>opex_orig!AE33</f>
        <v>3.4291809999999999E-3</v>
      </c>
      <c r="CP33" s="27">
        <f>opex_orig!AF33</f>
        <v>7.6217600000000004E-4</v>
      </c>
    </row>
    <row r="34" spans="1:94" x14ac:dyDescent="0.25">
      <c r="A34" s="5" t="s">
        <v>87</v>
      </c>
      <c r="B34" s="2" t="s">
        <v>86</v>
      </c>
      <c r="C34" s="1" t="s">
        <v>326</v>
      </c>
      <c r="D34" s="188">
        <f>opex_orig!D34</f>
        <v>3.9660800000000001E-4</v>
      </c>
      <c r="E34" s="188">
        <f>opex_orig!E34</f>
        <v>2.6425999999999999E-4</v>
      </c>
      <c r="F34" s="188">
        <f>opex_orig!F34</f>
        <v>2.3109899999999999E-4</v>
      </c>
      <c r="G34" s="188">
        <f>opex_orig!G34</f>
        <v>5.49E-5</v>
      </c>
      <c r="H34" s="188">
        <f>opex_orig!H34</f>
        <v>8.5099999999999995E-5</v>
      </c>
      <c r="I34" s="188">
        <f>opex_orig!I34</f>
        <v>5.1475499999999999E-4</v>
      </c>
      <c r="J34" s="188">
        <f>opex_orig!J34</f>
        <v>6.7720400000000004E-4</v>
      </c>
      <c r="K34" s="188">
        <f>opex_orig!K34</f>
        <v>1.53778E-4</v>
      </c>
      <c r="L34" s="188">
        <f>opex_orig!L34</f>
        <v>5.0157999999999995E-4</v>
      </c>
      <c r="M34" s="188">
        <f>opex_orig!M34</f>
        <v>7.6856099999999996E-4</v>
      </c>
      <c r="N34" s="188">
        <f>opex_orig!N34</f>
        <v>7.9398999999999995E-4</v>
      </c>
      <c r="O34" s="188">
        <f>opex_orig!O34</f>
        <v>4.18319E-4</v>
      </c>
      <c r="P34" s="188">
        <f>opex_orig!P34</f>
        <v>9.1674400000000004E-4</v>
      </c>
      <c r="Q34" s="188">
        <f>opex_orig!Q34</f>
        <v>3.1717799999999999E-4</v>
      </c>
      <c r="R34" s="188">
        <f>opex_orig!R34</f>
        <v>4.6719099999999999E-4</v>
      </c>
      <c r="S34" s="188">
        <f>opex_orig!S34</f>
        <v>4.4961399999999998E-4</v>
      </c>
      <c r="T34" s="188">
        <f>opex_orig!T34</f>
        <v>5.8620999999999999E-4</v>
      </c>
      <c r="U34" s="188">
        <f>opex_orig!U34</f>
        <v>1.0581589999999999E-3</v>
      </c>
      <c r="V34" s="188">
        <f>opex_orig!V34</f>
        <v>1.476694E-3</v>
      </c>
      <c r="W34" s="188">
        <f>opex_orig!W34</f>
        <v>3.1626499999999998E-4</v>
      </c>
      <c r="X34" s="188">
        <f>opex_orig!X34</f>
        <v>1.8941300000000001E-4</v>
      </c>
      <c r="Y34" s="188">
        <f>opex_orig!Y34</f>
        <v>1.569396E-3</v>
      </c>
      <c r="Z34" s="188">
        <f>opex_orig!Z34</f>
        <v>1.4186610000000001E-3</v>
      </c>
      <c r="AA34" s="188">
        <f>opex_orig!AA34</f>
        <v>8.2014100000000003E-4</v>
      </c>
      <c r="AB34" s="188">
        <f>opex_orig!$AB34</f>
        <v>1.6858694531621499E-3</v>
      </c>
      <c r="AC34" s="188">
        <f>opex_orig!$AB34</f>
        <v>1.6858694531621499E-3</v>
      </c>
      <c r="AD34" s="188">
        <f>opex_orig!$AB34</f>
        <v>1.6858694531621499E-3</v>
      </c>
      <c r="AE34" s="188">
        <f>opex_orig!$AC34</f>
        <v>1.6014469324412499E-3</v>
      </c>
      <c r="AF34" s="188">
        <f>opex_orig!$AD34</f>
        <v>1.10386798288958E-3</v>
      </c>
      <c r="AG34" s="188">
        <f>opex_orig!$AD34</f>
        <v>1.10386798288958E-3</v>
      </c>
      <c r="AH34" s="188">
        <f>opex_orig!$AD34</f>
        <v>1.10386798288958E-3</v>
      </c>
      <c r="AI34" s="188">
        <f>opex_orig!AE34</f>
        <v>1.03199E-3</v>
      </c>
      <c r="AJ34" s="188">
        <f>opex_orig!AF34</f>
        <v>1.1336156999999999E-2</v>
      </c>
      <c r="AK34" s="188">
        <f>opex_orig!AG34</f>
        <v>3.5931500000000002E-4</v>
      </c>
      <c r="AL34" s="188">
        <f>opex_orig!AH34</f>
        <v>3.2010626E-2</v>
      </c>
      <c r="AM34" s="188">
        <f>opex_orig!AI34</f>
        <v>2.1507449999999999E-3</v>
      </c>
      <c r="AN34" s="188">
        <f>opex_orig!AJ34</f>
        <v>4.6189886999999999E-2</v>
      </c>
      <c r="AO34" s="188">
        <f>opex_orig!AK34</f>
        <v>4.0445801000000003E-2</v>
      </c>
      <c r="AP34" s="340">
        <f>opex_concordance!M438</f>
        <v>6.4188829194859104E-2</v>
      </c>
      <c r="AQ34" s="340">
        <f>opex_concordance!M492</f>
        <v>5.1658564157921548E-2</v>
      </c>
      <c r="AR34" s="340">
        <f>opex_concordance!M546</f>
        <v>5.669075973821066E-2</v>
      </c>
      <c r="AS34" s="188">
        <f>opex_orig!$AM34</f>
        <v>6.1428413510679902E-2</v>
      </c>
      <c r="AT34" s="188">
        <f>opex_orig!AN34</f>
        <v>4.8941569999999997E-3</v>
      </c>
      <c r="AU34" s="188">
        <f>opex_orig!$AO34</f>
        <v>4.1076245809831798E-3</v>
      </c>
      <c r="AV34" s="188">
        <f>opex_orig!$AO34</f>
        <v>4.1076245809831798E-3</v>
      </c>
      <c r="AW34" s="188">
        <f>opex_orig!$AO34</f>
        <v>4.1076245809831798E-3</v>
      </c>
      <c r="AX34" s="188">
        <f>opex_orig!$AP34</f>
        <v>3.2200671927913602E-3</v>
      </c>
      <c r="AY34" s="188">
        <f>opex_orig!AQ34</f>
        <v>2.865088E-3</v>
      </c>
      <c r="AZ34" s="188">
        <f>opex_orig!AR34</f>
        <v>0</v>
      </c>
      <c r="BA34" s="188">
        <f>opex_orig!AS34</f>
        <v>2.8520189999999999E-3</v>
      </c>
      <c r="BB34" s="188">
        <f>opex_orig!AT34</f>
        <v>3.0595000000000002E-3</v>
      </c>
      <c r="BC34" s="188">
        <f>opex_orig!AU34</f>
        <v>4.9773559999999996E-3</v>
      </c>
      <c r="BD34" s="188">
        <f>opex_orig!AV34</f>
        <v>5.1098410000000004E-3</v>
      </c>
      <c r="BE34" s="188">
        <f>opex_orig!AW34</f>
        <v>1.9797700000000001E-3</v>
      </c>
      <c r="BF34" s="188">
        <f>opex_orig!AX34</f>
        <v>0</v>
      </c>
      <c r="BG34" s="188">
        <f>opex_orig!AY34</f>
        <v>3.3815479999999998E-3</v>
      </c>
      <c r="BH34" s="188">
        <f>opex_orig!AZ34</f>
        <v>0</v>
      </c>
      <c r="BI34" s="188">
        <f>opex_orig!BA34</f>
        <v>7.6865630000000004E-3</v>
      </c>
      <c r="BJ34" s="188">
        <f>opex_orig!BB34</f>
        <v>5.99198E-4</v>
      </c>
      <c r="BK34" s="188">
        <f>opex_orig!BC34</f>
        <v>1.150875E-3</v>
      </c>
      <c r="BL34" s="188">
        <f>opex_orig!BD34</f>
        <v>1.7491800000000001E-4</v>
      </c>
      <c r="BM34" s="188">
        <f>opex_orig!BE34</f>
        <v>2.8999849999999999E-3</v>
      </c>
      <c r="BN34" s="188">
        <f>opex_orig!BF34</f>
        <v>7.6851700000000003E-4</v>
      </c>
      <c r="BO34" s="188">
        <f>opex_orig!BG34</f>
        <v>8.0975199999999995E-4</v>
      </c>
      <c r="BP34" s="188">
        <f>opex_orig!$BH34</f>
        <v>2.5384749258750499E-4</v>
      </c>
      <c r="BQ34" s="188">
        <f>opex_orig!$BH34</f>
        <v>2.5384749258750499E-4</v>
      </c>
      <c r="BR34" s="188">
        <f>opex_orig!BI34</f>
        <v>4.67501E-4</v>
      </c>
      <c r="BS34" s="188">
        <f>opex_orig!BJ34</f>
        <v>4.2617499999999999E-4</v>
      </c>
      <c r="BT34" s="188">
        <f>opex_orig!BK34</f>
        <v>2.5665129999999999E-3</v>
      </c>
      <c r="BU34" s="188">
        <f>opex_orig!BL34</f>
        <v>0</v>
      </c>
      <c r="BV34" s="27">
        <f>opex_orig!BM34</f>
        <v>1.62115797321454E-3</v>
      </c>
      <c r="BW34" s="27">
        <f>opex_orig!BN34</f>
        <v>3.0601200657460899E-3</v>
      </c>
      <c r="BX34" s="27">
        <f>opex_orig!BO34</f>
        <v>5.0307721206164396E-4</v>
      </c>
      <c r="BY34" s="27">
        <f>opex_orig!BP34</f>
        <v>7.2987987536962098E-4</v>
      </c>
      <c r="BZ34" s="27">
        <f>opex_orig!BQ34</f>
        <v>6.2742698975131004E-4</v>
      </c>
      <c r="CA34" s="27">
        <f>opex_orig!BR34</f>
        <v>7.7944429716747998E-4</v>
      </c>
      <c r="CB34" s="27">
        <f>opex_orig!BS34</f>
        <v>2.0880351639240898E-3</v>
      </c>
      <c r="CC34" s="27">
        <f>opex_orig!BT34</f>
        <v>2.9710660847477702E-4</v>
      </c>
      <c r="CD34" s="27">
        <f>opex_orig!BU34</f>
        <v>3.2969757225450902E-4</v>
      </c>
      <c r="CE34" s="27">
        <f>opex_orig!BV34</f>
        <v>3.2969757225450799E-4</v>
      </c>
      <c r="CF34" s="27">
        <f>opex_orig!BW34</f>
        <v>7.3590574668390706E-5</v>
      </c>
      <c r="CG34" s="27">
        <f>opex_orig!BX34</f>
        <v>1.4055352348933E-4</v>
      </c>
      <c r="CH34" s="27">
        <f>opex_orig!BY34</f>
        <v>3.6390477454428902E-4</v>
      </c>
      <c r="CI34" s="27">
        <f>opex_orig!Y34</f>
        <v>1.569396E-3</v>
      </c>
      <c r="CJ34" s="27">
        <f>opex_orig!Z34</f>
        <v>1.4186610000000001E-3</v>
      </c>
      <c r="CK34" s="27">
        <f>opex_orig!AA34</f>
        <v>8.2014100000000003E-4</v>
      </c>
      <c r="CL34" s="27">
        <f>opex_orig!AB34</f>
        <v>1.6858694531621499E-3</v>
      </c>
      <c r="CM34" s="27">
        <f>opex_orig!AC34</f>
        <v>1.6014469324412499E-3</v>
      </c>
      <c r="CN34" s="27">
        <f>opex_orig!AD34</f>
        <v>1.10386798288958E-3</v>
      </c>
      <c r="CO34" s="27">
        <f>opex_orig!AE34</f>
        <v>1.03199E-3</v>
      </c>
      <c r="CP34" s="27">
        <f>opex_orig!AF34</f>
        <v>1.1336156999999999E-2</v>
      </c>
    </row>
    <row r="35" spans="1:94" x14ac:dyDescent="0.25">
      <c r="A35" s="5" t="s">
        <v>89</v>
      </c>
      <c r="B35" s="2" t="s">
        <v>88</v>
      </c>
      <c r="C35" s="1" t="s">
        <v>326</v>
      </c>
      <c r="D35" s="188">
        <f>opex_orig!D35</f>
        <v>3.3399999999999999E-5</v>
      </c>
      <c r="E35" s="188">
        <f>opex_orig!E35</f>
        <v>5.5899999999999997E-5</v>
      </c>
      <c r="F35" s="188">
        <f>opex_orig!F35</f>
        <v>2.4064400000000001E-4</v>
      </c>
      <c r="G35" s="188">
        <f>opex_orig!G35</f>
        <v>8.2600000000000005E-6</v>
      </c>
      <c r="H35" s="188">
        <f>opex_orig!H35</f>
        <v>2.2699999999999999E-6</v>
      </c>
      <c r="I35" s="188">
        <f>opex_orig!I35</f>
        <v>6.7500000000000001E-5</v>
      </c>
      <c r="J35" s="188">
        <f>opex_orig!J35</f>
        <v>8.0199999999999998E-5</v>
      </c>
      <c r="K35" s="188">
        <f>opex_orig!K35</f>
        <v>4.4299999999999999E-6</v>
      </c>
      <c r="L35" s="188">
        <f>opex_orig!L35</f>
        <v>6.2817400000000001E-4</v>
      </c>
      <c r="M35" s="188">
        <f>opex_orig!M35</f>
        <v>3.7361799999999999E-4</v>
      </c>
      <c r="N35" s="188">
        <f>opex_orig!N35</f>
        <v>1.89326E-4</v>
      </c>
      <c r="O35" s="188">
        <f>opex_orig!O35</f>
        <v>1.1399999999999999E-5</v>
      </c>
      <c r="P35" s="188">
        <f>opex_orig!P35</f>
        <v>8.6399999999999999E-5</v>
      </c>
      <c r="Q35" s="188">
        <f>opex_orig!Q35</f>
        <v>6.8000000000000001E-6</v>
      </c>
      <c r="R35" s="188">
        <f>opex_orig!R35</f>
        <v>2.16E-5</v>
      </c>
      <c r="S35" s="188">
        <f>opex_orig!S35</f>
        <v>2.97E-5</v>
      </c>
      <c r="T35" s="188">
        <f>opex_orig!T35</f>
        <v>3.43E-5</v>
      </c>
      <c r="U35" s="188">
        <f>opex_orig!U35</f>
        <v>2.6400000000000001E-5</v>
      </c>
      <c r="V35" s="188">
        <f>opex_orig!V35</f>
        <v>3.54E-5</v>
      </c>
      <c r="W35" s="188">
        <f>opex_orig!W35</f>
        <v>1.52E-5</v>
      </c>
      <c r="X35" s="188">
        <f>opex_orig!X35</f>
        <v>5.4500000000000003E-6</v>
      </c>
      <c r="Y35" s="188">
        <f>opex_orig!Y35</f>
        <v>8.1199999999999995E-5</v>
      </c>
      <c r="Z35" s="188">
        <f>opex_orig!Z35</f>
        <v>3.8800000000000001E-5</v>
      </c>
      <c r="AA35" s="188">
        <f>opex_orig!AA35</f>
        <v>2.3799999999999999E-5</v>
      </c>
      <c r="AB35" s="188">
        <f>opex_orig!$AB35</f>
        <v>2.3914124155645398E-5</v>
      </c>
      <c r="AC35" s="188">
        <f>opex_orig!$AB35</f>
        <v>2.3914124155645398E-5</v>
      </c>
      <c r="AD35" s="188">
        <f>opex_orig!$AB35</f>
        <v>2.3914124155645398E-5</v>
      </c>
      <c r="AE35" s="188">
        <f>opex_orig!$AC35</f>
        <v>1.2628041236443699E-4</v>
      </c>
      <c r="AF35" s="188">
        <f>opex_orig!$AD35</f>
        <v>1.11389283935398E-3</v>
      </c>
      <c r="AG35" s="188">
        <f>opex_orig!$AD35</f>
        <v>1.11389283935398E-3</v>
      </c>
      <c r="AH35" s="188">
        <f>opex_orig!$AD35</f>
        <v>1.11389283935398E-3</v>
      </c>
      <c r="AI35" s="188">
        <f>opex_orig!AE35</f>
        <v>8.6029300000000004E-4</v>
      </c>
      <c r="AJ35" s="188">
        <f>opex_orig!AF35</f>
        <v>9.3089399999999999E-3</v>
      </c>
      <c r="AK35" s="188">
        <f>opex_orig!AG35</f>
        <v>1.4215199999999999E-4</v>
      </c>
      <c r="AL35" s="188">
        <f>opex_orig!AH35</f>
        <v>1.1628840000000001E-3</v>
      </c>
      <c r="AM35" s="188">
        <f>opex_orig!AI35</f>
        <v>1.6711499999999999E-4</v>
      </c>
      <c r="AN35" s="188">
        <f>opex_orig!AJ35</f>
        <v>5.2874699999999998E-4</v>
      </c>
      <c r="AO35" s="188">
        <f>opex_orig!AK35</f>
        <v>6.3113100000000005E-4</v>
      </c>
      <c r="AP35" s="188">
        <f>opex_orig!$AL35</f>
        <v>3.4357479288574098E-4</v>
      </c>
      <c r="AQ35" s="188">
        <f>opex_orig!$AL35</f>
        <v>3.4357479288574098E-4</v>
      </c>
      <c r="AR35" s="188">
        <f>opex_orig!$AL35</f>
        <v>3.4357479288574098E-4</v>
      </c>
      <c r="AS35" s="188">
        <f>opex_orig!$AM35</f>
        <v>3.0624416735736999E-4</v>
      </c>
      <c r="AT35" s="188">
        <f>opex_orig!AN35</f>
        <v>6.7784099999999999E-4</v>
      </c>
      <c r="AU35" s="188">
        <f>opex_orig!$AO35</f>
        <v>9.1363976234760198E-5</v>
      </c>
      <c r="AV35" s="188">
        <f>opex_orig!$AO35</f>
        <v>9.1363976234760198E-5</v>
      </c>
      <c r="AW35" s="188">
        <f>opex_orig!$AO35</f>
        <v>9.1363976234760198E-5</v>
      </c>
      <c r="AX35" s="188">
        <f>opex_orig!$AP35</f>
        <v>7.4420923880102002E-5</v>
      </c>
      <c r="AY35" s="188">
        <f>opex_orig!AQ35</f>
        <v>1.15269E-4</v>
      </c>
      <c r="AZ35" s="188">
        <f>opex_orig!AR35</f>
        <v>0</v>
      </c>
      <c r="BA35" s="188">
        <f>opex_orig!AS35</f>
        <v>1.3356199999999999E-4</v>
      </c>
      <c r="BB35" s="188">
        <f>opex_orig!AT35</f>
        <v>1.4289399999999999E-4</v>
      </c>
      <c r="BC35" s="188">
        <f>opex_orig!AU35</f>
        <v>1.17514E-4</v>
      </c>
      <c r="BD35" s="188">
        <f>opex_orig!AV35</f>
        <v>1.2218900000000001E-4</v>
      </c>
      <c r="BE35" s="188">
        <f>opex_orig!AW35</f>
        <v>5.9799999999999997E-5</v>
      </c>
      <c r="BF35" s="188">
        <f>opex_orig!AX35</f>
        <v>0</v>
      </c>
      <c r="BG35" s="188">
        <f>opex_orig!AY35</f>
        <v>6.0600000000000003E-5</v>
      </c>
      <c r="BH35" s="188">
        <f>opex_orig!AZ35</f>
        <v>0</v>
      </c>
      <c r="BI35" s="188">
        <f>opex_orig!BA35</f>
        <v>2.947079E-3</v>
      </c>
      <c r="BJ35" s="188">
        <f>opex_orig!BB35</f>
        <v>3.6100000000000003E-5</v>
      </c>
      <c r="BK35" s="188">
        <f>opex_orig!BC35</f>
        <v>1.0550100000000001E-4</v>
      </c>
      <c r="BL35" s="188">
        <f>opex_orig!BD35</f>
        <v>1.2300000000000001E-5</v>
      </c>
      <c r="BM35" s="188">
        <f>opex_orig!BE35</f>
        <v>4.3600000000000003E-5</v>
      </c>
      <c r="BN35" s="188">
        <f>opex_orig!BF35</f>
        <v>2.6299999999999999E-5</v>
      </c>
      <c r="BO35" s="188">
        <f>opex_orig!BG35</f>
        <v>6.2500000000000001E-5</v>
      </c>
      <c r="BP35" s="188">
        <f>opex_orig!$BH35</f>
        <v>1.2462557888889899E-5</v>
      </c>
      <c r="BQ35" s="188">
        <f>opex_orig!$BH35</f>
        <v>1.2462557888889899E-5</v>
      </c>
      <c r="BR35" s="188">
        <f>opex_orig!BI35</f>
        <v>3.6199999999999999E-5</v>
      </c>
      <c r="BS35" s="188">
        <f>opex_orig!BJ35</f>
        <v>1.469599E-3</v>
      </c>
      <c r="BT35" s="188">
        <f>opex_orig!BK35</f>
        <v>1.26558E-4</v>
      </c>
      <c r="BU35" s="188">
        <f>opex_orig!BL35</f>
        <v>0</v>
      </c>
      <c r="BV35" s="27">
        <f>opex_orig!BM35</f>
        <v>5.15522467795291E-5</v>
      </c>
      <c r="BW35" s="27">
        <f>opex_orig!BN35</f>
        <v>2.4831889486767798E-4</v>
      </c>
      <c r="BX35" s="27">
        <f>opex_orig!BO35</f>
        <v>1.14256901649986E-5</v>
      </c>
      <c r="BY35" s="27">
        <f>opex_orig!BP35</f>
        <v>1.5270325361265902E-5</v>
      </c>
      <c r="BZ35" s="27">
        <f>opex_orig!BQ35</f>
        <v>1.7266062016557099E-5</v>
      </c>
      <c r="CA35" s="27">
        <f>opex_orig!BR35</f>
        <v>1.02802650732401E-4</v>
      </c>
      <c r="CB35" s="27">
        <f>opex_orig!BS35</f>
        <v>1.5789079071686801E-4</v>
      </c>
      <c r="CC35" s="27">
        <f>opex_orig!BT35</f>
        <v>7.6707671621549604E-5</v>
      </c>
      <c r="CD35" s="27">
        <f>opex_orig!BU35</f>
        <v>9.4574932816532506E-6</v>
      </c>
      <c r="CE35" s="27">
        <f>opex_orig!BV35</f>
        <v>9.4574932816532692E-6</v>
      </c>
      <c r="CF35" s="27">
        <f>opex_orig!BW35</f>
        <v>1.04793879378905E-5</v>
      </c>
      <c r="CG35" s="27">
        <f>opex_orig!BX35</f>
        <v>9.2638879535854592E-6</v>
      </c>
      <c r="CH35" s="27">
        <f>opex_orig!BY35</f>
        <v>3.1957414290853102E-6</v>
      </c>
      <c r="CI35" s="27">
        <f>opex_orig!Y35</f>
        <v>8.1199999999999995E-5</v>
      </c>
      <c r="CJ35" s="27">
        <f>opex_orig!Z35</f>
        <v>3.8800000000000001E-5</v>
      </c>
      <c r="CK35" s="27">
        <f>opex_orig!AA35</f>
        <v>2.3799999999999999E-5</v>
      </c>
      <c r="CL35" s="27">
        <f>opex_orig!AB35</f>
        <v>2.3914124155645398E-5</v>
      </c>
      <c r="CM35" s="27">
        <f>opex_orig!AC35</f>
        <v>1.2628041236443699E-4</v>
      </c>
      <c r="CN35" s="27">
        <f>opex_orig!AD35</f>
        <v>1.11389283935398E-3</v>
      </c>
      <c r="CO35" s="27">
        <f>opex_orig!AE35</f>
        <v>8.6029300000000004E-4</v>
      </c>
      <c r="CP35" s="27">
        <f>opex_orig!AF35</f>
        <v>9.3089399999999999E-3</v>
      </c>
    </row>
    <row r="36" spans="1:94" x14ac:dyDescent="0.25">
      <c r="A36" s="5" t="s">
        <v>91</v>
      </c>
      <c r="B36" s="2" t="s">
        <v>90</v>
      </c>
      <c r="C36" s="1" t="s">
        <v>327</v>
      </c>
      <c r="D36" s="188">
        <f>opex_orig!D36</f>
        <v>8.9115199999999998E-4</v>
      </c>
      <c r="E36" s="188">
        <f>opex_orig!E36</f>
        <v>1.1169369999999999E-3</v>
      </c>
      <c r="F36" s="188">
        <f>opex_orig!F36</f>
        <v>6.838472E-3</v>
      </c>
      <c r="G36" s="188">
        <f>opex_orig!G36</f>
        <v>7.8700000000000002E-5</v>
      </c>
      <c r="H36" s="188">
        <f>opex_orig!H36</f>
        <v>2.4899999999999999E-5</v>
      </c>
      <c r="I36" s="188">
        <f>opex_orig!I36</f>
        <v>6.1936300000000005E-4</v>
      </c>
      <c r="J36" s="188">
        <f>opex_orig!J36</f>
        <v>6.4988100000000005E-4</v>
      </c>
      <c r="K36" s="188">
        <f>opex_orig!K36</f>
        <v>5.0500000000000001E-5</v>
      </c>
      <c r="L36" s="188">
        <f>opex_orig!L36</f>
        <v>1.0654587E-2</v>
      </c>
      <c r="M36" s="188">
        <f>opex_orig!M36</f>
        <v>9.7879799999999991E-4</v>
      </c>
      <c r="N36" s="188">
        <f>opex_orig!N36</f>
        <v>2.4894100000000001E-3</v>
      </c>
      <c r="O36" s="188">
        <f>opex_orig!O36</f>
        <v>1.263431E-3</v>
      </c>
      <c r="P36" s="188">
        <f>opex_orig!P36</f>
        <v>3.9776600000000003E-4</v>
      </c>
      <c r="Q36" s="188">
        <f>opex_orig!Q36</f>
        <v>4.0805799999999999E-4</v>
      </c>
      <c r="R36" s="188">
        <f>opex_orig!R36</f>
        <v>4.3490599999999999E-4</v>
      </c>
      <c r="S36" s="188">
        <f>opex_orig!S36</f>
        <v>6.5699999999999998E-5</v>
      </c>
      <c r="T36" s="188">
        <f>opex_orig!T36</f>
        <v>1.11258E-4</v>
      </c>
      <c r="U36" s="188">
        <f>opex_orig!U36</f>
        <v>1.0980399999999999E-4</v>
      </c>
      <c r="V36" s="188">
        <f>opex_orig!V36</f>
        <v>1.6589600000000001E-4</v>
      </c>
      <c r="W36" s="188">
        <f>opex_orig!W36</f>
        <v>9.6399999999999999E-5</v>
      </c>
      <c r="X36" s="188">
        <f>opex_orig!X36</f>
        <v>9.5500000000000004E-5</v>
      </c>
      <c r="Y36" s="188">
        <f>opex_orig!Y36</f>
        <v>4.9599999999999999E-5</v>
      </c>
      <c r="Z36" s="188">
        <f>opex_orig!Z36</f>
        <v>2.1403500000000001E-4</v>
      </c>
      <c r="AA36" s="188">
        <f>opex_orig!AA36</f>
        <v>1.6176600000000001E-4</v>
      </c>
      <c r="AB36" s="188">
        <f>opex_orig!$AB36</f>
        <v>5.08534392158695E-4</v>
      </c>
      <c r="AC36" s="188">
        <f>opex_orig!$AB36</f>
        <v>5.08534392158695E-4</v>
      </c>
      <c r="AD36" s="188">
        <f>opex_orig!$AB36</f>
        <v>5.08534392158695E-4</v>
      </c>
      <c r="AE36" s="188">
        <f>opex_orig!$AC36</f>
        <v>7.9959097130697504E-4</v>
      </c>
      <c r="AF36" s="188">
        <f>opex_orig!$AD36</f>
        <v>2.9042981904939599E-4</v>
      </c>
      <c r="AG36" s="188">
        <f>opex_orig!$AD36</f>
        <v>2.9042981904939599E-4</v>
      </c>
      <c r="AH36" s="188">
        <f>opex_orig!$AD36</f>
        <v>2.9042981904939599E-4</v>
      </c>
      <c r="AI36" s="188">
        <f>opex_orig!AE36</f>
        <v>2.5387400000000002E-4</v>
      </c>
      <c r="AJ36" s="188">
        <f>opex_orig!AF36</f>
        <v>3.1221200000000003E-4</v>
      </c>
      <c r="AK36" s="188">
        <f>opex_orig!AG36</f>
        <v>1.17243E-4</v>
      </c>
      <c r="AL36" s="188">
        <f>opex_orig!AH36</f>
        <v>6.8999999999999997E-5</v>
      </c>
      <c r="AM36" s="188">
        <f>opex_orig!AI36</f>
        <v>9.3900000000000006E-5</v>
      </c>
      <c r="AN36" s="188">
        <f>opex_orig!AJ36</f>
        <v>7.0699999999999997E-5</v>
      </c>
      <c r="AO36" s="188">
        <f>opex_orig!AK36</f>
        <v>1.14032E-4</v>
      </c>
      <c r="AP36" s="188">
        <f>opex_orig!$AL36</f>
        <v>6.9166382577343999E-5</v>
      </c>
      <c r="AQ36" s="188">
        <f>opex_orig!$AL36</f>
        <v>6.9166382577343999E-5</v>
      </c>
      <c r="AR36" s="188">
        <f>opex_orig!$AL36</f>
        <v>6.9166382577343999E-5</v>
      </c>
      <c r="AS36" s="188">
        <f>opex_orig!$AM36</f>
        <v>8.9835562654913895E-5</v>
      </c>
      <c r="AT36" s="188">
        <f>opex_orig!AN36</f>
        <v>9.4300000000000002E-5</v>
      </c>
      <c r="AU36" s="188">
        <f>opex_orig!$AO36</f>
        <v>4.7616318346772798E-5</v>
      </c>
      <c r="AV36" s="188">
        <f>opex_orig!$AO36</f>
        <v>4.7616318346772798E-5</v>
      </c>
      <c r="AW36" s="188">
        <f>opex_orig!$AO36</f>
        <v>4.7616318346772798E-5</v>
      </c>
      <c r="AX36" s="188">
        <f>opex_orig!$AP36</f>
        <v>7.9690036814502894E-5</v>
      </c>
      <c r="AY36" s="188">
        <f>opex_orig!AQ36</f>
        <v>1.0005699999999999E-4</v>
      </c>
      <c r="AZ36" s="188">
        <f>opex_orig!AR36</f>
        <v>0</v>
      </c>
      <c r="BA36" s="188">
        <f>opex_orig!AS36</f>
        <v>9.3399999999999993E-5</v>
      </c>
      <c r="BB36" s="188">
        <f>opex_orig!AT36</f>
        <v>7.0300000000000001E-5</v>
      </c>
      <c r="BC36" s="188">
        <f>opex_orig!AU36</f>
        <v>6.9900000000000005E-5</v>
      </c>
      <c r="BD36" s="188">
        <f>opex_orig!AV36</f>
        <v>4.3999999999999999E-5</v>
      </c>
      <c r="BE36" s="188">
        <f>opex_orig!AW36</f>
        <v>8.9300000000000002E-5</v>
      </c>
      <c r="BF36" s="188">
        <f>opex_orig!AX36</f>
        <v>0</v>
      </c>
      <c r="BG36" s="188">
        <f>opex_orig!AY36</f>
        <v>1.5091599999999999E-4</v>
      </c>
      <c r="BH36" s="188">
        <f>opex_orig!AZ36</f>
        <v>0</v>
      </c>
      <c r="BI36" s="188">
        <f>opex_orig!BA36</f>
        <v>5.3900000000000002E-5</v>
      </c>
      <c r="BJ36" s="188">
        <f>opex_orig!BB36</f>
        <v>6.1400000000000002E-5</v>
      </c>
      <c r="BK36" s="188">
        <f>opex_orig!BC36</f>
        <v>7.8999999999999996E-5</v>
      </c>
      <c r="BL36" s="188">
        <f>opex_orig!BD36</f>
        <v>8.0900000000000001E-5</v>
      </c>
      <c r="BM36" s="188">
        <f>opex_orig!BE36</f>
        <v>7.25E-5</v>
      </c>
      <c r="BN36" s="188">
        <f>opex_orig!BF36</f>
        <v>4.6900000000000002E-5</v>
      </c>
      <c r="BO36" s="188">
        <f>opex_orig!BG36</f>
        <v>1.2877900000000001E-4</v>
      </c>
      <c r="BP36" s="188">
        <f>opex_orig!$BH36</f>
        <v>7.8949740274024296E-5</v>
      </c>
      <c r="BQ36" s="188">
        <f>opex_orig!$BH36</f>
        <v>7.8949740274024296E-5</v>
      </c>
      <c r="BR36" s="188">
        <f>opex_orig!BI36</f>
        <v>7.1899999999999999E-5</v>
      </c>
      <c r="BS36" s="188">
        <f>opex_orig!BJ36</f>
        <v>8.0500000000000005E-5</v>
      </c>
      <c r="BT36" s="188">
        <f>opex_orig!BK36</f>
        <v>2.8391499999999998E-4</v>
      </c>
      <c r="BU36" s="188">
        <f>opex_orig!BL36</f>
        <v>0</v>
      </c>
      <c r="BV36" s="27">
        <f>opex_orig!BM36</f>
        <v>6.6080229003064996E-5</v>
      </c>
      <c r="BW36" s="27">
        <f>opex_orig!BN36</f>
        <v>2.5801610015121102E-4</v>
      </c>
      <c r="BX36" s="27">
        <f>opex_orig!BO36</f>
        <v>3.5254039437526797E-5</v>
      </c>
      <c r="BY36" s="27">
        <f>opex_orig!BP36</f>
        <v>1.8132612865642901E-4</v>
      </c>
      <c r="BZ36" s="27">
        <f>opex_orig!BQ36</f>
        <v>9.2129566227845696E-5</v>
      </c>
      <c r="CA36" s="27">
        <f>opex_orig!BR36</f>
        <v>6.6372237260418702E-6</v>
      </c>
      <c r="CB36" s="27">
        <f>opex_orig!BS36</f>
        <v>2.4718275648784701E-4</v>
      </c>
      <c r="CC36" s="27">
        <f>opex_orig!BT36</f>
        <v>7.09428004509033E-5</v>
      </c>
      <c r="CD36" s="27">
        <f>opex_orig!BU36</f>
        <v>2.6620843731734401E-5</v>
      </c>
      <c r="CE36" s="27">
        <f>opex_orig!BV36</f>
        <v>2.6620843731734401E-5</v>
      </c>
      <c r="CF36" s="27">
        <f>opex_orig!BW36</f>
        <v>4.72034873240872E-5</v>
      </c>
      <c r="CG36" s="27">
        <f>opex_orig!BX36</f>
        <v>9.6991227695475796E-6</v>
      </c>
      <c r="CH36" s="27">
        <f>opex_orig!BY36</f>
        <v>6.2197760602174105E-4</v>
      </c>
      <c r="CI36" s="27">
        <f>opex_orig!Y36</f>
        <v>4.9599999999999999E-5</v>
      </c>
      <c r="CJ36" s="27">
        <f>opex_orig!Z36</f>
        <v>2.1403500000000001E-4</v>
      </c>
      <c r="CK36" s="27">
        <f>opex_orig!AA36</f>
        <v>1.6176600000000001E-4</v>
      </c>
      <c r="CL36" s="27">
        <f>opex_orig!AB36</f>
        <v>5.08534392158695E-4</v>
      </c>
      <c r="CM36" s="27">
        <f>opex_orig!AC36</f>
        <v>7.9959097130697504E-4</v>
      </c>
      <c r="CN36" s="27">
        <f>opex_orig!AD36</f>
        <v>2.9042981904939599E-4</v>
      </c>
      <c r="CO36" s="27">
        <f>opex_orig!AE36</f>
        <v>2.5387400000000002E-4</v>
      </c>
      <c r="CP36" s="27">
        <f>opex_orig!AF36</f>
        <v>3.1221200000000003E-4</v>
      </c>
    </row>
    <row r="37" spans="1:94" x14ac:dyDescent="0.25">
      <c r="A37" s="5" t="s">
        <v>93</v>
      </c>
      <c r="B37" s="2" t="s">
        <v>92</v>
      </c>
      <c r="C37" s="1" t="s">
        <v>327</v>
      </c>
      <c r="D37" s="188">
        <f>opex_orig!D37</f>
        <v>5.9942199999999995E-4</v>
      </c>
      <c r="E37" s="188">
        <f>opex_orig!E37</f>
        <v>1.0181032E-2</v>
      </c>
      <c r="F37" s="188">
        <f>opex_orig!F37</f>
        <v>4.2885470000000002E-3</v>
      </c>
      <c r="G37" s="188">
        <f>opex_orig!G37</f>
        <v>1.7132599999999999E-4</v>
      </c>
      <c r="H37" s="188">
        <f>opex_orig!H37</f>
        <v>1.7034400000000001E-4</v>
      </c>
      <c r="I37" s="188">
        <f>opex_orig!I37</f>
        <v>8.19216E-4</v>
      </c>
      <c r="J37" s="188">
        <f>opex_orig!J37</f>
        <v>1.529704E-3</v>
      </c>
      <c r="K37" s="188">
        <f>opex_orig!K37</f>
        <v>3.7936300000000002E-4</v>
      </c>
      <c r="L37" s="188">
        <f>opex_orig!L37</f>
        <v>1.7054219999999998E-2</v>
      </c>
      <c r="M37" s="188">
        <f>opex_orig!M37</f>
        <v>2.1486370000000001E-3</v>
      </c>
      <c r="N37" s="188">
        <f>opex_orig!N37</f>
        <v>1.1645343000000001E-2</v>
      </c>
      <c r="O37" s="188">
        <f>opex_orig!O37</f>
        <v>2.4725459999999999E-3</v>
      </c>
      <c r="P37" s="188">
        <f>opex_orig!P37</f>
        <v>8.8837599999999997E-4</v>
      </c>
      <c r="Q37" s="188">
        <f>opex_orig!Q37</f>
        <v>6.9471099999999998E-4</v>
      </c>
      <c r="R37" s="188">
        <f>opex_orig!R37</f>
        <v>1.1300780000000001E-3</v>
      </c>
      <c r="S37" s="188">
        <f>opex_orig!S37</f>
        <v>3.5453200000000001E-4</v>
      </c>
      <c r="T37" s="188">
        <f>opex_orig!T37</f>
        <v>7.5299600000000003E-4</v>
      </c>
      <c r="U37" s="188">
        <f>opex_orig!U37</f>
        <v>4.6707200000000002E-4</v>
      </c>
      <c r="V37" s="188">
        <f>opex_orig!V37</f>
        <v>6.2480100000000002E-4</v>
      </c>
      <c r="W37" s="188">
        <f>opex_orig!W37</f>
        <v>2.8098799999999997E-4</v>
      </c>
      <c r="X37" s="188">
        <f>opex_orig!X37</f>
        <v>4.3299799999999998E-4</v>
      </c>
      <c r="Y37" s="188">
        <f>opex_orig!Y37</f>
        <v>3.5974100000000001E-4</v>
      </c>
      <c r="Z37" s="188">
        <f>opex_orig!Z37</f>
        <v>2.0781400000000001E-4</v>
      </c>
      <c r="AA37" s="188">
        <f>opex_orig!AA37</f>
        <v>1.106686E-3</v>
      </c>
      <c r="AB37" s="188">
        <f>opex_orig!$AB37</f>
        <v>1.0890404676379901E-3</v>
      </c>
      <c r="AC37" s="188">
        <f>opex_orig!$AB37</f>
        <v>1.0890404676379901E-3</v>
      </c>
      <c r="AD37" s="188">
        <f>opex_orig!$AB37</f>
        <v>1.0890404676379901E-3</v>
      </c>
      <c r="AE37" s="188">
        <f>opex_orig!$AC37</f>
        <v>2.6765512889738601E-3</v>
      </c>
      <c r="AF37" s="188">
        <f>opex_orig!$AD37</f>
        <v>6.99452959996311E-4</v>
      </c>
      <c r="AG37" s="188">
        <f>opex_orig!$AD37</f>
        <v>6.99452959996311E-4</v>
      </c>
      <c r="AH37" s="188">
        <f>opex_orig!$AD37</f>
        <v>6.99452959996311E-4</v>
      </c>
      <c r="AI37" s="188">
        <f>opex_orig!AE37</f>
        <v>4.9685099999999998E-4</v>
      </c>
      <c r="AJ37" s="188">
        <f>opex_orig!AF37</f>
        <v>1.781707E-3</v>
      </c>
      <c r="AK37" s="188">
        <f>opex_orig!AG37</f>
        <v>7.8961600000000004E-4</v>
      </c>
      <c r="AL37" s="188">
        <f>opex_orig!AH37</f>
        <v>2.6904499999999998E-4</v>
      </c>
      <c r="AM37" s="188">
        <f>opex_orig!AI37</f>
        <v>5.2042400000000002E-4</v>
      </c>
      <c r="AN37" s="188">
        <f>opex_orig!AJ37</f>
        <v>2.7947699999999998E-4</v>
      </c>
      <c r="AO37" s="188">
        <f>opex_orig!AK37</f>
        <v>6.2777600000000003E-4</v>
      </c>
      <c r="AP37" s="188">
        <f>opex_orig!$AL37</f>
        <v>3.2157478218731398E-4</v>
      </c>
      <c r="AQ37" s="188">
        <f>opex_orig!$AL37</f>
        <v>3.2157478218731398E-4</v>
      </c>
      <c r="AR37" s="188">
        <f>opex_orig!$AL37</f>
        <v>3.2157478218731398E-4</v>
      </c>
      <c r="AS37" s="188">
        <f>opex_orig!$AM37</f>
        <v>5.0176333488626305E-4</v>
      </c>
      <c r="AT37" s="188">
        <f>opex_orig!AN37</f>
        <v>4.9551399999999996E-4</v>
      </c>
      <c r="AU37" s="188">
        <f>opex_orig!$AO37</f>
        <v>2.4034740308726801E-4</v>
      </c>
      <c r="AV37" s="188">
        <f>opex_orig!$AO37</f>
        <v>2.4034740308726801E-4</v>
      </c>
      <c r="AW37" s="188">
        <f>opex_orig!$AO37</f>
        <v>2.4034740308726801E-4</v>
      </c>
      <c r="AX37" s="188">
        <f>opex_orig!$AP37</f>
        <v>3.97525087486422E-4</v>
      </c>
      <c r="AY37" s="188">
        <f>opex_orig!AQ37</f>
        <v>4.9818300000000002E-4</v>
      </c>
      <c r="AZ37" s="188">
        <f>opex_orig!AR37</f>
        <v>0</v>
      </c>
      <c r="BA37" s="188">
        <f>opex_orig!AS37</f>
        <v>5.0688299999999996E-4</v>
      </c>
      <c r="BB37" s="188">
        <f>opex_orig!AT37</f>
        <v>4.2182599999999998E-4</v>
      </c>
      <c r="BC37" s="188">
        <f>opex_orig!AU37</f>
        <v>2.7742799999999997E-4</v>
      </c>
      <c r="BD37" s="188">
        <f>opex_orig!AV37</f>
        <v>2.23169E-4</v>
      </c>
      <c r="BE37" s="188">
        <f>opex_orig!AW37</f>
        <v>5.8770399999999998E-4</v>
      </c>
      <c r="BF37" s="188">
        <f>opex_orig!AX37</f>
        <v>0</v>
      </c>
      <c r="BG37" s="188">
        <f>opex_orig!AY37</f>
        <v>1.1394630000000001E-3</v>
      </c>
      <c r="BH37" s="188">
        <f>opex_orig!AZ37</f>
        <v>0</v>
      </c>
      <c r="BI37" s="188">
        <f>opex_orig!BA37</f>
        <v>2.32773E-4</v>
      </c>
      <c r="BJ37" s="188">
        <f>opex_orig!BB37</f>
        <v>1.7013799999999999E-4</v>
      </c>
      <c r="BK37" s="188">
        <f>opex_orig!BC37</f>
        <v>2.8394899999999997E-4</v>
      </c>
      <c r="BL37" s="188">
        <f>opex_orig!BD37</f>
        <v>1.6661200000000001E-4</v>
      </c>
      <c r="BM37" s="188">
        <f>opex_orig!BE37</f>
        <v>1.4836E-4</v>
      </c>
      <c r="BN37" s="188">
        <f>opex_orig!BF37</f>
        <v>2.0826199999999999E-4</v>
      </c>
      <c r="BO37" s="188">
        <f>opex_orig!BG37</f>
        <v>5.90962E-4</v>
      </c>
      <c r="BP37" s="188">
        <f>opex_orig!$BH37</f>
        <v>3.0517123328212698E-4</v>
      </c>
      <c r="BQ37" s="188">
        <f>opex_orig!$BH37</f>
        <v>3.0517123328212698E-4</v>
      </c>
      <c r="BR37" s="188">
        <f>opex_orig!BI37</f>
        <v>2.4579300000000001E-4</v>
      </c>
      <c r="BS37" s="188">
        <f>opex_orig!BJ37</f>
        <v>3.0181000000000001E-4</v>
      </c>
      <c r="BT37" s="188">
        <f>opex_orig!BK37</f>
        <v>4.9648800000000001E-4</v>
      </c>
      <c r="BU37" s="188">
        <f>opex_orig!BL37</f>
        <v>0</v>
      </c>
      <c r="BV37" s="27">
        <f>opex_orig!BM37</f>
        <v>2.3018410114402301E-4</v>
      </c>
      <c r="BW37" s="27">
        <f>opex_orig!BN37</f>
        <v>7.6040799804422295E-4</v>
      </c>
      <c r="BX37" s="27">
        <f>opex_orig!BO37</f>
        <v>7.9063451608296601E-5</v>
      </c>
      <c r="BY37" s="27">
        <f>opex_orig!BP37</f>
        <v>4.3722537212892199E-4</v>
      </c>
      <c r="BZ37" s="27">
        <f>opex_orig!BQ37</f>
        <v>3.6522529730801301E-4</v>
      </c>
      <c r="CA37" s="27">
        <f>opex_orig!BR37</f>
        <v>2.9899100813160201E-5</v>
      </c>
      <c r="CB37" s="27">
        <f>opex_orig!BS37</f>
        <v>1.3632621342988701E-3</v>
      </c>
      <c r="CC37" s="27">
        <f>opex_orig!BT37</f>
        <v>2.6841829413253E-5</v>
      </c>
      <c r="CD37" s="27">
        <f>opex_orig!BU37</f>
        <v>1.3309271554056801E-4</v>
      </c>
      <c r="CE37" s="27">
        <f>opex_orig!BV37</f>
        <v>1.3309271554056801E-4</v>
      </c>
      <c r="CF37" s="27">
        <f>opex_orig!BW37</f>
        <v>2.1142417778256901E-4</v>
      </c>
      <c r="CG37" s="27">
        <f>opex_orig!BX37</f>
        <v>6.4499909462131703E-6</v>
      </c>
      <c r="CH37" s="27">
        <f>opex_orig!BY37</f>
        <v>1.4489163343161499E-4</v>
      </c>
      <c r="CI37" s="27">
        <f>opex_orig!Y37</f>
        <v>3.5974100000000001E-4</v>
      </c>
      <c r="CJ37" s="27">
        <f>opex_orig!Z37</f>
        <v>2.0781400000000001E-4</v>
      </c>
      <c r="CK37" s="27">
        <f>opex_orig!AA37</f>
        <v>1.106686E-3</v>
      </c>
      <c r="CL37" s="27">
        <f>opex_orig!AB37</f>
        <v>1.0890404676379901E-3</v>
      </c>
      <c r="CM37" s="27">
        <f>opex_orig!AC37</f>
        <v>2.6765512889738601E-3</v>
      </c>
      <c r="CN37" s="27">
        <f>opex_orig!AD37</f>
        <v>6.99452959996311E-4</v>
      </c>
      <c r="CO37" s="27">
        <f>opex_orig!AE37</f>
        <v>4.9685099999999998E-4</v>
      </c>
      <c r="CP37" s="27">
        <f>opex_orig!AF37</f>
        <v>1.781707E-3</v>
      </c>
    </row>
    <row r="38" spans="1:94" x14ac:dyDescent="0.25">
      <c r="A38" s="5" t="s">
        <v>95</v>
      </c>
      <c r="B38" s="2" t="s">
        <v>94</v>
      </c>
      <c r="C38" s="1" t="s">
        <v>327</v>
      </c>
      <c r="D38" s="188">
        <f>opex_orig!D38</f>
        <v>4.5500000000000001E-5</v>
      </c>
      <c r="E38" s="188">
        <f>opex_orig!E38</f>
        <v>7.2899999999999997E-5</v>
      </c>
      <c r="F38" s="188">
        <f>opex_orig!F38</f>
        <v>3.2922600000000001E-4</v>
      </c>
      <c r="G38" s="188">
        <f>opex_orig!G38</f>
        <v>7.3599999999999998E-6</v>
      </c>
      <c r="H38" s="188">
        <f>opex_orig!H38</f>
        <v>3.5899999999999999E-6</v>
      </c>
      <c r="I38" s="188">
        <f>opex_orig!I38</f>
        <v>3.4799999999999999E-5</v>
      </c>
      <c r="J38" s="188">
        <f>opex_orig!J38</f>
        <v>1.1029799999999999E-4</v>
      </c>
      <c r="K38" s="188">
        <f>opex_orig!K38</f>
        <v>5.5199999999999997E-6</v>
      </c>
      <c r="L38" s="188">
        <f>opex_orig!L38</f>
        <v>4.7808799999999999E-4</v>
      </c>
      <c r="M38" s="188">
        <f>opex_orig!M38</f>
        <v>6.05E-5</v>
      </c>
      <c r="N38" s="188">
        <f>opex_orig!N38</f>
        <v>9.0593800000000001E-4</v>
      </c>
      <c r="O38" s="188">
        <f>opex_orig!O38</f>
        <v>1.2040300000000001E-4</v>
      </c>
      <c r="P38" s="188">
        <f>opex_orig!P38</f>
        <v>7.6500000000000003E-5</v>
      </c>
      <c r="Q38" s="188">
        <f>opex_orig!Q38</f>
        <v>1.35876E-4</v>
      </c>
      <c r="R38" s="188">
        <f>opex_orig!R38</f>
        <v>1.2889600000000001E-4</v>
      </c>
      <c r="S38" s="188">
        <f>opex_orig!S38</f>
        <v>3.96E-5</v>
      </c>
      <c r="T38" s="188">
        <f>opex_orig!T38</f>
        <v>3.9799999999999998E-5</v>
      </c>
      <c r="U38" s="188">
        <f>opex_orig!U38</f>
        <v>4.8699999999999998E-5</v>
      </c>
      <c r="V38" s="188">
        <f>opex_orig!V38</f>
        <v>7.0400000000000004E-5</v>
      </c>
      <c r="W38" s="188">
        <f>opex_orig!W38</f>
        <v>3.9799999999999998E-5</v>
      </c>
      <c r="X38" s="188">
        <f>opex_orig!X38</f>
        <v>2.72E-5</v>
      </c>
      <c r="Y38" s="188">
        <f>opex_orig!Y38</f>
        <v>8.5399999999999996E-6</v>
      </c>
      <c r="Z38" s="188">
        <f>opex_orig!Z38</f>
        <v>1.39214E-4</v>
      </c>
      <c r="AA38" s="188">
        <f>opex_orig!AA38</f>
        <v>2.6699999999999998E-5</v>
      </c>
      <c r="AB38" s="188">
        <f>opex_orig!$AB38</f>
        <v>4.4897929942433202E-4</v>
      </c>
      <c r="AC38" s="188">
        <f>opex_orig!$AB38</f>
        <v>4.4897929942433202E-4</v>
      </c>
      <c r="AD38" s="188">
        <f>opex_orig!$AB38</f>
        <v>4.4897929942433202E-4</v>
      </c>
      <c r="AE38" s="188">
        <f>opex_orig!$AC38</f>
        <v>4.2336191851296602E-4</v>
      </c>
      <c r="AF38" s="188">
        <f>opex_orig!$AD38</f>
        <v>2.02183578993548E-4</v>
      </c>
      <c r="AG38" s="188">
        <f>opex_orig!$AD38</f>
        <v>2.02183578993548E-4</v>
      </c>
      <c r="AH38" s="188">
        <f>opex_orig!$AD38</f>
        <v>2.02183578993548E-4</v>
      </c>
      <c r="AI38" s="188">
        <f>opex_orig!AE38</f>
        <v>1.8769300000000001E-4</v>
      </c>
      <c r="AJ38" s="188">
        <f>opex_orig!AF38</f>
        <v>3.2254799999999998E-4</v>
      </c>
      <c r="AK38" s="188">
        <f>opex_orig!AG38</f>
        <v>8.6799999999999996E-5</v>
      </c>
      <c r="AL38" s="188">
        <f>opex_orig!AH38</f>
        <v>6.9200000000000002E-5</v>
      </c>
      <c r="AM38" s="188">
        <f>opex_orig!AI38</f>
        <v>2.4499999999999999E-5</v>
      </c>
      <c r="AN38" s="188">
        <f>opex_orig!AJ38</f>
        <v>4.3000000000000002E-5</v>
      </c>
      <c r="AO38" s="188">
        <f>opex_orig!AK38</f>
        <v>3.6600000000000002E-5</v>
      </c>
      <c r="AP38" s="188">
        <f>opex_orig!$AL38</f>
        <v>3.1692626215953903E-5</v>
      </c>
      <c r="AQ38" s="188">
        <f>opex_orig!$AL38</f>
        <v>3.1692626215953903E-5</v>
      </c>
      <c r="AR38" s="188">
        <f>opex_orig!$AL38</f>
        <v>3.1692626215953903E-5</v>
      </c>
      <c r="AS38" s="188">
        <f>opex_orig!$AM38</f>
        <v>2.2795440304493499E-5</v>
      </c>
      <c r="AT38" s="188">
        <f>opex_orig!AN38</f>
        <v>4.46E-5</v>
      </c>
      <c r="AU38" s="188">
        <f>opex_orig!$AO38</f>
        <v>3.76943327412314E-5</v>
      </c>
      <c r="AV38" s="188">
        <f>opex_orig!$AO38</f>
        <v>3.76943327412314E-5</v>
      </c>
      <c r="AW38" s="188">
        <f>opex_orig!$AO38</f>
        <v>3.76943327412314E-5</v>
      </c>
      <c r="AX38" s="188">
        <f>opex_orig!$AP38</f>
        <v>4.46832039584569E-5</v>
      </c>
      <c r="AY38" s="188">
        <f>opex_orig!AQ38</f>
        <v>4.9599999999999999E-5</v>
      </c>
      <c r="AZ38" s="188">
        <f>opex_orig!AR38</f>
        <v>0</v>
      </c>
      <c r="BA38" s="188">
        <f>opex_orig!AS38</f>
        <v>5.5699999999999999E-5</v>
      </c>
      <c r="BB38" s="188">
        <f>opex_orig!AT38</f>
        <v>4.18E-5</v>
      </c>
      <c r="BC38" s="188">
        <f>opex_orig!AU38</f>
        <v>3.4999999999999997E-5</v>
      </c>
      <c r="BD38" s="188">
        <f>opex_orig!AV38</f>
        <v>9.6600000000000007E-6</v>
      </c>
      <c r="BE38" s="188">
        <f>opex_orig!AW38</f>
        <v>1.3677700000000001E-4</v>
      </c>
      <c r="BF38" s="188">
        <f>opex_orig!AX38</f>
        <v>0</v>
      </c>
      <c r="BG38" s="188">
        <f>opex_orig!AY38</f>
        <v>2.4600000000000002E-5</v>
      </c>
      <c r="BH38" s="188">
        <f>opex_orig!AZ38</f>
        <v>0</v>
      </c>
      <c r="BI38" s="188">
        <f>opex_orig!BA38</f>
        <v>4.1199999999999999E-5</v>
      </c>
      <c r="BJ38" s="188">
        <f>opex_orig!BB38</f>
        <v>2.2900000000000001E-5</v>
      </c>
      <c r="BK38" s="188">
        <f>opex_orig!BC38</f>
        <v>5.1600000000000001E-5</v>
      </c>
      <c r="BL38" s="188">
        <f>opex_orig!BD38</f>
        <v>8.4400000000000005E-5</v>
      </c>
      <c r="BM38" s="188">
        <f>opex_orig!BE38</f>
        <v>7.1400000000000001E-5</v>
      </c>
      <c r="BN38" s="188">
        <f>opex_orig!BF38</f>
        <v>6.9300000000000004E-5</v>
      </c>
      <c r="BO38" s="188">
        <f>opex_orig!BG38</f>
        <v>1.04694E-4</v>
      </c>
      <c r="BP38" s="188">
        <f>opex_orig!$BH38</f>
        <v>3.5790768720660702E-5</v>
      </c>
      <c r="BQ38" s="188">
        <f>opex_orig!$BH38</f>
        <v>3.5790768720660702E-5</v>
      </c>
      <c r="BR38" s="188">
        <f>opex_orig!BI38</f>
        <v>7.5699999999999997E-5</v>
      </c>
      <c r="BS38" s="188">
        <f>opex_orig!BJ38</f>
        <v>7.6199999999999995E-5</v>
      </c>
      <c r="BT38" s="188">
        <f>opex_orig!BK38</f>
        <v>5.0808400000000001E-4</v>
      </c>
      <c r="BU38" s="188">
        <f>opex_orig!BL38</f>
        <v>0</v>
      </c>
      <c r="BV38" s="27">
        <f>opex_orig!BM38</f>
        <v>3.6727187574824098E-5</v>
      </c>
      <c r="BW38" s="27">
        <f>opex_orig!BN38</f>
        <v>1.7451644867169099E-4</v>
      </c>
      <c r="BX38" s="27">
        <f>opex_orig!BO38</f>
        <v>1.54043643137606E-5</v>
      </c>
      <c r="BY38" s="27">
        <f>opex_orig!BP38</f>
        <v>1.20040039423257E-4</v>
      </c>
      <c r="BZ38" s="27">
        <f>opex_orig!BQ38</f>
        <v>2.2902680287970001E-5</v>
      </c>
      <c r="CA38" s="27">
        <f>opex_orig!BR38</f>
        <v>4.1234828645181098E-6</v>
      </c>
      <c r="CB38" s="27">
        <f>opex_orig!BS38</f>
        <v>5.8071222380606402E-5</v>
      </c>
      <c r="CC38" s="27">
        <f>opex_orig!BT38</f>
        <v>1.6975760208845699E-5</v>
      </c>
      <c r="CD38" s="27">
        <f>opex_orig!BU38</f>
        <v>5.5324437050663703E-6</v>
      </c>
      <c r="CE38" s="27">
        <f>opex_orig!BV38</f>
        <v>5.5324437050663796E-6</v>
      </c>
      <c r="CF38" s="27">
        <f>opex_orig!BW38</f>
        <v>3.2503939594610297E-5</v>
      </c>
      <c r="CG38" s="27">
        <f>opex_orig!BX38</f>
        <v>8.8661626827225003E-6</v>
      </c>
      <c r="CH38" s="27">
        <f>opex_orig!BY38</f>
        <v>1.80686762497684E-4</v>
      </c>
      <c r="CI38" s="27">
        <f>opex_orig!Y38</f>
        <v>8.5399999999999996E-6</v>
      </c>
      <c r="CJ38" s="27">
        <f>opex_orig!Z38</f>
        <v>1.39214E-4</v>
      </c>
      <c r="CK38" s="27">
        <f>opex_orig!AA38</f>
        <v>2.6699999999999998E-5</v>
      </c>
      <c r="CL38" s="27">
        <f>opex_orig!AB38</f>
        <v>4.4897929942433202E-4</v>
      </c>
      <c r="CM38" s="27">
        <f>opex_orig!AC38</f>
        <v>4.2336191851296602E-4</v>
      </c>
      <c r="CN38" s="27">
        <f>opex_orig!AD38</f>
        <v>2.02183578993548E-4</v>
      </c>
      <c r="CO38" s="27">
        <f>opex_orig!AE38</f>
        <v>1.8769300000000001E-4</v>
      </c>
      <c r="CP38" s="27">
        <f>opex_orig!AF38</f>
        <v>3.2254799999999998E-4</v>
      </c>
    </row>
    <row r="39" spans="1:94" x14ac:dyDescent="0.25">
      <c r="A39" s="5" t="s">
        <v>97</v>
      </c>
      <c r="B39" s="2" t="s">
        <v>96</v>
      </c>
      <c r="C39" s="1" t="s">
        <v>327</v>
      </c>
      <c r="D39" s="188">
        <f>opex_orig!D39</f>
        <v>3.6170000000000001E-4</v>
      </c>
      <c r="E39" s="188">
        <f>opex_orig!E39</f>
        <v>8.5697099999999999E-4</v>
      </c>
      <c r="F39" s="188">
        <f>opex_orig!F39</f>
        <v>5.6755299999999998E-3</v>
      </c>
      <c r="G39" s="188">
        <f>opex_orig!G39</f>
        <v>3.9115920000000002E-3</v>
      </c>
      <c r="H39" s="188">
        <f>opex_orig!H39</f>
        <v>1.1799999999999999E-6</v>
      </c>
      <c r="I39" s="188">
        <f>opex_orig!I39</f>
        <v>4.3712200000000002E-4</v>
      </c>
      <c r="J39" s="188">
        <f>opex_orig!J39</f>
        <v>1.8294606000000001E-2</v>
      </c>
      <c r="K39" s="188">
        <f>opex_orig!K39</f>
        <v>1.81E-6</v>
      </c>
      <c r="L39" s="188">
        <f>opex_orig!L39</f>
        <v>6.9846020000000003E-3</v>
      </c>
      <c r="M39" s="188">
        <f>opex_orig!M39</f>
        <v>6.2554799999999997E-4</v>
      </c>
      <c r="N39" s="188">
        <f>opex_orig!N39</f>
        <v>6.8300230000000002E-3</v>
      </c>
      <c r="O39" s="188">
        <f>opex_orig!O39</f>
        <v>7.0429100000000001E-4</v>
      </c>
      <c r="P39" s="188">
        <f>opex_orig!P39</f>
        <v>1.66286E-4</v>
      </c>
      <c r="Q39" s="188">
        <f>opex_orig!Q39</f>
        <v>1.9952199999999999E-4</v>
      </c>
      <c r="R39" s="188">
        <f>opex_orig!R39</f>
        <v>9.0912899999999995E-4</v>
      </c>
      <c r="S39" s="188">
        <f>opex_orig!S39</f>
        <v>1.24E-5</v>
      </c>
      <c r="T39" s="188">
        <f>opex_orig!T39</f>
        <v>1.7E-5</v>
      </c>
      <c r="U39" s="188">
        <f>opex_orig!U39</f>
        <v>1.2E-5</v>
      </c>
      <c r="V39" s="188">
        <f>opex_orig!V39</f>
        <v>1.33E-5</v>
      </c>
      <c r="W39" s="188">
        <f>opex_orig!W39</f>
        <v>1.0499999999999999E-5</v>
      </c>
      <c r="X39" s="188">
        <f>opex_orig!X39</f>
        <v>1.7127099999999999E-4</v>
      </c>
      <c r="Y39" s="188">
        <f>opex_orig!Y39</f>
        <v>5.4500000000000003E-6</v>
      </c>
      <c r="Z39" s="188">
        <f>opex_orig!Z39</f>
        <v>6.5500000000000006E-5</v>
      </c>
      <c r="AA39" s="188">
        <f>opex_orig!AA39</f>
        <v>8.3399999999999998E-6</v>
      </c>
      <c r="AB39" s="188">
        <f>opex_orig!$AB39</f>
        <v>4.70373126065955E-5</v>
      </c>
      <c r="AC39" s="188">
        <f>opex_orig!$AB39</f>
        <v>4.70373126065955E-5</v>
      </c>
      <c r="AD39" s="188">
        <f>opex_orig!$AB39</f>
        <v>4.70373126065955E-5</v>
      </c>
      <c r="AE39" s="188">
        <f>opex_orig!$AC39</f>
        <v>1.02657340176088E-4</v>
      </c>
      <c r="AF39" s="188">
        <f>opex_orig!$AD39</f>
        <v>9.51510827239466E-5</v>
      </c>
      <c r="AG39" s="188">
        <f>opex_orig!$AD39</f>
        <v>9.51510827239466E-5</v>
      </c>
      <c r="AH39" s="188">
        <f>opex_orig!$AD39</f>
        <v>9.51510827239466E-5</v>
      </c>
      <c r="AI39" s="188">
        <f>opex_orig!AE39</f>
        <v>1.0575E-4</v>
      </c>
      <c r="AJ39" s="188">
        <f>opex_orig!AF39</f>
        <v>7.2299999999999996E-5</v>
      </c>
      <c r="AK39" s="188">
        <f>opex_orig!AG39</f>
        <v>1.8899999999999999E-5</v>
      </c>
      <c r="AL39" s="188">
        <f>opex_orig!AH39</f>
        <v>2.7399999999999999E-5</v>
      </c>
      <c r="AM39" s="188">
        <f>opex_orig!AI39</f>
        <v>1.7200000000000001E-5</v>
      </c>
      <c r="AN39" s="188">
        <f>opex_orig!AJ39</f>
        <v>2.8099999999999999E-5</v>
      </c>
      <c r="AO39" s="188">
        <f>opex_orig!AK39</f>
        <v>1.8700000000000001E-5</v>
      </c>
      <c r="AP39" s="188">
        <f>opex_orig!$AL39</f>
        <v>1.1227597519042201E-5</v>
      </c>
      <c r="AQ39" s="188">
        <f>opex_orig!$AL39</f>
        <v>1.1227597519042201E-5</v>
      </c>
      <c r="AR39" s="188">
        <f>opex_orig!$AL39</f>
        <v>1.1227597519042201E-5</v>
      </c>
      <c r="AS39" s="188">
        <f>opex_orig!$AM39</f>
        <v>1.39399967884562E-5</v>
      </c>
      <c r="AT39" s="188">
        <f>opex_orig!AN39</f>
        <v>1.7900000000000001E-5</v>
      </c>
      <c r="AU39" s="188">
        <f>opex_orig!$AO39</f>
        <v>1.93281512225959E-5</v>
      </c>
      <c r="AV39" s="188">
        <f>opex_orig!$AO39</f>
        <v>1.93281512225959E-5</v>
      </c>
      <c r="AW39" s="188">
        <f>opex_orig!$AO39</f>
        <v>1.93281512225959E-5</v>
      </c>
      <c r="AX39" s="188">
        <f>opex_orig!$AP39</f>
        <v>9.8027047196092099E-6</v>
      </c>
      <c r="AY39" s="188">
        <f>opex_orig!AQ39</f>
        <v>1.26E-5</v>
      </c>
      <c r="AZ39" s="188">
        <f>opex_orig!AR39</f>
        <v>0</v>
      </c>
      <c r="BA39" s="188">
        <f>opex_orig!AS39</f>
        <v>1.26E-5</v>
      </c>
      <c r="BB39" s="188">
        <f>opex_orig!AT39</f>
        <v>9.2399999999999996E-6</v>
      </c>
      <c r="BC39" s="188">
        <f>opex_orig!AU39</f>
        <v>1.13E-5</v>
      </c>
      <c r="BD39" s="188">
        <f>opex_orig!AV39</f>
        <v>7.2400000000000001E-6</v>
      </c>
      <c r="BE39" s="188">
        <f>opex_orig!AW39</f>
        <v>2.34E-5</v>
      </c>
      <c r="BF39" s="188">
        <f>opex_orig!AX39</f>
        <v>0</v>
      </c>
      <c r="BG39" s="188">
        <f>opex_orig!AY39</f>
        <v>9.7799999999999995E-6</v>
      </c>
      <c r="BH39" s="188">
        <f>opex_orig!AZ39</f>
        <v>0</v>
      </c>
      <c r="BI39" s="188">
        <f>opex_orig!BA39</f>
        <v>3.1699999999999998E-5</v>
      </c>
      <c r="BJ39" s="188">
        <f>opex_orig!BB39</f>
        <v>1.4800000000000001E-5</v>
      </c>
      <c r="BK39" s="188">
        <f>opex_orig!BC39</f>
        <v>1.2099999999999999E-5</v>
      </c>
      <c r="BL39" s="188">
        <f>opex_orig!BD39</f>
        <v>7.2000000000000002E-5</v>
      </c>
      <c r="BM39" s="188">
        <f>opex_orig!BE39</f>
        <v>1.8600000000000001E-5</v>
      </c>
      <c r="BN39" s="188">
        <f>opex_orig!BF39</f>
        <v>3.1699999999999998E-5</v>
      </c>
      <c r="BO39" s="188">
        <f>opex_orig!BG39</f>
        <v>2.9348599999999997E-4</v>
      </c>
      <c r="BP39" s="188">
        <f>opex_orig!$BH39</f>
        <v>1.9730672957058001E-5</v>
      </c>
      <c r="BQ39" s="188">
        <f>opex_orig!$BH39</f>
        <v>1.9730672957058001E-5</v>
      </c>
      <c r="BR39" s="188">
        <f>opex_orig!BI39</f>
        <v>2.5599999999999999E-5</v>
      </c>
      <c r="BS39" s="188">
        <f>opex_orig!BJ39</f>
        <v>2.2099999999999998E-5</v>
      </c>
      <c r="BT39" s="188">
        <f>opex_orig!BK39</f>
        <v>7.2299999999999996E-5</v>
      </c>
      <c r="BU39" s="188">
        <f>opex_orig!BL39</f>
        <v>0</v>
      </c>
      <c r="BV39" s="27">
        <f>opex_orig!BM39</f>
        <v>1.79352521212262E-5</v>
      </c>
      <c r="BW39" s="27">
        <f>opex_orig!BN39</f>
        <v>3.7693846861225297E-5</v>
      </c>
      <c r="BX39" s="27">
        <f>opex_orig!BO39</f>
        <v>8.5319930502933993E-6</v>
      </c>
      <c r="BY39" s="27">
        <f>opex_orig!BP39</f>
        <v>1.9243851426679501E-5</v>
      </c>
      <c r="BZ39" s="27">
        <f>opex_orig!BQ39</f>
        <v>5.9608516997033797E-6</v>
      </c>
      <c r="CA39" s="27">
        <f>opex_orig!BR39</f>
        <v>1.40587549953676E-6</v>
      </c>
      <c r="CB39" s="27">
        <f>opex_orig!BS39</f>
        <v>2.90409164639782E-5</v>
      </c>
      <c r="CC39" s="27">
        <f>opex_orig!BT39</f>
        <v>3.4122546516434001E-6</v>
      </c>
      <c r="CD39" s="27">
        <f>opex_orig!BU39</f>
        <v>2.0081437339065201E-6</v>
      </c>
      <c r="CE39" s="27">
        <f>opex_orig!BV39</f>
        <v>2.0081437339065298E-6</v>
      </c>
      <c r="CF39" s="27">
        <f>opex_orig!BW39</f>
        <v>1.23511541698636E-5</v>
      </c>
      <c r="CG39" s="27">
        <f>opex_orig!BX39</f>
        <v>6.3962466752788702E-6</v>
      </c>
      <c r="CH39" s="27">
        <f>opex_orig!BY39</f>
        <v>5.2457164511223203E-5</v>
      </c>
      <c r="CI39" s="27">
        <f>opex_orig!Y39</f>
        <v>5.4500000000000003E-6</v>
      </c>
      <c r="CJ39" s="27">
        <f>opex_orig!Z39</f>
        <v>6.5500000000000006E-5</v>
      </c>
      <c r="CK39" s="27">
        <f>opex_orig!AA39</f>
        <v>8.3399999999999998E-6</v>
      </c>
      <c r="CL39" s="27">
        <f>opex_orig!AB39</f>
        <v>4.70373126065955E-5</v>
      </c>
      <c r="CM39" s="27">
        <f>opex_orig!AC39</f>
        <v>1.02657340176088E-4</v>
      </c>
      <c r="CN39" s="27">
        <f>opex_orig!AD39</f>
        <v>9.51510827239466E-5</v>
      </c>
      <c r="CO39" s="27">
        <f>opex_orig!AE39</f>
        <v>1.0575E-4</v>
      </c>
      <c r="CP39" s="27">
        <f>opex_orig!AF39</f>
        <v>7.2299999999999996E-5</v>
      </c>
    </row>
    <row r="40" spans="1:94" x14ac:dyDescent="0.25">
      <c r="A40" s="5" t="s">
        <v>99</v>
      </c>
      <c r="B40" s="2" t="s">
        <v>98</v>
      </c>
      <c r="C40" s="1" t="s">
        <v>327</v>
      </c>
      <c r="D40" s="188">
        <f>opex_orig!D40</f>
        <v>2.5925299999999998E-4</v>
      </c>
      <c r="E40" s="188">
        <f>opex_orig!E40</f>
        <v>4.5013600000000001E-4</v>
      </c>
      <c r="F40" s="188">
        <f>opex_orig!F40</f>
        <v>2.5941430000000001E-3</v>
      </c>
      <c r="G40" s="188">
        <f>opex_orig!G40</f>
        <v>5.7899999999999998E-5</v>
      </c>
      <c r="H40" s="188">
        <f>opex_orig!H40</f>
        <v>4.2899999999999999E-5</v>
      </c>
      <c r="I40" s="188">
        <f>opex_orig!I40</f>
        <v>3.04715E-4</v>
      </c>
      <c r="J40" s="188">
        <f>opex_orig!J40</f>
        <v>2.886577E-3</v>
      </c>
      <c r="K40" s="188">
        <f>opex_orig!K40</f>
        <v>9.2100000000000003E-5</v>
      </c>
      <c r="L40" s="188">
        <f>opex_orig!L40</f>
        <v>1.2556774999999999E-2</v>
      </c>
      <c r="M40" s="188">
        <f>opex_orig!M40</f>
        <v>6.6267699999999997E-4</v>
      </c>
      <c r="N40" s="188">
        <f>opex_orig!N40</f>
        <v>1.758349E-3</v>
      </c>
      <c r="O40" s="188">
        <f>opex_orig!O40</f>
        <v>5.82933E-4</v>
      </c>
      <c r="P40" s="188">
        <f>opex_orig!P40</f>
        <v>2.1138E-4</v>
      </c>
      <c r="Q40" s="188">
        <f>opex_orig!Q40</f>
        <v>2.4814200000000002E-4</v>
      </c>
      <c r="R40" s="188">
        <f>opex_orig!R40</f>
        <v>3.5800799999999999E-4</v>
      </c>
      <c r="S40" s="188">
        <f>opex_orig!S40</f>
        <v>8.9099999999999997E-5</v>
      </c>
      <c r="T40" s="188">
        <f>opex_orig!T40</f>
        <v>1.8557799999999999E-4</v>
      </c>
      <c r="U40" s="188">
        <f>opex_orig!U40</f>
        <v>1.17656E-4</v>
      </c>
      <c r="V40" s="188">
        <f>opex_orig!V40</f>
        <v>1.44089E-4</v>
      </c>
      <c r="W40" s="188">
        <f>opex_orig!W40</f>
        <v>7.0300000000000001E-5</v>
      </c>
      <c r="X40" s="188">
        <f>opex_orig!X40</f>
        <v>1.0712799999999999E-4</v>
      </c>
      <c r="Y40" s="188">
        <f>opex_orig!Y40</f>
        <v>8.8999999999999995E-5</v>
      </c>
      <c r="Z40" s="188">
        <f>opex_orig!Z40</f>
        <v>7.1500000000000003E-5</v>
      </c>
      <c r="AA40" s="188">
        <f>opex_orig!AA40</f>
        <v>2.78545E-4</v>
      </c>
      <c r="AB40" s="188">
        <f>opex_orig!$AB40</f>
        <v>2.7751497386964798E-4</v>
      </c>
      <c r="AC40" s="188">
        <f>opex_orig!$AB40</f>
        <v>2.7751497386964798E-4</v>
      </c>
      <c r="AD40" s="188">
        <f>opex_orig!$AB40</f>
        <v>2.7751497386964798E-4</v>
      </c>
      <c r="AE40" s="188">
        <f>opex_orig!$AC40</f>
        <v>4.8848037080251598E-4</v>
      </c>
      <c r="AF40" s="188">
        <f>opex_orig!$AD40</f>
        <v>1.5520945376436599E-4</v>
      </c>
      <c r="AG40" s="188">
        <f>opex_orig!$AD40</f>
        <v>1.5520945376436599E-4</v>
      </c>
      <c r="AH40" s="188">
        <f>opex_orig!$AD40</f>
        <v>1.5520945376436599E-4</v>
      </c>
      <c r="AI40" s="188">
        <f>opex_orig!AE40</f>
        <v>1.22929E-4</v>
      </c>
      <c r="AJ40" s="188">
        <f>opex_orig!AF40</f>
        <v>5.8723499999999997E-4</v>
      </c>
      <c r="AK40" s="188">
        <f>opex_orig!AG40</f>
        <v>2.2031000000000001E-4</v>
      </c>
      <c r="AL40" s="188">
        <f>opex_orig!AH40</f>
        <v>5.8999999999999998E-5</v>
      </c>
      <c r="AM40" s="188">
        <f>opex_orig!AI40</f>
        <v>1.3101500000000001E-4</v>
      </c>
      <c r="AN40" s="188">
        <f>opex_orig!AJ40</f>
        <v>6.3299999999999994E-5</v>
      </c>
      <c r="AO40" s="188">
        <f>opex_orig!AK40</f>
        <v>1.51411E-4</v>
      </c>
      <c r="AP40" s="188">
        <f>opex_orig!$AL40</f>
        <v>7.7237790407528605E-5</v>
      </c>
      <c r="AQ40" s="188">
        <f>opex_orig!$AL40</f>
        <v>7.7237790407528605E-5</v>
      </c>
      <c r="AR40" s="188">
        <f>opex_orig!$AL40</f>
        <v>7.7237790407528605E-5</v>
      </c>
      <c r="AS40" s="188">
        <f>opex_orig!$AM40</f>
        <v>1.2285847097019399E-4</v>
      </c>
      <c r="AT40" s="188">
        <f>opex_orig!AN40</f>
        <v>1.2548299999999999E-4</v>
      </c>
      <c r="AU40" s="188">
        <f>opex_orig!$AO40</f>
        <v>5.6446478323691197E-5</v>
      </c>
      <c r="AV40" s="188">
        <f>opex_orig!$AO40</f>
        <v>5.6446478323691197E-5</v>
      </c>
      <c r="AW40" s="188">
        <f>opex_orig!$AO40</f>
        <v>5.6446478323691197E-5</v>
      </c>
      <c r="AX40" s="188">
        <f>opex_orig!$AP40</f>
        <v>8.8379073486974998E-5</v>
      </c>
      <c r="AY40" s="188">
        <f>opex_orig!AQ40</f>
        <v>1.1320299999999999E-4</v>
      </c>
      <c r="AZ40" s="188">
        <f>opex_orig!AR40</f>
        <v>0</v>
      </c>
      <c r="BA40" s="188">
        <f>opex_orig!AS40</f>
        <v>1.22531E-4</v>
      </c>
      <c r="BB40" s="188">
        <f>opex_orig!AT40</f>
        <v>1.06313E-4</v>
      </c>
      <c r="BC40" s="188">
        <f>opex_orig!AU40</f>
        <v>5.0800000000000002E-5</v>
      </c>
      <c r="BD40" s="188">
        <f>opex_orig!AV40</f>
        <v>5.1E-5</v>
      </c>
      <c r="BE40" s="188">
        <f>opex_orig!AW40</f>
        <v>8.6299999999999997E-5</v>
      </c>
      <c r="BF40" s="188">
        <f>opex_orig!AX40</f>
        <v>0</v>
      </c>
      <c r="BG40" s="188">
        <f>opex_orig!AY40</f>
        <v>2.7756699999999999E-4</v>
      </c>
      <c r="BH40" s="188">
        <f>opex_orig!AZ40</f>
        <v>0</v>
      </c>
      <c r="BI40" s="188">
        <f>opex_orig!BA40</f>
        <v>5.3699999999999997E-5</v>
      </c>
      <c r="BJ40" s="188">
        <f>opex_orig!BB40</f>
        <v>4.9799999999999998E-5</v>
      </c>
      <c r="BK40" s="188">
        <f>opex_orig!BC40</f>
        <v>7.4200000000000001E-5</v>
      </c>
      <c r="BL40" s="188">
        <f>opex_orig!BD40</f>
        <v>7.4900000000000005E-5</v>
      </c>
      <c r="BM40" s="188">
        <f>opex_orig!BE40</f>
        <v>3.6399999999999997E-5</v>
      </c>
      <c r="BN40" s="188">
        <f>opex_orig!BF40</f>
        <v>4.9299999999999999E-5</v>
      </c>
      <c r="BO40" s="188">
        <f>opex_orig!BG40</f>
        <v>1.59679E-4</v>
      </c>
      <c r="BP40" s="188">
        <f>opex_orig!$BH40</f>
        <v>7.6049224855771606E-5</v>
      </c>
      <c r="BQ40" s="188">
        <f>opex_orig!$BH40</f>
        <v>7.6049224855771606E-5</v>
      </c>
      <c r="BR40" s="188">
        <f>opex_orig!BI40</f>
        <v>5.0599999999999997E-5</v>
      </c>
      <c r="BS40" s="188">
        <f>opex_orig!BJ40</f>
        <v>7.9300000000000003E-5</v>
      </c>
      <c r="BT40" s="188">
        <f>opex_orig!BK40</f>
        <v>1.83291E-4</v>
      </c>
      <c r="BU40" s="188">
        <f>opex_orig!BL40</f>
        <v>0</v>
      </c>
      <c r="BV40" s="27">
        <f>opex_orig!BM40</f>
        <v>6.8440871639733293E-5</v>
      </c>
      <c r="BW40" s="27">
        <f>opex_orig!BN40</f>
        <v>1.4652922641508501E-4</v>
      </c>
      <c r="BX40" s="27">
        <f>opex_orig!BO40</f>
        <v>2.1145171197583801E-5</v>
      </c>
      <c r="BY40" s="27">
        <f>opex_orig!BP40</f>
        <v>5.7340147095378998E-5</v>
      </c>
      <c r="BZ40" s="27">
        <f>opex_orig!BQ40</f>
        <v>8.9972418089612205E-5</v>
      </c>
      <c r="CA40" s="27">
        <f>opex_orig!BR40</f>
        <v>8.4129819216585297E-7</v>
      </c>
      <c r="CB40" s="27">
        <f>opex_orig!BS40</f>
        <v>3.4743575853558601E-4</v>
      </c>
      <c r="CC40" s="27">
        <f>opex_orig!BT40</f>
        <v>1.8054538723256999E-6</v>
      </c>
      <c r="CD40" s="27">
        <f>opex_orig!BU40</f>
        <v>3.7189795315361798E-5</v>
      </c>
      <c r="CE40" s="27">
        <f>opex_orig!BV40</f>
        <v>3.71897953153619E-5</v>
      </c>
      <c r="CF40" s="27">
        <f>opex_orig!BW40</f>
        <v>9.0611237171247204E-6</v>
      </c>
      <c r="CG40" s="27">
        <f>opex_orig!BX40</f>
        <v>1.7941261123334099E-6</v>
      </c>
      <c r="CH40" s="27">
        <f>opex_orig!BY40</f>
        <v>3.7453143762885699E-5</v>
      </c>
      <c r="CI40" s="27">
        <f>opex_orig!Y40</f>
        <v>8.8999999999999995E-5</v>
      </c>
      <c r="CJ40" s="27">
        <f>opex_orig!Z40</f>
        <v>7.1500000000000003E-5</v>
      </c>
      <c r="CK40" s="27">
        <f>opex_orig!AA40</f>
        <v>2.78545E-4</v>
      </c>
      <c r="CL40" s="27">
        <f>opex_orig!AB40</f>
        <v>2.7751497386964798E-4</v>
      </c>
      <c r="CM40" s="27">
        <f>opex_orig!AC40</f>
        <v>4.8848037080251598E-4</v>
      </c>
      <c r="CN40" s="27">
        <f>opex_orig!AD40</f>
        <v>1.5520945376436599E-4</v>
      </c>
      <c r="CO40" s="27">
        <f>opex_orig!AE40</f>
        <v>1.22929E-4</v>
      </c>
      <c r="CP40" s="27">
        <f>opex_orig!AF40</f>
        <v>5.8723499999999997E-4</v>
      </c>
    </row>
    <row r="41" spans="1:94" x14ac:dyDescent="0.25">
      <c r="A41" s="5" t="s">
        <v>101</v>
      </c>
      <c r="B41" s="2" t="s">
        <v>100</v>
      </c>
      <c r="C41" s="1" t="s">
        <v>327</v>
      </c>
      <c r="D41" s="188">
        <f>opex_orig!D41</f>
        <v>5.8129000000000004E-4</v>
      </c>
      <c r="E41" s="188">
        <f>opex_orig!E41</f>
        <v>7.2517899999999995E-4</v>
      </c>
      <c r="F41" s="188">
        <f>opex_orig!F41</f>
        <v>4.1791069999999996E-3</v>
      </c>
      <c r="G41" s="188">
        <f>opex_orig!G41</f>
        <v>3.12947E-4</v>
      </c>
      <c r="H41" s="188">
        <f>opex_orig!H41</f>
        <v>5.5899999999999997E-5</v>
      </c>
      <c r="I41" s="188">
        <f>opex_orig!I41</f>
        <v>0.14339216299999999</v>
      </c>
      <c r="J41" s="188">
        <f>opex_orig!J41</f>
        <v>2.3368219999999999E-2</v>
      </c>
      <c r="K41" s="188">
        <f>opex_orig!K41</f>
        <v>1.1943300000000001E-4</v>
      </c>
      <c r="L41" s="188">
        <f>opex_orig!L41</f>
        <v>2.2991685000000001E-2</v>
      </c>
      <c r="M41" s="188">
        <f>opex_orig!M41</f>
        <v>2.100345E-3</v>
      </c>
      <c r="N41" s="188">
        <f>opex_orig!N41</f>
        <v>1.0416409999999999E-2</v>
      </c>
      <c r="O41" s="188">
        <f>opex_orig!O41</f>
        <v>1.7608704999999999E-2</v>
      </c>
      <c r="P41" s="188">
        <f>opex_orig!P41</f>
        <v>3.8428239999999999E-3</v>
      </c>
      <c r="Q41" s="188">
        <f>opex_orig!Q41</f>
        <v>2.7951400000000002E-4</v>
      </c>
      <c r="R41" s="188">
        <f>opex_orig!R41</f>
        <v>3.2532999999999998E-4</v>
      </c>
      <c r="S41" s="188">
        <f>opex_orig!S41</f>
        <v>1.5049900000000001E-4</v>
      </c>
      <c r="T41" s="188">
        <f>opex_orig!T41</f>
        <v>2.6147399999999998E-4</v>
      </c>
      <c r="U41" s="188">
        <f>opex_orig!U41</f>
        <v>2.2167199999999999E-4</v>
      </c>
      <c r="V41" s="188">
        <f>opex_orig!V41</f>
        <v>2.6475100000000003E-4</v>
      </c>
      <c r="W41" s="188">
        <f>opex_orig!W41</f>
        <v>1.2692700000000001E-4</v>
      </c>
      <c r="X41" s="188">
        <f>opex_orig!X41</f>
        <v>1.87014E-4</v>
      </c>
      <c r="Y41" s="188">
        <f>opex_orig!Y41</f>
        <v>1.2835200000000001E-4</v>
      </c>
      <c r="Z41" s="188">
        <f>opex_orig!Z41</f>
        <v>1.6718700000000001E-4</v>
      </c>
      <c r="AA41" s="188">
        <f>opex_orig!AA41</f>
        <v>4.0565099999999998E-4</v>
      </c>
      <c r="AB41" s="188">
        <f>opex_orig!$AB41</f>
        <v>3.1692935562888298E-4</v>
      </c>
      <c r="AC41" s="188">
        <f>opex_orig!$AB41</f>
        <v>3.1692935562888298E-4</v>
      </c>
      <c r="AD41" s="188">
        <f>opex_orig!$AB41</f>
        <v>3.1692935562888298E-4</v>
      </c>
      <c r="AE41" s="188">
        <f>opex_orig!$AC41</f>
        <v>8.1549068616111598E-4</v>
      </c>
      <c r="AF41" s="188">
        <f>opex_orig!$AD41</f>
        <v>3.1174778824754598E-4</v>
      </c>
      <c r="AG41" s="188">
        <f>opex_orig!$AD41</f>
        <v>3.1174778824754598E-4</v>
      </c>
      <c r="AH41" s="188">
        <f>opex_orig!$AD41</f>
        <v>3.1174778824754598E-4</v>
      </c>
      <c r="AI41" s="188">
        <f>opex_orig!AE41</f>
        <v>2.5804499999999999E-4</v>
      </c>
      <c r="AJ41" s="188">
        <f>opex_orig!AF41</f>
        <v>7.17243E-4</v>
      </c>
      <c r="AK41" s="188">
        <f>opex_orig!AG41</f>
        <v>2.9427199999999999E-4</v>
      </c>
      <c r="AL41" s="188">
        <f>opex_orig!AH41</f>
        <v>1.06469E-4</v>
      </c>
      <c r="AM41" s="188">
        <f>opex_orig!AI41</f>
        <v>2.0567099999999999E-4</v>
      </c>
      <c r="AN41" s="188">
        <f>opex_orig!AJ41</f>
        <v>1.0932100000000001E-4</v>
      </c>
      <c r="AO41" s="188">
        <f>opex_orig!AK41</f>
        <v>2.21709E-4</v>
      </c>
      <c r="AP41" s="188">
        <f>opex_orig!$AL41</f>
        <v>1.4121644197346401E-4</v>
      </c>
      <c r="AQ41" s="188">
        <f>opex_orig!$AL41</f>
        <v>1.4121644197346401E-4</v>
      </c>
      <c r="AR41" s="188">
        <f>opex_orig!$AL41</f>
        <v>1.4121644197346401E-4</v>
      </c>
      <c r="AS41" s="188">
        <f>opex_orig!$AM41</f>
        <v>1.91634005869707E-4</v>
      </c>
      <c r="AT41" s="188">
        <f>opex_orig!AN41</f>
        <v>2.1007E-4</v>
      </c>
      <c r="AU41" s="188">
        <f>opex_orig!$AO41</f>
        <v>8.5311345708781003E-5</v>
      </c>
      <c r="AV41" s="188">
        <f>opex_orig!$AO41</f>
        <v>8.5311345708781003E-5</v>
      </c>
      <c r="AW41" s="188">
        <f>opex_orig!$AO41</f>
        <v>8.5311345708781003E-5</v>
      </c>
      <c r="AX41" s="188">
        <f>opex_orig!$AP41</f>
        <v>1.3062275479023701E-4</v>
      </c>
      <c r="AY41" s="188">
        <f>opex_orig!AQ41</f>
        <v>1.61989E-4</v>
      </c>
      <c r="AZ41" s="188">
        <f>opex_orig!AR41</f>
        <v>0</v>
      </c>
      <c r="BA41" s="188">
        <f>opex_orig!AS41</f>
        <v>1.58111E-4</v>
      </c>
      <c r="BB41" s="188">
        <f>opex_orig!AT41</f>
        <v>1.33886E-4</v>
      </c>
      <c r="BC41" s="188">
        <f>opex_orig!AU41</f>
        <v>6.7799999999999995E-5</v>
      </c>
      <c r="BD41" s="188">
        <f>opex_orig!AV41</f>
        <v>6.5699999999999998E-5</v>
      </c>
      <c r="BE41" s="188">
        <f>opex_orig!AW41</f>
        <v>1.80442E-4</v>
      </c>
      <c r="BF41" s="188">
        <f>opex_orig!AX41</f>
        <v>0</v>
      </c>
      <c r="BG41" s="188">
        <f>opex_orig!AY41</f>
        <v>3.55361E-4</v>
      </c>
      <c r="BH41" s="188">
        <f>opex_orig!AZ41</f>
        <v>0</v>
      </c>
      <c r="BI41" s="188">
        <f>opex_orig!BA41</f>
        <v>9.5199999999999997E-5</v>
      </c>
      <c r="BJ41" s="188">
        <f>opex_orig!BB41</f>
        <v>9.8900000000000005E-5</v>
      </c>
      <c r="BK41" s="188">
        <f>opex_orig!BC41</f>
        <v>1.5757299999999999E-4</v>
      </c>
      <c r="BL41" s="188">
        <f>opex_orig!BD41</f>
        <v>1.92769E-4</v>
      </c>
      <c r="BM41" s="188">
        <f>opex_orig!BE41</f>
        <v>8.6899999999999998E-5</v>
      </c>
      <c r="BN41" s="188">
        <f>opex_orig!BF41</f>
        <v>7.6199999999999995E-5</v>
      </c>
      <c r="BO41" s="188">
        <f>opex_orig!BG41</f>
        <v>3.8033700000000001E-4</v>
      </c>
      <c r="BP41" s="188">
        <f>opex_orig!$BH41</f>
        <v>1.2823655170626601E-4</v>
      </c>
      <c r="BQ41" s="188">
        <f>opex_orig!$BH41</f>
        <v>1.2823655170626601E-4</v>
      </c>
      <c r="BR41" s="188">
        <f>opex_orig!BI41</f>
        <v>9.7499999999999998E-5</v>
      </c>
      <c r="BS41" s="188">
        <f>opex_orig!BJ41</f>
        <v>2.0754899999999999E-4</v>
      </c>
      <c r="BT41" s="188">
        <f>opex_orig!BK41</f>
        <v>2.0781200000000001E-4</v>
      </c>
      <c r="BU41" s="188">
        <f>opex_orig!BL41</f>
        <v>0</v>
      </c>
      <c r="BV41" s="27">
        <f>opex_orig!BM41</f>
        <v>1.3893226498499901E-4</v>
      </c>
      <c r="BW41" s="27">
        <f>opex_orig!BN41</f>
        <v>2.6383059879564398E-4</v>
      </c>
      <c r="BX41" s="27">
        <f>opex_orig!BO41</f>
        <v>4.8987722006800101E-5</v>
      </c>
      <c r="BY41" s="27">
        <f>opex_orig!BP41</f>
        <v>1.0034361077220701E-4</v>
      </c>
      <c r="BZ41" s="27">
        <f>opex_orig!BQ41</f>
        <v>1.34046930234914E-4</v>
      </c>
      <c r="CA41" s="27">
        <f>opex_orig!BR41</f>
        <v>6.9661816290604702E-6</v>
      </c>
      <c r="CB41" s="27">
        <f>opex_orig!BS41</f>
        <v>4.5202881296952898E-4</v>
      </c>
      <c r="CC41" s="27">
        <f>opex_orig!BT41</f>
        <v>2.70423030055878E-5</v>
      </c>
      <c r="CD41" s="27">
        <f>opex_orig!BU41</f>
        <v>7.4987050592248305E-5</v>
      </c>
      <c r="CE41" s="27">
        <f>opex_orig!BV41</f>
        <v>7.49870505922484E-5</v>
      </c>
      <c r="CF41" s="27">
        <f>opex_orig!BW41</f>
        <v>1.05957784442496E-4</v>
      </c>
      <c r="CG41" s="27">
        <f>opex_orig!BX41</f>
        <v>2.0366794157958898E-6</v>
      </c>
      <c r="CH41" s="27">
        <f>opex_orig!BY41</f>
        <v>2.1201621360302599E-5</v>
      </c>
      <c r="CI41" s="27">
        <f>opex_orig!Y41</f>
        <v>1.2835200000000001E-4</v>
      </c>
      <c r="CJ41" s="27">
        <f>opex_orig!Z41</f>
        <v>1.6718700000000001E-4</v>
      </c>
      <c r="CK41" s="27">
        <f>opex_orig!AA41</f>
        <v>4.0565099999999998E-4</v>
      </c>
      <c r="CL41" s="27">
        <f>opex_orig!AB41</f>
        <v>3.1692935562888298E-4</v>
      </c>
      <c r="CM41" s="27">
        <f>opex_orig!AC41</f>
        <v>8.1549068616111598E-4</v>
      </c>
      <c r="CN41" s="27">
        <f>opex_orig!AD41</f>
        <v>3.1174778824754598E-4</v>
      </c>
      <c r="CO41" s="27">
        <f>opex_orig!AE41</f>
        <v>2.5804499999999999E-4</v>
      </c>
      <c r="CP41" s="27">
        <f>opex_orig!AF41</f>
        <v>7.17243E-4</v>
      </c>
    </row>
    <row r="42" spans="1:94" x14ac:dyDescent="0.25">
      <c r="A42" s="5" t="s">
        <v>103</v>
      </c>
      <c r="B42" s="2" t="s">
        <v>102</v>
      </c>
      <c r="C42" s="1" t="s">
        <v>327</v>
      </c>
      <c r="D42" s="188">
        <f>opex_orig!D42</f>
        <v>1.22E-5</v>
      </c>
      <c r="E42" s="188">
        <f>opex_orig!E42</f>
        <v>2.76E-5</v>
      </c>
      <c r="F42" s="188">
        <f>opex_orig!F42</f>
        <v>1.25043E-4</v>
      </c>
      <c r="G42" s="188">
        <f>opex_orig!G42</f>
        <v>1.95E-6</v>
      </c>
      <c r="H42" s="188">
        <f>opex_orig!H42</f>
        <v>7.0100000000000004E-7</v>
      </c>
      <c r="I42" s="188">
        <f>opex_orig!I42</f>
        <v>1.5299999999999999E-5</v>
      </c>
      <c r="J42" s="188">
        <f>opex_orig!J42</f>
        <v>1.4191779999999999E-2</v>
      </c>
      <c r="K42" s="188">
        <f>opex_orig!K42</f>
        <v>7.0299999999999998E-7</v>
      </c>
      <c r="L42" s="188">
        <f>opex_orig!L42</f>
        <v>3.310534E-3</v>
      </c>
      <c r="M42" s="188">
        <f>opex_orig!M42</f>
        <v>1.8499999999999999E-5</v>
      </c>
      <c r="N42" s="188">
        <f>opex_orig!N42</f>
        <v>9.7646600000000005E-4</v>
      </c>
      <c r="O42" s="188">
        <f>opex_orig!O42</f>
        <v>2.7500000000000001E-5</v>
      </c>
      <c r="P42" s="188">
        <f>opex_orig!P42</f>
        <v>2.6800000000000002E-6</v>
      </c>
      <c r="Q42" s="188">
        <f>opex_orig!Q42</f>
        <v>5.0699999999999997E-6</v>
      </c>
      <c r="R42" s="188">
        <f>opex_orig!R42</f>
        <v>7.2200000000000003E-6</v>
      </c>
      <c r="S42" s="188">
        <f>opex_orig!S42</f>
        <v>8.09E-7</v>
      </c>
      <c r="T42" s="188">
        <f>opex_orig!T42</f>
        <v>9.9199999999999999E-7</v>
      </c>
      <c r="U42" s="188">
        <f>opex_orig!U42</f>
        <v>8.3799999999999996E-7</v>
      </c>
      <c r="V42" s="188">
        <f>opex_orig!V42</f>
        <v>8.2399999999999997E-7</v>
      </c>
      <c r="W42" s="188">
        <f>opex_orig!W42</f>
        <v>1.42E-6</v>
      </c>
      <c r="X42" s="188">
        <f>opex_orig!X42</f>
        <v>1.99E-6</v>
      </c>
      <c r="Y42" s="188">
        <f>opex_orig!Y42</f>
        <v>4.0999999999999999E-7</v>
      </c>
      <c r="Z42" s="188">
        <f>opex_orig!Z42</f>
        <v>1.2899999999999999E-6</v>
      </c>
      <c r="AA42" s="188">
        <f>opex_orig!AA42</f>
        <v>9.2900000000000002E-7</v>
      </c>
      <c r="AB42" s="188">
        <f>opex_orig!$AB42</f>
        <v>2.50788993246955E-5</v>
      </c>
      <c r="AC42" s="188">
        <f>opex_orig!$AB42</f>
        <v>2.50788993246955E-5</v>
      </c>
      <c r="AD42" s="188">
        <f>opex_orig!$AB42</f>
        <v>2.50788993246955E-5</v>
      </c>
      <c r="AE42" s="188">
        <f>opex_orig!$AC42</f>
        <v>1.6334375954098401E-6</v>
      </c>
      <c r="AF42" s="188">
        <f>opex_orig!$AD42</f>
        <v>4.1687488279428897E-7</v>
      </c>
      <c r="AG42" s="188">
        <f>opex_orig!$AD42</f>
        <v>4.1687488279428897E-7</v>
      </c>
      <c r="AH42" s="188">
        <f>opex_orig!$AD42</f>
        <v>4.1687488279428897E-7</v>
      </c>
      <c r="AI42" s="188">
        <f>opex_orig!AE42</f>
        <v>4.5699999999999998E-7</v>
      </c>
      <c r="AJ42" s="188">
        <f>opex_orig!AF42</f>
        <v>1.9300000000000002E-5</v>
      </c>
      <c r="AK42" s="188">
        <f>opex_orig!AG42</f>
        <v>5.5999999999999997E-6</v>
      </c>
      <c r="AL42" s="188">
        <f>opex_orig!AH42</f>
        <v>1.37E-6</v>
      </c>
      <c r="AM42" s="188">
        <f>opex_orig!AI42</f>
        <v>5.4499999999999997E-7</v>
      </c>
      <c r="AN42" s="188">
        <f>opex_orig!AJ42</f>
        <v>4.34E-7</v>
      </c>
      <c r="AO42" s="188">
        <f>opex_orig!AK42</f>
        <v>6.5199999999999996E-7</v>
      </c>
      <c r="AP42" s="188">
        <f>opex_orig!$AL42</f>
        <v>5.1650524376581595E-7</v>
      </c>
      <c r="AQ42" s="188">
        <f>opex_orig!$AL42</f>
        <v>5.1650524376581595E-7</v>
      </c>
      <c r="AR42" s="188">
        <f>opex_orig!$AL42</f>
        <v>5.1650524376581595E-7</v>
      </c>
      <c r="AS42" s="188">
        <f>opex_orig!$AM42</f>
        <v>4.0878955327236399E-7</v>
      </c>
      <c r="AT42" s="188">
        <f>opex_orig!AN42</f>
        <v>6.8899999999999999E-7</v>
      </c>
      <c r="AU42" s="188">
        <f>opex_orig!$AO42</f>
        <v>8.7437349574312195E-7</v>
      </c>
      <c r="AV42" s="188">
        <f>opex_orig!$AO42</f>
        <v>8.7437349574312195E-7</v>
      </c>
      <c r="AW42" s="188">
        <f>opex_orig!$AO42</f>
        <v>8.7437349574312195E-7</v>
      </c>
      <c r="AX42" s="188">
        <f>opex_orig!$AP42</f>
        <v>7.7091515802774301E-7</v>
      </c>
      <c r="AY42" s="188">
        <f>opex_orig!AQ42</f>
        <v>9.9999999999999995E-7</v>
      </c>
      <c r="AZ42" s="188">
        <f>opex_orig!AR42</f>
        <v>0</v>
      </c>
      <c r="BA42" s="188">
        <f>opex_orig!AS42</f>
        <v>1.7099999999999999E-6</v>
      </c>
      <c r="BB42" s="188">
        <f>opex_orig!AT42</f>
        <v>1.35E-6</v>
      </c>
      <c r="BC42" s="188">
        <f>opex_orig!AU42</f>
        <v>2.17E-7</v>
      </c>
      <c r="BD42" s="188">
        <f>opex_orig!AV42</f>
        <v>1.37E-7</v>
      </c>
      <c r="BE42" s="188">
        <f>opex_orig!AW42</f>
        <v>7.9299999999999997E-7</v>
      </c>
      <c r="BF42" s="188">
        <f>opex_orig!AX42</f>
        <v>0</v>
      </c>
      <c r="BG42" s="188">
        <f>opex_orig!AY42</f>
        <v>3.1099999999999999E-6</v>
      </c>
      <c r="BH42" s="188">
        <f>opex_orig!AZ42</f>
        <v>0</v>
      </c>
      <c r="BI42" s="188">
        <f>opex_orig!BA42</f>
        <v>5.8400000000000004E-7</v>
      </c>
      <c r="BJ42" s="188">
        <f>opex_orig!BB42</f>
        <v>8.3699999999999999E-7</v>
      </c>
      <c r="BK42" s="188">
        <f>opex_orig!BC42</f>
        <v>1.66E-6</v>
      </c>
      <c r="BL42" s="188">
        <f>opex_orig!BD42</f>
        <v>2.1500000000000002E-6</v>
      </c>
      <c r="BM42" s="188">
        <f>opex_orig!BE42</f>
        <v>2.04E-6</v>
      </c>
      <c r="BN42" s="188">
        <f>opex_orig!BF42</f>
        <v>1.13E-6</v>
      </c>
      <c r="BO42" s="188">
        <f>opex_orig!BG42</f>
        <v>4.3800000000000001E-5</v>
      </c>
      <c r="BP42" s="188">
        <f>opex_orig!$BH42</f>
        <v>1.53241572193619E-6</v>
      </c>
      <c r="BQ42" s="188">
        <f>opex_orig!$BH42</f>
        <v>1.53241572193619E-6</v>
      </c>
      <c r="BR42" s="188">
        <f>opex_orig!BI42</f>
        <v>1.44E-6</v>
      </c>
      <c r="BS42" s="188">
        <f>opex_orig!BJ42</f>
        <v>4.16E-6</v>
      </c>
      <c r="BT42" s="188">
        <f>opex_orig!BK42</f>
        <v>1.9999999999999999E-6</v>
      </c>
      <c r="BU42" s="188">
        <f>opex_orig!BL42</f>
        <v>0</v>
      </c>
      <c r="BV42" s="27">
        <f>opex_orig!BM42</f>
        <v>8.6917305098168E-7</v>
      </c>
      <c r="BW42" s="27">
        <f>opex_orig!BN42</f>
        <v>4.5104610627546901E-6</v>
      </c>
      <c r="BX42" s="27">
        <f>opex_orig!BO42</f>
        <v>3.2363257336780501E-7</v>
      </c>
      <c r="BY42" s="27">
        <f>opex_orig!BP42</f>
        <v>4.8669753512952297E-7</v>
      </c>
      <c r="BZ42" s="27">
        <f>opex_orig!BQ42</f>
        <v>5.2968353743399605E-7</v>
      </c>
      <c r="CA42" s="27">
        <f>opex_orig!BR42</f>
        <v>1.62037678778242E-7</v>
      </c>
      <c r="CB42" s="27">
        <f>opex_orig!BS42</f>
        <v>7.5261851836934203E-6</v>
      </c>
      <c r="CC42" s="27">
        <f>opex_orig!BT42</f>
        <v>3.72837031091361E-7</v>
      </c>
      <c r="CD42" s="27">
        <f>opex_orig!BU42</f>
        <v>1.9172663076015999E-7</v>
      </c>
      <c r="CE42" s="27">
        <f>opex_orig!BV42</f>
        <v>1.9172663076015999E-7</v>
      </c>
      <c r="CF42" s="27">
        <f>opex_orig!BW42</f>
        <v>4.3298511617304499E-6</v>
      </c>
      <c r="CG42" s="27">
        <f>opex_orig!BX42</f>
        <v>3.7581093396848601E-7</v>
      </c>
      <c r="CH42" s="27">
        <f>opex_orig!BY42</f>
        <v>3.5018550971023601E-6</v>
      </c>
      <c r="CI42" s="27">
        <f>opex_orig!Y42</f>
        <v>4.0999999999999999E-7</v>
      </c>
      <c r="CJ42" s="27">
        <f>opex_orig!Z42</f>
        <v>1.2899999999999999E-6</v>
      </c>
      <c r="CK42" s="27">
        <f>opex_orig!AA42</f>
        <v>9.2900000000000002E-7</v>
      </c>
      <c r="CL42" s="27">
        <f>opex_orig!AB42</f>
        <v>2.50788993246955E-5</v>
      </c>
      <c r="CM42" s="27">
        <f>opex_orig!AC42</f>
        <v>1.6334375954098401E-6</v>
      </c>
      <c r="CN42" s="27">
        <f>opex_orig!AD42</f>
        <v>4.1687488279428897E-7</v>
      </c>
      <c r="CO42" s="27">
        <f>opex_orig!AE42</f>
        <v>4.5699999999999998E-7</v>
      </c>
      <c r="CP42" s="27">
        <f>opex_orig!AF42</f>
        <v>1.9300000000000002E-5</v>
      </c>
    </row>
    <row r="43" spans="1:94" x14ac:dyDescent="0.25">
      <c r="A43" s="5" t="s">
        <v>105</v>
      </c>
      <c r="B43" s="2" t="s">
        <v>104</v>
      </c>
      <c r="C43" s="1" t="s">
        <v>327</v>
      </c>
      <c r="D43" s="188">
        <f>opex_orig!D43</f>
        <v>1.23316E-4</v>
      </c>
      <c r="E43" s="188">
        <f>opex_orig!E43</f>
        <v>2.7858400000000001E-4</v>
      </c>
      <c r="F43" s="188">
        <f>opex_orig!F43</f>
        <v>1.5179010000000001E-3</v>
      </c>
      <c r="G43" s="188">
        <f>opex_orig!G43</f>
        <v>1.95E-5</v>
      </c>
      <c r="H43" s="188">
        <f>opex_orig!H43</f>
        <v>3.5700000000000001E-6</v>
      </c>
      <c r="I43" s="188">
        <f>opex_orig!I43</f>
        <v>3.4058500000000002E-4</v>
      </c>
      <c r="J43" s="188">
        <f>opex_orig!J43</f>
        <v>7.1799999999999997E-5</v>
      </c>
      <c r="K43" s="188">
        <f>opex_orig!K43</f>
        <v>1.6399999999999999E-5</v>
      </c>
      <c r="L43" s="188">
        <f>opex_orig!L43</f>
        <v>2.3160490000000001E-3</v>
      </c>
      <c r="M43" s="188">
        <f>opex_orig!M43</f>
        <v>1.069717E-3</v>
      </c>
      <c r="N43" s="188">
        <f>opex_orig!N43</f>
        <v>7.0145099999999996E-4</v>
      </c>
      <c r="O43" s="188">
        <f>opex_orig!O43</f>
        <v>2.05668E-4</v>
      </c>
      <c r="P43" s="188">
        <f>opex_orig!P43</f>
        <v>5.8100000000000003E-5</v>
      </c>
      <c r="Q43" s="188">
        <f>opex_orig!Q43</f>
        <v>2.2900000000000001E-5</v>
      </c>
      <c r="R43" s="188">
        <f>opex_orig!R43</f>
        <v>2.8E-5</v>
      </c>
      <c r="S43" s="188">
        <f>opex_orig!S43</f>
        <v>1.0900000000000001E-5</v>
      </c>
      <c r="T43" s="188">
        <f>opex_orig!T43</f>
        <v>1.8300000000000001E-5</v>
      </c>
      <c r="U43" s="188">
        <f>opex_orig!U43</f>
        <v>1.2500000000000001E-5</v>
      </c>
      <c r="V43" s="188">
        <f>opex_orig!V43</f>
        <v>1.4800000000000001E-5</v>
      </c>
      <c r="W43" s="188">
        <f>opex_orig!W43</f>
        <v>8.7399999999999993E-6</v>
      </c>
      <c r="X43" s="188">
        <f>opex_orig!X43</f>
        <v>1.0200000000000001E-5</v>
      </c>
      <c r="Y43" s="188">
        <f>opex_orig!Y43</f>
        <v>8.14E-6</v>
      </c>
      <c r="Z43" s="188">
        <f>opex_orig!Z43</f>
        <v>9.3200000000000006E-6</v>
      </c>
      <c r="AA43" s="188">
        <f>opex_orig!AA43</f>
        <v>2.2200000000000001E-5</v>
      </c>
      <c r="AB43" s="188">
        <f>opex_orig!$AB43</f>
        <v>4.3235524219791499E-5</v>
      </c>
      <c r="AC43" s="188">
        <f>opex_orig!$AB43</f>
        <v>4.3235524219791499E-5</v>
      </c>
      <c r="AD43" s="188">
        <f>opex_orig!$AB43</f>
        <v>4.3235524219791499E-5</v>
      </c>
      <c r="AE43" s="188">
        <f>opex_orig!$AC43</f>
        <v>6.1802105681910396E-5</v>
      </c>
      <c r="AF43" s="188">
        <f>opex_orig!$AD43</f>
        <v>2.2628106915426501E-5</v>
      </c>
      <c r="AG43" s="188">
        <f>opex_orig!$AD43</f>
        <v>2.2628106915426501E-5</v>
      </c>
      <c r="AH43" s="188">
        <f>opex_orig!$AD43</f>
        <v>2.2628106915426501E-5</v>
      </c>
      <c r="AI43" s="188">
        <f>opex_orig!AE43</f>
        <v>1.98E-5</v>
      </c>
      <c r="AJ43" s="188">
        <f>opex_orig!AF43</f>
        <v>7.4400000000000006E-5</v>
      </c>
      <c r="AK43" s="188">
        <f>opex_orig!AG43</f>
        <v>2.6400000000000001E-5</v>
      </c>
      <c r="AL43" s="188">
        <f>opex_orig!AH43</f>
        <v>1.6200000000000001E-5</v>
      </c>
      <c r="AM43" s="188">
        <f>opex_orig!AI43</f>
        <v>1.2E-5</v>
      </c>
      <c r="AN43" s="188">
        <f>opex_orig!AJ43</f>
        <v>1.03E-5</v>
      </c>
      <c r="AO43" s="188">
        <f>opex_orig!AK43</f>
        <v>1.6799999999999998E-5</v>
      </c>
      <c r="AP43" s="188">
        <f>opex_orig!$AL43</f>
        <v>8.8324777328697697E-6</v>
      </c>
      <c r="AQ43" s="188">
        <f>opex_orig!$AL43</f>
        <v>8.8324777328697697E-6</v>
      </c>
      <c r="AR43" s="188">
        <f>opex_orig!$AL43</f>
        <v>8.8324777328697697E-6</v>
      </c>
      <c r="AS43" s="188">
        <f>opex_orig!$AM43</f>
        <v>1.11937355994483E-5</v>
      </c>
      <c r="AT43" s="188">
        <f>opex_orig!AN43</f>
        <v>1.42E-5</v>
      </c>
      <c r="AU43" s="188">
        <f>opex_orig!$AO43</f>
        <v>1.0988654687501399E-5</v>
      </c>
      <c r="AV43" s="188">
        <f>opex_orig!$AO43</f>
        <v>1.0988654687501399E-5</v>
      </c>
      <c r="AW43" s="188">
        <f>opex_orig!$AO43</f>
        <v>1.0988654687501399E-5</v>
      </c>
      <c r="AX43" s="188">
        <f>opex_orig!$AP43</f>
        <v>1.24509747716503E-5</v>
      </c>
      <c r="AY43" s="188">
        <f>opex_orig!AQ43</f>
        <v>1.3200000000000001E-5</v>
      </c>
      <c r="AZ43" s="188">
        <f>opex_orig!AR43</f>
        <v>0</v>
      </c>
      <c r="BA43" s="188">
        <f>opex_orig!AS43</f>
        <v>1.4399999999999999E-5</v>
      </c>
      <c r="BB43" s="188">
        <f>opex_orig!AT43</f>
        <v>1.24E-5</v>
      </c>
      <c r="BC43" s="188">
        <f>opex_orig!AU43</f>
        <v>6.1099999999999999E-6</v>
      </c>
      <c r="BD43" s="188">
        <f>opex_orig!AV43</f>
        <v>4.2599999999999999E-6</v>
      </c>
      <c r="BE43" s="188">
        <f>opex_orig!AW43</f>
        <v>4.0599999999999998E-5</v>
      </c>
      <c r="BF43" s="188">
        <f>opex_orig!AX43</f>
        <v>0</v>
      </c>
      <c r="BG43" s="188">
        <f>opex_orig!AY43</f>
        <v>2.9E-5</v>
      </c>
      <c r="BH43" s="188">
        <f>opex_orig!AZ43</f>
        <v>0</v>
      </c>
      <c r="BI43" s="188">
        <f>opex_orig!BA43</f>
        <v>9.1800000000000002E-6</v>
      </c>
      <c r="BJ43" s="188">
        <f>opex_orig!BB43</f>
        <v>8.0499999999999992E-6</v>
      </c>
      <c r="BK43" s="188">
        <f>opex_orig!BC43</f>
        <v>1.0200000000000001E-5</v>
      </c>
      <c r="BL43" s="188">
        <f>opex_orig!BD43</f>
        <v>2.16E-5</v>
      </c>
      <c r="BM43" s="188">
        <f>opex_orig!BE43</f>
        <v>8.6400000000000003E-6</v>
      </c>
      <c r="BN43" s="188">
        <f>opex_orig!BF43</f>
        <v>6.9800000000000001E-6</v>
      </c>
      <c r="BO43" s="188">
        <f>opex_orig!BG43</f>
        <v>1.56E-5</v>
      </c>
      <c r="BP43" s="188">
        <f>opex_orig!$BH43</f>
        <v>8.7466409082964107E-6</v>
      </c>
      <c r="BQ43" s="188">
        <f>opex_orig!$BH43</f>
        <v>8.7466409082964107E-6</v>
      </c>
      <c r="BR43" s="188">
        <f>opex_orig!BI43</f>
        <v>9.1500000000000005E-6</v>
      </c>
      <c r="BS43" s="188">
        <f>opex_orig!BJ43</f>
        <v>1.2799999999999999E-5</v>
      </c>
      <c r="BT43" s="188">
        <f>opex_orig!BK43</f>
        <v>3.3699999999999999E-5</v>
      </c>
      <c r="BU43" s="188">
        <f>opex_orig!BL43</f>
        <v>0</v>
      </c>
      <c r="BV43" s="27">
        <f>opex_orig!BM43</f>
        <v>8.5428240751972993E-6</v>
      </c>
      <c r="BW43" s="27">
        <f>opex_orig!BN43</f>
        <v>2.5006533804589701E-5</v>
      </c>
      <c r="BX43" s="27">
        <f>opex_orig!BO43</f>
        <v>3.31115380479307E-6</v>
      </c>
      <c r="BY43" s="27">
        <f>opex_orig!BP43</f>
        <v>1.1590891887562799E-5</v>
      </c>
      <c r="BZ43" s="27">
        <f>opex_orig!BQ43</f>
        <v>8.2143081086572006E-6</v>
      </c>
      <c r="CA43" s="27">
        <f>opex_orig!BR43</f>
        <v>8.63197207354356E-7</v>
      </c>
      <c r="CB43" s="27">
        <f>opex_orig!BS43</f>
        <v>3.50198373864013E-5</v>
      </c>
      <c r="CC43" s="27">
        <f>opex_orig!BT43</f>
        <v>5.2326166208617902E-6</v>
      </c>
      <c r="CD43" s="27">
        <f>opex_orig!BU43</f>
        <v>3.1927490520525999E-6</v>
      </c>
      <c r="CE43" s="27">
        <f>opex_orig!BV43</f>
        <v>3.1927490520525902E-6</v>
      </c>
      <c r="CF43" s="27">
        <f>opex_orig!BW43</f>
        <v>4.9330537853015198E-6</v>
      </c>
      <c r="CG43" s="27">
        <f>opex_orig!BX43</f>
        <v>1.14151853502777E-6</v>
      </c>
      <c r="CH43" s="27">
        <f>opex_orig!BY43</f>
        <v>8.6703238164700997E-6</v>
      </c>
      <c r="CI43" s="27">
        <f>opex_orig!Y43</f>
        <v>8.14E-6</v>
      </c>
      <c r="CJ43" s="27">
        <f>opex_orig!Z43</f>
        <v>9.3200000000000006E-6</v>
      </c>
      <c r="CK43" s="27">
        <f>opex_orig!AA43</f>
        <v>2.2200000000000001E-5</v>
      </c>
      <c r="CL43" s="27">
        <f>opex_orig!AB43</f>
        <v>4.3235524219791499E-5</v>
      </c>
      <c r="CM43" s="27">
        <f>opex_orig!AC43</f>
        <v>6.1802105681910396E-5</v>
      </c>
      <c r="CN43" s="27">
        <f>opex_orig!AD43</f>
        <v>2.2628106915426501E-5</v>
      </c>
      <c r="CO43" s="27">
        <f>opex_orig!AE43</f>
        <v>1.98E-5</v>
      </c>
      <c r="CP43" s="27">
        <f>opex_orig!AF43</f>
        <v>7.4400000000000006E-5</v>
      </c>
    </row>
    <row r="44" spans="1:94" x14ac:dyDescent="0.25">
      <c r="A44" s="5" t="s">
        <v>107</v>
      </c>
      <c r="B44" s="2" t="s">
        <v>106</v>
      </c>
      <c r="C44" s="1" t="s">
        <v>327</v>
      </c>
      <c r="D44" s="188">
        <f>opex_orig!D44</f>
        <v>8.0256990000000007E-3</v>
      </c>
      <c r="E44" s="188">
        <f>opex_orig!E44</f>
        <v>1.9785009999999999E-2</v>
      </c>
      <c r="F44" s="188">
        <f>opex_orig!F44</f>
        <v>0.109782162</v>
      </c>
      <c r="G44" s="188">
        <f>opex_orig!G44</f>
        <v>1.0122300000000001E-2</v>
      </c>
      <c r="H44" s="188">
        <f>opex_orig!H44</f>
        <v>4.0099999999999999E-5</v>
      </c>
      <c r="I44" s="188">
        <f>opex_orig!I44</f>
        <v>3.5431526999999997E-2</v>
      </c>
      <c r="J44" s="188">
        <f>opex_orig!J44</f>
        <v>4.2870255000000003E-2</v>
      </c>
      <c r="K44" s="188">
        <f>opex_orig!K44</f>
        <v>1.5729399999999999E-4</v>
      </c>
      <c r="L44" s="188">
        <f>opex_orig!L44</f>
        <v>0.161484077</v>
      </c>
      <c r="M44" s="188">
        <f>opex_orig!M44</f>
        <v>2.7793314E-2</v>
      </c>
      <c r="N44" s="188">
        <f>opex_orig!N44</f>
        <v>3.1211928999999999E-2</v>
      </c>
      <c r="O44" s="188">
        <f>opex_orig!O44</f>
        <v>1.3545269999999999E-3</v>
      </c>
      <c r="P44" s="188">
        <f>opex_orig!P44</f>
        <v>4.2962399999999998E-4</v>
      </c>
      <c r="Q44" s="188">
        <f>opex_orig!Q44</f>
        <v>2.2720600000000001E-4</v>
      </c>
      <c r="R44" s="188">
        <f>opex_orig!R44</f>
        <v>7.1587899999999999E-4</v>
      </c>
      <c r="S44" s="188">
        <f>opex_orig!S44</f>
        <v>1.07475E-4</v>
      </c>
      <c r="T44" s="188">
        <f>opex_orig!T44</f>
        <v>1.8813900000000001E-4</v>
      </c>
      <c r="U44" s="188">
        <f>opex_orig!U44</f>
        <v>2.2156399999999999E-4</v>
      </c>
      <c r="V44" s="188">
        <f>opex_orig!V44</f>
        <v>2.39025E-4</v>
      </c>
      <c r="W44" s="188">
        <f>opex_orig!W44</f>
        <v>1.8782400000000001E-4</v>
      </c>
      <c r="X44" s="188">
        <f>opex_orig!X44</f>
        <v>4.4826300000000001E-4</v>
      </c>
      <c r="Y44" s="188">
        <f>opex_orig!Y44</f>
        <v>8.9699999999999998E-5</v>
      </c>
      <c r="Z44" s="188">
        <f>opex_orig!Z44</f>
        <v>1.3265299999999999E-4</v>
      </c>
      <c r="AA44" s="188">
        <f>opex_orig!AA44</f>
        <v>2.7860599999999998E-4</v>
      </c>
      <c r="AB44" s="188">
        <f>opex_orig!$AB44</f>
        <v>5.4931201256912601E-4</v>
      </c>
      <c r="AC44" s="188">
        <f>opex_orig!$AB44</f>
        <v>5.4931201256912601E-4</v>
      </c>
      <c r="AD44" s="188">
        <f>opex_orig!$AB44</f>
        <v>5.4931201256912601E-4</v>
      </c>
      <c r="AE44" s="188">
        <f>opex_orig!$AC44</f>
        <v>6.8883279066313903E-4</v>
      </c>
      <c r="AF44" s="188">
        <f>opex_orig!$AD44</f>
        <v>2.16133726746049E-4</v>
      </c>
      <c r="AG44" s="188">
        <f>opex_orig!$AD44</f>
        <v>2.16133726746049E-4</v>
      </c>
      <c r="AH44" s="188">
        <f>opex_orig!$AD44</f>
        <v>2.16133726746049E-4</v>
      </c>
      <c r="AI44" s="188">
        <f>opex_orig!AE44</f>
        <v>1.8882099999999999E-4</v>
      </c>
      <c r="AJ44" s="188">
        <f>opex_orig!AF44</f>
        <v>2.1562339999999999E-3</v>
      </c>
      <c r="AK44" s="188">
        <f>opex_orig!AG44</f>
        <v>3.7051299999999999E-4</v>
      </c>
      <c r="AL44" s="188">
        <f>opex_orig!AH44</f>
        <v>1.2026E-4</v>
      </c>
      <c r="AM44" s="188">
        <f>opex_orig!AI44</f>
        <v>1.6354499999999999E-4</v>
      </c>
      <c r="AN44" s="188">
        <f>opex_orig!AJ44</f>
        <v>1.6430000000000001E-4</v>
      </c>
      <c r="AO44" s="188">
        <f>opex_orig!AK44</f>
        <v>2.5861100000000001E-4</v>
      </c>
      <c r="AP44" s="188">
        <f>opex_orig!$AL44</f>
        <v>1.8575375675936999E-4</v>
      </c>
      <c r="AQ44" s="188">
        <f>opex_orig!$AL44</f>
        <v>1.8575375675936999E-4</v>
      </c>
      <c r="AR44" s="188">
        <f>opex_orig!$AL44</f>
        <v>1.8575375675936999E-4</v>
      </c>
      <c r="AS44" s="188">
        <f>opex_orig!$AM44</f>
        <v>2.18608532328113E-4</v>
      </c>
      <c r="AT44" s="188">
        <f>opex_orig!AN44</f>
        <v>2.2257399999999999E-4</v>
      </c>
      <c r="AU44" s="188">
        <f>opex_orig!$AO44</f>
        <v>8.3854560403720201E-5</v>
      </c>
      <c r="AV44" s="188">
        <f>opex_orig!$AO44</f>
        <v>8.3854560403720201E-5</v>
      </c>
      <c r="AW44" s="188">
        <f>opex_orig!$AO44</f>
        <v>8.3854560403720201E-5</v>
      </c>
      <c r="AX44" s="188">
        <f>opex_orig!$AP44</f>
        <v>1.13617993927235E-4</v>
      </c>
      <c r="AY44" s="188">
        <f>opex_orig!AQ44</f>
        <v>1.7784300000000001E-4</v>
      </c>
      <c r="AZ44" s="188">
        <f>opex_orig!AR44</f>
        <v>0</v>
      </c>
      <c r="BA44" s="188">
        <f>opex_orig!AS44</f>
        <v>1.7501600000000001E-4</v>
      </c>
      <c r="BB44" s="188">
        <f>opex_orig!AT44</f>
        <v>1.48364E-4</v>
      </c>
      <c r="BC44" s="188">
        <f>opex_orig!AU44</f>
        <v>6.3600000000000001E-5</v>
      </c>
      <c r="BD44" s="188">
        <f>opex_orig!AV44</f>
        <v>5.7500000000000002E-5</v>
      </c>
      <c r="BE44" s="188">
        <f>opex_orig!AW44</f>
        <v>1.6541200000000001E-4</v>
      </c>
      <c r="BF44" s="188">
        <f>opex_orig!AX44</f>
        <v>0</v>
      </c>
      <c r="BG44" s="188">
        <f>opex_orig!AY44</f>
        <v>3.1476200000000001E-4</v>
      </c>
      <c r="BH44" s="188">
        <f>opex_orig!AZ44</f>
        <v>0</v>
      </c>
      <c r="BI44" s="188">
        <f>opex_orig!BA44</f>
        <v>1.07361E-4</v>
      </c>
      <c r="BJ44" s="188">
        <f>opex_orig!BB44</f>
        <v>3.3301199999999999E-4</v>
      </c>
      <c r="BK44" s="188">
        <f>opex_orig!BC44</f>
        <v>1.2359E-4</v>
      </c>
      <c r="BL44" s="188">
        <f>opex_orig!BD44</f>
        <v>1.7128900000000001E-4</v>
      </c>
      <c r="BM44" s="188">
        <f>opex_orig!BE44</f>
        <v>7.5799999999999999E-5</v>
      </c>
      <c r="BN44" s="188">
        <f>opex_orig!BF44</f>
        <v>5.41E-5</v>
      </c>
      <c r="BO44" s="188">
        <f>opex_orig!BG44</f>
        <v>8.4106299999999997E-4</v>
      </c>
      <c r="BP44" s="188">
        <f>opex_orig!$BH44</f>
        <v>1.01331409118245E-4</v>
      </c>
      <c r="BQ44" s="188">
        <f>opex_orig!$BH44</f>
        <v>1.01331409118245E-4</v>
      </c>
      <c r="BR44" s="188">
        <f>opex_orig!BI44</f>
        <v>8.0099999999999995E-5</v>
      </c>
      <c r="BS44" s="188">
        <f>opex_orig!BJ44</f>
        <v>1.7908999999999999E-4</v>
      </c>
      <c r="BT44" s="188">
        <f>opex_orig!BK44</f>
        <v>2.4872639999999999E-3</v>
      </c>
      <c r="BU44" s="188">
        <f>opex_orig!BL44</f>
        <v>0</v>
      </c>
      <c r="BV44" s="27">
        <f>opex_orig!BM44</f>
        <v>3.2488835516578302E-4</v>
      </c>
      <c r="BW44" s="27">
        <f>opex_orig!BN44</f>
        <v>3.7744577211497099E-4</v>
      </c>
      <c r="BX44" s="27">
        <f>opex_orig!BO44</f>
        <v>1.57976033023162E-4</v>
      </c>
      <c r="BY44" s="27">
        <f>opex_orig!BP44</f>
        <v>1.3958039912495199E-4</v>
      </c>
      <c r="BZ44" s="27">
        <f>opex_orig!BQ44</f>
        <v>1.6985209600038699E-4</v>
      </c>
      <c r="CA44" s="27">
        <f>opex_orig!BR44</f>
        <v>1.2302907880213199E-5</v>
      </c>
      <c r="CB44" s="27">
        <f>opex_orig!BS44</f>
        <v>6.1884500758940201E-4</v>
      </c>
      <c r="CC44" s="27">
        <f>opex_orig!BT44</f>
        <v>6.3701674300512906E-5</v>
      </c>
      <c r="CD44" s="27">
        <f>opex_orig!BU44</f>
        <v>5.1545580031620901E-5</v>
      </c>
      <c r="CE44" s="27">
        <f>opex_orig!BV44</f>
        <v>5.1545580031620799E-5</v>
      </c>
      <c r="CF44" s="27">
        <f>opex_orig!BW44</f>
        <v>2.36204066609458E-4</v>
      </c>
      <c r="CG44" s="27">
        <f>opex_orig!BX44</f>
        <v>5.7077820250907299E-5</v>
      </c>
      <c r="CH44" s="27">
        <f>opex_orig!BY44</f>
        <v>3.22187466275605E-5</v>
      </c>
      <c r="CI44" s="27">
        <f>opex_orig!Y44</f>
        <v>8.9699999999999998E-5</v>
      </c>
      <c r="CJ44" s="27">
        <f>opex_orig!Z44</f>
        <v>1.3265299999999999E-4</v>
      </c>
      <c r="CK44" s="27">
        <f>opex_orig!AA44</f>
        <v>2.7860599999999998E-4</v>
      </c>
      <c r="CL44" s="27">
        <f>opex_orig!AB44</f>
        <v>5.4931201256912601E-4</v>
      </c>
      <c r="CM44" s="27">
        <f>opex_orig!AC44</f>
        <v>6.8883279066313903E-4</v>
      </c>
      <c r="CN44" s="27">
        <f>opex_orig!AD44</f>
        <v>2.16133726746049E-4</v>
      </c>
      <c r="CO44" s="27">
        <f>opex_orig!AE44</f>
        <v>1.8882099999999999E-4</v>
      </c>
      <c r="CP44" s="27">
        <f>opex_orig!AF44</f>
        <v>2.1562339999999999E-3</v>
      </c>
    </row>
    <row r="45" spans="1:94" x14ac:dyDescent="0.25">
      <c r="A45" s="5" t="s">
        <v>109</v>
      </c>
      <c r="B45" s="2" t="s">
        <v>108</v>
      </c>
      <c r="C45" s="1" t="s">
        <v>327</v>
      </c>
      <c r="D45" s="188">
        <f>opex_orig!D45</f>
        <v>2.5243459999999998E-3</v>
      </c>
      <c r="E45" s="188">
        <f>opex_orig!E45</f>
        <v>5.7192889999999998E-3</v>
      </c>
      <c r="F45" s="188">
        <f>opex_orig!F45</f>
        <v>3.6702515999999998E-2</v>
      </c>
      <c r="G45" s="188">
        <f>opex_orig!G45</f>
        <v>3.3268300000000001E-4</v>
      </c>
      <c r="H45" s="188">
        <f>opex_orig!H45</f>
        <v>2.19E-5</v>
      </c>
      <c r="I45" s="188">
        <f>opex_orig!I45</f>
        <v>3.051762E-3</v>
      </c>
      <c r="J45" s="188">
        <f>opex_orig!J45</f>
        <v>8.0949899999999998E-4</v>
      </c>
      <c r="K45" s="188">
        <f>opex_orig!K45</f>
        <v>4.6300000000000001E-5</v>
      </c>
      <c r="L45" s="188">
        <f>opex_orig!L45</f>
        <v>5.8803144000000002E-2</v>
      </c>
      <c r="M45" s="188">
        <f>opex_orig!M45</f>
        <v>2.50079E-2</v>
      </c>
      <c r="N45" s="188">
        <f>opex_orig!N45</f>
        <v>1.1650456999999999E-2</v>
      </c>
      <c r="O45" s="188">
        <f>opex_orig!O45</f>
        <v>4.0178460000000003E-3</v>
      </c>
      <c r="P45" s="188">
        <f>opex_orig!P45</f>
        <v>9.5461500000000002E-4</v>
      </c>
      <c r="Q45" s="188">
        <f>opex_orig!Q45</f>
        <v>1.2906699999999999E-4</v>
      </c>
      <c r="R45" s="188">
        <f>opex_orig!R45</f>
        <v>5.8862200000000002E-4</v>
      </c>
      <c r="S45" s="188">
        <f>opex_orig!S45</f>
        <v>5.9500000000000003E-5</v>
      </c>
      <c r="T45" s="188">
        <f>opex_orig!T45</f>
        <v>1.06184E-4</v>
      </c>
      <c r="U45" s="188">
        <f>opex_orig!U45</f>
        <v>1.6106200000000001E-4</v>
      </c>
      <c r="V45" s="188">
        <f>opex_orig!V45</f>
        <v>1.77307E-4</v>
      </c>
      <c r="W45" s="188">
        <f>opex_orig!W45</f>
        <v>1.4071999999999999E-4</v>
      </c>
      <c r="X45" s="188">
        <f>opex_orig!X45</f>
        <v>8.25E-5</v>
      </c>
      <c r="Y45" s="188">
        <f>opex_orig!Y45</f>
        <v>5.13E-5</v>
      </c>
      <c r="Z45" s="188">
        <f>opex_orig!Z45</f>
        <v>8.03E-5</v>
      </c>
      <c r="AA45" s="188">
        <f>opex_orig!AA45</f>
        <v>1.6537400000000001E-4</v>
      </c>
      <c r="AB45" s="188">
        <f>opex_orig!$AB45</f>
        <v>4.0549841286129199E-4</v>
      </c>
      <c r="AC45" s="188">
        <f>opex_orig!$AB45</f>
        <v>4.0549841286129199E-4</v>
      </c>
      <c r="AD45" s="188">
        <f>opex_orig!$AB45</f>
        <v>4.0549841286129199E-4</v>
      </c>
      <c r="AE45" s="188">
        <f>opex_orig!$AC45</f>
        <v>5.6970768009780601E-4</v>
      </c>
      <c r="AF45" s="188">
        <f>opex_orig!$AD45</f>
        <v>1.65984705481639E-4</v>
      </c>
      <c r="AG45" s="188">
        <f>opex_orig!$AD45</f>
        <v>1.65984705481639E-4</v>
      </c>
      <c r="AH45" s="188">
        <f>opex_orig!$AD45</f>
        <v>1.65984705481639E-4</v>
      </c>
      <c r="AI45" s="188">
        <f>opex_orig!AE45</f>
        <v>1.4840900000000001E-4</v>
      </c>
      <c r="AJ45" s="188">
        <f>opex_orig!AF45</f>
        <v>1.7883129999999999E-3</v>
      </c>
      <c r="AK45" s="188">
        <f>opex_orig!AG45</f>
        <v>2.4007299999999999E-4</v>
      </c>
      <c r="AL45" s="188">
        <f>opex_orig!AH45</f>
        <v>5.5000000000000002E-5</v>
      </c>
      <c r="AM45" s="188">
        <f>opex_orig!AI45</f>
        <v>9.7800000000000006E-5</v>
      </c>
      <c r="AN45" s="188">
        <f>opex_orig!AJ45</f>
        <v>7.1299999999999998E-5</v>
      </c>
      <c r="AO45" s="188">
        <f>opex_orig!AK45</f>
        <v>1.5101599999999999E-4</v>
      </c>
      <c r="AP45" s="188">
        <f>opex_orig!$AL45</f>
        <v>6.8138125223026803E-5</v>
      </c>
      <c r="AQ45" s="188">
        <f>opex_orig!$AL45</f>
        <v>6.8138125223026803E-5</v>
      </c>
      <c r="AR45" s="188">
        <f>opex_orig!$AL45</f>
        <v>6.8138125223026803E-5</v>
      </c>
      <c r="AS45" s="188">
        <f>opex_orig!$AM45</f>
        <v>8.8794775514604998E-5</v>
      </c>
      <c r="AT45" s="188">
        <f>opex_orig!AN45</f>
        <v>1.5438100000000001E-4</v>
      </c>
      <c r="AU45" s="188">
        <f>opex_orig!$AO45</f>
        <v>5.03635435534127E-5</v>
      </c>
      <c r="AV45" s="188">
        <f>opex_orig!$AO45</f>
        <v>5.03635435534127E-5</v>
      </c>
      <c r="AW45" s="188">
        <f>opex_orig!$AO45</f>
        <v>5.03635435534127E-5</v>
      </c>
      <c r="AX45" s="188">
        <f>opex_orig!$AP45</f>
        <v>6.8591698039085499E-5</v>
      </c>
      <c r="AY45" s="188">
        <f>opex_orig!AQ45</f>
        <v>1.20494E-4</v>
      </c>
      <c r="AZ45" s="188">
        <f>opex_orig!AR45</f>
        <v>0</v>
      </c>
      <c r="BA45" s="188">
        <f>opex_orig!AS45</f>
        <v>1.16502E-4</v>
      </c>
      <c r="BB45" s="188">
        <f>opex_orig!AT45</f>
        <v>9.7800000000000006E-5</v>
      </c>
      <c r="BC45" s="188">
        <f>opex_orig!AU45</f>
        <v>4.3900000000000003E-5</v>
      </c>
      <c r="BD45" s="188">
        <f>opex_orig!AV45</f>
        <v>3.6999999999999998E-5</v>
      </c>
      <c r="BE45" s="188">
        <f>opex_orig!AW45</f>
        <v>8.5000000000000006E-5</v>
      </c>
      <c r="BF45" s="188">
        <f>opex_orig!AX45</f>
        <v>0</v>
      </c>
      <c r="BG45" s="188">
        <f>opex_orig!AY45</f>
        <v>1.95687E-4</v>
      </c>
      <c r="BH45" s="188">
        <f>opex_orig!AZ45</f>
        <v>0</v>
      </c>
      <c r="BI45" s="188">
        <f>opex_orig!BA45</f>
        <v>5.9299999999999998E-5</v>
      </c>
      <c r="BJ45" s="188">
        <f>opex_orig!BB45</f>
        <v>2.8046499999999998E-4</v>
      </c>
      <c r="BK45" s="188">
        <f>opex_orig!BC45</f>
        <v>7.1799999999999997E-5</v>
      </c>
      <c r="BL45" s="188">
        <f>opex_orig!BD45</f>
        <v>7.8999999999999996E-5</v>
      </c>
      <c r="BM45" s="188">
        <f>opex_orig!BE45</f>
        <v>3.9499999999999998E-5</v>
      </c>
      <c r="BN45" s="188">
        <f>opex_orig!BF45</f>
        <v>2.9499999999999999E-5</v>
      </c>
      <c r="BO45" s="188">
        <f>opex_orig!BG45</f>
        <v>2.5577500000000002E-4</v>
      </c>
      <c r="BP45" s="188">
        <f>opex_orig!$BH45</f>
        <v>5.5391507880371601E-5</v>
      </c>
      <c r="BQ45" s="188">
        <f>opex_orig!$BH45</f>
        <v>5.5391507880371601E-5</v>
      </c>
      <c r="BR45" s="188">
        <f>opex_orig!BI45</f>
        <v>4.0399999999999999E-5</v>
      </c>
      <c r="BS45" s="188">
        <f>opex_orig!BJ45</f>
        <v>8.0099999999999995E-5</v>
      </c>
      <c r="BT45" s="188">
        <f>opex_orig!BK45</f>
        <v>2.3083489999999999E-3</v>
      </c>
      <c r="BU45" s="188">
        <f>opex_orig!BL45</f>
        <v>0</v>
      </c>
      <c r="BV45" s="27">
        <f>opex_orig!BM45</f>
        <v>2.7942718823773302E-4</v>
      </c>
      <c r="BW45" s="27">
        <f>opex_orig!BN45</f>
        <v>3.1964073953143099E-4</v>
      </c>
      <c r="BX45" s="27">
        <f>opex_orig!BO45</f>
        <v>1.4987546916463799E-4</v>
      </c>
      <c r="BY45" s="27">
        <f>opex_orig!BP45</f>
        <v>1.18320608089078E-4</v>
      </c>
      <c r="BZ45" s="27">
        <f>opex_orig!BQ45</f>
        <v>1.3528157218702E-4</v>
      </c>
      <c r="CA45" s="27">
        <f>opex_orig!BR45</f>
        <v>3.1010203662618899E-6</v>
      </c>
      <c r="CB45" s="27">
        <f>opex_orig!BS45</f>
        <v>4.5302675977604301E-4</v>
      </c>
      <c r="CC45" s="27">
        <f>opex_orig!BT45</f>
        <v>2.6195787292967699E-5</v>
      </c>
      <c r="CD45" s="27">
        <f>opex_orig!BU45</f>
        <v>3.3370221798256303E-5</v>
      </c>
      <c r="CE45" s="27">
        <f>opex_orig!BV45</f>
        <v>3.3370221798256201E-5</v>
      </c>
      <c r="CF45" s="27">
        <f>opex_orig!BW45</f>
        <v>9.2254820469869699E-5</v>
      </c>
      <c r="CG45" s="27">
        <f>opex_orig!BX45</f>
        <v>2.3973601904049601E-5</v>
      </c>
      <c r="CH45" s="27">
        <f>opex_orig!BY45</f>
        <v>2.1562214554855702E-5</v>
      </c>
      <c r="CI45" s="27">
        <f>opex_orig!Y45</f>
        <v>5.13E-5</v>
      </c>
      <c r="CJ45" s="27">
        <f>opex_orig!Z45</f>
        <v>8.03E-5</v>
      </c>
      <c r="CK45" s="27">
        <f>opex_orig!AA45</f>
        <v>1.6537400000000001E-4</v>
      </c>
      <c r="CL45" s="27">
        <f>opex_orig!AB45</f>
        <v>4.0549841286129199E-4</v>
      </c>
      <c r="CM45" s="27">
        <f>opex_orig!AC45</f>
        <v>5.6970768009780601E-4</v>
      </c>
      <c r="CN45" s="27">
        <f>opex_orig!AD45</f>
        <v>1.65984705481639E-4</v>
      </c>
      <c r="CO45" s="27">
        <f>opex_orig!AE45</f>
        <v>1.4840900000000001E-4</v>
      </c>
      <c r="CP45" s="27">
        <f>opex_orig!AF45</f>
        <v>1.7883129999999999E-3</v>
      </c>
    </row>
    <row r="46" spans="1:94" x14ac:dyDescent="0.25">
      <c r="A46" s="5" t="s">
        <v>111</v>
      </c>
      <c r="B46" s="2" t="s">
        <v>110</v>
      </c>
      <c r="C46" s="1" t="s">
        <v>327</v>
      </c>
      <c r="D46" s="188">
        <f>opex_orig!D46</f>
        <v>5.0306400000000001E-4</v>
      </c>
      <c r="E46" s="188">
        <f>opex_orig!E46</f>
        <v>1.0096040000000001E-3</v>
      </c>
      <c r="F46" s="188">
        <f>opex_orig!F46</f>
        <v>6.5053079999999996E-3</v>
      </c>
      <c r="G46" s="188">
        <f>opex_orig!G46</f>
        <v>5.7099999999999999E-5</v>
      </c>
      <c r="H46" s="188">
        <f>opex_orig!H46</f>
        <v>8.7199999999999995E-6</v>
      </c>
      <c r="I46" s="188">
        <f>opex_orig!I46</f>
        <v>5.6251300000000005E-4</v>
      </c>
      <c r="J46" s="188">
        <f>opex_orig!J46</f>
        <v>1.6019100000000001E-4</v>
      </c>
      <c r="K46" s="188">
        <f>opex_orig!K46</f>
        <v>1.6900000000000001E-5</v>
      </c>
      <c r="L46" s="188">
        <f>opex_orig!L46</f>
        <v>7.2986960000000004E-3</v>
      </c>
      <c r="M46" s="188">
        <f>opex_orig!M46</f>
        <v>8.9349600000000003E-4</v>
      </c>
      <c r="N46" s="188">
        <f>opex_orig!N46</f>
        <v>3.69632E-4</v>
      </c>
      <c r="O46" s="188">
        <f>opex_orig!O46</f>
        <v>7.7299999999999995E-5</v>
      </c>
      <c r="P46" s="188">
        <f>opex_orig!P46</f>
        <v>3.8399999999999998E-5</v>
      </c>
      <c r="Q46" s="188">
        <f>opex_orig!Q46</f>
        <v>3.5899999999999998E-5</v>
      </c>
      <c r="R46" s="188">
        <f>opex_orig!R46</f>
        <v>3.6199999999999999E-5</v>
      </c>
      <c r="S46" s="188">
        <f>opex_orig!S46</f>
        <v>2.2399999999999999E-5</v>
      </c>
      <c r="T46" s="188">
        <f>opex_orig!T46</f>
        <v>3.54E-5</v>
      </c>
      <c r="U46" s="188">
        <f>opex_orig!U46</f>
        <v>3.2799999999999998E-5</v>
      </c>
      <c r="V46" s="188">
        <f>opex_orig!V46</f>
        <v>3.7499999999999997E-5</v>
      </c>
      <c r="W46" s="188">
        <f>opex_orig!W46</f>
        <v>2.2500000000000001E-5</v>
      </c>
      <c r="X46" s="188">
        <f>opex_orig!X46</f>
        <v>2.9499999999999999E-5</v>
      </c>
      <c r="Y46" s="188">
        <f>opex_orig!Y46</f>
        <v>1.66E-5</v>
      </c>
      <c r="Z46" s="188">
        <f>opex_orig!Z46</f>
        <v>2.72E-5</v>
      </c>
      <c r="AA46" s="188">
        <f>opex_orig!AA46</f>
        <v>4.9499999999999997E-5</v>
      </c>
      <c r="AB46" s="188">
        <f>opex_orig!$AB46</f>
        <v>3.8211669910012998E-5</v>
      </c>
      <c r="AC46" s="188">
        <f>opex_orig!$AB46</f>
        <v>3.8211669910012998E-5</v>
      </c>
      <c r="AD46" s="188">
        <f>opex_orig!$AB46</f>
        <v>3.8211669910012998E-5</v>
      </c>
      <c r="AE46" s="188">
        <f>opex_orig!$AC46</f>
        <v>9.0413877773178297E-5</v>
      </c>
      <c r="AF46" s="188">
        <f>opex_orig!$AD46</f>
        <v>3.6593708435870602E-5</v>
      </c>
      <c r="AG46" s="188">
        <f>opex_orig!$AD46</f>
        <v>3.6593708435870602E-5</v>
      </c>
      <c r="AH46" s="188">
        <f>opex_orig!$AD46</f>
        <v>3.6593708435870602E-5</v>
      </c>
      <c r="AI46" s="188">
        <f>opex_orig!AE46</f>
        <v>3.04E-5</v>
      </c>
      <c r="AJ46" s="188">
        <f>opex_orig!AF46</f>
        <v>1.84339E-4</v>
      </c>
      <c r="AK46" s="188">
        <f>opex_orig!AG46</f>
        <v>5.38E-5</v>
      </c>
      <c r="AL46" s="188">
        <f>opex_orig!AH46</f>
        <v>2.3E-5</v>
      </c>
      <c r="AM46" s="188">
        <f>opex_orig!AI46</f>
        <v>3.1699999999999998E-5</v>
      </c>
      <c r="AN46" s="188">
        <f>opex_orig!AJ46</f>
        <v>2.87E-5</v>
      </c>
      <c r="AO46" s="188">
        <f>opex_orig!AK46</f>
        <v>3.9400000000000002E-5</v>
      </c>
      <c r="AP46" s="188">
        <f>opex_orig!$AL46</f>
        <v>3.68150573694861E-5</v>
      </c>
      <c r="AQ46" s="188">
        <f>opex_orig!$AL46</f>
        <v>3.68150573694861E-5</v>
      </c>
      <c r="AR46" s="188">
        <f>opex_orig!$AL46</f>
        <v>3.68150573694861E-5</v>
      </c>
      <c r="AS46" s="188">
        <f>opex_orig!$AM46</f>
        <v>4.1050379613539003E-5</v>
      </c>
      <c r="AT46" s="188">
        <f>opex_orig!AN46</f>
        <v>3.7400000000000001E-5</v>
      </c>
      <c r="AU46" s="188">
        <f>opex_orig!$AO46</f>
        <v>1.25973336067444E-5</v>
      </c>
      <c r="AV46" s="188">
        <f>opex_orig!$AO46</f>
        <v>1.25973336067444E-5</v>
      </c>
      <c r="AW46" s="188">
        <f>opex_orig!$AO46</f>
        <v>1.25973336067444E-5</v>
      </c>
      <c r="AX46" s="188">
        <f>opex_orig!$AP46</f>
        <v>1.89140173633174E-5</v>
      </c>
      <c r="AY46" s="188">
        <f>opex_orig!AQ46</f>
        <v>2.51E-5</v>
      </c>
      <c r="AZ46" s="188">
        <f>opex_orig!AR46</f>
        <v>0</v>
      </c>
      <c r="BA46" s="188">
        <f>opex_orig!AS46</f>
        <v>2.7699999999999999E-5</v>
      </c>
      <c r="BB46" s="188">
        <f>opex_orig!AT46</f>
        <v>2.4899999999999999E-5</v>
      </c>
      <c r="BC46" s="188">
        <f>opex_orig!AU46</f>
        <v>8.1699999999999997E-6</v>
      </c>
      <c r="BD46" s="188">
        <f>opex_orig!AV46</f>
        <v>7.7999999999999999E-6</v>
      </c>
      <c r="BE46" s="188">
        <f>opex_orig!AW46</f>
        <v>3.5299999999999997E-5</v>
      </c>
      <c r="BF46" s="188">
        <f>opex_orig!AX46</f>
        <v>0</v>
      </c>
      <c r="BG46" s="188">
        <f>opex_orig!AY46</f>
        <v>5.8100000000000003E-5</v>
      </c>
      <c r="BH46" s="188">
        <f>opex_orig!AZ46</f>
        <v>0</v>
      </c>
      <c r="BI46" s="188">
        <f>opex_orig!BA46</f>
        <v>1.8300000000000001E-5</v>
      </c>
      <c r="BJ46" s="188">
        <f>opex_orig!BB46</f>
        <v>1.66E-5</v>
      </c>
      <c r="BK46" s="188">
        <f>opex_orig!BC46</f>
        <v>2.8600000000000001E-5</v>
      </c>
      <c r="BL46" s="188">
        <f>opex_orig!BD46</f>
        <v>5.3900000000000002E-5</v>
      </c>
      <c r="BM46" s="188">
        <f>opex_orig!BE46</f>
        <v>1.84E-5</v>
      </c>
      <c r="BN46" s="188">
        <f>opex_orig!BF46</f>
        <v>1.0200000000000001E-5</v>
      </c>
      <c r="BO46" s="188">
        <f>opex_orig!BG46</f>
        <v>3.9100000000000002E-5</v>
      </c>
      <c r="BP46" s="188">
        <f>opex_orig!$BH46</f>
        <v>2.0794697934767002E-5</v>
      </c>
      <c r="BQ46" s="188">
        <f>opex_orig!$BH46</f>
        <v>2.0794697934767002E-5</v>
      </c>
      <c r="BR46" s="188">
        <f>opex_orig!BI46</f>
        <v>1.8499999999999999E-5</v>
      </c>
      <c r="BS46" s="188">
        <f>opex_orig!BJ46</f>
        <v>2.9899999999999998E-5</v>
      </c>
      <c r="BT46" s="188">
        <f>opex_orig!BK46</f>
        <v>2.2200000000000001E-5</v>
      </c>
      <c r="BU46" s="188">
        <f>opex_orig!BL46</f>
        <v>0</v>
      </c>
      <c r="BV46" s="27">
        <f>opex_orig!BM46</f>
        <v>1.9462654210510002E-5</v>
      </c>
      <c r="BW46" s="27">
        <f>opex_orig!BN46</f>
        <v>3.7332593720281002E-5</v>
      </c>
      <c r="BX46" s="27">
        <f>opex_orig!BO46</f>
        <v>8.8552972778669407E-6</v>
      </c>
      <c r="BY46" s="27">
        <f>opex_orig!BP46</f>
        <v>1.3648783738016299E-5</v>
      </c>
      <c r="BZ46" s="27">
        <f>opex_orig!BQ46</f>
        <v>2.0199756119538899E-5</v>
      </c>
      <c r="CA46" s="27">
        <f>opex_orig!BR46</f>
        <v>8.6929195801266402E-7</v>
      </c>
      <c r="CB46" s="27">
        <f>opex_orig!BS46</f>
        <v>5.1126068845515001E-5</v>
      </c>
      <c r="CC46" s="27">
        <f>opex_orig!BT46</f>
        <v>1.35877556598157E-5</v>
      </c>
      <c r="CD46" s="27">
        <f>opex_orig!BU46</f>
        <v>1.0364855568955E-5</v>
      </c>
      <c r="CE46" s="27">
        <f>opex_orig!BV46</f>
        <v>1.0364855568955E-5</v>
      </c>
      <c r="CF46" s="27">
        <f>opex_orig!BW46</f>
        <v>1.15501378916842E-4</v>
      </c>
      <c r="CG46" s="27">
        <f>opex_orig!BX46</f>
        <v>3.7200384558802801E-6</v>
      </c>
      <c r="CH46" s="27">
        <f>opex_orig!BY46</f>
        <v>4.25550595727578E-6</v>
      </c>
      <c r="CI46" s="27">
        <f>opex_orig!Y46</f>
        <v>1.66E-5</v>
      </c>
      <c r="CJ46" s="27">
        <f>opex_orig!Z46</f>
        <v>2.72E-5</v>
      </c>
      <c r="CK46" s="27">
        <f>opex_orig!AA46</f>
        <v>4.9499999999999997E-5</v>
      </c>
      <c r="CL46" s="27">
        <f>opex_orig!AB46</f>
        <v>3.8211669910012998E-5</v>
      </c>
      <c r="CM46" s="27">
        <f>opex_orig!AC46</f>
        <v>9.0413877773178297E-5</v>
      </c>
      <c r="CN46" s="27">
        <f>opex_orig!AD46</f>
        <v>3.6593708435870602E-5</v>
      </c>
      <c r="CO46" s="27">
        <f>opex_orig!AE46</f>
        <v>3.04E-5</v>
      </c>
      <c r="CP46" s="27">
        <f>opex_orig!AF46</f>
        <v>1.84339E-4</v>
      </c>
    </row>
    <row r="47" spans="1:94" x14ac:dyDescent="0.25">
      <c r="A47" s="5" t="s">
        <v>113</v>
      </c>
      <c r="B47" s="2" t="s">
        <v>112</v>
      </c>
      <c r="C47" s="1" t="s">
        <v>327</v>
      </c>
      <c r="D47" s="188">
        <f>opex_orig!D47</f>
        <v>6.6599999999999998E-6</v>
      </c>
      <c r="E47" s="188">
        <f>opex_orig!E47</f>
        <v>2.1799999999999999E-6</v>
      </c>
      <c r="F47" s="188">
        <f>opex_orig!F47</f>
        <v>6.19E-6</v>
      </c>
      <c r="G47" s="188">
        <f>opex_orig!G47</f>
        <v>2.04E-6</v>
      </c>
      <c r="H47" s="188">
        <f>opex_orig!H47</f>
        <v>3.49E-6</v>
      </c>
      <c r="I47" s="188">
        <f>opex_orig!I47</f>
        <v>1.9899999999999999E-5</v>
      </c>
      <c r="J47" s="188">
        <f>opex_orig!J47</f>
        <v>1.22E-5</v>
      </c>
      <c r="K47" s="188">
        <f>opex_orig!K47</f>
        <v>3.2899999999999998E-6</v>
      </c>
      <c r="L47" s="188">
        <f>opex_orig!L47</f>
        <v>1.27E-5</v>
      </c>
      <c r="M47" s="188">
        <f>opex_orig!M47</f>
        <v>3.2399999999999999E-6</v>
      </c>
      <c r="N47" s="188">
        <f>opex_orig!N47</f>
        <v>1.4E-5</v>
      </c>
      <c r="O47" s="188">
        <f>opex_orig!O47</f>
        <v>1.03E-5</v>
      </c>
      <c r="P47" s="188">
        <f>opex_orig!P47</f>
        <v>2.34E-6</v>
      </c>
      <c r="Q47" s="188">
        <f>opex_orig!Q47</f>
        <v>3.4300000000000002E-6</v>
      </c>
      <c r="R47" s="188">
        <f>opex_orig!R47</f>
        <v>5.5600000000000003E-5</v>
      </c>
      <c r="S47" s="188">
        <f>opex_orig!S47</f>
        <v>2.12E-6</v>
      </c>
      <c r="T47" s="188">
        <f>opex_orig!T47</f>
        <v>2.7199999999999998E-6</v>
      </c>
      <c r="U47" s="188">
        <f>opex_orig!U47</f>
        <v>1.44E-6</v>
      </c>
      <c r="V47" s="188">
        <f>opex_orig!V47</f>
        <v>1.5999999999999999E-6</v>
      </c>
      <c r="W47" s="188">
        <f>opex_orig!W47</f>
        <v>9.9000000000000001E-6</v>
      </c>
      <c r="X47" s="188">
        <f>opex_orig!X47</f>
        <v>3.54E-6</v>
      </c>
      <c r="Y47" s="188">
        <f>opex_orig!Y47</f>
        <v>1.5200000000000001E-6</v>
      </c>
      <c r="Z47" s="188">
        <f>opex_orig!Z47</f>
        <v>2.9100000000000001E-6</v>
      </c>
      <c r="AA47" s="188">
        <f>opex_orig!AA47</f>
        <v>2.4499999999999998E-6</v>
      </c>
      <c r="AB47" s="188">
        <f>opex_orig!$AB47</f>
        <v>1.13344920768648E-4</v>
      </c>
      <c r="AC47" s="188">
        <f>opex_orig!$AB47</f>
        <v>1.13344920768648E-4</v>
      </c>
      <c r="AD47" s="188">
        <f>opex_orig!$AB47</f>
        <v>1.13344920768648E-4</v>
      </c>
      <c r="AE47" s="188">
        <f>opex_orig!$AC47</f>
        <v>4.77910742401214E-6</v>
      </c>
      <c r="AF47" s="188">
        <f>opex_orig!$AD47</f>
        <v>2.2042340832206098E-6</v>
      </c>
      <c r="AG47" s="188">
        <f>opex_orig!$AD47</f>
        <v>2.2042340832206098E-6</v>
      </c>
      <c r="AH47" s="188">
        <f>opex_orig!$AD47</f>
        <v>2.2042340832206098E-6</v>
      </c>
      <c r="AI47" s="188">
        <f>opex_orig!AE47</f>
        <v>2.8399999999999999E-6</v>
      </c>
      <c r="AJ47" s="188">
        <f>opex_orig!AF47</f>
        <v>5.66E-6</v>
      </c>
      <c r="AK47" s="188">
        <f>opex_orig!AG47</f>
        <v>3.3000000000000002E-6</v>
      </c>
      <c r="AL47" s="188">
        <f>opex_orig!AH47</f>
        <v>4.1999999999999996E-6</v>
      </c>
      <c r="AM47" s="188">
        <f>opex_orig!AI47</f>
        <v>7.0299999999999996E-6</v>
      </c>
      <c r="AN47" s="188">
        <f>opex_orig!AJ47</f>
        <v>5.4600000000000002E-6</v>
      </c>
      <c r="AO47" s="188">
        <f>opex_orig!AK47</f>
        <v>4.3900000000000003E-6</v>
      </c>
      <c r="AP47" s="188">
        <f>opex_orig!$AL47</f>
        <v>5.0631100298226E-6</v>
      </c>
      <c r="AQ47" s="188">
        <f>opex_orig!$AL47</f>
        <v>5.0631100298226E-6</v>
      </c>
      <c r="AR47" s="188">
        <f>opex_orig!$AL47</f>
        <v>5.0631100298226E-6</v>
      </c>
      <c r="AS47" s="188">
        <f>opex_orig!$AM47</f>
        <v>4.0040111445980797E-6</v>
      </c>
      <c r="AT47" s="188">
        <f>opex_orig!AN47</f>
        <v>6.7000000000000002E-6</v>
      </c>
      <c r="AU47" s="188">
        <f>opex_orig!$AO47</f>
        <v>2.4097891650215398E-6</v>
      </c>
      <c r="AV47" s="188">
        <f>opex_orig!$AO47</f>
        <v>2.4097891650215398E-6</v>
      </c>
      <c r="AW47" s="188">
        <f>opex_orig!$AO47</f>
        <v>2.4097891650215398E-6</v>
      </c>
      <c r="AX47" s="188">
        <f>opex_orig!$AP47</f>
        <v>1.9082168406456499E-6</v>
      </c>
      <c r="AY47" s="188">
        <f>opex_orig!AQ47</f>
        <v>1.7099999999999999E-6</v>
      </c>
      <c r="AZ47" s="188">
        <f>opex_orig!AR47</f>
        <v>0</v>
      </c>
      <c r="BA47" s="188">
        <f>opex_orig!AS47</f>
        <v>1.86E-6</v>
      </c>
      <c r="BB47" s="188">
        <f>opex_orig!AT47</f>
        <v>8.6700000000000002E-7</v>
      </c>
      <c r="BC47" s="188">
        <f>opex_orig!AU47</f>
        <v>3.6399999999999998E-7</v>
      </c>
      <c r="BD47" s="188">
        <f>opex_orig!AV47</f>
        <v>2.2999999999999999E-7</v>
      </c>
      <c r="BE47" s="188">
        <f>opex_orig!AW47</f>
        <v>1.53E-6</v>
      </c>
      <c r="BF47" s="188">
        <f>opex_orig!AX47</f>
        <v>0</v>
      </c>
      <c r="BG47" s="188">
        <f>opex_orig!AY47</f>
        <v>1.3499999999999999E-5</v>
      </c>
      <c r="BH47" s="188">
        <f>opex_orig!AZ47</f>
        <v>0</v>
      </c>
      <c r="BI47" s="188">
        <f>opex_orig!BA47</f>
        <v>1.1599999999999999E-6</v>
      </c>
      <c r="BJ47" s="188">
        <f>opex_orig!BB47</f>
        <v>1.8199999999999999E-6</v>
      </c>
      <c r="BK47" s="188">
        <f>opex_orig!BC47</f>
        <v>2.12E-6</v>
      </c>
      <c r="BL47" s="188">
        <f>opex_orig!BD47</f>
        <v>2.65E-6</v>
      </c>
      <c r="BM47" s="188">
        <f>opex_orig!BE47</f>
        <v>4.9899999999999997E-6</v>
      </c>
      <c r="BN47" s="188">
        <f>opex_orig!BF47</f>
        <v>2.0700000000000001E-6</v>
      </c>
      <c r="BO47" s="188">
        <f>opex_orig!BG47</f>
        <v>5.4E-6</v>
      </c>
      <c r="BP47" s="188">
        <f>opex_orig!$BH47</f>
        <v>1.79808715442443E-6</v>
      </c>
      <c r="BQ47" s="188">
        <f>opex_orig!$BH47</f>
        <v>1.79808715442443E-6</v>
      </c>
      <c r="BR47" s="188">
        <f>opex_orig!BI47</f>
        <v>6.8299999999999998E-6</v>
      </c>
      <c r="BS47" s="188">
        <f>opex_orig!BJ47</f>
        <v>3.3400000000000002E-6</v>
      </c>
      <c r="BT47" s="188">
        <f>opex_orig!BK47</f>
        <v>9.7999999999999993E-7</v>
      </c>
      <c r="BU47" s="188">
        <f>opex_orig!BL47</f>
        <v>0</v>
      </c>
      <c r="BV47" s="27">
        <f>opex_orig!BM47</f>
        <v>4.0958013506644099E-6</v>
      </c>
      <c r="BW47" s="27">
        <f>opex_orig!BN47</f>
        <v>1.3428775780685999E-5</v>
      </c>
      <c r="BX47" s="27">
        <f>opex_orig!BO47</f>
        <v>2.5833204463812001E-6</v>
      </c>
      <c r="BY47" s="27">
        <f>opex_orig!BP47</f>
        <v>1.4001113517628399E-6</v>
      </c>
      <c r="BZ47" s="27">
        <f>opex_orig!BQ47</f>
        <v>1.01189401874373E-6</v>
      </c>
      <c r="CA47" s="27">
        <f>opex_orig!BR47</f>
        <v>8.3797909319862598E-7</v>
      </c>
      <c r="CB47" s="27">
        <f>opex_orig!BS47</f>
        <v>2.9623258007171299E-5</v>
      </c>
      <c r="CC47" s="27">
        <f>opex_orig!BT47</f>
        <v>1.1020913201086699E-6</v>
      </c>
      <c r="CD47" s="27">
        <f>opex_orig!BU47</f>
        <v>9.8653631831941001E-7</v>
      </c>
      <c r="CE47" s="27">
        <f>opex_orig!BV47</f>
        <v>9.8653631831941404E-7</v>
      </c>
      <c r="CF47" s="27">
        <f>opex_orig!BW47</f>
        <v>1.2936454349340599E-6</v>
      </c>
      <c r="CG47" s="27">
        <f>opex_orig!BX47</f>
        <v>1.4847069464920001E-6</v>
      </c>
      <c r="CH47" s="27">
        <f>opex_orig!BY47</f>
        <v>3.9198102138365202E-6</v>
      </c>
      <c r="CI47" s="27">
        <f>opex_orig!Y47</f>
        <v>1.5200000000000001E-6</v>
      </c>
      <c r="CJ47" s="27">
        <f>opex_orig!Z47</f>
        <v>2.9100000000000001E-6</v>
      </c>
      <c r="CK47" s="27">
        <f>opex_orig!AA47</f>
        <v>2.4499999999999998E-6</v>
      </c>
      <c r="CL47" s="27">
        <f>opex_orig!AB47</f>
        <v>1.13344920768648E-4</v>
      </c>
      <c r="CM47" s="27">
        <f>opex_orig!AC47</f>
        <v>4.77910742401214E-6</v>
      </c>
      <c r="CN47" s="27">
        <f>opex_orig!AD47</f>
        <v>2.2042340832206098E-6</v>
      </c>
      <c r="CO47" s="27">
        <f>opex_orig!AE47</f>
        <v>2.8399999999999999E-6</v>
      </c>
      <c r="CP47" s="27">
        <f>opex_orig!AF47</f>
        <v>5.66E-6</v>
      </c>
    </row>
    <row r="48" spans="1:94" x14ac:dyDescent="0.25">
      <c r="A48" s="5" t="s">
        <v>115</v>
      </c>
      <c r="B48" s="2" t="s">
        <v>114</v>
      </c>
      <c r="C48" s="1" t="s">
        <v>327</v>
      </c>
      <c r="D48" s="188">
        <f>opex_orig!D48</f>
        <v>5.7544599999999997E-4</v>
      </c>
      <c r="E48" s="188">
        <f>opex_orig!E48</f>
        <v>1.3332700000000001E-4</v>
      </c>
      <c r="F48" s="188">
        <f>opex_orig!F48</f>
        <v>1.18505E-4</v>
      </c>
      <c r="G48" s="188">
        <f>opex_orig!G48</f>
        <v>2.16E-5</v>
      </c>
      <c r="H48" s="188">
        <f>opex_orig!H48</f>
        <v>4.2700000000000001E-5</v>
      </c>
      <c r="I48" s="188">
        <f>opex_orig!I48</f>
        <v>1.8196900000000001E-4</v>
      </c>
      <c r="J48" s="188">
        <f>opex_orig!J48</f>
        <v>2.2003100000000001E-4</v>
      </c>
      <c r="K48" s="188">
        <f>opex_orig!K48</f>
        <v>6.6799999999999997E-5</v>
      </c>
      <c r="L48" s="188">
        <f>opex_orig!L48</f>
        <v>2.5670700000000001E-4</v>
      </c>
      <c r="M48" s="188">
        <f>opex_orig!M48</f>
        <v>7.2568199999999995E-4</v>
      </c>
      <c r="N48" s="188">
        <f>opex_orig!N48</f>
        <v>3.78246E-4</v>
      </c>
      <c r="O48" s="188">
        <f>opex_orig!O48</f>
        <v>2.0686500000000001E-4</v>
      </c>
      <c r="P48" s="188">
        <f>opex_orig!P48</f>
        <v>0.28902177800000001</v>
      </c>
      <c r="Q48" s="188">
        <f>opex_orig!Q48</f>
        <v>0.134086603</v>
      </c>
      <c r="R48" s="188">
        <f>opex_orig!R48</f>
        <v>2.4775579999999998E-2</v>
      </c>
      <c r="S48" s="188">
        <f>opex_orig!S48</f>
        <v>2.8015400000000001E-4</v>
      </c>
      <c r="T48" s="188">
        <f>opex_orig!T48</f>
        <v>3.2693899999999999E-4</v>
      </c>
      <c r="U48" s="188">
        <f>opex_orig!U48</f>
        <v>1.6234800000000001E-4</v>
      </c>
      <c r="V48" s="188">
        <f>opex_orig!V48</f>
        <v>1.7958199999999999E-4</v>
      </c>
      <c r="W48" s="188">
        <f>opex_orig!W48</f>
        <v>4.7331100000000002E-4</v>
      </c>
      <c r="X48" s="188">
        <f>opex_orig!X48</f>
        <v>1.114652E-3</v>
      </c>
      <c r="Y48" s="188">
        <f>opex_orig!Y48</f>
        <v>8.0900000000000001E-5</v>
      </c>
      <c r="Z48" s="188">
        <f>opex_orig!Z48</f>
        <v>2.2828099999999999E-4</v>
      </c>
      <c r="AA48" s="188">
        <f>opex_orig!AA48</f>
        <v>2.41668E-4</v>
      </c>
      <c r="AB48" s="188">
        <f>opex_orig!$AB48</f>
        <v>2.9201428210030698E-4</v>
      </c>
      <c r="AC48" s="188">
        <f>opex_orig!$AB48</f>
        <v>2.9201428210030698E-4</v>
      </c>
      <c r="AD48" s="188">
        <f>opex_orig!$AB48</f>
        <v>2.9201428210030698E-4</v>
      </c>
      <c r="AE48" s="188">
        <f>opex_orig!$AC48</f>
        <v>5.6713575971489003E-4</v>
      </c>
      <c r="AF48" s="188">
        <f>opex_orig!$AD48</f>
        <v>2.8362569155539401E-3</v>
      </c>
      <c r="AG48" s="188">
        <f>opex_orig!$AD48</f>
        <v>2.8362569155539401E-3</v>
      </c>
      <c r="AH48" s="188">
        <f>opex_orig!$AD48</f>
        <v>2.8362569155539401E-3</v>
      </c>
      <c r="AI48" s="188">
        <f>opex_orig!AE48</f>
        <v>2.8052160000000001E-3</v>
      </c>
      <c r="AJ48" s="188">
        <f>opex_orig!AF48</f>
        <v>2.1331457000000002E-2</v>
      </c>
      <c r="AK48" s="188">
        <f>opex_orig!AG48</f>
        <v>2.4486754999999999E-2</v>
      </c>
      <c r="AL48" s="188">
        <f>opex_orig!AH48</f>
        <v>4.1191900000000001E-4</v>
      </c>
      <c r="AM48" s="188">
        <f>opex_orig!AI48</f>
        <v>6.9438599999999996E-4</v>
      </c>
      <c r="AN48" s="188">
        <f>opex_orig!AJ48</f>
        <v>1.29512E-4</v>
      </c>
      <c r="AO48" s="188">
        <f>opex_orig!AK48</f>
        <v>2.5562099999999998E-4</v>
      </c>
      <c r="AP48" s="188">
        <f>opex_orig!$AL48</f>
        <v>1.8433744161579799E-4</v>
      </c>
      <c r="AQ48" s="188">
        <f>opex_orig!$AL48</f>
        <v>1.8433744161579799E-4</v>
      </c>
      <c r="AR48" s="188">
        <f>opex_orig!$AL48</f>
        <v>1.8433744161579799E-4</v>
      </c>
      <c r="AS48" s="188">
        <f>opex_orig!$AM48</f>
        <v>1.85776325150465E-4</v>
      </c>
      <c r="AT48" s="188">
        <f>opex_orig!AN48</f>
        <v>4.2423200000000003E-4</v>
      </c>
      <c r="AU48" s="188">
        <f>opex_orig!$AO48</f>
        <v>1.0786573041797601E-4</v>
      </c>
      <c r="AV48" s="188">
        <f>opex_orig!$AO48</f>
        <v>1.0786573041797601E-4</v>
      </c>
      <c r="AW48" s="188">
        <f>opex_orig!$AO48</f>
        <v>1.0786573041797601E-4</v>
      </c>
      <c r="AX48" s="188">
        <f>opex_orig!$AP48</f>
        <v>1.3616449906715E-4</v>
      </c>
      <c r="AY48" s="188">
        <f>opex_orig!AQ48</f>
        <v>1.5169599999999999E-4</v>
      </c>
      <c r="AZ48" s="188">
        <f>opex_orig!AR48</f>
        <v>0</v>
      </c>
      <c r="BA48" s="188">
        <f>opex_orig!AS48</f>
        <v>2.10633E-4</v>
      </c>
      <c r="BB48" s="188">
        <f>opex_orig!AT48</f>
        <v>2.0980400000000001E-4</v>
      </c>
      <c r="BC48" s="188">
        <f>opex_orig!AU48</f>
        <v>4.0299999999999997E-5</v>
      </c>
      <c r="BD48" s="188">
        <f>opex_orig!AV48</f>
        <v>3.65E-5</v>
      </c>
      <c r="BE48" s="188">
        <f>opex_orig!AW48</f>
        <v>8.53E-5</v>
      </c>
      <c r="BF48" s="188">
        <f>opex_orig!AX48</f>
        <v>0</v>
      </c>
      <c r="BG48" s="188">
        <f>opex_orig!AY48</f>
        <v>2.1680500000000001E-4</v>
      </c>
      <c r="BH48" s="188">
        <f>opex_orig!AZ48</f>
        <v>0</v>
      </c>
      <c r="BI48" s="188">
        <f>opex_orig!BA48</f>
        <v>1.6483099999999999E-4</v>
      </c>
      <c r="BJ48" s="188">
        <f>opex_orig!BB48</f>
        <v>2.6999680000000001E-3</v>
      </c>
      <c r="BK48" s="188">
        <f>opex_orig!BC48</f>
        <v>3.7122230000000002E-3</v>
      </c>
      <c r="BL48" s="188">
        <f>opex_orig!BD48</f>
        <v>1.3244799999999999E-4</v>
      </c>
      <c r="BM48" s="188">
        <f>opex_orig!BE48</f>
        <v>5.82513E-4</v>
      </c>
      <c r="BN48" s="188">
        <f>opex_orig!BF48</f>
        <v>2.3818299999999999E-4</v>
      </c>
      <c r="BO48" s="188">
        <f>opex_orig!BG48</f>
        <v>1.764837E-3</v>
      </c>
      <c r="BP48" s="205">
        <f>opex_concordance!M85</f>
        <v>1.0469640981401207E-2</v>
      </c>
      <c r="BQ48" s="205">
        <f>opex_concordance!M128</f>
        <v>6.1900020107460794E-3</v>
      </c>
      <c r="BR48" s="188">
        <f>opex_orig!BI48</f>
        <v>7.6535780000000003E-3</v>
      </c>
      <c r="BS48" s="188">
        <f>opex_orig!BJ48</f>
        <v>3.2708350000000001E-3</v>
      </c>
      <c r="BT48" s="188">
        <f>opex_orig!BK48</f>
        <v>1.6992099999999999E-4</v>
      </c>
      <c r="BU48" s="188">
        <f>opex_orig!BL48</f>
        <v>0</v>
      </c>
      <c r="BV48" s="27">
        <f>opex_orig!BM48</f>
        <v>7.5386595053572402E-5</v>
      </c>
      <c r="BW48" s="27">
        <f>opex_orig!BN48</f>
        <v>1.6009560217675599E-4</v>
      </c>
      <c r="BX48" s="27">
        <f>opex_orig!BO48</f>
        <v>2.4948937339294001E-5</v>
      </c>
      <c r="BY48" s="27">
        <f>opex_orig!BP48</f>
        <v>4.3437775850279297E-5</v>
      </c>
      <c r="BZ48" s="27">
        <f>opex_orig!BQ48</f>
        <v>5.9937241418060997E-5</v>
      </c>
      <c r="CA48" s="27">
        <f>opex_orig!BR48</f>
        <v>1.8156337284715901E-5</v>
      </c>
      <c r="CB48" s="27">
        <f>opex_orig!BS48</f>
        <v>2.5064436787536798E-4</v>
      </c>
      <c r="CC48" s="27">
        <f>opex_orig!BT48</f>
        <v>3.5868802762891103E-5</v>
      </c>
      <c r="CD48" s="27">
        <f>opex_orig!BU48</f>
        <v>3.2030499721002402E-5</v>
      </c>
      <c r="CE48" s="27">
        <f>opex_orig!BV48</f>
        <v>3.20304997210023E-5</v>
      </c>
      <c r="CF48" s="27">
        <f>opex_orig!BW48</f>
        <v>5.12791448645609E-5</v>
      </c>
      <c r="CG48" s="27">
        <f>opex_orig!BX48</f>
        <v>3.5391015542429998E-6</v>
      </c>
      <c r="CH48" s="27">
        <f>opex_orig!BY48</f>
        <v>5.3010809467246002E-5</v>
      </c>
      <c r="CI48" s="27">
        <f>opex_orig!Y48</f>
        <v>8.0900000000000001E-5</v>
      </c>
      <c r="CJ48" s="27">
        <f>opex_orig!Z48</f>
        <v>2.2828099999999999E-4</v>
      </c>
      <c r="CK48" s="27">
        <f>opex_orig!AA48</f>
        <v>2.41668E-4</v>
      </c>
      <c r="CL48" s="27">
        <f>opex_orig!AB48</f>
        <v>2.9201428210030698E-4</v>
      </c>
      <c r="CM48" s="27">
        <f>opex_orig!AC48</f>
        <v>5.6713575971489003E-4</v>
      </c>
      <c r="CN48" s="27">
        <f>opex_orig!AD48</f>
        <v>2.8362569155539401E-3</v>
      </c>
      <c r="CO48" s="27">
        <f>opex_orig!AE48</f>
        <v>2.8052160000000001E-3</v>
      </c>
      <c r="CP48" s="27">
        <f>opex_orig!AF48</f>
        <v>2.1331457000000002E-2</v>
      </c>
    </row>
    <row r="49" spans="1:94" x14ac:dyDescent="0.25">
      <c r="A49" s="5" t="s">
        <v>117</v>
      </c>
      <c r="B49" s="2" t="s">
        <v>116</v>
      </c>
      <c r="C49" s="1" t="s">
        <v>327</v>
      </c>
      <c r="D49" s="188">
        <f>opex_orig!D49</f>
        <v>7.9699999999999999E-6</v>
      </c>
      <c r="E49" s="188">
        <f>opex_orig!E49</f>
        <v>2.3700000000000002E-6</v>
      </c>
      <c r="F49" s="188">
        <f>opex_orig!F49</f>
        <v>5.8799999999999996E-6</v>
      </c>
      <c r="G49" s="188">
        <f>opex_orig!G49</f>
        <v>2.9400000000000001E-7</v>
      </c>
      <c r="H49" s="188">
        <f>opex_orig!H49</f>
        <v>1.08E-6</v>
      </c>
      <c r="I49" s="188">
        <f>opex_orig!I49</f>
        <v>2.7099999999999999E-6</v>
      </c>
      <c r="J49" s="188">
        <f>opex_orig!J49</f>
        <v>2.0999999999999998E-6</v>
      </c>
      <c r="K49" s="188">
        <f>opex_orig!K49</f>
        <v>4.63E-7</v>
      </c>
      <c r="L49" s="188">
        <f>opex_orig!L49</f>
        <v>5.2499999999999997E-6</v>
      </c>
      <c r="M49" s="188">
        <f>opex_orig!M49</f>
        <v>8.67E-6</v>
      </c>
      <c r="N49" s="188">
        <f>opex_orig!N49</f>
        <v>5.7200000000000003E-6</v>
      </c>
      <c r="O49" s="188">
        <f>opex_orig!O49</f>
        <v>7.0600000000000002E-6</v>
      </c>
      <c r="P49" s="188">
        <f>opex_orig!P49</f>
        <v>1.800362E-3</v>
      </c>
      <c r="Q49" s="188">
        <f>opex_orig!Q49</f>
        <v>0.278465617</v>
      </c>
      <c r="R49" s="188">
        <f>opex_orig!R49</f>
        <v>6.6711230000000002E-3</v>
      </c>
      <c r="S49" s="188">
        <f>opex_orig!S49</f>
        <v>5.0900000000000004E-6</v>
      </c>
      <c r="T49" s="188">
        <f>opex_orig!T49</f>
        <v>5.49E-6</v>
      </c>
      <c r="U49" s="188">
        <f>opex_orig!U49</f>
        <v>4.5700000000000003E-6</v>
      </c>
      <c r="V49" s="188">
        <f>opex_orig!V49</f>
        <v>5.1200000000000001E-6</v>
      </c>
      <c r="W49" s="188">
        <f>opex_orig!W49</f>
        <v>1.5500000000000001E-5</v>
      </c>
      <c r="X49" s="188">
        <f>opex_orig!X49</f>
        <v>1.0000000000000001E-5</v>
      </c>
      <c r="Y49" s="188">
        <f>opex_orig!Y49</f>
        <v>1.15E-6</v>
      </c>
      <c r="Z49" s="188">
        <f>opex_orig!Z49</f>
        <v>4.6E-6</v>
      </c>
      <c r="AA49" s="188">
        <f>opex_orig!AA49</f>
        <v>4.6199999999999998E-6</v>
      </c>
      <c r="AB49" s="188">
        <f>opex_orig!$AB49</f>
        <v>3.9937159948294E-6</v>
      </c>
      <c r="AC49" s="188">
        <f>opex_orig!$AB49</f>
        <v>3.9937159948294E-6</v>
      </c>
      <c r="AD49" s="188">
        <f>opex_orig!$AB49</f>
        <v>3.9937159948294E-6</v>
      </c>
      <c r="AE49" s="188">
        <f>opex_orig!$AC49</f>
        <v>3.74635817041086E-6</v>
      </c>
      <c r="AF49" s="188">
        <f>opex_orig!$AD49</f>
        <v>1.87546934869326E-5</v>
      </c>
      <c r="AG49" s="188">
        <f>opex_orig!$AD49</f>
        <v>1.87546934869326E-5</v>
      </c>
      <c r="AH49" s="188">
        <f>opex_orig!$AD49</f>
        <v>1.87546934869326E-5</v>
      </c>
      <c r="AI49" s="188">
        <f>opex_orig!AE49</f>
        <v>1.8899999999999999E-5</v>
      </c>
      <c r="AJ49" s="188">
        <f>opex_orig!AF49</f>
        <v>1.33497E-4</v>
      </c>
      <c r="AK49" s="188">
        <f>opex_orig!AG49</f>
        <v>1.6851400000000001E-4</v>
      </c>
      <c r="AL49" s="188">
        <f>opex_orig!AH49</f>
        <v>7.7700000000000001E-6</v>
      </c>
      <c r="AM49" s="188">
        <f>opex_orig!AI49</f>
        <v>8.8100000000000004E-6</v>
      </c>
      <c r="AN49" s="188">
        <f>opex_orig!AJ49</f>
        <v>4.4900000000000002E-6</v>
      </c>
      <c r="AO49" s="188">
        <f>opex_orig!AK49</f>
        <v>6.2999999999999998E-6</v>
      </c>
      <c r="AP49" s="188">
        <f>opex_orig!$AL49</f>
        <v>3.8488087742265197E-6</v>
      </c>
      <c r="AQ49" s="188">
        <f>opex_orig!$AL49</f>
        <v>3.8488087742265197E-6</v>
      </c>
      <c r="AR49" s="188">
        <f>opex_orig!$AL49</f>
        <v>3.8488087742265197E-6</v>
      </c>
      <c r="AS49" s="188">
        <f>opex_orig!$AM49</f>
        <v>3.7644988565453001E-6</v>
      </c>
      <c r="AT49" s="188">
        <f>opex_orig!AN49</f>
        <v>7.3499999999999999E-6</v>
      </c>
      <c r="AU49" s="188">
        <f>opex_orig!$AO49</f>
        <v>5.4997797144517398E-6</v>
      </c>
      <c r="AV49" s="188">
        <f>opex_orig!$AO49</f>
        <v>5.4997797144517398E-6</v>
      </c>
      <c r="AW49" s="188">
        <f>opex_orig!$AO49</f>
        <v>5.4997797144517398E-6</v>
      </c>
      <c r="AX49" s="188">
        <f>opex_orig!$AP49</f>
        <v>6.3418579603049303E-6</v>
      </c>
      <c r="AY49" s="188">
        <f>opex_orig!AQ49</f>
        <v>6.4899999999999997E-6</v>
      </c>
      <c r="AZ49" s="188">
        <f>opex_orig!AR49</f>
        <v>0</v>
      </c>
      <c r="BA49" s="188">
        <f>opex_orig!AS49</f>
        <v>5.8799999999999996E-6</v>
      </c>
      <c r="BB49" s="188">
        <f>opex_orig!AT49</f>
        <v>5.66E-6</v>
      </c>
      <c r="BC49" s="188">
        <f>opex_orig!AU49</f>
        <v>2.7300000000000001E-6</v>
      </c>
      <c r="BD49" s="188">
        <f>opex_orig!AV49</f>
        <v>2.52E-6</v>
      </c>
      <c r="BE49" s="188">
        <f>opex_orig!AW49</f>
        <v>3.3799999999999998E-6</v>
      </c>
      <c r="BF49" s="188">
        <f>opex_orig!AX49</f>
        <v>0</v>
      </c>
      <c r="BG49" s="188">
        <f>opex_orig!AY49</f>
        <v>3.8600000000000003E-6</v>
      </c>
      <c r="BH49" s="188">
        <f>opex_orig!AZ49</f>
        <v>0</v>
      </c>
      <c r="BI49" s="188">
        <f>opex_orig!BA49</f>
        <v>9.91E-6</v>
      </c>
      <c r="BJ49" s="188">
        <f>opex_orig!BB49</f>
        <v>3.5099999999999999E-5</v>
      </c>
      <c r="BK49" s="188">
        <f>opex_orig!BC49</f>
        <v>3.3200000000000001E-5</v>
      </c>
      <c r="BL49" s="188">
        <f>opex_orig!BD49</f>
        <v>5.0100000000000003E-6</v>
      </c>
      <c r="BM49" s="188">
        <f>opex_orig!BE49</f>
        <v>1.2099999999999999E-5</v>
      </c>
      <c r="BN49" s="188">
        <f>opex_orig!BF49</f>
        <v>1.19E-5</v>
      </c>
      <c r="BO49" s="188">
        <f>opex_orig!BG49</f>
        <v>1.8099999999999999E-5</v>
      </c>
      <c r="BP49" s="188">
        <f>opex_orig!$BH49</f>
        <v>7.7052965174381302E-5</v>
      </c>
      <c r="BQ49" s="188">
        <f>opex_orig!$BH49</f>
        <v>7.7052965174381302E-5</v>
      </c>
      <c r="BR49" s="188">
        <f>opex_orig!BI49</f>
        <v>5.7200000000000001E-5</v>
      </c>
      <c r="BS49" s="188">
        <f>opex_orig!BJ49</f>
        <v>4.7700000000000001E-5</v>
      </c>
      <c r="BT49" s="188">
        <f>opex_orig!BK49</f>
        <v>1.55E-6</v>
      </c>
      <c r="BU49" s="188">
        <f>opex_orig!BL49</f>
        <v>0</v>
      </c>
      <c r="BV49" s="27">
        <f>opex_orig!BM49</f>
        <v>1.6104253864852199E-6</v>
      </c>
      <c r="BW49" s="27">
        <f>opex_orig!BN49</f>
        <v>2.7196791191272901E-6</v>
      </c>
      <c r="BX49" s="27">
        <f>opex_orig!BO49</f>
        <v>8.6580073394470405E-7</v>
      </c>
      <c r="BY49" s="27">
        <f>opex_orig!BP49</f>
        <v>1.0664788019114999E-6</v>
      </c>
      <c r="BZ49" s="27">
        <f>opex_orig!BQ49</f>
        <v>1.4929371201816201E-6</v>
      </c>
      <c r="CA49" s="27">
        <f>opex_orig!BR49</f>
        <v>3.6647292462081003E-7</v>
      </c>
      <c r="CB49" s="27">
        <f>opex_orig!BS49</f>
        <v>2.48266787941098E-6</v>
      </c>
      <c r="CC49" s="27">
        <f>opex_orig!BT49</f>
        <v>8.0246882193531494E-6</v>
      </c>
      <c r="CD49" s="27">
        <f>opex_orig!BU49</f>
        <v>6.1016822465103305E-7</v>
      </c>
      <c r="CE49" s="27">
        <f>opex_orig!BV49</f>
        <v>6.1016822465103496E-7</v>
      </c>
      <c r="CF49" s="27">
        <f>opex_orig!BW49</f>
        <v>2.4480172394514001E-5</v>
      </c>
      <c r="CG49" s="27">
        <f>opex_orig!BX49</f>
        <v>7.21361392866545E-7</v>
      </c>
      <c r="CH49" s="27">
        <f>opex_orig!BY49</f>
        <v>6.01472999163291E-6</v>
      </c>
      <c r="CI49" s="27">
        <f>opex_orig!Y49</f>
        <v>1.15E-6</v>
      </c>
      <c r="CJ49" s="27">
        <f>opex_orig!Z49</f>
        <v>4.6E-6</v>
      </c>
      <c r="CK49" s="27">
        <f>opex_orig!AA49</f>
        <v>4.6199999999999998E-6</v>
      </c>
      <c r="CL49" s="27">
        <f>opex_orig!AB49</f>
        <v>3.9937159948294E-6</v>
      </c>
      <c r="CM49" s="27">
        <f>opex_orig!AC49</f>
        <v>3.74635817041086E-6</v>
      </c>
      <c r="CN49" s="27">
        <f>opex_orig!AD49</f>
        <v>1.87546934869326E-5</v>
      </c>
      <c r="CO49" s="27">
        <f>opex_orig!AE49</f>
        <v>1.8899999999999999E-5</v>
      </c>
      <c r="CP49" s="27">
        <f>opex_orig!AF49</f>
        <v>1.33497E-4</v>
      </c>
    </row>
    <row r="50" spans="1:94" x14ac:dyDescent="0.25">
      <c r="A50" s="5" t="s">
        <v>119</v>
      </c>
      <c r="B50" s="2" t="s">
        <v>118</v>
      </c>
      <c r="C50" s="1" t="s">
        <v>327</v>
      </c>
      <c r="D50" s="188">
        <f>opex_orig!D50</f>
        <v>1.5800000000000001E-5</v>
      </c>
      <c r="E50" s="188">
        <f>opex_orig!E50</f>
        <v>3.72E-6</v>
      </c>
      <c r="F50" s="188">
        <f>opex_orig!F50</f>
        <v>6.7100000000000001E-6</v>
      </c>
      <c r="G50" s="188">
        <f>opex_orig!G50</f>
        <v>2.84E-7</v>
      </c>
      <c r="H50" s="188">
        <f>opex_orig!H50</f>
        <v>4.27E-7</v>
      </c>
      <c r="I50" s="188">
        <f>opex_orig!I50</f>
        <v>4.25E-6</v>
      </c>
      <c r="J50" s="188">
        <f>opex_orig!J50</f>
        <v>8.5599999999999994E-6</v>
      </c>
      <c r="K50" s="188">
        <f>opex_orig!K50</f>
        <v>5.9100000000000004E-7</v>
      </c>
      <c r="L50" s="188">
        <f>opex_orig!L50</f>
        <v>1.5699999999999999E-5</v>
      </c>
      <c r="M50" s="188">
        <f>opex_orig!M50</f>
        <v>1.26E-5</v>
      </c>
      <c r="N50" s="188">
        <f>opex_orig!N50</f>
        <v>1.06E-5</v>
      </c>
      <c r="O50" s="188">
        <f>opex_orig!O50</f>
        <v>5.8900000000000004E-6</v>
      </c>
      <c r="P50" s="188">
        <f>opex_orig!P50</f>
        <v>6.2199999999999994E-5</v>
      </c>
      <c r="Q50" s="188">
        <f>opex_orig!Q50</f>
        <v>1.355754E-3</v>
      </c>
      <c r="R50" s="188">
        <f>opex_orig!R50</f>
        <v>0.47185125100000003</v>
      </c>
      <c r="S50" s="188">
        <f>opex_orig!S50</f>
        <v>7.4200000000000001E-6</v>
      </c>
      <c r="T50" s="188">
        <f>opex_orig!T50</f>
        <v>7.79E-6</v>
      </c>
      <c r="U50" s="188">
        <f>opex_orig!U50</f>
        <v>6.63E-6</v>
      </c>
      <c r="V50" s="188">
        <f>opex_orig!V50</f>
        <v>6.1800000000000001E-6</v>
      </c>
      <c r="W50" s="188">
        <f>opex_orig!W50</f>
        <v>2.0699999999999998E-5</v>
      </c>
      <c r="X50" s="188">
        <f>opex_orig!X50</f>
        <v>7.9300000000000003E-6</v>
      </c>
      <c r="Y50" s="188">
        <f>opex_orig!Y50</f>
        <v>4.3800000000000004E-6</v>
      </c>
      <c r="Z50" s="188">
        <f>opex_orig!Z50</f>
        <v>5.5500000000000002E-6</v>
      </c>
      <c r="AA50" s="188">
        <f>opex_orig!AA50</f>
        <v>3.0199999999999999E-6</v>
      </c>
      <c r="AB50" s="188">
        <f>opex_orig!$AB50</f>
        <v>4.6404280930667401E-6</v>
      </c>
      <c r="AC50" s="188">
        <f>opex_orig!$AB50</f>
        <v>4.6404280930667401E-6</v>
      </c>
      <c r="AD50" s="188">
        <f>opex_orig!$AB50</f>
        <v>4.6404280930667401E-6</v>
      </c>
      <c r="AE50" s="188">
        <f>opex_orig!$AC50</f>
        <v>2.0018004468520099E-6</v>
      </c>
      <c r="AF50" s="188">
        <f>opex_orig!$AD50</f>
        <v>3.59962801255467E-6</v>
      </c>
      <c r="AG50" s="188">
        <f>opex_orig!$AD50</f>
        <v>3.59962801255467E-6</v>
      </c>
      <c r="AH50" s="188">
        <f>opex_orig!$AD50</f>
        <v>3.59962801255467E-6</v>
      </c>
      <c r="AI50" s="188">
        <f>opex_orig!AE50</f>
        <v>3.7400000000000002E-6</v>
      </c>
      <c r="AJ50" s="188">
        <f>opex_orig!AF50</f>
        <v>1.7900000000000001E-5</v>
      </c>
      <c r="AK50" s="188">
        <f>opex_orig!AG50</f>
        <v>9.0799999999999998E-5</v>
      </c>
      <c r="AL50" s="188">
        <f>opex_orig!AH50</f>
        <v>7.96E-6</v>
      </c>
      <c r="AM50" s="188">
        <f>opex_orig!AI50</f>
        <v>1.03E-5</v>
      </c>
      <c r="AN50" s="188">
        <f>opex_orig!AJ50</f>
        <v>4.6700000000000002E-6</v>
      </c>
      <c r="AO50" s="188">
        <f>opex_orig!AK50</f>
        <v>4.95E-6</v>
      </c>
      <c r="AP50" s="188">
        <f>opex_orig!$AL50</f>
        <v>4.2862781362918497E-6</v>
      </c>
      <c r="AQ50" s="188">
        <f>opex_orig!$AL50</f>
        <v>4.2862781362918497E-6</v>
      </c>
      <c r="AR50" s="188">
        <f>opex_orig!$AL50</f>
        <v>4.2862781362918497E-6</v>
      </c>
      <c r="AS50" s="188">
        <f>opex_orig!$AM50</f>
        <v>4.0189952039578999E-6</v>
      </c>
      <c r="AT50" s="188">
        <f>opex_orig!AN50</f>
        <v>7.0899999999999999E-6</v>
      </c>
      <c r="AU50" s="188">
        <f>opex_orig!$AO50</f>
        <v>6.9958840076039602E-6</v>
      </c>
      <c r="AV50" s="188">
        <f>opex_orig!$AO50</f>
        <v>6.9958840076039602E-6</v>
      </c>
      <c r="AW50" s="188">
        <f>opex_orig!$AO50</f>
        <v>6.9958840076039602E-6</v>
      </c>
      <c r="AX50" s="188">
        <f>opex_orig!$AP50</f>
        <v>7.5282174288838004E-6</v>
      </c>
      <c r="AY50" s="188">
        <f>opex_orig!AQ50</f>
        <v>9.3400000000000004E-6</v>
      </c>
      <c r="AZ50" s="188">
        <f>opex_orig!AR50</f>
        <v>0</v>
      </c>
      <c r="BA50" s="188">
        <f>opex_orig!AS50</f>
        <v>8.1300000000000001E-6</v>
      </c>
      <c r="BB50" s="188">
        <f>opex_orig!AT50</f>
        <v>7.7800000000000001E-6</v>
      </c>
      <c r="BC50" s="188">
        <f>opex_orig!AU50</f>
        <v>1.6199999999999999E-6</v>
      </c>
      <c r="BD50" s="188">
        <f>opex_orig!AV50</f>
        <v>1.24E-6</v>
      </c>
      <c r="BE50" s="188">
        <f>opex_orig!AW50</f>
        <v>5.4399999999999996E-6</v>
      </c>
      <c r="BF50" s="188">
        <f>opex_orig!AX50</f>
        <v>0</v>
      </c>
      <c r="BG50" s="188">
        <f>opex_orig!AY50</f>
        <v>1.01E-5</v>
      </c>
      <c r="BH50" s="188">
        <f>opex_orig!AZ50</f>
        <v>0</v>
      </c>
      <c r="BI50" s="188">
        <f>opex_orig!BA50</f>
        <v>7.79E-6</v>
      </c>
      <c r="BJ50" s="188">
        <f>opex_orig!BB50</f>
        <v>1.7900000000000001E-5</v>
      </c>
      <c r="BK50" s="188">
        <f>opex_orig!BC50</f>
        <v>8.8599999999999999E-6</v>
      </c>
      <c r="BL50" s="188">
        <f>opex_orig!BD50</f>
        <v>1.7E-5</v>
      </c>
      <c r="BM50" s="188">
        <f>opex_orig!BE50</f>
        <v>2.7800000000000001E-5</v>
      </c>
      <c r="BN50" s="188">
        <f>opex_orig!BF50</f>
        <v>9.9699999999999998E-5</v>
      </c>
      <c r="BO50" s="188">
        <f>opex_orig!BG50</f>
        <v>2.9099999999999999E-5</v>
      </c>
      <c r="BP50" s="188">
        <f>opex_orig!$BH50</f>
        <v>6.7204607742409595E-5</v>
      </c>
      <c r="BQ50" s="188">
        <f>opex_orig!$BH50</f>
        <v>6.7204607742409595E-5</v>
      </c>
      <c r="BR50" s="188">
        <f>opex_orig!BI50</f>
        <v>4.18E-5</v>
      </c>
      <c r="BS50" s="188">
        <f>opex_orig!BJ50</f>
        <v>1.21033E-4</v>
      </c>
      <c r="BT50" s="188">
        <f>opex_orig!BK50</f>
        <v>5.7300000000000002E-6</v>
      </c>
      <c r="BU50" s="188">
        <f>opex_orig!BL50</f>
        <v>0</v>
      </c>
      <c r="BV50" s="27">
        <f>opex_orig!BM50</f>
        <v>1.7604852424847899E-6</v>
      </c>
      <c r="BW50" s="27">
        <f>opex_orig!BN50</f>
        <v>2.95970951753323E-6</v>
      </c>
      <c r="BX50" s="27">
        <f>opex_orig!BO50</f>
        <v>9.5815645015156594E-7</v>
      </c>
      <c r="BY50" s="27">
        <f>opex_orig!BP50</f>
        <v>7.14726786245756E-7</v>
      </c>
      <c r="BZ50" s="27">
        <f>opex_orig!BQ50</f>
        <v>6.2282904416479396E-7</v>
      </c>
      <c r="CA50" s="27">
        <f>opex_orig!BR50</f>
        <v>6.10649448776822E-7</v>
      </c>
      <c r="CB50" s="27">
        <f>opex_orig!BS50</f>
        <v>2.7664162520423698E-6</v>
      </c>
      <c r="CC50" s="27">
        <f>opex_orig!BT50</f>
        <v>6.6973429401645503E-6</v>
      </c>
      <c r="CD50" s="27">
        <f>opex_orig!BU50</f>
        <v>4.91613032114312E-7</v>
      </c>
      <c r="CE50" s="27">
        <f>opex_orig!BV50</f>
        <v>4.9161303211431295E-7</v>
      </c>
      <c r="CF50" s="27">
        <f>opex_orig!BW50</f>
        <v>4.1638127709147501E-6</v>
      </c>
      <c r="CG50" s="27">
        <f>opex_orig!BX50</f>
        <v>3.61659053187557E-7</v>
      </c>
      <c r="CH50" s="27">
        <f>opex_orig!BY50</f>
        <v>8.9242126458808296E-6</v>
      </c>
      <c r="CI50" s="27">
        <f>opex_orig!Y50</f>
        <v>4.3800000000000004E-6</v>
      </c>
      <c r="CJ50" s="27">
        <f>opex_orig!Z50</f>
        <v>5.5500000000000002E-6</v>
      </c>
      <c r="CK50" s="27">
        <f>opex_orig!AA50</f>
        <v>3.0199999999999999E-6</v>
      </c>
      <c r="CL50" s="27">
        <f>opex_orig!AB50</f>
        <v>4.6404280930667401E-6</v>
      </c>
      <c r="CM50" s="27">
        <f>opex_orig!AC50</f>
        <v>2.0018004468520099E-6</v>
      </c>
      <c r="CN50" s="27">
        <f>opex_orig!AD50</f>
        <v>3.59962801255467E-6</v>
      </c>
      <c r="CO50" s="27">
        <f>opex_orig!AE50</f>
        <v>3.7400000000000002E-6</v>
      </c>
      <c r="CP50" s="27">
        <f>opex_orig!AF50</f>
        <v>1.7900000000000001E-5</v>
      </c>
    </row>
    <row r="51" spans="1:94" x14ac:dyDescent="0.25">
      <c r="A51" s="5" t="s">
        <v>121</v>
      </c>
      <c r="B51" s="2" t="s">
        <v>120</v>
      </c>
      <c r="C51" s="1" t="s">
        <v>327</v>
      </c>
      <c r="D51" s="188">
        <f>opex_orig!D51</f>
        <v>4.1513299999999998E-4</v>
      </c>
      <c r="E51" s="188">
        <f>opex_orig!E51</f>
        <v>1.9435000000000001E-4</v>
      </c>
      <c r="F51" s="188">
        <f>opex_orig!F51</f>
        <v>1.64253E-4</v>
      </c>
      <c r="G51" s="188">
        <f>opex_orig!G51</f>
        <v>5.13E-5</v>
      </c>
      <c r="H51" s="188">
        <f>opex_orig!H51</f>
        <v>5.3499999999999999E-5</v>
      </c>
      <c r="I51" s="188">
        <f>opex_orig!I51</f>
        <v>3.6817799999999998E-4</v>
      </c>
      <c r="J51" s="188">
        <f>opex_orig!J51</f>
        <v>5.35882E-4</v>
      </c>
      <c r="K51" s="188">
        <f>opex_orig!K51</f>
        <v>1.0163200000000001E-4</v>
      </c>
      <c r="L51" s="188">
        <f>opex_orig!L51</f>
        <v>5.5251300000000003E-4</v>
      </c>
      <c r="M51" s="188">
        <f>opex_orig!M51</f>
        <v>1.163421E-3</v>
      </c>
      <c r="N51" s="188">
        <f>opex_orig!N51</f>
        <v>8.5625100000000004E-4</v>
      </c>
      <c r="O51" s="188">
        <f>opex_orig!O51</f>
        <v>3.9254140000000003E-3</v>
      </c>
      <c r="P51" s="188">
        <f>opex_orig!P51</f>
        <v>1.0979290000000001E-3</v>
      </c>
      <c r="Q51" s="188">
        <f>opex_orig!Q51</f>
        <v>4.5521400000000001E-4</v>
      </c>
      <c r="R51" s="188">
        <f>opex_orig!R51</f>
        <v>6.2751199999999999E-4</v>
      </c>
      <c r="S51" s="188">
        <f>opex_orig!S51</f>
        <v>0.19527950599999999</v>
      </c>
      <c r="T51" s="188">
        <f>opex_orig!T51</f>
        <v>0.201708093</v>
      </c>
      <c r="U51" s="188">
        <f>opex_orig!U51</f>
        <v>7.5990184000000002E-2</v>
      </c>
      <c r="V51" s="188">
        <f>opex_orig!V51</f>
        <v>1.2860549999999999E-3</v>
      </c>
      <c r="W51" s="188">
        <f>opex_orig!W51</f>
        <v>3.7197921000000002E-2</v>
      </c>
      <c r="X51" s="188">
        <f>opex_orig!X51</f>
        <v>1.0097839999999999E-3</v>
      </c>
      <c r="Y51" s="188">
        <f>opex_orig!Y51</f>
        <v>1.42211E-4</v>
      </c>
      <c r="Z51" s="188">
        <f>opex_orig!Z51</f>
        <v>3.4868399999999998E-4</v>
      </c>
      <c r="AA51" s="188">
        <f>opex_orig!AA51</f>
        <v>5.4027700000000003E-4</v>
      </c>
      <c r="AB51" s="188">
        <f>opex_orig!$AB51</f>
        <v>2.71673886211382E-4</v>
      </c>
      <c r="AC51" s="188">
        <f>opex_orig!$AB51</f>
        <v>2.71673886211382E-4</v>
      </c>
      <c r="AD51" s="188">
        <f>opex_orig!$AB51</f>
        <v>2.71673886211382E-4</v>
      </c>
      <c r="AE51" s="188">
        <f>opex_orig!$AC51</f>
        <v>2.3819806318764801E-3</v>
      </c>
      <c r="AF51" s="188">
        <f>opex_orig!$AD51</f>
        <v>7.4207903223627602E-4</v>
      </c>
      <c r="AG51" s="188">
        <f>opex_orig!$AD51</f>
        <v>7.4207903223627602E-4</v>
      </c>
      <c r="AH51" s="188">
        <f>opex_orig!$AD51</f>
        <v>7.4207903223627602E-4</v>
      </c>
      <c r="AI51" s="188">
        <f>opex_orig!AE51</f>
        <v>6.8092700000000001E-4</v>
      </c>
      <c r="AJ51" s="188">
        <f>opex_orig!AF51</f>
        <v>2.7066709999999999E-3</v>
      </c>
      <c r="AK51" s="188">
        <f>opex_orig!AG51</f>
        <v>8.3693589999999998E-3</v>
      </c>
      <c r="AL51" s="188">
        <f>opex_orig!AH51</f>
        <v>6.0603590000000004E-3</v>
      </c>
      <c r="AM51" s="188">
        <f>opex_orig!AI51</f>
        <v>1.1081094999999999E-2</v>
      </c>
      <c r="AN51" s="188">
        <f>opex_orig!AJ51</f>
        <v>1.3033045E-2</v>
      </c>
      <c r="AO51" s="188">
        <f>opex_orig!AK51</f>
        <v>5.1698040000000001E-3</v>
      </c>
      <c r="AP51" s="188">
        <f>opex_orig!$AL51</f>
        <v>1.2536370173504799E-3</v>
      </c>
      <c r="AQ51" s="188">
        <f>opex_orig!$AL51</f>
        <v>1.2536370173504799E-3</v>
      </c>
      <c r="AR51" s="188">
        <f>opex_orig!$AL51</f>
        <v>1.2536370173504799E-3</v>
      </c>
      <c r="AS51" s="188">
        <f>opex_orig!$AM51</f>
        <v>1.1594382829699899E-3</v>
      </c>
      <c r="AT51" s="188">
        <f>opex_orig!AN51</f>
        <v>4.4175550000000001E-3</v>
      </c>
      <c r="AU51" s="247">
        <f>opex_concordance!M597</f>
        <v>2.7790431304786499E-2</v>
      </c>
      <c r="AV51" s="247">
        <f>opex_concordance!M643</f>
        <v>3.7753202988794685E-2</v>
      </c>
      <c r="AW51" s="247">
        <f>opex_concordance!M689</f>
        <v>3.116612624229256E-2</v>
      </c>
      <c r="AX51" s="188">
        <f>opex_orig!$AP51</f>
        <v>3.1783979298286198E-2</v>
      </c>
      <c r="AY51" s="188">
        <f>opex_orig!AQ51</f>
        <v>6.2069394999999999E-2</v>
      </c>
      <c r="AZ51" s="188">
        <f>opex_orig!AR51</f>
        <v>0</v>
      </c>
      <c r="BA51" s="188">
        <f>opex_orig!AS51</f>
        <v>3.3793704000000001E-2</v>
      </c>
      <c r="BB51" s="188">
        <f>opex_orig!AT51</f>
        <v>3.3573730000000003E-2</v>
      </c>
      <c r="BC51" s="188">
        <f>opex_orig!AU51</f>
        <v>7.2049200000000001E-3</v>
      </c>
      <c r="BD51" s="188">
        <f>opex_orig!AV51</f>
        <v>5.3222779999999997E-3</v>
      </c>
      <c r="BE51" s="188">
        <f>opex_orig!AW51</f>
        <v>2.1147239000000002E-2</v>
      </c>
      <c r="BF51" s="188">
        <f>opex_orig!AX51</f>
        <v>0</v>
      </c>
      <c r="BG51" s="188">
        <f>opex_orig!AY51</f>
        <v>4.5336178999999997E-2</v>
      </c>
      <c r="BH51" s="188">
        <f>opex_orig!AZ51</f>
        <v>0</v>
      </c>
      <c r="BI51" s="188">
        <f>opex_orig!BA51</f>
        <v>5.4107453999999999E-2</v>
      </c>
      <c r="BJ51" s="188">
        <f>opex_orig!BB51</f>
        <v>1.8503219999999999E-3</v>
      </c>
      <c r="BK51" s="188">
        <f>opex_orig!BC51</f>
        <v>1.973631E-3</v>
      </c>
      <c r="BL51" s="188">
        <f>opex_orig!BD51</f>
        <v>9.0099999999999995E-5</v>
      </c>
      <c r="BM51" s="188">
        <f>opex_orig!BE51</f>
        <v>7.0293999999999999E-4</v>
      </c>
      <c r="BN51" s="188">
        <f>opex_orig!BF51</f>
        <v>9.2744699999999997E-4</v>
      </c>
      <c r="BO51" s="188">
        <f>opex_orig!BG51</f>
        <v>3.2789709999999999E-3</v>
      </c>
      <c r="BP51" s="310">
        <f>opex_concordance!M86</f>
        <v>1.3352290452847526E-2</v>
      </c>
      <c r="BQ51" s="310">
        <f>opex_concordance!M129</f>
        <v>7.8943208174966743E-3</v>
      </c>
      <c r="BR51" s="188">
        <f>opex_orig!BI51</f>
        <v>3.9353729999999998E-3</v>
      </c>
      <c r="BS51" s="188">
        <f>opex_orig!BJ51</f>
        <v>5.7714612999999998E-2</v>
      </c>
      <c r="BT51" s="188">
        <f>opex_orig!BK51</f>
        <v>2.9907689999999999E-3</v>
      </c>
      <c r="BU51" s="188">
        <f>opex_orig!BL51</f>
        <v>0</v>
      </c>
      <c r="BV51" s="27">
        <f>opex_orig!BM51</f>
        <v>4.4582490103133097E-4</v>
      </c>
      <c r="BW51" s="27">
        <f>opex_orig!BN51</f>
        <v>7.1196309553209398E-4</v>
      </c>
      <c r="BX51" s="27">
        <f>opex_orig!BO51</f>
        <v>2.13522569107786E-4</v>
      </c>
      <c r="BY51" s="27">
        <f>opex_orig!BP51</f>
        <v>2.3676825782057399E-4</v>
      </c>
      <c r="BZ51" s="27">
        <f>opex_orig!BQ51</f>
        <v>2.5193515424108801E-4</v>
      </c>
      <c r="CA51" s="27">
        <f>opex_orig!BR51</f>
        <v>1.85400503554303E-4</v>
      </c>
      <c r="CB51" s="27">
        <f>opex_orig!BS51</f>
        <v>6.5517888795054498E-4</v>
      </c>
      <c r="CC51" s="27">
        <f>opex_orig!BT51</f>
        <v>1.9985969887756001E-3</v>
      </c>
      <c r="CD51" s="27">
        <f>opex_orig!BU51</f>
        <v>1.20007986034433E-4</v>
      </c>
      <c r="CE51" s="27">
        <f>opex_orig!BV51</f>
        <v>1.20007986034433E-4</v>
      </c>
      <c r="CF51" s="27">
        <f>opex_orig!BW51</f>
        <v>1.00780297849118E-4</v>
      </c>
      <c r="CG51" s="27">
        <f>opex_orig!BX51</f>
        <v>1.28763982625229E-5</v>
      </c>
      <c r="CH51" s="27">
        <f>opex_orig!BY51</f>
        <v>2.43710791122305E-5</v>
      </c>
      <c r="CI51" s="27">
        <f>opex_orig!Y51</f>
        <v>1.42211E-4</v>
      </c>
      <c r="CJ51" s="27">
        <f>opex_orig!Z51</f>
        <v>3.4868399999999998E-4</v>
      </c>
      <c r="CK51" s="27">
        <f>opex_orig!AA51</f>
        <v>5.4027700000000003E-4</v>
      </c>
      <c r="CL51" s="27">
        <f>opex_orig!AB51</f>
        <v>2.71673886211382E-4</v>
      </c>
      <c r="CM51" s="27">
        <f>opex_orig!AC51</f>
        <v>2.3819806318764801E-3</v>
      </c>
      <c r="CN51" s="27">
        <f>opex_orig!AD51</f>
        <v>7.4207903223627602E-4</v>
      </c>
      <c r="CO51" s="27">
        <f>opex_orig!AE51</f>
        <v>6.8092700000000001E-4</v>
      </c>
      <c r="CP51" s="27">
        <f>opex_orig!AF51</f>
        <v>2.7066709999999999E-3</v>
      </c>
    </row>
    <row r="52" spans="1:94" x14ac:dyDescent="0.25">
      <c r="A52" s="5" t="s">
        <v>123</v>
      </c>
      <c r="B52" s="2" t="s">
        <v>122</v>
      </c>
      <c r="C52" s="1" t="s">
        <v>327</v>
      </c>
      <c r="D52" s="188">
        <f>opex_orig!D52</f>
        <v>4.5800000000000002E-5</v>
      </c>
      <c r="E52" s="188">
        <f>opex_orig!E52</f>
        <v>1.6699999999999999E-5</v>
      </c>
      <c r="F52" s="188">
        <f>opex_orig!F52</f>
        <v>1.31E-5</v>
      </c>
      <c r="G52" s="188">
        <f>opex_orig!G52</f>
        <v>2.83E-6</v>
      </c>
      <c r="H52" s="188">
        <f>opex_orig!H52</f>
        <v>3.54E-6</v>
      </c>
      <c r="I52" s="188">
        <f>opex_orig!I52</f>
        <v>3.4E-5</v>
      </c>
      <c r="J52" s="188">
        <f>opex_orig!J52</f>
        <v>3.5299999999999997E-5</v>
      </c>
      <c r="K52" s="188">
        <f>opex_orig!K52</f>
        <v>5.9100000000000002E-6</v>
      </c>
      <c r="L52" s="188">
        <f>opex_orig!L52</f>
        <v>3.7799999999999997E-5</v>
      </c>
      <c r="M52" s="188">
        <f>opex_orig!M52</f>
        <v>8.2100000000000003E-5</v>
      </c>
      <c r="N52" s="188">
        <f>opex_orig!N52</f>
        <v>5.4299999999999998E-5</v>
      </c>
      <c r="O52" s="188">
        <f>opex_orig!O52</f>
        <v>2.50578E-4</v>
      </c>
      <c r="P52" s="188">
        <f>opex_orig!P52</f>
        <v>9.3900000000000006E-5</v>
      </c>
      <c r="Q52" s="188">
        <f>opex_orig!Q52</f>
        <v>5.5600000000000003E-5</v>
      </c>
      <c r="R52" s="188">
        <f>opex_orig!R52</f>
        <v>1.6269900000000001E-4</v>
      </c>
      <c r="S52" s="188">
        <f>opex_orig!S52</f>
        <v>1.5677152E-2</v>
      </c>
      <c r="T52" s="188">
        <f>opex_orig!T52</f>
        <v>1.6236433000000002E-2</v>
      </c>
      <c r="U52" s="188">
        <f>opex_orig!U52</f>
        <v>6.1790389999999999E-3</v>
      </c>
      <c r="V52" s="188">
        <f>opex_orig!V52</f>
        <v>9.6299999999999996E-5</v>
      </c>
      <c r="W52" s="188">
        <f>opex_orig!W52</f>
        <v>3.0519050000000002E-3</v>
      </c>
      <c r="X52" s="188">
        <f>opex_orig!X52</f>
        <v>1.0691099999999999E-4</v>
      </c>
      <c r="Y52" s="188">
        <f>opex_orig!Y52</f>
        <v>1.11E-5</v>
      </c>
      <c r="Z52" s="188">
        <f>opex_orig!Z52</f>
        <v>1.8E-5</v>
      </c>
      <c r="AA52" s="188">
        <f>opex_orig!AA52</f>
        <v>3.3200000000000001E-5</v>
      </c>
      <c r="AB52" s="188">
        <f>opex_orig!$AB52</f>
        <v>1.4921851079568299E-5</v>
      </c>
      <c r="AC52" s="188">
        <f>opex_orig!$AB52</f>
        <v>1.4921851079568299E-5</v>
      </c>
      <c r="AD52" s="188">
        <f>opex_orig!$AB52</f>
        <v>1.4921851079568299E-5</v>
      </c>
      <c r="AE52" s="188">
        <f>opex_orig!$AC52</f>
        <v>1.6636903224247901E-4</v>
      </c>
      <c r="AF52" s="188">
        <f>opex_orig!$AD52</f>
        <v>3.8970665702097398E-5</v>
      </c>
      <c r="AG52" s="188">
        <f>opex_orig!$AD52</f>
        <v>3.8970665702097398E-5</v>
      </c>
      <c r="AH52" s="188">
        <f>opex_orig!$AD52</f>
        <v>3.8970665702097398E-5</v>
      </c>
      <c r="AI52" s="188">
        <f>opex_orig!AE52</f>
        <v>3.5099999999999999E-5</v>
      </c>
      <c r="AJ52" s="188">
        <f>opex_orig!AF52</f>
        <v>2.25443E-4</v>
      </c>
      <c r="AK52" s="188">
        <f>opex_orig!AG52</f>
        <v>7.6320399999999997E-4</v>
      </c>
      <c r="AL52" s="188">
        <f>opex_orig!AH52</f>
        <v>5.0725300000000004E-4</v>
      </c>
      <c r="AM52" s="188">
        <f>opex_orig!AI52</f>
        <v>9.2324499999999995E-4</v>
      </c>
      <c r="AN52" s="188">
        <f>opex_orig!AJ52</f>
        <v>1.1326109999999999E-3</v>
      </c>
      <c r="AO52" s="188">
        <f>opex_orig!AK52</f>
        <v>4.5953600000000003E-4</v>
      </c>
      <c r="AP52" s="188">
        <f>opex_orig!$AL52</f>
        <v>1.14687181839051E-4</v>
      </c>
      <c r="AQ52" s="188">
        <f>opex_orig!$AL52</f>
        <v>1.14687181839051E-4</v>
      </c>
      <c r="AR52" s="188">
        <f>opex_orig!$AL52</f>
        <v>1.14687181839051E-4</v>
      </c>
      <c r="AS52" s="188">
        <f>opex_orig!$AM52</f>
        <v>1.04715115315316E-4</v>
      </c>
      <c r="AT52" s="188">
        <f>opex_orig!AN52</f>
        <v>3.8776000000000001E-4</v>
      </c>
      <c r="AU52" s="188">
        <f>opex_orig!$AO52</f>
        <v>2.2033418442178E-3</v>
      </c>
      <c r="AV52" s="188">
        <f>opex_orig!$AO52</f>
        <v>2.2033418442178E-3</v>
      </c>
      <c r="AW52" s="188">
        <f>opex_orig!$AO52</f>
        <v>2.2033418442178E-3</v>
      </c>
      <c r="AX52" s="188">
        <f>opex_orig!$AP52</f>
        <v>2.5258836624246898E-3</v>
      </c>
      <c r="AY52" s="188">
        <f>opex_orig!AQ52</f>
        <v>4.9041459999999999E-3</v>
      </c>
      <c r="AZ52" s="188">
        <f>opex_orig!AR52</f>
        <v>0</v>
      </c>
      <c r="BA52" s="188">
        <f>opex_orig!AS52</f>
        <v>2.7033679999999998E-3</v>
      </c>
      <c r="BB52" s="188">
        <f>opex_orig!AT52</f>
        <v>2.6901099999999999E-3</v>
      </c>
      <c r="BC52" s="188">
        <f>opex_orig!AU52</f>
        <v>6.0913600000000003E-4</v>
      </c>
      <c r="BD52" s="188">
        <f>opex_orig!AV52</f>
        <v>4.57854E-4</v>
      </c>
      <c r="BE52" s="188">
        <f>opex_orig!AW52</f>
        <v>1.6829760000000001E-3</v>
      </c>
      <c r="BF52" s="188">
        <f>opex_orig!AX52</f>
        <v>0</v>
      </c>
      <c r="BG52" s="188">
        <f>opex_orig!AY52</f>
        <v>3.5788310000000002E-3</v>
      </c>
      <c r="BH52" s="188">
        <f>opex_orig!AZ52</f>
        <v>0</v>
      </c>
      <c r="BI52" s="188">
        <f>opex_orig!BA52</f>
        <v>4.3223070000000001E-3</v>
      </c>
      <c r="BJ52" s="188">
        <f>opex_orig!BB52</f>
        <v>1.6868800000000001E-4</v>
      </c>
      <c r="BK52" s="188">
        <f>opex_orig!BC52</f>
        <v>1.5980500000000001E-4</v>
      </c>
      <c r="BL52" s="188">
        <f>opex_orig!BD52</f>
        <v>1.9000000000000001E-5</v>
      </c>
      <c r="BM52" s="188">
        <f>opex_orig!BE52</f>
        <v>8.8599999999999999E-5</v>
      </c>
      <c r="BN52" s="188">
        <f>opex_orig!BF52</f>
        <v>8.4499999999999994E-5</v>
      </c>
      <c r="BO52" s="188">
        <f>opex_orig!BG52</f>
        <v>2.8655899999999998E-4</v>
      </c>
      <c r="BP52" s="188">
        <f>opex_orig!$BH52</f>
        <v>1.10474685340965E-3</v>
      </c>
      <c r="BQ52" s="188">
        <f>opex_orig!$BH52</f>
        <v>1.10474685340965E-3</v>
      </c>
      <c r="BR52" s="188">
        <f>opex_orig!BI52</f>
        <v>3.5939899999999999E-4</v>
      </c>
      <c r="BS52" s="188">
        <f>opex_orig!BJ52</f>
        <v>4.6720249999999998E-3</v>
      </c>
      <c r="BT52" s="188">
        <f>opex_orig!BK52</f>
        <v>2.38445E-4</v>
      </c>
      <c r="BU52" s="188">
        <f>opex_orig!BL52</f>
        <v>0</v>
      </c>
      <c r="BV52" s="27">
        <f>opex_orig!BM52</f>
        <v>3.91868585796407E-5</v>
      </c>
      <c r="BW52" s="27">
        <f>opex_orig!BN52</f>
        <v>6.1262471163063206E-5</v>
      </c>
      <c r="BX52" s="27">
        <f>opex_orig!BO52</f>
        <v>1.45313532052851E-5</v>
      </c>
      <c r="BY52" s="27">
        <f>opex_orig!BP52</f>
        <v>1.56109161959638E-5</v>
      </c>
      <c r="BZ52" s="27">
        <f>opex_orig!BQ52</f>
        <v>1.5372382026708598E-5</v>
      </c>
      <c r="CA52" s="27">
        <f>opex_orig!BR52</f>
        <v>3.78251001668909E-5</v>
      </c>
      <c r="CB52" s="27">
        <f>opex_orig!BS52</f>
        <v>5.5652337101294898E-5</v>
      </c>
      <c r="CC52" s="27">
        <f>opex_orig!BT52</f>
        <v>8.5436773294711302E-4</v>
      </c>
      <c r="CD52" s="27">
        <f>opex_orig!BU52</f>
        <v>7.13302500607803E-6</v>
      </c>
      <c r="CE52" s="27">
        <f>opex_orig!BV52</f>
        <v>7.1330250060780401E-6</v>
      </c>
      <c r="CF52" s="27">
        <f>opex_orig!BW52</f>
        <v>3.0961075404328401E-5</v>
      </c>
      <c r="CG52" s="27">
        <f>opex_orig!BX52</f>
        <v>2.9658343918853201E-6</v>
      </c>
      <c r="CH52" s="27">
        <f>opex_orig!BY52</f>
        <v>7.6488532706539203E-6</v>
      </c>
      <c r="CI52" s="27">
        <f>opex_orig!Y52</f>
        <v>1.11E-5</v>
      </c>
      <c r="CJ52" s="27">
        <f>opex_orig!Z52</f>
        <v>1.8E-5</v>
      </c>
      <c r="CK52" s="27">
        <f>opex_orig!AA52</f>
        <v>3.3200000000000001E-5</v>
      </c>
      <c r="CL52" s="27">
        <f>opex_orig!AB52</f>
        <v>1.4921851079568299E-5</v>
      </c>
      <c r="CM52" s="27">
        <f>opex_orig!AC52</f>
        <v>1.6636903224247901E-4</v>
      </c>
      <c r="CN52" s="27">
        <f>opex_orig!AD52</f>
        <v>3.8970665702097398E-5</v>
      </c>
      <c r="CO52" s="27">
        <f>opex_orig!AE52</f>
        <v>3.5099999999999999E-5</v>
      </c>
      <c r="CP52" s="27">
        <f>opex_orig!AF52</f>
        <v>2.25443E-4</v>
      </c>
    </row>
    <row r="53" spans="1:94" x14ac:dyDescent="0.25">
      <c r="A53" s="5" t="s">
        <v>125</v>
      </c>
      <c r="B53" s="2" t="s">
        <v>124</v>
      </c>
      <c r="C53" s="1" t="s">
        <v>327</v>
      </c>
      <c r="D53" s="188">
        <f>opex_orig!D53</f>
        <v>1.2642400000000001E-4</v>
      </c>
      <c r="E53" s="188">
        <f>opex_orig!E53</f>
        <v>6.5400000000000004E-5</v>
      </c>
      <c r="F53" s="188">
        <f>opex_orig!F53</f>
        <v>6.5400000000000004E-5</v>
      </c>
      <c r="G53" s="188">
        <f>opex_orig!G53</f>
        <v>1.31E-5</v>
      </c>
      <c r="H53" s="188">
        <f>opex_orig!H53</f>
        <v>2.1800000000000001E-5</v>
      </c>
      <c r="I53" s="188">
        <f>opex_orig!I53</f>
        <v>1.4557099999999999E-4</v>
      </c>
      <c r="J53" s="188">
        <f>opex_orig!J53</f>
        <v>2.34773E-4</v>
      </c>
      <c r="K53" s="188">
        <f>opex_orig!K53</f>
        <v>4.2899999999999999E-5</v>
      </c>
      <c r="L53" s="188">
        <f>opex_orig!L53</f>
        <v>1.5632800000000001E-4</v>
      </c>
      <c r="M53" s="188">
        <f>opex_orig!M53</f>
        <v>3.0483300000000001E-4</v>
      </c>
      <c r="N53" s="188">
        <f>opex_orig!N53</f>
        <v>2.03511E-4</v>
      </c>
      <c r="O53" s="188">
        <f>opex_orig!O53</f>
        <v>3.5016520000000001E-3</v>
      </c>
      <c r="P53" s="188">
        <f>opex_orig!P53</f>
        <v>6.8702499999999996E-4</v>
      </c>
      <c r="Q53" s="188">
        <f>opex_orig!Q53</f>
        <v>2.54916E-4</v>
      </c>
      <c r="R53" s="188">
        <f>opex_orig!R53</f>
        <v>1.7496100000000001E-4</v>
      </c>
      <c r="S53" s="188">
        <f>opex_orig!S53</f>
        <v>4.5135500000000002E-4</v>
      </c>
      <c r="T53" s="188">
        <f>opex_orig!T53</f>
        <v>4.73509E-4</v>
      </c>
      <c r="U53" s="188">
        <f>opex_orig!U53</f>
        <v>2.3372900000000001E-4</v>
      </c>
      <c r="V53" s="188">
        <f>opex_orig!V53</f>
        <v>1.7550700000000001E-4</v>
      </c>
      <c r="W53" s="188">
        <f>opex_orig!W53</f>
        <v>0.13838592599999999</v>
      </c>
      <c r="X53" s="188">
        <f>opex_orig!X53</f>
        <v>2.5757459999999999E-3</v>
      </c>
      <c r="Y53" s="188">
        <f>opex_orig!Y53</f>
        <v>1.1126E-4</v>
      </c>
      <c r="Z53" s="188">
        <f>opex_orig!Z53</f>
        <v>1.92556E-4</v>
      </c>
      <c r="AA53" s="188">
        <f>opex_orig!AA53</f>
        <v>1.17046E-4</v>
      </c>
      <c r="AB53" s="188">
        <f>opex_orig!$AB53</f>
        <v>1.91856195678395E-4</v>
      </c>
      <c r="AC53" s="188">
        <f>opex_orig!$AB53</f>
        <v>1.91856195678395E-4</v>
      </c>
      <c r="AD53" s="188">
        <f>opex_orig!$AB53</f>
        <v>1.91856195678395E-4</v>
      </c>
      <c r="AE53" s="188">
        <f>opex_orig!$AC53</f>
        <v>1.9165035302409299E-3</v>
      </c>
      <c r="AF53" s="188">
        <f>opex_orig!$AD53</f>
        <v>1.4715459431608699E-4</v>
      </c>
      <c r="AG53" s="188">
        <f>opex_orig!$AD53</f>
        <v>1.4715459431608699E-4</v>
      </c>
      <c r="AH53" s="188">
        <f>opex_orig!$AD53</f>
        <v>1.4715459431608699E-4</v>
      </c>
      <c r="AI53" s="188">
        <f>opex_orig!AE53</f>
        <v>1.3720799999999999E-4</v>
      </c>
      <c r="AJ53" s="188">
        <f>opex_orig!AF53</f>
        <v>5.4650300000000005E-4</v>
      </c>
      <c r="AK53" s="188">
        <f>opex_orig!AG53</f>
        <v>6.5704200000000004E-4</v>
      </c>
      <c r="AL53" s="188">
        <f>opex_orig!AH53</f>
        <v>1.43277E-4</v>
      </c>
      <c r="AM53" s="188">
        <f>opex_orig!AI53</f>
        <v>1.3552099999999999E-4</v>
      </c>
      <c r="AN53" s="188">
        <f>opex_orig!AJ53</f>
        <v>8.0000000000000007E-5</v>
      </c>
      <c r="AO53" s="188">
        <f>opex_orig!AK53</f>
        <v>1.46456E-4</v>
      </c>
      <c r="AP53" s="188">
        <f>opex_orig!$AL53</f>
        <v>1.43799930374661E-4</v>
      </c>
      <c r="AQ53" s="188">
        <f>opex_orig!$AL53</f>
        <v>1.43799930374661E-4</v>
      </c>
      <c r="AR53" s="188">
        <f>opex_orig!$AL53</f>
        <v>1.43799930374661E-4</v>
      </c>
      <c r="AS53" s="188">
        <f>opex_orig!$AM53</f>
        <v>1.33007829531938E-4</v>
      </c>
      <c r="AT53" s="188">
        <f>opex_orig!AN53</f>
        <v>1.6545700000000001E-4</v>
      </c>
      <c r="AU53" s="188">
        <f>opex_orig!$AO53</f>
        <v>1.3280421789958199E-4</v>
      </c>
      <c r="AV53" s="188">
        <f>opex_orig!$AO53</f>
        <v>1.3280421789958199E-4</v>
      </c>
      <c r="AW53" s="188">
        <f>opex_orig!$AO53</f>
        <v>1.3280421789958199E-4</v>
      </c>
      <c r="AX53" s="188">
        <f>opex_orig!$AP53</f>
        <v>1.8704973243895801E-4</v>
      </c>
      <c r="AY53" s="188">
        <f>opex_orig!AQ53</f>
        <v>4.29271E-4</v>
      </c>
      <c r="AZ53" s="188">
        <f>opex_orig!AR53</f>
        <v>0</v>
      </c>
      <c r="BA53" s="188">
        <f>opex_orig!AS53</f>
        <v>3.48912E-4</v>
      </c>
      <c r="BB53" s="188">
        <f>opex_orig!AT53</f>
        <v>2.6781500000000002E-4</v>
      </c>
      <c r="BC53" s="188">
        <f>opex_orig!AU53</f>
        <v>1.0788799999999999E-4</v>
      </c>
      <c r="BD53" s="188">
        <f>opex_orig!AV53</f>
        <v>8.3100000000000001E-5</v>
      </c>
      <c r="BE53" s="188">
        <f>opex_orig!AW53</f>
        <v>1.9548600000000001E-4</v>
      </c>
      <c r="BF53" s="188">
        <f>opex_orig!AX53</f>
        <v>0</v>
      </c>
      <c r="BG53" s="188">
        <f>opex_orig!AY53</f>
        <v>3.03982E-4</v>
      </c>
      <c r="BH53" s="188">
        <f>opex_orig!AZ53</f>
        <v>0</v>
      </c>
      <c r="BI53" s="188">
        <f>opex_orig!BA53</f>
        <v>1.78402E-4</v>
      </c>
      <c r="BJ53" s="188">
        <f>opex_orig!BB53</f>
        <v>1.4549800000000001E-4</v>
      </c>
      <c r="BK53" s="188">
        <f>opex_orig!BC53</f>
        <v>1.3583000000000001E-4</v>
      </c>
      <c r="BL53" s="188">
        <f>opex_orig!BD53</f>
        <v>5.3699999999999997E-5</v>
      </c>
      <c r="BM53" s="188">
        <f>opex_orig!BE53</f>
        <v>1.4286799999999999E-4</v>
      </c>
      <c r="BN53" s="188">
        <f>opex_orig!BF53</f>
        <v>5.7000000000000003E-5</v>
      </c>
      <c r="BO53" s="188">
        <f>opex_orig!BG53</f>
        <v>2.46312E-4</v>
      </c>
      <c r="BP53" s="188">
        <f>opex_orig!$BH53</f>
        <v>2.1321799643723001E-4</v>
      </c>
      <c r="BQ53" s="188">
        <f>opex_orig!$BH53</f>
        <v>2.1321799643723001E-4</v>
      </c>
      <c r="BR53" s="188">
        <f>opex_orig!BI53</f>
        <v>2.44326E-4</v>
      </c>
      <c r="BS53" s="188">
        <f>opex_orig!BJ53</f>
        <v>1.345193E-3</v>
      </c>
      <c r="BT53" s="188">
        <f>opex_orig!BK53</f>
        <v>1.00895E-4</v>
      </c>
      <c r="BU53" s="188">
        <f>opex_orig!BL53</f>
        <v>0</v>
      </c>
      <c r="BV53" s="27">
        <f>opex_orig!BM53</f>
        <v>4.4811887902870397E-5</v>
      </c>
      <c r="BW53" s="27">
        <f>opex_orig!BN53</f>
        <v>9.1774381406172994E-5</v>
      </c>
      <c r="BX53" s="27">
        <f>opex_orig!BO53</f>
        <v>1.6129506381360899E-5</v>
      </c>
      <c r="BY53" s="27">
        <f>opex_orig!BP53</f>
        <v>3.3439644499435797E-5</v>
      </c>
      <c r="BZ53" s="27">
        <f>opex_orig!BQ53</f>
        <v>3.7243430998768998E-5</v>
      </c>
      <c r="CA53" s="27">
        <f>opex_orig!BR53</f>
        <v>8.0264369445104103E-6</v>
      </c>
      <c r="CB53" s="27">
        <f>opex_orig!BS53</f>
        <v>1.3805015258567001E-4</v>
      </c>
      <c r="CC53" s="27">
        <f>opex_orig!BT53</f>
        <v>1.5745532562181501E-5</v>
      </c>
      <c r="CD53" s="27">
        <f>opex_orig!BU53</f>
        <v>1.82384115380197E-5</v>
      </c>
      <c r="CE53" s="27">
        <f>opex_orig!BV53</f>
        <v>1.82384115380197E-5</v>
      </c>
      <c r="CF53" s="27">
        <f>opex_orig!BW53</f>
        <v>2.9859246771483198E-6</v>
      </c>
      <c r="CG53" s="27">
        <f>opex_orig!BX53</f>
        <v>5.2279470287234001E-7</v>
      </c>
      <c r="CH53" s="27">
        <f>opex_orig!BY53</f>
        <v>7.5563587766519703E-6</v>
      </c>
      <c r="CI53" s="27">
        <f>opex_orig!Y53</f>
        <v>1.1126E-4</v>
      </c>
      <c r="CJ53" s="27">
        <f>opex_orig!Z53</f>
        <v>1.92556E-4</v>
      </c>
      <c r="CK53" s="27">
        <f>opex_orig!AA53</f>
        <v>1.17046E-4</v>
      </c>
      <c r="CL53" s="27">
        <f>opex_orig!AB53</f>
        <v>1.91856195678395E-4</v>
      </c>
      <c r="CM53" s="27">
        <f>opex_orig!AC53</f>
        <v>1.9165035302409299E-3</v>
      </c>
      <c r="CN53" s="27">
        <f>opex_orig!AD53</f>
        <v>1.4715459431608699E-4</v>
      </c>
      <c r="CO53" s="27">
        <f>opex_orig!AE53</f>
        <v>1.3720799999999999E-4</v>
      </c>
      <c r="CP53" s="27">
        <f>opex_orig!AF53</f>
        <v>5.4650300000000005E-4</v>
      </c>
    </row>
    <row r="54" spans="1:94" x14ac:dyDescent="0.25">
      <c r="A54" s="5" t="s">
        <v>127</v>
      </c>
      <c r="B54" s="2" t="s">
        <v>126</v>
      </c>
      <c r="C54" s="1" t="s">
        <v>327</v>
      </c>
      <c r="D54" s="188">
        <f>opex_orig!D54</f>
        <v>7.7700000000000005E-5</v>
      </c>
      <c r="E54" s="188">
        <f>opex_orig!E54</f>
        <v>3.26E-5</v>
      </c>
      <c r="F54" s="188">
        <f>opex_orig!F54</f>
        <v>3.0599999999999998E-5</v>
      </c>
      <c r="G54" s="188">
        <f>opex_orig!G54</f>
        <v>6.64E-6</v>
      </c>
      <c r="H54" s="188">
        <f>opex_orig!H54</f>
        <v>1.1199999999999999E-5</v>
      </c>
      <c r="I54" s="188">
        <f>opex_orig!I54</f>
        <v>6.8999999999999997E-5</v>
      </c>
      <c r="J54" s="188">
        <f>opex_orig!J54</f>
        <v>1.07854E-4</v>
      </c>
      <c r="K54" s="188">
        <f>opex_orig!K54</f>
        <v>2.1500000000000001E-5</v>
      </c>
      <c r="L54" s="188">
        <f>opex_orig!L54</f>
        <v>7.0699999999999997E-5</v>
      </c>
      <c r="M54" s="188">
        <f>opex_orig!M54</f>
        <v>1.3779600000000001E-4</v>
      </c>
      <c r="N54" s="188">
        <f>opex_orig!N54</f>
        <v>9.8400000000000007E-5</v>
      </c>
      <c r="O54" s="188">
        <f>opex_orig!O54</f>
        <v>1.711572E-3</v>
      </c>
      <c r="P54" s="188">
        <f>opex_orig!P54</f>
        <v>5.03883E-4</v>
      </c>
      <c r="Q54" s="188">
        <f>opex_orig!Q54</f>
        <v>2.00826E-4</v>
      </c>
      <c r="R54" s="188">
        <f>opex_orig!R54</f>
        <v>1.33743E-4</v>
      </c>
      <c r="S54" s="188">
        <f>opex_orig!S54</f>
        <v>2.3311499999999999E-4</v>
      </c>
      <c r="T54" s="188">
        <f>opex_orig!T54</f>
        <v>2.4591400000000002E-4</v>
      </c>
      <c r="U54" s="188">
        <f>opex_orig!U54</f>
        <v>1.0929099999999999E-4</v>
      </c>
      <c r="V54" s="188">
        <f>opex_orig!V54</f>
        <v>8.2799999999999993E-5</v>
      </c>
      <c r="W54" s="188">
        <f>opex_orig!W54</f>
        <v>6.8576827000000007E-2</v>
      </c>
      <c r="X54" s="188">
        <f>opex_orig!X54</f>
        <v>1.248557E-3</v>
      </c>
      <c r="Y54" s="188">
        <f>opex_orig!Y54</f>
        <v>4.7599999999999998E-5</v>
      </c>
      <c r="Z54" s="188">
        <f>opex_orig!Z54</f>
        <v>8.1699999999999994E-5</v>
      </c>
      <c r="AA54" s="188">
        <f>opex_orig!AA54</f>
        <v>5.41E-5</v>
      </c>
      <c r="AB54" s="188">
        <f>opex_orig!$AB54</f>
        <v>1.13132120627034E-4</v>
      </c>
      <c r="AC54" s="188">
        <f>opex_orig!$AB54</f>
        <v>1.13132120627034E-4</v>
      </c>
      <c r="AD54" s="188">
        <f>opex_orig!$AB54</f>
        <v>1.13132120627034E-4</v>
      </c>
      <c r="AE54" s="188">
        <f>opex_orig!$AC54</f>
        <v>9.5637447364410697E-4</v>
      </c>
      <c r="AF54" s="188">
        <f>opex_orig!$AD54</f>
        <v>7.5171887408994706E-5</v>
      </c>
      <c r="AG54" s="188">
        <f>opex_orig!$AD54</f>
        <v>7.5171887408994706E-5</v>
      </c>
      <c r="AH54" s="188">
        <f>opex_orig!$AD54</f>
        <v>7.5171887408994706E-5</v>
      </c>
      <c r="AI54" s="188">
        <f>opex_orig!AE54</f>
        <v>7.0400000000000004E-5</v>
      </c>
      <c r="AJ54" s="188">
        <f>opex_orig!AF54</f>
        <v>2.67414E-4</v>
      </c>
      <c r="AK54" s="188">
        <f>opex_orig!AG54</f>
        <v>4.0479999999999997E-4</v>
      </c>
      <c r="AL54" s="188">
        <f>opex_orig!AH54</f>
        <v>1.0217000000000001E-4</v>
      </c>
      <c r="AM54" s="188">
        <f>opex_orig!AI54</f>
        <v>8.2899999999999996E-5</v>
      </c>
      <c r="AN54" s="188">
        <f>opex_orig!AJ54</f>
        <v>5.8699999999999997E-5</v>
      </c>
      <c r="AO54" s="188">
        <f>opex_orig!AK54</f>
        <v>8.1500000000000002E-5</v>
      </c>
      <c r="AP54" s="188">
        <f>opex_orig!$AL54</f>
        <v>7.4400230804391894E-5</v>
      </c>
      <c r="AQ54" s="188">
        <f>opex_orig!$AL54</f>
        <v>7.4400230804391894E-5</v>
      </c>
      <c r="AR54" s="188">
        <f>opex_orig!$AL54</f>
        <v>7.4400230804391894E-5</v>
      </c>
      <c r="AS54" s="188">
        <f>opex_orig!$AM54</f>
        <v>6.9227760122968102E-5</v>
      </c>
      <c r="AT54" s="188">
        <f>opex_orig!AN54</f>
        <v>9.2E-5</v>
      </c>
      <c r="AU54" s="188">
        <f>opex_orig!$AO54</f>
        <v>6.6150494291556601E-5</v>
      </c>
      <c r="AV54" s="188">
        <f>opex_orig!$AO54</f>
        <v>6.6150494291556601E-5</v>
      </c>
      <c r="AW54" s="188">
        <f>opex_orig!$AO54</f>
        <v>6.6150494291556601E-5</v>
      </c>
      <c r="AX54" s="188">
        <f>opex_orig!$AP54</f>
        <v>9.0525698765446104E-5</v>
      </c>
      <c r="AY54" s="188">
        <f>opex_orig!AQ54</f>
        <v>2.0489299999999999E-4</v>
      </c>
      <c r="AZ54" s="188">
        <f>opex_orig!AR54</f>
        <v>0</v>
      </c>
      <c r="BA54" s="188">
        <f>opex_orig!AS54</f>
        <v>1.71354E-4</v>
      </c>
      <c r="BB54" s="188">
        <f>opex_orig!AT54</f>
        <v>1.3441000000000001E-4</v>
      </c>
      <c r="BC54" s="188">
        <f>opex_orig!AU54</f>
        <v>5.6900000000000001E-5</v>
      </c>
      <c r="BD54" s="188">
        <f>opex_orig!AV54</f>
        <v>4.3000000000000002E-5</v>
      </c>
      <c r="BE54" s="188">
        <f>opex_orig!AW54</f>
        <v>1.6339499999999999E-4</v>
      </c>
      <c r="BF54" s="188">
        <f>opex_orig!AX54</f>
        <v>0</v>
      </c>
      <c r="BG54" s="188">
        <f>opex_orig!AY54</f>
        <v>1.3953199999999999E-4</v>
      </c>
      <c r="BH54" s="188">
        <f>opex_orig!AZ54</f>
        <v>0</v>
      </c>
      <c r="BI54" s="188">
        <f>opex_orig!BA54</f>
        <v>9.2800000000000006E-5</v>
      </c>
      <c r="BJ54" s="188">
        <f>opex_orig!BB54</f>
        <v>8.9499999999999994E-5</v>
      </c>
      <c r="BK54" s="188">
        <f>opex_orig!BC54</f>
        <v>7.1799999999999997E-5</v>
      </c>
      <c r="BL54" s="188">
        <f>opex_orig!BD54</f>
        <v>4.0200000000000001E-5</v>
      </c>
      <c r="BM54" s="188">
        <f>opex_orig!BE54</f>
        <v>9.4500000000000007E-5</v>
      </c>
      <c r="BN54" s="188">
        <f>opex_orig!BF54</f>
        <v>3.6100000000000003E-5</v>
      </c>
      <c r="BO54" s="188">
        <f>opex_orig!BG54</f>
        <v>1.36637E-4</v>
      </c>
      <c r="BP54" s="188">
        <f>opex_orig!$BH54</f>
        <v>1.4783142276278701E-4</v>
      </c>
      <c r="BQ54" s="188">
        <f>opex_orig!$BH54</f>
        <v>1.4783142276278701E-4</v>
      </c>
      <c r="BR54" s="188">
        <f>opex_orig!BI54</f>
        <v>1.7133599999999999E-4</v>
      </c>
      <c r="BS54" s="188">
        <f>opex_orig!BJ54</f>
        <v>6.93287E-4</v>
      </c>
      <c r="BT54" s="188">
        <f>opex_orig!BK54</f>
        <v>5.1900000000000001E-5</v>
      </c>
      <c r="BU54" s="188">
        <f>opex_orig!BL54</f>
        <v>0</v>
      </c>
      <c r="BV54" s="27">
        <f>opex_orig!BM54</f>
        <v>2.6174065396390201E-5</v>
      </c>
      <c r="BW54" s="27">
        <f>opex_orig!BN54</f>
        <v>4.88283348866075E-5</v>
      </c>
      <c r="BX54" s="27">
        <f>opex_orig!BO54</f>
        <v>1.19902794369667E-5</v>
      </c>
      <c r="BY54" s="27">
        <f>opex_orig!BP54</f>
        <v>2.2773895760628101E-5</v>
      </c>
      <c r="BZ54" s="27">
        <f>opex_orig!BQ54</f>
        <v>1.7378604630291701E-5</v>
      </c>
      <c r="CA54" s="27">
        <f>opex_orig!BR54</f>
        <v>2.6990697742525501E-5</v>
      </c>
      <c r="CB54" s="27">
        <f>opex_orig!BS54</f>
        <v>6.1830289044614004E-5</v>
      </c>
      <c r="CC54" s="27">
        <f>opex_orig!BT54</f>
        <v>4.1860674657533197E-5</v>
      </c>
      <c r="CD54" s="27">
        <f>opex_orig!BU54</f>
        <v>9.4258242019203297E-6</v>
      </c>
      <c r="CE54" s="27">
        <f>opex_orig!BV54</f>
        <v>9.4258242019203399E-6</v>
      </c>
      <c r="CF54" s="27">
        <f>opex_orig!BW54</f>
        <v>9.0464968537233907E-6</v>
      </c>
      <c r="CG54" s="27">
        <f>opex_orig!BX54</f>
        <v>5.9210367708251404E-7</v>
      </c>
      <c r="CH54" s="27">
        <f>opex_orig!BY54</f>
        <v>9.2408347463680292E-6</v>
      </c>
      <c r="CI54" s="27">
        <f>opex_orig!Y54</f>
        <v>4.7599999999999998E-5</v>
      </c>
      <c r="CJ54" s="27">
        <f>opex_orig!Z54</f>
        <v>8.1699999999999994E-5</v>
      </c>
      <c r="CK54" s="27">
        <f>opex_orig!AA54</f>
        <v>5.41E-5</v>
      </c>
      <c r="CL54" s="27">
        <f>opex_orig!AB54</f>
        <v>1.13132120627034E-4</v>
      </c>
      <c r="CM54" s="27">
        <f>opex_orig!AC54</f>
        <v>9.5637447364410697E-4</v>
      </c>
      <c r="CN54" s="27">
        <f>opex_orig!AD54</f>
        <v>7.5171887408994706E-5</v>
      </c>
      <c r="CO54" s="27">
        <f>opex_orig!AE54</f>
        <v>7.0400000000000004E-5</v>
      </c>
      <c r="CP54" s="27">
        <f>opex_orig!AF54</f>
        <v>2.67414E-4</v>
      </c>
    </row>
    <row r="55" spans="1:94" x14ac:dyDescent="0.25">
      <c r="A55" s="5" t="s">
        <v>129</v>
      </c>
      <c r="B55" s="2" t="s">
        <v>128</v>
      </c>
      <c r="C55" s="1" t="s">
        <v>327</v>
      </c>
      <c r="D55" s="188">
        <f>opex_orig!D55</f>
        <v>2.1673740000000001E-3</v>
      </c>
      <c r="E55" s="188">
        <f>opex_orig!E55</f>
        <v>5.112704E-3</v>
      </c>
      <c r="F55" s="188">
        <f>opex_orig!F55</f>
        <v>2.953734E-3</v>
      </c>
      <c r="G55" s="188">
        <f>opex_orig!G55</f>
        <v>2.3380100000000001E-4</v>
      </c>
      <c r="H55" s="188">
        <f>opex_orig!H55</f>
        <v>6.7402900000000003E-4</v>
      </c>
      <c r="I55" s="188">
        <f>opex_orig!I55</f>
        <v>1.6475719999999999E-2</v>
      </c>
      <c r="J55" s="188">
        <f>opex_orig!J55</f>
        <v>7.4070560000000004E-3</v>
      </c>
      <c r="K55" s="188">
        <f>opex_orig!K55</f>
        <v>8.4546100000000004E-4</v>
      </c>
      <c r="L55" s="188">
        <f>opex_orig!L55</f>
        <v>5.2558489999999999E-3</v>
      </c>
      <c r="M55" s="188">
        <f>opex_orig!M55</f>
        <v>1.1081186999999999E-2</v>
      </c>
      <c r="N55" s="188">
        <f>opex_orig!N55</f>
        <v>6.8451429999999997E-3</v>
      </c>
      <c r="O55" s="188">
        <f>opex_orig!O55</f>
        <v>9.6288867E-2</v>
      </c>
      <c r="P55" s="188">
        <f>opex_orig!P55</f>
        <v>4.9477790000000002E-3</v>
      </c>
      <c r="Q55" s="188">
        <f>opex_orig!Q55</f>
        <v>6.0140300000000003E-4</v>
      </c>
      <c r="R55" s="188">
        <f>opex_orig!R55</f>
        <v>5.2171329999999997E-3</v>
      </c>
      <c r="S55" s="188">
        <f>opex_orig!S55</f>
        <v>2.0409535999999999E-2</v>
      </c>
      <c r="T55" s="188">
        <f>opex_orig!T55</f>
        <v>2.154267E-2</v>
      </c>
      <c r="U55" s="188">
        <f>opex_orig!U55</f>
        <v>3.253026E-3</v>
      </c>
      <c r="V55" s="188">
        <f>opex_orig!V55</f>
        <v>2.9244980000000002E-3</v>
      </c>
      <c r="W55" s="188">
        <f>opex_orig!W55</f>
        <v>0.236861338</v>
      </c>
      <c r="X55" s="188">
        <f>opex_orig!X55</f>
        <v>6.7228164000000007E-2</v>
      </c>
      <c r="Y55" s="188">
        <f>opex_orig!Y55</f>
        <v>1.3188800000000001E-4</v>
      </c>
      <c r="Z55" s="188">
        <f>opex_orig!Z55</f>
        <v>2.4368E-4</v>
      </c>
      <c r="AA55" s="188">
        <f>opex_orig!AA55</f>
        <v>1.0969899999999999E-4</v>
      </c>
      <c r="AB55" s="188">
        <f>opex_orig!$AB55</f>
        <v>1.00153927625416E-4</v>
      </c>
      <c r="AC55" s="188">
        <f>opex_orig!$AB55</f>
        <v>1.00153927625416E-4</v>
      </c>
      <c r="AD55" s="188">
        <f>opex_orig!$AB55</f>
        <v>1.00153927625416E-4</v>
      </c>
      <c r="AE55" s="188">
        <f>opex_orig!$AC55</f>
        <v>4.3632984896082097E-3</v>
      </c>
      <c r="AF55" s="305">
        <f>opex_concordance!M315</f>
        <v>7.2731977315082796E-3</v>
      </c>
      <c r="AG55" s="305">
        <f>opex_concordance!M351</f>
        <v>3.2230700011184384E-3</v>
      </c>
      <c r="AH55" s="305">
        <f>opex_concordance!M387</f>
        <v>2.5858552283577613E-3</v>
      </c>
      <c r="AI55" s="188">
        <f>opex_orig!AE55</f>
        <v>6.1088829999999998E-3</v>
      </c>
      <c r="AJ55" s="188">
        <f>opex_orig!AF55</f>
        <v>1.4372539E-2</v>
      </c>
      <c r="AK55" s="188">
        <f>opex_orig!AG55</f>
        <v>7.4194259999999998E-3</v>
      </c>
      <c r="AL55" s="188">
        <f>opex_orig!AH55</f>
        <v>1.5265319999999999E-3</v>
      </c>
      <c r="AM55" s="188">
        <f>opex_orig!AI55</f>
        <v>2.906456E-3</v>
      </c>
      <c r="AN55" s="188">
        <f>opex_orig!AJ55</f>
        <v>1.8244330000000001E-3</v>
      </c>
      <c r="AO55" s="188">
        <f>opex_orig!AK55</f>
        <v>2.3919100000000001E-3</v>
      </c>
      <c r="AP55" s="188">
        <f>opex_orig!$AL55</f>
        <v>5.2718157632158002E-4</v>
      </c>
      <c r="AQ55" s="188">
        <f>opex_orig!$AL55</f>
        <v>5.2718157632158002E-4</v>
      </c>
      <c r="AR55" s="188">
        <f>opex_orig!$AL55</f>
        <v>5.2718157632158002E-4</v>
      </c>
      <c r="AS55" s="188">
        <f>opex_orig!$AM55</f>
        <v>4.7081015463668399E-4</v>
      </c>
      <c r="AT55" s="188">
        <f>opex_orig!AN55</f>
        <v>1.271255E-3</v>
      </c>
      <c r="AU55" s="188">
        <f>opex_orig!$AO55</f>
        <v>4.2124148735269199E-4</v>
      </c>
      <c r="AV55" s="188">
        <f>opex_orig!$AO55</f>
        <v>4.2124148735269199E-4</v>
      </c>
      <c r="AW55" s="188">
        <f>opex_orig!$AO55</f>
        <v>4.2124148735269199E-4</v>
      </c>
      <c r="AX55" s="188">
        <f>opex_orig!$AP55</f>
        <v>4.9979892526106305E-4</v>
      </c>
      <c r="AY55" s="188">
        <f>opex_orig!AQ55</f>
        <v>8.0948700000000001E-4</v>
      </c>
      <c r="AZ55" s="188">
        <f>opex_orig!AR55</f>
        <v>0</v>
      </c>
      <c r="BA55" s="188">
        <f>opex_orig!AS55</f>
        <v>7.0358300000000003E-4</v>
      </c>
      <c r="BB55" s="188">
        <f>opex_orig!AT55</f>
        <v>5.4072699999999996E-4</v>
      </c>
      <c r="BC55" s="188">
        <f>opex_orig!AU55</f>
        <v>1.0217600000000001E-4</v>
      </c>
      <c r="BD55" s="188">
        <f>opex_orig!AV55</f>
        <v>6.19E-5</v>
      </c>
      <c r="BE55" s="188">
        <f>opex_orig!AW55</f>
        <v>8.3670700000000001E-4</v>
      </c>
      <c r="BF55" s="188">
        <f>opex_orig!AX55</f>
        <v>0</v>
      </c>
      <c r="BG55" s="188">
        <f>opex_orig!AY55</f>
        <v>4.3233600000000002E-4</v>
      </c>
      <c r="BH55" s="188">
        <f>opex_orig!AZ55</f>
        <v>0</v>
      </c>
      <c r="BI55" s="188">
        <f>opex_orig!BA55</f>
        <v>3.8265599999999999E-4</v>
      </c>
      <c r="BJ55" s="188">
        <f>opex_orig!BB55</f>
        <v>1.7950520000000001E-3</v>
      </c>
      <c r="BK55" s="188">
        <f>opex_orig!BC55</f>
        <v>3.1900689999999998E-3</v>
      </c>
      <c r="BL55" s="188">
        <f>opex_orig!BD55</f>
        <v>1.0205049999999999E-3</v>
      </c>
      <c r="BM55" s="188">
        <f>opex_orig!BE55</f>
        <v>2.5945650000000001E-3</v>
      </c>
      <c r="BN55" s="188">
        <f>opex_orig!BF55</f>
        <v>1.3415090000000001E-3</v>
      </c>
      <c r="BO55" s="188">
        <f>opex_orig!BG55</f>
        <v>5.8934019999999998E-3</v>
      </c>
      <c r="BP55" s="188">
        <f>opex_orig!$BH55</f>
        <v>2.7214075927317399E-3</v>
      </c>
      <c r="BQ55" s="188">
        <f>opex_orig!$BH55</f>
        <v>2.7214075927317399E-3</v>
      </c>
      <c r="BR55" s="188">
        <f>opex_orig!BI55</f>
        <v>1.0568159999999999E-3</v>
      </c>
      <c r="BS55" s="188">
        <f>opex_orig!BJ55</f>
        <v>2.3795191E-2</v>
      </c>
      <c r="BT55" s="188">
        <f>opex_orig!BK55</f>
        <v>2.0309700000000001E-4</v>
      </c>
      <c r="BU55" s="188">
        <f>opex_orig!BL55</f>
        <v>0</v>
      </c>
      <c r="BV55" s="27">
        <f>opex_orig!BM55</f>
        <v>1.77175401876181E-4</v>
      </c>
      <c r="BW55" s="27">
        <f>opex_orig!BN55</f>
        <v>1.53174562604501E-4</v>
      </c>
      <c r="BX55" s="27">
        <f>opex_orig!BO55</f>
        <v>1.00507656080528E-4</v>
      </c>
      <c r="BY55" s="27">
        <f>opex_orig!BP55</f>
        <v>9.7757930067770201E-5</v>
      </c>
      <c r="BZ55" s="27">
        <f>opex_orig!BQ55</f>
        <v>8.1596924353958294E-5</v>
      </c>
      <c r="CA55" s="27">
        <f>opex_orig!BR55</f>
        <v>2.3067429707749998E-5</v>
      </c>
      <c r="CB55" s="27">
        <f>opex_orig!BS55</f>
        <v>2.1003341621448E-4</v>
      </c>
      <c r="CC55" s="27">
        <f>opex_orig!BT55</f>
        <v>8.9543119101492401E-5</v>
      </c>
      <c r="CD55" s="27">
        <f>opex_orig!BU55</f>
        <v>1.70851207084729E-5</v>
      </c>
      <c r="CE55" s="27">
        <f>opex_orig!BV55</f>
        <v>1.7085120708472999E-5</v>
      </c>
      <c r="CF55" s="27">
        <f>opex_orig!BW55</f>
        <v>1.3422901131374899E-4</v>
      </c>
      <c r="CG55" s="27">
        <f>opex_orig!BX55</f>
        <v>3.7312706057674899E-6</v>
      </c>
      <c r="CH55" s="27">
        <f>opex_orig!BY55</f>
        <v>4.8083013652862302E-6</v>
      </c>
      <c r="CI55" s="27">
        <f>opex_orig!Y55</f>
        <v>1.3188800000000001E-4</v>
      </c>
      <c r="CJ55" s="27">
        <f>opex_orig!Z55</f>
        <v>2.4368E-4</v>
      </c>
      <c r="CK55" s="27">
        <f>opex_orig!AA55</f>
        <v>1.0969899999999999E-4</v>
      </c>
      <c r="CL55" s="27">
        <f>opex_orig!AB55</f>
        <v>1.00153927625416E-4</v>
      </c>
      <c r="CM55" s="27">
        <f>opex_orig!AC55</f>
        <v>4.3632984896082097E-3</v>
      </c>
      <c r="CN55" s="27">
        <f>opex_orig!AD55</f>
        <v>7.2731977315082796E-3</v>
      </c>
      <c r="CO55" s="27">
        <f>opex_orig!AE55</f>
        <v>6.1088829999999998E-3</v>
      </c>
      <c r="CP55" s="27">
        <f>opex_orig!AF55</f>
        <v>1.4372539E-2</v>
      </c>
    </row>
    <row r="56" spans="1:94" x14ac:dyDescent="0.25">
      <c r="A56" s="6" t="s">
        <v>131</v>
      </c>
      <c r="B56" s="2" t="s">
        <v>130</v>
      </c>
      <c r="C56" s="1" t="s">
        <v>327</v>
      </c>
      <c r="D56" s="188">
        <f>opex_orig!D56</f>
        <v>2.971638E-3</v>
      </c>
      <c r="E56" s="188">
        <f>opex_orig!E56</f>
        <v>7.5874500000000001E-4</v>
      </c>
      <c r="F56" s="188">
        <f>opex_orig!F56</f>
        <v>4.9648900000000002E-4</v>
      </c>
      <c r="G56" s="188">
        <f>opex_orig!G56</f>
        <v>1.09955E-4</v>
      </c>
      <c r="H56" s="188">
        <f>opex_orig!H56</f>
        <v>2.0082499999999999E-4</v>
      </c>
      <c r="I56" s="188">
        <f>opex_orig!I56</f>
        <v>1.286466E-3</v>
      </c>
      <c r="J56" s="188">
        <f>opex_orig!J56</f>
        <v>2.0837920000000001E-3</v>
      </c>
      <c r="K56" s="188">
        <f>opex_orig!K56</f>
        <v>2.9955699999999999E-4</v>
      </c>
      <c r="L56" s="188">
        <f>opex_orig!L56</f>
        <v>1.617299E-3</v>
      </c>
      <c r="M56" s="188">
        <f>opex_orig!M56</f>
        <v>4.9544050000000003E-3</v>
      </c>
      <c r="N56" s="188">
        <f>opex_orig!N56</f>
        <v>2.522051E-3</v>
      </c>
      <c r="O56" s="188">
        <f>opex_orig!O56</f>
        <v>2.1774972E-2</v>
      </c>
      <c r="P56" s="188">
        <f>opex_orig!P56</f>
        <v>3.5185059999999998E-3</v>
      </c>
      <c r="Q56" s="188">
        <f>opex_orig!Q56</f>
        <v>5.1208600000000003E-4</v>
      </c>
      <c r="R56" s="188">
        <f>opex_orig!R56</f>
        <v>5.2010999999999995E-4</v>
      </c>
      <c r="S56" s="188">
        <f>opex_orig!S56</f>
        <v>1.0041029999999999E-3</v>
      </c>
      <c r="T56" s="188">
        <f>opex_orig!T56</f>
        <v>1.1882310000000001E-3</v>
      </c>
      <c r="U56" s="188">
        <f>opex_orig!U56</f>
        <v>1.1931175E-2</v>
      </c>
      <c r="V56" s="188">
        <f>opex_orig!V56</f>
        <v>1.3293472000000001E-2</v>
      </c>
      <c r="W56" s="188">
        <f>opex_orig!W56</f>
        <v>3.8119878000000003E-2</v>
      </c>
      <c r="X56" s="188">
        <f>opex_orig!X56</f>
        <v>0.282525146</v>
      </c>
      <c r="Y56" s="188">
        <f>opex_orig!Y56</f>
        <v>3.68224E-4</v>
      </c>
      <c r="Z56" s="188">
        <f>opex_orig!Z56</f>
        <v>4.8030499999999999E-4</v>
      </c>
      <c r="AA56" s="188">
        <f>opex_orig!AA56</f>
        <v>7.4832299999999996E-4</v>
      </c>
      <c r="AB56" s="188">
        <f>opex_orig!$AB56</f>
        <v>1.93731626552095E-3</v>
      </c>
      <c r="AC56" s="188">
        <f>opex_orig!$AB56</f>
        <v>1.93731626552095E-3</v>
      </c>
      <c r="AD56" s="188">
        <f>opex_orig!$AB56</f>
        <v>1.93731626552095E-3</v>
      </c>
      <c r="AE56" s="188">
        <f>opex_orig!$AC56</f>
        <v>1.57776281546787E-3</v>
      </c>
      <c r="AF56" s="188">
        <f>opex_orig!$AD56</f>
        <v>4.2245372374762596E-3</v>
      </c>
      <c r="AG56" s="188">
        <f>opex_orig!$AD56</f>
        <v>4.2245372374762596E-3</v>
      </c>
      <c r="AH56" s="188">
        <f>opex_orig!$AD56</f>
        <v>4.2245372374762596E-3</v>
      </c>
      <c r="AI56" s="188">
        <f>opex_orig!AE56</f>
        <v>3.9817430000000003E-3</v>
      </c>
      <c r="AJ56" s="188">
        <f>opex_orig!AF56</f>
        <v>7.4376019999999998E-3</v>
      </c>
      <c r="AK56" s="188">
        <f>opex_orig!AG56</f>
        <v>2.47555E-3</v>
      </c>
      <c r="AL56" s="188">
        <f>opex_orig!AH56</f>
        <v>1.1102639999999999E-3</v>
      </c>
      <c r="AM56" s="188">
        <f>opex_orig!AI56</f>
        <v>1.976467E-3</v>
      </c>
      <c r="AN56" s="188">
        <f>opex_orig!AJ56</f>
        <v>2.1404369999999998E-3</v>
      </c>
      <c r="AO56" s="188">
        <f>opex_orig!AK56</f>
        <v>2.0512030000000001E-3</v>
      </c>
      <c r="AP56" s="188">
        <f>opex_orig!$AL56</f>
        <v>1.5004181919881E-3</v>
      </c>
      <c r="AQ56" s="188">
        <f>opex_orig!$AL56</f>
        <v>1.5004181919881E-3</v>
      </c>
      <c r="AR56" s="188">
        <f>opex_orig!$AL56</f>
        <v>1.5004181919881E-3</v>
      </c>
      <c r="AS56" s="188">
        <f>opex_orig!$AM56</f>
        <v>1.4488492446693699E-3</v>
      </c>
      <c r="AT56" s="188">
        <f>opex_orig!AN56</f>
        <v>2.4486349999999998E-3</v>
      </c>
      <c r="AU56" s="188">
        <f>opex_orig!$AO56</f>
        <v>1.1406192299524001E-3</v>
      </c>
      <c r="AV56" s="188">
        <f>opex_orig!$AO56</f>
        <v>1.1406192299524001E-3</v>
      </c>
      <c r="AW56" s="188">
        <f>opex_orig!$AO56</f>
        <v>1.1406192299524001E-3</v>
      </c>
      <c r="AX56" s="188">
        <f>opex_orig!$AP56</f>
        <v>1.32123687535519E-3</v>
      </c>
      <c r="AY56" s="188">
        <f>opex_orig!AQ56</f>
        <v>1.4438669999999999E-3</v>
      </c>
      <c r="AZ56" s="188">
        <f>opex_orig!AR56</f>
        <v>0</v>
      </c>
      <c r="BA56" s="188">
        <f>opex_orig!AS56</f>
        <v>1.4150479999999999E-3</v>
      </c>
      <c r="BB56" s="188">
        <f>opex_orig!AT56</f>
        <v>1.465975E-3</v>
      </c>
      <c r="BC56" s="188">
        <f>opex_orig!AU56</f>
        <v>4.06516E-4</v>
      </c>
      <c r="BD56" s="188">
        <f>opex_orig!AV56</f>
        <v>3.5867199999999998E-4</v>
      </c>
      <c r="BE56" s="188">
        <f>opex_orig!AW56</f>
        <v>9.6610100000000003E-4</v>
      </c>
      <c r="BF56" s="188">
        <f>opex_orig!AX56</f>
        <v>0</v>
      </c>
      <c r="BG56" s="188">
        <f>opex_orig!AY56</f>
        <v>1.5443740000000001E-3</v>
      </c>
      <c r="BH56" s="188">
        <f>opex_orig!AZ56</f>
        <v>0</v>
      </c>
      <c r="BI56" s="188">
        <f>opex_orig!BA56</f>
        <v>1.7665910000000001E-3</v>
      </c>
      <c r="BJ56" s="188">
        <f>opex_orig!BB56</f>
        <v>1.03206E-3</v>
      </c>
      <c r="BK56" s="188">
        <f>opex_orig!BC56</f>
        <v>2.2967719999999999E-3</v>
      </c>
      <c r="BL56" s="188">
        <f>opex_orig!BD56</f>
        <v>2.5837149999999999E-3</v>
      </c>
      <c r="BM56" s="188">
        <f>opex_orig!BE56</f>
        <v>2.410653E-3</v>
      </c>
      <c r="BN56" s="188">
        <f>opex_orig!BF56</f>
        <v>1.7585229999999999E-3</v>
      </c>
      <c r="BO56" s="188">
        <f>opex_orig!BG56</f>
        <v>4.9676379999999999E-3</v>
      </c>
      <c r="BP56" s="188">
        <f>opex_orig!$BH56</f>
        <v>1.2278051479569299E-3</v>
      </c>
      <c r="BQ56" s="188">
        <f>opex_orig!$BH56</f>
        <v>1.2278051479569299E-3</v>
      </c>
      <c r="BR56" s="188">
        <f>opex_orig!BI56</f>
        <v>7.4141699999999997E-4</v>
      </c>
      <c r="BS56" s="188">
        <f>opex_orig!BJ56</f>
        <v>1.2380565E-2</v>
      </c>
      <c r="BT56" s="188">
        <f>opex_orig!BK56</f>
        <v>1.4737789999999999E-3</v>
      </c>
      <c r="BU56" s="188">
        <f>opex_orig!BL56</f>
        <v>0</v>
      </c>
      <c r="BV56" s="27">
        <f>opex_orig!BM56</f>
        <v>1.77737153820002E-3</v>
      </c>
      <c r="BW56" s="27">
        <f>opex_orig!BN56</f>
        <v>1.56590040507093E-3</v>
      </c>
      <c r="BX56" s="27">
        <f>opex_orig!BO56</f>
        <v>8.5320552888576505E-4</v>
      </c>
      <c r="BY56" s="27">
        <f>opex_orig!BP56</f>
        <v>7.9062707174762403E-4</v>
      </c>
      <c r="BZ56" s="27">
        <f>opex_orig!BQ56</f>
        <v>6.64544670857718E-4</v>
      </c>
      <c r="CA56" s="27">
        <f>opex_orig!BR56</f>
        <v>2.68784689972417E-3</v>
      </c>
      <c r="CB56" s="27">
        <f>opex_orig!BS56</f>
        <v>1.34635456941008E-3</v>
      </c>
      <c r="CC56" s="27">
        <f>opex_orig!BT56</f>
        <v>3.2191949564971901E-4</v>
      </c>
      <c r="CD56" s="27">
        <f>opex_orig!BU56</f>
        <v>1.68539275612633E-4</v>
      </c>
      <c r="CE56" s="27">
        <f>opex_orig!BV56</f>
        <v>1.68539275612633E-4</v>
      </c>
      <c r="CF56" s="27">
        <f>opex_orig!BW56</f>
        <v>2.5686237618824299E-3</v>
      </c>
      <c r="CG56" s="27">
        <f>opex_orig!BX56</f>
        <v>4.2497970496103697E-5</v>
      </c>
      <c r="CH56" s="27">
        <f>opex_orig!BY56</f>
        <v>3.2535819481201199E-5</v>
      </c>
      <c r="CI56" s="27">
        <f>opex_orig!Y56</f>
        <v>3.68224E-4</v>
      </c>
      <c r="CJ56" s="27">
        <f>opex_orig!Z56</f>
        <v>4.8030499999999999E-4</v>
      </c>
      <c r="CK56" s="27">
        <f>opex_orig!AA56</f>
        <v>7.4832299999999996E-4</v>
      </c>
      <c r="CL56" s="27">
        <f>opex_orig!AB56</f>
        <v>1.93731626552095E-3</v>
      </c>
      <c r="CM56" s="27">
        <f>opex_orig!AC56</f>
        <v>1.57776281546787E-3</v>
      </c>
      <c r="CN56" s="27">
        <f>opex_orig!AD56</f>
        <v>4.2245372374762596E-3</v>
      </c>
      <c r="CO56" s="27">
        <f>opex_orig!AE56</f>
        <v>3.9817430000000003E-3</v>
      </c>
      <c r="CP56" s="27">
        <f>opex_orig!AF56</f>
        <v>7.4376019999999998E-3</v>
      </c>
    </row>
    <row r="57" spans="1:94" x14ac:dyDescent="0.25">
      <c r="A57" s="5" t="s">
        <v>133</v>
      </c>
      <c r="B57" s="2" t="s">
        <v>132</v>
      </c>
      <c r="C57" s="1" t="s">
        <v>328</v>
      </c>
      <c r="D57" s="188">
        <f>opex_orig!D57</f>
        <v>5.3399999999999997E-6</v>
      </c>
      <c r="E57" s="188">
        <f>opex_orig!E57</f>
        <v>7.2599999999999999E-6</v>
      </c>
      <c r="F57" s="188">
        <f>opex_orig!F57</f>
        <v>6.19E-6</v>
      </c>
      <c r="G57" s="188">
        <f>opex_orig!G57</f>
        <v>5.3000000000000001E-7</v>
      </c>
      <c r="H57" s="188">
        <f>opex_orig!H57</f>
        <v>1.3799999999999999E-6</v>
      </c>
      <c r="I57" s="188">
        <f>opex_orig!I57</f>
        <v>2.1999999999999999E-5</v>
      </c>
      <c r="J57" s="188">
        <f>opex_orig!J57</f>
        <v>7.6899999999999992E-6</v>
      </c>
      <c r="K57" s="188">
        <f>opex_orig!K57</f>
        <v>1.53E-6</v>
      </c>
      <c r="L57" s="188">
        <f>opex_orig!L57</f>
        <v>1.19E-5</v>
      </c>
      <c r="M57" s="188">
        <f>opex_orig!M57</f>
        <v>3.7100000000000001E-5</v>
      </c>
      <c r="N57" s="188">
        <f>opex_orig!N57</f>
        <v>2.7800000000000001E-5</v>
      </c>
      <c r="O57" s="188">
        <f>opex_orig!O57</f>
        <v>9.4399999999999994E-6</v>
      </c>
      <c r="P57" s="188">
        <f>opex_orig!P57</f>
        <v>1.0499999999999999E-5</v>
      </c>
      <c r="Q57" s="188">
        <f>opex_orig!Q57</f>
        <v>1.26E-5</v>
      </c>
      <c r="R57" s="188">
        <f>opex_orig!R57</f>
        <v>7.9000000000000006E-6</v>
      </c>
      <c r="S57" s="188">
        <f>opex_orig!S57</f>
        <v>6.1299999999999998E-6</v>
      </c>
      <c r="T57" s="188">
        <f>opex_orig!T57</f>
        <v>1.13E-5</v>
      </c>
      <c r="U57" s="188">
        <f>opex_orig!U57</f>
        <v>8.8899999999999996E-6</v>
      </c>
      <c r="V57" s="188">
        <f>opex_orig!V57</f>
        <v>7.5000000000000002E-6</v>
      </c>
      <c r="W57" s="188">
        <f>opex_orig!W57</f>
        <v>7.2300000000000002E-6</v>
      </c>
      <c r="X57" s="188">
        <f>opex_orig!X57</f>
        <v>2.4499999999999998E-6</v>
      </c>
      <c r="Y57" s="188">
        <f>opex_orig!Y57</f>
        <v>2.2730600000000001E-4</v>
      </c>
      <c r="Z57" s="188">
        <f>opex_orig!Z57</f>
        <v>7.625672E-3</v>
      </c>
      <c r="AA57" s="188">
        <f>opex_orig!AA57</f>
        <v>6.4400000000000002E-6</v>
      </c>
      <c r="AB57" s="188">
        <f>opex_orig!$AB57</f>
        <v>5.0701931124400803E-5</v>
      </c>
      <c r="AC57" s="188">
        <f>opex_orig!$AB57</f>
        <v>5.0701931124400803E-5</v>
      </c>
      <c r="AD57" s="188">
        <f>opex_orig!$AB57</f>
        <v>5.0701931124400803E-5</v>
      </c>
      <c r="AE57" s="188">
        <f>opex_orig!$AC57</f>
        <v>1.95315726400779E-5</v>
      </c>
      <c r="AF57" s="188">
        <f>opex_orig!$AD57</f>
        <v>1.5276177846295901E-4</v>
      </c>
      <c r="AG57" s="188">
        <f>opex_orig!$AD57</f>
        <v>1.5276177846295901E-4</v>
      </c>
      <c r="AH57" s="188">
        <f>opex_orig!$AD57</f>
        <v>1.5276177846295901E-4</v>
      </c>
      <c r="AI57" s="188">
        <f>opex_orig!AE57</f>
        <v>1.31738E-4</v>
      </c>
      <c r="AJ57" s="188">
        <f>opex_orig!AF57</f>
        <v>6.2934199999999997E-4</v>
      </c>
      <c r="AK57" s="188">
        <f>opex_orig!AG57</f>
        <v>8.5900000000000001E-5</v>
      </c>
      <c r="AL57" s="188">
        <f>opex_orig!AH57</f>
        <v>1.4107729999999999E-3</v>
      </c>
      <c r="AM57" s="188">
        <f>opex_orig!AI57</f>
        <v>7.5406799999999999E-4</v>
      </c>
      <c r="AN57" s="188">
        <f>opex_orig!AJ57</f>
        <v>7.2745100000000005E-4</v>
      </c>
      <c r="AO57" s="188">
        <f>opex_orig!AK57</f>
        <v>2.2471790000000002E-3</v>
      </c>
      <c r="AP57" s="188">
        <f>opex_orig!$AL57</f>
        <v>1.0606002360879199E-3</v>
      </c>
      <c r="AQ57" s="188">
        <f>opex_orig!$AL57</f>
        <v>1.0606002360879199E-3</v>
      </c>
      <c r="AR57" s="188">
        <f>opex_orig!$AL57</f>
        <v>1.0606002360879199E-3</v>
      </c>
      <c r="AS57" s="188">
        <f>opex_orig!$AM57</f>
        <v>8.3297622271098098E-4</v>
      </c>
      <c r="AT57" s="188">
        <f>opex_orig!AN57</f>
        <v>2.7836549999999999E-3</v>
      </c>
      <c r="AU57" s="188">
        <f>opex_orig!$AO57</f>
        <v>3.2442916560662398E-3</v>
      </c>
      <c r="AV57" s="188">
        <f>opex_orig!$AO57</f>
        <v>3.2442916560662398E-3</v>
      </c>
      <c r="AW57" s="188">
        <f>opex_orig!$AO57</f>
        <v>3.2442916560662398E-3</v>
      </c>
      <c r="AX57" s="188">
        <f>opex_orig!$AP57</f>
        <v>1.43517294715439E-3</v>
      </c>
      <c r="AY57" s="188">
        <f>opex_orig!AQ57</f>
        <v>1.474824E-3</v>
      </c>
      <c r="AZ57" s="188">
        <f>opex_orig!AR57</f>
        <v>0</v>
      </c>
      <c r="BA57" s="188">
        <f>opex_orig!AS57</f>
        <v>3.7386899999999998E-3</v>
      </c>
      <c r="BB57" s="188">
        <f>opex_orig!AT57</f>
        <v>1.9269650000000001E-3</v>
      </c>
      <c r="BC57" s="188">
        <f>opex_orig!AU57</f>
        <v>5.1413499999999998E-4</v>
      </c>
      <c r="BD57" s="188">
        <f>opex_orig!AV57</f>
        <v>2.1708299999999999E-4</v>
      </c>
      <c r="BE57" s="188">
        <f>opex_orig!AW57</f>
        <v>1.651656E-3</v>
      </c>
      <c r="BF57" s="188">
        <f>opex_orig!AX57</f>
        <v>0</v>
      </c>
      <c r="BG57" s="188">
        <f>opex_orig!AY57</f>
        <v>1.147054E-3</v>
      </c>
      <c r="BH57" s="188">
        <f>opex_orig!AZ57</f>
        <v>0</v>
      </c>
      <c r="BI57" s="188">
        <f>opex_orig!BA57</f>
        <v>3.328756E-3</v>
      </c>
      <c r="BJ57" s="188">
        <f>opex_orig!BB57</f>
        <v>2.9499999999999999E-5</v>
      </c>
      <c r="BK57" s="188">
        <f>opex_orig!BC57</f>
        <v>3.3200000000000001E-5</v>
      </c>
      <c r="BL57" s="188">
        <f>opex_orig!BD57</f>
        <v>8.1000000000000004E-6</v>
      </c>
      <c r="BM57" s="188">
        <f>opex_orig!BE57</f>
        <v>8.6400000000000003E-6</v>
      </c>
      <c r="BN57" s="188">
        <f>opex_orig!BF57</f>
        <v>8.9099999999999994E-6</v>
      </c>
      <c r="BO57" s="188">
        <f>opex_orig!BG57</f>
        <v>2.48E-5</v>
      </c>
      <c r="BP57" s="188">
        <f>opex_orig!$BH57</f>
        <v>4.3935461311936801E-6</v>
      </c>
      <c r="BQ57" s="188">
        <f>opex_orig!$BH57</f>
        <v>4.3935461311936801E-6</v>
      </c>
      <c r="BR57" s="188">
        <f>opex_orig!BI57</f>
        <v>9.7699999999999996E-6</v>
      </c>
      <c r="BS57" s="188">
        <f>opex_orig!BJ57</f>
        <v>1.98E-5</v>
      </c>
      <c r="BT57" s="188">
        <f>opex_orig!BK57</f>
        <v>2.0100000000000001E-5</v>
      </c>
      <c r="BU57" s="188">
        <f>opex_orig!BL57</f>
        <v>0</v>
      </c>
      <c r="BV57" s="27">
        <f>opex_orig!BM57</f>
        <v>2.70075722413804E-3</v>
      </c>
      <c r="BW57" s="27">
        <f>opex_orig!BN57</f>
        <v>1.8960648684333099E-3</v>
      </c>
      <c r="BX57" s="27">
        <f>opex_orig!BO57</f>
        <v>1.2118898410348E-4</v>
      </c>
      <c r="BY57" s="27">
        <f>opex_orig!BP57</f>
        <v>6.9546815582337602E-5</v>
      </c>
      <c r="BZ57" s="27">
        <f>opex_orig!BQ57</f>
        <v>4.3495916827221997E-6</v>
      </c>
      <c r="CA57" s="27">
        <f>opex_orig!BR57</f>
        <v>6.43354914927067E-6</v>
      </c>
      <c r="CB57" s="27">
        <f>opex_orig!BS57</f>
        <v>1.6715674035697501E-4</v>
      </c>
      <c r="CC57" s="27">
        <f>opex_orig!BT57</f>
        <v>5.0329970030745099E-5</v>
      </c>
      <c r="CD57" s="27">
        <f>opex_orig!BU57</f>
        <v>1.45266253107806E-6</v>
      </c>
      <c r="CE57" s="27">
        <f>opex_orig!BV57</f>
        <v>1.45266253107806E-6</v>
      </c>
      <c r="CF57" s="27">
        <f>opex_orig!BW57</f>
        <v>6.2696329912800401E-6</v>
      </c>
      <c r="CG57" s="27">
        <f>opex_orig!BX57</f>
        <v>2.0933709933875098E-6</v>
      </c>
      <c r="CH57" s="27">
        <f>opex_orig!BY57</f>
        <v>3.6397631607324497E-5</v>
      </c>
      <c r="CI57" s="27">
        <f>opex_orig!Y57</f>
        <v>2.2730600000000001E-4</v>
      </c>
      <c r="CJ57" s="27">
        <f>opex_orig!Z57</f>
        <v>7.625672E-3</v>
      </c>
      <c r="CK57" s="27">
        <f>opex_orig!AA57</f>
        <v>6.4400000000000002E-6</v>
      </c>
      <c r="CL57" s="27">
        <f>opex_orig!AB57</f>
        <v>5.0701931124400803E-5</v>
      </c>
      <c r="CM57" s="27">
        <f>opex_orig!AC57</f>
        <v>1.95315726400779E-5</v>
      </c>
      <c r="CN57" s="27">
        <f>opex_orig!AD57</f>
        <v>1.5276177846295901E-4</v>
      </c>
      <c r="CO57" s="27">
        <f>opex_orig!AE57</f>
        <v>1.31738E-4</v>
      </c>
      <c r="CP57" s="27">
        <f>opex_orig!AF57</f>
        <v>6.2934199999999997E-4</v>
      </c>
    </row>
    <row r="58" spans="1:94" x14ac:dyDescent="0.25">
      <c r="A58" s="5" t="s">
        <v>135</v>
      </c>
      <c r="B58" s="2" t="s">
        <v>134</v>
      </c>
      <c r="C58" s="1" t="s">
        <v>328</v>
      </c>
      <c r="D58" s="188">
        <f>opex_orig!D58</f>
        <v>3.49639E-4</v>
      </c>
      <c r="E58" s="188">
        <f>opex_orig!E58</f>
        <v>8.5254700000000005E-4</v>
      </c>
      <c r="F58" s="188">
        <f>opex_orig!F58</f>
        <v>5.3366399999999999E-4</v>
      </c>
      <c r="G58" s="188">
        <f>opex_orig!G58</f>
        <v>4.0599999999999998E-5</v>
      </c>
      <c r="H58" s="188">
        <f>opex_orig!H58</f>
        <v>8.8900000000000006E-5</v>
      </c>
      <c r="I58" s="188">
        <f>opex_orig!I58</f>
        <v>2.9650900000000001E-3</v>
      </c>
      <c r="J58" s="188">
        <f>opex_orig!J58</f>
        <v>5.9709499999999996E-4</v>
      </c>
      <c r="K58" s="188">
        <f>opex_orig!K58</f>
        <v>1.3757299999999999E-4</v>
      </c>
      <c r="L58" s="188">
        <f>opex_orig!L58</f>
        <v>1.414715E-3</v>
      </c>
      <c r="M58" s="188">
        <f>opex_orig!M58</f>
        <v>5.3299200000000001E-3</v>
      </c>
      <c r="N58" s="188">
        <f>opex_orig!N58</f>
        <v>1.520354E-3</v>
      </c>
      <c r="O58" s="188">
        <f>opex_orig!O58</f>
        <v>1.1769630000000001E-3</v>
      </c>
      <c r="P58" s="188">
        <f>opex_orig!P58</f>
        <v>6.8948799999999999E-3</v>
      </c>
      <c r="Q58" s="188">
        <f>opex_orig!Q58</f>
        <v>2.5783099999999998E-4</v>
      </c>
      <c r="R58" s="188">
        <f>opex_orig!R58</f>
        <v>2.25539E-4</v>
      </c>
      <c r="S58" s="188">
        <f>opex_orig!S58</f>
        <v>1.7398180999999999E-2</v>
      </c>
      <c r="T58" s="188">
        <f>opex_orig!T58</f>
        <v>5.0012624999999998E-2</v>
      </c>
      <c r="U58" s="188">
        <f>opex_orig!U58</f>
        <v>1.3056167E-2</v>
      </c>
      <c r="V58" s="188">
        <f>opex_orig!V58</f>
        <v>2.5499939999999999E-3</v>
      </c>
      <c r="W58" s="188">
        <f>opex_orig!W58</f>
        <v>5.8057229999999996E-3</v>
      </c>
      <c r="X58" s="188">
        <f>opex_orig!X58</f>
        <v>1.6898659999999999E-3</v>
      </c>
      <c r="Y58" s="188">
        <f>opex_orig!Y58</f>
        <v>5.2560400000000005E-4</v>
      </c>
      <c r="Z58" s="188">
        <f>opex_orig!Z58</f>
        <v>3.0661302000000001E-2</v>
      </c>
      <c r="AA58" s="188">
        <f>opex_orig!AA58</f>
        <v>4.2551300000000002E-3</v>
      </c>
      <c r="AB58" s="275">
        <f>opex_concordance!M190</f>
        <v>1.8100147387346398E-2</v>
      </c>
      <c r="AC58" s="275">
        <f>opex_concordance!M235</f>
        <v>1.4376581818692953E-2</v>
      </c>
      <c r="AD58" s="275">
        <f>opex_concordance!M280</f>
        <v>0</v>
      </c>
      <c r="AE58" s="188">
        <f>opex_orig!$AC58</f>
        <v>7.0636463480509403E-4</v>
      </c>
      <c r="AF58" s="275">
        <f>opex_concordance!M313</f>
        <v>1.0076354723968201E-2</v>
      </c>
      <c r="AG58" s="275">
        <f>opex_concordance!M349</f>
        <v>0</v>
      </c>
      <c r="AH58" s="275">
        <f>opex_concordance!M385</f>
        <v>0</v>
      </c>
      <c r="AI58" s="188">
        <f>opex_orig!AE58</f>
        <v>8.353727E-3</v>
      </c>
      <c r="AJ58" s="188">
        <f>opex_orig!AF58</f>
        <v>3.0411033000000001E-2</v>
      </c>
      <c r="AK58" s="188">
        <f>opex_orig!AG58</f>
        <v>9.4488660000000002E-3</v>
      </c>
      <c r="AL58" s="188">
        <f>opex_orig!AH58</f>
        <v>2.7358199999999999E-3</v>
      </c>
      <c r="AM58" s="188">
        <f>opex_orig!AI58</f>
        <v>1.558739E-3</v>
      </c>
      <c r="AN58" s="188">
        <f>opex_orig!AJ58</f>
        <v>5.2255599999999998E-3</v>
      </c>
      <c r="AO58" s="188">
        <f>opex_orig!AK58</f>
        <v>2.8095210000000002E-3</v>
      </c>
      <c r="AP58" s="275">
        <f>opex_concordance!M425</f>
        <v>2.34426915369322E-3</v>
      </c>
      <c r="AQ58" s="275">
        <f>opex_concordance!M479</f>
        <v>1.5585334029448075E-3</v>
      </c>
      <c r="AR58" s="275">
        <f>opex_concordance!M533</f>
        <v>0</v>
      </c>
      <c r="AS58" s="188">
        <f>opex_orig!$AM58</f>
        <v>1.73896747510856E-3</v>
      </c>
      <c r="AT58" s="188">
        <f>opex_orig!AN58</f>
        <v>4.3709270000000001E-3</v>
      </c>
      <c r="AU58" s="263">
        <f>opex_concordance!$M$596</f>
        <v>7.5174037116861403E-3</v>
      </c>
      <c r="AV58" s="263">
        <f>opex_concordance!M642</f>
        <v>0</v>
      </c>
      <c r="AW58" s="263">
        <f>opex_concordance!M688</f>
        <v>2.8630154732560264E-3</v>
      </c>
      <c r="AX58" s="188">
        <f>opex_orig!$AP58</f>
        <v>3.0526107830822001E-3</v>
      </c>
      <c r="AY58" s="188">
        <f>opex_orig!AQ58</f>
        <v>8.6572609999999994E-3</v>
      </c>
      <c r="AZ58" s="188">
        <f>opex_orig!AR58</f>
        <v>0</v>
      </c>
      <c r="BA58" s="188">
        <f>opex_orig!AS58</f>
        <v>1.1072871E-2</v>
      </c>
      <c r="BB58" s="188">
        <f>opex_orig!AT58</f>
        <v>6.9431509999999998E-3</v>
      </c>
      <c r="BC58" s="188">
        <f>opex_orig!AU58</f>
        <v>3.1468220000000001E-3</v>
      </c>
      <c r="BD58" s="188">
        <f>opex_orig!AV58</f>
        <v>1.704119E-3</v>
      </c>
      <c r="BE58" s="188">
        <f>opex_orig!AW58</f>
        <v>7.5060190000000001E-3</v>
      </c>
      <c r="BF58" s="188">
        <f>opex_orig!AX58</f>
        <v>0</v>
      </c>
      <c r="BG58" s="188">
        <f>opex_orig!AY58</f>
        <v>4.0831940000000001E-3</v>
      </c>
      <c r="BH58" s="188">
        <f>opex_orig!AZ58</f>
        <v>0</v>
      </c>
      <c r="BI58" s="188">
        <f>opex_orig!BA58</f>
        <v>1.211258E-2</v>
      </c>
      <c r="BJ58" s="188">
        <f>opex_orig!BB58</f>
        <v>2.2453310000000001E-3</v>
      </c>
      <c r="BK58" s="188">
        <f>opex_orig!BC58</f>
        <v>2.655171E-3</v>
      </c>
      <c r="BL58" s="188">
        <f>opex_orig!BD58</f>
        <v>1.7289399999999999E-4</v>
      </c>
      <c r="BM58" s="188">
        <f>opex_orig!BE58</f>
        <v>4.8999999999999998E-5</v>
      </c>
      <c r="BN58" s="188">
        <f>opex_orig!BF58</f>
        <v>1.22397E-4</v>
      </c>
      <c r="BO58" s="188">
        <f>opex_orig!BG58</f>
        <v>1.3471259999999999E-3</v>
      </c>
      <c r="BP58" s="188">
        <f>opex_orig!$BH58</f>
        <v>4.9263064104649599E-3</v>
      </c>
      <c r="BQ58" s="188">
        <f>opex_orig!$BH58</f>
        <v>4.9263064104649599E-3</v>
      </c>
      <c r="BR58" s="188">
        <f>opex_orig!BI58</f>
        <v>1.0026329E-2</v>
      </c>
      <c r="BS58" s="188">
        <f>opex_orig!BJ58</f>
        <v>3.2166629999999998E-3</v>
      </c>
      <c r="BT58" s="188">
        <f>opex_orig!BK58</f>
        <v>3.352907E-3</v>
      </c>
      <c r="BU58" s="188">
        <f>opex_orig!BL58</f>
        <v>0</v>
      </c>
      <c r="BV58" s="27">
        <f>opex_orig!BM58</f>
        <v>2.1319106098944201E-2</v>
      </c>
      <c r="BW58" s="27">
        <f>opex_orig!BN58</f>
        <v>3.5737450313644802E-2</v>
      </c>
      <c r="BX58" s="27">
        <f>opex_orig!BO58</f>
        <v>1.61822773333319E-3</v>
      </c>
      <c r="BY58" s="27">
        <f>opex_orig!BP58</f>
        <v>3.62246427933385E-3</v>
      </c>
      <c r="BZ58" s="27">
        <f>opex_orig!BQ58</f>
        <v>4.66218174970602E-3</v>
      </c>
      <c r="CA58" s="27">
        <f>opex_orig!BR58</f>
        <v>2.3189251722962401E-3</v>
      </c>
      <c r="CB58" s="27">
        <f>opex_orig!BS58</f>
        <v>4.7973679957663398E-2</v>
      </c>
      <c r="CC58" s="27">
        <f>opex_orig!BT58</f>
        <v>1.52463947982011E-3</v>
      </c>
      <c r="CD58" s="27">
        <f>opex_orig!BU58</f>
        <v>3.6656889237918803E-5</v>
      </c>
      <c r="CE58" s="27">
        <f>opex_orig!BV58</f>
        <v>3.6656889237918803E-5</v>
      </c>
      <c r="CF58" s="27">
        <f>opex_orig!BW58</f>
        <v>1.37992280312749E-2</v>
      </c>
      <c r="CG58" s="27">
        <f>opex_orig!BX58</f>
        <v>5.5253008553262E-3</v>
      </c>
      <c r="CH58" s="27">
        <f>opex_orig!BY58</f>
        <v>4.0935277219958204E-3</v>
      </c>
      <c r="CI58" s="27">
        <f>opex_orig!Y58</f>
        <v>5.2560400000000005E-4</v>
      </c>
      <c r="CJ58" s="27">
        <f>opex_orig!Z58</f>
        <v>3.0661302000000001E-2</v>
      </c>
      <c r="CK58" s="27">
        <f>opex_orig!AA58</f>
        <v>4.2551300000000002E-3</v>
      </c>
      <c r="CL58" s="27">
        <f>opex_orig!AB58</f>
        <v>1.8100147387346398E-2</v>
      </c>
      <c r="CM58" s="27">
        <f>opex_orig!AC58</f>
        <v>7.0636463480509403E-4</v>
      </c>
      <c r="CN58" s="27">
        <f>opex_orig!AD58</f>
        <v>1.0076354723968201E-2</v>
      </c>
      <c r="CO58" s="27">
        <f>opex_orig!AE58</f>
        <v>8.353727E-3</v>
      </c>
      <c r="CP58" s="27">
        <f>opex_orig!AF58</f>
        <v>3.0411033000000001E-2</v>
      </c>
    </row>
    <row r="59" spans="1:94" x14ac:dyDescent="0.25">
      <c r="A59" s="6" t="s">
        <v>137</v>
      </c>
      <c r="B59" s="2" t="s">
        <v>136</v>
      </c>
      <c r="C59" s="1" t="s">
        <v>328</v>
      </c>
      <c r="D59" s="188">
        <f>opex_orig!D59</f>
        <v>2.6299999999999998E-6</v>
      </c>
      <c r="E59" s="188">
        <f>opex_orig!E59</f>
        <v>1.0100000000000001E-6</v>
      </c>
      <c r="F59" s="188">
        <f>opex_orig!F59</f>
        <v>1.5099999999999999E-6</v>
      </c>
      <c r="G59" s="188">
        <f>opex_orig!G59</f>
        <v>4.0400000000000002E-7</v>
      </c>
      <c r="H59" s="188">
        <f>opex_orig!H59</f>
        <v>6.5300000000000004E-7</v>
      </c>
      <c r="I59" s="188">
        <f>opex_orig!I59</f>
        <v>1.75E-6</v>
      </c>
      <c r="J59" s="188">
        <f>opex_orig!J59</f>
        <v>3.4699999999999998E-6</v>
      </c>
      <c r="K59" s="188">
        <f>opex_orig!K59</f>
        <v>9.1800000000000004E-7</v>
      </c>
      <c r="L59" s="188">
        <f>opex_orig!L59</f>
        <v>1.55E-6</v>
      </c>
      <c r="M59" s="188">
        <f>opex_orig!M59</f>
        <v>2.2699999999999999E-6</v>
      </c>
      <c r="N59" s="188">
        <f>opex_orig!N59</f>
        <v>4.1200000000000004E-6</v>
      </c>
      <c r="O59" s="188">
        <f>opex_orig!O59</f>
        <v>4.0099999999999997E-6</v>
      </c>
      <c r="P59" s="188">
        <f>opex_orig!P59</f>
        <v>4.1999999999999996E-6</v>
      </c>
      <c r="Q59" s="188">
        <f>opex_orig!Q59</f>
        <v>1.7099999999999999E-5</v>
      </c>
      <c r="R59" s="188">
        <f>opex_orig!R59</f>
        <v>3.9700000000000001E-6</v>
      </c>
      <c r="S59" s="188">
        <f>opex_orig!S59</f>
        <v>2.04E-6</v>
      </c>
      <c r="T59" s="188">
        <f>opex_orig!T59</f>
        <v>2.5000000000000002E-6</v>
      </c>
      <c r="U59" s="188">
        <f>opex_orig!U59</f>
        <v>3.0800000000000002E-6</v>
      </c>
      <c r="V59" s="188">
        <f>opex_orig!V59</f>
        <v>3.6399999999999999E-6</v>
      </c>
      <c r="W59" s="188">
        <f>opex_orig!W59</f>
        <v>8.6600000000000001E-6</v>
      </c>
      <c r="X59" s="188">
        <f>opex_orig!X59</f>
        <v>2.6900000000000001E-6</v>
      </c>
      <c r="Y59" s="188">
        <f>opex_orig!Y59</f>
        <v>1.9700000000000002E-6</v>
      </c>
      <c r="Z59" s="188">
        <f>opex_orig!Z59</f>
        <v>9.2899999999999995E-5</v>
      </c>
      <c r="AA59" s="188">
        <f>opex_orig!AA59</f>
        <v>2.9000000000000002E-6</v>
      </c>
      <c r="AB59" s="188">
        <f>opex_orig!$AB59</f>
        <v>2.3035570974855401E-5</v>
      </c>
      <c r="AC59" s="188">
        <f>opex_orig!$AB59</f>
        <v>2.3035570974855401E-5</v>
      </c>
      <c r="AD59" s="188">
        <f>opex_orig!$AB59</f>
        <v>2.3035570974855401E-5</v>
      </c>
      <c r="AE59" s="188">
        <f>opex_orig!$AC59</f>
        <v>5.3815745927251699E-6</v>
      </c>
      <c r="AF59" s="188">
        <f>opex_orig!$AD59</f>
        <v>4.2886752799363398E-6</v>
      </c>
      <c r="AG59" s="188">
        <f>opex_orig!$AD59</f>
        <v>4.2886752799363398E-6</v>
      </c>
      <c r="AH59" s="188">
        <f>opex_orig!$AD59</f>
        <v>4.2886752799363398E-6</v>
      </c>
      <c r="AI59" s="188">
        <f>opex_orig!AE59</f>
        <v>4.5499999999999996E-6</v>
      </c>
      <c r="AJ59" s="188">
        <f>opex_orig!AF59</f>
        <v>7.1400000000000001E-5</v>
      </c>
      <c r="AK59" s="188">
        <f>opex_orig!AG59</f>
        <v>2.9300000000000001E-5</v>
      </c>
      <c r="AL59" s="188">
        <f>opex_orig!AH59</f>
        <v>8.2400000000000007E-6</v>
      </c>
      <c r="AM59" s="188">
        <f>opex_orig!AI59</f>
        <v>3.3000000000000002E-6</v>
      </c>
      <c r="AN59" s="188">
        <f>opex_orig!AJ59</f>
        <v>3.0800000000000002E-6</v>
      </c>
      <c r="AO59" s="188">
        <f>opex_orig!AK59</f>
        <v>6.4400000000000002E-6</v>
      </c>
      <c r="AP59" s="188">
        <f>opex_orig!$AL59</f>
        <v>2.7468684002348399E-6</v>
      </c>
      <c r="AQ59" s="188">
        <f>opex_orig!$AL59</f>
        <v>2.7468684002348399E-6</v>
      </c>
      <c r="AR59" s="188">
        <f>opex_orig!$AL59</f>
        <v>2.7468684002348399E-6</v>
      </c>
      <c r="AS59" s="188">
        <f>opex_orig!$AM59</f>
        <v>2.7919358181402801E-6</v>
      </c>
      <c r="AT59" s="188">
        <f>opex_orig!AN59</f>
        <v>4.87E-6</v>
      </c>
      <c r="AU59" s="188">
        <f>opex_orig!$AO59</f>
        <v>2.7871509702314501E-6</v>
      </c>
      <c r="AV59" s="188">
        <f>opex_orig!$AO59</f>
        <v>2.7871509702314501E-6</v>
      </c>
      <c r="AW59" s="188">
        <f>opex_orig!$AO59</f>
        <v>2.7871509702314501E-6</v>
      </c>
      <c r="AX59" s="188">
        <f>opex_orig!$AP59</f>
        <v>3.2329102138211998E-6</v>
      </c>
      <c r="AY59" s="188">
        <f>opex_orig!AQ59</f>
        <v>2.48E-6</v>
      </c>
      <c r="AZ59" s="188">
        <f>opex_orig!AR59</f>
        <v>0</v>
      </c>
      <c r="BA59" s="188">
        <f>opex_orig!AS59</f>
        <v>6.8800000000000002E-6</v>
      </c>
      <c r="BB59" s="188">
        <f>opex_orig!AT59</f>
        <v>6.0700000000000003E-6</v>
      </c>
      <c r="BC59" s="188">
        <f>opex_orig!AU59</f>
        <v>6.5700000000000002E-7</v>
      </c>
      <c r="BD59" s="188">
        <f>opex_orig!AV59</f>
        <v>6.7100000000000001E-7</v>
      </c>
      <c r="BE59" s="188">
        <f>opex_orig!AW59</f>
        <v>1.11E-6</v>
      </c>
      <c r="BF59" s="188">
        <f>opex_orig!AX59</f>
        <v>0</v>
      </c>
      <c r="BG59" s="188">
        <f>opex_orig!AY59</f>
        <v>3.4300000000000002E-6</v>
      </c>
      <c r="BH59" s="188">
        <f>opex_orig!AZ59</f>
        <v>0</v>
      </c>
      <c r="BI59" s="188">
        <f>opex_orig!BA59</f>
        <v>1.9400000000000001E-6</v>
      </c>
      <c r="BJ59" s="188">
        <f>opex_orig!BB59</f>
        <v>2.0700000000000001E-6</v>
      </c>
      <c r="BK59" s="188">
        <f>opex_orig!BC59</f>
        <v>2.9799999999999998E-6</v>
      </c>
      <c r="BL59" s="188">
        <f>opex_orig!BD59</f>
        <v>4.3800000000000004E-6</v>
      </c>
      <c r="BM59" s="188">
        <f>opex_orig!BE59</f>
        <v>2.2800000000000002E-6</v>
      </c>
      <c r="BN59" s="188">
        <f>opex_orig!BF59</f>
        <v>1.79E-6</v>
      </c>
      <c r="BO59" s="188">
        <f>opex_orig!BG59</f>
        <v>9.4199999999999996E-6</v>
      </c>
      <c r="BP59" s="188">
        <f>opex_orig!$BH59</f>
        <v>3.1546004251581402E-6</v>
      </c>
      <c r="BQ59" s="188">
        <f>opex_orig!$BH59</f>
        <v>3.1546004251581402E-6</v>
      </c>
      <c r="BR59" s="188">
        <f>opex_orig!BI59</f>
        <v>5.6099999999999997E-6</v>
      </c>
      <c r="BS59" s="188">
        <f>opex_orig!BJ59</f>
        <v>3.2499999999999997E-5</v>
      </c>
      <c r="BT59" s="188">
        <f>opex_orig!BK59</f>
        <v>2.0999999999999998E-6</v>
      </c>
      <c r="BU59" s="188">
        <f>opex_orig!BL59</f>
        <v>0</v>
      </c>
      <c r="BV59" s="27">
        <f>opex_orig!BM59</f>
        <v>1.78881674279671E-6</v>
      </c>
      <c r="BW59" s="27">
        <f>opex_orig!BN59</f>
        <v>6.6871543100827701E-6</v>
      </c>
      <c r="BX59" s="27">
        <f>opex_orig!BO59</f>
        <v>5.9338267020359997E-7</v>
      </c>
      <c r="BY59" s="27">
        <f>opex_orig!BP59</f>
        <v>1.3757917746518099E-6</v>
      </c>
      <c r="BZ59" s="27">
        <f>opex_orig!BQ59</f>
        <v>2.0291544844026702E-6</v>
      </c>
      <c r="CA59" s="27">
        <f>opex_orig!BR59</f>
        <v>9.1168662518813795E-7</v>
      </c>
      <c r="CB59" s="27">
        <f>opex_orig!BS59</f>
        <v>7.7918217865726194E-6</v>
      </c>
      <c r="CC59" s="27">
        <f>opex_orig!BT59</f>
        <v>1.0818872342521899E-6</v>
      </c>
      <c r="CD59" s="27">
        <f>opex_orig!BU59</f>
        <v>7.0030807706871403E-7</v>
      </c>
      <c r="CE59" s="27">
        <f>opex_orig!BV59</f>
        <v>7.0030807706871604E-7</v>
      </c>
      <c r="CF59" s="27">
        <f>opex_orig!BW59</f>
        <v>1.9143971331686598E-5</v>
      </c>
      <c r="CG59" s="27">
        <f>opex_orig!BX59</f>
        <v>5.2627984442992702E-7</v>
      </c>
      <c r="CH59" s="27">
        <f>opex_orig!BY59</f>
        <v>1.9640144319646601E-5</v>
      </c>
      <c r="CI59" s="27">
        <f>opex_orig!Y59</f>
        <v>1.9700000000000002E-6</v>
      </c>
      <c r="CJ59" s="27">
        <f>opex_orig!Z59</f>
        <v>9.2899999999999995E-5</v>
      </c>
      <c r="CK59" s="27">
        <f>opex_orig!AA59</f>
        <v>2.9000000000000002E-6</v>
      </c>
      <c r="CL59" s="27">
        <f>opex_orig!AB59</f>
        <v>2.3035570974855401E-5</v>
      </c>
      <c r="CM59" s="27">
        <f>opex_orig!AC59</f>
        <v>5.3815745927251699E-6</v>
      </c>
      <c r="CN59" s="27">
        <f>opex_orig!AD59</f>
        <v>4.2886752799363398E-6</v>
      </c>
      <c r="CO59" s="27">
        <f>opex_orig!AE59</f>
        <v>4.5499999999999996E-6</v>
      </c>
      <c r="CP59" s="27">
        <f>opex_orig!AF59</f>
        <v>7.1400000000000001E-5</v>
      </c>
    </row>
    <row r="60" spans="1:94" x14ac:dyDescent="0.25">
      <c r="A60" s="5" t="s">
        <v>139</v>
      </c>
      <c r="B60" s="2" t="s">
        <v>138</v>
      </c>
      <c r="C60" s="1" t="s">
        <v>328</v>
      </c>
      <c r="D60" s="188">
        <f>opex_orig!D60</f>
        <v>6.67933E-4</v>
      </c>
      <c r="E60" s="188">
        <f>opex_orig!E60</f>
        <v>1.7340000000000001E-4</v>
      </c>
      <c r="F60" s="188">
        <f>opex_orig!F60</f>
        <v>2.8112299999999998E-4</v>
      </c>
      <c r="G60" s="188">
        <f>opex_orig!G60</f>
        <v>1.8199999999999999E-5</v>
      </c>
      <c r="H60" s="188">
        <f>opex_orig!H60</f>
        <v>2.8500000000000002E-5</v>
      </c>
      <c r="I60" s="188">
        <f>opex_orig!I60</f>
        <v>4.1183600000000001E-4</v>
      </c>
      <c r="J60" s="188">
        <f>opex_orig!J60</f>
        <v>2.4793200000000002E-4</v>
      </c>
      <c r="K60" s="188">
        <f>opex_orig!K60</f>
        <v>3.96E-5</v>
      </c>
      <c r="L60" s="188">
        <f>opex_orig!L60</f>
        <v>7.8949200000000004E-4</v>
      </c>
      <c r="M60" s="188">
        <f>opex_orig!M60</f>
        <v>5.5116799999999999E-4</v>
      </c>
      <c r="N60" s="188">
        <f>opex_orig!N60</f>
        <v>3.5533500000000003E-4</v>
      </c>
      <c r="O60" s="188">
        <f>opex_orig!O60</f>
        <v>1.51571E-4</v>
      </c>
      <c r="P60" s="188">
        <f>opex_orig!P60</f>
        <v>1.1043579999999999E-3</v>
      </c>
      <c r="Q60" s="188">
        <f>opex_orig!Q60</f>
        <v>3.1487600000000001E-4</v>
      </c>
      <c r="R60" s="188">
        <f>opex_orig!R60</f>
        <v>1.7837350000000001E-3</v>
      </c>
      <c r="S60" s="188">
        <f>opex_orig!S60</f>
        <v>7.4991999999999995E-4</v>
      </c>
      <c r="T60" s="188">
        <f>opex_orig!T60</f>
        <v>1.975493E-3</v>
      </c>
      <c r="U60" s="188">
        <f>opex_orig!U60</f>
        <v>6.3739999999999999E-4</v>
      </c>
      <c r="V60" s="188">
        <f>opex_orig!V60</f>
        <v>2.5824000000000002E-4</v>
      </c>
      <c r="W60" s="188">
        <f>opex_orig!W60</f>
        <v>5.4050699999999997E-4</v>
      </c>
      <c r="X60" s="188">
        <f>opex_orig!X60</f>
        <v>1.5813399999999999E-4</v>
      </c>
      <c r="Y60" s="188">
        <f>opex_orig!Y60</f>
        <v>1.15771E-4</v>
      </c>
      <c r="Z60" s="188">
        <f>opex_orig!Z60</f>
        <v>8.2948600000000005E-4</v>
      </c>
      <c r="AA60" s="188">
        <f>opex_orig!AA60</f>
        <v>3.0122900000000003E-4</v>
      </c>
      <c r="AB60" s="188">
        <f>opex_orig!$AB60</f>
        <v>2.74641458508856E-3</v>
      </c>
      <c r="AC60" s="188">
        <f>opex_orig!$AB60</f>
        <v>2.74641458508856E-3</v>
      </c>
      <c r="AD60" s="188">
        <f>opex_orig!$AB60</f>
        <v>2.74641458508856E-3</v>
      </c>
      <c r="AE60" s="188">
        <f>opex_orig!$AC60</f>
        <v>1.8051052786372299E-4</v>
      </c>
      <c r="AF60" s="188">
        <f>opex_orig!$AD60</f>
        <v>2.3318204953814601E-4</v>
      </c>
      <c r="AG60" s="188">
        <f>opex_orig!$AD60</f>
        <v>2.3318204953814601E-4</v>
      </c>
      <c r="AH60" s="188">
        <f>opex_orig!$AD60</f>
        <v>2.3318204953814601E-4</v>
      </c>
      <c r="AI60" s="188">
        <f>opex_orig!AE60</f>
        <v>2.2604E-4</v>
      </c>
      <c r="AJ60" s="188">
        <f>opex_orig!AF60</f>
        <v>1.371061E-3</v>
      </c>
      <c r="AK60" s="188">
        <f>opex_orig!AG60</f>
        <v>3.4494359000000002E-2</v>
      </c>
      <c r="AL60" s="188">
        <f>opex_orig!AH60</f>
        <v>1.3918240000000001E-3</v>
      </c>
      <c r="AM60" s="188">
        <f>opex_orig!AI60</f>
        <v>5.1977299999999996E-4</v>
      </c>
      <c r="AN60" s="188">
        <f>opex_orig!AJ60</f>
        <v>8.9079299999999997E-4</v>
      </c>
      <c r="AO60" s="188">
        <f>opex_orig!AK60</f>
        <v>6.9748200000000003E-4</v>
      </c>
      <c r="AP60" s="188">
        <f>opex_orig!$AL60</f>
        <v>4.5322454034917102E-4</v>
      </c>
      <c r="AQ60" s="188">
        <f>opex_orig!$AL60</f>
        <v>4.5322454034917102E-4</v>
      </c>
      <c r="AR60" s="188">
        <f>opex_orig!$AL60</f>
        <v>4.5322454034917102E-4</v>
      </c>
      <c r="AS60" s="188">
        <f>opex_orig!$AM60</f>
        <v>3.9307995506851598E-4</v>
      </c>
      <c r="AT60" s="188">
        <f>opex_orig!AN60</f>
        <v>6.8642799999999999E-4</v>
      </c>
      <c r="AU60" s="188">
        <f>opex_orig!$AO60</f>
        <v>1.05313432756342E-3</v>
      </c>
      <c r="AV60" s="188">
        <f>opex_orig!$AO60</f>
        <v>1.05313432756342E-3</v>
      </c>
      <c r="AW60" s="188">
        <f>opex_orig!$AO60</f>
        <v>1.05313432756342E-3</v>
      </c>
      <c r="AX60" s="188">
        <f>opex_orig!$AP60</f>
        <v>1.0170372084702601E-3</v>
      </c>
      <c r="AY60" s="188">
        <f>opex_orig!AQ60</f>
        <v>6.1701900000000001E-4</v>
      </c>
      <c r="AZ60" s="188">
        <f>opex_orig!AR60</f>
        <v>0</v>
      </c>
      <c r="BA60" s="188">
        <f>opex_orig!AS60</f>
        <v>1.0619099999999999E-3</v>
      </c>
      <c r="BB60" s="188">
        <f>opex_orig!AT60</f>
        <v>9.7941400000000007E-4</v>
      </c>
      <c r="BC60" s="188">
        <f>opex_orig!AU60</f>
        <v>5.7246900000000004E-4</v>
      </c>
      <c r="BD60" s="188">
        <f>opex_orig!AV60</f>
        <v>5.0809499999999997E-4</v>
      </c>
      <c r="BE60" s="188">
        <f>opex_orig!AW60</f>
        <v>2.3883820000000001E-3</v>
      </c>
      <c r="BF60" s="188">
        <f>opex_orig!AX60</f>
        <v>0</v>
      </c>
      <c r="BG60" s="188">
        <f>opex_orig!AY60</f>
        <v>7.8992999999999999E-4</v>
      </c>
      <c r="BH60" s="188">
        <f>opex_orig!AZ60</f>
        <v>0</v>
      </c>
      <c r="BI60" s="188">
        <f>opex_orig!BA60</f>
        <v>1.199206E-3</v>
      </c>
      <c r="BJ60" s="188">
        <f>opex_orig!BB60</f>
        <v>8.8826900000000002E-4</v>
      </c>
      <c r="BK60" s="188">
        <f>opex_orig!BC60</f>
        <v>7.3857800000000004E-4</v>
      </c>
      <c r="BL60" s="188">
        <f>opex_orig!BD60</f>
        <v>2.43537E-4</v>
      </c>
      <c r="BM60" s="188">
        <f>opex_orig!BE60</f>
        <v>8.9051099999999997E-4</v>
      </c>
      <c r="BN60" s="188">
        <f>opex_orig!BF60</f>
        <v>2.744E-4</v>
      </c>
      <c r="BO60" s="188">
        <f>opex_orig!BG60</f>
        <v>6.032417E-3</v>
      </c>
      <c r="BP60" s="188">
        <f>opex_orig!$BH60</f>
        <v>1.39496795408732E-3</v>
      </c>
      <c r="BQ60" s="188">
        <f>opex_orig!$BH60</f>
        <v>1.39496795408732E-3</v>
      </c>
      <c r="BR60" s="188">
        <f>opex_orig!BI60</f>
        <v>1.867182E-3</v>
      </c>
      <c r="BS60" s="188">
        <f>opex_orig!BJ60</f>
        <v>1.1144670000000001E-3</v>
      </c>
      <c r="BT60" s="188">
        <f>opex_orig!BK60</f>
        <v>1.181252E-3</v>
      </c>
      <c r="BU60" s="188">
        <f>opex_orig!BL60</f>
        <v>0</v>
      </c>
      <c r="BV60" s="27">
        <f>opex_orig!BM60</f>
        <v>6.6060886988295302E-4</v>
      </c>
      <c r="BW60" s="27">
        <f>opex_orig!BN60</f>
        <v>7.9640599616999505E-4</v>
      </c>
      <c r="BX60" s="27">
        <f>opex_orig!BO60</f>
        <v>1.16114906208781E-4</v>
      </c>
      <c r="BY60" s="27">
        <f>opex_orig!BP60</f>
        <v>1.2234258444525101E-4</v>
      </c>
      <c r="BZ60" s="27">
        <f>opex_orig!BQ60</f>
        <v>1.5401264134124999E-4</v>
      </c>
      <c r="CA60" s="27">
        <f>opex_orig!BR60</f>
        <v>6.1845153533328704E-4</v>
      </c>
      <c r="CB60" s="27">
        <f>opex_orig!BS60</f>
        <v>1.00108131127593E-3</v>
      </c>
      <c r="CC60" s="27">
        <f>opex_orig!BT60</f>
        <v>5.6756898382202099E-4</v>
      </c>
      <c r="CD60" s="27">
        <f>opex_orig!BU60</f>
        <v>4.2670321915005601E-5</v>
      </c>
      <c r="CE60" s="27">
        <f>opex_orig!BV60</f>
        <v>4.2670321915005601E-5</v>
      </c>
      <c r="CF60" s="27">
        <f>opex_orig!BW60</f>
        <v>9.6576122534843998E-4</v>
      </c>
      <c r="CG60" s="27">
        <f>opex_orig!BX60</f>
        <v>7.5078872819267194E-5</v>
      </c>
      <c r="CH60" s="27">
        <f>opex_orig!BY60</f>
        <v>1.5632259048804201E-4</v>
      </c>
      <c r="CI60" s="27">
        <f>opex_orig!Y60</f>
        <v>1.15771E-4</v>
      </c>
      <c r="CJ60" s="27">
        <f>opex_orig!Z60</f>
        <v>8.2948600000000005E-4</v>
      </c>
      <c r="CK60" s="27">
        <f>opex_orig!AA60</f>
        <v>3.0122900000000003E-4</v>
      </c>
      <c r="CL60" s="27">
        <f>opex_orig!AB60</f>
        <v>2.74641458508856E-3</v>
      </c>
      <c r="CM60" s="27">
        <f>opex_orig!AC60</f>
        <v>1.8051052786372299E-4</v>
      </c>
      <c r="CN60" s="27">
        <f>opex_orig!AD60</f>
        <v>2.3318204953814601E-4</v>
      </c>
      <c r="CO60" s="27">
        <f>opex_orig!AE60</f>
        <v>2.2604E-4</v>
      </c>
      <c r="CP60" s="27">
        <f>opex_orig!AF60</f>
        <v>1.371061E-3</v>
      </c>
    </row>
    <row r="61" spans="1:94" x14ac:dyDescent="0.25">
      <c r="A61" s="5" t="s">
        <v>141</v>
      </c>
      <c r="B61" s="2" t="s">
        <v>140</v>
      </c>
      <c r="C61" s="1" t="s">
        <v>328</v>
      </c>
      <c r="D61" s="188">
        <f>opex_orig!D61</f>
        <v>1.69424E-4</v>
      </c>
      <c r="E61" s="188">
        <f>opex_orig!E61</f>
        <v>4.3000000000000002E-5</v>
      </c>
      <c r="F61" s="188">
        <f>opex_orig!F61</f>
        <v>7.7799999999999994E-5</v>
      </c>
      <c r="G61" s="188">
        <f>opex_orig!G61</f>
        <v>8.0399999999999993E-6</v>
      </c>
      <c r="H61" s="188">
        <f>opex_orig!H61</f>
        <v>1.2799999999999999E-5</v>
      </c>
      <c r="I61" s="188">
        <f>opex_orig!I61</f>
        <v>1.05481E-4</v>
      </c>
      <c r="J61" s="188">
        <f>opex_orig!J61</f>
        <v>1.02363E-4</v>
      </c>
      <c r="K61" s="188">
        <f>opex_orig!K61</f>
        <v>1.5E-5</v>
      </c>
      <c r="L61" s="188">
        <f>opex_orig!L61</f>
        <v>2.3843599999999999E-4</v>
      </c>
      <c r="M61" s="188">
        <f>opex_orig!M61</f>
        <v>1.4183699999999999E-4</v>
      </c>
      <c r="N61" s="188">
        <f>opex_orig!N61</f>
        <v>1.1726300000000001E-4</v>
      </c>
      <c r="O61" s="188">
        <f>opex_orig!O61</f>
        <v>5.2800000000000003E-5</v>
      </c>
      <c r="P61" s="188">
        <f>opex_orig!P61</f>
        <v>2.9399899999999997E-4</v>
      </c>
      <c r="Q61" s="188">
        <f>opex_orig!Q61</f>
        <v>8.53E-5</v>
      </c>
      <c r="R61" s="188">
        <f>opex_orig!R61</f>
        <v>4.5355699999999999E-4</v>
      </c>
      <c r="S61" s="188">
        <f>opex_orig!S61</f>
        <v>1.3631900000000001E-4</v>
      </c>
      <c r="T61" s="188">
        <f>opex_orig!T61</f>
        <v>3.5237700000000002E-4</v>
      </c>
      <c r="U61" s="188">
        <f>opex_orig!U61</f>
        <v>1.05369E-4</v>
      </c>
      <c r="V61" s="188">
        <f>opex_orig!V61</f>
        <v>3.9799999999999998E-5</v>
      </c>
      <c r="W61" s="188">
        <f>opex_orig!W61</f>
        <v>1.0970400000000001E-4</v>
      </c>
      <c r="X61" s="188">
        <f>opex_orig!X61</f>
        <v>4.1499999999999999E-5</v>
      </c>
      <c r="Y61" s="188">
        <f>opex_orig!Y61</f>
        <v>3.4199999999999998E-5</v>
      </c>
      <c r="Z61" s="188">
        <f>opex_orig!Z61</f>
        <v>1.6936300000000001E-4</v>
      </c>
      <c r="AA61" s="188">
        <f>opex_orig!AA61</f>
        <v>6.3399999999999996E-5</v>
      </c>
      <c r="AB61" s="188">
        <f>opex_orig!$AB61</f>
        <v>9.6366873017324E-4</v>
      </c>
      <c r="AC61" s="188">
        <f>opex_orig!$AB61</f>
        <v>9.6366873017324E-4</v>
      </c>
      <c r="AD61" s="188">
        <f>opex_orig!$AB61</f>
        <v>9.6366873017324E-4</v>
      </c>
      <c r="AE61" s="188">
        <f>opex_orig!$AC61</f>
        <v>4.5551682436794403E-5</v>
      </c>
      <c r="AF61" s="188">
        <f>opex_orig!$AD61</f>
        <v>1.00997476064826E-4</v>
      </c>
      <c r="AG61" s="188">
        <f>opex_orig!$AD61</f>
        <v>1.00997476064826E-4</v>
      </c>
      <c r="AH61" s="188">
        <f>opex_orig!$AD61</f>
        <v>1.00997476064826E-4</v>
      </c>
      <c r="AI61" s="188">
        <f>opex_orig!AE61</f>
        <v>1.06333E-4</v>
      </c>
      <c r="AJ61" s="188">
        <f>opex_orig!AF61</f>
        <v>3.5700400000000001E-4</v>
      </c>
      <c r="AK61" s="188">
        <f>opex_orig!AG61</f>
        <v>8.4426650000000002E-3</v>
      </c>
      <c r="AL61" s="188">
        <f>opex_orig!AH61</f>
        <v>3.1271499999999998E-4</v>
      </c>
      <c r="AM61" s="188">
        <f>opex_orig!AI61</f>
        <v>1.1425399999999999E-4</v>
      </c>
      <c r="AN61" s="188">
        <f>opex_orig!AJ61</f>
        <v>3.02081E-4</v>
      </c>
      <c r="AO61" s="188">
        <f>opex_orig!AK61</f>
        <v>1.74067E-4</v>
      </c>
      <c r="AP61" s="188">
        <f>opex_orig!$AL61</f>
        <v>1.2532868247595099E-4</v>
      </c>
      <c r="AQ61" s="188">
        <f>opex_orig!$AL61</f>
        <v>1.2532868247595099E-4</v>
      </c>
      <c r="AR61" s="188">
        <f>opex_orig!$AL61</f>
        <v>1.2532868247595099E-4</v>
      </c>
      <c r="AS61" s="188">
        <f>opex_orig!$AM61</f>
        <v>1.08183551452827E-4</v>
      </c>
      <c r="AT61" s="188">
        <f>opex_orig!AN61</f>
        <v>1.6002200000000001E-4</v>
      </c>
      <c r="AU61" s="188">
        <f>opex_orig!$AO61</f>
        <v>2.1179003477712899E-4</v>
      </c>
      <c r="AV61" s="188">
        <f>opex_orig!$AO61</f>
        <v>2.1179003477712899E-4</v>
      </c>
      <c r="AW61" s="188">
        <f>opex_orig!$AO61</f>
        <v>2.1179003477712899E-4</v>
      </c>
      <c r="AX61" s="188">
        <f>opex_orig!$AP61</f>
        <v>1.61569698691782E-4</v>
      </c>
      <c r="AY61" s="188">
        <f>opex_orig!AQ61</f>
        <v>1.1877100000000001E-4</v>
      </c>
      <c r="AZ61" s="188">
        <f>opex_orig!AR61</f>
        <v>0</v>
      </c>
      <c r="BA61" s="188">
        <f>opex_orig!AS61</f>
        <v>2.10664E-4</v>
      </c>
      <c r="BB61" s="188">
        <f>opex_orig!AT61</f>
        <v>1.9118499999999999E-4</v>
      </c>
      <c r="BC61" s="188">
        <f>opex_orig!AU61</f>
        <v>9.7700000000000003E-5</v>
      </c>
      <c r="BD61" s="188">
        <f>opex_orig!AV61</f>
        <v>7.3800000000000005E-5</v>
      </c>
      <c r="BE61" s="188">
        <f>opex_orig!AW61</f>
        <v>3.5235099999999999E-4</v>
      </c>
      <c r="BF61" s="188">
        <f>opex_orig!AX61</f>
        <v>0</v>
      </c>
      <c r="BG61" s="188">
        <f>opex_orig!AY61</f>
        <v>1.4966099999999999E-4</v>
      </c>
      <c r="BH61" s="188">
        <f>opex_orig!AZ61</f>
        <v>0</v>
      </c>
      <c r="BI61" s="188">
        <f>opex_orig!BA61</f>
        <v>2.7674600000000002E-4</v>
      </c>
      <c r="BJ61" s="188">
        <f>opex_orig!BB61</f>
        <v>1.5855900000000001E-4</v>
      </c>
      <c r="BK61" s="188">
        <f>opex_orig!BC61</f>
        <v>1.51688E-4</v>
      </c>
      <c r="BL61" s="188">
        <f>opex_orig!BD61</f>
        <v>8.3800000000000004E-5</v>
      </c>
      <c r="BM61" s="188">
        <f>opex_orig!BE61</f>
        <v>1.6090700000000001E-4</v>
      </c>
      <c r="BN61" s="188">
        <f>opex_orig!BF61</f>
        <v>5.2099999999999999E-5</v>
      </c>
      <c r="BO61" s="188">
        <f>opex_orig!BG61</f>
        <v>1.461831E-3</v>
      </c>
      <c r="BP61" s="188">
        <f>opex_orig!$BH61</f>
        <v>2.6728887936949098E-4</v>
      </c>
      <c r="BQ61" s="188">
        <f>opex_orig!$BH61</f>
        <v>2.6728887936949098E-4</v>
      </c>
      <c r="BR61" s="188">
        <f>opex_orig!BI61</f>
        <v>3.2693799999999998E-4</v>
      </c>
      <c r="BS61" s="188">
        <f>opex_orig!BJ61</f>
        <v>2.2493799999999999E-4</v>
      </c>
      <c r="BT61" s="188">
        <f>opex_orig!BK61</f>
        <v>1.8333100000000001E-4</v>
      </c>
      <c r="BU61" s="188">
        <f>opex_orig!BL61</f>
        <v>0</v>
      </c>
      <c r="BV61" s="27">
        <f>opex_orig!BM61</f>
        <v>1.1450592559892401E-4</v>
      </c>
      <c r="BW61" s="27">
        <f>opex_orig!BN61</f>
        <v>1.6527118723265501E-4</v>
      </c>
      <c r="BX61" s="27">
        <f>opex_orig!BO61</f>
        <v>1.9854795981337398E-5</v>
      </c>
      <c r="BY61" s="27">
        <f>opex_orig!BP61</f>
        <v>2.16297228246114E-5</v>
      </c>
      <c r="BZ61" s="27">
        <f>opex_orig!BQ61</f>
        <v>2.8575484122851399E-5</v>
      </c>
      <c r="CA61" s="27">
        <f>opex_orig!BR61</f>
        <v>1.2335228716961599E-4</v>
      </c>
      <c r="CB61" s="27">
        <f>opex_orig!BS61</f>
        <v>2.4776177915542197E-4</v>
      </c>
      <c r="CC61" s="27">
        <f>opex_orig!BT61</f>
        <v>2.07028831622179E-4</v>
      </c>
      <c r="CD61" s="27">
        <f>opex_orig!BU61</f>
        <v>7.110562456741E-6</v>
      </c>
      <c r="CE61" s="27">
        <f>opex_orig!BV61</f>
        <v>7.1105624567410203E-6</v>
      </c>
      <c r="CF61" s="27">
        <f>opex_orig!BW61</f>
        <v>2.21880660668432E-4</v>
      </c>
      <c r="CG61" s="27">
        <f>opex_orig!BX61</f>
        <v>3.03301508235472E-5</v>
      </c>
      <c r="CH61" s="27">
        <f>opex_orig!BY61</f>
        <v>9.3823046656833507E-5</v>
      </c>
      <c r="CI61" s="27">
        <f>opex_orig!Y61</f>
        <v>3.4199999999999998E-5</v>
      </c>
      <c r="CJ61" s="27">
        <f>opex_orig!Z61</f>
        <v>1.6936300000000001E-4</v>
      </c>
      <c r="CK61" s="27">
        <f>opex_orig!AA61</f>
        <v>6.3399999999999996E-5</v>
      </c>
      <c r="CL61" s="27">
        <f>opex_orig!AB61</f>
        <v>9.6366873017324E-4</v>
      </c>
      <c r="CM61" s="27">
        <f>opex_orig!AC61</f>
        <v>4.5551682436794403E-5</v>
      </c>
      <c r="CN61" s="27">
        <f>opex_orig!AD61</f>
        <v>1.00997476064826E-4</v>
      </c>
      <c r="CO61" s="27">
        <f>opex_orig!AE61</f>
        <v>1.06333E-4</v>
      </c>
      <c r="CP61" s="27">
        <f>opex_orig!AF61</f>
        <v>3.5700400000000001E-4</v>
      </c>
    </row>
    <row r="62" spans="1:94" x14ac:dyDescent="0.25">
      <c r="A62" s="5" t="s">
        <v>143</v>
      </c>
      <c r="B62" s="2" t="s">
        <v>142</v>
      </c>
      <c r="C62" s="1" t="s">
        <v>328</v>
      </c>
      <c r="D62" s="188">
        <f>opex_orig!D62</f>
        <v>5.1600000000000001E-5</v>
      </c>
      <c r="E62" s="188">
        <f>opex_orig!E62</f>
        <v>2.87E-5</v>
      </c>
      <c r="F62" s="188">
        <f>opex_orig!F62</f>
        <v>3.01E-5</v>
      </c>
      <c r="G62" s="188">
        <f>opex_orig!G62</f>
        <v>6.6100000000000002E-6</v>
      </c>
      <c r="H62" s="188">
        <f>opex_orig!H62</f>
        <v>9.9499999999999996E-6</v>
      </c>
      <c r="I62" s="188">
        <f>opex_orig!I62</f>
        <v>5.5500000000000001E-5</v>
      </c>
      <c r="J62" s="188">
        <f>opex_orig!J62</f>
        <v>1.2097200000000001E-4</v>
      </c>
      <c r="K62" s="188">
        <f>opex_orig!K62</f>
        <v>2.16E-5</v>
      </c>
      <c r="L62" s="188">
        <f>opex_orig!L62</f>
        <v>5.5699999999999999E-5</v>
      </c>
      <c r="M62" s="188">
        <f>opex_orig!M62</f>
        <v>1.3172699999999999E-4</v>
      </c>
      <c r="N62" s="188">
        <f>opex_orig!N62</f>
        <v>9.1299999999999997E-5</v>
      </c>
      <c r="O62" s="188">
        <f>opex_orig!O62</f>
        <v>6.2399999999999999E-5</v>
      </c>
      <c r="P62" s="188">
        <f>opex_orig!P62</f>
        <v>1.6399399999999999E-4</v>
      </c>
      <c r="Q62" s="188">
        <f>opex_orig!Q62</f>
        <v>1.02242E-4</v>
      </c>
      <c r="R62" s="188">
        <f>opex_orig!R62</f>
        <v>7.7200000000000006E-5</v>
      </c>
      <c r="S62" s="188">
        <f>opex_orig!S62</f>
        <v>1.08891E-4</v>
      </c>
      <c r="T62" s="188">
        <f>opex_orig!T62</f>
        <v>1.66902E-4</v>
      </c>
      <c r="U62" s="188">
        <f>opex_orig!U62</f>
        <v>1.14096E-4</v>
      </c>
      <c r="V62" s="188">
        <f>opex_orig!V62</f>
        <v>1.03101E-4</v>
      </c>
      <c r="W62" s="188">
        <f>opex_orig!W62</f>
        <v>5.7500000000000002E-5</v>
      </c>
      <c r="X62" s="188">
        <f>opex_orig!X62</f>
        <v>3.9499999999999998E-5</v>
      </c>
      <c r="Y62" s="188">
        <f>opex_orig!Y62</f>
        <v>5.8100000000000003E-5</v>
      </c>
      <c r="Z62" s="188">
        <f>opex_orig!Z62</f>
        <v>2.2184E-4</v>
      </c>
      <c r="AA62" s="188">
        <f>opex_orig!AA62</f>
        <v>8.4099999999999998E-5</v>
      </c>
      <c r="AB62" s="188">
        <f>opex_orig!$AB62</f>
        <v>6.1390243049706006E-5</v>
      </c>
      <c r="AC62" s="188">
        <f>opex_orig!$AB62</f>
        <v>6.1390243049706006E-5</v>
      </c>
      <c r="AD62" s="188">
        <f>opex_orig!$AB62</f>
        <v>6.1390243049706006E-5</v>
      </c>
      <c r="AE62" s="188">
        <f>opex_orig!$AC62</f>
        <v>1.3443519230375001E-3</v>
      </c>
      <c r="AF62" s="188">
        <f>opex_orig!$AD62</f>
        <v>7.0135231819952806E-5</v>
      </c>
      <c r="AG62" s="188">
        <f>opex_orig!$AD62</f>
        <v>7.0135231819952806E-5</v>
      </c>
      <c r="AH62" s="188">
        <f>opex_orig!$AD62</f>
        <v>7.0135231819952806E-5</v>
      </c>
      <c r="AI62" s="188">
        <f>opex_orig!AE62</f>
        <v>5.6199999999999997E-5</v>
      </c>
      <c r="AJ62" s="188">
        <f>opex_orig!AF62</f>
        <v>7.2746900000000001E-4</v>
      </c>
      <c r="AK62" s="188">
        <f>opex_orig!AG62</f>
        <v>1.07522E-4</v>
      </c>
      <c r="AL62" s="188">
        <f>opex_orig!AH62</f>
        <v>4.7899999999999999E-5</v>
      </c>
      <c r="AM62" s="188">
        <f>opex_orig!AI62</f>
        <v>7.5799999999999999E-5</v>
      </c>
      <c r="AN62" s="188">
        <f>opex_orig!AJ62</f>
        <v>2.9899999999999998E-5</v>
      </c>
      <c r="AO62" s="188">
        <f>opex_orig!AK62</f>
        <v>5.41E-5</v>
      </c>
      <c r="AP62" s="188">
        <f>opex_orig!$AL62</f>
        <v>4.6043226735265301E-5</v>
      </c>
      <c r="AQ62" s="188">
        <f>opex_orig!$AL62</f>
        <v>4.6043226735265301E-5</v>
      </c>
      <c r="AR62" s="188">
        <f>opex_orig!$AL62</f>
        <v>4.6043226735265301E-5</v>
      </c>
      <c r="AS62" s="188">
        <f>opex_orig!$AM62</f>
        <v>4.4150210703221502E-5</v>
      </c>
      <c r="AT62" s="188">
        <f>opex_orig!AN62</f>
        <v>2.02442E-4</v>
      </c>
      <c r="AU62" s="188">
        <f>opex_orig!$AO62</f>
        <v>1.5491978302724501E-4</v>
      </c>
      <c r="AV62" s="188">
        <f>opex_orig!$AO62</f>
        <v>1.5491978302724501E-4</v>
      </c>
      <c r="AW62" s="188">
        <f>opex_orig!$AO62</f>
        <v>1.5491978302724501E-4</v>
      </c>
      <c r="AX62" s="188">
        <f>opex_orig!$AP62</f>
        <v>8.5891404787344101E-5</v>
      </c>
      <c r="AY62" s="188">
        <f>opex_orig!AQ62</f>
        <v>1.16259E-4</v>
      </c>
      <c r="AZ62" s="188">
        <f>opex_orig!AR62</f>
        <v>0</v>
      </c>
      <c r="BA62" s="188">
        <f>opex_orig!AS62</f>
        <v>1.09953E-4</v>
      </c>
      <c r="BB62" s="188">
        <f>opex_orig!AT62</f>
        <v>8.3700000000000002E-5</v>
      </c>
      <c r="BC62" s="188">
        <f>opex_orig!AU62</f>
        <v>3.2700000000000002E-5</v>
      </c>
      <c r="BD62" s="188">
        <f>opex_orig!AV62</f>
        <v>3.15E-5</v>
      </c>
      <c r="BE62" s="188">
        <f>opex_orig!AW62</f>
        <v>1.4433E-4</v>
      </c>
      <c r="BF62" s="188">
        <f>opex_orig!AX62</f>
        <v>0</v>
      </c>
      <c r="BG62" s="188">
        <f>opex_orig!AY62</f>
        <v>2.6991500000000002E-4</v>
      </c>
      <c r="BH62" s="188">
        <f>opex_orig!AZ62</f>
        <v>0</v>
      </c>
      <c r="BI62" s="188">
        <f>opex_orig!BA62</f>
        <v>9.8499999999999995E-5</v>
      </c>
      <c r="BJ62" s="188">
        <f>opex_orig!BB62</f>
        <v>5.4599999999999999E-5</v>
      </c>
      <c r="BK62" s="188">
        <f>opex_orig!BC62</f>
        <v>7.7100000000000004E-5</v>
      </c>
      <c r="BL62" s="188">
        <f>opex_orig!BD62</f>
        <v>1.2999999999999999E-5</v>
      </c>
      <c r="BM62" s="188">
        <f>opex_orig!BE62</f>
        <v>7.6899999999999999E-5</v>
      </c>
      <c r="BN62" s="188">
        <f>opex_orig!BF62</f>
        <v>1.7E-5</v>
      </c>
      <c r="BO62" s="188">
        <f>opex_orig!BG62</f>
        <v>8.0099999999999995E-5</v>
      </c>
      <c r="BP62" s="188">
        <f>opex_orig!$BH62</f>
        <v>5.0749767740199598E-5</v>
      </c>
      <c r="BQ62" s="188">
        <f>opex_orig!$BH62</f>
        <v>5.0749767740199598E-5</v>
      </c>
      <c r="BR62" s="188">
        <f>opex_orig!BI62</f>
        <v>5.9899999999999999E-5</v>
      </c>
      <c r="BS62" s="188">
        <f>opex_orig!BJ62</f>
        <v>6.1199999999999997E-5</v>
      </c>
      <c r="BT62" s="188">
        <f>opex_orig!BK62</f>
        <v>8.5699999999999996E-5</v>
      </c>
      <c r="BU62" s="188">
        <f>opex_orig!BL62</f>
        <v>0</v>
      </c>
      <c r="BV62" s="27">
        <f>opex_orig!BM62</f>
        <v>2.3337663351528999E-4</v>
      </c>
      <c r="BW62" s="27">
        <f>opex_orig!BN62</f>
        <v>1.1780288048634E-4</v>
      </c>
      <c r="BX62" s="27">
        <f>opex_orig!BO62</f>
        <v>1.6770861874597201E-5</v>
      </c>
      <c r="BY62" s="27">
        <f>opex_orig!BP62</f>
        <v>6.05768823091545E-5</v>
      </c>
      <c r="BZ62" s="27">
        <f>opex_orig!BQ62</f>
        <v>2.9777238673887301E-5</v>
      </c>
      <c r="CA62" s="27">
        <f>opex_orig!BR62</f>
        <v>6.8074357841054999E-7</v>
      </c>
      <c r="CB62" s="27">
        <f>opex_orig!BS62</f>
        <v>2.6170445699917101E-4</v>
      </c>
      <c r="CC62" s="27">
        <f>opex_orig!BT62</f>
        <v>2.3385776199689101E-6</v>
      </c>
      <c r="CD62" s="27">
        <f>opex_orig!BU62</f>
        <v>1.7231308360165301E-5</v>
      </c>
      <c r="CE62" s="27">
        <f>opex_orig!BV62</f>
        <v>1.72313083601654E-5</v>
      </c>
      <c r="CF62" s="27">
        <f>opex_orig!BW62</f>
        <v>1.8184810332272801E-6</v>
      </c>
      <c r="CG62" s="27">
        <f>opex_orig!BX62</f>
        <v>3.1793314961076499E-6</v>
      </c>
      <c r="CH62" s="27">
        <f>opex_orig!BY62</f>
        <v>4.6769670057435E-6</v>
      </c>
      <c r="CI62" s="27">
        <f>opex_orig!Y62</f>
        <v>5.8100000000000003E-5</v>
      </c>
      <c r="CJ62" s="27">
        <f>opex_orig!Z62</f>
        <v>2.2184E-4</v>
      </c>
      <c r="CK62" s="27">
        <f>opex_orig!AA62</f>
        <v>8.4099999999999998E-5</v>
      </c>
      <c r="CL62" s="27">
        <f>opex_orig!AB62</f>
        <v>6.1390243049706006E-5</v>
      </c>
      <c r="CM62" s="27">
        <f>opex_orig!AC62</f>
        <v>1.3443519230375001E-3</v>
      </c>
      <c r="CN62" s="27">
        <f>opex_orig!AD62</f>
        <v>7.0135231819952806E-5</v>
      </c>
      <c r="CO62" s="27">
        <f>opex_orig!AE62</f>
        <v>5.6199999999999997E-5</v>
      </c>
      <c r="CP62" s="27">
        <f>opex_orig!AF62</f>
        <v>7.2746900000000001E-4</v>
      </c>
    </row>
    <row r="63" spans="1:94" x14ac:dyDescent="0.25">
      <c r="A63" s="5" t="s">
        <v>145</v>
      </c>
      <c r="B63" s="2" t="s">
        <v>144</v>
      </c>
      <c r="C63" s="1" t="s">
        <v>328</v>
      </c>
      <c r="D63" s="188">
        <f>opex_orig!D63</f>
        <v>1.3810100000000001E-4</v>
      </c>
      <c r="E63" s="188">
        <f>opex_orig!E63</f>
        <v>8.0400000000000003E-5</v>
      </c>
      <c r="F63" s="188">
        <f>opex_orig!F63</f>
        <v>9.1399999999999999E-5</v>
      </c>
      <c r="G63" s="188">
        <f>opex_orig!G63</f>
        <v>2.1399999999999998E-5</v>
      </c>
      <c r="H63" s="188">
        <f>opex_orig!H63</f>
        <v>2.6999999999999999E-5</v>
      </c>
      <c r="I63" s="188">
        <f>opex_orig!I63</f>
        <v>1.62855E-4</v>
      </c>
      <c r="J63" s="188">
        <f>opex_orig!J63</f>
        <v>3.1242599999999998E-4</v>
      </c>
      <c r="K63" s="188">
        <f>opex_orig!K63</f>
        <v>6.8899999999999994E-5</v>
      </c>
      <c r="L63" s="188">
        <f>opex_orig!L63</f>
        <v>1.6027200000000001E-4</v>
      </c>
      <c r="M63" s="188">
        <f>opex_orig!M63</f>
        <v>3.6304700000000002E-4</v>
      </c>
      <c r="N63" s="188">
        <f>opex_orig!N63</f>
        <v>2.72506E-4</v>
      </c>
      <c r="O63" s="188">
        <f>opex_orig!O63</f>
        <v>1.6671000000000001E-4</v>
      </c>
      <c r="P63" s="188">
        <f>opex_orig!P63</f>
        <v>4.12197E-4</v>
      </c>
      <c r="Q63" s="188">
        <f>opex_orig!Q63</f>
        <v>3.5530099999999998E-4</v>
      </c>
      <c r="R63" s="188">
        <f>opex_orig!R63</f>
        <v>2.0201999999999999E-4</v>
      </c>
      <c r="S63" s="188">
        <f>opex_orig!S63</f>
        <v>1.8314500000000001E-4</v>
      </c>
      <c r="T63" s="188">
        <f>opex_orig!T63</f>
        <v>3.4367000000000002E-4</v>
      </c>
      <c r="U63" s="188">
        <f>opex_orig!U63</f>
        <v>2.7417899999999999E-4</v>
      </c>
      <c r="V63" s="188">
        <f>opex_orig!V63</f>
        <v>2.3948200000000001E-4</v>
      </c>
      <c r="W63" s="188">
        <f>opex_orig!W63</f>
        <v>1.67956E-4</v>
      </c>
      <c r="X63" s="188">
        <f>opex_orig!X63</f>
        <v>1.0389499999999999E-4</v>
      </c>
      <c r="Y63" s="188">
        <f>opex_orig!Y63</f>
        <v>1.5019400000000001E-4</v>
      </c>
      <c r="Z63" s="188">
        <f>opex_orig!Z63</f>
        <v>5.3480300000000004E-4</v>
      </c>
      <c r="AA63" s="188">
        <f>opex_orig!AA63</f>
        <v>2.23928E-4</v>
      </c>
      <c r="AB63" s="188">
        <f>opex_orig!$AB63</f>
        <v>3.6056081440099098E-4</v>
      </c>
      <c r="AC63" s="188">
        <f>opex_orig!$AB63</f>
        <v>3.6056081440099098E-4</v>
      </c>
      <c r="AD63" s="188">
        <f>opex_orig!$AB63</f>
        <v>3.6056081440099098E-4</v>
      </c>
      <c r="AE63" s="188">
        <f>opex_orig!$AC63</f>
        <v>2.2259339230789798E-3</v>
      </c>
      <c r="AF63" s="188">
        <f>opex_orig!$AD63</f>
        <v>1.8265005762136801E-4</v>
      </c>
      <c r="AG63" s="188">
        <f>opex_orig!$AD63</f>
        <v>1.8265005762136801E-4</v>
      </c>
      <c r="AH63" s="188">
        <f>opex_orig!$AD63</f>
        <v>1.8265005762136801E-4</v>
      </c>
      <c r="AI63" s="188">
        <f>opex_orig!AE63</f>
        <v>1.4615900000000001E-4</v>
      </c>
      <c r="AJ63" s="188">
        <f>opex_orig!AF63</f>
        <v>1.481413E-3</v>
      </c>
      <c r="AK63" s="188">
        <f>opex_orig!AG63</f>
        <v>3.1667000000000002E-4</v>
      </c>
      <c r="AL63" s="188">
        <f>opex_orig!AH63</f>
        <v>1.2094799999999999E-4</v>
      </c>
      <c r="AM63" s="188">
        <f>opex_orig!AI63</f>
        <v>1.7768699999999999E-4</v>
      </c>
      <c r="AN63" s="188">
        <f>opex_orig!AJ63</f>
        <v>9.6799999999999995E-5</v>
      </c>
      <c r="AO63" s="188">
        <f>opex_orig!AK63</f>
        <v>1.67863E-4</v>
      </c>
      <c r="AP63" s="188">
        <f>opex_orig!$AL63</f>
        <v>1.2466601208034001E-4</v>
      </c>
      <c r="AQ63" s="188">
        <f>opex_orig!$AL63</f>
        <v>1.2466601208034001E-4</v>
      </c>
      <c r="AR63" s="188">
        <f>opex_orig!$AL63</f>
        <v>1.2466601208034001E-4</v>
      </c>
      <c r="AS63" s="188">
        <f>opex_orig!$AM63</f>
        <v>1.2242188859480101E-4</v>
      </c>
      <c r="AT63" s="188">
        <f>opex_orig!AN63</f>
        <v>3.8483099999999998E-4</v>
      </c>
      <c r="AU63" s="188">
        <f>opex_orig!$AO63</f>
        <v>3.83324242177097E-4</v>
      </c>
      <c r="AV63" s="188">
        <f>opex_orig!$AO63</f>
        <v>3.83324242177097E-4</v>
      </c>
      <c r="AW63" s="188">
        <f>opex_orig!$AO63</f>
        <v>3.83324242177097E-4</v>
      </c>
      <c r="AX63" s="188">
        <f>opex_orig!$AP63</f>
        <v>2.1956015862261999E-4</v>
      </c>
      <c r="AY63" s="188">
        <f>opex_orig!AQ63</f>
        <v>2.74228E-4</v>
      </c>
      <c r="AZ63" s="188">
        <f>opex_orig!AR63</f>
        <v>0</v>
      </c>
      <c r="BA63" s="188">
        <f>opex_orig!AS63</f>
        <v>2.9941199999999999E-4</v>
      </c>
      <c r="BB63" s="188">
        <f>opex_orig!AT63</f>
        <v>2.31874E-4</v>
      </c>
      <c r="BC63" s="188">
        <f>opex_orig!AU63</f>
        <v>9.87E-5</v>
      </c>
      <c r="BD63" s="188">
        <f>opex_orig!AV63</f>
        <v>9.2999999999999997E-5</v>
      </c>
      <c r="BE63" s="188">
        <f>opex_orig!AW63</f>
        <v>2.4434599999999999E-4</v>
      </c>
      <c r="BF63" s="188">
        <f>opex_orig!AX63</f>
        <v>0</v>
      </c>
      <c r="BG63" s="188">
        <f>opex_orig!AY63</f>
        <v>7.5863799999999996E-4</v>
      </c>
      <c r="BH63" s="188">
        <f>opex_orig!AZ63</f>
        <v>0</v>
      </c>
      <c r="BI63" s="188">
        <f>opex_orig!BA63</f>
        <v>2.4843100000000002E-4</v>
      </c>
      <c r="BJ63" s="188">
        <f>opex_orig!BB63</f>
        <v>1.3762299999999999E-4</v>
      </c>
      <c r="BK63" s="188">
        <f>opex_orig!BC63</f>
        <v>1.8881099999999999E-4</v>
      </c>
      <c r="BL63" s="188">
        <f>opex_orig!BD63</f>
        <v>3.4999999999999997E-5</v>
      </c>
      <c r="BM63" s="188">
        <f>opex_orig!BE63</f>
        <v>1.62619E-4</v>
      </c>
      <c r="BN63" s="188">
        <f>opex_orig!BF63</f>
        <v>4.74E-5</v>
      </c>
      <c r="BO63" s="188">
        <f>opex_orig!BG63</f>
        <v>2.1181999999999999E-4</v>
      </c>
      <c r="BP63" s="188">
        <f>opex_orig!$BH63</f>
        <v>1.3084015086350901E-4</v>
      </c>
      <c r="BQ63" s="188">
        <f>opex_orig!$BH63</f>
        <v>1.3084015086350901E-4</v>
      </c>
      <c r="BR63" s="188">
        <f>opex_orig!BI63</f>
        <v>1.58682E-4</v>
      </c>
      <c r="BS63" s="188">
        <f>opex_orig!BJ63</f>
        <v>3.36872E-4</v>
      </c>
      <c r="BT63" s="188">
        <f>opex_orig!BK63</f>
        <v>2.14589E-4</v>
      </c>
      <c r="BU63" s="188">
        <f>opex_orig!BL63</f>
        <v>0</v>
      </c>
      <c r="BV63" s="27">
        <f>opex_orig!BM63</f>
        <v>4.0378078212081599E-4</v>
      </c>
      <c r="BW63" s="27">
        <f>opex_orig!BN63</f>
        <v>2.7017151332727499E-4</v>
      </c>
      <c r="BX63" s="27">
        <f>opex_orig!BO63</f>
        <v>3.71295650137469E-5</v>
      </c>
      <c r="BY63" s="27">
        <f>opex_orig!BP63</f>
        <v>1.20007215329256E-4</v>
      </c>
      <c r="BZ63" s="27">
        <f>opex_orig!BQ63</f>
        <v>7.9920267836684005E-5</v>
      </c>
      <c r="CA63" s="27">
        <f>opex_orig!BR63</f>
        <v>1.5638140723716502E-5</v>
      </c>
      <c r="CB63" s="27">
        <f>opex_orig!BS63</f>
        <v>6.3187416468800004E-4</v>
      </c>
      <c r="CC63" s="27">
        <f>opex_orig!BT63</f>
        <v>5.7497216674023298E-6</v>
      </c>
      <c r="CD63" s="27">
        <f>opex_orig!BU63</f>
        <v>4.0646480043490402E-5</v>
      </c>
      <c r="CE63" s="27">
        <f>opex_orig!BV63</f>
        <v>4.0646480043490503E-5</v>
      </c>
      <c r="CF63" s="27">
        <f>opex_orig!BW63</f>
        <v>8.8242294701234498E-5</v>
      </c>
      <c r="CG63" s="27">
        <f>opex_orig!BX63</f>
        <v>4.0447940430053398E-5</v>
      </c>
      <c r="CH63" s="27">
        <f>opex_orig!BY63</f>
        <v>4.8634088933673199E-5</v>
      </c>
      <c r="CI63" s="27">
        <f>opex_orig!Y63</f>
        <v>1.5019400000000001E-4</v>
      </c>
      <c r="CJ63" s="27">
        <f>opex_orig!Z63</f>
        <v>5.3480300000000004E-4</v>
      </c>
      <c r="CK63" s="27">
        <f>opex_orig!AA63</f>
        <v>2.23928E-4</v>
      </c>
      <c r="CL63" s="27">
        <f>opex_orig!AB63</f>
        <v>3.6056081440099098E-4</v>
      </c>
      <c r="CM63" s="27">
        <f>opex_orig!AC63</f>
        <v>2.2259339230789798E-3</v>
      </c>
      <c r="CN63" s="27">
        <f>opex_orig!AD63</f>
        <v>1.8265005762136801E-4</v>
      </c>
      <c r="CO63" s="27">
        <f>opex_orig!AE63</f>
        <v>1.4615900000000001E-4</v>
      </c>
      <c r="CP63" s="27">
        <f>opex_orig!AF63</f>
        <v>1.481413E-3</v>
      </c>
    </row>
    <row r="64" spans="1:94" x14ac:dyDescent="0.25">
      <c r="A64" s="5" t="s">
        <v>147</v>
      </c>
      <c r="B64" s="2" t="s">
        <v>146</v>
      </c>
      <c r="C64" s="1" t="s">
        <v>328</v>
      </c>
      <c r="D64" s="188">
        <f>opex_orig!D64</f>
        <v>5.7996399999999998E-4</v>
      </c>
      <c r="E64" s="188">
        <f>opex_orig!E64</f>
        <v>5.1218699999999999E-4</v>
      </c>
      <c r="F64" s="188">
        <f>opex_orig!F64</f>
        <v>8.8487899999999998E-4</v>
      </c>
      <c r="G64" s="188">
        <f>opex_orig!G64</f>
        <v>2.3E-5</v>
      </c>
      <c r="H64" s="188">
        <f>opex_orig!H64</f>
        <v>7.5900000000000002E-5</v>
      </c>
      <c r="I64" s="188">
        <f>opex_orig!I64</f>
        <v>1.4608710000000001E-3</v>
      </c>
      <c r="J64" s="188">
        <f>opex_orig!J64</f>
        <v>6.7525799999999998E-4</v>
      </c>
      <c r="K64" s="188">
        <f>opex_orig!K64</f>
        <v>8.1000000000000004E-5</v>
      </c>
      <c r="L64" s="188">
        <f>opex_orig!L64</f>
        <v>8.8037399999999996E-4</v>
      </c>
      <c r="M64" s="188">
        <f>opex_orig!M64</f>
        <v>2.570985E-3</v>
      </c>
      <c r="N64" s="188">
        <f>opex_orig!N64</f>
        <v>1.600064E-3</v>
      </c>
      <c r="O64" s="188">
        <f>opex_orig!O64</f>
        <v>3.1153799999999998E-4</v>
      </c>
      <c r="P64" s="188">
        <f>opex_orig!P64</f>
        <v>1.1217902E-2</v>
      </c>
      <c r="Q64" s="188">
        <f>opex_orig!Q64</f>
        <v>1.24603E-3</v>
      </c>
      <c r="R64" s="188">
        <f>opex_orig!R64</f>
        <v>2.4639660000000002E-3</v>
      </c>
      <c r="S64" s="188">
        <f>opex_orig!S64</f>
        <v>8.275559E-3</v>
      </c>
      <c r="T64" s="188">
        <f>opex_orig!T64</f>
        <v>9.0175150000000003E-3</v>
      </c>
      <c r="U64" s="188">
        <f>opex_orig!U64</f>
        <v>7.7545369999999997E-3</v>
      </c>
      <c r="V64" s="188">
        <f>opex_orig!V64</f>
        <v>7.9067459999999992E-3</v>
      </c>
      <c r="W64" s="188">
        <f>opex_orig!W64</f>
        <v>4.5253100000000003E-3</v>
      </c>
      <c r="X64" s="188">
        <f>opex_orig!X64</f>
        <v>1.361098E-3</v>
      </c>
      <c r="Y64" s="188">
        <f>opex_orig!Y64</f>
        <v>5.9655299999999999E-4</v>
      </c>
      <c r="Z64" s="188">
        <f>opex_orig!Z64</f>
        <v>2.4648679999999998E-3</v>
      </c>
      <c r="AA64" s="188">
        <f>opex_orig!AA64</f>
        <v>3.9579399999999999E-4</v>
      </c>
      <c r="AB64" s="188">
        <f>opex_orig!$AB64</f>
        <v>2.2042257166381102E-3</v>
      </c>
      <c r="AC64" s="188">
        <f>opex_orig!$AB64</f>
        <v>2.2042257166381102E-3</v>
      </c>
      <c r="AD64" s="188">
        <f>opex_orig!$AB64</f>
        <v>2.2042257166381102E-3</v>
      </c>
      <c r="AE64" s="188">
        <f>opex_orig!$AC64</f>
        <v>4.4570586660270299E-2</v>
      </c>
      <c r="AF64" s="310">
        <f>opex_concordance!$M$316</f>
        <v>1.1406303800218899E-2</v>
      </c>
      <c r="AG64" s="310">
        <f>opex_concordance!$M$350</f>
        <v>0.42749152900157211</v>
      </c>
      <c r="AH64" s="310">
        <f>opex_concordance!$M$386</f>
        <v>0.47900843110465946</v>
      </c>
      <c r="AI64" s="188">
        <f>opex_orig!AE64</f>
        <v>8.7155059999999996E-3</v>
      </c>
      <c r="AJ64" s="188">
        <f>opex_orig!AF64</f>
        <v>0.14975327999999999</v>
      </c>
      <c r="AK64" s="188">
        <f>opex_orig!AG64</f>
        <v>4.4154410999999998E-2</v>
      </c>
      <c r="AL64" s="188">
        <f>opex_orig!AH64</f>
        <v>3.2357000000000002E-3</v>
      </c>
      <c r="AM64" s="188">
        <f>opex_orig!AI64</f>
        <v>5.2092900000000001E-3</v>
      </c>
      <c r="AN64" s="188">
        <f>opex_orig!AJ64</f>
        <v>4.2058200000000002E-4</v>
      </c>
      <c r="AO64" s="188">
        <f>opex_orig!AK64</f>
        <v>1.762118E-3</v>
      </c>
      <c r="AP64" s="188">
        <f>opex_orig!$AL64</f>
        <v>1.4316934057775001E-3</v>
      </c>
      <c r="AQ64" s="188">
        <f>opex_orig!$AL64</f>
        <v>1.4316934057775001E-3</v>
      </c>
      <c r="AR64" s="188">
        <f>opex_orig!$AL64</f>
        <v>1.4316934057775001E-3</v>
      </c>
      <c r="AS64" s="188">
        <f>opex_orig!$AM64</f>
        <v>1.12922705101354E-3</v>
      </c>
      <c r="AT64" s="188">
        <f>opex_orig!AN64</f>
        <v>1.2114911000000001E-2</v>
      </c>
      <c r="AU64" s="188">
        <f>opex_orig!$AO64</f>
        <v>3.39187735266391E-3</v>
      </c>
      <c r="AV64" s="188">
        <f>opex_orig!$AO64</f>
        <v>3.39187735266391E-3</v>
      </c>
      <c r="AW64" s="188">
        <f>opex_orig!$AO64</f>
        <v>3.39187735266391E-3</v>
      </c>
      <c r="AX64" s="188">
        <f>opex_orig!$AP64</f>
        <v>2.47931653747941E-3</v>
      </c>
      <c r="AY64" s="188">
        <f>opex_orig!AQ64</f>
        <v>3.817955E-3</v>
      </c>
      <c r="AZ64" s="188">
        <f>opex_orig!AR64</f>
        <v>0</v>
      </c>
      <c r="BA64" s="188">
        <f>opex_orig!AS64</f>
        <v>1.5668912E-2</v>
      </c>
      <c r="BB64" s="188">
        <f>opex_orig!AT64</f>
        <v>1.6649884E-2</v>
      </c>
      <c r="BC64" s="188">
        <f>opex_orig!AU64</f>
        <v>5.6799999999999998E-5</v>
      </c>
      <c r="BD64" s="188">
        <f>opex_orig!AV64</f>
        <v>3.4700000000000003E-5</v>
      </c>
      <c r="BE64" s="188">
        <f>opex_orig!AW64</f>
        <v>1.66336E-3</v>
      </c>
      <c r="BF64" s="188">
        <f>opex_orig!AX64</f>
        <v>0</v>
      </c>
      <c r="BG64" s="188">
        <f>opex_orig!AY64</f>
        <v>3.1114010000000002E-3</v>
      </c>
      <c r="BH64" s="188">
        <f>opex_orig!AZ64</f>
        <v>0</v>
      </c>
      <c r="BI64" s="188">
        <f>opex_orig!BA64</f>
        <v>1.9494860000000001E-3</v>
      </c>
      <c r="BJ64" s="188">
        <f>opex_orig!BB64</f>
        <v>2.1752130000000001E-3</v>
      </c>
      <c r="BK64" s="188">
        <f>opex_orig!BC64</f>
        <v>4.667671E-3</v>
      </c>
      <c r="BL64" s="188">
        <f>opex_orig!BD64</f>
        <v>1.212606E-3</v>
      </c>
      <c r="BM64" s="188">
        <f>opex_orig!BE64</f>
        <v>1.9972779999999999E-3</v>
      </c>
      <c r="BN64" s="188">
        <f>opex_orig!BF64</f>
        <v>2.58342E-4</v>
      </c>
      <c r="BO64" s="188">
        <f>opex_orig!BG64</f>
        <v>1.1760915E-2</v>
      </c>
      <c r="BP64" s="188">
        <f>opex_orig!$BH64</f>
        <v>2.0342040691661602E-3</v>
      </c>
      <c r="BQ64" s="188">
        <f>opex_orig!$BH64</f>
        <v>2.0342040691661602E-3</v>
      </c>
      <c r="BR64" s="188">
        <f>opex_orig!BI64</f>
        <v>4.5168079999999998E-3</v>
      </c>
      <c r="BS64" s="188">
        <f>opex_orig!BJ64</f>
        <v>1.4423195999999999E-2</v>
      </c>
      <c r="BT64" s="188">
        <f>opex_orig!BK64</f>
        <v>8.0183000000000001E-4</v>
      </c>
      <c r="BU64" s="188">
        <f>opex_orig!BL64</f>
        <v>0</v>
      </c>
      <c r="BV64" s="27">
        <f>opex_orig!BM64</f>
        <v>2.7765967472823802E-3</v>
      </c>
      <c r="BW64" s="27">
        <f>opex_orig!BN64</f>
        <v>7.0667204203045198E-3</v>
      </c>
      <c r="BX64" s="27">
        <f>opex_orig!BO64</f>
        <v>3.0400986403840598E-4</v>
      </c>
      <c r="BY64" s="27">
        <f>opex_orig!BP64</f>
        <v>6.4582055732463996E-4</v>
      </c>
      <c r="BZ64" s="27">
        <f>opex_orig!BQ64</f>
        <v>3.5160664653442801E-4</v>
      </c>
      <c r="CA64" s="27">
        <f>opex_orig!BR64</f>
        <v>4.28686849520238E-5</v>
      </c>
      <c r="CB64" s="27">
        <f>opex_orig!BS64</f>
        <v>3.41189186834187E-3</v>
      </c>
      <c r="CC64" s="27">
        <f>opex_orig!BT64</f>
        <v>9.0550874091126105E-5</v>
      </c>
      <c r="CD64" s="27">
        <f>opex_orig!BU64</f>
        <v>3.9854906591850902E-5</v>
      </c>
      <c r="CE64" s="27">
        <f>opex_orig!BV64</f>
        <v>3.9854906591850997E-5</v>
      </c>
      <c r="CF64" s="27">
        <f>opex_orig!BW64</f>
        <v>2.1433848738768201E-4</v>
      </c>
      <c r="CG64" s="27">
        <f>opex_orig!BX64</f>
        <v>1.3941962730929999E-4</v>
      </c>
      <c r="CH64" s="27">
        <f>opex_orig!BY64</f>
        <v>2.1502274434193099E-4</v>
      </c>
      <c r="CI64" s="27">
        <f>opex_orig!Y64</f>
        <v>5.9655299999999999E-4</v>
      </c>
      <c r="CJ64" s="27">
        <f>opex_orig!Z64</f>
        <v>2.4648679999999998E-3</v>
      </c>
      <c r="CK64" s="27">
        <f>opex_orig!AA64</f>
        <v>3.9579399999999999E-4</v>
      </c>
      <c r="CL64" s="27">
        <f>opex_orig!AB64</f>
        <v>2.2042257166381102E-3</v>
      </c>
      <c r="CM64" s="27">
        <f>opex_orig!AC64</f>
        <v>4.4570586660270299E-2</v>
      </c>
      <c r="CN64" s="27">
        <f>opex_orig!AD64</f>
        <v>1.1406303800218899E-2</v>
      </c>
      <c r="CO64" s="27">
        <f>opex_orig!AE64</f>
        <v>8.7155059999999996E-3</v>
      </c>
      <c r="CP64" s="27">
        <f>opex_orig!AF64</f>
        <v>0.14975327999999999</v>
      </c>
    </row>
    <row r="65" spans="1:94" x14ac:dyDescent="0.25">
      <c r="A65" s="5" t="s">
        <v>149</v>
      </c>
      <c r="B65" s="2" t="s">
        <v>148</v>
      </c>
      <c r="C65" s="1" t="s">
        <v>328</v>
      </c>
      <c r="D65" s="188">
        <f>opex_orig!D65</f>
        <v>5.3262561999999999E-2</v>
      </c>
      <c r="E65" s="188">
        <f>opex_orig!E65</f>
        <v>5.7573879999999996E-3</v>
      </c>
      <c r="F65" s="188">
        <f>opex_orig!F65</f>
        <v>3.306668E-3</v>
      </c>
      <c r="G65" s="188">
        <f>opex_orig!G65</f>
        <v>3.7293200000000003E-4</v>
      </c>
      <c r="H65" s="188">
        <f>opex_orig!H65</f>
        <v>9.0833099999999996E-4</v>
      </c>
      <c r="I65" s="188">
        <f>opex_orig!I65</f>
        <v>5.4413309999999998E-3</v>
      </c>
      <c r="J65" s="188">
        <f>opex_orig!J65</f>
        <v>2.2994270000000002E-3</v>
      </c>
      <c r="K65" s="188">
        <f>opex_orig!K65</f>
        <v>1.3048929999999999E-3</v>
      </c>
      <c r="L65" s="188">
        <f>opex_orig!L65</f>
        <v>4.4665399999999997E-3</v>
      </c>
      <c r="M65" s="188">
        <f>opex_orig!M65</f>
        <v>8.4307879999999998E-3</v>
      </c>
      <c r="N65" s="188">
        <f>opex_orig!N65</f>
        <v>5.1798620000000004E-3</v>
      </c>
      <c r="O65" s="188">
        <f>opex_orig!O65</f>
        <v>1.197601E-3</v>
      </c>
      <c r="P65" s="188">
        <f>opex_orig!P65</f>
        <v>1.8145343000000001E-2</v>
      </c>
      <c r="Q65" s="188">
        <f>opex_orig!Q65</f>
        <v>4.7844510000000003E-3</v>
      </c>
      <c r="R65" s="188">
        <f>opex_orig!R65</f>
        <v>7.0141659999999996E-3</v>
      </c>
      <c r="S65" s="188">
        <f>opex_orig!S65</f>
        <v>2.670838E-3</v>
      </c>
      <c r="T65" s="188">
        <f>opex_orig!T65</f>
        <v>2.9346939999999998E-3</v>
      </c>
      <c r="U65" s="188">
        <f>opex_orig!U65</f>
        <v>1.9943890000000001E-3</v>
      </c>
      <c r="V65" s="188">
        <f>opex_orig!V65</f>
        <v>1.597355E-3</v>
      </c>
      <c r="W65" s="188">
        <f>opex_orig!W65</f>
        <v>5.5031999999999998E-3</v>
      </c>
      <c r="X65" s="188">
        <f>opex_orig!X65</f>
        <v>3.522889E-3</v>
      </c>
      <c r="Y65" s="188">
        <f>opex_orig!Y65</f>
        <v>6.1660899999999995E-4</v>
      </c>
      <c r="Z65" s="188">
        <f>opex_orig!Z65</f>
        <v>1.1095479999999999E-3</v>
      </c>
      <c r="AA65" s="188">
        <f>opex_orig!AA65</f>
        <v>6.2511620000000002E-3</v>
      </c>
      <c r="AB65" s="188">
        <f>opex_orig!$AB65</f>
        <v>4.6992534331772001E-4</v>
      </c>
      <c r="AC65" s="188">
        <f>opex_orig!$AB65</f>
        <v>4.6992534331772001E-4</v>
      </c>
      <c r="AD65" s="188">
        <f>opex_orig!$AB65</f>
        <v>4.6992534331772001E-4</v>
      </c>
      <c r="AE65" s="188">
        <f>opex_orig!$AC65</f>
        <v>1.1287589183924601E-3</v>
      </c>
      <c r="AF65" s="188">
        <f>opex_orig!$AD65</f>
        <v>9.6401302934476902E-4</v>
      </c>
      <c r="AG65" s="188">
        <f>opex_orig!$AD65</f>
        <v>9.6401302934476902E-4</v>
      </c>
      <c r="AH65" s="188">
        <f>opex_orig!$AD65</f>
        <v>9.6401302934476902E-4</v>
      </c>
      <c r="AI65" s="188">
        <f>opex_orig!AE65</f>
        <v>8.3403800000000005E-4</v>
      </c>
      <c r="AJ65" s="188">
        <f>opex_orig!AF65</f>
        <v>5.1474240000000003E-3</v>
      </c>
      <c r="AK65" s="188">
        <f>opex_orig!AG65</f>
        <v>0.24498441800000001</v>
      </c>
      <c r="AL65" s="188">
        <f>opex_orig!AH65</f>
        <v>1.1956222000000001E-2</v>
      </c>
      <c r="AM65" s="188">
        <f>opex_orig!AI65</f>
        <v>2.2098737E-2</v>
      </c>
      <c r="AN65" s="188">
        <f>opex_orig!AJ65</f>
        <v>3.0897519999999999E-3</v>
      </c>
      <c r="AO65" s="188">
        <f>opex_orig!AK65</f>
        <v>5.9614000000000004E-3</v>
      </c>
      <c r="AP65" s="188">
        <f>opex_orig!$AL65</f>
        <v>4.6055889891371601E-3</v>
      </c>
      <c r="AQ65" s="188">
        <f>opex_orig!$AL65</f>
        <v>4.6055889891371601E-3</v>
      </c>
      <c r="AR65" s="188">
        <f>opex_orig!$AL65</f>
        <v>4.6055889891371601E-3</v>
      </c>
      <c r="AS65" s="188">
        <f>opex_orig!$AM65</f>
        <v>4.22950635125585E-3</v>
      </c>
      <c r="AT65" s="188">
        <f>opex_orig!AN65</f>
        <v>1.0032671999999999E-2</v>
      </c>
      <c r="AU65" s="188">
        <f>opex_orig!$AO65</f>
        <v>3.76500652309861E-3</v>
      </c>
      <c r="AV65" s="188">
        <f>opex_orig!$AO65</f>
        <v>3.76500652309861E-3</v>
      </c>
      <c r="AW65" s="188">
        <f>opex_orig!$AO65</f>
        <v>3.76500652309861E-3</v>
      </c>
      <c r="AX65" s="188">
        <f>opex_orig!$AP65</f>
        <v>4.30433151244357E-3</v>
      </c>
      <c r="AY65" s="188">
        <f>opex_orig!AQ65</f>
        <v>4.8301209999999997E-3</v>
      </c>
      <c r="AZ65" s="188">
        <f>opex_orig!AR65</f>
        <v>0</v>
      </c>
      <c r="BA65" s="188">
        <f>opex_orig!AS65</f>
        <v>4.1085569999999997E-3</v>
      </c>
      <c r="BB65" s="188">
        <f>opex_orig!AT65</f>
        <v>3.9688500000000003E-3</v>
      </c>
      <c r="BC65" s="188">
        <f>opex_orig!AU65</f>
        <v>8.09934E-4</v>
      </c>
      <c r="BD65" s="188">
        <f>opex_orig!AV65</f>
        <v>5.9336199999999995E-4</v>
      </c>
      <c r="BE65" s="188">
        <f>opex_orig!AW65</f>
        <v>2.5711380000000002E-3</v>
      </c>
      <c r="BF65" s="188">
        <f>opex_orig!AX65</f>
        <v>0</v>
      </c>
      <c r="BG65" s="188">
        <f>opex_orig!AY65</f>
        <v>3.119915E-3</v>
      </c>
      <c r="BH65" s="188">
        <f>opex_orig!AZ65</f>
        <v>0</v>
      </c>
      <c r="BI65" s="188">
        <f>opex_orig!BA65</f>
        <v>7.3311310000000003E-3</v>
      </c>
      <c r="BJ65" s="188">
        <f>opex_orig!BB65</f>
        <v>5.089921E-2</v>
      </c>
      <c r="BK65" s="188">
        <f>opex_orig!BC65</f>
        <v>1.2255271999999999E-2</v>
      </c>
      <c r="BL65" s="188">
        <f>opex_orig!BD65</f>
        <v>2.5856920000000001E-3</v>
      </c>
      <c r="BM65" s="188">
        <f>opex_orig!BE65</f>
        <v>4.7650495000000001E-2</v>
      </c>
      <c r="BN65" s="188">
        <f>opex_orig!BF65</f>
        <v>2.0899226999999999E-2</v>
      </c>
      <c r="BO65" s="188">
        <f>opex_orig!BG65</f>
        <v>5.6369130000000003E-2</v>
      </c>
      <c r="BP65" s="207">
        <f>opex_concordance!M81</f>
        <v>0.10771830391873523</v>
      </c>
      <c r="BQ65" s="207">
        <f>opex_concordance!M124</f>
        <v>7.0182951702667834E-2</v>
      </c>
      <c r="BR65" s="188">
        <f>opex_orig!BI65</f>
        <v>0.12839708599999999</v>
      </c>
      <c r="BS65" s="188">
        <f>opex_orig!BJ65</f>
        <v>5.3317679E-2</v>
      </c>
      <c r="BT65" s="188">
        <f>opex_orig!BK65</f>
        <v>3.1668310000000002E-3</v>
      </c>
      <c r="BU65" s="188">
        <f>opex_orig!BL65</f>
        <v>0</v>
      </c>
      <c r="BV65" s="27">
        <f>opex_orig!BM65</f>
        <v>5.5924871132915198E-4</v>
      </c>
      <c r="BW65" s="27">
        <f>opex_orig!BN65</f>
        <v>1.1175155931112701E-3</v>
      </c>
      <c r="BX65" s="27">
        <f>opex_orig!BO65</f>
        <v>2.4858751394540998E-4</v>
      </c>
      <c r="BY65" s="27">
        <f>opex_orig!BP65</f>
        <v>2.6862867780571003E-4</v>
      </c>
      <c r="BZ65" s="27">
        <f>opex_orig!BQ65</f>
        <v>2.6930313068557503E-4</v>
      </c>
      <c r="CA65" s="27">
        <f>opex_orig!BR65</f>
        <v>1.30894473031693E-3</v>
      </c>
      <c r="CB65" s="27">
        <f>opex_orig!BS65</f>
        <v>8.9016511857446204E-4</v>
      </c>
      <c r="CC65" s="27">
        <f>opex_orig!BT65</f>
        <v>2.3038990170977299E-4</v>
      </c>
      <c r="CD65" s="27">
        <f>opex_orig!BU65</f>
        <v>1.2965019129684E-4</v>
      </c>
      <c r="CE65" s="27">
        <f>opex_orig!BV65</f>
        <v>1.2965019129684E-4</v>
      </c>
      <c r="CF65" s="27">
        <f>opex_orig!BW65</f>
        <v>2.0969729293529899E-4</v>
      </c>
      <c r="CG65" s="27">
        <f>opex_orig!BX65</f>
        <v>5.4567809563830702E-4</v>
      </c>
      <c r="CH65" s="27">
        <f>opex_orig!BY65</f>
        <v>6.11900375810515E-5</v>
      </c>
      <c r="CI65" s="27">
        <f>opex_orig!Y65</f>
        <v>6.1660899999999995E-4</v>
      </c>
      <c r="CJ65" s="27">
        <f>opex_orig!Z65</f>
        <v>1.1095479999999999E-3</v>
      </c>
      <c r="CK65" s="27">
        <f>opex_orig!AA65</f>
        <v>6.2511620000000002E-3</v>
      </c>
      <c r="CL65" s="27">
        <f>opex_orig!AB65</f>
        <v>4.6992534331772001E-4</v>
      </c>
      <c r="CM65" s="27">
        <f>opex_orig!AC65</f>
        <v>1.1287589183924601E-3</v>
      </c>
      <c r="CN65" s="27">
        <f>opex_orig!AD65</f>
        <v>9.6401302934476902E-4</v>
      </c>
      <c r="CO65" s="27">
        <f>opex_orig!AE65</f>
        <v>8.3403800000000005E-4</v>
      </c>
      <c r="CP65" s="27">
        <f>opex_orig!AF65</f>
        <v>5.1474240000000003E-3</v>
      </c>
    </row>
    <row r="66" spans="1:94" x14ac:dyDescent="0.25">
      <c r="A66" s="5" t="s">
        <v>151</v>
      </c>
      <c r="B66" s="2" t="s">
        <v>150</v>
      </c>
      <c r="C66" s="1" t="s">
        <v>329</v>
      </c>
      <c r="D66" s="188">
        <f>opex_orig!D66</f>
        <v>1.1131590000000001E-3</v>
      </c>
      <c r="E66" s="188">
        <f>opex_orig!E66</f>
        <v>1.9931340000000001E-3</v>
      </c>
      <c r="F66" s="188">
        <f>opex_orig!F66</f>
        <v>9.6612800000000002E-4</v>
      </c>
      <c r="G66" s="188">
        <f>opex_orig!G66</f>
        <v>1.58858E-4</v>
      </c>
      <c r="H66" s="188">
        <f>opex_orig!H66</f>
        <v>2.8246E-4</v>
      </c>
      <c r="I66" s="188">
        <f>opex_orig!I66</f>
        <v>6.9450140000000002E-3</v>
      </c>
      <c r="J66" s="188">
        <f>opex_orig!J66</f>
        <v>5.5066299999999996E-4</v>
      </c>
      <c r="K66" s="188">
        <f>opex_orig!K66</f>
        <v>4.6344300000000001E-4</v>
      </c>
      <c r="L66" s="188">
        <f>opex_orig!L66</f>
        <v>3.6880900000000002E-3</v>
      </c>
      <c r="M66" s="188">
        <f>opex_orig!M66</f>
        <v>8.7687640000000001E-3</v>
      </c>
      <c r="N66" s="188">
        <f>opex_orig!N66</f>
        <v>4.5349379999999996E-3</v>
      </c>
      <c r="O66" s="188">
        <f>opex_orig!O66</f>
        <v>4.2832100000000001E-4</v>
      </c>
      <c r="P66" s="188">
        <f>opex_orig!P66</f>
        <v>2.1539584000000001E-2</v>
      </c>
      <c r="Q66" s="188">
        <f>opex_orig!Q66</f>
        <v>1.030675E-3</v>
      </c>
      <c r="R66" s="188">
        <f>opex_orig!R66</f>
        <v>9.69701E-4</v>
      </c>
      <c r="S66" s="188">
        <f>opex_orig!S66</f>
        <v>8.4226200000000005E-3</v>
      </c>
      <c r="T66" s="188">
        <f>opex_orig!T66</f>
        <v>8.9722110000000008E-3</v>
      </c>
      <c r="U66" s="188">
        <f>opex_orig!U66</f>
        <v>3.80336E-4</v>
      </c>
      <c r="V66" s="188">
        <f>opex_orig!V66</f>
        <v>4.5101700000000001E-4</v>
      </c>
      <c r="W66" s="188">
        <f>opex_orig!W66</f>
        <v>2.9436399999999998E-4</v>
      </c>
      <c r="X66" s="188">
        <f>opex_orig!X66</f>
        <v>2.30442E-4</v>
      </c>
      <c r="Y66" s="188">
        <f>opex_orig!Y66</f>
        <v>2.0903499999999999E-4</v>
      </c>
      <c r="Z66" s="188">
        <f>opex_orig!Z66</f>
        <v>2.0092740000000001E-3</v>
      </c>
      <c r="AA66" s="188">
        <f>opex_orig!AA66</f>
        <v>7.3797499999999998E-4</v>
      </c>
      <c r="AB66" s="188">
        <f>opex_orig!$AB66</f>
        <v>4.1560928907110998E-4</v>
      </c>
      <c r="AC66" s="188">
        <f>opex_orig!$AB66</f>
        <v>4.1560928907110998E-4</v>
      </c>
      <c r="AD66" s="188">
        <f>opex_orig!$AB66</f>
        <v>4.1560928907110998E-4</v>
      </c>
      <c r="AE66" s="188">
        <f>opex_orig!$AC66</f>
        <v>1.3185645507289799E-3</v>
      </c>
      <c r="AF66" s="188">
        <f>opex_orig!$AD66</f>
        <v>4.2238793687378399E-4</v>
      </c>
      <c r="AG66" s="188">
        <f>opex_orig!$AD66</f>
        <v>4.2238793687378399E-4</v>
      </c>
      <c r="AH66" s="188">
        <f>opex_orig!$AD66</f>
        <v>4.2238793687378399E-4</v>
      </c>
      <c r="AI66" s="188">
        <f>opex_orig!AE66</f>
        <v>3.6867200000000001E-4</v>
      </c>
      <c r="AJ66" s="188">
        <f>opex_orig!AF66</f>
        <v>8.0632389999999998E-3</v>
      </c>
      <c r="AK66" s="188">
        <f>opex_orig!AG66</f>
        <v>1.276959E-3</v>
      </c>
      <c r="AL66" s="188">
        <f>opex_orig!AH66</f>
        <v>0.36272555400000001</v>
      </c>
      <c r="AM66" s="188">
        <f>opex_orig!AI66</f>
        <v>1.210453E-3</v>
      </c>
      <c r="AN66" s="188">
        <f>opex_orig!AJ66</f>
        <v>1.375315E-3</v>
      </c>
      <c r="AO66" s="188">
        <f>opex_orig!AK66</f>
        <v>2.6382710000000002E-3</v>
      </c>
      <c r="AP66" s="188">
        <f>opex_orig!$AL66</f>
        <v>2.5791858495999801E-3</v>
      </c>
      <c r="AQ66" s="188">
        <f>opex_orig!$AL66</f>
        <v>2.5791858495999801E-3</v>
      </c>
      <c r="AR66" s="188">
        <f>opex_orig!$AL66</f>
        <v>2.5791858495999801E-3</v>
      </c>
      <c r="AS66" s="188">
        <f>opex_orig!$AM66</f>
        <v>2.4088449482827E-3</v>
      </c>
      <c r="AT66" s="188">
        <f>opex_orig!AN66</f>
        <v>1.6485584000000001E-2</v>
      </c>
      <c r="AU66" s="188">
        <f>opex_orig!$AO66</f>
        <v>4.5868093885071602E-4</v>
      </c>
      <c r="AV66" s="188">
        <f>opex_orig!$AO66</f>
        <v>4.5868093885071602E-4</v>
      </c>
      <c r="AW66" s="188">
        <f>opex_orig!$AO66</f>
        <v>4.5868093885071602E-4</v>
      </c>
      <c r="AX66" s="188">
        <f>opex_orig!$AP66</f>
        <v>4.8855275370873405E-4</v>
      </c>
      <c r="AY66" s="188">
        <f>opex_orig!AQ66</f>
        <v>6.2733400000000001E-4</v>
      </c>
      <c r="AZ66" s="188">
        <f>opex_orig!AR66</f>
        <v>0</v>
      </c>
      <c r="BA66" s="188">
        <f>opex_orig!AS66</f>
        <v>5.6981299999999996E-4</v>
      </c>
      <c r="BB66" s="188">
        <f>opex_orig!AT66</f>
        <v>5.1449999999999998E-4</v>
      </c>
      <c r="BC66" s="188">
        <f>opex_orig!AU66</f>
        <v>1.9860400000000001E-4</v>
      </c>
      <c r="BD66" s="188">
        <f>opex_orig!AV66</f>
        <v>1.72659E-4</v>
      </c>
      <c r="BE66" s="188">
        <f>opex_orig!AW66</f>
        <v>3.4730200000000002E-4</v>
      </c>
      <c r="BF66" s="188">
        <f>opex_orig!AX66</f>
        <v>0</v>
      </c>
      <c r="BG66" s="188">
        <f>opex_orig!AY66</f>
        <v>8.6067999999999995E-4</v>
      </c>
      <c r="BH66" s="188">
        <f>opex_orig!AZ66</f>
        <v>0</v>
      </c>
      <c r="BI66" s="188">
        <f>opex_orig!BA66</f>
        <v>5.91864E-4</v>
      </c>
      <c r="BJ66" s="188">
        <f>opex_orig!BB66</f>
        <v>4.7521610000000004E-3</v>
      </c>
      <c r="BK66" s="188">
        <f>opex_orig!BC66</f>
        <v>2.4566919999999999E-3</v>
      </c>
      <c r="BL66" s="188">
        <f>opex_orig!BD66</f>
        <v>2.8680999999999997E-4</v>
      </c>
      <c r="BM66" s="188">
        <f>opex_orig!BE66</f>
        <v>5.0556489999999997E-3</v>
      </c>
      <c r="BN66" s="188">
        <f>opex_orig!BF66</f>
        <v>4.8198099999999998E-4</v>
      </c>
      <c r="BO66" s="188">
        <f>opex_orig!BG66</f>
        <v>1.8943930000000001E-3</v>
      </c>
      <c r="BP66" s="188">
        <f>opex_orig!$BH66</f>
        <v>1.45188643206604E-3</v>
      </c>
      <c r="BQ66" s="188">
        <f>opex_orig!$BH66</f>
        <v>1.45188643206604E-3</v>
      </c>
      <c r="BR66" s="188">
        <f>opex_orig!BI66</f>
        <v>5.4568289999999998E-3</v>
      </c>
      <c r="BS66" s="188">
        <f>opex_orig!BJ66</f>
        <v>7.8891699999999998E-4</v>
      </c>
      <c r="BT66" s="188">
        <f>opex_orig!BK66</f>
        <v>2.2188400000000001E-3</v>
      </c>
      <c r="BU66" s="188">
        <f>opex_orig!BL66</f>
        <v>0</v>
      </c>
      <c r="BV66" s="27">
        <f>opex_orig!BM66</f>
        <v>2.62868139358329E-4</v>
      </c>
      <c r="BW66" s="27">
        <f>opex_orig!BN66</f>
        <v>3.5803182564101798E-4</v>
      </c>
      <c r="BX66" s="27">
        <f>opex_orig!BO66</f>
        <v>1.1051343880352299E-4</v>
      </c>
      <c r="BY66" s="27">
        <f>opex_orig!BP66</f>
        <v>1.60881152947943E-4</v>
      </c>
      <c r="BZ66" s="27">
        <f>opex_orig!BQ66</f>
        <v>2.23369339827643E-4</v>
      </c>
      <c r="CA66" s="27">
        <f>opex_orig!BR66</f>
        <v>1.3922943420973299E-4</v>
      </c>
      <c r="CB66" s="27">
        <f>opex_orig!BS66</f>
        <v>7.7051574170377201E-4</v>
      </c>
      <c r="CC66" s="27">
        <f>opex_orig!BT66</f>
        <v>4.13705596051194E-6</v>
      </c>
      <c r="CD66" s="27">
        <f>opex_orig!BU66</f>
        <v>1.11331097744129E-4</v>
      </c>
      <c r="CE66" s="27">
        <f>opex_orig!BV66</f>
        <v>1.11331097744129E-4</v>
      </c>
      <c r="CF66" s="27">
        <f>opex_orig!BW66</f>
        <v>2.1506333903644599E-5</v>
      </c>
      <c r="CG66" s="27">
        <f>opex_orig!BX66</f>
        <v>3.8072718869367899E-6</v>
      </c>
      <c r="CH66" s="27">
        <f>opex_orig!BY66</f>
        <v>5.0628325175984399E-6</v>
      </c>
      <c r="CI66" s="27">
        <f>opex_orig!Y66</f>
        <v>2.0903499999999999E-4</v>
      </c>
      <c r="CJ66" s="27">
        <f>opex_orig!Z66</f>
        <v>2.0092740000000001E-3</v>
      </c>
      <c r="CK66" s="27">
        <f>opex_orig!AA66</f>
        <v>7.3797499999999998E-4</v>
      </c>
      <c r="CL66" s="27">
        <f>opex_orig!AB66</f>
        <v>4.1560928907110998E-4</v>
      </c>
      <c r="CM66" s="27">
        <f>opex_orig!AC66</f>
        <v>1.3185645507289799E-3</v>
      </c>
      <c r="CN66" s="27">
        <f>opex_orig!AD66</f>
        <v>4.2238793687378399E-4</v>
      </c>
      <c r="CO66" s="27">
        <f>opex_orig!AE66</f>
        <v>3.6867200000000001E-4</v>
      </c>
      <c r="CP66" s="27">
        <f>opex_orig!AF66</f>
        <v>8.0632389999999998E-3</v>
      </c>
    </row>
    <row r="67" spans="1:94" x14ac:dyDescent="0.25">
      <c r="A67" s="5" t="s">
        <v>153</v>
      </c>
      <c r="B67" s="2" t="s">
        <v>152</v>
      </c>
      <c r="C67" s="1" t="s">
        <v>329</v>
      </c>
      <c r="D67" s="188">
        <f>opex_orig!D67</f>
        <v>1.3011399999999999E-4</v>
      </c>
      <c r="E67" s="188">
        <f>opex_orig!E67</f>
        <v>2.4769100000000002E-4</v>
      </c>
      <c r="F67" s="188">
        <f>opex_orig!F67</f>
        <v>1.1056300000000001E-4</v>
      </c>
      <c r="G67" s="188">
        <f>opex_orig!G67</f>
        <v>1.8899999999999999E-5</v>
      </c>
      <c r="H67" s="188">
        <f>opex_orig!H67</f>
        <v>3.3000000000000003E-5</v>
      </c>
      <c r="I67" s="188">
        <f>opex_orig!I67</f>
        <v>8.8240599999999997E-4</v>
      </c>
      <c r="J67" s="188">
        <f>opex_orig!J67</f>
        <v>5.0399999999999999E-5</v>
      </c>
      <c r="K67" s="188">
        <f>opex_orig!K67</f>
        <v>5.38E-5</v>
      </c>
      <c r="L67" s="188">
        <f>opex_orig!L67</f>
        <v>4.5881200000000001E-4</v>
      </c>
      <c r="M67" s="188">
        <f>opex_orig!M67</f>
        <v>1.0828999999999999E-3</v>
      </c>
      <c r="N67" s="188">
        <f>opex_orig!N67</f>
        <v>5.44379E-4</v>
      </c>
      <c r="O67" s="188">
        <f>opex_orig!O67</f>
        <v>3.7499999999999997E-5</v>
      </c>
      <c r="P67" s="188">
        <f>opex_orig!P67</f>
        <v>2.642967E-3</v>
      </c>
      <c r="Q67" s="188">
        <f>opex_orig!Q67</f>
        <v>9.7E-5</v>
      </c>
      <c r="R67" s="188">
        <f>opex_orig!R67</f>
        <v>1.01E-4</v>
      </c>
      <c r="S67" s="188">
        <f>opex_orig!S67</f>
        <v>1.055814E-3</v>
      </c>
      <c r="T67" s="188">
        <f>opex_orig!T67</f>
        <v>1.120642E-3</v>
      </c>
      <c r="U67" s="188">
        <f>opex_orig!U67</f>
        <v>3.6399999999999997E-5</v>
      </c>
      <c r="V67" s="188">
        <f>opex_orig!V67</f>
        <v>4.2899999999999999E-5</v>
      </c>
      <c r="W67" s="188">
        <f>opex_orig!W67</f>
        <v>2.83E-5</v>
      </c>
      <c r="X67" s="188">
        <f>opex_orig!X67</f>
        <v>2.1100000000000001E-5</v>
      </c>
      <c r="Y67" s="188">
        <f>opex_orig!Y67</f>
        <v>2.34E-5</v>
      </c>
      <c r="Z67" s="188">
        <f>opex_orig!Z67</f>
        <v>1.7585699999999999E-4</v>
      </c>
      <c r="AA67" s="188">
        <f>opex_orig!AA67</f>
        <v>7.2100000000000004E-5</v>
      </c>
      <c r="AB67" s="188">
        <f>opex_orig!$AB67</f>
        <v>4.9587168488963299E-5</v>
      </c>
      <c r="AC67" s="188">
        <f>opex_orig!$AB67</f>
        <v>4.9587168488963299E-5</v>
      </c>
      <c r="AD67" s="188">
        <f>opex_orig!$AB67</f>
        <v>4.9587168488963299E-5</v>
      </c>
      <c r="AE67" s="188">
        <f>opex_orig!$AC67</f>
        <v>1.39257945647667E-4</v>
      </c>
      <c r="AF67" s="188">
        <f>opex_orig!$AD67</f>
        <v>4.1872903356080798E-5</v>
      </c>
      <c r="AG67" s="188">
        <f>opex_orig!$AD67</f>
        <v>4.1872903356080798E-5</v>
      </c>
      <c r="AH67" s="188">
        <f>opex_orig!$AD67</f>
        <v>4.1872903356080798E-5</v>
      </c>
      <c r="AI67" s="188">
        <f>opex_orig!AE67</f>
        <v>3.7700000000000002E-5</v>
      </c>
      <c r="AJ67" s="188">
        <f>opex_orig!AF67</f>
        <v>9.7210999999999999E-4</v>
      </c>
      <c r="AK67" s="188">
        <f>opex_orig!AG67</f>
        <v>1.4866200000000001E-4</v>
      </c>
      <c r="AL67" s="188">
        <f>opex_orig!AH67</f>
        <v>4.6716127000000003E-2</v>
      </c>
      <c r="AM67" s="188">
        <f>opex_orig!AI67</f>
        <v>1.46606E-4</v>
      </c>
      <c r="AN67" s="188">
        <f>opex_orig!AJ67</f>
        <v>1.5524899999999999E-4</v>
      </c>
      <c r="AO67" s="188">
        <f>opex_orig!AK67</f>
        <v>3.0996399999999998E-4</v>
      </c>
      <c r="AP67" s="188">
        <f>opex_orig!$AL67</f>
        <v>2.9090678961120401E-4</v>
      </c>
      <c r="AQ67" s="188">
        <f>opex_orig!$AL67</f>
        <v>2.9090678961120401E-4</v>
      </c>
      <c r="AR67" s="188">
        <f>opex_orig!$AL67</f>
        <v>2.9090678961120401E-4</v>
      </c>
      <c r="AS67" s="188">
        <f>opex_orig!$AM67</f>
        <v>2.68037201078195E-4</v>
      </c>
      <c r="AT67" s="188">
        <f>opex_orig!AN67</f>
        <v>2.064481E-3</v>
      </c>
      <c r="AU67" s="188">
        <f>opex_orig!$AO67</f>
        <v>4.8612219986296298E-5</v>
      </c>
      <c r="AV67" s="188">
        <f>opex_orig!$AO67</f>
        <v>4.8612219986296298E-5</v>
      </c>
      <c r="AW67" s="188">
        <f>opex_orig!$AO67</f>
        <v>4.8612219986296298E-5</v>
      </c>
      <c r="AX67" s="188">
        <f>opex_orig!$AP67</f>
        <v>5.5191340886276198E-5</v>
      </c>
      <c r="AY67" s="188">
        <f>opex_orig!AQ67</f>
        <v>7.2000000000000002E-5</v>
      </c>
      <c r="AZ67" s="188">
        <f>opex_orig!AR67</f>
        <v>0</v>
      </c>
      <c r="BA67" s="188">
        <f>opex_orig!AS67</f>
        <v>6.19E-5</v>
      </c>
      <c r="BB67" s="188">
        <f>opex_orig!AT67</f>
        <v>5.7399999999999999E-5</v>
      </c>
      <c r="BC67" s="188">
        <f>opex_orig!AU67</f>
        <v>2.0800000000000001E-5</v>
      </c>
      <c r="BD67" s="188">
        <f>opex_orig!AV67</f>
        <v>1.77E-5</v>
      </c>
      <c r="BE67" s="188">
        <f>opex_orig!AW67</f>
        <v>4.5899999999999998E-5</v>
      </c>
      <c r="BF67" s="188">
        <f>opex_orig!AX67</f>
        <v>0</v>
      </c>
      <c r="BG67" s="188">
        <f>opex_orig!AY67</f>
        <v>6.4800000000000003E-5</v>
      </c>
      <c r="BH67" s="188">
        <f>opex_orig!AZ67</f>
        <v>0</v>
      </c>
      <c r="BI67" s="188">
        <f>opex_orig!BA67</f>
        <v>6.0699999999999998E-5</v>
      </c>
      <c r="BJ67" s="188">
        <f>opex_orig!BB67</f>
        <v>5.8849200000000003E-4</v>
      </c>
      <c r="BK67" s="188">
        <f>opex_orig!BC67</f>
        <v>2.9938399999999998E-4</v>
      </c>
      <c r="BL67" s="188">
        <f>opex_orig!BD67</f>
        <v>3.0899999999999999E-5</v>
      </c>
      <c r="BM67" s="188">
        <f>opex_orig!BE67</f>
        <v>6.3537100000000003E-4</v>
      </c>
      <c r="BN67" s="188">
        <f>opex_orig!BF67</f>
        <v>6.2299999999999996E-5</v>
      </c>
      <c r="BO67" s="188">
        <f>opex_orig!BG67</f>
        <v>2.27054E-4</v>
      </c>
      <c r="BP67" s="188">
        <f>opex_orig!$BH67</f>
        <v>1.8028895627444401E-4</v>
      </c>
      <c r="BQ67" s="188">
        <f>opex_orig!$BH67</f>
        <v>1.8028895627444401E-4</v>
      </c>
      <c r="BR67" s="188">
        <f>opex_orig!BI67</f>
        <v>6.7223599999999999E-4</v>
      </c>
      <c r="BS67" s="188">
        <f>opex_orig!BJ67</f>
        <v>9.1399999999999999E-5</v>
      </c>
      <c r="BT67" s="188">
        <f>opex_orig!BK67</f>
        <v>2.7114000000000001E-4</v>
      </c>
      <c r="BU67" s="188">
        <f>opex_orig!BL67</f>
        <v>0</v>
      </c>
      <c r="BV67" s="27">
        <f>opex_orig!BM67</f>
        <v>2.93918791289906E-5</v>
      </c>
      <c r="BW67" s="27">
        <f>opex_orig!BN67</f>
        <v>3.6747038252134098E-5</v>
      </c>
      <c r="BX67" s="27">
        <f>opex_orig!BO67</f>
        <v>1.20368084117539E-5</v>
      </c>
      <c r="BY67" s="27">
        <f>opex_orig!BP67</f>
        <v>1.54125391637209E-5</v>
      </c>
      <c r="BZ67" s="27">
        <f>opex_orig!BQ67</f>
        <v>2.38875828180428E-5</v>
      </c>
      <c r="CA67" s="27">
        <f>opex_orig!BR67</f>
        <v>4.7219224402150897E-5</v>
      </c>
      <c r="CB67" s="27">
        <f>opex_orig!BS67</f>
        <v>9.0045975803021905E-5</v>
      </c>
      <c r="CC67" s="27">
        <f>opex_orig!BT67</f>
        <v>1.1611015932341201E-6</v>
      </c>
      <c r="CD67" s="27">
        <f>opex_orig!BU67</f>
        <v>1.0020855023198301E-5</v>
      </c>
      <c r="CE67" s="27">
        <f>opex_orig!BV67</f>
        <v>1.0020855023198401E-5</v>
      </c>
      <c r="CF67" s="27">
        <f>opex_orig!BW67</f>
        <v>9.9148774962773502E-6</v>
      </c>
      <c r="CG67" s="27">
        <f>opex_orig!BX67</f>
        <v>1.4515240675213599E-6</v>
      </c>
      <c r="CH67" s="27">
        <f>opex_orig!BY67</f>
        <v>9.9568773244286209E-7</v>
      </c>
      <c r="CI67" s="27">
        <f>opex_orig!Y67</f>
        <v>2.34E-5</v>
      </c>
      <c r="CJ67" s="27">
        <f>opex_orig!Z67</f>
        <v>1.7585699999999999E-4</v>
      </c>
      <c r="CK67" s="27">
        <f>opex_orig!AA67</f>
        <v>7.2100000000000004E-5</v>
      </c>
      <c r="CL67" s="27">
        <f>opex_orig!AB67</f>
        <v>4.9587168488963299E-5</v>
      </c>
      <c r="CM67" s="27">
        <f>opex_orig!AC67</f>
        <v>1.39257945647667E-4</v>
      </c>
      <c r="CN67" s="27">
        <f>opex_orig!AD67</f>
        <v>4.1872903356080798E-5</v>
      </c>
      <c r="CO67" s="27">
        <f>opex_orig!AE67</f>
        <v>3.7700000000000002E-5</v>
      </c>
      <c r="CP67" s="27">
        <f>opex_orig!AF67</f>
        <v>9.7210999999999999E-4</v>
      </c>
    </row>
    <row r="68" spans="1:94" x14ac:dyDescent="0.25">
      <c r="A68" s="5" t="s">
        <v>155</v>
      </c>
      <c r="B68" s="2" t="s">
        <v>154</v>
      </c>
      <c r="C68" s="1" t="s">
        <v>329</v>
      </c>
      <c r="D68" s="188">
        <f>opex_orig!D68</f>
        <v>2.4141200000000001E-4</v>
      </c>
      <c r="E68" s="188">
        <f>opex_orig!E68</f>
        <v>1.2349099999999999E-4</v>
      </c>
      <c r="F68" s="188">
        <f>opex_orig!F68</f>
        <v>1.4065400000000001E-4</v>
      </c>
      <c r="G68" s="188">
        <f>opex_orig!G68</f>
        <v>4.8600000000000002E-5</v>
      </c>
      <c r="H68" s="188">
        <f>opex_orig!H68</f>
        <v>7.0199999999999999E-5</v>
      </c>
      <c r="I68" s="188">
        <f>opex_orig!I68</f>
        <v>2.0379E-4</v>
      </c>
      <c r="J68" s="188">
        <f>opex_orig!J68</f>
        <v>3.5726399999999999E-4</v>
      </c>
      <c r="K68" s="188">
        <f>opex_orig!K68</f>
        <v>1.5487899999999999E-4</v>
      </c>
      <c r="L68" s="188">
        <f>opex_orig!L68</f>
        <v>1.9305E-4</v>
      </c>
      <c r="M68" s="188">
        <f>opex_orig!M68</f>
        <v>4.8546400000000001E-4</v>
      </c>
      <c r="N68" s="188">
        <f>opex_orig!N68</f>
        <v>4.1146500000000002E-4</v>
      </c>
      <c r="O68" s="188">
        <f>opex_orig!O68</f>
        <v>2.7822600000000002E-4</v>
      </c>
      <c r="P68" s="188">
        <f>opex_orig!P68</f>
        <v>2.4828459999999999E-3</v>
      </c>
      <c r="Q68" s="188">
        <f>opex_orig!Q68</f>
        <v>6.2215800000000004E-4</v>
      </c>
      <c r="R68" s="188">
        <f>opex_orig!R68</f>
        <v>3.5282899999999998E-4</v>
      </c>
      <c r="S68" s="188">
        <f>opex_orig!S68</f>
        <v>4.3548300000000002E-4</v>
      </c>
      <c r="T68" s="188">
        <f>opex_orig!T68</f>
        <v>5.5206799999999996E-4</v>
      </c>
      <c r="U68" s="188">
        <f>opex_orig!U68</f>
        <v>2.2428500000000001E-4</v>
      </c>
      <c r="V68" s="188">
        <f>opex_orig!V68</f>
        <v>2.77557E-4</v>
      </c>
      <c r="W68" s="188">
        <f>opex_orig!W68</f>
        <v>1.7858899999999999E-4</v>
      </c>
      <c r="X68" s="188">
        <f>opex_orig!X68</f>
        <v>1.4574799999999999E-4</v>
      </c>
      <c r="Y68" s="188">
        <f>opex_orig!Y68</f>
        <v>4.4593500000000001E-4</v>
      </c>
      <c r="Z68" s="188">
        <f>opex_orig!Z68</f>
        <v>3.03541E-4</v>
      </c>
      <c r="AA68" s="188">
        <f>opex_orig!AA68</f>
        <v>5.8098299999999998E-4</v>
      </c>
      <c r="AB68" s="188">
        <f>opex_orig!$AB68</f>
        <v>2.7002800195090202E-4</v>
      </c>
      <c r="AC68" s="188">
        <f>opex_orig!$AB68</f>
        <v>2.7002800195090202E-4</v>
      </c>
      <c r="AD68" s="188">
        <f>opex_orig!$AB68</f>
        <v>2.7002800195090202E-4</v>
      </c>
      <c r="AE68" s="188">
        <f>opex_orig!$AC68</f>
        <v>4.38679350905948E-4</v>
      </c>
      <c r="AF68" s="188">
        <f>opex_orig!$AD68</f>
        <v>2.3473292372275299E-4</v>
      </c>
      <c r="AG68" s="188">
        <f>opex_orig!$AD68</f>
        <v>2.3473292372275299E-4</v>
      </c>
      <c r="AH68" s="188">
        <f>opex_orig!$AD68</f>
        <v>2.3473292372275299E-4</v>
      </c>
      <c r="AI68" s="188">
        <f>opex_orig!AE68</f>
        <v>1.8924E-4</v>
      </c>
      <c r="AJ68" s="188">
        <f>opex_orig!AF68</f>
        <v>6.1029599999999997E-4</v>
      </c>
      <c r="AK68" s="188">
        <f>opex_orig!AG68</f>
        <v>4.4357199999999999E-4</v>
      </c>
      <c r="AL68" s="188">
        <f>opex_orig!AH68</f>
        <v>6.2332000000000002E-4</v>
      </c>
      <c r="AM68" s="188">
        <f>opex_orig!AI68</f>
        <v>4.9574099999999996E-4</v>
      </c>
      <c r="AN68" s="188">
        <f>opex_orig!AJ68</f>
        <v>0.1496681</v>
      </c>
      <c r="AO68" s="188">
        <f>opex_orig!AK68</f>
        <v>9.6754800000000004E-4</v>
      </c>
      <c r="AP68" s="188">
        <f>opex_orig!$AL68</f>
        <v>2.7816299237983502E-3</v>
      </c>
      <c r="AQ68" s="188">
        <f>opex_orig!$AL68</f>
        <v>2.7816299237983502E-3</v>
      </c>
      <c r="AR68" s="188">
        <f>opex_orig!$AL68</f>
        <v>2.7816299237983502E-3</v>
      </c>
      <c r="AS68" s="188">
        <f>opex_orig!$AM68</f>
        <v>2.6045948843853501E-3</v>
      </c>
      <c r="AT68" s="188">
        <f>opex_orig!AN68</f>
        <v>6.7626299999999997E-4</v>
      </c>
      <c r="AU68" s="188">
        <f>opex_orig!$AO68</f>
        <v>2.6785417875991598E-4</v>
      </c>
      <c r="AV68" s="188">
        <f>opex_orig!$AO68</f>
        <v>2.6785417875991598E-4</v>
      </c>
      <c r="AW68" s="188">
        <f>opex_orig!$AO68</f>
        <v>2.6785417875991598E-4</v>
      </c>
      <c r="AX68" s="188">
        <f>opex_orig!$AP68</f>
        <v>2.7838314207795199E-4</v>
      </c>
      <c r="AY68" s="188">
        <f>opex_orig!AQ68</f>
        <v>3.2107099999999998E-4</v>
      </c>
      <c r="AZ68" s="188">
        <f>opex_orig!AR68</f>
        <v>0</v>
      </c>
      <c r="BA68" s="188">
        <f>opex_orig!AS68</f>
        <v>2.7960600000000001E-4</v>
      </c>
      <c r="BB68" s="188">
        <f>opex_orig!AT68</f>
        <v>2.4913600000000001E-4</v>
      </c>
      <c r="BC68" s="188">
        <f>opex_orig!AU68</f>
        <v>1.1937E-4</v>
      </c>
      <c r="BD68" s="188">
        <f>opex_orig!AV68</f>
        <v>1.15103E-4</v>
      </c>
      <c r="BE68" s="188">
        <f>opex_orig!AW68</f>
        <v>2.62966E-4</v>
      </c>
      <c r="BF68" s="188">
        <f>opex_orig!AX68</f>
        <v>0</v>
      </c>
      <c r="BG68" s="188">
        <f>opex_orig!AY68</f>
        <v>6.1372599999999999E-4</v>
      </c>
      <c r="BH68" s="188">
        <f>opex_orig!AZ68</f>
        <v>0</v>
      </c>
      <c r="BI68" s="188">
        <f>opex_orig!BA68</f>
        <v>5.0520700000000003E-4</v>
      </c>
      <c r="BJ68" s="188">
        <f>opex_orig!BB68</f>
        <v>3.8246599999999998E-4</v>
      </c>
      <c r="BK68" s="188">
        <f>opex_orig!BC68</f>
        <v>3.7231500000000002E-4</v>
      </c>
      <c r="BL68" s="188">
        <f>opex_orig!BD68</f>
        <v>1.7833500000000001E-4</v>
      </c>
      <c r="BM68" s="188">
        <f>opex_orig!BE68</f>
        <v>2.4063840000000001E-3</v>
      </c>
      <c r="BN68" s="188">
        <f>opex_orig!BF68</f>
        <v>1.4025909999999999E-3</v>
      </c>
      <c r="BO68" s="188">
        <f>opex_orig!BG68</f>
        <v>3.6791999999999999E-4</v>
      </c>
      <c r="BP68" s="188">
        <f>opex_orig!$BH68</f>
        <v>2.8713709075298501E-4</v>
      </c>
      <c r="BQ68" s="188">
        <f>opex_orig!$BH68</f>
        <v>2.8713709075298501E-4</v>
      </c>
      <c r="BR68" s="188">
        <f>opex_orig!BI68</f>
        <v>2.7674999999999998E-4</v>
      </c>
      <c r="BS68" s="188">
        <f>opex_orig!BJ68</f>
        <v>2.86054E-4</v>
      </c>
      <c r="BT68" s="188">
        <f>opex_orig!BK68</f>
        <v>2.83138E-4</v>
      </c>
      <c r="BU68" s="188">
        <f>opex_orig!BL68</f>
        <v>0</v>
      </c>
      <c r="BV68" s="27">
        <f>opex_orig!BM68</f>
        <v>1.5859129823255901E-4</v>
      </c>
      <c r="BW68" s="27">
        <f>opex_orig!BN68</f>
        <v>2.8951997555392499E-4</v>
      </c>
      <c r="BX68" s="27">
        <f>opex_orig!BO68</f>
        <v>6.0438981032274798E-5</v>
      </c>
      <c r="BY68" s="27">
        <f>opex_orig!BP68</f>
        <v>1.3556516840418199E-4</v>
      </c>
      <c r="BZ68" s="27">
        <f>opex_orig!BQ68</f>
        <v>1.2644078500462501E-4</v>
      </c>
      <c r="CA68" s="27">
        <f>opex_orig!BR68</f>
        <v>3.1199143356136998E-4</v>
      </c>
      <c r="CB68" s="27">
        <f>opex_orig!BS68</f>
        <v>3.9449805786612402E-4</v>
      </c>
      <c r="CC68" s="27">
        <f>opex_orig!BT68</f>
        <v>7.5125109366559003E-6</v>
      </c>
      <c r="CD68" s="27">
        <f>opex_orig!BU68</f>
        <v>7.6075696372770801E-5</v>
      </c>
      <c r="CE68" s="27">
        <f>opex_orig!BV68</f>
        <v>7.6075696372771099E-5</v>
      </c>
      <c r="CF68" s="27">
        <f>opex_orig!BW68</f>
        <v>8.4723365634402795E-5</v>
      </c>
      <c r="CG68" s="27">
        <f>opex_orig!BX68</f>
        <v>9.6014431516426791E-7</v>
      </c>
      <c r="CH68" s="27">
        <f>opex_orig!BY68</f>
        <v>5.5584798922545001E-6</v>
      </c>
      <c r="CI68" s="27">
        <f>opex_orig!Y68</f>
        <v>4.4593500000000001E-4</v>
      </c>
      <c r="CJ68" s="27">
        <f>opex_orig!Z68</f>
        <v>3.03541E-4</v>
      </c>
      <c r="CK68" s="27">
        <f>opex_orig!AA68</f>
        <v>5.8098299999999998E-4</v>
      </c>
      <c r="CL68" s="27">
        <f>opex_orig!AB68</f>
        <v>2.7002800195090202E-4</v>
      </c>
      <c r="CM68" s="27">
        <f>opex_orig!AC68</f>
        <v>4.38679350905948E-4</v>
      </c>
      <c r="CN68" s="27">
        <f>opex_orig!AD68</f>
        <v>2.3473292372275299E-4</v>
      </c>
      <c r="CO68" s="27">
        <f>opex_orig!AE68</f>
        <v>1.8924E-4</v>
      </c>
      <c r="CP68" s="27">
        <f>opex_orig!AF68</f>
        <v>6.1029599999999997E-4</v>
      </c>
    </row>
    <row r="69" spans="1:94" x14ac:dyDescent="0.25">
      <c r="A69" s="5" t="s">
        <v>157</v>
      </c>
      <c r="B69" s="2" t="s">
        <v>156</v>
      </c>
      <c r="C69" s="1" t="s">
        <v>329</v>
      </c>
      <c r="D69" s="188">
        <f>opex_orig!D69</f>
        <v>3.5099999999999999E-5</v>
      </c>
      <c r="E69" s="188">
        <f>opex_orig!E69</f>
        <v>1.42E-5</v>
      </c>
      <c r="F69" s="188">
        <f>opex_orig!F69</f>
        <v>1.8300000000000001E-5</v>
      </c>
      <c r="G69" s="188">
        <f>opex_orig!G69</f>
        <v>3.7100000000000001E-6</v>
      </c>
      <c r="H69" s="188">
        <f>opex_orig!H69</f>
        <v>5.2399999999999998E-6</v>
      </c>
      <c r="I69" s="188">
        <f>opex_orig!I69</f>
        <v>2.0400000000000001E-5</v>
      </c>
      <c r="J69" s="188">
        <f>opex_orig!J69</f>
        <v>4.2500000000000003E-5</v>
      </c>
      <c r="K69" s="188">
        <f>opex_orig!K69</f>
        <v>1.19E-5</v>
      </c>
      <c r="L69" s="188">
        <f>opex_orig!L69</f>
        <v>2.2399999999999999E-5</v>
      </c>
      <c r="M69" s="188">
        <f>opex_orig!M69</f>
        <v>5.3499999999999999E-5</v>
      </c>
      <c r="N69" s="188">
        <f>opex_orig!N69</f>
        <v>4.8099999999999997E-5</v>
      </c>
      <c r="O69" s="188">
        <f>opex_orig!O69</f>
        <v>3.4600000000000001E-5</v>
      </c>
      <c r="P69" s="188">
        <f>opex_orig!P69</f>
        <v>3.4047599999999998E-4</v>
      </c>
      <c r="Q69" s="188">
        <f>opex_orig!Q69</f>
        <v>9.0400000000000002E-5</v>
      </c>
      <c r="R69" s="188">
        <f>opex_orig!R69</f>
        <v>4.8399999999999997E-5</v>
      </c>
      <c r="S69" s="188">
        <f>opex_orig!S69</f>
        <v>3.8999999999999999E-5</v>
      </c>
      <c r="T69" s="188">
        <f>opex_orig!T69</f>
        <v>5.1199999999999998E-5</v>
      </c>
      <c r="U69" s="188">
        <f>opex_orig!U69</f>
        <v>2.94E-5</v>
      </c>
      <c r="V69" s="188">
        <f>opex_orig!V69</f>
        <v>3.4499999999999998E-5</v>
      </c>
      <c r="W69" s="188">
        <f>opex_orig!W69</f>
        <v>2.6599999999999999E-5</v>
      </c>
      <c r="X69" s="188">
        <f>opex_orig!X69</f>
        <v>2.0000000000000002E-5</v>
      </c>
      <c r="Y69" s="188">
        <f>opex_orig!Y69</f>
        <v>2.19E-5</v>
      </c>
      <c r="Z69" s="188">
        <f>opex_orig!Z69</f>
        <v>1.01121E-4</v>
      </c>
      <c r="AA69" s="188">
        <f>opex_orig!AA69</f>
        <v>5.6100000000000002E-5</v>
      </c>
      <c r="AB69" s="188">
        <f>opex_orig!$AB69</f>
        <v>4.6167778606495799E-5</v>
      </c>
      <c r="AC69" s="188">
        <f>opex_orig!$AB69</f>
        <v>4.6167778606495799E-5</v>
      </c>
      <c r="AD69" s="188">
        <f>opex_orig!$AB69</f>
        <v>4.6167778606495799E-5</v>
      </c>
      <c r="AE69" s="188">
        <f>opex_orig!$AC69</f>
        <v>6.0461827037096301E-5</v>
      </c>
      <c r="AF69" s="188">
        <f>opex_orig!$AD69</f>
        <v>3.2447749983003601E-5</v>
      </c>
      <c r="AG69" s="188">
        <f>opex_orig!$AD69</f>
        <v>3.2447749983003601E-5</v>
      </c>
      <c r="AH69" s="188">
        <f>opex_orig!$AD69</f>
        <v>3.2447749983003601E-5</v>
      </c>
      <c r="AI69" s="188">
        <f>opex_orig!AE69</f>
        <v>2.8E-5</v>
      </c>
      <c r="AJ69" s="188">
        <f>opex_orig!AF69</f>
        <v>1.06005E-4</v>
      </c>
      <c r="AK69" s="188">
        <f>opex_orig!AG69</f>
        <v>9.1700000000000006E-5</v>
      </c>
      <c r="AL69" s="188">
        <f>opex_orig!AH69</f>
        <v>7.4099999999999999E-5</v>
      </c>
      <c r="AM69" s="188">
        <f>opex_orig!AI69</f>
        <v>7.8499999999999997E-5</v>
      </c>
      <c r="AN69" s="188">
        <f>opex_orig!AJ69</f>
        <v>4.636093E-3</v>
      </c>
      <c r="AO69" s="188">
        <f>opex_orig!AK69</f>
        <v>3.6350436999999999E-2</v>
      </c>
      <c r="AP69" s="188">
        <f>opex_orig!$AL69</f>
        <v>2.48639746040368E-3</v>
      </c>
      <c r="AQ69" s="188">
        <f>opex_orig!$AL69</f>
        <v>2.48639746040368E-3</v>
      </c>
      <c r="AR69" s="188">
        <f>opex_orig!$AL69</f>
        <v>2.48639746040368E-3</v>
      </c>
      <c r="AS69" s="188">
        <f>opex_orig!$AM69</f>
        <v>2.24748956443609E-3</v>
      </c>
      <c r="AT69" s="188">
        <f>opex_orig!AN69</f>
        <v>2.517119E-3</v>
      </c>
      <c r="AU69" s="188">
        <f>opex_orig!$AO69</f>
        <v>6.1908153570682894E-5</v>
      </c>
      <c r="AV69" s="188">
        <f>opex_orig!$AO69</f>
        <v>6.1908153570682894E-5</v>
      </c>
      <c r="AW69" s="188">
        <f>opex_orig!$AO69</f>
        <v>6.1908153570682894E-5</v>
      </c>
      <c r="AX69" s="188">
        <f>opex_orig!$AP69</f>
        <v>5.5719863602808799E-5</v>
      </c>
      <c r="AY69" s="188">
        <f>opex_orig!AQ69</f>
        <v>5.6700000000000003E-5</v>
      </c>
      <c r="AZ69" s="188">
        <f>opex_orig!AR69</f>
        <v>0</v>
      </c>
      <c r="BA69" s="188">
        <f>opex_orig!AS69</f>
        <v>6.2700000000000006E-5</v>
      </c>
      <c r="BB69" s="188">
        <f>opex_orig!AT69</f>
        <v>5.5899999999999997E-5</v>
      </c>
      <c r="BC69" s="188">
        <f>opex_orig!AU69</f>
        <v>1.59E-5</v>
      </c>
      <c r="BD69" s="188">
        <f>opex_orig!AV69</f>
        <v>1.4399999999999999E-5</v>
      </c>
      <c r="BE69" s="188">
        <f>opex_orig!AW69</f>
        <v>7.6199999999999995E-5</v>
      </c>
      <c r="BF69" s="188">
        <f>opex_orig!AX69</f>
        <v>0</v>
      </c>
      <c r="BG69" s="188">
        <f>opex_orig!AY69</f>
        <v>3.0818099999999998E-4</v>
      </c>
      <c r="BH69" s="188">
        <f>opex_orig!AZ69</f>
        <v>0</v>
      </c>
      <c r="BI69" s="188">
        <f>opex_orig!BA69</f>
        <v>7.36E-5</v>
      </c>
      <c r="BJ69" s="188">
        <f>opex_orig!BB69</f>
        <v>7.6000000000000004E-5</v>
      </c>
      <c r="BK69" s="188">
        <f>opex_orig!BC69</f>
        <v>2.97936E-4</v>
      </c>
      <c r="BL69" s="188">
        <f>opex_orig!BD69</f>
        <v>3.5200000000000002E-5</v>
      </c>
      <c r="BM69" s="188">
        <f>opex_orig!BE69</f>
        <v>8.81E-5</v>
      </c>
      <c r="BN69" s="188">
        <f>opex_orig!BF69</f>
        <v>2.9E-5</v>
      </c>
      <c r="BO69" s="188">
        <f>opex_orig!BG69</f>
        <v>7.7999999999999999E-5</v>
      </c>
      <c r="BP69" s="188">
        <f>opex_orig!$BH69</f>
        <v>4.6372021335316898E-5</v>
      </c>
      <c r="BQ69" s="188">
        <f>opex_orig!$BH69</f>
        <v>4.6372021335316898E-5</v>
      </c>
      <c r="BR69" s="188">
        <f>opex_orig!BI69</f>
        <v>5.2299999999999997E-5</v>
      </c>
      <c r="BS69" s="188">
        <f>opex_orig!BJ69</f>
        <v>5.0399999999999999E-5</v>
      </c>
      <c r="BT69" s="188">
        <f>opex_orig!BK69</f>
        <v>4.7500000000000003E-5</v>
      </c>
      <c r="BU69" s="188">
        <f>opex_orig!BL69</f>
        <v>0</v>
      </c>
      <c r="BV69" s="27">
        <f>opex_orig!BM69</f>
        <v>3.3252450419189E-5</v>
      </c>
      <c r="BW69" s="27">
        <f>opex_orig!BN69</f>
        <v>4.5405914345776003E-5</v>
      </c>
      <c r="BX69" s="27">
        <f>opex_orig!BO69</f>
        <v>9.2128079662930992E-6</v>
      </c>
      <c r="BY69" s="27">
        <f>opex_orig!BP69</f>
        <v>1.53221722935336E-5</v>
      </c>
      <c r="BZ69" s="27">
        <f>opex_orig!BQ69</f>
        <v>1.59509399322893E-5</v>
      </c>
      <c r="CA69" s="27">
        <f>opex_orig!BR69</f>
        <v>2.7013221465125301E-4</v>
      </c>
      <c r="CB69" s="27">
        <f>opex_orig!BS69</f>
        <v>4.9608938215236699E-5</v>
      </c>
      <c r="CC69" s="27">
        <f>opex_orig!BT69</f>
        <v>1.2475355140408701E-5</v>
      </c>
      <c r="CD69" s="27">
        <f>opex_orig!BU69</f>
        <v>9.8615925969017297E-6</v>
      </c>
      <c r="CE69" s="27">
        <f>opex_orig!BV69</f>
        <v>9.86159259690175E-6</v>
      </c>
      <c r="CF69" s="27">
        <f>opex_orig!BW69</f>
        <v>3.2061318155037299E-5</v>
      </c>
      <c r="CG69" s="27">
        <f>opex_orig!BX69</f>
        <v>5.1216800048968299E-7</v>
      </c>
      <c r="CH69" s="27">
        <f>opex_orig!BY69</f>
        <v>4.8684043004723799E-6</v>
      </c>
      <c r="CI69" s="27">
        <f>opex_orig!Y69</f>
        <v>2.19E-5</v>
      </c>
      <c r="CJ69" s="27">
        <f>opex_orig!Z69</f>
        <v>1.01121E-4</v>
      </c>
      <c r="CK69" s="27">
        <f>opex_orig!AA69</f>
        <v>5.6100000000000002E-5</v>
      </c>
      <c r="CL69" s="27">
        <f>opex_orig!AB69</f>
        <v>4.6167778606495799E-5</v>
      </c>
      <c r="CM69" s="27">
        <f>opex_orig!AC69</f>
        <v>6.0461827037096301E-5</v>
      </c>
      <c r="CN69" s="27">
        <f>opex_orig!AD69</f>
        <v>3.2447749983003601E-5</v>
      </c>
      <c r="CO69" s="27">
        <f>opex_orig!AE69</f>
        <v>2.8E-5</v>
      </c>
      <c r="CP69" s="27">
        <f>opex_orig!AF69</f>
        <v>1.06005E-4</v>
      </c>
    </row>
    <row r="70" spans="1:94" x14ac:dyDescent="0.25">
      <c r="A70" s="5" t="s">
        <v>159</v>
      </c>
      <c r="B70" s="2" t="s">
        <v>158</v>
      </c>
      <c r="C70" s="1" t="s">
        <v>329</v>
      </c>
      <c r="D70" s="188">
        <f>opex_orig!D70</f>
        <v>1.6134600000000001E-4</v>
      </c>
      <c r="E70" s="188">
        <f>opex_orig!E70</f>
        <v>5.77E-5</v>
      </c>
      <c r="F70" s="188">
        <f>opex_orig!F70</f>
        <v>6.4499999999999996E-5</v>
      </c>
      <c r="G70" s="188">
        <f>opex_orig!G70</f>
        <v>1.4399999999999999E-5</v>
      </c>
      <c r="H70" s="188">
        <f>opex_orig!H70</f>
        <v>2.1500000000000001E-5</v>
      </c>
      <c r="I70" s="188">
        <f>opex_orig!I70</f>
        <v>8.2899999999999996E-5</v>
      </c>
      <c r="J70" s="188">
        <f>opex_orig!J70</f>
        <v>1.7626499999999999E-4</v>
      </c>
      <c r="K70" s="188">
        <f>opex_orig!K70</f>
        <v>4.6499999999999999E-5</v>
      </c>
      <c r="L70" s="188">
        <f>opex_orig!L70</f>
        <v>8.7800000000000006E-5</v>
      </c>
      <c r="M70" s="188">
        <f>opex_orig!M70</f>
        <v>2.14556E-4</v>
      </c>
      <c r="N70" s="188">
        <f>opex_orig!N70</f>
        <v>1.7452799999999999E-4</v>
      </c>
      <c r="O70" s="188">
        <f>opex_orig!O70</f>
        <v>1.41669E-4</v>
      </c>
      <c r="P70" s="188">
        <f>opex_orig!P70</f>
        <v>2.312372E-3</v>
      </c>
      <c r="Q70" s="188">
        <f>opex_orig!Q70</f>
        <v>3.8814200000000001E-4</v>
      </c>
      <c r="R70" s="188">
        <f>opex_orig!R70</f>
        <v>1.8998800000000001E-4</v>
      </c>
      <c r="S70" s="188">
        <f>opex_orig!S70</f>
        <v>1.56372E-4</v>
      </c>
      <c r="T70" s="188">
        <f>opex_orig!T70</f>
        <v>2.06622E-4</v>
      </c>
      <c r="U70" s="188">
        <f>opex_orig!U70</f>
        <v>1.3721299999999999E-4</v>
      </c>
      <c r="V70" s="188">
        <f>opex_orig!V70</f>
        <v>1.5726100000000001E-4</v>
      </c>
      <c r="W70" s="188">
        <f>opex_orig!W70</f>
        <v>1.14368E-4</v>
      </c>
      <c r="X70" s="188">
        <f>opex_orig!X70</f>
        <v>7.9800000000000002E-5</v>
      </c>
      <c r="Y70" s="188">
        <f>opex_orig!Y70</f>
        <v>9.3700000000000001E-5</v>
      </c>
      <c r="Z70" s="188">
        <f>opex_orig!Z70</f>
        <v>3.5540399999999997E-4</v>
      </c>
      <c r="AA70" s="188">
        <f>opex_orig!AA70</f>
        <v>2.20728E-4</v>
      </c>
      <c r="AB70" s="188">
        <f>opex_orig!$AB70</f>
        <v>1.5875549024868901E-4</v>
      </c>
      <c r="AC70" s="188">
        <f>opex_orig!$AB70</f>
        <v>1.5875549024868901E-4</v>
      </c>
      <c r="AD70" s="188">
        <f>opex_orig!$AB70</f>
        <v>1.5875549024868901E-4</v>
      </c>
      <c r="AE70" s="188">
        <f>opex_orig!$AC70</f>
        <v>2.22041289113036E-4</v>
      </c>
      <c r="AF70" s="188">
        <f>opex_orig!$AD70</f>
        <v>1.2725787037740701E-4</v>
      </c>
      <c r="AG70" s="188">
        <f>opex_orig!$AD70</f>
        <v>1.2725787037740701E-4</v>
      </c>
      <c r="AH70" s="188">
        <f>opex_orig!$AD70</f>
        <v>1.2725787037740701E-4</v>
      </c>
      <c r="AI70" s="188">
        <f>opex_orig!AE70</f>
        <v>1.0794300000000001E-4</v>
      </c>
      <c r="AJ70" s="188">
        <f>opex_orig!AF70</f>
        <v>4.6803399999999998E-4</v>
      </c>
      <c r="AK70" s="188">
        <f>opex_orig!AG70</f>
        <v>4.6371200000000002E-4</v>
      </c>
      <c r="AL70" s="188">
        <f>opex_orig!AH70</f>
        <v>3.6824299999999998E-4</v>
      </c>
      <c r="AM70" s="188">
        <f>opex_orig!AI70</f>
        <v>4.1712699999999999E-4</v>
      </c>
      <c r="AN70" s="188">
        <f>opex_orig!AJ70</f>
        <v>4.8771699999999998E-4</v>
      </c>
      <c r="AO70" s="188">
        <f>opex_orig!AK70</f>
        <v>2.2621120000000002E-3</v>
      </c>
      <c r="AP70" s="305">
        <f>opex_concordance!M403</f>
        <v>0.14937267828621301</v>
      </c>
      <c r="AQ70" s="305">
        <f>opex_concordance!M457</f>
        <v>0.1751818586147437</v>
      </c>
      <c r="AR70" s="305">
        <f>opex_concordance!M511</f>
        <v>0.15685206704023794</v>
      </c>
      <c r="AS70" s="188">
        <f>opex_orig!$AM70</f>
        <v>0.134461538742562</v>
      </c>
      <c r="AT70" s="188">
        <f>opex_orig!AN70</f>
        <v>2.2892210000000001E-3</v>
      </c>
      <c r="AU70" s="188">
        <f>opex_orig!$AO70</f>
        <v>4.2253605473737701E-4</v>
      </c>
      <c r="AV70" s="188">
        <f>opex_orig!$AO70</f>
        <v>4.2253605473737701E-4</v>
      </c>
      <c r="AW70" s="188">
        <f>opex_orig!$AO70</f>
        <v>4.2253605473737701E-4</v>
      </c>
      <c r="AX70" s="188">
        <f>opex_orig!$AP70</f>
        <v>2.5298500185425601E-4</v>
      </c>
      <c r="AY70" s="188">
        <f>opex_orig!AQ70</f>
        <v>2.5632699999999999E-4</v>
      </c>
      <c r="AZ70" s="188">
        <f>opex_orig!AR70</f>
        <v>0</v>
      </c>
      <c r="BA70" s="188">
        <f>opex_orig!AS70</f>
        <v>2.47548E-4</v>
      </c>
      <c r="BB70" s="188">
        <f>opex_orig!AT70</f>
        <v>2.40201E-4</v>
      </c>
      <c r="BC70" s="188">
        <f>opex_orig!AU70</f>
        <v>5.8900000000000002E-5</v>
      </c>
      <c r="BD70" s="188">
        <f>opex_orig!AV70</f>
        <v>5.3900000000000002E-5</v>
      </c>
      <c r="BE70" s="188">
        <f>opex_orig!AW70</f>
        <v>2.4711699999999999E-4</v>
      </c>
      <c r="BF70" s="188">
        <f>opex_orig!AX70</f>
        <v>0</v>
      </c>
      <c r="BG70" s="188">
        <f>opex_orig!AY70</f>
        <v>4.8231700000000001E-4</v>
      </c>
      <c r="BH70" s="188">
        <f>opex_orig!AZ70</f>
        <v>0</v>
      </c>
      <c r="BI70" s="188">
        <f>opex_orig!BA70</f>
        <v>3.6243199999999999E-4</v>
      </c>
      <c r="BJ70" s="188">
        <f>opex_orig!BB70</f>
        <v>3.3336699999999999E-4</v>
      </c>
      <c r="BK70" s="188">
        <f>opex_orig!BC70</f>
        <v>3.19585E-4</v>
      </c>
      <c r="BL70" s="188">
        <f>opex_orig!BD70</f>
        <v>1.5713899999999999E-4</v>
      </c>
      <c r="BM70" s="188">
        <f>opex_orig!BE70</f>
        <v>2.6170499999999999E-4</v>
      </c>
      <c r="BN70" s="188">
        <f>opex_orig!BF70</f>
        <v>1.62912E-4</v>
      </c>
      <c r="BO70" s="188">
        <f>opex_orig!BG70</f>
        <v>1.96033E-4</v>
      </c>
      <c r="BP70" s="188">
        <f>opex_orig!$BH70</f>
        <v>2.4482752742497103E-4</v>
      </c>
      <c r="BQ70" s="188">
        <f>opex_orig!$BH70</f>
        <v>2.4482752742497103E-4</v>
      </c>
      <c r="BR70" s="188">
        <f>opex_orig!BI70</f>
        <v>2.59103E-4</v>
      </c>
      <c r="BS70" s="188">
        <f>opex_orig!BJ70</f>
        <v>2.4106799999999999E-4</v>
      </c>
      <c r="BT70" s="188">
        <f>opex_orig!BK70</f>
        <v>2.2896099999999999E-4</v>
      </c>
      <c r="BU70" s="188">
        <f>opex_orig!BL70</f>
        <v>0</v>
      </c>
      <c r="BV70" s="27">
        <f>opex_orig!BM70</f>
        <v>1.5168639457913599E-4</v>
      </c>
      <c r="BW70" s="27">
        <f>opex_orig!BN70</f>
        <v>1.7490380223197799E-4</v>
      </c>
      <c r="BX70" s="27">
        <f>opex_orig!BO70</f>
        <v>4.6749185306530302E-5</v>
      </c>
      <c r="BY70" s="27">
        <f>opex_orig!BP70</f>
        <v>6.2126918091481997E-5</v>
      </c>
      <c r="BZ70" s="27">
        <f>opex_orig!BQ70</f>
        <v>7.6970061505044401E-5</v>
      </c>
      <c r="CA70" s="27">
        <f>opex_orig!BR70</f>
        <v>1.8245150444857099E-3</v>
      </c>
      <c r="CB70" s="27">
        <f>opex_orig!BS70</f>
        <v>3.05573509777863E-4</v>
      </c>
      <c r="CC70" s="27">
        <f>opex_orig!BT70</f>
        <v>1.6745894111931301E-4</v>
      </c>
      <c r="CD70" s="27">
        <f>opex_orig!BU70</f>
        <v>4.6471645855372197E-5</v>
      </c>
      <c r="CE70" s="27">
        <f>opex_orig!BV70</f>
        <v>4.6471645855372299E-5</v>
      </c>
      <c r="CF70" s="27">
        <f>opex_orig!BW70</f>
        <v>6.5836435406445596E-4</v>
      </c>
      <c r="CG70" s="27">
        <f>opex_orig!BX70</f>
        <v>4.95166396899552E-5</v>
      </c>
      <c r="CH70" s="27">
        <f>opex_orig!BY70</f>
        <v>2.1815954152625901E-5</v>
      </c>
      <c r="CI70" s="27">
        <f>opex_orig!Y70</f>
        <v>9.3700000000000001E-5</v>
      </c>
      <c r="CJ70" s="27">
        <f>opex_orig!Z70</f>
        <v>3.5540399999999997E-4</v>
      </c>
      <c r="CK70" s="27">
        <f>opex_orig!AA70</f>
        <v>2.20728E-4</v>
      </c>
      <c r="CL70" s="27">
        <f>opex_orig!AB70</f>
        <v>1.5875549024868901E-4</v>
      </c>
      <c r="CM70" s="27">
        <f>opex_orig!AC70</f>
        <v>2.22041289113036E-4</v>
      </c>
      <c r="CN70" s="27">
        <f>opex_orig!AD70</f>
        <v>1.2725787037740701E-4</v>
      </c>
      <c r="CO70" s="27">
        <f>opex_orig!AE70</f>
        <v>1.0794300000000001E-4</v>
      </c>
      <c r="CP70" s="27">
        <f>opex_orig!AF70</f>
        <v>4.6803399999999998E-4</v>
      </c>
    </row>
    <row r="71" spans="1:94" x14ac:dyDescent="0.25">
      <c r="A71" s="5" t="s">
        <v>161</v>
      </c>
      <c r="B71" s="2" t="s">
        <v>160</v>
      </c>
      <c r="C71" s="1" t="s">
        <v>329</v>
      </c>
      <c r="D71" s="188">
        <f>opex_orig!D71</f>
        <v>3.4499999999999998E-5</v>
      </c>
      <c r="E71" s="188">
        <f>opex_orig!E71</f>
        <v>1.1600000000000001E-5</v>
      </c>
      <c r="F71" s="188">
        <f>opex_orig!F71</f>
        <v>1.2799999999999999E-5</v>
      </c>
      <c r="G71" s="188">
        <f>opex_orig!G71</f>
        <v>2.9399999999999998E-6</v>
      </c>
      <c r="H71" s="188">
        <f>opex_orig!H71</f>
        <v>4.3000000000000003E-6</v>
      </c>
      <c r="I71" s="188">
        <f>opex_orig!I71</f>
        <v>1.6399999999999999E-5</v>
      </c>
      <c r="J71" s="188">
        <f>opex_orig!J71</f>
        <v>3.5800000000000003E-5</v>
      </c>
      <c r="K71" s="188">
        <f>opex_orig!K71</f>
        <v>9.2599999999999994E-6</v>
      </c>
      <c r="L71" s="188">
        <f>opex_orig!L71</f>
        <v>1.7399999999999999E-5</v>
      </c>
      <c r="M71" s="188">
        <f>opex_orig!M71</f>
        <v>4.32E-5</v>
      </c>
      <c r="N71" s="188">
        <f>opex_orig!N71</f>
        <v>3.4900000000000001E-5</v>
      </c>
      <c r="O71" s="188">
        <f>opex_orig!O71</f>
        <v>2.8200000000000001E-5</v>
      </c>
      <c r="P71" s="188">
        <f>opex_orig!P71</f>
        <v>4.3473999999999997E-4</v>
      </c>
      <c r="Q71" s="188">
        <f>opex_orig!Q71</f>
        <v>7.2899999999999997E-5</v>
      </c>
      <c r="R71" s="188">
        <f>opex_orig!R71</f>
        <v>3.4999999999999997E-5</v>
      </c>
      <c r="S71" s="188">
        <f>opex_orig!S71</f>
        <v>2.83E-5</v>
      </c>
      <c r="T71" s="188">
        <f>opex_orig!T71</f>
        <v>3.7799999999999997E-5</v>
      </c>
      <c r="U71" s="188">
        <f>opex_orig!U71</f>
        <v>2.55E-5</v>
      </c>
      <c r="V71" s="188">
        <f>opex_orig!V71</f>
        <v>3.0199999999999999E-5</v>
      </c>
      <c r="W71" s="188">
        <f>opex_orig!W71</f>
        <v>2.1299999999999999E-5</v>
      </c>
      <c r="X71" s="188">
        <f>opex_orig!X71</f>
        <v>1.5500000000000001E-5</v>
      </c>
      <c r="Y71" s="188">
        <f>opex_orig!Y71</f>
        <v>1.5699999999999999E-5</v>
      </c>
      <c r="Z71" s="188">
        <f>opex_orig!Z71</f>
        <v>6.69E-5</v>
      </c>
      <c r="AA71" s="188">
        <f>opex_orig!AA71</f>
        <v>4.3999999999999999E-5</v>
      </c>
      <c r="AB71" s="188">
        <f>opex_orig!$AB71</f>
        <v>3.5252904607789799E-5</v>
      </c>
      <c r="AC71" s="188">
        <f>opex_orig!$AB71</f>
        <v>3.5252904607789799E-5</v>
      </c>
      <c r="AD71" s="188">
        <f>opex_orig!$AB71</f>
        <v>3.5252904607789799E-5</v>
      </c>
      <c r="AE71" s="188">
        <f>opex_orig!$AC71</f>
        <v>4.3026698432445299E-5</v>
      </c>
      <c r="AF71" s="188">
        <f>opex_orig!$AD71</f>
        <v>2.40244189461584E-5</v>
      </c>
      <c r="AG71" s="188">
        <f>opex_orig!$AD71</f>
        <v>2.40244189461584E-5</v>
      </c>
      <c r="AH71" s="188">
        <f>opex_orig!$AD71</f>
        <v>2.40244189461584E-5</v>
      </c>
      <c r="AI71" s="188">
        <f>opex_orig!AE71</f>
        <v>2.0299999999999999E-5</v>
      </c>
      <c r="AJ71" s="188">
        <f>opex_orig!AF71</f>
        <v>8.4599999999999996E-5</v>
      </c>
      <c r="AK71" s="188">
        <f>opex_orig!AG71</f>
        <v>9.5799999999999998E-5</v>
      </c>
      <c r="AL71" s="188">
        <f>opex_orig!AH71</f>
        <v>6.9400000000000006E-5</v>
      </c>
      <c r="AM71" s="188">
        <f>opex_orig!AI71</f>
        <v>8.2799999999999993E-5</v>
      </c>
      <c r="AN71" s="188">
        <f>opex_orig!AJ71</f>
        <v>9.1299999999999997E-5</v>
      </c>
      <c r="AO71" s="188">
        <f>opex_orig!AK71</f>
        <v>4.3712999999999998E-4</v>
      </c>
      <c r="AP71" s="254">
        <f>opex_concordance!M440</f>
        <v>2.8877782298888398E-2</v>
      </c>
      <c r="AQ71" s="254">
        <f>opex_concordance!M494</f>
        <v>2.3240566751840597E-2</v>
      </c>
      <c r="AR71" s="254">
        <f>opex_concordance!M548</f>
        <v>2.5504491024580817E-2</v>
      </c>
      <c r="AS71" s="188">
        <f>opex_orig!$AM71</f>
        <v>2.6086773455175499E-2</v>
      </c>
      <c r="AT71" s="188">
        <f>opex_orig!AN71</f>
        <v>4.3364400000000001E-4</v>
      </c>
      <c r="AU71" s="188">
        <f>opex_orig!$AO71</f>
        <v>4.5050856448853403E-5</v>
      </c>
      <c r="AV71" s="188">
        <f>opex_orig!$AO71</f>
        <v>4.5050856448853403E-5</v>
      </c>
      <c r="AW71" s="188">
        <f>opex_orig!$AO71</f>
        <v>4.5050856448853403E-5</v>
      </c>
      <c r="AX71" s="188">
        <f>opex_orig!$AP71</f>
        <v>5.0966293030572598E-5</v>
      </c>
      <c r="AY71" s="188">
        <f>opex_orig!AQ71</f>
        <v>5.2099999999999999E-5</v>
      </c>
      <c r="AZ71" s="188">
        <f>opex_orig!AR71</f>
        <v>0</v>
      </c>
      <c r="BA71" s="188">
        <f>opex_orig!AS71</f>
        <v>4.9200000000000003E-5</v>
      </c>
      <c r="BB71" s="188">
        <f>opex_orig!AT71</f>
        <v>5.0599999999999997E-5</v>
      </c>
      <c r="BC71" s="188">
        <f>opex_orig!AU71</f>
        <v>1.2E-5</v>
      </c>
      <c r="BD71" s="188">
        <f>opex_orig!AV71</f>
        <v>1.1E-5</v>
      </c>
      <c r="BE71" s="188">
        <f>opex_orig!AW71</f>
        <v>5.0899999999999997E-5</v>
      </c>
      <c r="BF71" s="188">
        <f>opex_orig!AX71</f>
        <v>0</v>
      </c>
      <c r="BG71" s="188">
        <f>opex_orig!AY71</f>
        <v>5.0399999999999999E-5</v>
      </c>
      <c r="BH71" s="188">
        <f>opex_orig!AZ71</f>
        <v>0</v>
      </c>
      <c r="BI71" s="188">
        <f>opex_orig!BA71</f>
        <v>7.1500000000000003E-5</v>
      </c>
      <c r="BJ71" s="188">
        <f>opex_orig!BB71</f>
        <v>7.0900000000000002E-5</v>
      </c>
      <c r="BK71" s="188">
        <f>opex_orig!BC71</f>
        <v>6.5199999999999999E-5</v>
      </c>
      <c r="BL71" s="188">
        <f>opex_orig!BD71</f>
        <v>3.2799999999999998E-5</v>
      </c>
      <c r="BM71" s="188">
        <f>opex_orig!BE71</f>
        <v>5.3999999999999998E-5</v>
      </c>
      <c r="BN71" s="188">
        <f>opex_orig!BF71</f>
        <v>4.1699999999999997E-5</v>
      </c>
      <c r="BO71" s="188">
        <f>opex_orig!BG71</f>
        <v>4.0500000000000002E-5</v>
      </c>
      <c r="BP71" s="188">
        <f>opex_orig!$BH71</f>
        <v>4.9948192686310203E-5</v>
      </c>
      <c r="BQ71" s="188">
        <f>opex_orig!$BH71</f>
        <v>4.9948192686310203E-5</v>
      </c>
      <c r="BR71" s="188">
        <f>opex_orig!BI71</f>
        <v>5.5300000000000002E-5</v>
      </c>
      <c r="BS71" s="188">
        <f>opex_orig!BJ71</f>
        <v>5.0800000000000002E-5</v>
      </c>
      <c r="BT71" s="188">
        <f>opex_orig!BK71</f>
        <v>4.74E-5</v>
      </c>
      <c r="BU71" s="188">
        <f>opex_orig!BL71</f>
        <v>0</v>
      </c>
      <c r="BV71" s="27">
        <f>opex_orig!BM71</f>
        <v>2.4939628197935798E-5</v>
      </c>
      <c r="BW71" s="27">
        <f>opex_orig!BN71</f>
        <v>3.3132655114363501E-5</v>
      </c>
      <c r="BX71" s="27">
        <f>opex_orig!BO71</f>
        <v>9.5220649883658898E-6</v>
      </c>
      <c r="BY71" s="27">
        <f>opex_orig!BP71</f>
        <v>1.1735954883976199E-5</v>
      </c>
      <c r="BZ71" s="27">
        <f>opex_orig!BQ71</f>
        <v>1.51295674489489E-5</v>
      </c>
      <c r="CA71" s="27">
        <f>opex_orig!BR71</f>
        <v>3.1520299985845303E-4</v>
      </c>
      <c r="CB71" s="27">
        <f>opex_orig!BS71</f>
        <v>5.83078778595066E-5</v>
      </c>
      <c r="CC71" s="27">
        <f>opex_orig!BT71</f>
        <v>4.4649560895554902E-5</v>
      </c>
      <c r="CD71" s="27">
        <f>opex_orig!BU71</f>
        <v>9.0765493347816995E-6</v>
      </c>
      <c r="CE71" s="27">
        <f>opex_orig!BV71</f>
        <v>9.0765493347817096E-6</v>
      </c>
      <c r="CF71" s="27">
        <f>opex_orig!BW71</f>
        <v>4.4911275736089502E-4</v>
      </c>
      <c r="CG71" s="27">
        <f>opex_orig!BX71</f>
        <v>1.52866298093599E-5</v>
      </c>
      <c r="CH71" s="27">
        <f>opex_orig!BY71</f>
        <v>1.3290809066799101E-6</v>
      </c>
      <c r="CI71" s="27">
        <f>opex_orig!Y71</f>
        <v>1.5699999999999999E-5</v>
      </c>
      <c r="CJ71" s="27">
        <f>opex_orig!Z71</f>
        <v>6.69E-5</v>
      </c>
      <c r="CK71" s="27">
        <f>opex_orig!AA71</f>
        <v>4.3999999999999999E-5</v>
      </c>
      <c r="CL71" s="27">
        <f>opex_orig!AB71</f>
        <v>3.5252904607789799E-5</v>
      </c>
      <c r="CM71" s="27">
        <f>opex_orig!AC71</f>
        <v>4.3026698432445299E-5</v>
      </c>
      <c r="CN71" s="27">
        <f>opex_orig!AD71</f>
        <v>2.40244189461584E-5</v>
      </c>
      <c r="CO71" s="27">
        <f>opex_orig!AE71</f>
        <v>2.0299999999999999E-5</v>
      </c>
      <c r="CP71" s="27">
        <f>opex_orig!AF71</f>
        <v>8.4599999999999996E-5</v>
      </c>
    </row>
    <row r="72" spans="1:94" x14ac:dyDescent="0.25">
      <c r="A72" s="5" t="s">
        <v>163</v>
      </c>
      <c r="B72" s="2" t="s">
        <v>162</v>
      </c>
      <c r="C72" s="1" t="s">
        <v>329</v>
      </c>
      <c r="D72" s="188">
        <f>opex_orig!D72</f>
        <v>2.13179E-4</v>
      </c>
      <c r="E72" s="188">
        <f>opex_orig!E72</f>
        <v>2.7685900000000001E-4</v>
      </c>
      <c r="F72" s="188">
        <f>opex_orig!F72</f>
        <v>1.5843199999999999E-4</v>
      </c>
      <c r="G72" s="188">
        <f>opex_orig!G72</f>
        <v>2.5599999999999999E-5</v>
      </c>
      <c r="H72" s="188">
        <f>opex_orig!H72</f>
        <v>4.6100000000000002E-5</v>
      </c>
      <c r="I72" s="188">
        <f>opex_orig!I72</f>
        <v>9.0241900000000001E-4</v>
      </c>
      <c r="J72" s="188">
        <f>opex_orig!J72</f>
        <v>1.3756799999999999E-4</v>
      </c>
      <c r="K72" s="188">
        <f>opex_orig!K72</f>
        <v>7.7600000000000002E-5</v>
      </c>
      <c r="L72" s="188">
        <f>opex_orig!L72</f>
        <v>5.0655700000000004E-4</v>
      </c>
      <c r="M72" s="188">
        <f>opex_orig!M72</f>
        <v>1.2224359999999999E-3</v>
      </c>
      <c r="N72" s="188">
        <f>opex_orig!N72</f>
        <v>6.89775E-4</v>
      </c>
      <c r="O72" s="188">
        <f>opex_orig!O72</f>
        <v>1.16474E-4</v>
      </c>
      <c r="P72" s="188">
        <f>opex_orig!P72</f>
        <v>5.1242700000000002E-3</v>
      </c>
      <c r="Q72" s="188">
        <f>opex_orig!Q72</f>
        <v>3.3827199999999998E-4</v>
      </c>
      <c r="R72" s="188">
        <f>opex_orig!R72</f>
        <v>3.1942899999999998E-4</v>
      </c>
      <c r="S72" s="188">
        <f>opex_orig!S72</f>
        <v>6.3533999999999997E-4</v>
      </c>
      <c r="T72" s="188">
        <f>opex_orig!T72</f>
        <v>7.0017899999999999E-4</v>
      </c>
      <c r="U72" s="188">
        <f>opex_orig!U72</f>
        <v>1.0173799999999999E-4</v>
      </c>
      <c r="V72" s="188">
        <f>opex_orig!V72</f>
        <v>1.17037E-4</v>
      </c>
      <c r="W72" s="188">
        <f>opex_orig!W72</f>
        <v>9.0099999999999995E-5</v>
      </c>
      <c r="X72" s="188">
        <f>opex_orig!X72</f>
        <v>6.3499999999999999E-5</v>
      </c>
      <c r="Y72" s="188">
        <f>opex_orig!Y72</f>
        <v>6.9575870000000003E-3</v>
      </c>
      <c r="Z72" s="188">
        <f>opex_orig!Z72</f>
        <v>3.2061749999999999E-3</v>
      </c>
      <c r="AA72" s="188">
        <f>opex_orig!AA72</f>
        <v>2.1936199999999999E-4</v>
      </c>
      <c r="AB72" s="188">
        <f>opex_orig!$AB72</f>
        <v>2.2817784509342699E-4</v>
      </c>
      <c r="AC72" s="188">
        <f>opex_orig!$AB72</f>
        <v>2.2817784509342699E-4</v>
      </c>
      <c r="AD72" s="188">
        <f>opex_orig!$AB72</f>
        <v>2.2817784509342699E-4</v>
      </c>
      <c r="AE72" s="188">
        <f>opex_orig!$AC72</f>
        <v>3.82147073953366E-4</v>
      </c>
      <c r="AF72" s="188">
        <f>opex_orig!$AD72</f>
        <v>4.0669151236746398E-4</v>
      </c>
      <c r="AG72" s="188">
        <f>opex_orig!$AD72</f>
        <v>4.0669151236746398E-4</v>
      </c>
      <c r="AH72" s="188">
        <f>opex_orig!$AD72</f>
        <v>4.0669151236746398E-4</v>
      </c>
      <c r="AI72" s="188">
        <f>opex_orig!AE72</f>
        <v>3.8175600000000002E-4</v>
      </c>
      <c r="AJ72" s="188">
        <f>opex_orig!AF72</f>
        <v>8.9276899999999996E-4</v>
      </c>
      <c r="AK72" s="188">
        <f>opex_orig!AG72</f>
        <v>3.0346399999999998E-4</v>
      </c>
      <c r="AL72" s="188">
        <f>opex_orig!AH72</f>
        <v>3.5247427999999997E-2</v>
      </c>
      <c r="AM72" s="188">
        <f>opex_orig!AI72</f>
        <v>6.5973340000000005E-2</v>
      </c>
      <c r="AN72" s="188">
        <f>opex_orig!AJ72</f>
        <v>6.5254968999999996E-2</v>
      </c>
      <c r="AO72" s="188">
        <f>opex_orig!AK72</f>
        <v>0.20061304799999999</v>
      </c>
      <c r="AP72" s="219">
        <f>opex_concordance!M441</f>
        <v>6.7832194266020995E-2</v>
      </c>
      <c r="AQ72" s="219">
        <f>opex_concordance!M495</f>
        <v>5.4590709994512397E-2</v>
      </c>
      <c r="AR72" s="219">
        <f>opex_concordance!M549</f>
        <v>5.9908533554598797E-2</v>
      </c>
      <c r="AS72" s="188">
        <f>opex_orig!$AM72</f>
        <v>6.1446348995724799E-2</v>
      </c>
      <c r="AT72" s="188">
        <f>opex_orig!AN72</f>
        <v>0.15219761500000001</v>
      </c>
      <c r="AU72" s="188">
        <f>opex_orig!$AO72</f>
        <v>9.9677363842564596E-4</v>
      </c>
      <c r="AV72" s="188">
        <f>opex_orig!$AO72</f>
        <v>9.9677363842564596E-4</v>
      </c>
      <c r="AW72" s="188">
        <f>opex_orig!$AO72</f>
        <v>9.9677363842564596E-4</v>
      </c>
      <c r="AX72" s="188">
        <f>opex_orig!$AP72</f>
        <v>1.1359719222405599E-3</v>
      </c>
      <c r="AY72" s="188">
        <f>opex_orig!AQ72</f>
        <v>2.7996599999999998E-4</v>
      </c>
      <c r="AZ72" s="188">
        <f>opex_orig!AR72</f>
        <v>0</v>
      </c>
      <c r="BA72" s="188">
        <f>opex_orig!AS72</f>
        <v>1.9449968000000002E-2</v>
      </c>
      <c r="BB72" s="188">
        <f>opex_orig!AT72</f>
        <v>2.3760784E-2</v>
      </c>
      <c r="BC72" s="188">
        <f>opex_orig!AU72</f>
        <v>4.74E-5</v>
      </c>
      <c r="BD72" s="188">
        <f>opex_orig!AV72</f>
        <v>4.1999999999999998E-5</v>
      </c>
      <c r="BE72" s="188">
        <f>opex_orig!AW72</f>
        <v>1.59994E-4</v>
      </c>
      <c r="BF72" s="188">
        <f>opex_orig!AX72</f>
        <v>0</v>
      </c>
      <c r="BG72" s="188">
        <f>opex_orig!AY72</f>
        <v>4.2492799999999998E-4</v>
      </c>
      <c r="BH72" s="188">
        <f>opex_orig!AZ72</f>
        <v>0</v>
      </c>
      <c r="BI72" s="188">
        <f>opex_orig!BA72</f>
        <v>9.9276599999999996E-4</v>
      </c>
      <c r="BJ72" s="188">
        <f>opex_orig!BB72</f>
        <v>1.240955E-3</v>
      </c>
      <c r="BK72" s="188">
        <f>opex_orig!BC72</f>
        <v>1.7159E-3</v>
      </c>
      <c r="BL72" s="188">
        <f>opex_orig!BD72</f>
        <v>1.14181E-4</v>
      </c>
      <c r="BM72" s="188">
        <f>opex_orig!BE72</f>
        <v>2.7861230000000002E-3</v>
      </c>
      <c r="BN72" s="188">
        <f>opex_orig!BF72</f>
        <v>2.1523199999999999E-4</v>
      </c>
      <c r="BO72" s="188">
        <f>opex_orig!BG72</f>
        <v>7.7439700000000002E-4</v>
      </c>
      <c r="BP72" s="188">
        <f>opex_orig!$BH72</f>
        <v>3.7001503794827399E-4</v>
      </c>
      <c r="BQ72" s="188">
        <f>opex_orig!$BH72</f>
        <v>3.7001503794827399E-4</v>
      </c>
      <c r="BR72" s="188">
        <f>opex_orig!BI72</f>
        <v>1.0312749999999999E-3</v>
      </c>
      <c r="BS72" s="188">
        <f>opex_orig!BJ72</f>
        <v>2.15851E-4</v>
      </c>
      <c r="BT72" s="188">
        <f>opex_orig!BK72</f>
        <v>6.7172200000000003E-4</v>
      </c>
      <c r="BU72" s="188">
        <f>opex_orig!BL72</f>
        <v>0</v>
      </c>
      <c r="BV72" s="27">
        <f>opex_orig!BM72</f>
        <v>1.07517037399245E-4</v>
      </c>
      <c r="BW72" s="27">
        <f>opex_orig!BN72</f>
        <v>1.28061120760397E-4</v>
      </c>
      <c r="BX72" s="27">
        <f>opex_orig!BO72</f>
        <v>3.7359507441653502E-5</v>
      </c>
      <c r="BY72" s="27">
        <f>opex_orig!BP72</f>
        <v>6.5008470155944895E-5</v>
      </c>
      <c r="BZ72" s="27">
        <f>opex_orig!BQ72</f>
        <v>9.2947818615565501E-5</v>
      </c>
      <c r="CA72" s="27">
        <f>opex_orig!BR72</f>
        <v>4.7811713463229703E-4</v>
      </c>
      <c r="CB72" s="27">
        <f>opex_orig!BS72</f>
        <v>3.8160624199342702E-4</v>
      </c>
      <c r="CC72" s="27">
        <f>opex_orig!BT72</f>
        <v>1.7744483794178999E-5</v>
      </c>
      <c r="CD72" s="27">
        <f>opex_orig!BU72</f>
        <v>3.0641345521258198E-5</v>
      </c>
      <c r="CE72" s="27">
        <f>opex_orig!BV72</f>
        <v>3.06413455212583E-5</v>
      </c>
      <c r="CF72" s="27">
        <f>opex_orig!BW72</f>
        <v>6.9488299515219304E-5</v>
      </c>
      <c r="CG72" s="27">
        <f>opex_orig!BX72</f>
        <v>7.5323351436103702E-6</v>
      </c>
      <c r="CH72" s="27">
        <f>opex_orig!BY72</f>
        <v>6.4692264151334903E-6</v>
      </c>
      <c r="CI72" s="27">
        <f>opex_orig!Y72</f>
        <v>6.9575870000000003E-3</v>
      </c>
      <c r="CJ72" s="27">
        <f>opex_orig!Z72</f>
        <v>3.2061749999999999E-3</v>
      </c>
      <c r="CK72" s="27">
        <f>opex_orig!AA72</f>
        <v>2.1936199999999999E-4</v>
      </c>
      <c r="CL72" s="27">
        <f>opex_orig!AB72</f>
        <v>2.2817784509342699E-4</v>
      </c>
      <c r="CM72" s="27">
        <f>opex_orig!AC72</f>
        <v>3.82147073953366E-4</v>
      </c>
      <c r="CN72" s="27">
        <f>opex_orig!AD72</f>
        <v>4.0669151236746398E-4</v>
      </c>
      <c r="CO72" s="27">
        <f>opex_orig!AE72</f>
        <v>3.8175600000000002E-4</v>
      </c>
      <c r="CP72" s="27">
        <f>opex_orig!AF72</f>
        <v>8.9276899999999996E-4</v>
      </c>
    </row>
    <row r="73" spans="1:94" x14ac:dyDescent="0.25">
      <c r="A73" s="5" t="s">
        <v>165</v>
      </c>
      <c r="B73" s="2" t="s">
        <v>164</v>
      </c>
      <c r="C73" s="1" t="s">
        <v>329</v>
      </c>
      <c r="D73" s="188">
        <f>opex_orig!D73</f>
        <v>6.9800000000000003E-5</v>
      </c>
      <c r="E73" s="188">
        <f>opex_orig!E73</f>
        <v>4.3900000000000003E-5</v>
      </c>
      <c r="F73" s="188">
        <f>opex_orig!F73</f>
        <v>3.7400000000000001E-5</v>
      </c>
      <c r="G73" s="188">
        <f>opex_orig!G73</f>
        <v>8.3499999999999997E-6</v>
      </c>
      <c r="H73" s="188">
        <f>opex_orig!H73</f>
        <v>5.6200000000000004E-6</v>
      </c>
      <c r="I73" s="188">
        <f>opex_orig!I73</f>
        <v>1.0922299999999999E-4</v>
      </c>
      <c r="J73" s="188">
        <f>opex_orig!J73</f>
        <v>3.3403799999999999E-4</v>
      </c>
      <c r="K73" s="188">
        <f>opex_orig!K73</f>
        <v>8.4800000000000001E-6</v>
      </c>
      <c r="L73" s="188">
        <f>opex_orig!L73</f>
        <v>8.5699999999999996E-5</v>
      </c>
      <c r="M73" s="188">
        <f>opex_orig!M73</f>
        <v>2.46202E-4</v>
      </c>
      <c r="N73" s="188">
        <f>opex_orig!N73</f>
        <v>1.2403699999999999E-4</v>
      </c>
      <c r="O73" s="188">
        <f>opex_orig!O73</f>
        <v>4.3558699999999998E-4</v>
      </c>
      <c r="P73" s="188">
        <f>opex_orig!P73</f>
        <v>2.10168E-4</v>
      </c>
      <c r="Q73" s="188">
        <f>opex_orig!Q73</f>
        <v>5.5300000000000002E-5</v>
      </c>
      <c r="R73" s="188">
        <f>opex_orig!R73</f>
        <v>9.1700000000000006E-5</v>
      </c>
      <c r="S73" s="188">
        <f>opex_orig!S73</f>
        <v>4.3849200000000002E-4</v>
      </c>
      <c r="T73" s="188">
        <f>opex_orig!T73</f>
        <v>9.0171900000000004E-4</v>
      </c>
      <c r="U73" s="188">
        <f>opex_orig!U73</f>
        <v>4.45167E-4</v>
      </c>
      <c r="V73" s="188">
        <f>opex_orig!V73</f>
        <v>2.2815499999999999E-4</v>
      </c>
      <c r="W73" s="188">
        <f>opex_orig!W73</f>
        <v>3.61617E-4</v>
      </c>
      <c r="X73" s="188">
        <f>opex_orig!X73</f>
        <v>7.2299999999999996E-5</v>
      </c>
      <c r="Y73" s="188">
        <f>opex_orig!Y73</f>
        <v>1.4157899999999999E-4</v>
      </c>
      <c r="Z73" s="188">
        <f>opex_orig!Z73</f>
        <v>5.8212800000000001E-4</v>
      </c>
      <c r="AA73" s="188">
        <f>opex_orig!AA73</f>
        <v>1.380392E-3</v>
      </c>
      <c r="AB73" s="188">
        <f>opex_orig!$AB73</f>
        <v>8.2209885105279906E-5</v>
      </c>
      <c r="AC73" s="188">
        <f>opex_orig!$AB73</f>
        <v>8.2209885105279906E-5</v>
      </c>
      <c r="AD73" s="188">
        <f>opex_orig!$AB73</f>
        <v>8.2209885105279906E-5</v>
      </c>
      <c r="AE73" s="188">
        <f>opex_orig!$AC73</f>
        <v>2.3040490317185501E-4</v>
      </c>
      <c r="AF73" s="188">
        <f>opex_orig!$AD73</f>
        <v>2.1033868188510599E-4</v>
      </c>
      <c r="AG73" s="188">
        <f>opex_orig!$AD73</f>
        <v>2.1033868188510599E-4</v>
      </c>
      <c r="AH73" s="188">
        <f>opex_orig!$AD73</f>
        <v>2.1033868188510599E-4</v>
      </c>
      <c r="AI73" s="188">
        <f>opex_orig!AE73</f>
        <v>1.81039E-4</v>
      </c>
      <c r="AJ73" s="188">
        <f>opex_orig!AF73</f>
        <v>7.8177800000000001E-4</v>
      </c>
      <c r="AK73" s="188">
        <f>opex_orig!AG73</f>
        <v>1.641287E-3</v>
      </c>
      <c r="AL73" s="188">
        <f>opex_orig!AH73</f>
        <v>2.43821E-4</v>
      </c>
      <c r="AM73" s="188">
        <f>opex_orig!AI73</f>
        <v>3.3080199999999999E-4</v>
      </c>
      <c r="AN73" s="188">
        <f>opex_orig!AJ73</f>
        <v>2.4259300000000001E-4</v>
      </c>
      <c r="AO73" s="188">
        <f>opex_orig!AK73</f>
        <v>3.7314100000000001E-4</v>
      </c>
      <c r="AP73" s="188">
        <f>opex_orig!$AL73</f>
        <v>1.3711388812176E-3</v>
      </c>
      <c r="AQ73" s="188">
        <f>opex_orig!$AL73</f>
        <v>1.3711388812176E-3</v>
      </c>
      <c r="AR73" s="188">
        <f>opex_orig!$AL73</f>
        <v>1.3711388812176E-3</v>
      </c>
      <c r="AS73" s="188">
        <f>opex_orig!$AM73</f>
        <v>1.22205286226133E-3</v>
      </c>
      <c r="AT73" s="188">
        <f>opex_orig!AN73</f>
        <v>1.067681E-3</v>
      </c>
      <c r="AU73" s="293">
        <f>opex_concordance!$M$598</f>
        <v>8.0744457062183E-2</v>
      </c>
      <c r="AV73" s="293">
        <f>opex_concordance!$M$644</f>
        <v>0.10969106036017423</v>
      </c>
      <c r="AW73" s="293">
        <f>opex_concordance!$M$690</f>
        <v>8.6866267403110223E-2</v>
      </c>
      <c r="AX73" s="188">
        <f>opex_orig!$AP73</f>
        <v>9.1472464956099994E-2</v>
      </c>
      <c r="AY73" s="188">
        <f>opex_orig!AQ73</f>
        <v>1.1246446E-2</v>
      </c>
      <c r="AZ73" s="188">
        <f>opex_orig!AR73</f>
        <v>0</v>
      </c>
      <c r="BA73" s="188">
        <f>opex_orig!AS73</f>
        <v>8.1897580000000001E-3</v>
      </c>
      <c r="BB73" s="188">
        <f>opex_orig!AT73</f>
        <v>6.3239589999999997E-3</v>
      </c>
      <c r="BC73" s="188">
        <f>opex_orig!AU73</f>
        <v>1.8705100000000001E-4</v>
      </c>
      <c r="BD73" s="188">
        <f>opex_orig!AV73</f>
        <v>1.35656E-4</v>
      </c>
      <c r="BE73" s="188">
        <f>opex_orig!AW73</f>
        <v>3.229581E-3</v>
      </c>
      <c r="BF73" s="188">
        <f>opex_orig!AX73</f>
        <v>0</v>
      </c>
      <c r="BG73" s="188">
        <f>opex_orig!AY73</f>
        <v>3.712187E-3</v>
      </c>
      <c r="BH73" s="188">
        <f>opex_orig!AZ73</f>
        <v>0</v>
      </c>
      <c r="BI73" s="188">
        <f>opex_orig!BA73</f>
        <v>5.5974673000000003E-2</v>
      </c>
      <c r="BJ73" s="188">
        <f>opex_orig!BB73</f>
        <v>2.4749489999999999E-2</v>
      </c>
      <c r="BK73" s="188">
        <f>opex_orig!BC73</f>
        <v>2.5519822000000001E-2</v>
      </c>
      <c r="BL73" s="188">
        <f>opex_orig!BD73</f>
        <v>2.5674200000000002E-4</v>
      </c>
      <c r="BM73" s="188">
        <f>opex_orig!BE73</f>
        <v>1.6142452000000002E-2</v>
      </c>
      <c r="BN73" s="188">
        <f>opex_orig!BF73</f>
        <v>2.3090299999999999E-4</v>
      </c>
      <c r="BO73" s="188">
        <f>opex_orig!BG73</f>
        <v>2.114758E-3</v>
      </c>
      <c r="BP73" s="325">
        <f>opex_concordance!M96</f>
        <v>6.2569182009794399E-3</v>
      </c>
      <c r="BQ73" s="325">
        <f>opex_concordance!M139</f>
        <v>4.0075743132071632E-3</v>
      </c>
      <c r="BR73" s="188">
        <f>opex_orig!BI73</f>
        <v>1.9938232E-2</v>
      </c>
      <c r="BS73" s="188">
        <f>opex_orig!BJ73</f>
        <v>7.3013380000000001E-3</v>
      </c>
      <c r="BT73" s="188">
        <f>opex_orig!BK73</f>
        <v>8.1315428999999995E-2</v>
      </c>
      <c r="BU73" s="188">
        <f>opex_orig!BL73</f>
        <v>0</v>
      </c>
      <c r="BV73" s="27">
        <f>opex_orig!BM73</f>
        <v>5.1633938331711599E-4</v>
      </c>
      <c r="BW73" s="27">
        <f>opex_orig!BN73</f>
        <v>9.0181707925569398E-4</v>
      </c>
      <c r="BX73" s="27">
        <f>opex_orig!BO73</f>
        <v>6.72890672352809E-5</v>
      </c>
      <c r="BY73" s="27">
        <f>opex_orig!BP73</f>
        <v>1.11595263486389E-4</v>
      </c>
      <c r="BZ73" s="27">
        <f>opex_orig!BQ73</f>
        <v>1.06460225429765E-4</v>
      </c>
      <c r="CA73" s="27">
        <f>opex_orig!BR73</f>
        <v>1.2278883803686E-3</v>
      </c>
      <c r="CB73" s="27">
        <f>opex_orig!BS73</f>
        <v>9.5417962627337202E-4</v>
      </c>
      <c r="CC73" s="27">
        <f>opex_orig!BT73</f>
        <v>6.3920031629681104E-4</v>
      </c>
      <c r="CD73" s="27">
        <f>opex_orig!BU73</f>
        <v>1.7095589690078399E-5</v>
      </c>
      <c r="CE73" s="27">
        <f>opex_orig!BV73</f>
        <v>1.7095589690078399E-5</v>
      </c>
      <c r="CF73" s="27">
        <f>opex_orig!BW73</f>
        <v>9.3440510585250606E-5</v>
      </c>
      <c r="CG73" s="27">
        <f>opex_orig!BX73</f>
        <v>1.40087304032452E-5</v>
      </c>
      <c r="CH73" s="27">
        <f>opex_orig!BY73</f>
        <v>3.8266351879052598E-5</v>
      </c>
      <c r="CI73" s="27">
        <f>opex_orig!Y73</f>
        <v>1.4157899999999999E-4</v>
      </c>
      <c r="CJ73" s="27">
        <f>opex_orig!Z73</f>
        <v>5.8212800000000001E-4</v>
      </c>
      <c r="CK73" s="27">
        <f>opex_orig!AA73</f>
        <v>1.380392E-3</v>
      </c>
      <c r="CL73" s="27">
        <f>opex_orig!AB73</f>
        <v>8.2209885105279906E-5</v>
      </c>
      <c r="CM73" s="27">
        <f>opex_orig!AC73</f>
        <v>2.3040490317185501E-4</v>
      </c>
      <c r="CN73" s="27">
        <f>opex_orig!AD73</f>
        <v>2.1033868188510599E-4</v>
      </c>
      <c r="CO73" s="27">
        <f>opex_orig!AE73</f>
        <v>1.81039E-4</v>
      </c>
      <c r="CP73" s="27">
        <f>opex_orig!AF73</f>
        <v>7.8177800000000001E-4</v>
      </c>
    </row>
    <row r="74" spans="1:94" x14ac:dyDescent="0.25">
      <c r="A74" s="5" t="s">
        <v>167</v>
      </c>
      <c r="B74" s="2" t="s">
        <v>166</v>
      </c>
      <c r="C74" s="1" t="s">
        <v>329</v>
      </c>
      <c r="D74" s="188">
        <f>opex_orig!D74</f>
        <v>7.1000000000000005E-5</v>
      </c>
      <c r="E74" s="188">
        <f>opex_orig!E74</f>
        <v>2.5599999999999999E-5</v>
      </c>
      <c r="F74" s="188">
        <f>opex_orig!F74</f>
        <v>1.56E-5</v>
      </c>
      <c r="G74" s="188">
        <f>opex_orig!G74</f>
        <v>1.44E-6</v>
      </c>
      <c r="H74" s="188">
        <f>opex_orig!H74</f>
        <v>3.4800000000000001E-6</v>
      </c>
      <c r="I74" s="188">
        <f>opex_orig!I74</f>
        <v>6.4599999999999998E-5</v>
      </c>
      <c r="J74" s="188">
        <f>opex_orig!J74</f>
        <v>4.9200000000000003E-5</v>
      </c>
      <c r="K74" s="188">
        <f>opex_orig!K74</f>
        <v>4.5499999999999996E-6</v>
      </c>
      <c r="L74" s="188">
        <f>opex_orig!L74</f>
        <v>4.3000000000000002E-5</v>
      </c>
      <c r="M74" s="188">
        <f>opex_orig!M74</f>
        <v>1.37472E-4</v>
      </c>
      <c r="N74" s="188">
        <f>opex_orig!N74</f>
        <v>6.3899999999999995E-5</v>
      </c>
      <c r="O74" s="188">
        <f>opex_orig!O74</f>
        <v>2.26827E-4</v>
      </c>
      <c r="P74" s="188">
        <f>opex_orig!P74</f>
        <v>1.18941E-4</v>
      </c>
      <c r="Q74" s="188">
        <f>opex_orig!Q74</f>
        <v>2.55E-5</v>
      </c>
      <c r="R74" s="188">
        <f>opex_orig!R74</f>
        <v>4.21E-5</v>
      </c>
      <c r="S74" s="188">
        <f>opex_orig!S74</f>
        <v>2.4388400000000001E-4</v>
      </c>
      <c r="T74" s="188">
        <f>opex_orig!T74</f>
        <v>5.55865E-4</v>
      </c>
      <c r="U74" s="188">
        <f>opex_orig!U74</f>
        <v>2.60766E-4</v>
      </c>
      <c r="V74" s="188">
        <f>opex_orig!V74</f>
        <v>9.8999999999999994E-5</v>
      </c>
      <c r="W74" s="188">
        <f>opex_orig!W74</f>
        <v>1.9688799999999999E-4</v>
      </c>
      <c r="X74" s="188">
        <f>opex_orig!X74</f>
        <v>4.4299999999999999E-5</v>
      </c>
      <c r="Y74" s="188">
        <f>opex_orig!Y74</f>
        <v>6.3800000000000006E-5</v>
      </c>
      <c r="Z74" s="188">
        <f>opex_orig!Z74</f>
        <v>3.6772399999999999E-4</v>
      </c>
      <c r="AA74" s="188">
        <f>opex_orig!AA74</f>
        <v>6.4627900000000004E-4</v>
      </c>
      <c r="AB74" s="188">
        <f>opex_orig!$AB74</f>
        <v>2.3434888237944002E-5</v>
      </c>
      <c r="AC74" s="188">
        <f>opex_orig!$AB74</f>
        <v>2.3434888237944002E-5</v>
      </c>
      <c r="AD74" s="188">
        <f>opex_orig!$AB74</f>
        <v>2.3434888237944002E-5</v>
      </c>
      <c r="AE74" s="188">
        <f>opex_orig!$AC74</f>
        <v>6.12612839228334E-5</v>
      </c>
      <c r="AF74" s="188">
        <f>opex_orig!$AD74</f>
        <v>7.8473932878503997E-5</v>
      </c>
      <c r="AG74" s="188">
        <f>opex_orig!$AD74</f>
        <v>7.8473932878503997E-5</v>
      </c>
      <c r="AH74" s="188">
        <f>opex_orig!$AD74</f>
        <v>7.8473932878503997E-5</v>
      </c>
      <c r="AI74" s="188">
        <f>opex_orig!AE74</f>
        <v>7.5699999999999997E-5</v>
      </c>
      <c r="AJ74" s="188">
        <f>opex_orig!AF74</f>
        <v>3.8081500000000001E-4</v>
      </c>
      <c r="AK74" s="188">
        <f>opex_orig!AG74</f>
        <v>7.7777499999999997E-4</v>
      </c>
      <c r="AL74" s="188">
        <f>opex_orig!AH74</f>
        <v>1.2599700000000001E-4</v>
      </c>
      <c r="AM74" s="188">
        <f>opex_orig!AI74</f>
        <v>1.6508500000000001E-4</v>
      </c>
      <c r="AN74" s="188">
        <f>opex_orig!AJ74</f>
        <v>1.24015E-4</v>
      </c>
      <c r="AO74" s="188">
        <f>opex_orig!AK74</f>
        <v>1.89865E-4</v>
      </c>
      <c r="AP74" s="188">
        <f>opex_orig!$AL74</f>
        <v>6.5942450289757995E-4</v>
      </c>
      <c r="AQ74" s="188">
        <f>opex_orig!$AL74</f>
        <v>6.5942450289757995E-4</v>
      </c>
      <c r="AR74" s="188">
        <f>opex_orig!$AL74</f>
        <v>6.5942450289757995E-4</v>
      </c>
      <c r="AS74" s="188">
        <f>opex_orig!$AM74</f>
        <v>5.8811940732029599E-4</v>
      </c>
      <c r="AT74" s="188">
        <f>opex_orig!AN74</f>
        <v>5.1941599999999997E-4</v>
      </c>
      <c r="AU74" s="310">
        <f>opex_concordance!M592</f>
        <v>3.8264487147094399E-2</v>
      </c>
      <c r="AV74" s="310">
        <f>opex_concordance!M638</f>
        <v>0</v>
      </c>
      <c r="AW74" s="310">
        <f>opex_concordance!M684</f>
        <v>3.1717906953443897E-2</v>
      </c>
      <c r="AX74" s="188">
        <f>opex_orig!$AP74</f>
        <v>4.3348898814086698E-2</v>
      </c>
      <c r="AY74" s="188">
        <f>opex_orig!AQ74</f>
        <v>5.3217890000000004E-3</v>
      </c>
      <c r="AZ74" s="188">
        <f>opex_orig!AR74</f>
        <v>0</v>
      </c>
      <c r="BA74" s="188">
        <f>opex_orig!AS74</f>
        <v>3.9084599999999999E-3</v>
      </c>
      <c r="BB74" s="188">
        <f>opex_orig!AT74</f>
        <v>3.0096480000000002E-3</v>
      </c>
      <c r="BC74" s="188">
        <f>opex_orig!AU74</f>
        <v>9.2100000000000003E-5</v>
      </c>
      <c r="BD74" s="188">
        <f>opex_orig!AV74</f>
        <v>6.2399999999999999E-5</v>
      </c>
      <c r="BE74" s="188">
        <f>opex_orig!AW74</f>
        <v>1.554136E-3</v>
      </c>
      <c r="BF74" s="188">
        <f>opex_orig!AX74</f>
        <v>0</v>
      </c>
      <c r="BG74" s="188">
        <f>opex_orig!AY74</f>
        <v>1.7116430000000001E-3</v>
      </c>
      <c r="BH74" s="188">
        <f>opex_orig!AZ74</f>
        <v>0</v>
      </c>
      <c r="BI74" s="188">
        <f>opex_orig!BA74</f>
        <v>2.6564634E-2</v>
      </c>
      <c r="BJ74" s="188">
        <f>opex_orig!BB74</f>
        <v>1.168133E-2</v>
      </c>
      <c r="BK74" s="188">
        <f>opex_orig!BC74</f>
        <v>1.2074550999999999E-2</v>
      </c>
      <c r="BL74" s="188">
        <f>opex_orig!BD74</f>
        <v>1.19852E-4</v>
      </c>
      <c r="BM74" s="188">
        <f>opex_orig!BE74</f>
        <v>7.6618449999999996E-3</v>
      </c>
      <c r="BN74" s="188">
        <f>opex_orig!BF74</f>
        <v>1.02138E-4</v>
      </c>
      <c r="BO74" s="188">
        <f>opex_orig!BG74</f>
        <v>9.9728399999999997E-4</v>
      </c>
      <c r="BP74" s="188">
        <f>opex_orig!$BH74</f>
        <v>2.9570541983872101E-3</v>
      </c>
      <c r="BQ74" s="188">
        <f>opex_orig!$BH74</f>
        <v>2.9570541983872101E-3</v>
      </c>
      <c r="BR74" s="188">
        <f>opex_orig!BI74</f>
        <v>9.4803969999999998E-3</v>
      </c>
      <c r="BS74" s="188">
        <f>opex_orig!BJ74</f>
        <v>3.4514609999999999E-3</v>
      </c>
      <c r="BT74" s="188">
        <f>opex_orig!BK74</f>
        <v>3.8569724E-2</v>
      </c>
      <c r="BU74" s="188">
        <f>opex_orig!BL74</f>
        <v>0</v>
      </c>
      <c r="BV74" s="27">
        <f>opex_orig!BM74</f>
        <v>3.7153578291141E-4</v>
      </c>
      <c r="BW74" s="27">
        <f>opex_orig!BN74</f>
        <v>6.5106237413209498E-4</v>
      </c>
      <c r="BX74" s="27">
        <f>opex_orig!BO74</f>
        <v>4.1330898842490603E-5</v>
      </c>
      <c r="BY74" s="27">
        <f>opex_orig!BP74</f>
        <v>7.4063263186285901E-5</v>
      </c>
      <c r="BZ74" s="27">
        <f>opex_orig!BQ74</f>
        <v>7.0347684173982601E-5</v>
      </c>
      <c r="CA74" s="27">
        <f>opex_orig!BR74</f>
        <v>4.9547859264665705E-4</v>
      </c>
      <c r="CB74" s="27">
        <f>opex_orig!BS74</f>
        <v>7.0971671469784202E-4</v>
      </c>
      <c r="CC74" s="27">
        <f>opex_orig!BT74</f>
        <v>1.40891249272068E-4</v>
      </c>
      <c r="CD74" s="27">
        <f>opex_orig!BU74</f>
        <v>1.0439632655583901E-5</v>
      </c>
      <c r="CE74" s="27">
        <f>opex_orig!BV74</f>
        <v>1.0439632655583901E-5</v>
      </c>
      <c r="CF74" s="27">
        <f>opex_orig!BW74</f>
        <v>2.12510103323914E-4</v>
      </c>
      <c r="CG74" s="27">
        <f>opex_orig!BX74</f>
        <v>1.03027707416684E-5</v>
      </c>
      <c r="CH74" s="27">
        <f>opex_orig!BY74</f>
        <v>2.1122474607704302E-5</v>
      </c>
      <c r="CI74" s="27">
        <f>opex_orig!Y74</f>
        <v>6.3800000000000006E-5</v>
      </c>
      <c r="CJ74" s="27">
        <f>opex_orig!Z74</f>
        <v>3.6772399999999999E-4</v>
      </c>
      <c r="CK74" s="27">
        <f>opex_orig!AA74</f>
        <v>6.4627900000000004E-4</v>
      </c>
      <c r="CL74" s="27">
        <f>opex_orig!AB74</f>
        <v>2.3434888237944002E-5</v>
      </c>
      <c r="CM74" s="27">
        <f>opex_orig!AC74</f>
        <v>6.12612839228334E-5</v>
      </c>
      <c r="CN74" s="27">
        <f>opex_orig!AD74</f>
        <v>7.8473932878503997E-5</v>
      </c>
      <c r="CO74" s="27">
        <f>opex_orig!AE74</f>
        <v>7.5699999999999997E-5</v>
      </c>
      <c r="CP74" s="27">
        <f>opex_orig!AF74</f>
        <v>3.8081500000000001E-4</v>
      </c>
    </row>
    <row r="75" spans="1:94" x14ac:dyDescent="0.25">
      <c r="A75" s="5" t="s">
        <v>169</v>
      </c>
      <c r="B75" s="2" t="s">
        <v>168</v>
      </c>
      <c r="C75" s="1" t="s">
        <v>329</v>
      </c>
      <c r="D75" s="188">
        <f>opex_orig!D75</f>
        <v>3.3000000000000003E-5</v>
      </c>
      <c r="E75" s="188">
        <f>opex_orig!E75</f>
        <v>1.2099999999999999E-5</v>
      </c>
      <c r="F75" s="188">
        <f>opex_orig!F75</f>
        <v>1.08E-5</v>
      </c>
      <c r="G75" s="188">
        <f>opex_orig!G75</f>
        <v>1.48E-6</v>
      </c>
      <c r="H75" s="188">
        <f>opex_orig!H75</f>
        <v>2.6900000000000001E-6</v>
      </c>
      <c r="I75" s="188">
        <f>opex_orig!I75</f>
        <v>2.05E-5</v>
      </c>
      <c r="J75" s="188">
        <f>opex_orig!J75</f>
        <v>2.0699999999999998E-5</v>
      </c>
      <c r="K75" s="188">
        <f>opex_orig!K75</f>
        <v>3.2100000000000002E-6</v>
      </c>
      <c r="L75" s="188">
        <f>opex_orig!L75</f>
        <v>1.4800000000000001E-5</v>
      </c>
      <c r="M75" s="188">
        <f>opex_orig!M75</f>
        <v>3.4100000000000002E-5</v>
      </c>
      <c r="N75" s="188">
        <f>opex_orig!N75</f>
        <v>5.1900000000000001E-5</v>
      </c>
      <c r="O75" s="188">
        <f>opex_orig!O75</f>
        <v>2.3900000000000002E-5</v>
      </c>
      <c r="P75" s="188">
        <f>opex_orig!P75</f>
        <v>4.4400000000000002E-5</v>
      </c>
      <c r="Q75" s="188">
        <f>opex_orig!Q75</f>
        <v>2.0000000000000002E-5</v>
      </c>
      <c r="R75" s="188">
        <f>opex_orig!R75</f>
        <v>1.9000000000000001E-5</v>
      </c>
      <c r="S75" s="188">
        <f>opex_orig!S75</f>
        <v>6.41E-5</v>
      </c>
      <c r="T75" s="188">
        <f>opex_orig!T75</f>
        <v>1.56057E-4</v>
      </c>
      <c r="U75" s="188">
        <f>opex_orig!U75</f>
        <v>8.1899999999999999E-5</v>
      </c>
      <c r="V75" s="188">
        <f>opex_orig!V75</f>
        <v>4.2500000000000003E-5</v>
      </c>
      <c r="W75" s="188">
        <f>opex_orig!W75</f>
        <v>5.4700000000000001E-5</v>
      </c>
      <c r="X75" s="188">
        <f>opex_orig!X75</f>
        <v>1.8700000000000001E-5</v>
      </c>
      <c r="Y75" s="188">
        <f>opex_orig!Y75</f>
        <v>1.3499999999999999E-5</v>
      </c>
      <c r="Z75" s="188">
        <f>opex_orig!Z75</f>
        <v>1.2746599999999999E-4</v>
      </c>
      <c r="AA75" s="188">
        <f>opex_orig!AA75</f>
        <v>5.7899999999999998E-5</v>
      </c>
      <c r="AB75" s="188">
        <f>opex_orig!$AB75</f>
        <v>7.9378699999555104E-5</v>
      </c>
      <c r="AC75" s="188">
        <f>opex_orig!$AB75</f>
        <v>7.9378699999555104E-5</v>
      </c>
      <c r="AD75" s="188">
        <f>opex_orig!$AB75</f>
        <v>7.9378699999555104E-5</v>
      </c>
      <c r="AE75" s="188">
        <f>opex_orig!$AC75</f>
        <v>1.3264968348479099E-4</v>
      </c>
      <c r="AF75" s="188">
        <f>opex_orig!$AD75</f>
        <v>4.2160929128266E-5</v>
      </c>
      <c r="AG75" s="188">
        <f>opex_orig!$AD75</f>
        <v>4.2160929128266E-5</v>
      </c>
      <c r="AH75" s="188">
        <f>opex_orig!$AD75</f>
        <v>4.2160929128266E-5</v>
      </c>
      <c r="AI75" s="188">
        <f>opex_orig!AE75</f>
        <v>3.3300000000000003E-5</v>
      </c>
      <c r="AJ75" s="188">
        <f>opex_orig!AF75</f>
        <v>3.3915799999999999E-4</v>
      </c>
      <c r="AK75" s="188">
        <f>opex_orig!AG75</f>
        <v>9.2399999999999996E-5</v>
      </c>
      <c r="AL75" s="188">
        <f>opex_orig!AH75</f>
        <v>5.4299999999999998E-5</v>
      </c>
      <c r="AM75" s="188">
        <f>opex_orig!AI75</f>
        <v>5.4599999999999999E-5</v>
      </c>
      <c r="AN75" s="188">
        <f>opex_orig!AJ75</f>
        <v>5.2599999999999998E-5</v>
      </c>
      <c r="AO75" s="188">
        <f>opex_orig!AK75</f>
        <v>6.5199999999999999E-5</v>
      </c>
      <c r="AP75" s="188">
        <f>opex_orig!$AL75</f>
        <v>3.8111883365890102E-5</v>
      </c>
      <c r="AQ75" s="188">
        <f>opex_orig!$AL75</f>
        <v>3.8111883365890102E-5</v>
      </c>
      <c r="AR75" s="188">
        <f>opex_orig!$AL75</f>
        <v>3.8111883365890102E-5</v>
      </c>
      <c r="AS75" s="188">
        <f>opex_orig!$AM75</f>
        <v>4.6658506987569601E-5</v>
      </c>
      <c r="AT75" s="188">
        <f>opex_orig!AN75</f>
        <v>7.1099999999999994E-5</v>
      </c>
      <c r="AU75" s="188">
        <f>opex_orig!$AO75</f>
        <v>1.4137271464666399E-4</v>
      </c>
      <c r="AV75" s="188">
        <f>opex_orig!$AO75</f>
        <v>1.4137271464666399E-4</v>
      </c>
      <c r="AW75" s="188">
        <f>opex_orig!$AO75</f>
        <v>1.4137271464666399E-4</v>
      </c>
      <c r="AX75" s="188">
        <f>opex_orig!$AP75</f>
        <v>1.37746433714706E-4</v>
      </c>
      <c r="AY75" s="188">
        <f>opex_orig!AQ75</f>
        <v>0.17711449900000001</v>
      </c>
      <c r="AZ75" s="188">
        <f>opex_orig!AR75</f>
        <v>0</v>
      </c>
      <c r="BA75" s="188">
        <f>opex_orig!AS75</f>
        <v>1.49433E-4</v>
      </c>
      <c r="BB75" s="188">
        <f>opex_orig!AT75</f>
        <v>1.09885E-4</v>
      </c>
      <c r="BC75" s="188">
        <f>opex_orig!AU75</f>
        <v>3.7499999999999997E-5</v>
      </c>
      <c r="BD75" s="188">
        <f>opex_orig!AV75</f>
        <v>2.8900000000000001E-5</v>
      </c>
      <c r="BE75" s="188">
        <f>opex_orig!AW75</f>
        <v>1.02692E-4</v>
      </c>
      <c r="BF75" s="188">
        <f>opex_orig!AX75</f>
        <v>0</v>
      </c>
      <c r="BG75" s="188">
        <f>opex_orig!AY75</f>
        <v>1.56809E-4</v>
      </c>
      <c r="BH75" s="188">
        <f>opex_orig!AZ75</f>
        <v>0</v>
      </c>
      <c r="BI75" s="188">
        <f>opex_orig!BA75</f>
        <v>2.8521689999999999E-2</v>
      </c>
      <c r="BJ75" s="188">
        <f>opex_orig!BB75</f>
        <v>3.7446700000000002E-4</v>
      </c>
      <c r="BK75" s="188">
        <f>opex_orig!BC75</f>
        <v>4.8566599999999999E-4</v>
      </c>
      <c r="BL75" s="188">
        <f>opex_orig!BD75</f>
        <v>3.2400000000000001E-5</v>
      </c>
      <c r="BM75" s="188">
        <f>opex_orig!BE75</f>
        <v>2.3217499999999999E-4</v>
      </c>
      <c r="BN75" s="188">
        <f>opex_orig!BF75</f>
        <v>3.1900000000000003E-5</v>
      </c>
      <c r="BO75" s="188">
        <f>opex_orig!BG75</f>
        <v>6.1727500000000003E-4</v>
      </c>
      <c r="BP75" s="188">
        <f>opex_orig!$BH75</f>
        <v>5.85338013947898E-5</v>
      </c>
      <c r="BQ75" s="188">
        <f>opex_orig!$BH75</f>
        <v>5.85338013947898E-5</v>
      </c>
      <c r="BR75" s="188">
        <f>opex_orig!BI75</f>
        <v>1.8202100000000001E-4</v>
      </c>
      <c r="BS75" s="188">
        <f>opex_orig!BJ75</f>
        <v>3.4224540000000001E-3</v>
      </c>
      <c r="BT75" s="188">
        <f>opex_orig!BK75</f>
        <v>3.0333249999999999E-3</v>
      </c>
      <c r="BU75" s="188">
        <f>opex_orig!BL75</f>
        <v>0</v>
      </c>
      <c r="BV75" s="27">
        <f>opex_orig!BM75</f>
        <v>1.11174648293529E-4</v>
      </c>
      <c r="BW75" s="27">
        <f>opex_orig!BN75</f>
        <v>2.2449300693183101E-4</v>
      </c>
      <c r="BX75" s="27">
        <f>opex_orig!BO75</f>
        <v>1.46862184936399E-5</v>
      </c>
      <c r="BY75" s="27">
        <f>opex_orig!BP75</f>
        <v>4.8980379473657597E-5</v>
      </c>
      <c r="BZ75" s="27">
        <f>opex_orig!BQ75</f>
        <v>6.5432675878094505E-5</v>
      </c>
      <c r="CA75" s="27">
        <f>opex_orig!BR75</f>
        <v>1.4883156345243201E-5</v>
      </c>
      <c r="CB75" s="27">
        <f>opex_orig!BS75</f>
        <v>2.23083075881263E-4</v>
      </c>
      <c r="CC75" s="27">
        <f>opex_orig!BT75</f>
        <v>1.8879571229497399E-5</v>
      </c>
      <c r="CD75" s="27">
        <f>opex_orig!BU75</f>
        <v>3.89755449213673E-6</v>
      </c>
      <c r="CE75" s="27">
        <f>opex_orig!BV75</f>
        <v>3.8975544921367402E-6</v>
      </c>
      <c r="CF75" s="27">
        <f>opex_orig!BW75</f>
        <v>3.0121470694630501E-5</v>
      </c>
      <c r="CG75" s="27">
        <f>opex_orig!BX75</f>
        <v>4.7132545535384597E-6</v>
      </c>
      <c r="CH75" s="27">
        <f>opex_orig!BY75</f>
        <v>2.3819706953741099E-5</v>
      </c>
      <c r="CI75" s="27">
        <f>opex_orig!Y75</f>
        <v>1.3499999999999999E-5</v>
      </c>
      <c r="CJ75" s="27">
        <f>opex_orig!Z75</f>
        <v>1.2746599999999999E-4</v>
      </c>
      <c r="CK75" s="27">
        <f>opex_orig!AA75</f>
        <v>5.7899999999999998E-5</v>
      </c>
      <c r="CL75" s="27">
        <f>opex_orig!AB75</f>
        <v>7.9378699999555104E-5</v>
      </c>
      <c r="CM75" s="27">
        <f>opex_orig!AC75</f>
        <v>1.3264968348479099E-4</v>
      </c>
      <c r="CN75" s="27">
        <f>opex_orig!AD75</f>
        <v>4.2160929128266E-5</v>
      </c>
      <c r="CO75" s="27">
        <f>opex_orig!AE75</f>
        <v>3.3300000000000003E-5</v>
      </c>
      <c r="CP75" s="27">
        <f>opex_orig!AF75</f>
        <v>3.3915799999999999E-4</v>
      </c>
    </row>
    <row r="76" spans="1:94" x14ac:dyDescent="0.25">
      <c r="A76" s="5" t="s">
        <v>171</v>
      </c>
      <c r="B76" s="2" t="s">
        <v>170</v>
      </c>
      <c r="C76" s="1" t="s">
        <v>329</v>
      </c>
      <c r="D76" s="188">
        <f>opex_orig!D76</f>
        <v>6.96E-9</v>
      </c>
      <c r="E76" s="188">
        <f>opex_orig!E76</f>
        <v>1.7800000000000001E-9</v>
      </c>
      <c r="F76" s="188">
        <f>opex_orig!F76</f>
        <v>4.5299999999999999E-9</v>
      </c>
      <c r="G76" s="188">
        <f>opex_orig!G76</f>
        <v>1.8400000000000001E-10</v>
      </c>
      <c r="H76" s="188">
        <f>opex_orig!H76</f>
        <v>3.58E-10</v>
      </c>
      <c r="I76" s="188">
        <f>opex_orig!I76</f>
        <v>3.46E-9</v>
      </c>
      <c r="J76" s="188">
        <f>opex_orig!J76</f>
        <v>1.5400000000000001E-9</v>
      </c>
      <c r="K76" s="188">
        <f>opex_orig!K76</f>
        <v>4.64E-10</v>
      </c>
      <c r="L76" s="188">
        <f>opex_orig!L76</f>
        <v>3.5699999999999999E-9</v>
      </c>
      <c r="M76" s="188">
        <f>opex_orig!M76</f>
        <v>1.04E-8</v>
      </c>
      <c r="N76" s="188">
        <f>opex_orig!N76</f>
        <v>7.7900000000000006E-9</v>
      </c>
      <c r="O76" s="188">
        <f>opex_orig!O76</f>
        <v>2.0799999999999998E-9</v>
      </c>
      <c r="P76" s="188">
        <f>opex_orig!P76</f>
        <v>2.4599999999999999E-8</v>
      </c>
      <c r="Q76" s="188">
        <f>opex_orig!Q76</f>
        <v>3.3000000000000002E-9</v>
      </c>
      <c r="R76" s="188">
        <f>opex_orig!R76</f>
        <v>1.8299999999999998E-8</v>
      </c>
      <c r="S76" s="188">
        <f>opex_orig!S76</f>
        <v>1.13E-8</v>
      </c>
      <c r="T76" s="188">
        <f>opex_orig!T76</f>
        <v>1.2100000000000001E-8</v>
      </c>
      <c r="U76" s="188">
        <f>opex_orig!U76</f>
        <v>9.4899999999999993E-9</v>
      </c>
      <c r="V76" s="188">
        <f>opex_orig!V76</f>
        <v>1.03E-8</v>
      </c>
      <c r="W76" s="188">
        <f>opex_orig!W76</f>
        <v>1.55E-8</v>
      </c>
      <c r="X76" s="188">
        <f>opex_orig!X76</f>
        <v>1.1700000000000001E-9</v>
      </c>
      <c r="Y76" s="188">
        <f>opex_orig!Y76</f>
        <v>4.0499999999999999E-9</v>
      </c>
      <c r="Z76" s="188">
        <f>opex_orig!Z76</f>
        <v>8.7299999999999994E-9</v>
      </c>
      <c r="AA76" s="188">
        <f>opex_orig!AA76</f>
        <v>2.5200000000000001E-8</v>
      </c>
      <c r="AB76" s="188">
        <f>opex_orig!$AB76</f>
        <v>4.1058205390244502E-9</v>
      </c>
      <c r="AC76" s="188">
        <f>opex_orig!$AB76</f>
        <v>4.1058205390244502E-9</v>
      </c>
      <c r="AD76" s="188">
        <f>opex_orig!$AB76</f>
        <v>4.1058205390244502E-9</v>
      </c>
      <c r="AE76" s="188">
        <f>opex_orig!$AC76</f>
        <v>6.2561078037399999E-9</v>
      </c>
      <c r="AF76" s="188">
        <f>opex_orig!$AD76</f>
        <v>1.0163879830782401E-9</v>
      </c>
      <c r="AG76" s="188">
        <f>opex_orig!$AD76</f>
        <v>1.0163879830782401E-9</v>
      </c>
      <c r="AH76" s="188">
        <f>opex_orig!$AD76</f>
        <v>1.0163879830782401E-9</v>
      </c>
      <c r="AI76" s="188">
        <f>opex_orig!AE76</f>
        <v>9.4800000000000004E-10</v>
      </c>
      <c r="AJ76" s="188">
        <f>opex_orig!AF76</f>
        <v>5.5199999999999997E-7</v>
      </c>
      <c r="AK76" s="188">
        <f>opex_orig!AG76</f>
        <v>1.5900000000000001E-7</v>
      </c>
      <c r="AL76" s="188">
        <f>opex_orig!AH76</f>
        <v>1.24E-8</v>
      </c>
      <c r="AM76" s="188">
        <f>opex_orig!AI76</f>
        <v>1.7100000000000001E-8</v>
      </c>
      <c r="AN76" s="188">
        <f>opex_orig!AJ76</f>
        <v>1.1700000000000001E-8</v>
      </c>
      <c r="AO76" s="188">
        <f>opex_orig!AK76</f>
        <v>1.7900000000000001E-8</v>
      </c>
      <c r="AP76" s="188">
        <f>opex_orig!$AL76</f>
        <v>1.11923180324565E-8</v>
      </c>
      <c r="AQ76" s="188">
        <f>opex_orig!$AL76</f>
        <v>1.11923180324565E-8</v>
      </c>
      <c r="AR76" s="188">
        <f>opex_orig!$AL76</f>
        <v>1.11923180324565E-8</v>
      </c>
      <c r="AS76" s="188">
        <f>opex_orig!$AM76</f>
        <v>1.02703159432469E-8</v>
      </c>
      <c r="AT76" s="188">
        <f>opex_orig!AN76</f>
        <v>2.4E-8</v>
      </c>
      <c r="AU76" s="188">
        <f>opex_orig!$AO76</f>
        <v>1.2819430444289101E-7</v>
      </c>
      <c r="AV76" s="188">
        <f>opex_orig!$AO76</f>
        <v>1.2819430444289101E-7</v>
      </c>
      <c r="AW76" s="188">
        <f>opex_orig!$AO76</f>
        <v>1.2819430444289101E-7</v>
      </c>
      <c r="AX76" s="188">
        <f>opex_orig!$AP76</f>
        <v>1.4335559861317099E-7</v>
      </c>
      <c r="AY76" s="188">
        <f>opex_orig!AQ76</f>
        <v>6.8700000000000003E-5</v>
      </c>
      <c r="AZ76" s="188">
        <f>opex_orig!AR76</f>
        <v>0</v>
      </c>
      <c r="BA76" s="188">
        <f>opex_orig!AS76</f>
        <v>7.6799999999999999E-8</v>
      </c>
      <c r="BB76" s="188">
        <f>opex_orig!AT76</f>
        <v>6.87E-8</v>
      </c>
      <c r="BC76" s="188">
        <f>opex_orig!AU76</f>
        <v>7.1099999999999996E-9</v>
      </c>
      <c r="BD76" s="188">
        <f>opex_orig!AV76</f>
        <v>5.2199999999999998E-9</v>
      </c>
      <c r="BE76" s="188">
        <f>opex_orig!AW76</f>
        <v>3.1E-7</v>
      </c>
      <c r="BF76" s="188">
        <f>opex_orig!AX76</f>
        <v>0</v>
      </c>
      <c r="BG76" s="188">
        <f>opex_orig!AY76</f>
        <v>2.9399999999999999E-8</v>
      </c>
      <c r="BH76" s="188">
        <f>opex_orig!AZ76</f>
        <v>0</v>
      </c>
      <c r="BI76" s="188">
        <f>opex_orig!BA76</f>
        <v>1.1800000000000001E-5</v>
      </c>
      <c r="BJ76" s="188">
        <f>opex_orig!BB76</f>
        <v>1.98E-7</v>
      </c>
      <c r="BK76" s="188">
        <f>opex_orig!BC76</f>
        <v>2.9999999999999999E-7</v>
      </c>
      <c r="BL76" s="188">
        <f>opex_orig!BD76</f>
        <v>9.8000000000000004E-8</v>
      </c>
      <c r="BM76" s="188">
        <f>opex_orig!BE76</f>
        <v>2.34E-7</v>
      </c>
      <c r="BN76" s="188">
        <f>opex_orig!BF76</f>
        <v>1.7999999999999999E-8</v>
      </c>
      <c r="BO76" s="188">
        <f>opex_orig!BG76</f>
        <v>2.84E-7</v>
      </c>
      <c r="BP76" s="188">
        <f>opex_orig!$BH76</f>
        <v>6.8361550023615102E-8</v>
      </c>
      <c r="BQ76" s="188">
        <f>opex_orig!$BH76</f>
        <v>6.8361550023615102E-8</v>
      </c>
      <c r="BR76" s="188">
        <f>opex_orig!BI76</f>
        <v>1.1000000000000001E-7</v>
      </c>
      <c r="BS76" s="188">
        <f>opex_orig!BJ76</f>
        <v>1.42E-6</v>
      </c>
      <c r="BT76" s="188">
        <f>opex_orig!BK76</f>
        <v>1.33E-6</v>
      </c>
      <c r="BU76" s="188">
        <f>opex_orig!BL76</f>
        <v>0</v>
      </c>
      <c r="BV76" s="27">
        <f>opex_orig!BM76</f>
        <v>2.07859513478479E-8</v>
      </c>
      <c r="BW76" s="27">
        <f>opex_orig!BN76</f>
        <v>8.8969252311283994E-8</v>
      </c>
      <c r="BX76" s="27">
        <f>opex_orig!BO76</f>
        <v>6.0681300395174001E-9</v>
      </c>
      <c r="BY76" s="27">
        <f>opex_orig!BP76</f>
        <v>5.6311606193216504E-9</v>
      </c>
      <c r="BZ76" s="27">
        <f>opex_orig!BQ76</f>
        <v>4.9508541018179401E-9</v>
      </c>
      <c r="CA76" s="27">
        <f>opex_orig!BR76</f>
        <v>2.1920086720617099E-8</v>
      </c>
      <c r="CB76" s="27">
        <f>opex_orig!BS76</f>
        <v>4.2737167297405098E-8</v>
      </c>
      <c r="CC76" s="27">
        <f>opex_orig!BT76</f>
        <v>1.9273581136442601E-8</v>
      </c>
      <c r="CD76" s="27">
        <f>opex_orig!BU76</f>
        <v>6.1553884813391E-9</v>
      </c>
      <c r="CE76" s="27">
        <f>opex_orig!BV76</f>
        <v>6.1553884813391099E-9</v>
      </c>
      <c r="CF76" s="27">
        <f>opex_orig!BW76</f>
        <v>5.8057426845275601E-9</v>
      </c>
      <c r="CG76" s="27">
        <f>opex_orig!BX76</f>
        <v>7.8476683035078202E-9</v>
      </c>
      <c r="CH76" s="27">
        <f>opex_orig!BY76</f>
        <v>4.1362687779706201E-10</v>
      </c>
      <c r="CI76" s="27">
        <f>opex_orig!Y76</f>
        <v>4.0499999999999999E-9</v>
      </c>
      <c r="CJ76" s="27">
        <f>opex_orig!Z76</f>
        <v>8.7299999999999994E-9</v>
      </c>
      <c r="CK76" s="27">
        <f>opex_orig!AA76</f>
        <v>2.5200000000000001E-8</v>
      </c>
      <c r="CL76" s="27">
        <f>opex_orig!AB76</f>
        <v>4.1058205390244502E-9</v>
      </c>
      <c r="CM76" s="27">
        <f>opex_orig!AC76</f>
        <v>6.2561078037399999E-9</v>
      </c>
      <c r="CN76" s="27">
        <f>opex_orig!AD76</f>
        <v>1.0163879830782401E-9</v>
      </c>
      <c r="CO76" s="27">
        <f>opex_orig!AE76</f>
        <v>9.4800000000000004E-10</v>
      </c>
      <c r="CP76" s="27">
        <f>opex_orig!AF76</f>
        <v>5.5199999999999997E-7</v>
      </c>
    </row>
    <row r="77" spans="1:94" x14ac:dyDescent="0.25">
      <c r="A77" s="5" t="s">
        <v>173</v>
      </c>
      <c r="B77" s="2" t="s">
        <v>172</v>
      </c>
      <c r="C77" s="1" t="s">
        <v>329</v>
      </c>
      <c r="D77" s="188">
        <f>opex_orig!D77</f>
        <v>6.7399999999999998E-5</v>
      </c>
      <c r="E77" s="188">
        <f>opex_orig!E77</f>
        <v>6.41E-5</v>
      </c>
      <c r="F77" s="188">
        <f>opex_orig!F77</f>
        <v>3.9700000000000003E-5</v>
      </c>
      <c r="G77" s="188">
        <f>opex_orig!G77</f>
        <v>6.1600000000000003E-6</v>
      </c>
      <c r="H77" s="188">
        <f>opex_orig!H77</f>
        <v>1.08E-5</v>
      </c>
      <c r="I77" s="188">
        <f>opex_orig!I77</f>
        <v>1.44912E-4</v>
      </c>
      <c r="J77" s="188">
        <f>opex_orig!J77</f>
        <v>1.1421600000000001E-4</v>
      </c>
      <c r="K77" s="188">
        <f>opex_orig!K77</f>
        <v>1.5699999999999999E-5</v>
      </c>
      <c r="L77" s="188">
        <f>opex_orig!L77</f>
        <v>1.9137200000000001E-4</v>
      </c>
      <c r="M77" s="188">
        <f>opex_orig!M77</f>
        <v>5.8238699999999997E-4</v>
      </c>
      <c r="N77" s="188">
        <f>opex_orig!N77</f>
        <v>2.8387900000000001E-4</v>
      </c>
      <c r="O77" s="188">
        <f>opex_orig!O77</f>
        <v>2.0083829999999999E-3</v>
      </c>
      <c r="P77" s="188">
        <f>opex_orig!P77</f>
        <v>1.1548399999999999E-4</v>
      </c>
      <c r="Q77" s="188">
        <f>opex_orig!Q77</f>
        <v>6.3800000000000006E-5</v>
      </c>
      <c r="R77" s="188">
        <f>opex_orig!R77</f>
        <v>5.1100000000000002E-5</v>
      </c>
      <c r="S77" s="188">
        <f>opex_orig!S77</f>
        <v>1.49359E-4</v>
      </c>
      <c r="T77" s="188">
        <f>opex_orig!T77</f>
        <v>2.7839100000000001E-4</v>
      </c>
      <c r="U77" s="188">
        <f>opex_orig!U77</f>
        <v>1.9020500000000001E-4</v>
      </c>
      <c r="V77" s="188">
        <f>opex_orig!V77</f>
        <v>1.3852999999999999E-4</v>
      </c>
      <c r="W77" s="188">
        <f>opex_orig!W77</f>
        <v>3.1268399999999998E-4</v>
      </c>
      <c r="X77" s="188">
        <f>opex_orig!X77</f>
        <v>1.19824E-4</v>
      </c>
      <c r="Y77" s="188">
        <f>opex_orig!Y77</f>
        <v>4.8600000000000002E-5</v>
      </c>
      <c r="Z77" s="188">
        <f>opex_orig!Z77</f>
        <v>2.2031899999999999E-4</v>
      </c>
      <c r="AA77" s="188">
        <f>opex_orig!AA77</f>
        <v>2.1609099999999999E-4</v>
      </c>
      <c r="AB77" s="188">
        <f>opex_orig!$AB77</f>
        <v>7.1840442553387006E-5</v>
      </c>
      <c r="AC77" s="188">
        <f>opex_orig!$AB77</f>
        <v>7.1840442553387006E-5</v>
      </c>
      <c r="AD77" s="188">
        <f>opex_orig!$AB77</f>
        <v>7.1840442553387006E-5</v>
      </c>
      <c r="AE77" s="188">
        <f>opex_orig!$AC77</f>
        <v>1.9555467397853901E-4</v>
      </c>
      <c r="AF77" s="188">
        <f>opex_orig!$AD77</f>
        <v>1.0976584279770699E-4</v>
      </c>
      <c r="AG77" s="188">
        <f>opex_orig!$AD77</f>
        <v>1.0976584279770699E-4</v>
      </c>
      <c r="AH77" s="188">
        <f>opex_orig!$AD77</f>
        <v>1.0976584279770699E-4</v>
      </c>
      <c r="AI77" s="188">
        <f>opex_orig!AE77</f>
        <v>9.8999999999999994E-5</v>
      </c>
      <c r="AJ77" s="188">
        <f>opex_orig!AF77</f>
        <v>1.006552E-3</v>
      </c>
      <c r="AK77" s="188">
        <f>opex_orig!AG77</f>
        <v>7.5382499999999996E-4</v>
      </c>
      <c r="AL77" s="188">
        <f>opex_orig!AH77</f>
        <v>5.2459000000000002E-4</v>
      </c>
      <c r="AM77" s="188">
        <f>opex_orig!AI77</f>
        <v>9.7577099999999995E-4</v>
      </c>
      <c r="AN77" s="188">
        <f>opex_orig!AJ77</f>
        <v>3.4863299999999999E-4</v>
      </c>
      <c r="AO77" s="188">
        <f>opex_orig!AK77</f>
        <v>8.3686299999999997E-4</v>
      </c>
      <c r="AP77" s="188">
        <f>opex_orig!$AL77</f>
        <v>1.89002458218134E-4</v>
      </c>
      <c r="AQ77" s="188">
        <f>opex_orig!$AL77</f>
        <v>1.89002458218134E-4</v>
      </c>
      <c r="AR77" s="188">
        <f>opex_orig!$AL77</f>
        <v>1.89002458218134E-4</v>
      </c>
      <c r="AS77" s="188">
        <f>opex_orig!$AM77</f>
        <v>1.6634010706843001E-4</v>
      </c>
      <c r="AT77" s="188">
        <f>opex_orig!AN77</f>
        <v>5.9740900000000003E-4</v>
      </c>
      <c r="AU77" s="188">
        <f>opex_orig!$AO77</f>
        <v>4.3544202078188102E-3</v>
      </c>
      <c r="AV77" s="188">
        <f>opex_orig!$AO77</f>
        <v>4.3544202078188102E-3</v>
      </c>
      <c r="AW77" s="188">
        <f>opex_orig!$AO77</f>
        <v>4.3544202078188102E-3</v>
      </c>
      <c r="AX77" s="188">
        <f>opex_orig!$AP77</f>
        <v>5.05462976425385E-3</v>
      </c>
      <c r="AY77" s="188">
        <f>opex_orig!AQ77</f>
        <v>3.45597E-3</v>
      </c>
      <c r="AZ77" s="188">
        <f>opex_orig!AR77</f>
        <v>0</v>
      </c>
      <c r="BA77" s="188">
        <f>opex_orig!AS77</f>
        <v>8.2638920000000005E-2</v>
      </c>
      <c r="BB77" s="188">
        <f>opex_orig!AT77</f>
        <v>9.7851641000000003E-2</v>
      </c>
      <c r="BC77" s="188">
        <f>opex_orig!AU77</f>
        <v>7.4512099999999996E-4</v>
      </c>
      <c r="BD77" s="188">
        <f>opex_orig!AV77</f>
        <v>4.8771099999999999E-4</v>
      </c>
      <c r="BE77" s="188">
        <f>opex_orig!AW77</f>
        <v>1.149415E-3</v>
      </c>
      <c r="BF77" s="188">
        <f>opex_orig!AX77</f>
        <v>0</v>
      </c>
      <c r="BG77" s="188">
        <f>opex_orig!AY77</f>
        <v>1.346014E-3</v>
      </c>
      <c r="BH77" s="188">
        <f>opex_orig!AZ77</f>
        <v>0</v>
      </c>
      <c r="BI77" s="188">
        <f>opex_orig!BA77</f>
        <v>4.1056751000000002E-2</v>
      </c>
      <c r="BJ77" s="188">
        <f>opex_orig!BB77</f>
        <v>8.7278760000000007E-3</v>
      </c>
      <c r="BK77" s="188">
        <f>opex_orig!BC77</f>
        <v>1.6092460999999999E-2</v>
      </c>
      <c r="BL77" s="188">
        <f>opex_orig!BD77</f>
        <v>1.2283800000000001E-4</v>
      </c>
      <c r="BM77" s="188">
        <f>opex_orig!BE77</f>
        <v>8.0528600000000002E-3</v>
      </c>
      <c r="BN77" s="188">
        <f>opex_orig!BF77</f>
        <v>1.1304800000000001E-4</v>
      </c>
      <c r="BO77" s="188">
        <f>opex_orig!BG77</f>
        <v>3.4843740000000002E-3</v>
      </c>
      <c r="BP77" s="188">
        <f>opex_orig!$BH77</f>
        <v>1.7835398262608399E-3</v>
      </c>
      <c r="BQ77" s="188">
        <f>opex_orig!$BH77</f>
        <v>1.7835398262608399E-3</v>
      </c>
      <c r="BR77" s="188">
        <f>opex_orig!BI77</f>
        <v>4.7480839999999996E-3</v>
      </c>
      <c r="BS77" s="188">
        <f>opex_orig!BJ77</f>
        <v>1.2756293E-2</v>
      </c>
      <c r="BT77" s="188">
        <f>opex_orig!BK77</f>
        <v>3.3236101999999997E-2</v>
      </c>
      <c r="BU77" s="188">
        <f>opex_orig!BL77</f>
        <v>0</v>
      </c>
      <c r="BV77" s="27">
        <f>opex_orig!BM77</f>
        <v>1.4243791121795E-4</v>
      </c>
      <c r="BW77" s="27">
        <f>opex_orig!BN77</f>
        <v>2.3650074140173401E-4</v>
      </c>
      <c r="BX77" s="27">
        <f>opex_orig!BO77</f>
        <v>3.2622250174201403E-5</v>
      </c>
      <c r="BY77" s="27">
        <f>opex_orig!BP77</f>
        <v>3.8004313303021897E-5</v>
      </c>
      <c r="BZ77" s="27">
        <f>opex_orig!BQ77</f>
        <v>3.8154800832515903E-5</v>
      </c>
      <c r="CA77" s="27">
        <f>opex_orig!BR77</f>
        <v>8.5298501706019105E-5</v>
      </c>
      <c r="CB77" s="27">
        <f>opex_orig!BS77</f>
        <v>2.8541910461253399E-4</v>
      </c>
      <c r="CC77" s="27">
        <f>opex_orig!BT77</f>
        <v>7.3376846695518503E-5</v>
      </c>
      <c r="CD77" s="27">
        <f>opex_orig!BU77</f>
        <v>1.1898215258792599E-5</v>
      </c>
      <c r="CE77" s="27">
        <f>opex_orig!BV77</f>
        <v>1.1898215258792599E-5</v>
      </c>
      <c r="CF77" s="27">
        <f>opex_orig!BW77</f>
        <v>3.7439903108715102E-5</v>
      </c>
      <c r="CG77" s="27">
        <f>opex_orig!BX77</f>
        <v>1.84991610626626E-6</v>
      </c>
      <c r="CH77" s="27">
        <f>opex_orig!BY77</f>
        <v>9.6592753034695594E-6</v>
      </c>
      <c r="CI77" s="27">
        <f>opex_orig!Y77</f>
        <v>4.8600000000000002E-5</v>
      </c>
      <c r="CJ77" s="27">
        <f>opex_orig!Z77</f>
        <v>2.2031899999999999E-4</v>
      </c>
      <c r="CK77" s="27">
        <f>opex_orig!AA77</f>
        <v>2.1609099999999999E-4</v>
      </c>
      <c r="CL77" s="27">
        <f>opex_orig!AB77</f>
        <v>7.1840442553387006E-5</v>
      </c>
      <c r="CM77" s="27">
        <f>opex_orig!AC77</f>
        <v>1.9555467397853901E-4</v>
      </c>
      <c r="CN77" s="27">
        <f>opex_orig!AD77</f>
        <v>1.0976584279770699E-4</v>
      </c>
      <c r="CO77" s="27">
        <f>opex_orig!AE77</f>
        <v>9.8999999999999994E-5</v>
      </c>
      <c r="CP77" s="27">
        <f>opex_orig!AF77</f>
        <v>1.006552E-3</v>
      </c>
    </row>
    <row r="78" spans="1:94" x14ac:dyDescent="0.25">
      <c r="A78" s="5" t="s">
        <v>175</v>
      </c>
      <c r="B78" s="2" t="s">
        <v>174</v>
      </c>
      <c r="C78" s="1" t="s">
        <v>329</v>
      </c>
      <c r="D78" s="188">
        <f>opex_orig!D78</f>
        <v>1.0075E-4</v>
      </c>
      <c r="E78" s="188">
        <f>opex_orig!E78</f>
        <v>8.6899999999999998E-5</v>
      </c>
      <c r="F78" s="188">
        <f>opex_orig!F78</f>
        <v>5.52E-5</v>
      </c>
      <c r="G78" s="188">
        <f>opex_orig!G78</f>
        <v>8.4999999999999999E-6</v>
      </c>
      <c r="H78" s="188">
        <f>opex_orig!H78</f>
        <v>1.6500000000000001E-5</v>
      </c>
      <c r="I78" s="188">
        <f>opex_orig!I78</f>
        <v>1.97462E-4</v>
      </c>
      <c r="J78" s="188">
        <f>opex_orig!J78</f>
        <v>1.5677000000000001E-4</v>
      </c>
      <c r="K78" s="188">
        <f>opex_orig!K78</f>
        <v>2.4700000000000001E-5</v>
      </c>
      <c r="L78" s="188">
        <f>opex_orig!L78</f>
        <v>2.4319000000000001E-4</v>
      </c>
      <c r="M78" s="188">
        <f>opex_orig!M78</f>
        <v>7.4351699999999996E-4</v>
      </c>
      <c r="N78" s="188">
        <f>opex_orig!N78</f>
        <v>3.6689399999999999E-4</v>
      </c>
      <c r="O78" s="188">
        <f>opex_orig!O78</f>
        <v>2.5964859999999998E-3</v>
      </c>
      <c r="P78" s="188">
        <f>opex_orig!P78</f>
        <v>1.7580100000000001E-4</v>
      </c>
      <c r="Q78" s="188">
        <f>opex_orig!Q78</f>
        <v>9.5099999999999994E-5</v>
      </c>
      <c r="R78" s="188">
        <f>opex_orig!R78</f>
        <v>7.64E-5</v>
      </c>
      <c r="S78" s="188">
        <f>opex_orig!S78</f>
        <v>2.1938599999999999E-4</v>
      </c>
      <c r="T78" s="188">
        <f>opex_orig!T78</f>
        <v>3.3162900000000001E-4</v>
      </c>
      <c r="U78" s="188">
        <f>opex_orig!U78</f>
        <v>2.6411099999999998E-4</v>
      </c>
      <c r="V78" s="188">
        <f>opex_orig!V78</f>
        <v>2.14236E-4</v>
      </c>
      <c r="W78" s="188">
        <f>opex_orig!W78</f>
        <v>4.4176799999999999E-4</v>
      </c>
      <c r="X78" s="188">
        <f>opex_orig!X78</f>
        <v>1.61714E-4</v>
      </c>
      <c r="Y78" s="188">
        <f>opex_orig!Y78</f>
        <v>9.8400000000000007E-5</v>
      </c>
      <c r="Z78" s="188">
        <f>opex_orig!Z78</f>
        <v>3.21706E-4</v>
      </c>
      <c r="AA78" s="188">
        <f>opex_orig!AA78</f>
        <v>4.2290699999999998E-4</v>
      </c>
      <c r="AB78" s="188">
        <f>opex_orig!$AB78</f>
        <v>4.6883454352378798E-5</v>
      </c>
      <c r="AC78" s="188">
        <f>opex_orig!$AB78</f>
        <v>4.6883454352378798E-5</v>
      </c>
      <c r="AD78" s="188">
        <f>opex_orig!$AB78</f>
        <v>4.6883454352378798E-5</v>
      </c>
      <c r="AE78" s="188">
        <f>opex_orig!$AC78</f>
        <v>2.1837761203076801E-4</v>
      </c>
      <c r="AF78" s="188">
        <f>opex_orig!$AD78</f>
        <v>1.06994863769973E-4</v>
      </c>
      <c r="AG78" s="188">
        <f>opex_orig!$AD78</f>
        <v>1.06994863769973E-4</v>
      </c>
      <c r="AH78" s="188">
        <f>opex_orig!$AD78</f>
        <v>1.06994863769973E-4</v>
      </c>
      <c r="AI78" s="188">
        <f>opex_orig!AE78</f>
        <v>8.9800000000000001E-5</v>
      </c>
      <c r="AJ78" s="188">
        <f>opex_orig!AF78</f>
        <v>1.352041E-3</v>
      </c>
      <c r="AK78" s="188">
        <f>opex_orig!AG78</f>
        <v>1.08599E-3</v>
      </c>
      <c r="AL78" s="188">
        <f>opex_orig!AH78</f>
        <v>6.6395699999999996E-4</v>
      </c>
      <c r="AM78" s="188">
        <f>opex_orig!AI78</f>
        <v>1.263243E-3</v>
      </c>
      <c r="AN78" s="188">
        <f>opex_orig!AJ78</f>
        <v>4.17145E-4</v>
      </c>
      <c r="AO78" s="188">
        <f>opex_orig!AK78</f>
        <v>1.04608E-3</v>
      </c>
      <c r="AP78" s="188">
        <f>opex_orig!$AL78</f>
        <v>2.6319321876983802E-4</v>
      </c>
      <c r="AQ78" s="188">
        <f>opex_orig!$AL78</f>
        <v>2.6319321876983802E-4</v>
      </c>
      <c r="AR78" s="188">
        <f>opex_orig!$AL78</f>
        <v>2.6319321876983802E-4</v>
      </c>
      <c r="AS78" s="188">
        <f>opex_orig!$AM78</f>
        <v>2.2733316540903299E-4</v>
      </c>
      <c r="AT78" s="188">
        <f>opex_orig!AN78</f>
        <v>8.0525799999999999E-4</v>
      </c>
      <c r="AU78" s="310">
        <f>opex_concordance!M593</f>
        <v>5.7449224905340296E-3</v>
      </c>
      <c r="AV78" s="310">
        <f>opex_concordance!M639</f>
        <v>0</v>
      </c>
      <c r="AW78" s="310">
        <f>opex_concordance!M685</f>
        <v>4.7620373509525034E-3</v>
      </c>
      <c r="AX78" s="188">
        <f>opex_orig!$AP78</f>
        <v>6.6715844984741304E-3</v>
      </c>
      <c r="AY78" s="188">
        <f>opex_orig!AQ78</f>
        <v>4.6338309999999997E-3</v>
      </c>
      <c r="AZ78" s="188">
        <f>opex_orig!AR78</f>
        <v>0</v>
      </c>
      <c r="BA78" s="188">
        <f>opex_orig!AS78</f>
        <v>0.10497445499999999</v>
      </c>
      <c r="BB78" s="188">
        <f>opex_orig!AT78</f>
        <v>0.124098192</v>
      </c>
      <c r="BC78" s="188">
        <f>opex_orig!AU78</f>
        <v>9.1090699999999997E-4</v>
      </c>
      <c r="BD78" s="188">
        <f>opex_orig!AV78</f>
        <v>5.8687699999999997E-4</v>
      </c>
      <c r="BE78" s="188">
        <f>opex_orig!AW78</f>
        <v>1.5427240000000001E-3</v>
      </c>
      <c r="BF78" s="188">
        <f>opex_orig!AX78</f>
        <v>0</v>
      </c>
      <c r="BG78" s="188">
        <f>opex_orig!AY78</f>
        <v>1.6803650000000001E-3</v>
      </c>
      <c r="BH78" s="188">
        <f>opex_orig!AZ78</f>
        <v>0</v>
      </c>
      <c r="BI78" s="188">
        <f>opex_orig!BA78</f>
        <v>5.2435713000000002E-2</v>
      </c>
      <c r="BJ78" s="188">
        <f>opex_orig!BB78</f>
        <v>1.1848195000000001E-2</v>
      </c>
      <c r="BK78" s="188">
        <f>opex_orig!BC78</f>
        <v>2.0836396E-2</v>
      </c>
      <c r="BL78" s="188">
        <f>opex_orig!BD78</f>
        <v>1.7822199999999999E-4</v>
      </c>
      <c r="BM78" s="188">
        <f>opex_orig!BE78</f>
        <v>1.032428E-2</v>
      </c>
      <c r="BN78" s="188">
        <f>opex_orig!BF78</f>
        <v>1.7012900000000001E-4</v>
      </c>
      <c r="BO78" s="188">
        <f>opex_orig!BG78</f>
        <v>4.5390589999999998E-3</v>
      </c>
      <c r="BP78" s="188">
        <f>opex_orig!$BH78</f>
        <v>2.3332228366655999E-3</v>
      </c>
      <c r="BQ78" s="188">
        <f>opex_orig!$BH78</f>
        <v>2.3332228366655999E-3</v>
      </c>
      <c r="BR78" s="188">
        <f>opex_orig!BI78</f>
        <v>6.1191550000000003E-3</v>
      </c>
      <c r="BS78" s="188">
        <f>opex_orig!BJ78</f>
        <v>1.6368809000000002E-2</v>
      </c>
      <c r="BT78" s="188">
        <f>opex_orig!BK78</f>
        <v>4.2205342999999999E-2</v>
      </c>
      <c r="BU78" s="188">
        <f>opex_orig!BL78</f>
        <v>0</v>
      </c>
      <c r="BV78" s="27">
        <f>opex_orig!BM78</f>
        <v>1.31076685045941E-4</v>
      </c>
      <c r="BW78" s="27">
        <f>opex_orig!BN78</f>
        <v>2.1543816985725899E-4</v>
      </c>
      <c r="BX78" s="27">
        <f>opex_orig!BO78</f>
        <v>3.4486779160754398E-5</v>
      </c>
      <c r="BY78" s="27">
        <f>opex_orig!BP78</f>
        <v>3.3406082484702003E-5</v>
      </c>
      <c r="BZ78" s="27">
        <f>opex_orig!BQ78</f>
        <v>3.60681710188841E-5</v>
      </c>
      <c r="CA78" s="27">
        <f>opex_orig!BR78</f>
        <v>1.10430995356662E-4</v>
      </c>
      <c r="CB78" s="27">
        <f>opex_orig!BS78</f>
        <v>2.5828479621855599E-4</v>
      </c>
      <c r="CC78" s="27">
        <f>opex_orig!BT78</f>
        <v>5.5545453700424797E-4</v>
      </c>
      <c r="CD78" s="27">
        <f>opex_orig!BU78</f>
        <v>2.21245850549177E-5</v>
      </c>
      <c r="CE78" s="27">
        <f>opex_orig!BV78</f>
        <v>2.2124585054917798E-5</v>
      </c>
      <c r="CF78" s="27">
        <f>opex_orig!BW78</f>
        <v>2.46168307462694E-5</v>
      </c>
      <c r="CG78" s="27">
        <f>opex_orig!BX78</f>
        <v>2.0570476699673501E-6</v>
      </c>
      <c r="CH78" s="27">
        <f>opex_orig!BY78</f>
        <v>8.0939602856385694E-6</v>
      </c>
      <c r="CI78" s="27">
        <f>opex_orig!Y78</f>
        <v>9.8400000000000007E-5</v>
      </c>
      <c r="CJ78" s="27">
        <f>opex_orig!Z78</f>
        <v>3.21706E-4</v>
      </c>
      <c r="CK78" s="27">
        <f>opex_orig!AA78</f>
        <v>4.2290699999999998E-4</v>
      </c>
      <c r="CL78" s="27">
        <f>opex_orig!AB78</f>
        <v>4.6883454352378798E-5</v>
      </c>
      <c r="CM78" s="27">
        <f>opex_orig!AC78</f>
        <v>2.1837761203076801E-4</v>
      </c>
      <c r="CN78" s="27">
        <f>opex_orig!AD78</f>
        <v>1.06994863769973E-4</v>
      </c>
      <c r="CO78" s="27">
        <f>opex_orig!AE78</f>
        <v>8.9800000000000001E-5</v>
      </c>
      <c r="CP78" s="27">
        <f>opex_orig!AF78</f>
        <v>1.352041E-3</v>
      </c>
    </row>
    <row r="79" spans="1:94" x14ac:dyDescent="0.25">
      <c r="A79" s="5" t="s">
        <v>177</v>
      </c>
      <c r="B79" s="2" t="s">
        <v>176</v>
      </c>
      <c r="C79" s="1" t="s">
        <v>329</v>
      </c>
      <c r="D79" s="188">
        <f>opex_orig!D79</f>
        <v>3.79E-5</v>
      </c>
      <c r="E79" s="188">
        <f>opex_orig!E79</f>
        <v>2.3099999999999999E-5</v>
      </c>
      <c r="F79" s="188">
        <f>opex_orig!F79</f>
        <v>2.16E-5</v>
      </c>
      <c r="G79" s="188">
        <f>opex_orig!G79</f>
        <v>3.3299999999999999E-6</v>
      </c>
      <c r="H79" s="188">
        <f>opex_orig!H79</f>
        <v>5.0000000000000004E-6</v>
      </c>
      <c r="I79" s="188">
        <f>opex_orig!I79</f>
        <v>4.32E-5</v>
      </c>
      <c r="J79" s="188">
        <f>opex_orig!J79</f>
        <v>7.1099999999999994E-5</v>
      </c>
      <c r="K79" s="188">
        <f>opex_orig!K79</f>
        <v>3.1199999999999999E-5</v>
      </c>
      <c r="L79" s="188">
        <f>opex_orig!L79</f>
        <v>3.3200000000000001E-5</v>
      </c>
      <c r="M79" s="188">
        <f>opex_orig!M79</f>
        <v>8.8599999999999999E-5</v>
      </c>
      <c r="N79" s="188">
        <f>opex_orig!N79</f>
        <v>8.7600000000000002E-5</v>
      </c>
      <c r="O79" s="188">
        <f>opex_orig!O79</f>
        <v>3.8699999999999999E-5</v>
      </c>
      <c r="P79" s="188">
        <f>opex_orig!P79</f>
        <v>7.5400000000000003E-5</v>
      </c>
      <c r="Q79" s="188">
        <f>opex_orig!Q79</f>
        <v>5.8900000000000002E-5</v>
      </c>
      <c r="R79" s="188">
        <f>opex_orig!R79</f>
        <v>2.8E-5</v>
      </c>
      <c r="S79" s="188">
        <f>opex_orig!S79</f>
        <v>1.01222E-4</v>
      </c>
      <c r="T79" s="188">
        <f>opex_orig!T79</f>
        <v>2.12625E-4</v>
      </c>
      <c r="U79" s="188">
        <f>opex_orig!U79</f>
        <v>1.3374799999999999E-4</v>
      </c>
      <c r="V79" s="188">
        <f>opex_orig!V79</f>
        <v>1.05803E-4</v>
      </c>
      <c r="W79" s="188">
        <f>opex_orig!W79</f>
        <v>1.04108E-4</v>
      </c>
      <c r="X79" s="188">
        <f>opex_orig!X79</f>
        <v>3.4400000000000003E-5</v>
      </c>
      <c r="Y79" s="188">
        <f>opex_orig!Y79</f>
        <v>4.1300000000000001E-5</v>
      </c>
      <c r="Z79" s="188">
        <f>opex_orig!Z79</f>
        <v>1.5356899999999999E-4</v>
      </c>
      <c r="AA79" s="188">
        <f>opex_orig!AA79</f>
        <v>1.5507499999999999E-4</v>
      </c>
      <c r="AB79" s="188">
        <f>opex_orig!$AB79</f>
        <v>6.6707824353124203E-4</v>
      </c>
      <c r="AC79" s="188">
        <f>opex_orig!$AB79</f>
        <v>6.6707824353124203E-4</v>
      </c>
      <c r="AD79" s="188">
        <f>opex_orig!$AB79</f>
        <v>6.6707824353124203E-4</v>
      </c>
      <c r="AE79" s="188">
        <f>opex_orig!$AC79</f>
        <v>1.38811681335564E-4</v>
      </c>
      <c r="AF79" s="188">
        <f>opex_orig!$AD79</f>
        <v>9.2405559290406299E-5</v>
      </c>
      <c r="AG79" s="188">
        <f>opex_orig!$AD79</f>
        <v>9.2405559290406299E-5</v>
      </c>
      <c r="AH79" s="188">
        <f>opex_orig!$AD79</f>
        <v>9.2405559290406299E-5</v>
      </c>
      <c r="AI79" s="188">
        <f>opex_orig!AE79</f>
        <v>7.5400000000000003E-5</v>
      </c>
      <c r="AJ79" s="188">
        <f>opex_orig!AF79</f>
        <v>3.8850000000000001E-4</v>
      </c>
      <c r="AK79" s="188">
        <f>opex_orig!AG79</f>
        <v>1.7281299999999999E-4</v>
      </c>
      <c r="AL79" s="188">
        <f>opex_orig!AH79</f>
        <v>8.6399999999999999E-5</v>
      </c>
      <c r="AM79" s="188">
        <f>opex_orig!AI79</f>
        <v>1.05846E-4</v>
      </c>
      <c r="AN79" s="188">
        <f>opex_orig!AJ79</f>
        <v>2.8508E-4</v>
      </c>
      <c r="AO79" s="188">
        <f>opex_orig!AK79</f>
        <v>1.17805E-4</v>
      </c>
      <c r="AP79" s="188">
        <f>opex_orig!$AL79</f>
        <v>1.10688398525569E-4</v>
      </c>
      <c r="AQ79" s="188">
        <f>opex_orig!$AL79</f>
        <v>1.10688398525569E-4</v>
      </c>
      <c r="AR79" s="188">
        <f>opex_orig!$AL79</f>
        <v>1.10688398525569E-4</v>
      </c>
      <c r="AS79" s="188">
        <f>opex_orig!$AM79</f>
        <v>1.05332564962938E-4</v>
      </c>
      <c r="AT79" s="188">
        <f>opex_orig!AN79</f>
        <v>2.06672E-4</v>
      </c>
      <c r="AU79" s="188">
        <f>opex_orig!$AO79</f>
        <v>1.32975585764888E-3</v>
      </c>
      <c r="AV79" s="188">
        <f>opex_orig!$AO79</f>
        <v>1.32975585764888E-3</v>
      </c>
      <c r="AW79" s="188">
        <f>opex_orig!$AO79</f>
        <v>1.32975585764888E-3</v>
      </c>
      <c r="AX79" s="188">
        <f>opex_orig!$AP79</f>
        <v>1.6628931409732701E-3</v>
      </c>
      <c r="AY79" s="188">
        <f>opex_orig!AQ79</f>
        <v>2.6066099999999998E-4</v>
      </c>
      <c r="AZ79" s="188">
        <f>opex_orig!AR79</f>
        <v>0</v>
      </c>
      <c r="BA79" s="188">
        <f>opex_orig!AS79</f>
        <v>2.71721E-4</v>
      </c>
      <c r="BB79" s="188">
        <f>opex_orig!AT79</f>
        <v>2.2547600000000001E-4</v>
      </c>
      <c r="BC79" s="188">
        <f>opex_orig!AU79</f>
        <v>0.34302748399999999</v>
      </c>
      <c r="BD79" s="188">
        <f>opex_orig!AV79</f>
        <v>0.35510819399999999</v>
      </c>
      <c r="BE79" s="188">
        <f>opex_orig!AW79</f>
        <v>1.59023E-4</v>
      </c>
      <c r="BF79" s="188">
        <f>opex_orig!AX79</f>
        <v>0</v>
      </c>
      <c r="BG79" s="188">
        <f>opex_orig!AY79</f>
        <v>2.8741500000000001E-4</v>
      </c>
      <c r="BH79" s="188">
        <f>opex_orig!AZ79</f>
        <v>0</v>
      </c>
      <c r="BI79" s="188">
        <f>opex_orig!BA79</f>
        <v>2.1030760000000002E-3</v>
      </c>
      <c r="BJ79" s="188">
        <f>opex_orig!BB79</f>
        <v>1.2542020000000001E-3</v>
      </c>
      <c r="BK79" s="188">
        <f>opex_orig!BC79</f>
        <v>1.564621E-3</v>
      </c>
      <c r="BL79" s="188">
        <f>opex_orig!BD79</f>
        <v>4.88E-5</v>
      </c>
      <c r="BM79" s="188">
        <f>opex_orig!BE79</f>
        <v>7.09007E-4</v>
      </c>
      <c r="BN79" s="188">
        <f>opex_orig!BF79</f>
        <v>4.1699999999999997E-5</v>
      </c>
      <c r="BO79" s="188">
        <f>opex_orig!BG79</f>
        <v>3.24171E-4</v>
      </c>
      <c r="BP79" s="188">
        <f>opex_orig!$BH79</f>
        <v>1.5347428986770201E-4</v>
      </c>
      <c r="BQ79" s="188">
        <f>opex_orig!$BH79</f>
        <v>1.5347428986770201E-4</v>
      </c>
      <c r="BR79" s="188">
        <f>opex_orig!BI79</f>
        <v>3.8565099999999998E-4</v>
      </c>
      <c r="BS79" s="188">
        <f>opex_orig!BJ79</f>
        <v>2.5500499999999999E-4</v>
      </c>
      <c r="BT79" s="188">
        <f>opex_orig!BK79</f>
        <v>5.8904309999999998E-3</v>
      </c>
      <c r="BU79" s="188">
        <f>opex_orig!BL79</f>
        <v>0</v>
      </c>
      <c r="BV79" s="27">
        <f>opex_orig!BM79</f>
        <v>1.12038313332212E-4</v>
      </c>
      <c r="BW79" s="27">
        <f>opex_orig!BN79</f>
        <v>2.2206715993926401E-4</v>
      </c>
      <c r="BX79" s="27">
        <f>opex_orig!BO79</f>
        <v>2.73919537474368E-5</v>
      </c>
      <c r="BY79" s="27">
        <f>opex_orig!BP79</f>
        <v>6.0723741115526398E-5</v>
      </c>
      <c r="BZ79" s="27">
        <f>opex_orig!BQ79</f>
        <v>5.1102090322221402E-5</v>
      </c>
      <c r="CA79" s="27">
        <f>opex_orig!BR79</f>
        <v>1.4698050002193199E-4</v>
      </c>
      <c r="CB79" s="27">
        <f>opex_orig!BS79</f>
        <v>5.1429926478649803E-4</v>
      </c>
      <c r="CC79" s="27">
        <f>opex_orig!BT79</f>
        <v>3.7500954841145201E-5</v>
      </c>
      <c r="CD79" s="27">
        <f>opex_orig!BU79</f>
        <v>1.1257975608851001E-5</v>
      </c>
      <c r="CE79" s="27">
        <f>opex_orig!BV79</f>
        <v>1.1257975608851001E-5</v>
      </c>
      <c r="CF79" s="27">
        <f>opex_orig!BW79</f>
        <v>2.7710362954976299E-5</v>
      </c>
      <c r="CG79" s="27">
        <f>opex_orig!BX79</f>
        <v>2.3887445002438601E-6</v>
      </c>
      <c r="CH79" s="27">
        <f>opex_orig!BY79</f>
        <v>1.7424716262445301E-5</v>
      </c>
      <c r="CI79" s="27">
        <f>opex_orig!Y79</f>
        <v>4.1300000000000001E-5</v>
      </c>
      <c r="CJ79" s="27">
        <f>opex_orig!Z79</f>
        <v>1.5356899999999999E-4</v>
      </c>
      <c r="CK79" s="27">
        <f>opex_orig!AA79</f>
        <v>1.5507499999999999E-4</v>
      </c>
      <c r="CL79" s="27">
        <f>opex_orig!AB79</f>
        <v>6.6707824353124203E-4</v>
      </c>
      <c r="CM79" s="27">
        <f>opex_orig!AC79</f>
        <v>1.38811681335564E-4</v>
      </c>
      <c r="CN79" s="27">
        <f>opex_orig!AD79</f>
        <v>9.2405559290406299E-5</v>
      </c>
      <c r="CO79" s="27">
        <f>opex_orig!AE79</f>
        <v>7.5400000000000003E-5</v>
      </c>
      <c r="CP79" s="27">
        <f>opex_orig!AF79</f>
        <v>3.8850000000000001E-4</v>
      </c>
    </row>
    <row r="80" spans="1:94" x14ac:dyDescent="0.25">
      <c r="A80" s="5" t="s">
        <v>179</v>
      </c>
      <c r="B80" s="2" t="s">
        <v>178</v>
      </c>
      <c r="C80" s="1" t="s">
        <v>329</v>
      </c>
      <c r="D80" s="188">
        <f>opex_orig!D80</f>
        <v>2.0000000000000002E-5</v>
      </c>
      <c r="E80" s="188">
        <f>opex_orig!E80</f>
        <v>1.2099999999999999E-5</v>
      </c>
      <c r="F80" s="188">
        <f>opex_orig!F80</f>
        <v>1.22E-5</v>
      </c>
      <c r="G80" s="188">
        <f>opex_orig!G80</f>
        <v>1.84E-6</v>
      </c>
      <c r="H80" s="188">
        <f>opex_orig!H80</f>
        <v>3.0599999999999999E-6</v>
      </c>
      <c r="I80" s="188">
        <f>opex_orig!I80</f>
        <v>2.5199999999999999E-5</v>
      </c>
      <c r="J80" s="188">
        <f>opex_orig!J80</f>
        <v>4.0899999999999998E-5</v>
      </c>
      <c r="K80" s="188">
        <f>opex_orig!K80</f>
        <v>1.47E-5</v>
      </c>
      <c r="L80" s="188">
        <f>opex_orig!L80</f>
        <v>1.6799999999999998E-5</v>
      </c>
      <c r="M80" s="188">
        <f>opex_orig!M80</f>
        <v>4.5899999999999998E-5</v>
      </c>
      <c r="N80" s="188">
        <f>opex_orig!N80</f>
        <v>3.82E-5</v>
      </c>
      <c r="O80" s="188">
        <f>opex_orig!O80</f>
        <v>2.34E-5</v>
      </c>
      <c r="P80" s="188">
        <f>opex_orig!P80</f>
        <v>4.2799999999999997E-5</v>
      </c>
      <c r="Q80" s="188">
        <f>opex_orig!Q80</f>
        <v>2.9099999999999999E-5</v>
      </c>
      <c r="R80" s="188">
        <f>opex_orig!R80</f>
        <v>1.8600000000000001E-5</v>
      </c>
      <c r="S80" s="188">
        <f>opex_orig!S80</f>
        <v>5.41E-5</v>
      </c>
      <c r="T80" s="188">
        <f>opex_orig!T80</f>
        <v>9.2499999999999999E-5</v>
      </c>
      <c r="U80" s="188">
        <f>opex_orig!U80</f>
        <v>7.0699999999999997E-5</v>
      </c>
      <c r="V80" s="188">
        <f>opex_orig!V80</f>
        <v>5.9500000000000003E-5</v>
      </c>
      <c r="W80" s="188">
        <f>opex_orig!W80</f>
        <v>6.2199999999999994E-5</v>
      </c>
      <c r="X80" s="188">
        <f>opex_orig!X80</f>
        <v>2.05E-5</v>
      </c>
      <c r="Y80" s="188">
        <f>opex_orig!Y80</f>
        <v>2.97E-5</v>
      </c>
      <c r="Z80" s="188">
        <f>opex_orig!Z80</f>
        <v>8.3499999999999997E-5</v>
      </c>
      <c r="AA80" s="188">
        <f>opex_orig!AA80</f>
        <v>1.11668E-4</v>
      </c>
      <c r="AB80" s="188">
        <f>opex_orig!$AB80</f>
        <v>2.02632353177162E-4</v>
      </c>
      <c r="AC80" s="188">
        <f>opex_orig!$AB80</f>
        <v>2.02632353177162E-4</v>
      </c>
      <c r="AD80" s="188">
        <f>opex_orig!$AB80</f>
        <v>2.02632353177162E-4</v>
      </c>
      <c r="AE80" s="188">
        <f>opex_orig!$AC80</f>
        <v>3.8060453314709099E-5</v>
      </c>
      <c r="AF80" s="188">
        <f>opex_orig!$AD80</f>
        <v>3.1749141964156797E-5</v>
      </c>
      <c r="AG80" s="188">
        <f>opex_orig!$AD80</f>
        <v>3.1749141964156797E-5</v>
      </c>
      <c r="AH80" s="188">
        <f>opex_orig!$AD80</f>
        <v>3.1749141964156797E-5</v>
      </c>
      <c r="AI80" s="188">
        <f>opex_orig!AE80</f>
        <v>2.4899999999999999E-5</v>
      </c>
      <c r="AJ80" s="188">
        <f>opex_orig!AF80</f>
        <v>2.0687E-4</v>
      </c>
      <c r="AK80" s="188">
        <f>opex_orig!AG80</f>
        <v>1.05363E-4</v>
      </c>
      <c r="AL80" s="188">
        <f>opex_orig!AH80</f>
        <v>4.1699999999999997E-5</v>
      </c>
      <c r="AM80" s="188">
        <f>opex_orig!AI80</f>
        <v>5.7299999999999997E-5</v>
      </c>
      <c r="AN80" s="188">
        <f>opex_orig!AJ80</f>
        <v>1.3747799999999999E-4</v>
      </c>
      <c r="AO80" s="188">
        <f>opex_orig!AK80</f>
        <v>5.4599999999999999E-5</v>
      </c>
      <c r="AP80" s="188">
        <f>opex_orig!$AL80</f>
        <v>5.99056327879187E-5</v>
      </c>
      <c r="AQ80" s="188">
        <f>opex_orig!$AL80</f>
        <v>5.99056327879187E-5</v>
      </c>
      <c r="AR80" s="188">
        <f>opex_orig!$AL80</f>
        <v>5.99056327879187E-5</v>
      </c>
      <c r="AS80" s="188">
        <f>opex_orig!$AM80</f>
        <v>5.3617834842718798E-5</v>
      </c>
      <c r="AT80" s="188">
        <f>opex_orig!AN80</f>
        <v>1.15915E-4</v>
      </c>
      <c r="AU80" s="188">
        <f>opex_orig!$AO80</f>
        <v>7.7134573911632402E-4</v>
      </c>
      <c r="AV80" s="188">
        <f>opex_orig!$AO80</f>
        <v>7.7134573911632402E-4</v>
      </c>
      <c r="AW80" s="188">
        <f>opex_orig!$AO80</f>
        <v>7.7134573911632402E-4</v>
      </c>
      <c r="AX80" s="188">
        <f>opex_orig!$AP80</f>
        <v>9.5988244200042195E-4</v>
      </c>
      <c r="AY80" s="188">
        <f>opex_orig!AQ80</f>
        <v>1.7325199999999999E-4</v>
      </c>
      <c r="AZ80" s="188">
        <f>opex_orig!AR80</f>
        <v>0</v>
      </c>
      <c r="BA80" s="188">
        <f>opex_orig!AS80</f>
        <v>1.69195E-4</v>
      </c>
      <c r="BB80" s="188">
        <f>opex_orig!AT80</f>
        <v>1.48381E-4</v>
      </c>
      <c r="BC80" s="188">
        <f>opex_orig!AU80</f>
        <v>0.17282090999999999</v>
      </c>
      <c r="BD80" s="188">
        <f>opex_orig!AV80</f>
        <v>0.17683897500000001</v>
      </c>
      <c r="BE80" s="188">
        <f>opex_orig!AW80</f>
        <v>8.8900000000000006E-5</v>
      </c>
      <c r="BF80" s="188">
        <f>opex_orig!AX80</f>
        <v>0</v>
      </c>
      <c r="BG80" s="188">
        <f>opex_orig!AY80</f>
        <v>1.3512999999999999E-4</v>
      </c>
      <c r="BH80" s="188">
        <f>opex_orig!AZ80</f>
        <v>0</v>
      </c>
      <c r="BI80" s="188">
        <f>opex_orig!BA80</f>
        <v>1.2053859999999999E-3</v>
      </c>
      <c r="BJ80" s="188">
        <f>opex_orig!BB80</f>
        <v>8.1915799999999995E-4</v>
      </c>
      <c r="BK80" s="188">
        <f>opex_orig!BC80</f>
        <v>9.2586000000000003E-4</v>
      </c>
      <c r="BL80" s="188">
        <f>opex_orig!BD80</f>
        <v>2.9300000000000001E-5</v>
      </c>
      <c r="BM80" s="188">
        <f>opex_orig!BE80</f>
        <v>4.0591299999999999E-4</v>
      </c>
      <c r="BN80" s="188">
        <f>opex_orig!BF80</f>
        <v>2.5000000000000001E-5</v>
      </c>
      <c r="BO80" s="188">
        <f>opex_orig!BG80</f>
        <v>1.9224800000000001E-4</v>
      </c>
      <c r="BP80" s="188">
        <f>opex_orig!$BH80</f>
        <v>8.9683780166885605E-5</v>
      </c>
      <c r="BQ80" s="188">
        <f>opex_orig!$BH80</f>
        <v>8.9683780166885605E-5</v>
      </c>
      <c r="BR80" s="188">
        <f>opex_orig!BI80</f>
        <v>2.1573E-4</v>
      </c>
      <c r="BS80" s="188">
        <f>opex_orig!BJ80</f>
        <v>1.46773E-4</v>
      </c>
      <c r="BT80" s="188">
        <f>opex_orig!BK80</f>
        <v>3.2475310000000001E-3</v>
      </c>
      <c r="BU80" s="188">
        <f>opex_orig!BL80</f>
        <v>0</v>
      </c>
      <c r="BV80" s="27">
        <f>opex_orig!BM80</f>
        <v>3.96634452463612E-5</v>
      </c>
      <c r="BW80" s="27">
        <f>opex_orig!BN80</f>
        <v>7.7119029646661893E-5</v>
      </c>
      <c r="BX80" s="27">
        <f>opex_orig!BO80</f>
        <v>9.5196854592560195E-6</v>
      </c>
      <c r="BY80" s="27">
        <f>opex_orig!BP80</f>
        <v>1.8792608708883699E-5</v>
      </c>
      <c r="BZ80" s="27">
        <f>opex_orig!BQ80</f>
        <v>1.3087224760444701E-5</v>
      </c>
      <c r="CA80" s="27">
        <f>opex_orig!BR80</f>
        <v>5.7253850920473801E-5</v>
      </c>
      <c r="CB80" s="27">
        <f>opex_orig!BS80</f>
        <v>2.1913789620190601E-4</v>
      </c>
      <c r="CC80" s="27">
        <f>opex_orig!BT80</f>
        <v>2.82482191229469E-5</v>
      </c>
      <c r="CD80" s="27">
        <f>opex_orig!BU80</f>
        <v>7.7272316256915602E-6</v>
      </c>
      <c r="CE80" s="27">
        <f>opex_orig!BV80</f>
        <v>7.7272316256915704E-6</v>
      </c>
      <c r="CF80" s="27">
        <f>opex_orig!BW80</f>
        <v>8.2186970516571902E-6</v>
      </c>
      <c r="CG80" s="27">
        <f>opex_orig!BX80</f>
        <v>7.472065792786E-7</v>
      </c>
      <c r="CH80" s="27">
        <f>opex_orig!BY80</f>
        <v>3.7351784684731298E-6</v>
      </c>
      <c r="CI80" s="27">
        <f>opex_orig!Y80</f>
        <v>2.97E-5</v>
      </c>
      <c r="CJ80" s="27">
        <f>opex_orig!Z80</f>
        <v>8.3499999999999997E-5</v>
      </c>
      <c r="CK80" s="27">
        <f>opex_orig!AA80</f>
        <v>1.11668E-4</v>
      </c>
      <c r="CL80" s="27">
        <f>opex_orig!AB80</f>
        <v>2.02632353177162E-4</v>
      </c>
      <c r="CM80" s="27">
        <f>opex_orig!AC80</f>
        <v>3.8060453314709099E-5</v>
      </c>
      <c r="CN80" s="27">
        <f>opex_orig!AD80</f>
        <v>3.1749141964156797E-5</v>
      </c>
      <c r="CO80" s="27">
        <f>opex_orig!AE80</f>
        <v>2.4899999999999999E-5</v>
      </c>
      <c r="CP80" s="27">
        <f>opex_orig!AF80</f>
        <v>2.0687E-4</v>
      </c>
    </row>
    <row r="81" spans="1:94" x14ac:dyDescent="0.25">
      <c r="A81" s="5" t="s">
        <v>181</v>
      </c>
      <c r="B81" s="2" t="s">
        <v>180</v>
      </c>
      <c r="C81" s="1" t="s">
        <v>329</v>
      </c>
      <c r="D81" s="188">
        <f>opex_orig!D81</f>
        <v>4.0200000000000001E-5</v>
      </c>
      <c r="E81" s="188">
        <f>opex_orig!E81</f>
        <v>2.2500000000000001E-5</v>
      </c>
      <c r="F81" s="188">
        <f>opex_orig!F81</f>
        <v>1.77E-5</v>
      </c>
      <c r="G81" s="188">
        <f>opex_orig!G81</f>
        <v>4.2599999999999999E-6</v>
      </c>
      <c r="H81" s="188">
        <f>opex_orig!H81</f>
        <v>5.0699999999999997E-6</v>
      </c>
      <c r="I81" s="188">
        <f>opex_orig!I81</f>
        <v>3.8800000000000001E-5</v>
      </c>
      <c r="J81" s="188">
        <f>opex_orig!J81</f>
        <v>9.5199999999999997E-5</v>
      </c>
      <c r="K81" s="188">
        <f>opex_orig!K81</f>
        <v>6.6000000000000003E-6</v>
      </c>
      <c r="L81" s="188">
        <f>opex_orig!L81</f>
        <v>3.04E-5</v>
      </c>
      <c r="M81" s="188">
        <f>opex_orig!M81</f>
        <v>8.1799999999999996E-5</v>
      </c>
      <c r="N81" s="188">
        <f>opex_orig!N81</f>
        <v>9.9300000000000001E-5</v>
      </c>
      <c r="O81" s="188">
        <f>opex_orig!O81</f>
        <v>4.1300000000000001E-5</v>
      </c>
      <c r="P81" s="188">
        <f>opex_orig!P81</f>
        <v>7.9499999999999994E-5</v>
      </c>
      <c r="Q81" s="188">
        <f>opex_orig!Q81</f>
        <v>3.6300000000000001E-5</v>
      </c>
      <c r="R81" s="188">
        <f>opex_orig!R81</f>
        <v>3.18E-5</v>
      </c>
      <c r="S81" s="188">
        <f>opex_orig!S81</f>
        <v>1.18484E-4</v>
      </c>
      <c r="T81" s="188">
        <f>opex_orig!T81</f>
        <v>2.5923899999999998E-4</v>
      </c>
      <c r="U81" s="188">
        <f>opex_orig!U81</f>
        <v>1.4888100000000001E-4</v>
      </c>
      <c r="V81" s="188">
        <f>opex_orig!V81</f>
        <v>1.08712E-4</v>
      </c>
      <c r="W81" s="188">
        <f>opex_orig!W81</f>
        <v>9.9900000000000002E-5</v>
      </c>
      <c r="X81" s="188">
        <f>opex_orig!X81</f>
        <v>3.6300000000000001E-5</v>
      </c>
      <c r="Y81" s="188">
        <f>opex_orig!Y81</f>
        <v>2.65E-5</v>
      </c>
      <c r="Z81" s="188">
        <f>opex_orig!Z81</f>
        <v>1.7192600000000001E-4</v>
      </c>
      <c r="AA81" s="188">
        <f>opex_orig!AA81</f>
        <v>1.41633E-4</v>
      </c>
      <c r="AB81" s="188">
        <f>opex_orig!$AB81</f>
        <v>1.70865505160655E-4</v>
      </c>
      <c r="AC81" s="188">
        <f>opex_orig!$AB81</f>
        <v>1.70865505160655E-4</v>
      </c>
      <c r="AD81" s="188">
        <f>opex_orig!$AB81</f>
        <v>1.70865505160655E-4</v>
      </c>
      <c r="AE81" s="188">
        <f>opex_orig!$AC81</f>
        <v>2.9650870049547701E-4</v>
      </c>
      <c r="AF81" s="188">
        <f>opex_orig!$AD81</f>
        <v>9.2161331207673403E-5</v>
      </c>
      <c r="AG81" s="188">
        <f>opex_orig!$AD81</f>
        <v>9.2161331207673403E-5</v>
      </c>
      <c r="AH81" s="188">
        <f>opex_orig!$AD81</f>
        <v>9.2161331207673403E-5</v>
      </c>
      <c r="AI81" s="188">
        <f>opex_orig!AE81</f>
        <v>7.0199999999999999E-5</v>
      </c>
      <c r="AJ81" s="188">
        <f>opex_orig!AF81</f>
        <v>6.8580699999999997E-4</v>
      </c>
      <c r="AK81" s="188">
        <f>opex_orig!AG81</f>
        <v>2.1477900000000001E-4</v>
      </c>
      <c r="AL81" s="188">
        <f>opex_orig!AH81</f>
        <v>1.0944E-4</v>
      </c>
      <c r="AM81" s="188">
        <f>opex_orig!AI81</f>
        <v>1.3946E-4</v>
      </c>
      <c r="AN81" s="188">
        <f>opex_orig!AJ81</f>
        <v>1.16051E-4</v>
      </c>
      <c r="AO81" s="188">
        <f>opex_orig!AK81</f>
        <v>1.5812000000000001E-4</v>
      </c>
      <c r="AP81" s="188">
        <f>opex_orig!$AL81</f>
        <v>1.27248029846097E-4</v>
      </c>
      <c r="AQ81" s="188">
        <f>opex_orig!$AL81</f>
        <v>1.27248029846097E-4</v>
      </c>
      <c r="AR81" s="188">
        <f>opex_orig!$AL81</f>
        <v>1.27248029846097E-4</v>
      </c>
      <c r="AS81" s="188">
        <f>opex_orig!$AM81</f>
        <v>1.2949897074048E-4</v>
      </c>
      <c r="AT81" s="188">
        <f>opex_orig!AN81</f>
        <v>1.8248299999999999E-4</v>
      </c>
      <c r="AU81" s="188">
        <f>opex_orig!$AO81</f>
        <v>2.8194570115600199E-3</v>
      </c>
      <c r="AV81" s="188">
        <f>opex_orig!$AO81</f>
        <v>2.8194570115600199E-3</v>
      </c>
      <c r="AW81" s="188">
        <f>opex_orig!$AO81</f>
        <v>2.8194570115600199E-3</v>
      </c>
      <c r="AX81" s="188">
        <f>opex_orig!$AP81</f>
        <v>3.1359811455271701E-3</v>
      </c>
      <c r="AY81" s="188">
        <f>opex_orig!AQ81</f>
        <v>1.9563879999999999E-3</v>
      </c>
      <c r="AZ81" s="188">
        <f>opex_orig!AR81</f>
        <v>0</v>
      </c>
      <c r="BA81" s="188">
        <f>opex_orig!AS81</f>
        <v>1.6135030000000001E-3</v>
      </c>
      <c r="BB81" s="188">
        <f>opex_orig!AT81</f>
        <v>1.278602E-3</v>
      </c>
      <c r="BC81" s="188">
        <f>opex_orig!AU81</f>
        <v>9.7E-5</v>
      </c>
      <c r="BD81" s="188">
        <f>opex_orig!AV81</f>
        <v>6.0699999999999998E-5</v>
      </c>
      <c r="BE81" s="188">
        <f>opex_orig!AW81</f>
        <v>0.371808472</v>
      </c>
      <c r="BF81" s="188">
        <f>opex_orig!AX81</f>
        <v>0</v>
      </c>
      <c r="BG81" s="188">
        <f>opex_orig!AY81</f>
        <v>1.2875160000000001E-3</v>
      </c>
      <c r="BH81" s="188">
        <f>opex_orig!AZ81</f>
        <v>0</v>
      </c>
      <c r="BI81" s="188">
        <f>opex_orig!BA81</f>
        <v>4.1399660000000001E-3</v>
      </c>
      <c r="BJ81" s="188">
        <f>opex_orig!BB81</f>
        <v>4.5915069999999999E-3</v>
      </c>
      <c r="BK81" s="188">
        <f>opex_orig!BC81</f>
        <v>5.6218450000000003E-3</v>
      </c>
      <c r="BL81" s="188">
        <f>opex_orig!BD81</f>
        <v>8.9499999999999994E-5</v>
      </c>
      <c r="BM81" s="188">
        <f>opex_orig!BE81</f>
        <v>1.3625646999999999E-2</v>
      </c>
      <c r="BN81" s="188">
        <f>opex_orig!BF81</f>
        <v>1.44673E-4</v>
      </c>
      <c r="BO81" s="188">
        <f>opex_orig!BG81</f>
        <v>3.3774429999999999E-3</v>
      </c>
      <c r="BP81" s="188">
        <f>opex_orig!$BH81</f>
        <v>2.66629744245051E-4</v>
      </c>
      <c r="BQ81" s="188">
        <f>opex_orig!$BH81</f>
        <v>2.66629744245051E-4</v>
      </c>
      <c r="BR81" s="188">
        <f>opex_orig!BI81</f>
        <v>1.4130989999999999E-3</v>
      </c>
      <c r="BS81" s="188">
        <f>opex_orig!BJ81</f>
        <v>6.1457500000000002E-4</v>
      </c>
      <c r="BT81" s="188">
        <f>opex_orig!BK81</f>
        <v>2.7936697999999999E-2</v>
      </c>
      <c r="BU81" s="188">
        <f>opex_orig!BL81</f>
        <v>0</v>
      </c>
      <c r="BV81" s="27">
        <f>opex_orig!BM81</f>
        <v>1.5187950887589401E-4</v>
      </c>
      <c r="BW81" s="27">
        <f>opex_orig!BN81</f>
        <v>3.0415012623066898E-4</v>
      </c>
      <c r="BX81" s="27">
        <f>opex_orig!BO81</f>
        <v>3.40307977815541E-5</v>
      </c>
      <c r="BY81" s="27">
        <f>opex_orig!BP81</f>
        <v>8.2195983414110597E-5</v>
      </c>
      <c r="BZ81" s="27">
        <f>opex_orig!BQ81</f>
        <v>9.2782515768875898E-5</v>
      </c>
      <c r="CA81" s="27">
        <f>opex_orig!BR81</f>
        <v>4.8007642632627698E-4</v>
      </c>
      <c r="CB81" s="27">
        <f>opex_orig!BS81</f>
        <v>3.1227448488731902E-4</v>
      </c>
      <c r="CC81" s="27">
        <f>opex_orig!BT81</f>
        <v>1.47466077870211E-4</v>
      </c>
      <c r="CD81" s="27">
        <f>opex_orig!BU81</f>
        <v>1.0326482894561E-5</v>
      </c>
      <c r="CE81" s="27">
        <f>opex_orig!BV81</f>
        <v>1.0326482894561E-5</v>
      </c>
      <c r="CF81" s="27">
        <f>opex_orig!BW81</f>
        <v>9.2710739926508395E-5</v>
      </c>
      <c r="CG81" s="27">
        <f>opex_orig!BX81</f>
        <v>9.1494115368673706E-6</v>
      </c>
      <c r="CH81" s="27">
        <f>opex_orig!BY81</f>
        <v>3.5629356396544201E-5</v>
      </c>
      <c r="CI81" s="27">
        <f>opex_orig!Y81</f>
        <v>2.65E-5</v>
      </c>
      <c r="CJ81" s="27">
        <f>opex_orig!Z81</f>
        <v>1.7192600000000001E-4</v>
      </c>
      <c r="CK81" s="27">
        <f>opex_orig!AA81</f>
        <v>1.41633E-4</v>
      </c>
      <c r="CL81" s="27">
        <f>opex_orig!AB81</f>
        <v>1.70865505160655E-4</v>
      </c>
      <c r="CM81" s="27">
        <f>opex_orig!AC81</f>
        <v>2.9650870049547701E-4</v>
      </c>
      <c r="CN81" s="27">
        <f>opex_orig!AD81</f>
        <v>9.2161331207673403E-5</v>
      </c>
      <c r="CO81" s="27">
        <f>opex_orig!AE81</f>
        <v>7.0199999999999999E-5</v>
      </c>
      <c r="CP81" s="27">
        <f>opex_orig!AF81</f>
        <v>6.8580699999999997E-4</v>
      </c>
    </row>
    <row r="82" spans="1:94" x14ac:dyDescent="0.25">
      <c r="A82" s="5" t="s">
        <v>183</v>
      </c>
      <c r="B82" s="2" t="s">
        <v>182</v>
      </c>
      <c r="C82" s="1" t="s">
        <v>329</v>
      </c>
      <c r="D82" s="188">
        <f>opex_orig!D82</f>
        <v>1.1199999999999999E-5</v>
      </c>
      <c r="E82" s="188">
        <f>opex_orig!E82</f>
        <v>1.9599999999999999E-6</v>
      </c>
      <c r="F82" s="188">
        <f>opex_orig!F82</f>
        <v>1.15E-6</v>
      </c>
      <c r="G82" s="188">
        <f>opex_orig!G82</f>
        <v>1.5599999999999999E-7</v>
      </c>
      <c r="H82" s="188">
        <f>opex_orig!H82</f>
        <v>3.0899999999999997E-7</v>
      </c>
      <c r="I82" s="188">
        <f>opex_orig!I82</f>
        <v>3.3000000000000002E-6</v>
      </c>
      <c r="J82" s="188">
        <f>opex_orig!J82</f>
        <v>5.5400000000000003E-6</v>
      </c>
      <c r="K82" s="188">
        <f>opex_orig!K82</f>
        <v>4.3599999999999999E-7</v>
      </c>
      <c r="L82" s="188">
        <f>opex_orig!L82</f>
        <v>2.5799999999999999E-6</v>
      </c>
      <c r="M82" s="188">
        <f>opex_orig!M82</f>
        <v>6.7800000000000003E-6</v>
      </c>
      <c r="N82" s="188">
        <f>opex_orig!N82</f>
        <v>4.33E-6</v>
      </c>
      <c r="O82" s="188">
        <f>opex_orig!O82</f>
        <v>4.7600000000000002E-6</v>
      </c>
      <c r="P82" s="188">
        <f>opex_orig!P82</f>
        <v>8.32E-6</v>
      </c>
      <c r="Q82" s="188">
        <f>opex_orig!Q82</f>
        <v>2.43E-6</v>
      </c>
      <c r="R82" s="188">
        <f>opex_orig!R82</f>
        <v>2.8600000000000001E-6</v>
      </c>
      <c r="S82" s="188">
        <f>opex_orig!S82</f>
        <v>8.5299999999999996E-6</v>
      </c>
      <c r="T82" s="188">
        <f>opex_orig!T82</f>
        <v>1.7200000000000001E-5</v>
      </c>
      <c r="U82" s="188">
        <f>opex_orig!U82</f>
        <v>9.9199999999999999E-6</v>
      </c>
      <c r="V82" s="188">
        <f>opex_orig!V82</f>
        <v>6.8900000000000001E-6</v>
      </c>
      <c r="W82" s="188">
        <f>opex_orig!W82</f>
        <v>6.8199999999999999E-6</v>
      </c>
      <c r="X82" s="188">
        <f>opex_orig!X82</f>
        <v>2.4899999999999999E-6</v>
      </c>
      <c r="Y82" s="188">
        <f>opex_orig!Y82</f>
        <v>1.33E-6</v>
      </c>
      <c r="Z82" s="188">
        <f>opex_orig!Z82</f>
        <v>9.7899999999999994E-6</v>
      </c>
      <c r="AA82" s="188">
        <f>opex_orig!AA82</f>
        <v>1.2799999999999999E-5</v>
      </c>
      <c r="AB82" s="188">
        <f>opex_orig!$AB82</f>
        <v>1.5951605619348199E-5</v>
      </c>
      <c r="AC82" s="188">
        <f>opex_orig!$AB82</f>
        <v>1.5951605619348199E-5</v>
      </c>
      <c r="AD82" s="188">
        <f>opex_orig!$AB82</f>
        <v>1.5951605619348199E-5</v>
      </c>
      <c r="AE82" s="188">
        <f>opex_orig!$AC82</f>
        <v>9.1110088622434701E-6</v>
      </c>
      <c r="AF82" s="188">
        <f>opex_orig!$AD82</f>
        <v>3.96898461778239E-6</v>
      </c>
      <c r="AG82" s="188">
        <f>opex_orig!$AD82</f>
        <v>3.96898461778239E-6</v>
      </c>
      <c r="AH82" s="188">
        <f>opex_orig!$AD82</f>
        <v>3.96898461778239E-6</v>
      </c>
      <c r="AI82" s="188">
        <f>opex_orig!AE82</f>
        <v>3.5499999999999999E-6</v>
      </c>
      <c r="AJ82" s="188">
        <f>opex_orig!AF82</f>
        <v>5.8499999999999999E-5</v>
      </c>
      <c r="AK82" s="188">
        <f>opex_orig!AG82</f>
        <v>2.1800000000000001E-5</v>
      </c>
      <c r="AL82" s="188">
        <f>opex_orig!AH82</f>
        <v>9.8400000000000007E-6</v>
      </c>
      <c r="AM82" s="188">
        <f>opex_orig!AI82</f>
        <v>1.22E-5</v>
      </c>
      <c r="AN82" s="188">
        <f>opex_orig!AJ82</f>
        <v>1.2500000000000001E-5</v>
      </c>
      <c r="AO82" s="188">
        <f>opex_orig!AK82</f>
        <v>1.26E-5</v>
      </c>
      <c r="AP82" s="188">
        <f>opex_orig!$AL82</f>
        <v>1.31872783137378E-5</v>
      </c>
      <c r="AQ82" s="188">
        <f>opex_orig!$AL82</f>
        <v>1.31872783137378E-5</v>
      </c>
      <c r="AR82" s="188">
        <f>opex_orig!$AL82</f>
        <v>1.31872783137378E-5</v>
      </c>
      <c r="AS82" s="188">
        <f>opex_orig!$AM82</f>
        <v>1.2041321898687E-5</v>
      </c>
      <c r="AT82" s="188">
        <f>opex_orig!AN82</f>
        <v>1.56E-5</v>
      </c>
      <c r="AU82" s="188">
        <f>opex_orig!$AO82</f>
        <v>2.03969700218559E-4</v>
      </c>
      <c r="AV82" s="188">
        <f>opex_orig!$AO82</f>
        <v>2.03969700218559E-4</v>
      </c>
      <c r="AW82" s="188">
        <f>opex_orig!$AO82</f>
        <v>2.03969700218559E-4</v>
      </c>
      <c r="AX82" s="188">
        <f>opex_orig!$AP82</f>
        <v>2.2493989954695701E-4</v>
      </c>
      <c r="AY82" s="188">
        <f>opex_orig!AQ82</f>
        <v>1.41526E-4</v>
      </c>
      <c r="AZ82" s="188">
        <f>opex_orig!AR82</f>
        <v>0</v>
      </c>
      <c r="BA82" s="188">
        <f>opex_orig!AS82</f>
        <v>1.1764000000000001E-4</v>
      </c>
      <c r="BB82" s="188">
        <f>opex_orig!AT82</f>
        <v>9.6199999999999994E-5</v>
      </c>
      <c r="BC82" s="188">
        <f>opex_orig!AU82</f>
        <v>5.4700000000000001E-6</v>
      </c>
      <c r="BD82" s="188">
        <f>opex_orig!AV82</f>
        <v>3.6600000000000001E-6</v>
      </c>
      <c r="BE82" s="188">
        <f>opex_orig!AW82</f>
        <v>2.6050659E-2</v>
      </c>
      <c r="BF82" s="188">
        <f>opex_orig!AX82</f>
        <v>0</v>
      </c>
      <c r="BG82" s="188">
        <f>opex_orig!AY82</f>
        <v>8.7499999999999999E-5</v>
      </c>
      <c r="BH82" s="188">
        <f>opex_orig!AZ82</f>
        <v>0</v>
      </c>
      <c r="BI82" s="188">
        <f>opex_orig!BA82</f>
        <v>3.00869E-4</v>
      </c>
      <c r="BJ82" s="188">
        <f>opex_orig!BB82</f>
        <v>3.4092999999999998E-4</v>
      </c>
      <c r="BK82" s="188">
        <f>opex_orig!BC82</f>
        <v>4.0989299999999999E-4</v>
      </c>
      <c r="BL82" s="188">
        <f>opex_orig!BD82</f>
        <v>1.4100000000000001E-5</v>
      </c>
      <c r="BM82" s="188">
        <f>opex_orig!BE82</f>
        <v>9.6010500000000005E-4</v>
      </c>
      <c r="BN82" s="188">
        <f>opex_orig!BF82</f>
        <v>1.0200000000000001E-5</v>
      </c>
      <c r="BO82" s="188">
        <f>opex_orig!BG82</f>
        <v>2.4042200000000001E-4</v>
      </c>
      <c r="BP82" s="188">
        <f>opex_orig!$BH82</f>
        <v>2.48179044551278E-5</v>
      </c>
      <c r="BQ82" s="188">
        <f>opex_orig!$BH82</f>
        <v>2.48179044551278E-5</v>
      </c>
      <c r="BR82" s="188">
        <f>opex_orig!BI82</f>
        <v>1.0446300000000001E-4</v>
      </c>
      <c r="BS82" s="188">
        <f>opex_orig!BJ82</f>
        <v>5.0399999999999999E-5</v>
      </c>
      <c r="BT82" s="188">
        <f>opex_orig!BK82</f>
        <v>1.9534349999999999E-3</v>
      </c>
      <c r="BU82" s="188">
        <f>opex_orig!BL82</f>
        <v>0</v>
      </c>
      <c r="BV82" s="27">
        <f>opex_orig!BM82</f>
        <v>1.36295854817307E-5</v>
      </c>
      <c r="BW82" s="27">
        <f>opex_orig!BN82</f>
        <v>2.6338478337909901E-5</v>
      </c>
      <c r="BX82" s="27">
        <f>opex_orig!BO82</f>
        <v>3.5428383741703301E-6</v>
      </c>
      <c r="BY82" s="27">
        <f>opex_orig!BP82</f>
        <v>4.0436116726382602E-6</v>
      </c>
      <c r="BZ82" s="27">
        <f>opex_orig!BQ82</f>
        <v>2.9551499129921099E-6</v>
      </c>
      <c r="CA82" s="27">
        <f>opex_orig!BR82</f>
        <v>1.99242351468759E-5</v>
      </c>
      <c r="CB82" s="27">
        <f>opex_orig!BS82</f>
        <v>2.4530358770158598E-5</v>
      </c>
      <c r="CC82" s="27">
        <f>opex_orig!BT82</f>
        <v>3.12264420219156E-4</v>
      </c>
      <c r="CD82" s="27">
        <f>opex_orig!BU82</f>
        <v>1.7149777832530399E-6</v>
      </c>
      <c r="CE82" s="27">
        <f>opex_orig!BV82</f>
        <v>1.7149777832530399E-6</v>
      </c>
      <c r="CF82" s="27">
        <f>opex_orig!BW82</f>
        <v>2.8220396785200401E-6</v>
      </c>
      <c r="CG82" s="27">
        <f>opex_orig!BX82</f>
        <v>9.7047520431913693E-7</v>
      </c>
      <c r="CH82" s="27">
        <f>opex_orig!BY82</f>
        <v>3.9839556271831899E-6</v>
      </c>
      <c r="CI82" s="27">
        <f>opex_orig!Y82</f>
        <v>1.33E-6</v>
      </c>
      <c r="CJ82" s="27">
        <f>opex_orig!Z82</f>
        <v>9.7899999999999994E-6</v>
      </c>
      <c r="CK82" s="27">
        <f>opex_orig!AA82</f>
        <v>1.2799999999999999E-5</v>
      </c>
      <c r="CL82" s="27">
        <f>opex_orig!AB82</f>
        <v>1.5951605619348199E-5</v>
      </c>
      <c r="CM82" s="27">
        <f>opex_orig!AC82</f>
        <v>9.1110088622434701E-6</v>
      </c>
      <c r="CN82" s="27">
        <f>opex_orig!AD82</f>
        <v>3.96898461778239E-6</v>
      </c>
      <c r="CO82" s="27">
        <f>opex_orig!AE82</f>
        <v>3.5499999999999999E-6</v>
      </c>
      <c r="CP82" s="27">
        <f>opex_orig!AF82</f>
        <v>5.8499999999999999E-5</v>
      </c>
    </row>
    <row r="83" spans="1:94" x14ac:dyDescent="0.25">
      <c r="A83" s="5" t="s">
        <v>185</v>
      </c>
      <c r="B83" s="2" t="s">
        <v>184</v>
      </c>
      <c r="C83" s="1" t="s">
        <v>329</v>
      </c>
      <c r="D83" s="188">
        <f>opex_orig!D83</f>
        <v>8.9600000000000006E-6</v>
      </c>
      <c r="E83" s="188">
        <f>opex_orig!E83</f>
        <v>2.6199999999999999E-6</v>
      </c>
      <c r="F83" s="188">
        <f>opex_orig!F83</f>
        <v>3.05E-6</v>
      </c>
      <c r="G83" s="188">
        <f>opex_orig!G83</f>
        <v>1.37E-7</v>
      </c>
      <c r="H83" s="188">
        <f>opex_orig!H83</f>
        <v>2.16E-7</v>
      </c>
      <c r="I83" s="188">
        <f>opex_orig!I83</f>
        <v>2.8100000000000002E-6</v>
      </c>
      <c r="J83" s="188">
        <f>opex_orig!J83</f>
        <v>3.5099999999999999E-6</v>
      </c>
      <c r="K83" s="188">
        <f>opex_orig!K83</f>
        <v>4.0499999999999999E-7</v>
      </c>
      <c r="L83" s="188">
        <f>opex_orig!L83</f>
        <v>3.49E-6</v>
      </c>
      <c r="M83" s="188">
        <f>opex_orig!M83</f>
        <v>6.2099999999999998E-6</v>
      </c>
      <c r="N83" s="188">
        <f>opex_orig!N83</f>
        <v>1.0499999999999999E-5</v>
      </c>
      <c r="O83" s="188">
        <f>opex_orig!O83</f>
        <v>4.7999999999999998E-6</v>
      </c>
      <c r="P83" s="188">
        <f>opex_orig!P83</f>
        <v>9.5699999999999999E-6</v>
      </c>
      <c r="Q83" s="188">
        <f>opex_orig!Q83</f>
        <v>6.1600000000000003E-6</v>
      </c>
      <c r="R83" s="188">
        <f>opex_orig!R83</f>
        <v>1.4600000000000001E-5</v>
      </c>
      <c r="S83" s="188">
        <f>opex_orig!S83</f>
        <v>8.4700000000000002E-6</v>
      </c>
      <c r="T83" s="188">
        <f>opex_orig!T83</f>
        <v>1.19E-5</v>
      </c>
      <c r="U83" s="188">
        <f>opex_orig!U83</f>
        <v>7.5800000000000003E-6</v>
      </c>
      <c r="V83" s="188">
        <f>opex_orig!V83</f>
        <v>9.5100000000000004E-6</v>
      </c>
      <c r="W83" s="188">
        <f>opex_orig!W83</f>
        <v>1.0200000000000001E-5</v>
      </c>
      <c r="X83" s="188">
        <f>opex_orig!X83</f>
        <v>3.9999999999999998E-6</v>
      </c>
      <c r="Y83" s="188">
        <f>opex_orig!Y83</f>
        <v>2.5799999999999999E-6</v>
      </c>
      <c r="Z83" s="188">
        <f>opex_orig!Z83</f>
        <v>1.43E-5</v>
      </c>
      <c r="AA83" s="188">
        <f>opex_orig!AA83</f>
        <v>1.15E-5</v>
      </c>
      <c r="AB83" s="188">
        <f>opex_orig!$AB83</f>
        <v>9.0366496289934003E-6</v>
      </c>
      <c r="AC83" s="188">
        <f>opex_orig!$AB83</f>
        <v>9.0366496289934003E-6</v>
      </c>
      <c r="AD83" s="188">
        <f>opex_orig!$AB83</f>
        <v>9.0366496289934003E-6</v>
      </c>
      <c r="AE83" s="188">
        <f>opex_orig!$AC83</f>
        <v>3.34515584742981E-5</v>
      </c>
      <c r="AF83" s="188">
        <f>opex_orig!$AD83</f>
        <v>8.6431424388801692E-6</v>
      </c>
      <c r="AG83" s="188">
        <f>opex_orig!$AD83</f>
        <v>8.6431424388801692E-6</v>
      </c>
      <c r="AH83" s="188">
        <f>opex_orig!$AD83</f>
        <v>8.6431424388801692E-6</v>
      </c>
      <c r="AI83" s="188">
        <f>opex_orig!AE83</f>
        <v>5.6799999999999998E-6</v>
      </c>
      <c r="AJ83" s="188">
        <f>opex_orig!AF83</f>
        <v>5.77E-5</v>
      </c>
      <c r="AK83" s="188">
        <f>opex_orig!AG83</f>
        <v>3.8699999999999999E-5</v>
      </c>
      <c r="AL83" s="188">
        <f>opex_orig!AH83</f>
        <v>2.0000000000000002E-5</v>
      </c>
      <c r="AM83" s="188">
        <f>opex_orig!AI83</f>
        <v>2.1999999999999999E-5</v>
      </c>
      <c r="AN83" s="188">
        <f>opex_orig!AJ83</f>
        <v>1.8499999999999999E-5</v>
      </c>
      <c r="AO83" s="188">
        <f>opex_orig!AK83</f>
        <v>2.27E-5</v>
      </c>
      <c r="AP83" s="188">
        <f>opex_orig!$AL83</f>
        <v>1.3348433603170399E-5</v>
      </c>
      <c r="AQ83" s="188">
        <f>opex_orig!$AL83</f>
        <v>1.3348433603170399E-5</v>
      </c>
      <c r="AR83" s="188">
        <f>opex_orig!$AL83</f>
        <v>1.3348433603170399E-5</v>
      </c>
      <c r="AS83" s="188">
        <f>opex_orig!$AM83</f>
        <v>1.59591542313412E-5</v>
      </c>
      <c r="AT83" s="188">
        <f>opex_orig!AN83</f>
        <v>1.68469E-4</v>
      </c>
      <c r="AU83" s="188">
        <f>opex_orig!$AO83</f>
        <v>4.2062223061010602E-3</v>
      </c>
      <c r="AV83" s="188">
        <f>opex_orig!$AO83</f>
        <v>4.2062223061010602E-3</v>
      </c>
      <c r="AW83" s="188">
        <f>opex_orig!$AO83</f>
        <v>4.2062223061010602E-3</v>
      </c>
      <c r="AX83" s="188">
        <f>opex_orig!$AP83</f>
        <v>4.2852975296679002E-3</v>
      </c>
      <c r="AY83" s="188">
        <f>opex_orig!AQ83</f>
        <v>1.5211000000000001E-3</v>
      </c>
      <c r="AZ83" s="188">
        <f>opex_orig!AR83</f>
        <v>0</v>
      </c>
      <c r="BA83" s="188">
        <f>opex_orig!AS83</f>
        <v>2.5445157999999999E-2</v>
      </c>
      <c r="BB83" s="188">
        <f>opex_orig!AT83</f>
        <v>2.7390742999999999E-2</v>
      </c>
      <c r="BC83" s="188">
        <f>opex_orig!AU83</f>
        <v>7.7100000000000007E-6</v>
      </c>
      <c r="BD83" s="188">
        <f>opex_orig!AV83</f>
        <v>6.8600000000000004E-6</v>
      </c>
      <c r="BE83" s="188">
        <f>opex_orig!AW83</f>
        <v>2.1092763E-2</v>
      </c>
      <c r="BF83" s="188">
        <f>opex_orig!AX83</f>
        <v>0</v>
      </c>
      <c r="BG83" s="188">
        <f>opex_orig!AY83</f>
        <v>9.6640989999999996E-2</v>
      </c>
      <c r="BH83" s="188">
        <f>opex_orig!AZ83</f>
        <v>0</v>
      </c>
      <c r="BI83" s="188">
        <f>opex_orig!BA83</f>
        <v>8.9968289999999996E-3</v>
      </c>
      <c r="BJ83" s="188">
        <f>opex_orig!BB83</f>
        <v>1.3782390000000001E-3</v>
      </c>
      <c r="BK83" s="188">
        <f>opex_orig!BC83</f>
        <v>1.223191E-3</v>
      </c>
      <c r="BL83" s="188">
        <f>opex_orig!BD83</f>
        <v>2.9899999999999998E-5</v>
      </c>
      <c r="BM83" s="188">
        <f>opex_orig!BE83</f>
        <v>1.047805E-3</v>
      </c>
      <c r="BN83" s="188">
        <f>opex_orig!BF83</f>
        <v>1.9199999999999999E-5</v>
      </c>
      <c r="BO83" s="188">
        <f>opex_orig!BG83</f>
        <v>6.9811899999999997E-4</v>
      </c>
      <c r="BP83" s="188">
        <f>opex_orig!$BH83</f>
        <v>9.3596404351459206E-5</v>
      </c>
      <c r="BQ83" s="188">
        <f>opex_orig!$BH83</f>
        <v>9.3596404351459206E-5</v>
      </c>
      <c r="BR83" s="188">
        <f>opex_orig!BI83</f>
        <v>9.7292899999999998E-4</v>
      </c>
      <c r="BS83" s="188">
        <f>opex_orig!BJ83</f>
        <v>3.8625529999999999E-3</v>
      </c>
      <c r="BT83" s="188">
        <f>opex_orig!BK83</f>
        <v>5.7057210000000004E-3</v>
      </c>
      <c r="BU83" s="188">
        <f>opex_orig!BL83</f>
        <v>0</v>
      </c>
      <c r="BV83" s="27">
        <f>opex_orig!BM83</f>
        <v>1.0837874321367199E-5</v>
      </c>
      <c r="BW83" s="27">
        <f>opex_orig!BN83</f>
        <v>1.8869888058554199E-5</v>
      </c>
      <c r="BX83" s="27">
        <f>opex_orig!BO83</f>
        <v>5.4660033261106397E-6</v>
      </c>
      <c r="BY83" s="27">
        <f>opex_orig!BP83</f>
        <v>1.05423626010099E-5</v>
      </c>
      <c r="BZ83" s="27">
        <f>opex_orig!BQ83</f>
        <v>1.46290812918585E-5</v>
      </c>
      <c r="CA83" s="27">
        <f>opex_orig!BR83</f>
        <v>2.4682630383344401E-6</v>
      </c>
      <c r="CB83" s="27">
        <f>opex_orig!BS83</f>
        <v>8.8651488098675392E-6</v>
      </c>
      <c r="CC83" s="27">
        <f>opex_orig!BT83</f>
        <v>2.4601197121680698E-4</v>
      </c>
      <c r="CD83" s="27">
        <f>opex_orig!BU83</f>
        <v>2.0783453776497499E-6</v>
      </c>
      <c r="CE83" s="27">
        <f>opex_orig!BV83</f>
        <v>2.0783453776497499E-6</v>
      </c>
      <c r="CF83" s="27">
        <f>opex_orig!BW83</f>
        <v>2.9373928187649601E-6</v>
      </c>
      <c r="CG83" s="27">
        <f>opex_orig!BX83</f>
        <v>2.6151007337408199E-6</v>
      </c>
      <c r="CH83" s="27">
        <f>opex_orig!BY83</f>
        <v>4.9438736703605402E-6</v>
      </c>
      <c r="CI83" s="27">
        <f>opex_orig!Y83</f>
        <v>2.5799999999999999E-6</v>
      </c>
      <c r="CJ83" s="27">
        <f>opex_orig!Z83</f>
        <v>1.43E-5</v>
      </c>
      <c r="CK83" s="27">
        <f>opex_orig!AA83</f>
        <v>1.15E-5</v>
      </c>
      <c r="CL83" s="27">
        <f>opex_orig!AB83</f>
        <v>9.0366496289934003E-6</v>
      </c>
      <c r="CM83" s="27">
        <f>opex_orig!AC83</f>
        <v>3.34515584742981E-5</v>
      </c>
      <c r="CN83" s="27">
        <f>opex_orig!AD83</f>
        <v>8.6431424388801692E-6</v>
      </c>
      <c r="CO83" s="27">
        <f>opex_orig!AE83</f>
        <v>5.6799999999999998E-6</v>
      </c>
      <c r="CP83" s="27">
        <f>opex_orig!AF83</f>
        <v>5.77E-5</v>
      </c>
    </row>
    <row r="84" spans="1:94" x14ac:dyDescent="0.25">
      <c r="A84" s="5" t="s">
        <v>187</v>
      </c>
      <c r="B84" s="2" t="s">
        <v>186</v>
      </c>
      <c r="C84" s="1" t="s">
        <v>329</v>
      </c>
      <c r="D84" s="188">
        <f>opex_orig!D84</f>
        <v>1.0800000000000001E-8</v>
      </c>
      <c r="E84" s="188">
        <f>opex_orig!E84</f>
        <v>6.6400000000000002E-9</v>
      </c>
      <c r="F84" s="188">
        <f>opex_orig!F84</f>
        <v>6.5400000000000003E-8</v>
      </c>
      <c r="G84" s="188">
        <f>opex_orig!G84</f>
        <v>1.37E-9</v>
      </c>
      <c r="H84" s="188">
        <f>opex_orig!H84</f>
        <v>6.3799999999999997E-10</v>
      </c>
      <c r="I84" s="188">
        <f>opex_orig!I84</f>
        <v>1.29E-8</v>
      </c>
      <c r="J84" s="188">
        <f>opex_orig!J84</f>
        <v>3.3499999999999998E-9</v>
      </c>
      <c r="K84" s="188">
        <f>opex_orig!K84</f>
        <v>4.25E-9</v>
      </c>
      <c r="L84" s="188">
        <f>opex_orig!L84</f>
        <v>3.7100000000000001E-8</v>
      </c>
      <c r="M84" s="188">
        <f>opex_orig!M84</f>
        <v>1.6899999999999999E-7</v>
      </c>
      <c r="N84" s="188">
        <f>opex_orig!N84</f>
        <v>3.7E-8</v>
      </c>
      <c r="O84" s="188">
        <f>opex_orig!O84</f>
        <v>3.3000000000000002E-9</v>
      </c>
      <c r="P84" s="188">
        <f>opex_orig!P84</f>
        <v>1.8199999999999999E-7</v>
      </c>
      <c r="Q84" s="188">
        <f>opex_orig!Q84</f>
        <v>1.01E-7</v>
      </c>
      <c r="R84" s="188">
        <f>opex_orig!R84</f>
        <v>1.1000000000000001E-6</v>
      </c>
      <c r="S84" s="188">
        <f>opex_orig!S84</f>
        <v>1.68E-7</v>
      </c>
      <c r="T84" s="188">
        <f>opex_orig!T84</f>
        <v>1.7700000000000001E-7</v>
      </c>
      <c r="U84" s="188">
        <f>opex_orig!U84</f>
        <v>3.8299999999999999E-8</v>
      </c>
      <c r="V84" s="188">
        <f>opex_orig!V84</f>
        <v>4.7500000000000002E-8</v>
      </c>
      <c r="W84" s="188">
        <f>opex_orig!W84</f>
        <v>2.22E-7</v>
      </c>
      <c r="X84" s="188">
        <f>opex_orig!X84</f>
        <v>2.0100000000000001E-8</v>
      </c>
      <c r="Y84" s="188">
        <f>opex_orig!Y84</f>
        <v>2.4100000000000001E-8</v>
      </c>
      <c r="Z84" s="188">
        <f>opex_orig!Z84</f>
        <v>4.03E-7</v>
      </c>
      <c r="AA84" s="188">
        <f>opex_orig!AA84</f>
        <v>8.5199999999999995E-8</v>
      </c>
      <c r="AB84" s="188">
        <f>opex_orig!$AB84</f>
        <v>8.6035397783405394E-8</v>
      </c>
      <c r="AC84" s="188">
        <f>opex_orig!$AB84</f>
        <v>8.6035397783405394E-8</v>
      </c>
      <c r="AD84" s="188">
        <f>opex_orig!$AB84</f>
        <v>8.6035397783405394E-8</v>
      </c>
      <c r="AE84" s="188">
        <f>opex_orig!$AC84</f>
        <v>8.4765890244920008E-9</v>
      </c>
      <c r="AF84" s="188">
        <f>opex_orig!$AD84</f>
        <v>7.1281056474228395E-8</v>
      </c>
      <c r="AG84" s="188">
        <f>opex_orig!$AD84</f>
        <v>7.1281056474228395E-8</v>
      </c>
      <c r="AH84" s="188">
        <f>opex_orig!$AD84</f>
        <v>7.1281056474228395E-8</v>
      </c>
      <c r="AI84" s="188">
        <f>opex_orig!AE84</f>
        <v>1.35E-8</v>
      </c>
      <c r="AJ84" s="188">
        <f>opex_orig!AF84</f>
        <v>4.4399999999999998E-6</v>
      </c>
      <c r="AK84" s="188">
        <f>opex_orig!AG84</f>
        <v>2.3099999999999999E-6</v>
      </c>
      <c r="AL84" s="188">
        <f>opex_orig!AH84</f>
        <v>5.5099999999999997E-8</v>
      </c>
      <c r="AM84" s="188">
        <f>opex_orig!AI84</f>
        <v>2.1799999999999999E-7</v>
      </c>
      <c r="AN84" s="188">
        <f>opex_orig!AJ84</f>
        <v>6.6100000000000003E-8</v>
      </c>
      <c r="AO84" s="188">
        <f>opex_orig!AK84</f>
        <v>1.2800000000000001E-7</v>
      </c>
      <c r="AP84" s="188">
        <f>opex_orig!$AL84</f>
        <v>7.8836990771720995E-8</v>
      </c>
      <c r="AQ84" s="188">
        <f>opex_orig!$AL84</f>
        <v>7.8836990771720995E-8</v>
      </c>
      <c r="AR84" s="188">
        <f>opex_orig!$AL84</f>
        <v>7.8836990771720995E-8</v>
      </c>
      <c r="AS84" s="188">
        <f>opex_orig!$AM84</f>
        <v>9.2304704422628905E-8</v>
      </c>
      <c r="AT84" s="188">
        <f>opex_orig!AN84</f>
        <v>1.34E-5</v>
      </c>
      <c r="AU84" s="188">
        <f>opex_orig!$AO84</f>
        <v>3.6702367043394698E-4</v>
      </c>
      <c r="AV84" s="188">
        <f>opex_orig!$AO84</f>
        <v>3.6702367043394698E-4</v>
      </c>
      <c r="AW84" s="188">
        <f>opex_orig!$AO84</f>
        <v>3.6702367043394698E-4</v>
      </c>
      <c r="AX84" s="188">
        <f>opex_orig!$AP84</f>
        <v>3.7492763881250398E-4</v>
      </c>
      <c r="AY84" s="188">
        <f>opex_orig!AQ84</f>
        <v>1.3159700000000001E-4</v>
      </c>
      <c r="AZ84" s="188">
        <f>opex_orig!AR84</f>
        <v>0</v>
      </c>
      <c r="BA84" s="188">
        <f>opex_orig!AS84</f>
        <v>2.2452610000000001E-3</v>
      </c>
      <c r="BB84" s="188">
        <f>opex_orig!AT84</f>
        <v>2.4236399999999999E-3</v>
      </c>
      <c r="BC84" s="188">
        <f>opex_orig!AU84</f>
        <v>3.1300000000000002E-8</v>
      </c>
      <c r="BD84" s="188">
        <f>opex_orig!AV84</f>
        <v>2.4900000000000001E-8</v>
      </c>
      <c r="BE84" s="188">
        <f>opex_orig!AW84</f>
        <v>1.8552099999999999E-3</v>
      </c>
      <c r="BF84" s="188">
        <f>opex_orig!AX84</f>
        <v>0</v>
      </c>
      <c r="BG84" s="188">
        <f>opex_orig!AY84</f>
        <v>8.4431990000000002E-3</v>
      </c>
      <c r="BH84" s="188">
        <f>opex_orig!AZ84</f>
        <v>0</v>
      </c>
      <c r="BI84" s="188">
        <f>opex_orig!BA84</f>
        <v>7.9186000000000002E-4</v>
      </c>
      <c r="BJ84" s="188">
        <f>opex_orig!BB84</f>
        <v>1.17924E-4</v>
      </c>
      <c r="BK84" s="188">
        <f>opex_orig!BC84</f>
        <v>1.05295E-4</v>
      </c>
      <c r="BL84" s="188">
        <f>opex_orig!BD84</f>
        <v>1.53E-6</v>
      </c>
      <c r="BM84" s="188">
        <f>opex_orig!BE84</f>
        <v>9.1500000000000001E-5</v>
      </c>
      <c r="BN84" s="188">
        <f>opex_orig!BF84</f>
        <v>1.0100000000000001E-6</v>
      </c>
      <c r="BO84" s="188">
        <f>opex_orig!BG84</f>
        <v>6.0000000000000002E-5</v>
      </c>
      <c r="BP84" s="188">
        <f>opex_orig!$BH84</f>
        <v>7.0829288802974696E-6</v>
      </c>
      <c r="BQ84" s="188">
        <f>opex_orig!$BH84</f>
        <v>7.0829288802974696E-6</v>
      </c>
      <c r="BR84" s="188">
        <f>opex_orig!BI84</f>
        <v>8.3999999999999995E-5</v>
      </c>
      <c r="BS84" s="188">
        <f>opex_orig!BJ84</f>
        <v>3.38628E-4</v>
      </c>
      <c r="BT84" s="188">
        <f>opex_orig!BK84</f>
        <v>5.0250999999999996E-4</v>
      </c>
      <c r="BU84" s="188">
        <f>opex_orig!BL84</f>
        <v>0</v>
      </c>
      <c r="BV84" s="27">
        <f>opex_orig!BM84</f>
        <v>2.0712417064868401E-7</v>
      </c>
      <c r="BW84" s="27">
        <f>opex_orig!BN84</f>
        <v>2.8328601953452798E-7</v>
      </c>
      <c r="BX84" s="27">
        <f>opex_orig!BO84</f>
        <v>3.89805725116517E-8</v>
      </c>
      <c r="BY84" s="27">
        <f>opex_orig!BP84</f>
        <v>4.6851485057264701E-8</v>
      </c>
      <c r="BZ84" s="27">
        <f>opex_orig!BQ84</f>
        <v>3.3206537214747597E-8</v>
      </c>
      <c r="CA84" s="27">
        <f>opex_orig!BR84</f>
        <v>7.8604909072974002E-8</v>
      </c>
      <c r="CB84" s="27">
        <f>opex_orig!BS84</f>
        <v>2.4697540768162898E-7</v>
      </c>
      <c r="CC84" s="27">
        <f>opex_orig!BT84</f>
        <v>9.53467422533602E-7</v>
      </c>
      <c r="CD84" s="27">
        <f>opex_orig!BU84</f>
        <v>2.1324305506285199E-8</v>
      </c>
      <c r="CE84" s="27">
        <f>opex_orig!BV84</f>
        <v>2.1324305506285199E-8</v>
      </c>
      <c r="CF84" s="27">
        <f>opex_orig!BW84</f>
        <v>1.71849031988797E-8</v>
      </c>
      <c r="CG84" s="27">
        <f>opex_orig!BX84</f>
        <v>3.08678492730288E-7</v>
      </c>
      <c r="CH84" s="27">
        <f>opex_orig!BY84</f>
        <v>2.05415151076479E-9</v>
      </c>
      <c r="CI84" s="27">
        <f>opex_orig!Y84</f>
        <v>2.4100000000000001E-8</v>
      </c>
      <c r="CJ84" s="27">
        <f>opex_orig!Z84</f>
        <v>4.03E-7</v>
      </c>
      <c r="CK84" s="27">
        <f>opex_orig!AA84</f>
        <v>8.5199999999999995E-8</v>
      </c>
      <c r="CL84" s="27">
        <f>opex_orig!AB84</f>
        <v>8.6035397783405394E-8</v>
      </c>
      <c r="CM84" s="27">
        <f>opex_orig!AC84</f>
        <v>8.4765890244920008E-9</v>
      </c>
      <c r="CN84" s="27">
        <f>opex_orig!AD84</f>
        <v>7.1281056474228395E-8</v>
      </c>
      <c r="CO84" s="27">
        <f>opex_orig!AE84</f>
        <v>1.35E-8</v>
      </c>
      <c r="CP84" s="27">
        <f>opex_orig!AF84</f>
        <v>4.4399999999999998E-6</v>
      </c>
    </row>
    <row r="85" spans="1:94" x14ac:dyDescent="0.25">
      <c r="A85" s="5" t="s">
        <v>189</v>
      </c>
      <c r="B85" s="2" t="s">
        <v>188</v>
      </c>
      <c r="C85" s="1" t="s">
        <v>329</v>
      </c>
      <c r="D85" s="188">
        <f>opex_orig!D85</f>
        <v>8.5400000000000002E-5</v>
      </c>
      <c r="E85" s="188">
        <f>opex_orig!E85</f>
        <v>4.8099999999999997E-5</v>
      </c>
      <c r="F85" s="188">
        <f>opex_orig!F85</f>
        <v>3.3699999999999999E-5</v>
      </c>
      <c r="G85" s="188">
        <f>opex_orig!G85</f>
        <v>4.9200000000000003E-6</v>
      </c>
      <c r="H85" s="188">
        <f>opex_orig!H85</f>
        <v>8.8300000000000002E-6</v>
      </c>
      <c r="I85" s="188">
        <f>opex_orig!I85</f>
        <v>1.14082E-4</v>
      </c>
      <c r="J85" s="188">
        <f>opex_orig!J85</f>
        <v>1.33392E-4</v>
      </c>
      <c r="K85" s="188">
        <f>opex_orig!K85</f>
        <v>1.5500000000000001E-5</v>
      </c>
      <c r="L85" s="188">
        <f>opex_orig!L85</f>
        <v>9.4400000000000004E-5</v>
      </c>
      <c r="M85" s="188">
        <f>opex_orig!M85</f>
        <v>2.7483500000000002E-4</v>
      </c>
      <c r="N85" s="188">
        <f>opex_orig!N85</f>
        <v>1.483E-4</v>
      </c>
      <c r="O85" s="188">
        <f>opex_orig!O85</f>
        <v>1.194227E-3</v>
      </c>
      <c r="P85" s="188">
        <f>opex_orig!P85</f>
        <v>1.98679E-4</v>
      </c>
      <c r="Q85" s="188">
        <f>opex_orig!Q85</f>
        <v>9.59E-5</v>
      </c>
      <c r="R85" s="188">
        <f>opex_orig!R85</f>
        <v>9.8200000000000002E-5</v>
      </c>
      <c r="S85" s="188">
        <f>opex_orig!S85</f>
        <v>2.9986699999999999E-4</v>
      </c>
      <c r="T85" s="188">
        <f>opex_orig!T85</f>
        <v>5.1825000000000005E-4</v>
      </c>
      <c r="U85" s="188">
        <f>opex_orig!U85</f>
        <v>3.3523E-4</v>
      </c>
      <c r="V85" s="188">
        <f>opex_orig!V85</f>
        <v>3.4419600000000001E-4</v>
      </c>
      <c r="W85" s="188">
        <f>opex_orig!W85</f>
        <v>3.59489E-4</v>
      </c>
      <c r="X85" s="188">
        <f>opex_orig!X85</f>
        <v>7.0500000000000006E-5</v>
      </c>
      <c r="Y85" s="188">
        <f>opex_orig!Y85</f>
        <v>6.4455899999999995E-4</v>
      </c>
      <c r="Z85" s="188">
        <f>opex_orig!Z85</f>
        <v>6.1211900000000005E-4</v>
      </c>
      <c r="AA85" s="188">
        <f>opex_orig!AA85</f>
        <v>8.9073199999999998E-4</v>
      </c>
      <c r="AB85" s="188">
        <f>opex_orig!$AB85</f>
        <v>7.5522760802157696E-5</v>
      </c>
      <c r="AC85" s="188">
        <f>opex_orig!$AB85</f>
        <v>7.5522760802157696E-5</v>
      </c>
      <c r="AD85" s="188">
        <f>opex_orig!$AB85</f>
        <v>7.5522760802157696E-5</v>
      </c>
      <c r="AE85" s="188">
        <f>opex_orig!$AC85</f>
        <v>1.92548061627304E-4</v>
      </c>
      <c r="AF85" s="188">
        <f>opex_orig!$AD85</f>
        <v>2.21789908323414E-4</v>
      </c>
      <c r="AG85" s="188">
        <f>opex_orig!$AD85</f>
        <v>2.21789908323414E-4</v>
      </c>
      <c r="AH85" s="188">
        <f>opex_orig!$AD85</f>
        <v>2.21789908323414E-4</v>
      </c>
      <c r="AI85" s="188">
        <f>opex_orig!AE85</f>
        <v>1.82282E-4</v>
      </c>
      <c r="AJ85" s="188">
        <f>opex_orig!AF85</f>
        <v>5.9412899999999999E-4</v>
      </c>
      <c r="AK85" s="188">
        <f>opex_orig!AG85</f>
        <v>1.005064E-3</v>
      </c>
      <c r="AL85" s="188">
        <f>opex_orig!AH85</f>
        <v>2.8414299999999999E-4</v>
      </c>
      <c r="AM85" s="188">
        <f>opex_orig!AI85</f>
        <v>4.54473E-4</v>
      </c>
      <c r="AN85" s="188">
        <f>opex_orig!AJ85</f>
        <v>4.0474400000000001E-4</v>
      </c>
      <c r="AO85" s="188">
        <f>opex_orig!AK85</f>
        <v>4.4417700000000003E-4</v>
      </c>
      <c r="AP85" s="188">
        <f>opex_orig!$AL85</f>
        <v>1.43372700206412E-3</v>
      </c>
      <c r="AQ85" s="188">
        <f>opex_orig!$AL85</f>
        <v>1.43372700206412E-3</v>
      </c>
      <c r="AR85" s="188">
        <f>opex_orig!$AL85</f>
        <v>1.43372700206412E-3</v>
      </c>
      <c r="AS85" s="188">
        <f>opex_orig!$AM85</f>
        <v>1.3148948221556099E-3</v>
      </c>
      <c r="AT85" s="188">
        <f>opex_orig!AN85</f>
        <v>1.335288E-3</v>
      </c>
      <c r="AU85" s="244">
        <f>opex_concordance!M591</f>
        <v>6.1665820241484093E-2</v>
      </c>
      <c r="AV85" s="244">
        <f>opex_concordance!M637</f>
        <v>6.4670378368284154E-2</v>
      </c>
      <c r="AW85" s="244">
        <f>opex_concordance!M683</f>
        <v>5.5483330915377597E-2</v>
      </c>
      <c r="AX85" s="188">
        <f>opex_orig!$AP85</f>
        <v>7.2741771567330402E-2</v>
      </c>
      <c r="AY85" s="188">
        <f>opex_orig!AQ85</f>
        <v>1.2459138999999999E-2</v>
      </c>
      <c r="AZ85" s="188">
        <f>opex_orig!AR85</f>
        <v>0</v>
      </c>
      <c r="BA85" s="188">
        <f>opex_orig!AS85</f>
        <v>8.3381050000000002E-3</v>
      </c>
      <c r="BB85" s="188">
        <f>opex_orig!AT85</f>
        <v>6.876269E-3</v>
      </c>
      <c r="BC85" s="188">
        <f>opex_orig!AU85</f>
        <v>1.9055020000000001E-3</v>
      </c>
      <c r="BD85" s="188">
        <f>opex_orig!AV85</f>
        <v>1.2186230000000001E-3</v>
      </c>
      <c r="BE85" s="188">
        <f>opex_orig!AW85</f>
        <v>3.7425190000000001E-3</v>
      </c>
      <c r="BF85" s="188">
        <f>opex_orig!AX85</f>
        <v>0</v>
      </c>
      <c r="BG85" s="188">
        <f>opex_orig!AY85</f>
        <v>4.5298500000000002E-3</v>
      </c>
      <c r="BH85" s="188">
        <f>opex_orig!AZ85</f>
        <v>0</v>
      </c>
      <c r="BI85" s="188">
        <f>opex_orig!BA85</f>
        <v>7.3945383000000003E-2</v>
      </c>
      <c r="BJ85" s="188">
        <f>opex_orig!BB85</f>
        <v>2.0617785E-2</v>
      </c>
      <c r="BK85" s="188">
        <f>opex_orig!BC85</f>
        <v>4.2783024000000003E-2</v>
      </c>
      <c r="BL85" s="188">
        <f>opex_orig!BD85</f>
        <v>3.9954900000000002E-4</v>
      </c>
      <c r="BM85" s="188">
        <f>opex_orig!BE85</f>
        <v>5.3924523000000002E-2</v>
      </c>
      <c r="BN85" s="188">
        <f>opex_orig!BF85</f>
        <v>3.6065700000000001E-4</v>
      </c>
      <c r="BO85" s="188">
        <f>opex_orig!BG85</f>
        <v>7.310782E-3</v>
      </c>
      <c r="BP85" s="244">
        <f>opex_concordance!M89</f>
        <v>1.4769130736804663E-2</v>
      </c>
      <c r="BQ85" s="244">
        <f>opex_concordance!M132</f>
        <v>1.0275869979605595E-2</v>
      </c>
      <c r="BR85" s="188">
        <f>opex_orig!BI85</f>
        <v>1.9334611000000002E-2</v>
      </c>
      <c r="BS85" s="188">
        <f>opex_orig!BJ85</f>
        <v>4.2557769999999997E-3</v>
      </c>
      <c r="BT85" s="188">
        <f>opex_orig!BK85</f>
        <v>2.1621950000000001E-2</v>
      </c>
      <c r="BU85" s="188">
        <f>opex_orig!BL85</f>
        <v>0</v>
      </c>
      <c r="BV85" s="27">
        <f>opex_orig!BM85</f>
        <v>1.9249048856374699E-4</v>
      </c>
      <c r="BW85" s="27">
        <f>opex_orig!BN85</f>
        <v>3.7767319476146398E-4</v>
      </c>
      <c r="BX85" s="27">
        <f>opex_orig!BO85</f>
        <v>6.3179812383657103E-5</v>
      </c>
      <c r="BY85" s="27">
        <f>opex_orig!BP85</f>
        <v>5.8495442033825303E-5</v>
      </c>
      <c r="BZ85" s="27">
        <f>opex_orig!BQ85</f>
        <v>4.9104388573427899E-5</v>
      </c>
      <c r="CA85" s="27">
        <f>opex_orig!BR85</f>
        <v>7.1996741179571999E-4</v>
      </c>
      <c r="CB85" s="27">
        <f>opex_orig!BS85</f>
        <v>3.04596919345065E-4</v>
      </c>
      <c r="CC85" s="27">
        <f>opex_orig!BT85</f>
        <v>6.7430035739826297E-4</v>
      </c>
      <c r="CD85" s="27">
        <f>opex_orig!BU85</f>
        <v>2.34081359267076E-5</v>
      </c>
      <c r="CE85" s="27">
        <f>opex_orig!BV85</f>
        <v>2.3408135926707702E-5</v>
      </c>
      <c r="CF85" s="27">
        <f>opex_orig!BW85</f>
        <v>6.0319627475132003E-5</v>
      </c>
      <c r="CG85" s="27">
        <f>opex_orig!BX85</f>
        <v>1.1007546865164701E-5</v>
      </c>
      <c r="CH85" s="27">
        <f>opex_orig!BY85</f>
        <v>1.7059101685800998E-5</v>
      </c>
      <c r="CI85" s="27">
        <f>opex_orig!Y85</f>
        <v>6.4455899999999995E-4</v>
      </c>
      <c r="CJ85" s="27">
        <f>opex_orig!Z85</f>
        <v>6.1211900000000005E-4</v>
      </c>
      <c r="CK85" s="27">
        <f>opex_orig!AA85</f>
        <v>8.9073199999999998E-4</v>
      </c>
      <c r="CL85" s="27">
        <f>opex_orig!AB85</f>
        <v>7.5522760802157696E-5</v>
      </c>
      <c r="CM85" s="27">
        <f>opex_orig!AC85</f>
        <v>1.92548061627304E-4</v>
      </c>
      <c r="CN85" s="27">
        <f>opex_orig!AD85</f>
        <v>2.21789908323414E-4</v>
      </c>
      <c r="CO85" s="27">
        <f>opex_orig!AE85</f>
        <v>1.82282E-4</v>
      </c>
      <c r="CP85" s="27">
        <f>opex_orig!AF85</f>
        <v>5.9412899999999999E-4</v>
      </c>
    </row>
    <row r="86" spans="1:94" x14ac:dyDescent="0.25">
      <c r="A86" s="5" t="s">
        <v>191</v>
      </c>
      <c r="B86" s="2" t="s">
        <v>190</v>
      </c>
      <c r="C86" s="1" t="s">
        <v>329</v>
      </c>
      <c r="D86" s="188">
        <f>opex_orig!D86</f>
        <v>3.8593569999999999E-3</v>
      </c>
      <c r="E86" s="188">
        <f>opex_orig!E86</f>
        <v>1.912307E-3</v>
      </c>
      <c r="F86" s="188">
        <f>opex_orig!F86</f>
        <v>1.1821150000000001E-3</v>
      </c>
      <c r="G86" s="188">
        <f>opex_orig!G86</f>
        <v>1.9836800000000001E-4</v>
      </c>
      <c r="H86" s="188">
        <f>opex_orig!H86</f>
        <v>3.6166600000000002E-4</v>
      </c>
      <c r="I86" s="188">
        <f>opex_orig!I86</f>
        <v>5.0774749999999997E-3</v>
      </c>
      <c r="J86" s="188">
        <f>opex_orig!J86</f>
        <v>3.993618E-3</v>
      </c>
      <c r="K86" s="188">
        <f>opex_orig!K86</f>
        <v>6.0698999999999996E-4</v>
      </c>
      <c r="L86" s="188">
        <f>opex_orig!L86</f>
        <v>2.6696020000000001E-3</v>
      </c>
      <c r="M86" s="188">
        <f>opex_orig!M86</f>
        <v>6.2216260000000001E-3</v>
      </c>
      <c r="N86" s="188">
        <f>opex_orig!N86</f>
        <v>3.8385379999999998E-3</v>
      </c>
      <c r="O86" s="188">
        <f>opex_orig!O86</f>
        <v>3.181087E-3</v>
      </c>
      <c r="P86" s="188">
        <f>opex_orig!P86</f>
        <v>1.0545827000000001E-2</v>
      </c>
      <c r="Q86" s="188">
        <f>opex_orig!Q86</f>
        <v>3.9442119999999999E-3</v>
      </c>
      <c r="R86" s="188">
        <f>opex_orig!R86</f>
        <v>3.3537440000000001E-3</v>
      </c>
      <c r="S86" s="188">
        <f>opex_orig!S86</f>
        <v>1.3905735000000001E-2</v>
      </c>
      <c r="T86" s="188">
        <f>opex_orig!T86</f>
        <v>1.4978831E-2</v>
      </c>
      <c r="U86" s="188">
        <f>opex_orig!U86</f>
        <v>1.090173E-2</v>
      </c>
      <c r="V86" s="188">
        <f>opex_orig!V86</f>
        <v>1.2988553999999999E-2</v>
      </c>
      <c r="W86" s="188">
        <f>opex_orig!W86</f>
        <v>9.2983479999999997E-3</v>
      </c>
      <c r="X86" s="188">
        <f>opex_orig!X86</f>
        <v>1.116304E-3</v>
      </c>
      <c r="Y86" s="188">
        <f>opex_orig!Y86</f>
        <v>3.5476290000000001E-3</v>
      </c>
      <c r="Z86" s="188">
        <f>opex_orig!Z86</f>
        <v>5.1053720000000004E-3</v>
      </c>
      <c r="AA86" s="188">
        <f>opex_orig!AA86</f>
        <v>5.3654151999999997E-2</v>
      </c>
      <c r="AB86" s="188">
        <f>opex_orig!$AB86</f>
        <v>8.8062495485758297E-4</v>
      </c>
      <c r="AC86" s="188">
        <f>opex_orig!$AB86</f>
        <v>8.8062495485758297E-4</v>
      </c>
      <c r="AD86" s="188">
        <f>opex_orig!$AB86</f>
        <v>8.8062495485758297E-4</v>
      </c>
      <c r="AE86" s="188">
        <f>opex_orig!$AC86</f>
        <v>3.62569614846181E-3</v>
      </c>
      <c r="AF86" s="188">
        <f>opex_orig!$AD86</f>
        <v>1.4774513054240199E-3</v>
      </c>
      <c r="AG86" s="188">
        <f>opex_orig!$AD86</f>
        <v>1.4774513054240199E-3</v>
      </c>
      <c r="AH86" s="188">
        <f>opex_orig!$AD86</f>
        <v>1.4774513054240199E-3</v>
      </c>
      <c r="AI86" s="188">
        <f>opex_orig!AE86</f>
        <v>1.318261E-3</v>
      </c>
      <c r="AJ86" s="188">
        <f>opex_orig!AF86</f>
        <v>2.1080324000000001E-2</v>
      </c>
      <c r="AK86" s="188">
        <f>opex_orig!AG86</f>
        <v>1.8742182E-2</v>
      </c>
      <c r="AL86" s="188">
        <f>opex_orig!AH86</f>
        <v>8.2674250000000001E-3</v>
      </c>
      <c r="AM86" s="188">
        <f>opex_orig!AI86</f>
        <v>1.2092543000000001E-2</v>
      </c>
      <c r="AN86" s="188">
        <f>opex_orig!AJ86</f>
        <v>9.9806730000000007E-3</v>
      </c>
      <c r="AO86" s="188">
        <f>opex_orig!AK86</f>
        <v>6.9467640000000002E-3</v>
      </c>
      <c r="AP86" s="341">
        <f>opex_concordance!M442</f>
        <v>1.06613766790528E-2</v>
      </c>
      <c r="AQ86" s="341">
        <f>opex_concordance!M496</f>
        <v>8.5801753684382129E-3</v>
      </c>
      <c r="AR86" s="341">
        <f>opex_concordance!M550</f>
        <v>9.4159926481281134E-3</v>
      </c>
      <c r="AS86" s="188">
        <f>opex_orig!$AM86</f>
        <v>9.8672428912474491E-3</v>
      </c>
      <c r="AT86" s="188">
        <f>opex_orig!AN86</f>
        <v>1.5378938E-2</v>
      </c>
      <c r="AU86" s="341">
        <f>opex_concordance!M565</f>
        <v>8.6184981834572197E-2</v>
      </c>
      <c r="AV86" s="341">
        <f>opex_concordance!M611</f>
        <v>8.6861715379470905E-2</v>
      </c>
      <c r="AW86" s="341">
        <f>opex_concordance!M657</f>
        <v>7.6687970607205544E-2</v>
      </c>
      <c r="AX86" s="188">
        <f>opex_orig!$AP86</f>
        <v>9.8934798526672196E-2</v>
      </c>
      <c r="AY86" s="188">
        <f>opex_orig!AQ86</f>
        <v>9.6366254999999998E-2</v>
      </c>
      <c r="AZ86" s="188">
        <f>opex_orig!AR86</f>
        <v>0</v>
      </c>
      <c r="BA86" s="188">
        <f>opex_orig!AS86</f>
        <v>8.5758824999999997E-2</v>
      </c>
      <c r="BB86" s="188">
        <f>opex_orig!AT86</f>
        <v>8.3580156000000003E-2</v>
      </c>
      <c r="BC86" s="188">
        <f>opex_orig!AU86</f>
        <v>1.9340386000000001E-2</v>
      </c>
      <c r="BD86" s="188">
        <f>opex_orig!AV86</f>
        <v>1.4899427E-2</v>
      </c>
      <c r="BE86" s="188">
        <f>opex_orig!AW86</f>
        <v>5.2399528000000001E-2</v>
      </c>
      <c r="BF86" s="188">
        <f>opex_orig!AX86</f>
        <v>0</v>
      </c>
      <c r="BG86" s="188">
        <f>opex_orig!AY86</f>
        <v>5.1945009E-2</v>
      </c>
      <c r="BH86" s="188">
        <f>opex_orig!AZ86</f>
        <v>0</v>
      </c>
      <c r="BI86" s="188">
        <f>opex_orig!BA86</f>
        <v>0.16032344600000001</v>
      </c>
      <c r="BJ86" s="188">
        <f>opex_orig!BB86</f>
        <v>0.32645389200000002</v>
      </c>
      <c r="BK86" s="188">
        <f>opex_orig!BC86</f>
        <v>0.183599815</v>
      </c>
      <c r="BL86" s="188">
        <f>opex_orig!BD86</f>
        <v>5.8480720000000002E-3</v>
      </c>
      <c r="BM86" s="188">
        <f>opex_orig!BE86</f>
        <v>5.7247841000000001E-2</v>
      </c>
      <c r="BN86" s="188">
        <f>opex_orig!BF86</f>
        <v>6.9208070000000002E-3</v>
      </c>
      <c r="BO86" s="188">
        <f>opex_orig!BG86</f>
        <v>2.1999399999999999E-2</v>
      </c>
      <c r="BP86" s="243">
        <f>opex_concordance!M90</f>
        <v>2.2467585089829233E-2</v>
      </c>
      <c r="BQ86" s="243">
        <f>opex_concordance!M133</f>
        <v>1.5632198485688302E-2</v>
      </c>
      <c r="BR86" s="188">
        <f>opex_orig!BI86</f>
        <v>1.8108604E-2</v>
      </c>
      <c r="BS86" s="188">
        <f>opex_orig!BJ86</f>
        <v>6.0179692E-2</v>
      </c>
      <c r="BT86" s="188">
        <f>opex_orig!BK86</f>
        <v>1.0796735999999999E-2</v>
      </c>
      <c r="BU86" s="188">
        <f>opex_orig!BL86</f>
        <v>0</v>
      </c>
      <c r="BV86" s="27">
        <f>opex_orig!BM86</f>
        <v>2.87680237992269E-3</v>
      </c>
      <c r="BW86" s="27">
        <f>opex_orig!BN86</f>
        <v>5.4951852727337701E-3</v>
      </c>
      <c r="BX86" s="27">
        <f>opex_orig!BO86</f>
        <v>1.4139459840396701E-3</v>
      </c>
      <c r="BY86" s="27">
        <f>opex_orig!BP86</f>
        <v>1.03662810863545E-3</v>
      </c>
      <c r="BZ86" s="27">
        <f>opex_orig!BQ86</f>
        <v>9.9895795080199895E-4</v>
      </c>
      <c r="CA86" s="27">
        <f>opex_orig!BR86</f>
        <v>3.1294821900973899E-3</v>
      </c>
      <c r="CB86" s="27">
        <f>opex_orig!BS86</f>
        <v>3.23948168443902E-3</v>
      </c>
      <c r="CC86" s="27">
        <f>opex_orig!BT86</f>
        <v>4.6281821114931498E-4</v>
      </c>
      <c r="CD86" s="27">
        <f>opex_orig!BU86</f>
        <v>9.6843697588147202E-4</v>
      </c>
      <c r="CE86" s="27">
        <f>opex_orig!BV86</f>
        <v>9.6843697588147495E-4</v>
      </c>
      <c r="CF86" s="27">
        <f>opex_orig!BW86</f>
        <v>5.9066432768137504E-3</v>
      </c>
      <c r="CG86" s="27">
        <f>opex_orig!BX86</f>
        <v>1.2295645877325901E-4</v>
      </c>
      <c r="CH86" s="27">
        <f>opex_orig!BY86</f>
        <v>8.25421684622216E-5</v>
      </c>
      <c r="CI86" s="27">
        <f>opex_orig!Y86</f>
        <v>3.5476290000000001E-3</v>
      </c>
      <c r="CJ86" s="27">
        <f>opex_orig!Z86</f>
        <v>5.1053720000000004E-3</v>
      </c>
      <c r="CK86" s="27">
        <f>opex_orig!AA86</f>
        <v>5.3654151999999997E-2</v>
      </c>
      <c r="CL86" s="27">
        <f>opex_orig!AB86</f>
        <v>8.8062495485758297E-4</v>
      </c>
      <c r="CM86" s="27">
        <f>opex_orig!AC86</f>
        <v>3.62569614846181E-3</v>
      </c>
      <c r="CN86" s="27">
        <f>opex_orig!AD86</f>
        <v>1.4774513054240199E-3</v>
      </c>
      <c r="CO86" s="27">
        <f>opex_orig!AE86</f>
        <v>1.318261E-3</v>
      </c>
      <c r="CP86" s="27">
        <f>opex_orig!AF86</f>
        <v>2.1080324000000001E-2</v>
      </c>
    </row>
    <row r="87" spans="1:94" x14ac:dyDescent="0.25">
      <c r="A87" s="5" t="s">
        <v>193</v>
      </c>
      <c r="B87" s="2" t="s">
        <v>192</v>
      </c>
      <c r="C87" s="1" t="s">
        <v>329</v>
      </c>
      <c r="D87" s="188">
        <f>opex_orig!D87</f>
        <v>1.8340940000000001E-3</v>
      </c>
      <c r="E87" s="188">
        <f>opex_orig!E87</f>
        <v>5.6154100000000004E-4</v>
      </c>
      <c r="F87" s="188">
        <f>opex_orig!F87</f>
        <v>4.5557799999999999E-4</v>
      </c>
      <c r="G87" s="188">
        <f>opex_orig!G87</f>
        <v>9.2399999999999996E-5</v>
      </c>
      <c r="H87" s="188">
        <f>opex_orig!H87</f>
        <v>1.47539E-4</v>
      </c>
      <c r="I87" s="188">
        <f>opex_orig!I87</f>
        <v>1.0723830000000001E-3</v>
      </c>
      <c r="J87" s="188">
        <f>opex_orig!J87</f>
        <v>1.545804E-3</v>
      </c>
      <c r="K87" s="188">
        <f>opex_orig!K87</f>
        <v>2.9250100000000002E-4</v>
      </c>
      <c r="L87" s="188">
        <f>opex_orig!L87</f>
        <v>9.2884700000000001E-4</v>
      </c>
      <c r="M87" s="188">
        <f>opex_orig!M87</f>
        <v>2.8490189999999999E-3</v>
      </c>
      <c r="N87" s="188">
        <f>opex_orig!N87</f>
        <v>1.45874E-3</v>
      </c>
      <c r="O87" s="188">
        <f>opex_orig!O87</f>
        <v>1.525656E-3</v>
      </c>
      <c r="P87" s="188">
        <f>opex_orig!P87</f>
        <v>3.6125739999999999E-3</v>
      </c>
      <c r="Q87" s="188">
        <f>opex_orig!Q87</f>
        <v>1.1219800000000001E-3</v>
      </c>
      <c r="R87" s="188">
        <f>opex_orig!R87</f>
        <v>1.33091E-3</v>
      </c>
      <c r="S87" s="188">
        <f>opex_orig!S87</f>
        <v>8.5429080000000001E-3</v>
      </c>
      <c r="T87" s="188">
        <f>opex_orig!T87</f>
        <v>8.9727379999999992E-3</v>
      </c>
      <c r="U87" s="188">
        <f>opex_orig!U87</f>
        <v>7.0094370000000003E-3</v>
      </c>
      <c r="V87" s="188">
        <f>opex_orig!V87</f>
        <v>9.2423190000000006E-3</v>
      </c>
      <c r="W87" s="188">
        <f>opex_orig!W87</f>
        <v>4.6881240000000001E-3</v>
      </c>
      <c r="X87" s="188">
        <f>opex_orig!X87</f>
        <v>3.060185E-3</v>
      </c>
      <c r="Y87" s="188">
        <f>opex_orig!Y87</f>
        <v>1.089788E-3</v>
      </c>
      <c r="Z87" s="188">
        <f>opex_orig!Z87</f>
        <v>4.5378809999999997E-3</v>
      </c>
      <c r="AA87" s="188">
        <f>opex_orig!AA87</f>
        <v>7.0657080000000004E-3</v>
      </c>
      <c r="AB87" s="188">
        <f>opex_orig!$AB87</f>
        <v>1.2975767643744101E-3</v>
      </c>
      <c r="AC87" s="188">
        <f>opex_orig!$AB87</f>
        <v>1.2975767643744101E-3</v>
      </c>
      <c r="AD87" s="188">
        <f>opex_orig!$AB87</f>
        <v>1.2975767643744101E-3</v>
      </c>
      <c r="AE87" s="188">
        <f>opex_orig!$AC87</f>
        <v>2.8694198441743301E-3</v>
      </c>
      <c r="AF87" s="188">
        <f>opex_orig!$AD87</f>
        <v>4.3430533472242801E-3</v>
      </c>
      <c r="AG87" s="188">
        <f>opex_orig!$AD87</f>
        <v>4.3430533472242801E-3</v>
      </c>
      <c r="AH87" s="188">
        <f>opex_orig!$AD87</f>
        <v>4.3430533472242801E-3</v>
      </c>
      <c r="AI87" s="188">
        <f>opex_orig!AE87</f>
        <v>4.5659400000000001E-3</v>
      </c>
      <c r="AJ87" s="188">
        <f>opex_orig!AF87</f>
        <v>1.6535828999999998E-2</v>
      </c>
      <c r="AK87" s="188">
        <f>opex_orig!AG87</f>
        <v>1.7712272000000001E-2</v>
      </c>
      <c r="AL87" s="188">
        <f>opex_orig!AH87</f>
        <v>4.3649193000000003E-2</v>
      </c>
      <c r="AM87" s="188">
        <f>opex_orig!AI87</f>
        <v>7.2297543000000006E-2</v>
      </c>
      <c r="AN87" s="188">
        <f>opex_orig!AJ87</f>
        <v>5.2838354999999997E-2</v>
      </c>
      <c r="AO87" s="188">
        <f>opex_orig!AK87</f>
        <v>3.6037536000000002E-2</v>
      </c>
      <c r="AP87" s="342">
        <f>opex_concordance!M443</f>
        <v>4.42024715405148E-2</v>
      </c>
      <c r="AQ87" s="342">
        <f>opex_concordance!M497</f>
        <v>3.557373207544446E-2</v>
      </c>
      <c r="AR87" s="342">
        <f>opex_concordance!M551</f>
        <v>3.9039062175932553E-2</v>
      </c>
      <c r="AS87" s="188">
        <f>opex_orig!$AM87</f>
        <v>3.9192696964078302E-2</v>
      </c>
      <c r="AT87" s="188">
        <f>opex_orig!AN87</f>
        <v>6.5991039000000001E-2</v>
      </c>
      <c r="AU87" s="342">
        <f>opex_concordance!M601</f>
        <v>7.6912936999679804E-3</v>
      </c>
      <c r="AV87" s="342">
        <f>opex_concordance!M647</f>
        <v>1.0448595385826801E-2</v>
      </c>
      <c r="AW87" s="342">
        <f>opex_concordance!M693</f>
        <v>8.625552723194525E-3</v>
      </c>
      <c r="AX87" s="188">
        <f>opex_orig!$AP87</f>
        <v>8.9259323874253896E-3</v>
      </c>
      <c r="AY87" s="188">
        <f>opex_orig!AQ87</f>
        <v>1.3345499E-2</v>
      </c>
      <c r="AZ87" s="188">
        <f>opex_orig!AR87</f>
        <v>0</v>
      </c>
      <c r="BA87" s="188">
        <f>opex_orig!AS87</f>
        <v>1.1442384E-2</v>
      </c>
      <c r="BB87" s="188">
        <f>opex_orig!AT87</f>
        <v>1.2340429E-2</v>
      </c>
      <c r="BC87" s="188">
        <f>opex_orig!AU87</f>
        <v>2.5579180000000002E-3</v>
      </c>
      <c r="BD87" s="188">
        <f>opex_orig!AV87</f>
        <v>2.2077799999999999E-3</v>
      </c>
      <c r="BE87" s="188">
        <f>opex_orig!AW87</f>
        <v>7.9606320000000005E-3</v>
      </c>
      <c r="BF87" s="188">
        <f>opex_orig!AX87</f>
        <v>0</v>
      </c>
      <c r="BG87" s="188">
        <f>opex_orig!AY87</f>
        <v>5.3330740000000001E-3</v>
      </c>
      <c r="BH87" s="188">
        <f>opex_orig!AZ87</f>
        <v>0</v>
      </c>
      <c r="BI87" s="188">
        <f>opex_orig!BA87</f>
        <v>1.5688856000000001E-2</v>
      </c>
      <c r="BJ87" s="188">
        <f>opex_orig!BB87</f>
        <v>1.5969051000000001E-2</v>
      </c>
      <c r="BK87" s="188">
        <f>opex_orig!BC87</f>
        <v>1.3543713000000001E-2</v>
      </c>
      <c r="BL87" s="188">
        <f>opex_orig!BD87</f>
        <v>1.499615E-2</v>
      </c>
      <c r="BM87" s="188">
        <f>opex_orig!BE87</f>
        <v>5.5663517000000003E-2</v>
      </c>
      <c r="BN87" s="188">
        <f>opex_orig!BF87</f>
        <v>1.9001767999999999E-2</v>
      </c>
      <c r="BO87" s="188">
        <f>opex_orig!BG87</f>
        <v>4.8795264999999997E-2</v>
      </c>
      <c r="BP87" s="204">
        <f>opex_concordance!M74</f>
        <v>1.8174287759905285E-2</v>
      </c>
      <c r="BQ87" s="204">
        <f>opex_concordance!M117</f>
        <v>2.1027945039963334E-2</v>
      </c>
      <c r="BR87" s="188">
        <f>opex_orig!BI87</f>
        <v>7.6243725999999998E-2</v>
      </c>
      <c r="BS87" s="188">
        <f>opex_orig!BJ87</f>
        <v>1.365336E-2</v>
      </c>
      <c r="BT87" s="188">
        <f>opex_orig!BK87</f>
        <v>1.027521E-2</v>
      </c>
      <c r="BU87" s="188">
        <f>opex_orig!BL87</f>
        <v>0</v>
      </c>
      <c r="BV87" s="27">
        <f>opex_orig!BM87</f>
        <v>4.0390177797142497E-2</v>
      </c>
      <c r="BW87" s="27">
        <f>opex_orig!BN87</f>
        <v>1.81783029365724E-2</v>
      </c>
      <c r="BX87" s="27">
        <f>opex_orig!BO87</f>
        <v>2.7404594834053799E-2</v>
      </c>
      <c r="BY87" s="27">
        <f>opex_orig!BP87</f>
        <v>9.4115646099642899E-3</v>
      </c>
      <c r="BZ87" s="27">
        <f>opex_orig!BQ87</f>
        <v>6.73647933714119E-3</v>
      </c>
      <c r="CA87" s="27">
        <f>opex_orig!BR87</f>
        <v>9.9748182522043098E-4</v>
      </c>
      <c r="CB87" s="27">
        <f>opex_orig!BS87</f>
        <v>7.8799748357054403E-3</v>
      </c>
      <c r="CC87" s="27">
        <f>opex_orig!BT87</f>
        <v>1.24271921909558E-3</v>
      </c>
      <c r="CD87" s="27">
        <f>opex_orig!BU87</f>
        <v>8.3894151196640798E-3</v>
      </c>
      <c r="CE87" s="27">
        <f>opex_orig!BV87</f>
        <v>8.3894151196640902E-3</v>
      </c>
      <c r="CF87" s="27">
        <f>opex_orig!BW87</f>
        <v>1.3828060495321699E-3</v>
      </c>
      <c r="CG87" s="27">
        <f>opex_orig!BX87</f>
        <v>1.7155975225413599E-5</v>
      </c>
      <c r="CH87" s="27">
        <f>opex_orig!BY87</f>
        <v>5.6627615860247197E-5</v>
      </c>
      <c r="CI87" s="27">
        <f>opex_orig!Y87</f>
        <v>1.089788E-3</v>
      </c>
      <c r="CJ87" s="27">
        <f>opex_orig!Z87</f>
        <v>4.5378809999999997E-3</v>
      </c>
      <c r="CK87" s="27">
        <f>opex_orig!AA87</f>
        <v>7.0657080000000004E-3</v>
      </c>
      <c r="CL87" s="27">
        <f>opex_orig!AB87</f>
        <v>1.2975767643744101E-3</v>
      </c>
      <c r="CM87" s="27">
        <f>opex_orig!AC87</f>
        <v>2.8694198441743301E-3</v>
      </c>
      <c r="CN87" s="27">
        <f>opex_orig!AD87</f>
        <v>4.3430533472242801E-3</v>
      </c>
      <c r="CO87" s="27">
        <f>opex_orig!AE87</f>
        <v>4.5659400000000001E-3</v>
      </c>
      <c r="CP87" s="27">
        <f>opex_orig!AF87</f>
        <v>1.6535828999999998E-2</v>
      </c>
    </row>
    <row r="88" spans="1:94" x14ac:dyDescent="0.25">
      <c r="A88" s="5" t="s">
        <v>195</v>
      </c>
      <c r="B88" s="2" t="s">
        <v>194</v>
      </c>
      <c r="C88" s="1" t="s">
        <v>329</v>
      </c>
      <c r="D88" s="188">
        <f>opex_orig!D88</f>
        <v>1.04855E-4</v>
      </c>
      <c r="E88" s="188">
        <f>opex_orig!E88</f>
        <v>2.5439100000000002E-4</v>
      </c>
      <c r="F88" s="188">
        <f>opex_orig!F88</f>
        <v>2.0888159999999998E-3</v>
      </c>
      <c r="G88" s="188">
        <f>opex_orig!G88</f>
        <v>2.48E-6</v>
      </c>
      <c r="H88" s="188">
        <f>opex_orig!H88</f>
        <v>9.0199999999999997E-5</v>
      </c>
      <c r="I88" s="188">
        <f>opex_orig!I88</f>
        <v>8.0500000000000005E-5</v>
      </c>
      <c r="J88" s="188">
        <f>opex_orig!J88</f>
        <v>1.4201099999999999E-4</v>
      </c>
      <c r="K88" s="188">
        <f>opex_orig!K88</f>
        <v>5.3900000000000001E-6</v>
      </c>
      <c r="L88" s="188">
        <f>opex_orig!L88</f>
        <v>1.4445500000000001E-4</v>
      </c>
      <c r="M88" s="188">
        <f>opex_orig!M88</f>
        <v>1.5738199999999999E-4</v>
      </c>
      <c r="N88" s="188">
        <f>opex_orig!N88</f>
        <v>1.2258169999999999E-3</v>
      </c>
      <c r="O88" s="188">
        <f>opex_orig!O88</f>
        <v>1.355347E-3</v>
      </c>
      <c r="P88" s="188">
        <f>opex_orig!P88</f>
        <v>4.8000000000000001E-5</v>
      </c>
      <c r="Q88" s="188">
        <f>opex_orig!Q88</f>
        <v>5.7299999999999997E-5</v>
      </c>
      <c r="R88" s="188">
        <f>opex_orig!R88</f>
        <v>4.5068300000000001E-4</v>
      </c>
      <c r="S88" s="188">
        <f>opex_orig!S88</f>
        <v>7.4800000000000002E-5</v>
      </c>
      <c r="T88" s="188">
        <f>opex_orig!T88</f>
        <v>7.5799999999999999E-5</v>
      </c>
      <c r="U88" s="188">
        <f>opex_orig!U88</f>
        <v>2.2061699999999999E-4</v>
      </c>
      <c r="V88" s="188">
        <f>opex_orig!V88</f>
        <v>1.2287499999999999E-4</v>
      </c>
      <c r="W88" s="188">
        <f>opex_orig!W88</f>
        <v>9.2042399999999998E-4</v>
      </c>
      <c r="X88" s="188">
        <f>opex_orig!X88</f>
        <v>1.81578E-4</v>
      </c>
      <c r="Y88" s="188">
        <f>opex_orig!Y88</f>
        <v>2.9200000000000002E-5</v>
      </c>
      <c r="Z88" s="188">
        <f>opex_orig!Z88</f>
        <v>1.8251199999999999E-4</v>
      </c>
      <c r="AA88" s="188">
        <f>opex_orig!AA88</f>
        <v>8.7100000000000003E-5</v>
      </c>
      <c r="AB88" s="188">
        <f>opex_orig!$AB88</f>
        <v>7.5614508124041103E-6</v>
      </c>
      <c r="AC88" s="188">
        <f>opex_orig!$AB88</f>
        <v>7.5614508124041103E-6</v>
      </c>
      <c r="AD88" s="188">
        <f>opex_orig!$AB88</f>
        <v>7.5614508124041103E-6</v>
      </c>
      <c r="AE88" s="188">
        <f>opex_orig!$AC88</f>
        <v>2.2493855822139301E-5</v>
      </c>
      <c r="AF88" s="188">
        <f>opex_orig!$AD88</f>
        <v>1.6820958732086499E-5</v>
      </c>
      <c r="AG88" s="188">
        <f>opex_orig!$AD88</f>
        <v>1.6820958732086499E-5</v>
      </c>
      <c r="AH88" s="188">
        <f>opex_orig!$AD88</f>
        <v>1.6820958732086499E-5</v>
      </c>
      <c r="AI88" s="188">
        <f>opex_orig!AE88</f>
        <v>1.4600000000000001E-5</v>
      </c>
      <c r="AJ88" s="188">
        <f>opex_orig!AF88</f>
        <v>7.9594400000000004E-4</v>
      </c>
      <c r="AK88" s="188">
        <f>opex_orig!AG88</f>
        <v>1.99469E-4</v>
      </c>
      <c r="AL88" s="188">
        <f>opex_orig!AH88</f>
        <v>9.5299999999999999E-5</v>
      </c>
      <c r="AM88" s="188">
        <f>opex_orig!AI88</f>
        <v>1.8139400000000001E-4</v>
      </c>
      <c r="AN88" s="188">
        <f>opex_orig!AJ88</f>
        <v>8.9099999999999997E-5</v>
      </c>
      <c r="AO88" s="188">
        <f>opex_orig!AK88</f>
        <v>7.7899999999999996E-5</v>
      </c>
      <c r="AP88" s="188">
        <f>opex_orig!$AL88</f>
        <v>9.4509892795263499E-5</v>
      </c>
      <c r="AQ88" s="188">
        <f>opex_orig!$AL88</f>
        <v>9.4509892795263499E-5</v>
      </c>
      <c r="AR88" s="188">
        <f>opex_orig!$AL88</f>
        <v>9.4509892795263499E-5</v>
      </c>
      <c r="AS88" s="188">
        <f>opex_orig!$AM88</f>
        <v>8.2399891970097604E-5</v>
      </c>
      <c r="AT88" s="188">
        <f>opex_orig!AN88</f>
        <v>1.7588900000000001E-4</v>
      </c>
      <c r="AU88" s="188">
        <f>opex_orig!$AO88</f>
        <v>8.3593065225505699E-5</v>
      </c>
      <c r="AV88" s="188">
        <f>opex_orig!$AO88</f>
        <v>8.3593065225505699E-5</v>
      </c>
      <c r="AW88" s="188">
        <f>opex_orig!$AO88</f>
        <v>8.3593065225505699E-5</v>
      </c>
      <c r="AX88" s="188">
        <f>opex_orig!$AP88</f>
        <v>9.4590759494364197E-5</v>
      </c>
      <c r="AY88" s="188">
        <f>opex_orig!AQ88</f>
        <v>1.14364E-4</v>
      </c>
      <c r="AZ88" s="188">
        <f>opex_orig!AR88</f>
        <v>0</v>
      </c>
      <c r="BA88" s="188">
        <f>opex_orig!AS88</f>
        <v>1.13632E-4</v>
      </c>
      <c r="BB88" s="188">
        <f>opex_orig!AT88</f>
        <v>1.10231E-4</v>
      </c>
      <c r="BC88" s="188">
        <f>opex_orig!AU88</f>
        <v>1.98E-5</v>
      </c>
      <c r="BD88" s="188">
        <f>opex_orig!AV88</f>
        <v>1.4800000000000001E-5</v>
      </c>
      <c r="BE88" s="188">
        <f>opex_orig!AW88</f>
        <v>8.14E-5</v>
      </c>
      <c r="BF88" s="188">
        <f>opex_orig!AX88</f>
        <v>0</v>
      </c>
      <c r="BG88" s="188">
        <f>opex_orig!AY88</f>
        <v>1.1592800000000001E-4</v>
      </c>
      <c r="BH88" s="188">
        <f>opex_orig!AZ88</f>
        <v>0</v>
      </c>
      <c r="BI88" s="188">
        <f>opex_orig!BA88</f>
        <v>1.20452E-4</v>
      </c>
      <c r="BJ88" s="188">
        <f>opex_orig!BB88</f>
        <v>3.6033000000000001E-4</v>
      </c>
      <c r="BK88" s="188">
        <f>opex_orig!BC88</f>
        <v>3.4961600000000002E-4</v>
      </c>
      <c r="BL88" s="188">
        <f>opex_orig!BD88</f>
        <v>0.467517132</v>
      </c>
      <c r="BM88" s="188">
        <f>opex_orig!BE88</f>
        <v>7.6389899999999996E-4</v>
      </c>
      <c r="BN88" s="188">
        <f>opex_orig!BF88</f>
        <v>5.0205220000000004E-3</v>
      </c>
      <c r="BO88" s="188">
        <f>opex_orig!BG88</f>
        <v>3.6282399999999998E-4</v>
      </c>
      <c r="BP88" s="188">
        <f>opex_orig!$BH88</f>
        <v>4.3737759252145098E-4</v>
      </c>
      <c r="BQ88" s="188">
        <f>opex_orig!$BH88</f>
        <v>4.3737759252145098E-4</v>
      </c>
      <c r="BR88" s="188">
        <f>opex_orig!BI88</f>
        <v>8.9902793999999994E-2</v>
      </c>
      <c r="BS88" s="188">
        <f>opex_orig!BJ88</f>
        <v>1.4654830000000001E-3</v>
      </c>
      <c r="BT88" s="188">
        <f>opex_orig!BK88</f>
        <v>4.0899999999999998E-5</v>
      </c>
      <c r="BU88" s="188">
        <f>opex_orig!BL88</f>
        <v>0</v>
      </c>
      <c r="BV88" s="27">
        <f>opex_orig!BM88</f>
        <v>1.0242525711619601E-4</v>
      </c>
      <c r="BW88" s="27">
        <f>opex_orig!BN88</f>
        <v>1.91551138842451E-4</v>
      </c>
      <c r="BX88" s="27">
        <f>opex_orig!BO88</f>
        <v>5.4982201417902603E-5</v>
      </c>
      <c r="BY88" s="27">
        <f>opex_orig!BP88</f>
        <v>3.0457715570212601E-5</v>
      </c>
      <c r="BZ88" s="27">
        <f>opex_orig!BQ88</f>
        <v>2.4097425888759599E-5</v>
      </c>
      <c r="CA88" s="27">
        <f>opex_orig!BR88</f>
        <v>5.6999348196475702E-5</v>
      </c>
      <c r="CB88" s="27">
        <f>opex_orig!BS88</f>
        <v>9.3845950430850497E-5</v>
      </c>
      <c r="CC88" s="27">
        <f>opex_orig!BT88</f>
        <v>3.7123204524345E-5</v>
      </c>
      <c r="CD88" s="27">
        <f>opex_orig!BU88</f>
        <v>2.6097762713719999E-5</v>
      </c>
      <c r="CE88" s="27">
        <f>opex_orig!BV88</f>
        <v>2.6097762713720101E-5</v>
      </c>
      <c r="CF88" s="27">
        <f>opex_orig!BW88</f>
        <v>6.0078773407806402E-5</v>
      </c>
      <c r="CG88" s="27">
        <f>opex_orig!BX88</f>
        <v>7.1763326980455795E-7</v>
      </c>
      <c r="CH88" s="27">
        <f>opex_orig!BY88</f>
        <v>2.6414559386483101E-7</v>
      </c>
      <c r="CI88" s="27">
        <f>opex_orig!Y88</f>
        <v>2.9200000000000002E-5</v>
      </c>
      <c r="CJ88" s="27">
        <f>opex_orig!Z88</f>
        <v>1.8251199999999999E-4</v>
      </c>
      <c r="CK88" s="27">
        <f>opex_orig!AA88</f>
        <v>8.7100000000000003E-5</v>
      </c>
      <c r="CL88" s="27">
        <f>opex_orig!AB88</f>
        <v>7.5614508124041103E-6</v>
      </c>
      <c r="CM88" s="27">
        <f>opex_orig!AC88</f>
        <v>2.2493855822139301E-5</v>
      </c>
      <c r="CN88" s="27">
        <f>opex_orig!AD88</f>
        <v>1.6820958732086499E-5</v>
      </c>
      <c r="CO88" s="27">
        <f>opex_orig!AE88</f>
        <v>1.4600000000000001E-5</v>
      </c>
      <c r="CP88" s="27">
        <f>opex_orig!AF88</f>
        <v>7.9594400000000004E-4</v>
      </c>
    </row>
    <row r="89" spans="1:94" x14ac:dyDescent="0.25">
      <c r="A89" s="5" t="s">
        <v>197</v>
      </c>
      <c r="B89" s="2" t="s">
        <v>196</v>
      </c>
      <c r="C89" s="1" t="s">
        <v>329</v>
      </c>
      <c r="D89" s="188">
        <f>opex_orig!D89</f>
        <v>1.128549E-3</v>
      </c>
      <c r="E89" s="188">
        <f>opex_orig!E89</f>
        <v>1.078133E-3</v>
      </c>
      <c r="F89" s="188">
        <f>opex_orig!F89</f>
        <v>7.8495500000000005E-4</v>
      </c>
      <c r="G89" s="188">
        <f>opex_orig!G89</f>
        <v>1.5206099999999999E-4</v>
      </c>
      <c r="H89" s="188">
        <f>opex_orig!H89</f>
        <v>2.6043600000000001E-4</v>
      </c>
      <c r="I89" s="188">
        <f>opex_orig!I89</f>
        <v>1.701344E-3</v>
      </c>
      <c r="J89" s="188">
        <f>opex_orig!J89</f>
        <v>1.0503629999999999E-3</v>
      </c>
      <c r="K89" s="188">
        <f>opex_orig!K89</f>
        <v>4.3672600000000002E-4</v>
      </c>
      <c r="L89" s="188">
        <f>opex_orig!L89</f>
        <v>3.0767680000000001E-3</v>
      </c>
      <c r="M89" s="188">
        <f>opex_orig!M89</f>
        <v>1.1933209E-2</v>
      </c>
      <c r="N89" s="188">
        <f>opex_orig!N89</f>
        <v>5.1459009999999996E-3</v>
      </c>
      <c r="O89" s="188">
        <f>opex_orig!O89</f>
        <v>7.3237599999999997E-4</v>
      </c>
      <c r="P89" s="188">
        <f>opex_orig!P89</f>
        <v>1.3988667999999999E-2</v>
      </c>
      <c r="Q89" s="188">
        <f>opex_orig!Q89</f>
        <v>1.396135E-3</v>
      </c>
      <c r="R89" s="188">
        <f>opex_orig!R89</f>
        <v>1.1112353E-2</v>
      </c>
      <c r="S89" s="188">
        <f>opex_orig!S89</f>
        <v>4.2147130000000001E-3</v>
      </c>
      <c r="T89" s="188">
        <f>opex_orig!T89</f>
        <v>4.8643599999999999E-3</v>
      </c>
      <c r="U89" s="188">
        <f>opex_orig!U89</f>
        <v>6.8417080000000002E-3</v>
      </c>
      <c r="V89" s="188">
        <f>opex_orig!V89</f>
        <v>8.7072E-3</v>
      </c>
      <c r="W89" s="188">
        <f>opex_orig!W89</f>
        <v>4.8783000000000003E-3</v>
      </c>
      <c r="X89" s="188">
        <f>opex_orig!X89</f>
        <v>6.0657799999999998E-4</v>
      </c>
      <c r="Y89" s="188">
        <f>opex_orig!Y89</f>
        <v>1.0904420000000001E-3</v>
      </c>
      <c r="Z89" s="188">
        <f>opex_orig!Z89</f>
        <v>4.5355600000000001E-3</v>
      </c>
      <c r="AA89" s="188">
        <f>opex_orig!AA89</f>
        <v>6.5075569999999998E-3</v>
      </c>
      <c r="AB89" s="188">
        <f>opex_orig!$AB89</f>
        <v>7.8532628743868801E-4</v>
      </c>
      <c r="AC89" s="188">
        <f>opex_orig!$AB89</f>
        <v>7.8532628743868801E-4</v>
      </c>
      <c r="AD89" s="188">
        <f>opex_orig!$AB89</f>
        <v>7.8532628743868801E-4</v>
      </c>
      <c r="AE89" s="188">
        <f>opex_orig!$AC89</f>
        <v>3.6879611765475201E-3</v>
      </c>
      <c r="AF89" s="188">
        <f>opex_orig!$AD89</f>
        <v>1.2178518924449099E-3</v>
      </c>
      <c r="AG89" s="188">
        <f>opex_orig!$AD89</f>
        <v>1.2178518924449099E-3</v>
      </c>
      <c r="AH89" s="188">
        <f>opex_orig!$AD89</f>
        <v>1.2178518924449099E-3</v>
      </c>
      <c r="AI89" s="188">
        <f>opex_orig!AE89</f>
        <v>1.0602090000000001E-3</v>
      </c>
      <c r="AJ89" s="188">
        <f>opex_orig!AF89</f>
        <v>1.9021327000000001E-2</v>
      </c>
      <c r="AK89" s="188">
        <f>opex_orig!AG89</f>
        <v>1.8424020999999999E-2</v>
      </c>
      <c r="AL89" s="188">
        <f>opex_orig!AH89</f>
        <v>6.4428699999999998E-3</v>
      </c>
      <c r="AM89" s="188">
        <f>opex_orig!AI89</f>
        <v>1.1757705E-2</v>
      </c>
      <c r="AN89" s="188">
        <f>opex_orig!AJ89</f>
        <v>3.2792229999999999E-3</v>
      </c>
      <c r="AO89" s="188">
        <f>opex_orig!AK89</f>
        <v>5.7614670000000002E-3</v>
      </c>
      <c r="AP89" s="188">
        <f>opex_orig!$AL89</f>
        <v>4.2573499307659701E-3</v>
      </c>
      <c r="AQ89" s="188">
        <f>opex_orig!$AL89</f>
        <v>4.2573499307659701E-3</v>
      </c>
      <c r="AR89" s="188">
        <f>opex_orig!$AL89</f>
        <v>4.2573499307659701E-3</v>
      </c>
      <c r="AS89" s="188">
        <f>opex_orig!$AM89</f>
        <v>3.9916679034434199E-3</v>
      </c>
      <c r="AT89" s="188">
        <f>opex_orig!AN89</f>
        <v>5.6612140000000004E-3</v>
      </c>
      <c r="AU89" s="188">
        <f>opex_orig!$AO89</f>
        <v>2.6088480296050302E-3</v>
      </c>
      <c r="AV89" s="188">
        <f>opex_orig!$AO89</f>
        <v>2.6088480296050302E-3</v>
      </c>
      <c r="AW89" s="188">
        <f>opex_orig!$AO89</f>
        <v>2.6088480296050302E-3</v>
      </c>
      <c r="AX89" s="188">
        <f>opex_orig!$AP89</f>
        <v>3.11527345818479E-3</v>
      </c>
      <c r="AY89" s="188">
        <f>opex_orig!AQ89</f>
        <v>4.3564950000000002E-3</v>
      </c>
      <c r="AZ89" s="188">
        <f>opex_orig!AR89</f>
        <v>0</v>
      </c>
      <c r="BA89" s="188">
        <f>opex_orig!AS89</f>
        <v>3.6184500000000001E-3</v>
      </c>
      <c r="BB89" s="188">
        <f>opex_orig!AT89</f>
        <v>3.7740059999999999E-3</v>
      </c>
      <c r="BC89" s="188">
        <f>opex_orig!AU89</f>
        <v>1.0591540000000001E-3</v>
      </c>
      <c r="BD89" s="188">
        <f>opex_orig!AV89</f>
        <v>9.7671999999999993E-4</v>
      </c>
      <c r="BE89" s="188">
        <f>opex_orig!AW89</f>
        <v>2.709384E-3</v>
      </c>
      <c r="BF89" s="188">
        <f>opex_orig!AX89</f>
        <v>0</v>
      </c>
      <c r="BG89" s="188">
        <f>opex_orig!AY89</f>
        <v>2.5065840000000001E-3</v>
      </c>
      <c r="BH89" s="188">
        <f>opex_orig!AZ89</f>
        <v>0</v>
      </c>
      <c r="BI89" s="188">
        <f>opex_orig!BA89</f>
        <v>4.7211409999999999E-3</v>
      </c>
      <c r="BJ89" s="188">
        <f>opex_orig!BB89</f>
        <v>1.6798960000000002E-2</v>
      </c>
      <c r="BK89" s="188">
        <f>opex_orig!BC89</f>
        <v>0.108074543</v>
      </c>
      <c r="BL89" s="188">
        <f>opex_orig!BD89</f>
        <v>0.146828135</v>
      </c>
      <c r="BM89" s="188">
        <f>opex_orig!BE89</f>
        <v>0.17218772600000001</v>
      </c>
      <c r="BN89" s="188">
        <f>opex_orig!BF89</f>
        <v>2.8476556E-2</v>
      </c>
      <c r="BO89" s="188">
        <f>opex_orig!BG89</f>
        <v>1.6993042E-2</v>
      </c>
      <c r="BP89" s="206">
        <f>opex_concordance!M75</f>
        <v>6.7467561780167468E-2</v>
      </c>
      <c r="BQ89" s="206">
        <f>opex_concordance!M118</f>
        <v>0.24250492831679413</v>
      </c>
      <c r="BR89" s="188">
        <f>opex_orig!BI89</f>
        <v>3.8586090000000003E-2</v>
      </c>
      <c r="BS89" s="188">
        <f>opex_orig!BJ89</f>
        <v>4.8085419999999999E-3</v>
      </c>
      <c r="BT89" s="188">
        <f>opex_orig!BK89</f>
        <v>2.1735220000000002E-3</v>
      </c>
      <c r="BU89" s="188">
        <f>opex_orig!BL89</f>
        <v>0</v>
      </c>
      <c r="BV89" s="27">
        <f>opex_orig!BM89</f>
        <v>2.7141427142226199E-2</v>
      </c>
      <c r="BW89" s="27">
        <f>opex_orig!BN89</f>
        <v>0.101462028600419</v>
      </c>
      <c r="BX89" s="27">
        <f>opex_orig!BO89</f>
        <v>9.4148792560986398E-3</v>
      </c>
      <c r="BY89" s="27">
        <f>opex_orig!BP89</f>
        <v>8.6942218381764504E-3</v>
      </c>
      <c r="BZ89" s="27">
        <f>opex_orig!BQ89</f>
        <v>7.6593221269091703E-3</v>
      </c>
      <c r="CA89" s="27">
        <f>opex_orig!BR89</f>
        <v>1.5307896591996399E-2</v>
      </c>
      <c r="CB89" s="27">
        <f>opex_orig!BS89</f>
        <v>4.9099797830625097E-2</v>
      </c>
      <c r="CC89" s="27">
        <f>opex_orig!BT89</f>
        <v>2.4777830276884499E-2</v>
      </c>
      <c r="CD89" s="27">
        <f>opex_orig!BU89</f>
        <v>9.5716004342947907E-3</v>
      </c>
      <c r="CE89" s="27">
        <f>opex_orig!BV89</f>
        <v>9.5716004342947993E-3</v>
      </c>
      <c r="CF89" s="27">
        <f>opex_orig!BW89</f>
        <v>9.1104983702187704E-3</v>
      </c>
      <c r="CG89" s="27">
        <f>opex_orig!BX89</f>
        <v>1.3164929783584701E-4</v>
      </c>
      <c r="CH89" s="27">
        <f>opex_orig!BY89</f>
        <v>6.1764162920422203E-5</v>
      </c>
      <c r="CI89" s="27">
        <f>opex_orig!Y89</f>
        <v>1.0904420000000001E-3</v>
      </c>
      <c r="CJ89" s="27">
        <f>opex_orig!Z89</f>
        <v>4.5355600000000001E-3</v>
      </c>
      <c r="CK89" s="27">
        <f>opex_orig!AA89</f>
        <v>6.5075569999999998E-3</v>
      </c>
      <c r="CL89" s="27">
        <f>opex_orig!AB89</f>
        <v>7.8532628743868801E-4</v>
      </c>
      <c r="CM89" s="27">
        <f>opex_orig!AC89</f>
        <v>3.6879611765475201E-3</v>
      </c>
      <c r="CN89" s="27">
        <f>opex_orig!AD89</f>
        <v>1.2178518924449099E-3</v>
      </c>
      <c r="CO89" s="27">
        <f>opex_orig!AE89</f>
        <v>1.0602090000000001E-3</v>
      </c>
      <c r="CP89" s="27">
        <f>opex_orig!AF89</f>
        <v>1.9021327000000001E-2</v>
      </c>
    </row>
    <row r="90" spans="1:94" x14ac:dyDescent="0.25">
      <c r="A90" s="5" t="s">
        <v>199</v>
      </c>
      <c r="B90" s="2" t="s">
        <v>198</v>
      </c>
      <c r="C90" s="1" t="s">
        <v>329</v>
      </c>
      <c r="D90" s="188">
        <f>opex_orig!D90</f>
        <v>3.0586099999999999E-4</v>
      </c>
      <c r="E90" s="188">
        <f>opex_orig!E90</f>
        <v>2.22556E-4</v>
      </c>
      <c r="F90" s="188">
        <f>opex_orig!F90</f>
        <v>3.1013999999999998E-4</v>
      </c>
      <c r="G90" s="188">
        <f>opex_orig!G90</f>
        <v>5.7800000000000002E-5</v>
      </c>
      <c r="H90" s="188">
        <f>opex_orig!H90</f>
        <v>8.7700000000000004E-5</v>
      </c>
      <c r="I90" s="188">
        <f>opex_orig!I90</f>
        <v>2.9829699999999999E-4</v>
      </c>
      <c r="J90" s="188">
        <f>opex_orig!J90</f>
        <v>6.0303500000000003E-4</v>
      </c>
      <c r="K90" s="188">
        <f>opex_orig!K90</f>
        <v>1.86248E-4</v>
      </c>
      <c r="L90" s="188">
        <f>opex_orig!L90</f>
        <v>4.3433399999999998E-4</v>
      </c>
      <c r="M90" s="188">
        <f>opex_orig!M90</f>
        <v>1.333875E-3</v>
      </c>
      <c r="N90" s="188">
        <f>opex_orig!N90</f>
        <v>9.0684399999999997E-4</v>
      </c>
      <c r="O90" s="188">
        <f>opex_orig!O90</f>
        <v>6.4591099999999999E-4</v>
      </c>
      <c r="P90" s="188">
        <f>opex_orig!P90</f>
        <v>4.0205599999999997E-4</v>
      </c>
      <c r="Q90" s="188">
        <f>opex_orig!Q90</f>
        <v>5.7406299999999998E-4</v>
      </c>
      <c r="R90" s="188">
        <f>opex_orig!R90</f>
        <v>6.9974000000000002E-4</v>
      </c>
      <c r="S90" s="188">
        <f>opex_orig!S90</f>
        <v>2.2626699999999999E-4</v>
      </c>
      <c r="T90" s="188">
        <f>opex_orig!T90</f>
        <v>4.21366E-4</v>
      </c>
      <c r="U90" s="188">
        <f>opex_orig!U90</f>
        <v>2.9232500000000002E-4</v>
      </c>
      <c r="V90" s="188">
        <f>opex_orig!V90</f>
        <v>3.7047300000000002E-4</v>
      </c>
      <c r="W90" s="188">
        <f>opex_orig!W90</f>
        <v>3.0394100000000001E-4</v>
      </c>
      <c r="X90" s="188">
        <f>opex_orig!X90</f>
        <v>8.9713919999999999E-3</v>
      </c>
      <c r="Y90" s="188">
        <f>opex_orig!Y90</f>
        <v>7.99323E-4</v>
      </c>
      <c r="Z90" s="188">
        <f>opex_orig!Z90</f>
        <v>4.2775809999999999E-3</v>
      </c>
      <c r="AA90" s="188">
        <f>opex_orig!AA90</f>
        <v>1.847294E-3</v>
      </c>
      <c r="AB90" s="188">
        <f>opex_orig!$AB90</f>
        <v>4.8992156042393896E-4</v>
      </c>
      <c r="AC90" s="188">
        <f>opex_orig!$AB90</f>
        <v>4.8992156042393896E-4</v>
      </c>
      <c r="AD90" s="188">
        <f>opex_orig!$AB90</f>
        <v>4.8992156042393896E-4</v>
      </c>
      <c r="AE90" s="188">
        <f>opex_orig!$AC90</f>
        <v>6.8609769655439304E-4</v>
      </c>
      <c r="AF90" s="188">
        <f>opex_orig!$AD90</f>
        <v>2.3422591411693001E-4</v>
      </c>
      <c r="AG90" s="188">
        <f>opex_orig!$AD90</f>
        <v>2.3422591411693001E-4</v>
      </c>
      <c r="AH90" s="188">
        <f>opex_orig!$AD90</f>
        <v>2.3422591411693001E-4</v>
      </c>
      <c r="AI90" s="188">
        <f>opex_orig!AE90</f>
        <v>1.78424E-4</v>
      </c>
      <c r="AJ90" s="188">
        <f>opex_orig!AF90</f>
        <v>7.5884399999999995E-4</v>
      </c>
      <c r="AK90" s="188">
        <f>opex_orig!AG90</f>
        <v>2.468357E-3</v>
      </c>
      <c r="AL90" s="188">
        <f>opex_orig!AH90</f>
        <v>4.0725899999999998E-4</v>
      </c>
      <c r="AM90" s="188">
        <f>opex_orig!AI90</f>
        <v>7.5946E-4</v>
      </c>
      <c r="AN90" s="188">
        <f>opex_orig!AJ90</f>
        <v>3.3198199999999998E-4</v>
      </c>
      <c r="AO90" s="188">
        <f>opex_orig!AK90</f>
        <v>5.2713599999999999E-4</v>
      </c>
      <c r="AP90" s="188">
        <f>opex_orig!$AL90</f>
        <v>3.9549845016022099E-4</v>
      </c>
      <c r="AQ90" s="188">
        <f>opex_orig!$AL90</f>
        <v>3.9549845016022099E-4</v>
      </c>
      <c r="AR90" s="188">
        <f>opex_orig!$AL90</f>
        <v>3.9549845016022099E-4</v>
      </c>
      <c r="AS90" s="188">
        <f>opex_orig!$AM90</f>
        <v>4.6074700822858498E-4</v>
      </c>
      <c r="AT90" s="188">
        <f>opex_orig!AN90</f>
        <v>5.3210599999999996E-4</v>
      </c>
      <c r="AU90" s="188">
        <f>opex_orig!$AO90</f>
        <v>4.3646691329505101E-4</v>
      </c>
      <c r="AV90" s="188">
        <f>opex_orig!$AO90</f>
        <v>4.3646691329505101E-4</v>
      </c>
      <c r="AW90" s="188">
        <f>opex_orig!$AO90</f>
        <v>4.3646691329505101E-4</v>
      </c>
      <c r="AX90" s="188">
        <f>opex_orig!$AP90</f>
        <v>5.1058841977657296E-4</v>
      </c>
      <c r="AY90" s="188">
        <f>opex_orig!AQ90</f>
        <v>6.91221E-4</v>
      </c>
      <c r="AZ90" s="188">
        <f>opex_orig!AR90</f>
        <v>0</v>
      </c>
      <c r="BA90" s="188">
        <f>opex_orig!AS90</f>
        <v>6.11303E-4</v>
      </c>
      <c r="BB90" s="188">
        <f>opex_orig!AT90</f>
        <v>5.87953E-4</v>
      </c>
      <c r="BC90" s="188">
        <f>opex_orig!AU90</f>
        <v>1.6494799999999999E-4</v>
      </c>
      <c r="BD90" s="188">
        <f>opex_orig!AV90</f>
        <v>1.4725200000000001E-4</v>
      </c>
      <c r="BE90" s="188">
        <f>opex_orig!AW90</f>
        <v>3.95055E-4</v>
      </c>
      <c r="BF90" s="188">
        <f>opex_orig!AX90</f>
        <v>0</v>
      </c>
      <c r="BG90" s="188">
        <f>opex_orig!AY90</f>
        <v>8.1426600000000001E-4</v>
      </c>
      <c r="BH90" s="188">
        <f>opex_orig!AZ90</f>
        <v>0</v>
      </c>
      <c r="BI90" s="188">
        <f>opex_orig!BA90</f>
        <v>5.6248099999999998E-4</v>
      </c>
      <c r="BJ90" s="188">
        <f>opex_orig!BB90</f>
        <v>1.2067989999999999E-3</v>
      </c>
      <c r="BK90" s="188">
        <f>opex_orig!BC90</f>
        <v>5.7190169999999999E-3</v>
      </c>
      <c r="BL90" s="188">
        <f>opex_orig!BD90</f>
        <v>9.3920017999999994E-2</v>
      </c>
      <c r="BM90" s="188">
        <f>opex_orig!BE90</f>
        <v>3.437402E-3</v>
      </c>
      <c r="BN90" s="188">
        <f>opex_orig!BF90</f>
        <v>0.64078042800000001</v>
      </c>
      <c r="BO90" s="188">
        <f>opex_orig!BG90</f>
        <v>1.7215098000000002E-2</v>
      </c>
      <c r="BP90" s="273">
        <f>opex_concordance!M87</f>
        <v>7.116280351192098E-3</v>
      </c>
      <c r="BQ90" s="273">
        <f>opex_concordance!M130</f>
        <v>4.2073830192615146E-3</v>
      </c>
      <c r="BR90" s="188">
        <f>opex_orig!BI90</f>
        <v>3.681218E-3</v>
      </c>
      <c r="BS90" s="188">
        <f>opex_orig!BJ90</f>
        <v>5.9434889999999997E-3</v>
      </c>
      <c r="BT90" s="188">
        <f>opex_orig!BK90</f>
        <v>3.9567699999999999E-4</v>
      </c>
      <c r="BU90" s="188">
        <f>opex_orig!BL90</f>
        <v>0</v>
      </c>
      <c r="BV90" s="27">
        <f>opex_orig!BM90</f>
        <v>5.3485012168703601E-4</v>
      </c>
      <c r="BW90" s="27">
        <f>opex_orig!BN90</f>
        <v>1.3758313237966001E-3</v>
      </c>
      <c r="BX90" s="27">
        <f>opex_orig!BO90</f>
        <v>2.3179092224845401E-4</v>
      </c>
      <c r="BY90" s="27">
        <f>opex_orig!BP90</f>
        <v>2.4354424817162E-4</v>
      </c>
      <c r="BZ90" s="27">
        <f>opex_orig!BQ90</f>
        <v>2.7231612021225599E-4</v>
      </c>
      <c r="CA90" s="27">
        <f>opex_orig!BR90</f>
        <v>2.4262638000980199E-4</v>
      </c>
      <c r="CB90" s="27">
        <f>opex_orig!BS90</f>
        <v>1.2412945495646401E-3</v>
      </c>
      <c r="CC90" s="27">
        <f>opex_orig!BT90</f>
        <v>3.0046773286326802E-4</v>
      </c>
      <c r="CD90" s="27">
        <f>opex_orig!BU90</f>
        <v>1.9118957291166101E-4</v>
      </c>
      <c r="CE90" s="27">
        <f>opex_orig!BV90</f>
        <v>1.9118957291166101E-4</v>
      </c>
      <c r="CF90" s="27">
        <f>opex_orig!BW90</f>
        <v>1.03492004736503E-4</v>
      </c>
      <c r="CG90" s="27">
        <f>opex_orig!BX90</f>
        <v>1.1865586741825801E-5</v>
      </c>
      <c r="CH90" s="27">
        <f>opex_orig!BY90</f>
        <v>5.7442026160210103E-5</v>
      </c>
      <c r="CI90" s="27">
        <f>opex_orig!Y90</f>
        <v>7.99323E-4</v>
      </c>
      <c r="CJ90" s="27">
        <f>opex_orig!Z90</f>
        <v>4.2775809999999999E-3</v>
      </c>
      <c r="CK90" s="27">
        <f>opex_orig!AA90</f>
        <v>1.847294E-3</v>
      </c>
      <c r="CL90" s="27">
        <f>opex_orig!AB90</f>
        <v>4.8992156042393896E-4</v>
      </c>
      <c r="CM90" s="27">
        <f>opex_orig!AC90</f>
        <v>6.8609769655439304E-4</v>
      </c>
      <c r="CN90" s="27">
        <f>opex_orig!AD90</f>
        <v>2.3422591411693001E-4</v>
      </c>
      <c r="CO90" s="27">
        <f>opex_orig!AE90</f>
        <v>1.78424E-4</v>
      </c>
      <c r="CP90" s="27">
        <f>opex_orig!AF90</f>
        <v>7.5884399999999995E-4</v>
      </c>
    </row>
    <row r="91" spans="1:94" x14ac:dyDescent="0.25">
      <c r="A91" s="5" t="s">
        <v>201</v>
      </c>
      <c r="B91" s="2" t="s">
        <v>200</v>
      </c>
      <c r="C91" s="1" t="s">
        <v>329</v>
      </c>
      <c r="D91" s="188">
        <f>opex_orig!D91</f>
        <v>8.2328800000000004E-4</v>
      </c>
      <c r="E91" s="188">
        <f>opex_orig!E91</f>
        <v>1.02174E-4</v>
      </c>
      <c r="F91" s="188">
        <f>opex_orig!F91</f>
        <v>1.3365299999999999E-4</v>
      </c>
      <c r="G91" s="188">
        <f>opex_orig!G91</f>
        <v>8.1499999999999999E-6</v>
      </c>
      <c r="H91" s="188">
        <f>opex_orig!H91</f>
        <v>1.9599999999999999E-5</v>
      </c>
      <c r="I91" s="188">
        <f>opex_orig!I91</f>
        <v>1.0770200000000001E-4</v>
      </c>
      <c r="J91" s="188">
        <f>opex_orig!J91</f>
        <v>3.7364499999999998E-4</v>
      </c>
      <c r="K91" s="188">
        <f>opex_orig!K91</f>
        <v>2.55E-5</v>
      </c>
      <c r="L91" s="188">
        <f>opex_orig!L91</f>
        <v>1.62261E-4</v>
      </c>
      <c r="M91" s="188">
        <f>opex_orig!M91</f>
        <v>5.6403400000000004E-4</v>
      </c>
      <c r="N91" s="188">
        <f>opex_orig!N91</f>
        <v>4.4955499999999997E-4</v>
      </c>
      <c r="O91" s="188">
        <f>opex_orig!O91</f>
        <v>3.2459200000000001E-4</v>
      </c>
      <c r="P91" s="188">
        <f>opex_orig!P91</f>
        <v>3.4864599999999998E-4</v>
      </c>
      <c r="Q91" s="188">
        <f>opex_orig!Q91</f>
        <v>9.5562800000000003E-4</v>
      </c>
      <c r="R91" s="188">
        <f>opex_orig!R91</f>
        <v>4.4587099999999997E-4</v>
      </c>
      <c r="S91" s="188">
        <f>opex_orig!S91</f>
        <v>2.41287E-4</v>
      </c>
      <c r="T91" s="188">
        <f>opex_orig!T91</f>
        <v>2.48488E-4</v>
      </c>
      <c r="U91" s="188">
        <f>opex_orig!U91</f>
        <v>1.9560199999999999E-4</v>
      </c>
      <c r="V91" s="188">
        <f>opex_orig!V91</f>
        <v>2.40511E-4</v>
      </c>
      <c r="W91" s="188">
        <f>opex_orig!W91</f>
        <v>4.9520399999999996E-4</v>
      </c>
      <c r="X91" s="188">
        <f>opex_orig!X91</f>
        <v>1.8511100000000001E-4</v>
      </c>
      <c r="Y91" s="188">
        <f>opex_orig!Y91</f>
        <v>8.5516080000000005E-3</v>
      </c>
      <c r="Z91" s="188">
        <f>opex_orig!Z91</f>
        <v>6.0902356999999997E-2</v>
      </c>
      <c r="AA91" s="188">
        <f>opex_orig!AA91</f>
        <v>6.7477320000000002E-3</v>
      </c>
      <c r="AB91" s="188">
        <f>opex_orig!$AB91</f>
        <v>6.87240465499072E-5</v>
      </c>
      <c r="AC91" s="188">
        <f>opex_orig!$AB91</f>
        <v>6.87240465499072E-5</v>
      </c>
      <c r="AD91" s="188">
        <f>opex_orig!$AB91</f>
        <v>6.87240465499072E-5</v>
      </c>
      <c r="AE91" s="188">
        <f>opex_orig!$AC91</f>
        <v>2.4542061682552798E-4</v>
      </c>
      <c r="AF91" s="188">
        <f>opex_orig!$AD91</f>
        <v>2.01363432015958E-4</v>
      </c>
      <c r="AG91" s="188">
        <f>opex_orig!$AD91</f>
        <v>2.01363432015958E-4</v>
      </c>
      <c r="AH91" s="188">
        <f>opex_orig!$AD91</f>
        <v>2.01363432015958E-4</v>
      </c>
      <c r="AI91" s="188">
        <f>opex_orig!AE91</f>
        <v>1.8459800000000001E-4</v>
      </c>
      <c r="AJ91" s="188">
        <f>opex_orig!AF91</f>
        <v>2.4883129999999998E-3</v>
      </c>
      <c r="AK91" s="188">
        <f>opex_orig!AG91</f>
        <v>1.762734E-3</v>
      </c>
      <c r="AL91" s="188">
        <f>opex_orig!AH91</f>
        <v>6.5667999999999998E-4</v>
      </c>
      <c r="AM91" s="188">
        <f>opex_orig!AI91</f>
        <v>9.5029900000000004E-4</v>
      </c>
      <c r="AN91" s="188">
        <f>opex_orig!AJ91</f>
        <v>6.6475200000000001E-4</v>
      </c>
      <c r="AO91" s="188">
        <f>opex_orig!AK91</f>
        <v>5.0540199999999996E-4</v>
      </c>
      <c r="AP91" s="188">
        <f>opex_orig!$AL91</f>
        <v>5.7269915865769199E-4</v>
      </c>
      <c r="AQ91" s="188">
        <f>opex_orig!$AL91</f>
        <v>5.7269915865769199E-4</v>
      </c>
      <c r="AR91" s="188">
        <f>opex_orig!$AL91</f>
        <v>5.7269915865769199E-4</v>
      </c>
      <c r="AS91" s="188">
        <f>opex_orig!$AM91</f>
        <v>5.1089410714743005E-4</v>
      </c>
      <c r="AT91" s="188">
        <f>opex_orig!AN91</f>
        <v>9.4533099999999999E-4</v>
      </c>
      <c r="AU91" s="188">
        <f>opex_orig!$AO91</f>
        <v>3.7305482228500099E-4</v>
      </c>
      <c r="AV91" s="188">
        <f>opex_orig!$AO91</f>
        <v>3.7305482228500099E-4</v>
      </c>
      <c r="AW91" s="188">
        <f>opex_orig!$AO91</f>
        <v>3.7305482228500099E-4</v>
      </c>
      <c r="AX91" s="188">
        <f>opex_orig!$AP91</f>
        <v>4.0868688183574999E-4</v>
      </c>
      <c r="AY91" s="188">
        <f>opex_orig!AQ91</f>
        <v>7.3037999999999998E-4</v>
      </c>
      <c r="AZ91" s="188">
        <f>opex_orig!AR91</f>
        <v>0</v>
      </c>
      <c r="BA91" s="188">
        <f>opex_orig!AS91</f>
        <v>5.1946499999999999E-4</v>
      </c>
      <c r="BB91" s="188">
        <f>opex_orig!AT91</f>
        <v>5.5951899999999997E-4</v>
      </c>
      <c r="BC91" s="188">
        <f>opex_orig!AU91</f>
        <v>4.9499999999999997E-5</v>
      </c>
      <c r="BD91" s="188">
        <f>opex_orig!AV91</f>
        <v>3.7799999999999997E-5</v>
      </c>
      <c r="BE91" s="188">
        <f>opex_orig!AW91</f>
        <v>3.24567E-4</v>
      </c>
      <c r="BF91" s="188">
        <f>opex_orig!AX91</f>
        <v>0</v>
      </c>
      <c r="BG91" s="188">
        <f>opex_orig!AY91</f>
        <v>2.42768E-4</v>
      </c>
      <c r="BH91" s="188">
        <f>opex_orig!AZ91</f>
        <v>0</v>
      </c>
      <c r="BI91" s="188">
        <f>opex_orig!BA91</f>
        <v>7.1486E-4</v>
      </c>
      <c r="BJ91" s="188">
        <f>opex_orig!BB91</f>
        <v>9.4546699999999997E-4</v>
      </c>
      <c r="BK91" s="188">
        <f>opex_orig!BC91</f>
        <v>1.888998E-3</v>
      </c>
      <c r="BL91" s="188">
        <f>opex_orig!BD91</f>
        <v>2.227611E-3</v>
      </c>
      <c r="BM91" s="188">
        <f>opex_orig!BE91</f>
        <v>2.089526E-3</v>
      </c>
      <c r="BN91" s="188">
        <f>opex_orig!BF91</f>
        <v>3.4133499999999999E-3</v>
      </c>
      <c r="BO91" s="188">
        <f>opex_orig!BG91</f>
        <v>4.4791539999999998E-2</v>
      </c>
      <c r="BP91" s="188">
        <f>opex_orig!$BH91</f>
        <v>1.0570080160432699E-3</v>
      </c>
      <c r="BQ91" s="188">
        <f>opex_orig!$BH91</f>
        <v>1.0570080160432699E-3</v>
      </c>
      <c r="BR91" s="188">
        <f>opex_orig!BI91</f>
        <v>4.6904770000000002E-3</v>
      </c>
      <c r="BS91" s="188">
        <f>opex_orig!BJ91</f>
        <v>7.9890600000000005E-4</v>
      </c>
      <c r="BT91" s="188">
        <f>opex_orig!BK91</f>
        <v>2.8317099999999998E-4</v>
      </c>
      <c r="BU91" s="188">
        <f>opex_orig!BL91</f>
        <v>0</v>
      </c>
      <c r="BV91" s="27">
        <f>opex_orig!BM91</f>
        <v>6.3043084386420103E-4</v>
      </c>
      <c r="BW91" s="27">
        <f>opex_orig!BN91</f>
        <v>9.4077403005206502E-4</v>
      </c>
      <c r="BX91" s="27">
        <f>opex_orig!BO91</f>
        <v>3.6901047670596698E-4</v>
      </c>
      <c r="BY91" s="27">
        <f>opex_orig!BP91</f>
        <v>1.8202258459692401E-4</v>
      </c>
      <c r="BZ91" s="27">
        <f>opex_orig!BQ91</f>
        <v>1.4759518338021901E-4</v>
      </c>
      <c r="CA91" s="27">
        <f>opex_orig!BR91</f>
        <v>3.9968045626878699E-4</v>
      </c>
      <c r="CB91" s="27">
        <f>opex_orig!BS91</f>
        <v>4.4819146138886902E-4</v>
      </c>
      <c r="CC91" s="27">
        <f>opex_orig!BT91</f>
        <v>4.0574251908634401E-4</v>
      </c>
      <c r="CD91" s="27">
        <f>opex_orig!BU91</f>
        <v>1.79034854606857E-4</v>
      </c>
      <c r="CE91" s="27">
        <f>opex_orig!BV91</f>
        <v>1.79034854606857E-4</v>
      </c>
      <c r="CF91" s="27">
        <f>opex_orig!BW91</f>
        <v>1.64735017263028E-4</v>
      </c>
      <c r="CG91" s="27">
        <f>opex_orig!BX91</f>
        <v>3.9783008440760201E-6</v>
      </c>
      <c r="CH91" s="27">
        <f>opex_orig!BY91</f>
        <v>2.0219449033516401E-5</v>
      </c>
      <c r="CI91" s="27">
        <f>opex_orig!Y91</f>
        <v>8.5516080000000005E-3</v>
      </c>
      <c r="CJ91" s="27">
        <f>opex_orig!Z91</f>
        <v>6.0902356999999997E-2</v>
      </c>
      <c r="CK91" s="27">
        <f>opex_orig!AA91</f>
        <v>6.7477320000000002E-3</v>
      </c>
      <c r="CL91" s="27">
        <f>opex_orig!AB91</f>
        <v>6.87240465499072E-5</v>
      </c>
      <c r="CM91" s="27">
        <f>opex_orig!AC91</f>
        <v>2.4542061682552798E-4</v>
      </c>
      <c r="CN91" s="27">
        <f>opex_orig!AD91</f>
        <v>2.01363432015958E-4</v>
      </c>
      <c r="CO91" s="27">
        <f>opex_orig!AE91</f>
        <v>1.8459800000000001E-4</v>
      </c>
      <c r="CP91" s="27">
        <f>opex_orig!AF91</f>
        <v>2.4883129999999998E-3</v>
      </c>
    </row>
    <row r="92" spans="1:94" x14ac:dyDescent="0.25">
      <c r="A92" s="5" t="s">
        <v>203</v>
      </c>
      <c r="B92" s="2" t="s">
        <v>202</v>
      </c>
      <c r="C92" s="1" t="s">
        <v>329</v>
      </c>
      <c r="D92" s="188">
        <f>opex_orig!D92</f>
        <v>1.741701E-3</v>
      </c>
      <c r="E92" s="188">
        <f>opex_orig!E92</f>
        <v>7.5720500000000005E-4</v>
      </c>
      <c r="F92" s="188">
        <f>opex_orig!F92</f>
        <v>1.0221760000000001E-3</v>
      </c>
      <c r="G92" s="188">
        <f>opex_orig!G92</f>
        <v>2.1970299999999999E-4</v>
      </c>
      <c r="H92" s="188">
        <f>opex_orig!H92</f>
        <v>3.3743500000000002E-4</v>
      </c>
      <c r="I92" s="188">
        <f>opex_orig!I92</f>
        <v>8.3733799999999997E-4</v>
      </c>
      <c r="J92" s="188">
        <f>opex_orig!J92</f>
        <v>2.5698880000000002E-3</v>
      </c>
      <c r="K92" s="188">
        <f>opex_orig!K92</f>
        <v>7.2321600000000005E-4</v>
      </c>
      <c r="L92" s="188">
        <f>opex_orig!L92</f>
        <v>9.64502E-4</v>
      </c>
      <c r="M92" s="188">
        <f>opex_orig!M92</f>
        <v>2.657581E-3</v>
      </c>
      <c r="N92" s="188">
        <f>opex_orig!N92</f>
        <v>2.268132E-3</v>
      </c>
      <c r="O92" s="188">
        <f>opex_orig!O92</f>
        <v>1.9993250000000001E-3</v>
      </c>
      <c r="P92" s="188">
        <f>opex_orig!P92</f>
        <v>4.8612179999999996E-3</v>
      </c>
      <c r="Q92" s="188">
        <f>opex_orig!Q92</f>
        <v>2.8642350000000001E-3</v>
      </c>
      <c r="R92" s="188">
        <f>opex_orig!R92</f>
        <v>3.596892E-3</v>
      </c>
      <c r="S92" s="188">
        <f>opex_orig!S92</f>
        <v>1.6764080000000001E-3</v>
      </c>
      <c r="T92" s="188">
        <f>opex_orig!T92</f>
        <v>2.4970679999999999E-3</v>
      </c>
      <c r="U92" s="188">
        <f>opex_orig!U92</f>
        <v>1.610785E-3</v>
      </c>
      <c r="V92" s="188">
        <f>opex_orig!V92</f>
        <v>1.938756E-3</v>
      </c>
      <c r="W92" s="188">
        <f>opex_orig!W92</f>
        <v>1.213593E-3</v>
      </c>
      <c r="X92" s="188">
        <f>opex_orig!X92</f>
        <v>6.0171300000000003E-4</v>
      </c>
      <c r="Y92" s="188">
        <f>opex_orig!Y92</f>
        <v>2.1032189999999999E-3</v>
      </c>
      <c r="Z92" s="188">
        <f>opex_orig!Z92</f>
        <v>5.2078080000000004E-3</v>
      </c>
      <c r="AA92" s="188">
        <f>opex_orig!AA92</f>
        <v>8.781222E-3</v>
      </c>
      <c r="AB92" s="188">
        <f>opex_orig!$AB92</f>
        <v>2.1764730515531901E-3</v>
      </c>
      <c r="AC92" s="188">
        <f>opex_orig!$AB92</f>
        <v>2.1764730515531901E-3</v>
      </c>
      <c r="AD92" s="188">
        <f>opex_orig!$AB92</f>
        <v>2.1764730515531901E-3</v>
      </c>
      <c r="AE92" s="188">
        <f>opex_orig!$AC92</f>
        <v>2.8485414516050602E-3</v>
      </c>
      <c r="AF92" s="188">
        <f>opex_orig!$AD92</f>
        <v>1.2137852969441099E-3</v>
      </c>
      <c r="AG92" s="188">
        <f>opex_orig!$AD92</f>
        <v>1.2137852969441099E-3</v>
      </c>
      <c r="AH92" s="188">
        <f>opex_orig!$AD92</f>
        <v>1.2137852969441099E-3</v>
      </c>
      <c r="AI92" s="188">
        <f>opex_orig!AE92</f>
        <v>9.8069600000000009E-4</v>
      </c>
      <c r="AJ92" s="188">
        <f>opex_orig!AF92</f>
        <v>3.6959670000000001E-3</v>
      </c>
      <c r="AK92" s="188">
        <f>opex_orig!AG92</f>
        <v>2.3542285E-2</v>
      </c>
      <c r="AL92" s="188">
        <f>opex_orig!AH92</f>
        <v>1.1673964E-2</v>
      </c>
      <c r="AM92" s="188">
        <f>opex_orig!AI92</f>
        <v>1.4452326999999999E-2</v>
      </c>
      <c r="AN92" s="188">
        <f>opex_orig!AJ92</f>
        <v>5.203867E-3</v>
      </c>
      <c r="AO92" s="188">
        <f>opex_orig!AK92</f>
        <v>9.5487120000000009E-3</v>
      </c>
      <c r="AP92" s="211">
        <f>opex_concordance!M444</f>
        <v>1.4551002917508601E-2</v>
      </c>
      <c r="AQ92" s="211">
        <f>opex_concordance!M498</f>
        <v>1.1710509869159979E-2</v>
      </c>
      <c r="AR92" s="211">
        <f>opex_concordance!M552</f>
        <v>1.2851261203757078E-2</v>
      </c>
      <c r="AS92" s="188">
        <f>opex_orig!$AM92</f>
        <v>1.35512083126471E-2</v>
      </c>
      <c r="AT92" s="188">
        <f>opex_orig!AN92</f>
        <v>1.1282766E-2</v>
      </c>
      <c r="AU92" s="211">
        <f>opex_concordance!M602</f>
        <v>2.89704417220501E-2</v>
      </c>
      <c r="AV92" s="211">
        <f>opex_concordance!M648</f>
        <v>3.9356242982066476E-2</v>
      </c>
      <c r="AW92" s="211">
        <f>opex_concordance!M694</f>
        <v>3.2489472153276085E-2</v>
      </c>
      <c r="AX92" s="188">
        <f>opex_orig!$AP92</f>
        <v>3.2922441731574E-2</v>
      </c>
      <c r="AY92" s="188">
        <f>opex_orig!AQ92</f>
        <v>5.5802243000000001E-2</v>
      </c>
      <c r="AZ92" s="188">
        <f>opex_orig!AR92</f>
        <v>0</v>
      </c>
      <c r="BA92" s="188">
        <f>opex_orig!AS92</f>
        <v>3.6774895000000002E-2</v>
      </c>
      <c r="BB92" s="188">
        <f>opex_orig!AT92</f>
        <v>3.4043014000000003E-2</v>
      </c>
      <c r="BC92" s="188">
        <f>opex_orig!AU92</f>
        <v>9.0162850000000006E-3</v>
      </c>
      <c r="BD92" s="188">
        <f>opex_orig!AV92</f>
        <v>6.6224450000000002E-3</v>
      </c>
      <c r="BE92" s="188">
        <f>opex_orig!AW92</f>
        <v>1.9614573999999999E-2</v>
      </c>
      <c r="BF92" s="188">
        <f>opex_orig!AX92</f>
        <v>0</v>
      </c>
      <c r="BG92" s="188">
        <f>opex_orig!AY92</f>
        <v>3.3842417E-2</v>
      </c>
      <c r="BH92" s="188">
        <f>opex_orig!AZ92</f>
        <v>0</v>
      </c>
      <c r="BI92" s="188">
        <f>opex_orig!BA92</f>
        <v>1.3206450999999999E-2</v>
      </c>
      <c r="BJ92" s="188">
        <f>opex_orig!BB92</f>
        <v>1.5937873000000002E-2</v>
      </c>
      <c r="BK92" s="188">
        <f>opex_orig!BC92</f>
        <v>2.1572692000000001E-2</v>
      </c>
      <c r="BL92" s="188">
        <f>opex_orig!BD92</f>
        <v>1.7117316E-2</v>
      </c>
      <c r="BM92" s="188">
        <f>opex_orig!BE92</f>
        <v>0.110583705</v>
      </c>
      <c r="BN92" s="188">
        <f>opex_orig!BF92</f>
        <v>1.2100609E-2</v>
      </c>
      <c r="BO92" s="188">
        <f>opex_orig!BG92</f>
        <v>1.5891821E-2</v>
      </c>
      <c r="BP92" s="211">
        <f>opex_concordance!M76</f>
        <v>0.31519432208918574</v>
      </c>
      <c r="BQ92" s="211">
        <f>opex_concordance!M119</f>
        <v>0.29953142633326785</v>
      </c>
      <c r="BR92" s="188">
        <f>opex_orig!BI92</f>
        <v>3.9095446999999998E-2</v>
      </c>
      <c r="BS92" s="188">
        <f>opex_orig!BJ92</f>
        <v>5.4868243999999997E-2</v>
      </c>
      <c r="BT92" s="188">
        <f>opex_orig!BK92</f>
        <v>1.4120834000000001E-2</v>
      </c>
      <c r="BU92" s="188">
        <f>opex_orig!BL92</f>
        <v>0</v>
      </c>
      <c r="BV92" s="27">
        <f>opex_orig!BM92</f>
        <v>4.5359919658695498E-3</v>
      </c>
      <c r="BW92" s="27">
        <f>opex_orig!BN92</f>
        <v>9.3690310085893496E-3</v>
      </c>
      <c r="BX92" s="27">
        <f>opex_orig!BO92</f>
        <v>2.3091575718866201E-3</v>
      </c>
      <c r="BY92" s="27">
        <f>opex_orig!BP92</f>
        <v>1.6592660594785E-3</v>
      </c>
      <c r="BZ92" s="27">
        <f>opex_orig!BQ92</f>
        <v>1.73303965885086E-3</v>
      </c>
      <c r="CA92" s="27">
        <f>opex_orig!BR92</f>
        <v>4.63890111589212E-4</v>
      </c>
      <c r="CB92" s="27">
        <f>opex_orig!BS92</f>
        <v>6.8581466798074402E-3</v>
      </c>
      <c r="CC92" s="27">
        <f>opex_orig!BT92</f>
        <v>3.6680353116297598E-4</v>
      </c>
      <c r="CD92" s="27">
        <f>opex_orig!BU92</f>
        <v>1.29605818453029E-3</v>
      </c>
      <c r="CE92" s="27">
        <f>opex_orig!BV92</f>
        <v>1.2960581845303E-3</v>
      </c>
      <c r="CF92" s="27">
        <f>opex_orig!BW92</f>
        <v>9.7613359583853597E-4</v>
      </c>
      <c r="CG92" s="27">
        <f>opex_orig!BX92</f>
        <v>1.1080326310732399E-5</v>
      </c>
      <c r="CH92" s="27">
        <f>opex_orig!BY92</f>
        <v>1.52996485826194E-4</v>
      </c>
      <c r="CI92" s="27">
        <f>opex_orig!Y92</f>
        <v>2.1032189999999999E-3</v>
      </c>
      <c r="CJ92" s="27">
        <f>opex_orig!Z92</f>
        <v>5.2078080000000004E-3</v>
      </c>
      <c r="CK92" s="27">
        <f>opex_orig!AA92</f>
        <v>8.781222E-3</v>
      </c>
      <c r="CL92" s="27">
        <f>opex_orig!AB92</f>
        <v>2.1764730515531901E-3</v>
      </c>
      <c r="CM92" s="27">
        <f>opex_orig!AC92</f>
        <v>2.8485414516050602E-3</v>
      </c>
      <c r="CN92" s="27">
        <f>opex_orig!AD92</f>
        <v>1.2137852969441099E-3</v>
      </c>
      <c r="CO92" s="27">
        <f>opex_orig!AE92</f>
        <v>9.8069600000000009E-4</v>
      </c>
      <c r="CP92" s="27">
        <f>opex_orig!AF92</f>
        <v>3.6959670000000001E-3</v>
      </c>
    </row>
    <row r="93" spans="1:94" x14ac:dyDescent="0.25">
      <c r="A93" s="5" t="s">
        <v>205</v>
      </c>
      <c r="B93" s="2" t="s">
        <v>204</v>
      </c>
      <c r="C93" s="1" t="s">
        <v>329</v>
      </c>
      <c r="D93" s="188">
        <f>opex_orig!D93</f>
        <v>4.99E-5</v>
      </c>
      <c r="E93" s="188">
        <f>opex_orig!E93</f>
        <v>3.0599999999999998E-5</v>
      </c>
      <c r="F93" s="188">
        <f>opex_orig!F93</f>
        <v>3.3399999999999999E-5</v>
      </c>
      <c r="G93" s="188">
        <f>opex_orig!G93</f>
        <v>3.1200000000000002E-6</v>
      </c>
      <c r="H93" s="188">
        <f>opex_orig!H93</f>
        <v>7.9300000000000003E-6</v>
      </c>
      <c r="I93" s="188">
        <f>opex_orig!I93</f>
        <v>6.3200000000000005E-5</v>
      </c>
      <c r="J93" s="188">
        <f>opex_orig!J93</f>
        <v>4.9400000000000001E-5</v>
      </c>
      <c r="K93" s="188">
        <f>opex_orig!K93</f>
        <v>9.2599999999999994E-6</v>
      </c>
      <c r="L93" s="188">
        <f>opex_orig!L93</f>
        <v>6.7600000000000003E-5</v>
      </c>
      <c r="M93" s="188">
        <f>opex_orig!M93</f>
        <v>2.1018E-4</v>
      </c>
      <c r="N93" s="188">
        <f>opex_orig!N93</f>
        <v>1.2524500000000001E-4</v>
      </c>
      <c r="O93" s="188">
        <f>opex_orig!O93</f>
        <v>1.21684E-4</v>
      </c>
      <c r="P93" s="188">
        <f>opex_orig!P93</f>
        <v>2.40714E-4</v>
      </c>
      <c r="Q93" s="188">
        <f>opex_orig!Q93</f>
        <v>1.8363200000000001E-4</v>
      </c>
      <c r="R93" s="188">
        <f>opex_orig!R93</f>
        <v>2.0789100000000001E-4</v>
      </c>
      <c r="S93" s="188">
        <f>opex_orig!S93</f>
        <v>2.0619599999999999E-4</v>
      </c>
      <c r="T93" s="188">
        <f>opex_orig!T93</f>
        <v>1.8983100000000001E-4</v>
      </c>
      <c r="U93" s="188">
        <f>opex_orig!U93</f>
        <v>3.20384E-4</v>
      </c>
      <c r="V93" s="188">
        <f>opex_orig!V93</f>
        <v>3.7481800000000002E-4</v>
      </c>
      <c r="W93" s="188">
        <f>opex_orig!W93</f>
        <v>2.8939100000000001E-4</v>
      </c>
      <c r="X93" s="188">
        <f>opex_orig!X93</f>
        <v>9.2600000000000001E-5</v>
      </c>
      <c r="Y93" s="188">
        <f>opex_orig!Y93</f>
        <v>1.8894699999999999E-4</v>
      </c>
      <c r="Z93" s="188">
        <f>opex_orig!Z93</f>
        <v>1.135643E-3</v>
      </c>
      <c r="AA93" s="188">
        <f>opex_orig!AA93</f>
        <v>5.2434599999999997E-4</v>
      </c>
      <c r="AB93" s="188">
        <f>opex_orig!$AB93</f>
        <v>2.7002094192828799E-5</v>
      </c>
      <c r="AC93" s="188">
        <f>opex_orig!$AB93</f>
        <v>2.7002094192828799E-5</v>
      </c>
      <c r="AD93" s="188">
        <f>opex_orig!$AB93</f>
        <v>2.7002094192828799E-5</v>
      </c>
      <c r="AE93" s="188">
        <f>opex_orig!$AC93</f>
        <v>7.3438046268200206E-5</v>
      </c>
      <c r="AF93" s="188">
        <f>opex_orig!$AD93</f>
        <v>4.9975098923418402E-5</v>
      </c>
      <c r="AG93" s="188">
        <f>opex_orig!$AD93</f>
        <v>4.9975098923418402E-5</v>
      </c>
      <c r="AH93" s="188">
        <f>opex_orig!$AD93</f>
        <v>4.9975098923418402E-5</v>
      </c>
      <c r="AI93" s="188">
        <f>opex_orig!AE93</f>
        <v>4.88E-5</v>
      </c>
      <c r="AJ93" s="188">
        <f>opex_orig!AF93</f>
        <v>4.2540999999999998E-4</v>
      </c>
      <c r="AK93" s="188">
        <f>opex_orig!AG93</f>
        <v>4.3155999999999999E-4</v>
      </c>
      <c r="AL93" s="188">
        <f>opex_orig!AH93</f>
        <v>3.8915599999999999E-4</v>
      </c>
      <c r="AM93" s="188">
        <f>opex_orig!AI93</f>
        <v>6.6952600000000004E-4</v>
      </c>
      <c r="AN93" s="188">
        <f>opex_orig!AJ93</f>
        <v>4.1888800000000002E-4</v>
      </c>
      <c r="AO93" s="188">
        <f>opex_orig!AK93</f>
        <v>3.4016199999999997E-4</v>
      </c>
      <c r="AP93" s="188">
        <f>opex_orig!$AL93</f>
        <v>3.9013580316701201E-4</v>
      </c>
      <c r="AQ93" s="188">
        <f>opex_orig!$AL93</f>
        <v>3.9013580316701201E-4</v>
      </c>
      <c r="AR93" s="188">
        <f>opex_orig!$AL93</f>
        <v>3.9013580316701201E-4</v>
      </c>
      <c r="AS93" s="188">
        <f>opex_orig!$AM93</f>
        <v>3.5011238520042697E-4</v>
      </c>
      <c r="AT93" s="188">
        <f>opex_orig!AN93</f>
        <v>5.7171399999999997E-4</v>
      </c>
      <c r="AU93" s="188">
        <f>opex_orig!$AO93</f>
        <v>7.29802075624112E-4</v>
      </c>
      <c r="AV93" s="188">
        <f>opex_orig!$AO93</f>
        <v>7.29802075624112E-4</v>
      </c>
      <c r="AW93" s="188">
        <f>opex_orig!$AO93</f>
        <v>7.29802075624112E-4</v>
      </c>
      <c r="AX93" s="188">
        <f>opex_orig!$AP93</f>
        <v>8.4341223701442196E-4</v>
      </c>
      <c r="AY93" s="188">
        <f>opex_orig!AQ93</f>
        <v>1.0430350000000001E-3</v>
      </c>
      <c r="AZ93" s="188">
        <f>opex_orig!AR93</f>
        <v>0</v>
      </c>
      <c r="BA93" s="188">
        <f>opex_orig!AS93</f>
        <v>8.6028999999999999E-4</v>
      </c>
      <c r="BB93" s="188">
        <f>opex_orig!AT93</f>
        <v>8.7996600000000004E-4</v>
      </c>
      <c r="BC93" s="188">
        <f>opex_orig!AU93</f>
        <v>1.283E-4</v>
      </c>
      <c r="BD93" s="188">
        <f>opex_orig!AV93</f>
        <v>9.5000000000000005E-5</v>
      </c>
      <c r="BE93" s="188">
        <f>opex_orig!AW93</f>
        <v>6.2026699999999998E-4</v>
      </c>
      <c r="BF93" s="188">
        <f>opex_orig!AX93</f>
        <v>0</v>
      </c>
      <c r="BG93" s="188">
        <f>opex_orig!AY93</f>
        <v>5.1228500000000002E-4</v>
      </c>
      <c r="BH93" s="188">
        <f>opex_orig!AZ93</f>
        <v>0</v>
      </c>
      <c r="BI93" s="188">
        <f>opex_orig!BA93</f>
        <v>1.28987E-3</v>
      </c>
      <c r="BJ93" s="188">
        <f>opex_orig!BB93</f>
        <v>2.0588030000000001E-3</v>
      </c>
      <c r="BK93" s="188">
        <f>opex_orig!BC93</f>
        <v>1.345096E-2</v>
      </c>
      <c r="BL93" s="188">
        <f>opex_orig!BD93</f>
        <v>3.5273750000000001E-3</v>
      </c>
      <c r="BM93" s="188">
        <f>opex_orig!BE93</f>
        <v>4.9312799999999997E-3</v>
      </c>
      <c r="BN93" s="188">
        <f>opex_orig!BF93</f>
        <v>3.1614239999999999E-3</v>
      </c>
      <c r="BO93" s="188">
        <f>opex_orig!BG93</f>
        <v>1.3746089999999999E-3</v>
      </c>
      <c r="BP93" s="188">
        <f>opex_orig!$BH93</f>
        <v>1.37392451559817E-3</v>
      </c>
      <c r="BQ93" s="188">
        <f>opex_orig!$BH93</f>
        <v>1.37392451559817E-3</v>
      </c>
      <c r="BR93" s="188">
        <f>opex_orig!BI93</f>
        <v>4.2098351999999999E-2</v>
      </c>
      <c r="BS93" s="188">
        <f>opex_orig!BJ93</f>
        <v>2.2842690999999998E-2</v>
      </c>
      <c r="BT93" s="188">
        <f>opex_orig!BK93</f>
        <v>3.4603800000000001E-4</v>
      </c>
      <c r="BU93" s="188">
        <f>opex_orig!BL93</f>
        <v>0</v>
      </c>
      <c r="BV93" s="27">
        <f>opex_orig!BM93</f>
        <v>4.58947194473336E-4</v>
      </c>
      <c r="BW93" s="27">
        <f>opex_orig!BN93</f>
        <v>8.8599733737021696E-4</v>
      </c>
      <c r="BX93" s="27">
        <f>opex_orig!BO93</f>
        <v>2.4537747498524403E-4</v>
      </c>
      <c r="BY93" s="27">
        <f>opex_orig!BP93</f>
        <v>1.3022073236869901E-4</v>
      </c>
      <c r="BZ93" s="27">
        <f>opex_orig!BQ93</f>
        <v>1.06849828260614E-4</v>
      </c>
      <c r="CA93" s="27">
        <f>opex_orig!BR93</f>
        <v>7.5817431794916496E-5</v>
      </c>
      <c r="CB93" s="27">
        <f>opex_orig!BS93</f>
        <v>4.8941347213886995E-4</v>
      </c>
      <c r="CC93" s="27">
        <f>opex_orig!BT93</f>
        <v>9.1640739648459596E-5</v>
      </c>
      <c r="CD93" s="27">
        <f>opex_orig!BU93</f>
        <v>1.24132558900916E-4</v>
      </c>
      <c r="CE93" s="27">
        <f>opex_orig!BV93</f>
        <v>1.24132558900916E-4</v>
      </c>
      <c r="CF93" s="27">
        <f>opex_orig!BW93</f>
        <v>2.1887386302202401E-4</v>
      </c>
      <c r="CG93" s="27">
        <f>opex_orig!BX93</f>
        <v>4.4364884252703903E-6</v>
      </c>
      <c r="CH93" s="27">
        <f>opex_orig!BY93</f>
        <v>2.0596282527033301E-6</v>
      </c>
      <c r="CI93" s="27">
        <f>opex_orig!Y93</f>
        <v>1.8894699999999999E-4</v>
      </c>
      <c r="CJ93" s="27">
        <f>opex_orig!Z93</f>
        <v>1.135643E-3</v>
      </c>
      <c r="CK93" s="27">
        <f>opex_orig!AA93</f>
        <v>5.2434599999999997E-4</v>
      </c>
      <c r="CL93" s="27">
        <f>opex_orig!AB93</f>
        <v>2.7002094192828799E-5</v>
      </c>
      <c r="CM93" s="27">
        <f>opex_orig!AC93</f>
        <v>7.3438046268200206E-5</v>
      </c>
      <c r="CN93" s="27">
        <f>opex_orig!AD93</f>
        <v>4.9975098923418402E-5</v>
      </c>
      <c r="CO93" s="27">
        <f>opex_orig!AE93</f>
        <v>4.88E-5</v>
      </c>
      <c r="CP93" s="27">
        <f>opex_orig!AF93</f>
        <v>4.2540999999999998E-4</v>
      </c>
    </row>
    <row r="94" spans="1:94" x14ac:dyDescent="0.25">
      <c r="A94" s="5" t="s">
        <v>207</v>
      </c>
      <c r="B94" s="2" t="s">
        <v>206</v>
      </c>
      <c r="C94" s="1" t="s">
        <v>329</v>
      </c>
      <c r="D94" s="188">
        <f>opex_orig!D94</f>
        <v>4.95923E-4</v>
      </c>
      <c r="E94" s="188">
        <f>opex_orig!E94</f>
        <v>7.9889499999999999E-4</v>
      </c>
      <c r="F94" s="188">
        <f>opex_orig!F94</f>
        <v>6.19029E-4</v>
      </c>
      <c r="G94" s="188">
        <f>opex_orig!G94</f>
        <v>3.6600000000000002E-5</v>
      </c>
      <c r="H94" s="188">
        <f>opex_orig!H94</f>
        <v>9.5199999999999997E-5</v>
      </c>
      <c r="I94" s="188">
        <f>opex_orig!I94</f>
        <v>1.6236449999999999E-3</v>
      </c>
      <c r="J94" s="188">
        <f>opex_orig!J94</f>
        <v>1.8011200000000001E-4</v>
      </c>
      <c r="K94" s="188">
        <f>opex_orig!K94</f>
        <v>1.03229E-4</v>
      </c>
      <c r="L94" s="188">
        <f>opex_orig!L94</f>
        <v>3.1980699999999999E-3</v>
      </c>
      <c r="M94" s="188">
        <f>opex_orig!M94</f>
        <v>1.0735144E-2</v>
      </c>
      <c r="N94" s="188">
        <f>opex_orig!N94</f>
        <v>4.3213440000000004E-3</v>
      </c>
      <c r="O94" s="188">
        <f>opex_orig!O94</f>
        <v>1.4912899999999999E-4</v>
      </c>
      <c r="P94" s="188">
        <f>opex_orig!P94</f>
        <v>5.083522E-3</v>
      </c>
      <c r="Q94" s="188">
        <f>opex_orig!Q94</f>
        <v>2.4399123000000002E-2</v>
      </c>
      <c r="R94" s="188">
        <f>opex_orig!R94</f>
        <v>9.6237189999999993E-3</v>
      </c>
      <c r="S94" s="188">
        <f>opex_orig!S94</f>
        <v>6.1297959999999999E-3</v>
      </c>
      <c r="T94" s="188">
        <f>opex_orig!T94</f>
        <v>5.779668E-3</v>
      </c>
      <c r="U94" s="188">
        <f>opex_orig!U94</f>
        <v>7.5377899999999999E-3</v>
      </c>
      <c r="V94" s="188">
        <f>opex_orig!V94</f>
        <v>7.3897060000000002E-3</v>
      </c>
      <c r="W94" s="188">
        <f>opex_orig!W94</f>
        <v>1.1480185E-2</v>
      </c>
      <c r="X94" s="188">
        <f>opex_orig!X94</f>
        <v>4.3962599999999998E-4</v>
      </c>
      <c r="Y94" s="188">
        <f>opex_orig!Y94</f>
        <v>9.0199999999999997E-5</v>
      </c>
      <c r="Z94" s="188">
        <f>opex_orig!Z94</f>
        <v>2.98559E-4</v>
      </c>
      <c r="AA94" s="188">
        <f>opex_orig!AA94</f>
        <v>5.2665199999999996E-4</v>
      </c>
      <c r="AB94" s="188">
        <f>opex_orig!$AB94</f>
        <v>1.23264937575068E-4</v>
      </c>
      <c r="AC94" s="188">
        <f>opex_orig!$AB94</f>
        <v>1.23264937575068E-4</v>
      </c>
      <c r="AD94" s="188">
        <f>opex_orig!$AB94</f>
        <v>1.23264937575068E-4</v>
      </c>
      <c r="AE94" s="188">
        <f>opex_orig!$AC94</f>
        <v>5.8664611997044603E-4</v>
      </c>
      <c r="AF94" s="188">
        <f>opex_orig!$AD94</f>
        <v>4.2323247920165102E-4</v>
      </c>
      <c r="AG94" s="188">
        <f>opex_orig!$AD94</f>
        <v>4.2323247920165102E-4</v>
      </c>
      <c r="AH94" s="188">
        <f>opex_orig!$AD94</f>
        <v>4.2323247920165102E-4</v>
      </c>
      <c r="AI94" s="188">
        <f>opex_orig!AE94</f>
        <v>3.5366299999999999E-4</v>
      </c>
      <c r="AJ94" s="188">
        <f>opex_orig!AF94</f>
        <v>4.8116369999999997E-3</v>
      </c>
      <c r="AK94" s="188">
        <f>opex_orig!AG94</f>
        <v>5.1385700000000003E-3</v>
      </c>
      <c r="AL94" s="188">
        <f>opex_orig!AH94</f>
        <v>9.0603199999999997E-4</v>
      </c>
      <c r="AM94" s="188">
        <f>opex_orig!AI94</f>
        <v>1.4065200000000001E-3</v>
      </c>
      <c r="AN94" s="188">
        <f>opex_orig!AJ94</f>
        <v>1.0631729999999999E-3</v>
      </c>
      <c r="AO94" s="188">
        <f>opex_orig!AK94</f>
        <v>6.0861900000000002E-4</v>
      </c>
      <c r="AP94" s="188">
        <f>opex_orig!$AL94</f>
        <v>6.6370374998748604E-4</v>
      </c>
      <c r="AQ94" s="188">
        <f>opex_orig!$AL94</f>
        <v>6.6370374998748604E-4</v>
      </c>
      <c r="AR94" s="188">
        <f>opex_orig!$AL94</f>
        <v>6.6370374998748604E-4</v>
      </c>
      <c r="AS94" s="188">
        <f>opex_orig!$AM94</f>
        <v>5.7061805323427002E-4</v>
      </c>
      <c r="AT94" s="188">
        <f>opex_orig!AN94</f>
        <v>2.5844330000000001E-3</v>
      </c>
      <c r="AU94" s="188">
        <f>opex_orig!$AO94</f>
        <v>3.11043436662274E-3</v>
      </c>
      <c r="AV94" s="188">
        <f>opex_orig!$AO94</f>
        <v>3.11043436662274E-3</v>
      </c>
      <c r="AW94" s="188">
        <f>opex_orig!$AO94</f>
        <v>3.11043436662274E-3</v>
      </c>
      <c r="AX94" s="188">
        <f>opex_orig!$AP94</f>
        <v>3.3856155683121502E-3</v>
      </c>
      <c r="AY94" s="188">
        <f>opex_orig!AQ94</f>
        <v>3.7252980000000002E-3</v>
      </c>
      <c r="AZ94" s="188">
        <f>opex_orig!AR94</f>
        <v>0</v>
      </c>
      <c r="BA94" s="188">
        <f>opex_orig!AS94</f>
        <v>2.2423510000000001E-3</v>
      </c>
      <c r="BB94" s="188">
        <f>opex_orig!AT94</f>
        <v>2.2694820000000002E-3</v>
      </c>
      <c r="BC94" s="188">
        <f>opex_orig!AU94</f>
        <v>2.6129300000000001E-4</v>
      </c>
      <c r="BD94" s="188">
        <f>opex_orig!AV94</f>
        <v>1.9319500000000001E-4</v>
      </c>
      <c r="BE94" s="188">
        <f>opex_orig!AW94</f>
        <v>1.7338239999999999E-3</v>
      </c>
      <c r="BF94" s="188">
        <f>opex_orig!AX94</f>
        <v>0</v>
      </c>
      <c r="BG94" s="188">
        <f>opex_orig!AY94</f>
        <v>1.5048069999999999E-3</v>
      </c>
      <c r="BH94" s="188">
        <f>opex_orig!AZ94</f>
        <v>0</v>
      </c>
      <c r="BI94" s="188">
        <f>opex_orig!BA94</f>
        <v>6.5629310000000001E-3</v>
      </c>
      <c r="BJ94" s="188">
        <f>opex_orig!BB94</f>
        <v>3.3829369999999999E-3</v>
      </c>
      <c r="BK94" s="188">
        <f>opex_orig!BC94</f>
        <v>2.0164879999999999E-3</v>
      </c>
      <c r="BL94" s="188">
        <f>opex_orig!BD94</f>
        <v>7.3815899999999995E-4</v>
      </c>
      <c r="BM94" s="188">
        <f>opex_orig!BE94</f>
        <v>2.4918760000000001E-3</v>
      </c>
      <c r="BN94" s="188">
        <f>opex_orig!BF94</f>
        <v>1.0071399999999999E-3</v>
      </c>
      <c r="BO94" s="188">
        <f>opex_orig!BG94</f>
        <v>1.8146359999999999E-3</v>
      </c>
      <c r="BP94" s="188">
        <f>opex_orig!$BH94</f>
        <v>1.27436700766495E-3</v>
      </c>
      <c r="BQ94" s="188">
        <f>opex_orig!$BH94</f>
        <v>1.27436700766495E-3</v>
      </c>
      <c r="BR94" s="188">
        <f>opex_orig!BI94</f>
        <v>1.6188960000000001E-3</v>
      </c>
      <c r="BS94" s="188">
        <f>opex_orig!BJ94</f>
        <v>7.3146218999999998E-2</v>
      </c>
      <c r="BT94" s="188">
        <f>opex_orig!BK94</f>
        <v>1.133399E-3</v>
      </c>
      <c r="BU94" s="188">
        <f>opex_orig!BL94</f>
        <v>0</v>
      </c>
      <c r="BV94" s="27">
        <f>opex_orig!BM94</f>
        <v>3.3714839416411899E-4</v>
      </c>
      <c r="BW94" s="27">
        <f>opex_orig!BN94</f>
        <v>4.48386335750305E-4</v>
      </c>
      <c r="BX94" s="27">
        <f>opex_orig!BO94</f>
        <v>1.5707957642028801E-4</v>
      </c>
      <c r="BY94" s="27">
        <f>opex_orig!BP94</f>
        <v>1.10597392919944E-4</v>
      </c>
      <c r="BZ94" s="27">
        <f>opex_orig!BQ94</f>
        <v>8.8305544445632203E-5</v>
      </c>
      <c r="CA94" s="27">
        <f>opex_orig!BR94</f>
        <v>6.4641441257008397E-5</v>
      </c>
      <c r="CB94" s="27">
        <f>opex_orig!BS94</f>
        <v>3.2435886235003899E-4</v>
      </c>
      <c r="CC94" s="27">
        <f>opex_orig!BT94</f>
        <v>2.2979877715031301E-4</v>
      </c>
      <c r="CD94" s="27">
        <f>opex_orig!BU94</f>
        <v>8.2335771885369305E-5</v>
      </c>
      <c r="CE94" s="27">
        <f>opex_orig!BV94</f>
        <v>8.2335771885369604E-5</v>
      </c>
      <c r="CF94" s="27">
        <f>opex_orig!BW94</f>
        <v>7.7590769598448797E-4</v>
      </c>
      <c r="CG94" s="27">
        <f>opex_orig!BX94</f>
        <v>4.5693350800034599E-6</v>
      </c>
      <c r="CH94" s="27">
        <f>opex_orig!BY94</f>
        <v>9.8986665829497905E-5</v>
      </c>
      <c r="CI94" s="27">
        <f>opex_orig!Y94</f>
        <v>9.0199999999999997E-5</v>
      </c>
      <c r="CJ94" s="27">
        <f>opex_orig!Z94</f>
        <v>2.98559E-4</v>
      </c>
      <c r="CK94" s="27">
        <f>opex_orig!AA94</f>
        <v>5.2665199999999996E-4</v>
      </c>
      <c r="CL94" s="27">
        <f>opex_orig!AB94</f>
        <v>1.23264937575068E-4</v>
      </c>
      <c r="CM94" s="27">
        <f>opex_orig!AC94</f>
        <v>5.8664611997044603E-4</v>
      </c>
      <c r="CN94" s="27">
        <f>opex_orig!AD94</f>
        <v>4.2323247920165102E-4</v>
      </c>
      <c r="CO94" s="27">
        <f>opex_orig!AE94</f>
        <v>3.5366299999999999E-4</v>
      </c>
      <c r="CP94" s="27">
        <f>opex_orig!AF94</f>
        <v>4.8116369999999997E-3</v>
      </c>
    </row>
    <row r="95" spans="1:94" x14ac:dyDescent="0.25">
      <c r="A95" s="6" t="s">
        <v>209</v>
      </c>
      <c r="B95" s="2" t="s">
        <v>208</v>
      </c>
      <c r="C95" s="1" t="s">
        <v>330</v>
      </c>
      <c r="D95" s="188">
        <f>opex_orig!D95</f>
        <v>5.7599999999999997E-5</v>
      </c>
      <c r="E95" s="188">
        <f>opex_orig!E95</f>
        <v>5.5399999999999998E-5</v>
      </c>
      <c r="F95" s="188">
        <f>opex_orig!F95</f>
        <v>7.2999999999999999E-5</v>
      </c>
      <c r="G95" s="188">
        <f>opex_orig!G95</f>
        <v>2.72E-5</v>
      </c>
      <c r="H95" s="188">
        <f>opex_orig!H95</f>
        <v>2.0400000000000001E-5</v>
      </c>
      <c r="I95" s="188">
        <f>opex_orig!I95</f>
        <v>7.0300000000000001E-5</v>
      </c>
      <c r="J95" s="188">
        <f>opex_orig!J95</f>
        <v>2.4562500000000002E-4</v>
      </c>
      <c r="K95" s="188">
        <f>opex_orig!K95</f>
        <v>4.49E-5</v>
      </c>
      <c r="L95" s="188">
        <f>opex_orig!L95</f>
        <v>1.72072E-4</v>
      </c>
      <c r="M95" s="188">
        <f>opex_orig!M95</f>
        <v>2.1534700000000001E-4</v>
      </c>
      <c r="N95" s="188">
        <f>opex_orig!N95</f>
        <v>2.5254999999999999E-4</v>
      </c>
      <c r="O95" s="188">
        <f>opex_orig!O95</f>
        <v>1.16005E-4</v>
      </c>
      <c r="P95" s="188">
        <f>opex_orig!P95</f>
        <v>1.18867E-4</v>
      </c>
      <c r="Q95" s="188">
        <f>opex_orig!Q95</f>
        <v>1.07963E-4</v>
      </c>
      <c r="R95" s="188">
        <f>opex_orig!R95</f>
        <v>1.2162700000000001E-4</v>
      </c>
      <c r="S95" s="188">
        <f>opex_orig!S95</f>
        <v>4.6E-5</v>
      </c>
      <c r="T95" s="188">
        <f>opex_orig!T95</f>
        <v>9.0799999999999998E-5</v>
      </c>
      <c r="U95" s="188">
        <f>opex_orig!U95</f>
        <v>7.1299999999999998E-5</v>
      </c>
      <c r="V95" s="188">
        <f>opex_orig!V95</f>
        <v>8.9300000000000002E-5</v>
      </c>
      <c r="W95" s="188">
        <f>opex_orig!W95</f>
        <v>4.4400000000000002E-5</v>
      </c>
      <c r="X95" s="188">
        <f>opex_orig!X95</f>
        <v>5.3600000000000002E-5</v>
      </c>
      <c r="Y95" s="188">
        <f>opex_orig!Y95</f>
        <v>6.1199999999999997E-5</v>
      </c>
      <c r="Z95" s="188">
        <f>opex_orig!Z95</f>
        <v>7.7600000000000002E-5</v>
      </c>
      <c r="AA95" s="188">
        <f>opex_orig!AA95</f>
        <v>1.4605099999999999E-4</v>
      </c>
      <c r="AB95" s="188">
        <f>opex_orig!$AB95</f>
        <v>1.2976488083071499E-4</v>
      </c>
      <c r="AC95" s="188">
        <f>opex_orig!$AB95</f>
        <v>1.2976488083071499E-4</v>
      </c>
      <c r="AD95" s="188">
        <f>opex_orig!$AB95</f>
        <v>1.2976488083071499E-4</v>
      </c>
      <c r="AE95" s="188">
        <f>opex_orig!$AC95</f>
        <v>3.6315192537078302E-4</v>
      </c>
      <c r="AF95" s="188">
        <f>opex_orig!$AD95</f>
        <v>1.12732231398091E-4</v>
      </c>
      <c r="AG95" s="188">
        <f>opex_orig!$AD95</f>
        <v>1.12732231398091E-4</v>
      </c>
      <c r="AH95" s="188">
        <f>opex_orig!$AD95</f>
        <v>1.12732231398091E-4</v>
      </c>
      <c r="AI95" s="188">
        <f>opex_orig!AE95</f>
        <v>8.1600000000000005E-5</v>
      </c>
      <c r="AJ95" s="188">
        <f>opex_orig!AF95</f>
        <v>4.5013200000000001E-4</v>
      </c>
      <c r="AK95" s="188">
        <f>opex_orig!AG95</f>
        <v>1.91812E-4</v>
      </c>
      <c r="AL95" s="188">
        <f>opex_orig!AH95</f>
        <v>9.6500000000000001E-5</v>
      </c>
      <c r="AM95" s="188">
        <f>opex_orig!AI95</f>
        <v>1.4170400000000001E-4</v>
      </c>
      <c r="AN95" s="188">
        <f>opex_orig!AJ95</f>
        <v>7.2299999999999996E-5</v>
      </c>
      <c r="AO95" s="188">
        <f>opex_orig!AK95</f>
        <v>1.42607E-4</v>
      </c>
      <c r="AP95" s="188">
        <f>opex_orig!$AL95</f>
        <v>9.2644119956756404E-5</v>
      </c>
      <c r="AQ95" s="188">
        <f>opex_orig!$AL95</f>
        <v>9.2644119956756404E-5</v>
      </c>
      <c r="AR95" s="188">
        <f>opex_orig!$AL95</f>
        <v>9.2644119956756404E-5</v>
      </c>
      <c r="AS95" s="188">
        <f>opex_orig!$AM95</f>
        <v>1.05646760220718E-4</v>
      </c>
      <c r="AT95" s="188">
        <f>opex_orig!AN95</f>
        <v>1.10845E-4</v>
      </c>
      <c r="AU95" s="310">
        <f>opex_concordance!M594</f>
        <v>0.12297476016742501</v>
      </c>
      <c r="AV95" s="310">
        <f>opex_concordance!M640</f>
        <v>0</v>
      </c>
      <c r="AW95" s="310">
        <f>opex_concordance!M686</f>
        <v>0.10193530062531227</v>
      </c>
      <c r="AX95" s="188">
        <f>opex_orig!$AP95</f>
        <v>0.136364807713034</v>
      </c>
      <c r="AY95" s="188">
        <f>opex_orig!AQ95</f>
        <v>0.12237052900000001</v>
      </c>
      <c r="AZ95" s="188">
        <f>opex_orig!AR95</f>
        <v>0</v>
      </c>
      <c r="BA95" s="188">
        <f>opex_orig!AS95</f>
        <v>0.11727006700000001</v>
      </c>
      <c r="BB95" s="188">
        <f>opex_orig!AT95</f>
        <v>0.14173768</v>
      </c>
      <c r="BC95" s="188">
        <f>opex_orig!AU95</f>
        <v>3.8638969999999998E-3</v>
      </c>
      <c r="BD95" s="188">
        <f>opex_orig!AV95</f>
        <v>6.2118500000000001E-4</v>
      </c>
      <c r="BE95" s="188">
        <f>opex_orig!AW95</f>
        <v>9.8234679000000005E-2</v>
      </c>
      <c r="BF95" s="188">
        <f>opex_orig!AX95</f>
        <v>0</v>
      </c>
      <c r="BG95" s="188">
        <f>opex_orig!AY95</f>
        <v>0.106040537</v>
      </c>
      <c r="BH95" s="188">
        <f>opex_orig!AZ95</f>
        <v>0</v>
      </c>
      <c r="BI95" s="188">
        <f>opex_orig!BA95</f>
        <v>5.1296332E-2</v>
      </c>
      <c r="BJ95" s="188">
        <f>opex_orig!BB95</f>
        <v>2.5658400000000002E-4</v>
      </c>
      <c r="BK95" s="188">
        <f>opex_orig!BC95</f>
        <v>5.74539E-4</v>
      </c>
      <c r="BL95" s="188">
        <f>opex_orig!BD95</f>
        <v>4.57E-5</v>
      </c>
      <c r="BM95" s="188">
        <f>opex_orig!BE95</f>
        <v>3.5849599999999998E-4</v>
      </c>
      <c r="BN95" s="188">
        <f>opex_orig!BF95</f>
        <v>1.4747600000000001E-4</v>
      </c>
      <c r="BO95" s="188">
        <f>opex_orig!BG95</f>
        <v>1.80082E-4</v>
      </c>
      <c r="BP95" s="188">
        <f>opex_orig!$BH95</f>
        <v>1.58470330732762E-4</v>
      </c>
      <c r="BQ95" s="188">
        <f>opex_orig!$BH95</f>
        <v>1.58470330732762E-4</v>
      </c>
      <c r="BR95" s="188">
        <f>opex_orig!BI95</f>
        <v>2.7923100000000001E-4</v>
      </c>
      <c r="BS95" s="188">
        <f>opex_orig!BJ95</f>
        <v>2.1723900000000001E-4</v>
      </c>
      <c r="BT95" s="188">
        <f>opex_orig!BK95</f>
        <v>0.24740000000000001</v>
      </c>
      <c r="BU95" s="188">
        <f>opex_orig!BL95</f>
        <v>0</v>
      </c>
      <c r="BV95" s="27">
        <f>opex_orig!BM95</f>
        <v>3.2527713362672402E-5</v>
      </c>
      <c r="BW95" s="27">
        <f>opex_orig!BN95</f>
        <v>1.1960310775241401E-4</v>
      </c>
      <c r="BX95" s="27">
        <f>opex_orig!BO95</f>
        <v>1.6657657361941699E-5</v>
      </c>
      <c r="BY95" s="27">
        <f>opex_orig!BP95</f>
        <v>7.6344187058682603E-5</v>
      </c>
      <c r="BZ95" s="27">
        <f>opex_orig!BQ95</f>
        <v>5.0120977387598997E-5</v>
      </c>
      <c r="CA95" s="27">
        <f>opex_orig!BR95</f>
        <v>1.40430433945579E-4</v>
      </c>
      <c r="CB95" s="27">
        <f>opex_orig!BS95</f>
        <v>1.65614104721719E-4</v>
      </c>
      <c r="CC95" s="27">
        <f>opex_orig!BT95</f>
        <v>1.9447323019069899E-4</v>
      </c>
      <c r="CD95" s="27">
        <f>opex_orig!BU95</f>
        <v>1.7321434691212701E-5</v>
      </c>
      <c r="CE95" s="27">
        <f>opex_orig!BV95</f>
        <v>1.7321434691212701E-5</v>
      </c>
      <c r="CF95" s="27">
        <f>opex_orig!BW95</f>
        <v>2.8398620266961299E-5</v>
      </c>
      <c r="CG95" s="27">
        <f>opex_orig!BX95</f>
        <v>4.5170987136897202E-7</v>
      </c>
      <c r="CH95" s="27">
        <f>opex_orig!BY95</f>
        <v>2.5835854846045901E-6</v>
      </c>
      <c r="CI95" s="27">
        <f>opex_orig!Y95</f>
        <v>6.1199999999999997E-5</v>
      </c>
      <c r="CJ95" s="27">
        <f>opex_orig!Z95</f>
        <v>7.7600000000000002E-5</v>
      </c>
      <c r="CK95" s="27">
        <f>opex_orig!AA95</f>
        <v>1.4605099999999999E-4</v>
      </c>
      <c r="CL95" s="27">
        <f>opex_orig!AB95</f>
        <v>1.2976488083071499E-4</v>
      </c>
      <c r="CM95" s="27">
        <f>opex_orig!AC95</f>
        <v>3.6315192537078302E-4</v>
      </c>
      <c r="CN95" s="27">
        <f>opex_orig!AD95</f>
        <v>1.12732231398091E-4</v>
      </c>
      <c r="CO95" s="27">
        <f>opex_orig!AE95</f>
        <v>8.1600000000000005E-5</v>
      </c>
      <c r="CP95" s="27">
        <f>opex_orig!AF95</f>
        <v>4.5013200000000001E-4</v>
      </c>
    </row>
    <row r="96" spans="1:94" x14ac:dyDescent="0.25">
      <c r="A96" s="6" t="s">
        <v>211</v>
      </c>
      <c r="B96" s="2" t="s">
        <v>210</v>
      </c>
      <c r="C96" s="1" t="s">
        <v>330</v>
      </c>
      <c r="D96" s="188">
        <f>opex_orig!D96</f>
        <v>4.21E-5</v>
      </c>
      <c r="E96" s="188">
        <f>opex_orig!E96</f>
        <v>1.47E-5</v>
      </c>
      <c r="F96" s="188">
        <f>opex_orig!F96</f>
        <v>2.2200000000000001E-5</v>
      </c>
      <c r="G96" s="188">
        <f>opex_orig!G96</f>
        <v>1.9899999999999999E-5</v>
      </c>
      <c r="H96" s="188">
        <f>opex_orig!H96</f>
        <v>3.3399999999999999E-5</v>
      </c>
      <c r="I96" s="188">
        <f>opex_orig!I96</f>
        <v>2.3499999999999999E-5</v>
      </c>
      <c r="J96" s="188">
        <f>opex_orig!J96</f>
        <v>7.6299999999999998E-5</v>
      </c>
      <c r="K96" s="188">
        <f>opex_orig!K96</f>
        <v>3.3000000000000003E-5</v>
      </c>
      <c r="L96" s="188">
        <f>opex_orig!L96</f>
        <v>3.4100000000000002E-5</v>
      </c>
      <c r="M96" s="188">
        <f>opex_orig!M96</f>
        <v>4.4400000000000002E-5</v>
      </c>
      <c r="N96" s="188">
        <f>opex_orig!N96</f>
        <v>1.28577E-4</v>
      </c>
      <c r="O96" s="188">
        <f>opex_orig!O96</f>
        <v>4.88E-5</v>
      </c>
      <c r="P96" s="188">
        <f>opex_orig!P96</f>
        <v>1.9005899999999999E-4</v>
      </c>
      <c r="Q96" s="188">
        <f>opex_orig!Q96</f>
        <v>9.3499999999999996E-5</v>
      </c>
      <c r="R96" s="188">
        <f>opex_orig!R96</f>
        <v>7.7000000000000001E-5</v>
      </c>
      <c r="S96" s="188">
        <f>opex_orig!S96</f>
        <v>1.48942E-4</v>
      </c>
      <c r="T96" s="188">
        <f>opex_orig!T96</f>
        <v>1.62631E-4</v>
      </c>
      <c r="U96" s="188">
        <f>opex_orig!U96</f>
        <v>8.0599999999999994E-5</v>
      </c>
      <c r="V96" s="188">
        <f>opex_orig!V96</f>
        <v>4.4100000000000001E-5</v>
      </c>
      <c r="W96" s="188">
        <f>opex_orig!W96</f>
        <v>1.03158E-4</v>
      </c>
      <c r="X96" s="188">
        <f>opex_orig!X96</f>
        <v>2.87E-5</v>
      </c>
      <c r="Y96" s="188">
        <f>opex_orig!Y96</f>
        <v>2.9E-5</v>
      </c>
      <c r="Z96" s="188">
        <f>opex_orig!Z96</f>
        <v>9.8599999999999998E-5</v>
      </c>
      <c r="AA96" s="188">
        <f>opex_orig!AA96</f>
        <v>1.2539300000000001E-4</v>
      </c>
      <c r="AB96" s="188">
        <f>opex_orig!$AB96</f>
        <v>1.0765062339575799E-3</v>
      </c>
      <c r="AC96" s="188">
        <f>opex_orig!$AB96</f>
        <v>1.0765062339575799E-3</v>
      </c>
      <c r="AD96" s="188">
        <f>opex_orig!$AB96</f>
        <v>1.0765062339575799E-3</v>
      </c>
      <c r="AE96" s="188">
        <f>opex_orig!$AC96</f>
        <v>4.94856892725176E-5</v>
      </c>
      <c r="AF96" s="188">
        <f>opex_orig!$AD96</f>
        <v>1.12809939112791E-5</v>
      </c>
      <c r="AG96" s="188">
        <f>opex_orig!$AD96</f>
        <v>1.12809939112791E-5</v>
      </c>
      <c r="AH96" s="188">
        <f>opex_orig!$AD96</f>
        <v>1.12809939112791E-5</v>
      </c>
      <c r="AI96" s="188">
        <f>opex_orig!AE96</f>
        <v>1.5800000000000001E-5</v>
      </c>
      <c r="AJ96" s="188">
        <f>opex_orig!AF96</f>
        <v>9.6100000000000005E-5</v>
      </c>
      <c r="AK96" s="188">
        <f>opex_orig!AG96</f>
        <v>8.5905300000000003E-4</v>
      </c>
      <c r="AL96" s="188">
        <f>opex_orig!AH96</f>
        <v>6.0099999999999997E-5</v>
      </c>
      <c r="AM96" s="188">
        <f>opex_orig!AI96</f>
        <v>5.8E-5</v>
      </c>
      <c r="AN96" s="188">
        <f>opex_orig!AJ96</f>
        <v>7.1299999999999998E-5</v>
      </c>
      <c r="AO96" s="188">
        <f>opex_orig!AK96</f>
        <v>9.4599999999999996E-5</v>
      </c>
      <c r="AP96" s="188">
        <f>opex_orig!$AL96</f>
        <v>6.2103714690626001E-5</v>
      </c>
      <c r="AQ96" s="188">
        <f>opex_orig!$AL96</f>
        <v>6.2103714690626001E-5</v>
      </c>
      <c r="AR96" s="188">
        <f>opex_orig!$AL96</f>
        <v>6.2103714690626001E-5</v>
      </c>
      <c r="AS96" s="188">
        <f>opex_orig!$AM96</f>
        <v>5.20202641766741E-5</v>
      </c>
      <c r="AT96" s="188">
        <f>opex_orig!AN96</f>
        <v>8.8599999999999999E-5</v>
      </c>
      <c r="AU96" s="188">
        <f>opex_orig!$AO96</f>
        <v>6.7495591055406203E-4</v>
      </c>
      <c r="AV96" s="188">
        <f>opex_orig!$AO96</f>
        <v>6.7495591055406203E-4</v>
      </c>
      <c r="AW96" s="188">
        <f>opex_orig!$AO96</f>
        <v>6.7495591055406203E-4</v>
      </c>
      <c r="AX96" s="188">
        <f>opex_orig!$AP96</f>
        <v>7.6090137713652895E-4</v>
      </c>
      <c r="AY96" s="188">
        <f>opex_orig!AQ96</f>
        <v>2.232992E-3</v>
      </c>
      <c r="AZ96" s="188">
        <f>opex_orig!AR96</f>
        <v>0</v>
      </c>
      <c r="BA96" s="188">
        <f>opex_orig!AS96</f>
        <v>4.5549000000000002E-4</v>
      </c>
      <c r="BB96" s="188">
        <f>opex_orig!AT96</f>
        <v>4.6203200000000002E-4</v>
      </c>
      <c r="BC96" s="188">
        <f>opex_orig!AU96</f>
        <v>4.2567700000000001E-4</v>
      </c>
      <c r="BD96" s="188">
        <f>opex_orig!AV96</f>
        <v>4.3495200000000001E-4</v>
      </c>
      <c r="BE96" s="188">
        <f>opex_orig!AW96</f>
        <v>7.4190250000000001E-3</v>
      </c>
      <c r="BF96" s="188">
        <f>opex_orig!AX96</f>
        <v>0</v>
      </c>
      <c r="BG96" s="188">
        <f>opex_orig!AY96</f>
        <v>5.1216E-4</v>
      </c>
      <c r="BH96" s="188">
        <f>opex_orig!AZ96</f>
        <v>0</v>
      </c>
      <c r="BI96" s="188">
        <f>opex_orig!BA96</f>
        <v>1.0888829999999999E-3</v>
      </c>
      <c r="BJ96" s="188">
        <f>opex_orig!BB96</f>
        <v>7.6319799999999998E-4</v>
      </c>
      <c r="BK96" s="188">
        <f>opex_orig!BC96</f>
        <v>5.7866999999999999E-4</v>
      </c>
      <c r="BL96" s="188">
        <f>opex_orig!BD96</f>
        <v>3.4400000000000003E-5</v>
      </c>
      <c r="BM96" s="188">
        <f>opex_orig!BE96</f>
        <v>4.6558100000000001E-4</v>
      </c>
      <c r="BN96" s="188">
        <f>opex_orig!BF96</f>
        <v>2.0400000000000001E-5</v>
      </c>
      <c r="BO96" s="188">
        <f>opex_orig!BG96</f>
        <v>2.6883199999999999E-4</v>
      </c>
      <c r="BP96" s="188">
        <f>opex_orig!$BH96</f>
        <v>1.12892214175054E-4</v>
      </c>
      <c r="BQ96" s="188">
        <f>opex_orig!$BH96</f>
        <v>1.12892214175054E-4</v>
      </c>
      <c r="BR96" s="188">
        <f>opex_orig!BI96</f>
        <v>2.0505799999999999E-4</v>
      </c>
      <c r="BS96" s="188">
        <f>opex_orig!BJ96</f>
        <v>2.7518200000000001E-4</v>
      </c>
      <c r="BT96" s="188">
        <f>opex_orig!BK96</f>
        <v>1.1263180000000001E-3</v>
      </c>
      <c r="BU96" s="188">
        <f>opex_orig!BL96</f>
        <v>0</v>
      </c>
      <c r="BV96" s="27">
        <f>opex_orig!BM96</f>
        <v>1.58975362030599E-5</v>
      </c>
      <c r="BW96" s="27">
        <f>opex_orig!BN96</f>
        <v>1.2355511858528801E-4</v>
      </c>
      <c r="BX96" s="27">
        <f>opex_orig!BO96</f>
        <v>5.3944695680493603E-6</v>
      </c>
      <c r="BY96" s="27">
        <f>opex_orig!BP96</f>
        <v>1.03434838803883E-5</v>
      </c>
      <c r="BZ96" s="27">
        <f>opex_orig!BQ96</f>
        <v>9.6352110114722606E-6</v>
      </c>
      <c r="CA96" s="27">
        <f>opex_orig!BR96</f>
        <v>6.21818087418901E-4</v>
      </c>
      <c r="CB96" s="27">
        <f>opex_orig!BS96</f>
        <v>2.8572184755178799E-4</v>
      </c>
      <c r="CC96" s="27">
        <f>opex_orig!BT96</f>
        <v>1.6571756397194999E-3</v>
      </c>
      <c r="CD96" s="27">
        <f>opex_orig!BU96</f>
        <v>5.31056529141152E-6</v>
      </c>
      <c r="CE96" s="27">
        <f>opex_orig!BV96</f>
        <v>5.3105652914115301E-6</v>
      </c>
      <c r="CF96" s="27">
        <f>opex_orig!BW96</f>
        <v>8.6382214202418298E-4</v>
      </c>
      <c r="CG96" s="27">
        <f>opex_orig!BX96</f>
        <v>1.9538283965824601E-5</v>
      </c>
      <c r="CH96" s="27">
        <f>opex_orig!BY96</f>
        <v>1.5246008765371601E-4</v>
      </c>
      <c r="CI96" s="27">
        <f>opex_orig!Y96</f>
        <v>2.9E-5</v>
      </c>
      <c r="CJ96" s="27">
        <f>opex_orig!Z96</f>
        <v>9.8599999999999998E-5</v>
      </c>
      <c r="CK96" s="27">
        <f>opex_orig!AA96</f>
        <v>1.2539300000000001E-4</v>
      </c>
      <c r="CL96" s="27">
        <f>opex_orig!AB96</f>
        <v>1.0765062339575799E-3</v>
      </c>
      <c r="CM96" s="27">
        <f>opex_orig!AC96</f>
        <v>4.94856892725176E-5</v>
      </c>
      <c r="CN96" s="27">
        <f>opex_orig!AD96</f>
        <v>1.12809939112791E-5</v>
      </c>
      <c r="CO96" s="27">
        <f>opex_orig!AE96</f>
        <v>1.5800000000000001E-5</v>
      </c>
      <c r="CP96" s="27">
        <f>opex_orig!AF96</f>
        <v>9.6100000000000005E-5</v>
      </c>
    </row>
    <row r="97" spans="1:94" x14ac:dyDescent="0.25">
      <c r="A97" s="5" t="s">
        <v>2</v>
      </c>
      <c r="B97" s="2" t="s">
        <v>3</v>
      </c>
      <c r="C97" s="1" t="s">
        <v>330</v>
      </c>
      <c r="D97" s="188">
        <f>opex_orig!D97</f>
        <v>9.9430400000000011E-4</v>
      </c>
      <c r="E97" s="188">
        <f>opex_orig!E97</f>
        <v>1.697648E-3</v>
      </c>
      <c r="F97" s="188">
        <f>opex_orig!F97</f>
        <v>9.9679499999999997E-4</v>
      </c>
      <c r="G97" s="188">
        <f>opex_orig!G97</f>
        <v>1.17791E-4</v>
      </c>
      <c r="H97" s="188">
        <f>opex_orig!H97</f>
        <v>2.9655099999999999E-4</v>
      </c>
      <c r="I97" s="188">
        <f>opex_orig!I97</f>
        <v>5.3586049999999998E-3</v>
      </c>
      <c r="J97" s="188">
        <f>opex_orig!J97</f>
        <v>2.1951368999999998E-2</v>
      </c>
      <c r="K97" s="188">
        <f>opex_orig!K97</f>
        <v>3.80594E-4</v>
      </c>
      <c r="L97" s="188">
        <f>opex_orig!L97</f>
        <v>2.0490220000000002E-3</v>
      </c>
      <c r="M97" s="188">
        <f>opex_orig!M97</f>
        <v>7.3513340000000002E-3</v>
      </c>
      <c r="N97" s="188">
        <f>opex_orig!N97</f>
        <v>3.116808E-3</v>
      </c>
      <c r="O97" s="188">
        <f>opex_orig!O97</f>
        <v>2.0783759999999998E-3</v>
      </c>
      <c r="P97" s="188">
        <f>opex_orig!P97</f>
        <v>1.6125877E-2</v>
      </c>
      <c r="Q97" s="188">
        <f>opex_orig!Q97</f>
        <v>1.6864697000000001E-2</v>
      </c>
      <c r="R97" s="188">
        <f>opex_orig!R97</f>
        <v>7.2617299999999999E-4</v>
      </c>
      <c r="S97" s="188">
        <f>opex_orig!S97</f>
        <v>7.9774549999999996E-3</v>
      </c>
      <c r="T97" s="188">
        <f>opex_orig!T97</f>
        <v>8.1236309999999992E-3</v>
      </c>
      <c r="U97" s="188">
        <f>opex_orig!U97</f>
        <v>2.7546643999999999E-2</v>
      </c>
      <c r="V97" s="188">
        <f>opex_orig!V97</f>
        <v>1.3299770000000001E-2</v>
      </c>
      <c r="W97" s="188">
        <f>opex_orig!W97</f>
        <v>6.4762099999999996E-3</v>
      </c>
      <c r="X97" s="188">
        <f>opex_orig!X97</f>
        <v>3.917785E-3</v>
      </c>
      <c r="Y97" s="188">
        <f>opex_orig!Y97</f>
        <v>1.6750148999999999E-2</v>
      </c>
      <c r="Z97" s="188">
        <f>opex_orig!Z97</f>
        <v>3.6012158000000002E-2</v>
      </c>
      <c r="AA97" s="188">
        <f>opex_orig!AA97</f>
        <v>3.5943500000000002E-4</v>
      </c>
      <c r="AB97" s="273">
        <f>opex_concordance!M163</f>
        <v>2.4474877346843799E-4</v>
      </c>
      <c r="AC97" s="273">
        <f>opex_concordance!M208</f>
        <v>7.3951129641367831E-3</v>
      </c>
      <c r="AD97" s="273">
        <f>opex_concordance!M253</f>
        <v>6.5967413845289006E-3</v>
      </c>
      <c r="AE97" s="188">
        <f>opex_orig!$AC97</f>
        <v>2.5889863919273102E-3</v>
      </c>
      <c r="AF97" s="273">
        <f>opex_concordance!M295</f>
        <v>4.5176509017278103E-3</v>
      </c>
      <c r="AG97" s="273">
        <f>opex_concordance!M331</f>
        <v>1.1139980150779451E-3</v>
      </c>
      <c r="AH97" s="273">
        <f>opex_concordance!M367</f>
        <v>1.3471102307565242E-3</v>
      </c>
      <c r="AI97" s="188">
        <f>opex_orig!AE97</f>
        <v>4.5805129999999996E-3</v>
      </c>
      <c r="AJ97" s="188">
        <f>opex_orig!AF97</f>
        <v>1.5491984E-2</v>
      </c>
      <c r="AK97" s="188">
        <f>opex_orig!AG97</f>
        <v>4.0929260000000002E-3</v>
      </c>
      <c r="AL97" s="188">
        <f>opex_orig!AH97</f>
        <v>2.6119060000000002E-3</v>
      </c>
      <c r="AM97" s="188">
        <f>opex_orig!AI97</f>
        <v>6.793688E-3</v>
      </c>
      <c r="AN97" s="188">
        <f>opex_orig!AJ97</f>
        <v>2.1401620000000001E-3</v>
      </c>
      <c r="AO97" s="188">
        <f>opex_orig!AK97</f>
        <v>3.3156510000000002E-3</v>
      </c>
      <c r="AP97" s="273">
        <f>opex_concordance!M405</f>
        <v>8.51974436228768E-3</v>
      </c>
      <c r="AQ97" s="273">
        <f>opex_concordance!M459</f>
        <v>1.1328311983508451E-2</v>
      </c>
      <c r="AR97" s="273">
        <f>opex_concordance!M513</f>
        <v>2.3298174839807766E-2</v>
      </c>
      <c r="AS97" s="188">
        <f>opex_orig!$AM97</f>
        <v>3.7324439747756901E-3</v>
      </c>
      <c r="AT97" s="188">
        <f>opex_orig!AN97</f>
        <v>1.2414853999999999E-2</v>
      </c>
      <c r="AU97" s="273">
        <f>opex_concordance!M572</f>
        <v>2.61380390360051E-3</v>
      </c>
      <c r="AV97" s="273">
        <f>opex_concordance!M618</f>
        <v>3.5677521695546943E-2</v>
      </c>
      <c r="AW97" s="273">
        <f>opex_concordance!M664</f>
        <v>3.0951634340759646E-3</v>
      </c>
      <c r="AX97" s="188">
        <f>opex_orig!$AP97</f>
        <v>1.11759578541454E-2</v>
      </c>
      <c r="AY97" s="188">
        <f>opex_orig!AQ97</f>
        <v>1.507043E-3</v>
      </c>
      <c r="AZ97" s="188">
        <f>opex_orig!AR97</f>
        <v>0</v>
      </c>
      <c r="BA97" s="188">
        <f>opex_orig!AS97</f>
        <v>9.3702620000000007E-3</v>
      </c>
      <c r="BB97" s="188">
        <f>opex_orig!AT97</f>
        <v>7.6860100000000005E-4</v>
      </c>
      <c r="BC97" s="188">
        <f>opex_orig!AU97</f>
        <v>2.6032600000000001E-4</v>
      </c>
      <c r="BD97" s="188">
        <f>opex_orig!AV97</f>
        <v>1.4449299999999999E-4</v>
      </c>
      <c r="BE97" s="188">
        <f>opex_orig!AW97</f>
        <v>1.312798E-3</v>
      </c>
      <c r="BF97" s="188">
        <f>opex_orig!AX97</f>
        <v>0</v>
      </c>
      <c r="BG97" s="188">
        <f>opex_orig!AY97</f>
        <v>2.589329E-3</v>
      </c>
      <c r="BH97" s="188">
        <f>opex_orig!AZ97</f>
        <v>0</v>
      </c>
      <c r="BI97" s="188">
        <f>opex_orig!BA97</f>
        <v>8.14348E-4</v>
      </c>
      <c r="BJ97" s="188">
        <f>opex_orig!BB97</f>
        <v>4.9775569999999996E-3</v>
      </c>
      <c r="BK97" s="188">
        <f>opex_orig!BC97</f>
        <v>8.6544859999999994E-3</v>
      </c>
      <c r="BL97" s="188">
        <f>opex_orig!BD97</f>
        <v>3.3020100000000002E-4</v>
      </c>
      <c r="BM97" s="188">
        <f>opex_orig!BE97</f>
        <v>5.0410489999999997E-3</v>
      </c>
      <c r="BN97" s="188">
        <f>opex_orig!BF97</f>
        <v>1.251327E-3</v>
      </c>
      <c r="BO97" s="188">
        <f>opex_orig!BG97</f>
        <v>1.2624358E-2</v>
      </c>
      <c r="BP97" s="188">
        <f>opex_orig!$BH97</f>
        <v>1.6045727041877E-3</v>
      </c>
      <c r="BQ97" s="188">
        <f>opex_orig!$BH97</f>
        <v>1.6045727041877E-3</v>
      </c>
      <c r="BR97" s="188">
        <f>opex_orig!BI97</f>
        <v>3.055557E-3</v>
      </c>
      <c r="BS97" s="188">
        <f>opex_orig!BJ97</f>
        <v>6.1397159999999999E-3</v>
      </c>
      <c r="BT97" s="188">
        <f>opex_orig!BK97</f>
        <v>1.787961E-3</v>
      </c>
      <c r="BU97" s="188">
        <f>opex_orig!BL97</f>
        <v>0</v>
      </c>
      <c r="BV97" s="27">
        <f>opex_orig!BM97</f>
        <v>1.8991982309404101E-4</v>
      </c>
      <c r="BW97" s="27">
        <f>opex_orig!BN97</f>
        <v>2.7073148132958802E-4</v>
      </c>
      <c r="BX97" s="27">
        <f>opex_orig!BO97</f>
        <v>6.4513514082323298E-5</v>
      </c>
      <c r="BY97" s="27">
        <f>opex_orig!BP97</f>
        <v>1.1142013391870899E-4</v>
      </c>
      <c r="BZ97" s="27">
        <f>opex_orig!BQ97</f>
        <v>1.3144560234639799E-4</v>
      </c>
      <c r="CA97" s="27">
        <f>opex_orig!BR97</f>
        <v>2.16865250690182E-4</v>
      </c>
      <c r="CB97" s="27">
        <f>opex_orig!BS97</f>
        <v>2.7800594975965201E-4</v>
      </c>
      <c r="CC97" s="27">
        <f>opex_orig!BT97</f>
        <v>1.33986353189564E-5</v>
      </c>
      <c r="CD97" s="27">
        <f>opex_orig!BU97</f>
        <v>1.09293291087792E-4</v>
      </c>
      <c r="CE97" s="27">
        <f>opex_orig!BV97</f>
        <v>1.09293291087792E-4</v>
      </c>
      <c r="CF97" s="27">
        <f>opex_orig!BW97</f>
        <v>2.9421101607451899E-5</v>
      </c>
      <c r="CG97" s="27">
        <f>opex_orig!BX97</f>
        <v>4.9118954075536801E-7</v>
      </c>
      <c r="CH97" s="27">
        <f>opex_orig!BY97</f>
        <v>8.7838194362857807E-6</v>
      </c>
      <c r="CI97" s="27">
        <f>opex_orig!Y97</f>
        <v>1.6750148999999999E-2</v>
      </c>
      <c r="CJ97" s="27">
        <f>opex_orig!Z97</f>
        <v>3.6012158000000002E-2</v>
      </c>
      <c r="CK97" s="27">
        <f>opex_orig!AA97</f>
        <v>3.5943500000000002E-4</v>
      </c>
      <c r="CL97" s="27">
        <f>opex_orig!AB97</f>
        <v>2.4474877346843799E-4</v>
      </c>
      <c r="CM97" s="27">
        <f>opex_orig!AC97</f>
        <v>2.5889863919273102E-3</v>
      </c>
      <c r="CN97" s="27">
        <f>opex_orig!AD97</f>
        <v>4.5176509017278103E-3</v>
      </c>
      <c r="CO97" s="27">
        <f>opex_orig!AE97</f>
        <v>4.5805129999999996E-3</v>
      </c>
      <c r="CP97" s="27">
        <f>opex_orig!AF97</f>
        <v>1.5491984E-2</v>
      </c>
    </row>
    <row r="98" spans="1:94" x14ac:dyDescent="0.25">
      <c r="A98" s="5" t="s">
        <v>4</v>
      </c>
      <c r="B98" s="2" t="s">
        <v>5</v>
      </c>
      <c r="C98" s="1" t="s">
        <v>330</v>
      </c>
      <c r="D98" s="188">
        <f>opex_orig!D98</f>
        <v>4.8099999999999997E-5</v>
      </c>
      <c r="E98" s="188">
        <f>opex_orig!E98</f>
        <v>3.0800000000000003E-5</v>
      </c>
      <c r="F98" s="188">
        <f>opex_orig!F98</f>
        <v>3.6100000000000003E-5</v>
      </c>
      <c r="G98" s="188">
        <f>opex_orig!G98</f>
        <v>1.13E-6</v>
      </c>
      <c r="H98" s="188">
        <f>opex_orig!H98</f>
        <v>6.5200000000000003E-6</v>
      </c>
      <c r="I98" s="188">
        <f>opex_orig!I98</f>
        <v>6.5099999999999997E-5</v>
      </c>
      <c r="J98" s="188">
        <f>opex_orig!J98</f>
        <v>2.2781599999999999E-4</v>
      </c>
      <c r="K98" s="188">
        <f>opex_orig!K98</f>
        <v>4.5199999999999999E-6</v>
      </c>
      <c r="L98" s="188">
        <f>opex_orig!L98</f>
        <v>4.1499999999999999E-5</v>
      </c>
      <c r="M98" s="188">
        <f>opex_orig!M98</f>
        <v>1.53213E-4</v>
      </c>
      <c r="N98" s="188">
        <f>opex_orig!N98</f>
        <v>9.2499999999999999E-5</v>
      </c>
      <c r="O98" s="188">
        <f>opex_orig!O98</f>
        <v>8.1699999999999994E-5</v>
      </c>
      <c r="P98" s="188">
        <f>opex_orig!P98</f>
        <v>2.12065E-4</v>
      </c>
      <c r="Q98" s="188">
        <f>opex_orig!Q98</f>
        <v>3.75072E-4</v>
      </c>
      <c r="R98" s="188">
        <f>opex_orig!R98</f>
        <v>2.34E-5</v>
      </c>
      <c r="S98" s="188">
        <f>opex_orig!S98</f>
        <v>9.2800000000000006E-5</v>
      </c>
      <c r="T98" s="188">
        <f>opex_orig!T98</f>
        <v>9.1600000000000004E-5</v>
      </c>
      <c r="U98" s="188">
        <f>opex_orig!U98</f>
        <v>1.0644E-4</v>
      </c>
      <c r="V98" s="188">
        <f>opex_orig!V98</f>
        <v>3.8099999999999998E-5</v>
      </c>
      <c r="W98" s="188">
        <f>opex_orig!W98</f>
        <v>8.8900000000000006E-5</v>
      </c>
      <c r="X98" s="188">
        <f>opex_orig!X98</f>
        <v>3.6399999999999997E-5</v>
      </c>
      <c r="Y98" s="188">
        <f>opex_orig!Y98</f>
        <v>1.204501E-3</v>
      </c>
      <c r="Z98" s="188">
        <f>opex_orig!Z98</f>
        <v>2.7642370000000001E-3</v>
      </c>
      <c r="AA98" s="188">
        <f>opex_orig!AA98</f>
        <v>1.56E-5</v>
      </c>
      <c r="AB98" s="273">
        <f>opex_concordance!M164</f>
        <v>2.2462004639810701E-5</v>
      </c>
      <c r="AC98" s="273">
        <f>opex_concordance!M209</f>
        <v>6.7869211092812926E-4</v>
      </c>
      <c r="AD98" s="273">
        <f>opex_concordance!M254</f>
        <v>6.0542095262441724E-4</v>
      </c>
      <c r="AE98" s="188">
        <f>opex_orig!$AC98</f>
        <v>8.1662075691264595E-5</v>
      </c>
      <c r="AF98" s="273">
        <f>opex_concordance!M296</f>
        <v>7.0137183206178306E-5</v>
      </c>
      <c r="AG98" s="273">
        <f>opex_concordance!M332</f>
        <v>1.7294980195339657E-5</v>
      </c>
      <c r="AH98" s="273">
        <f>opex_concordance!M368</f>
        <v>2.0914081036529829E-5</v>
      </c>
      <c r="AI98" s="188">
        <f>opex_orig!AE98</f>
        <v>3.3399999999999999E-5</v>
      </c>
      <c r="AJ98" s="188">
        <f>opex_orig!AF98</f>
        <v>4.1412799999999999E-4</v>
      </c>
      <c r="AK98" s="188">
        <f>opex_orig!AG98</f>
        <v>6.3499999999999999E-5</v>
      </c>
      <c r="AL98" s="188">
        <f>opex_orig!AH98</f>
        <v>3.15E-5</v>
      </c>
      <c r="AM98" s="188">
        <f>opex_orig!AI98</f>
        <v>4.8199999999999999E-5</v>
      </c>
      <c r="AN98" s="188">
        <f>opex_orig!AJ98</f>
        <v>1.1600000000000001E-5</v>
      </c>
      <c r="AO98" s="188">
        <f>opex_orig!AK98</f>
        <v>2.5700000000000001E-5</v>
      </c>
      <c r="AP98" s="273">
        <f>opex_concordance!M406</f>
        <v>5.0144068549209901E-5</v>
      </c>
      <c r="AQ98" s="273">
        <f>opex_concordance!M460</f>
        <v>6.6674260223384716E-5</v>
      </c>
      <c r="AR98" s="273">
        <f>opex_concordance!M514</f>
        <v>1.3712445192722909E-4</v>
      </c>
      <c r="AS98" s="188">
        <f>opex_orig!$AM98</f>
        <v>2.37528491962638E-5</v>
      </c>
      <c r="AT98" s="188">
        <f>opex_orig!AN98</f>
        <v>1.39787E-4</v>
      </c>
      <c r="AU98" s="273">
        <f>opex_concordance!M573</f>
        <v>4.9562343982420399E-5</v>
      </c>
      <c r="AV98" s="273">
        <f>opex_concordance!M619</f>
        <v>6.7650889964590967E-4</v>
      </c>
      <c r="AW98" s="273">
        <f>opex_concordance!M665</f>
        <v>5.8689771864740668E-5</v>
      </c>
      <c r="AX98" s="188">
        <f>opex_orig!$AP98</f>
        <v>1.80554883626878E-4</v>
      </c>
      <c r="AY98" s="188">
        <f>opex_orig!AQ98</f>
        <v>3.1699999999999998E-5</v>
      </c>
      <c r="AZ98" s="188">
        <f>opex_orig!AR98</f>
        <v>0</v>
      </c>
      <c r="BA98" s="188">
        <f>opex_orig!AS98</f>
        <v>1.22328E-4</v>
      </c>
      <c r="BB98" s="188">
        <f>opex_orig!AT98</f>
        <v>1.7200000000000001E-5</v>
      </c>
      <c r="BC98" s="188">
        <f>opex_orig!AU98</f>
        <v>4.7700000000000001E-6</v>
      </c>
      <c r="BD98" s="188">
        <f>opex_orig!AV98</f>
        <v>2.96E-6</v>
      </c>
      <c r="BE98" s="188">
        <f>opex_orig!AW98</f>
        <v>4.1900000000000002E-5</v>
      </c>
      <c r="BF98" s="188">
        <f>opex_orig!AX98</f>
        <v>0</v>
      </c>
      <c r="BG98" s="188">
        <f>opex_orig!AY98</f>
        <v>5.2899999999999998E-5</v>
      </c>
      <c r="BH98" s="188">
        <f>opex_orig!AZ98</f>
        <v>0</v>
      </c>
      <c r="BI98" s="188">
        <f>opex_orig!BA98</f>
        <v>1.9300000000000002E-5</v>
      </c>
      <c r="BJ98" s="188">
        <f>opex_orig!BB98</f>
        <v>7.7100000000000004E-5</v>
      </c>
      <c r="BK98" s="188">
        <f>opex_orig!BC98</f>
        <v>1.7424000000000001E-4</v>
      </c>
      <c r="BL98" s="188">
        <f>opex_orig!BD98</f>
        <v>7.7399999999999998E-5</v>
      </c>
      <c r="BM98" s="188">
        <f>opex_orig!BE98</f>
        <v>1.3097599999999999E-4</v>
      </c>
      <c r="BN98" s="188">
        <f>opex_orig!BF98</f>
        <v>3.4499999999999998E-5</v>
      </c>
      <c r="BO98" s="188">
        <f>opex_orig!BG98</f>
        <v>1.7616999999999999E-4</v>
      </c>
      <c r="BP98" s="188">
        <f>opex_orig!$BH98</f>
        <v>5.1804932393656702E-5</v>
      </c>
      <c r="BQ98" s="188">
        <f>opex_orig!$BH98</f>
        <v>5.1804932393656702E-5</v>
      </c>
      <c r="BR98" s="188">
        <f>opex_orig!BI98</f>
        <v>7.2799999999999994E-5</v>
      </c>
      <c r="BS98" s="188">
        <f>opex_orig!BJ98</f>
        <v>8.4099999999999998E-5</v>
      </c>
      <c r="BT98" s="188">
        <f>opex_orig!BK98</f>
        <v>2.5299999999999998E-5</v>
      </c>
      <c r="BU98" s="188">
        <f>opex_orig!BL98</f>
        <v>0</v>
      </c>
      <c r="BV98" s="27">
        <f>opex_orig!BM98</f>
        <v>2.3579645993773599E-5</v>
      </c>
      <c r="BW98" s="27">
        <f>opex_orig!BN98</f>
        <v>6.05139389176341E-5</v>
      </c>
      <c r="BX98" s="27">
        <f>opex_orig!BO98</f>
        <v>9.2080171365813103E-6</v>
      </c>
      <c r="BY98" s="27">
        <f>opex_orig!BP98</f>
        <v>1.9212620331360002E-5</v>
      </c>
      <c r="BZ98" s="27">
        <f>opex_orig!BQ98</f>
        <v>1.3964880589648299E-5</v>
      </c>
      <c r="CA98" s="27">
        <f>opex_orig!BR98</f>
        <v>1.13947611275732E-4</v>
      </c>
      <c r="CB98" s="27">
        <f>opex_orig!BS98</f>
        <v>2.97040786233609E-5</v>
      </c>
      <c r="CC98" s="27">
        <f>opex_orig!BT98</f>
        <v>4.0520545377474001E-5</v>
      </c>
      <c r="CD98" s="27">
        <f>opex_orig!BU98</f>
        <v>9.8995838179648392E-6</v>
      </c>
      <c r="CE98" s="27">
        <f>opex_orig!BV98</f>
        <v>9.8995838179648596E-6</v>
      </c>
      <c r="CF98" s="27">
        <f>opex_orig!BW98</f>
        <v>8.5998822282437506E-5</v>
      </c>
      <c r="CG98" s="27">
        <f>opex_orig!BX98</f>
        <v>1.2577426912922799E-6</v>
      </c>
      <c r="CH98" s="27">
        <f>opex_orig!BY98</f>
        <v>2.9430564572967001E-5</v>
      </c>
      <c r="CI98" s="27">
        <f>opex_orig!Y98</f>
        <v>1.204501E-3</v>
      </c>
      <c r="CJ98" s="27">
        <f>opex_orig!Z98</f>
        <v>2.7642370000000001E-3</v>
      </c>
      <c r="CK98" s="27">
        <f>opex_orig!AA98</f>
        <v>1.56E-5</v>
      </c>
      <c r="CL98" s="27">
        <f>opex_orig!AB98</f>
        <v>2.2462004639810701E-5</v>
      </c>
      <c r="CM98" s="27">
        <f>opex_orig!AC98</f>
        <v>8.1662075691264595E-5</v>
      </c>
      <c r="CN98" s="27">
        <f>opex_orig!AD98</f>
        <v>7.0137183206178306E-5</v>
      </c>
      <c r="CO98" s="27">
        <f>opex_orig!AE98</f>
        <v>3.3399999999999999E-5</v>
      </c>
      <c r="CP98" s="27">
        <f>opex_orig!AF98</f>
        <v>4.1412799999999999E-4</v>
      </c>
    </row>
    <row r="99" spans="1:94" x14ac:dyDescent="0.25">
      <c r="A99" s="5" t="s">
        <v>6</v>
      </c>
      <c r="B99" s="2" t="s">
        <v>7</v>
      </c>
      <c r="C99" s="1" t="s">
        <v>330</v>
      </c>
      <c r="D99" s="188">
        <f>opex_orig!D99</f>
        <v>7.2493500000000001E-4</v>
      </c>
      <c r="E99" s="188">
        <f>opex_orig!E99</f>
        <v>1.2331530000000001E-3</v>
      </c>
      <c r="F99" s="188">
        <f>opex_orig!F99</f>
        <v>6.17087E-4</v>
      </c>
      <c r="G99" s="188">
        <f>opex_orig!G99</f>
        <v>1.00021E-4</v>
      </c>
      <c r="H99" s="188">
        <f>opex_orig!H99</f>
        <v>2.1207100000000001E-4</v>
      </c>
      <c r="I99" s="188">
        <f>opex_orig!I99</f>
        <v>3.9983010000000001E-3</v>
      </c>
      <c r="J99" s="188">
        <f>opex_orig!J99</f>
        <v>1.6506237999999999E-2</v>
      </c>
      <c r="K99" s="188">
        <f>opex_orig!K99</f>
        <v>3.1130699999999998E-4</v>
      </c>
      <c r="L99" s="188">
        <f>opex_orig!L99</f>
        <v>1.4629700000000001E-3</v>
      </c>
      <c r="M99" s="188">
        <f>opex_orig!M99</f>
        <v>5.1071179999999999E-3</v>
      </c>
      <c r="N99" s="188">
        <f>opex_orig!N99</f>
        <v>2.0849330000000002E-3</v>
      </c>
      <c r="O99" s="188">
        <f>opex_orig!O99</f>
        <v>1.2842960000000001E-3</v>
      </c>
      <c r="P99" s="188">
        <f>opex_orig!P99</f>
        <v>1.1523181E-2</v>
      </c>
      <c r="Q99" s="188">
        <f>opex_orig!Q99</f>
        <v>1.0838975000000001E-2</v>
      </c>
      <c r="R99" s="188">
        <f>opex_orig!R99</f>
        <v>5.0633500000000001E-4</v>
      </c>
      <c r="S99" s="188">
        <f>opex_orig!S99</f>
        <v>5.8293470000000003E-3</v>
      </c>
      <c r="T99" s="188">
        <f>opex_orig!T99</f>
        <v>5.9762060000000004E-3</v>
      </c>
      <c r="U99" s="188">
        <f>opex_orig!U99</f>
        <v>2.1646003E-2</v>
      </c>
      <c r="V99" s="188">
        <f>opex_orig!V99</f>
        <v>1.0784795999999999E-2</v>
      </c>
      <c r="W99" s="188">
        <f>opex_orig!W99</f>
        <v>4.6246949999999998E-3</v>
      </c>
      <c r="X99" s="188">
        <f>opex_orig!X99</f>
        <v>2.9604309999999999E-3</v>
      </c>
      <c r="Y99" s="188">
        <f>opex_orig!Y99</f>
        <v>7.1044300000000001E-3</v>
      </c>
      <c r="Z99" s="188">
        <f>opex_orig!Z99</f>
        <v>1.4454524999999999E-2</v>
      </c>
      <c r="AA99" s="188">
        <f>opex_orig!AA99</f>
        <v>3.2325000000000002E-4</v>
      </c>
      <c r="AB99" s="273">
        <f>opex_concordance!M165</f>
        <v>2.9041342622646802E-4</v>
      </c>
      <c r="AC99" s="273">
        <f>opex_concordance!M210</f>
        <v>8.7748758157666033E-3</v>
      </c>
      <c r="AD99" s="273">
        <f>opex_concordance!M255</f>
        <v>7.8275459372548206E-3</v>
      </c>
      <c r="AE99" s="188">
        <f>opex_orig!$AC99</f>
        <v>1.8950531346734001E-3</v>
      </c>
      <c r="AF99" s="273">
        <f>opex_concordance!M297</f>
        <v>3.3409401562030502E-3</v>
      </c>
      <c r="AG99" s="273">
        <f>opex_concordance!M333</f>
        <v>8.2383539221256947E-4</v>
      </c>
      <c r="AH99" s="273">
        <f>opex_concordance!M369</f>
        <v>9.9622896117208511E-4</v>
      </c>
      <c r="AI99" s="188">
        <f>opex_orig!AE99</f>
        <v>3.6213999999999999E-3</v>
      </c>
      <c r="AJ99" s="188">
        <f>opex_orig!AF99</f>
        <v>1.0070653000000001E-2</v>
      </c>
      <c r="AK99" s="188">
        <f>opex_orig!AG99</f>
        <v>2.91647E-3</v>
      </c>
      <c r="AL99" s="188">
        <f>opex_orig!AH99</f>
        <v>2.0390690000000001E-3</v>
      </c>
      <c r="AM99" s="188">
        <f>opex_orig!AI99</f>
        <v>5.2215760000000003E-3</v>
      </c>
      <c r="AN99" s="188">
        <f>opex_orig!AJ99</f>
        <v>2.10034E-3</v>
      </c>
      <c r="AO99" s="188">
        <f>opex_orig!AK99</f>
        <v>2.5886189999999999E-3</v>
      </c>
      <c r="AP99" s="273">
        <f>opex_concordance!M407</f>
        <v>6.5666744549239204E-3</v>
      </c>
      <c r="AQ99" s="273">
        <f>opex_concordance!M461</f>
        <v>8.7314048117212283E-3</v>
      </c>
      <c r="AR99" s="273">
        <f>opex_concordance!M515</f>
        <v>1.7957291094804203E-2</v>
      </c>
      <c r="AS99" s="188">
        <f>opex_orig!$AM99</f>
        <v>2.9144996357411898E-3</v>
      </c>
      <c r="AT99" s="188">
        <f>opex_orig!AN99</f>
        <v>9.0411150000000006E-3</v>
      </c>
      <c r="AU99" s="273">
        <f>opex_concordance!M574</f>
        <v>1.77290468245335E-3</v>
      </c>
      <c r="AV99" s="273">
        <f>opex_concordance!M620</f>
        <v>2.4199537381222627E-2</v>
      </c>
      <c r="AW99" s="273">
        <f>opex_concordance!M666</f>
        <v>2.0994037608072836E-3</v>
      </c>
      <c r="AX99" s="188">
        <f>opex_orig!$AP99</f>
        <v>7.6997117953459598E-3</v>
      </c>
      <c r="AY99" s="188">
        <f>opex_orig!AQ99</f>
        <v>1.030621E-3</v>
      </c>
      <c r="AZ99" s="188">
        <f>opex_orig!AR99</f>
        <v>0</v>
      </c>
      <c r="BA99" s="188">
        <f>opex_orig!AS99</f>
        <v>6.6655100000000004E-3</v>
      </c>
      <c r="BB99" s="188">
        <f>opex_orig!AT99</f>
        <v>5.4628200000000004E-4</v>
      </c>
      <c r="BC99" s="188">
        <f>opex_orig!AU99</f>
        <v>2.67893E-4</v>
      </c>
      <c r="BD99" s="188">
        <f>opex_orig!AV99</f>
        <v>1.6584799999999999E-4</v>
      </c>
      <c r="BE99" s="188">
        <f>opex_orig!AW99</f>
        <v>9.1505199999999997E-4</v>
      </c>
      <c r="BF99" s="188">
        <f>opex_orig!AX99</f>
        <v>0</v>
      </c>
      <c r="BG99" s="188">
        <f>opex_orig!AY99</f>
        <v>1.7937809999999999E-3</v>
      </c>
      <c r="BH99" s="188">
        <f>opex_orig!AZ99</f>
        <v>0</v>
      </c>
      <c r="BI99" s="188">
        <f>opex_orig!BA99</f>
        <v>5.7350399999999996E-4</v>
      </c>
      <c r="BJ99" s="188">
        <f>opex_orig!BB99</f>
        <v>3.5535749999999998E-3</v>
      </c>
      <c r="BK99" s="188">
        <f>opex_orig!BC99</f>
        <v>6.0788209999999999E-3</v>
      </c>
      <c r="BL99" s="188">
        <f>opex_orig!BD99</f>
        <v>2.1502399999999999E-4</v>
      </c>
      <c r="BM99" s="188">
        <f>opex_orig!BE99</f>
        <v>3.6137650000000001E-3</v>
      </c>
      <c r="BN99" s="188">
        <f>opex_orig!BF99</f>
        <v>8.7796700000000001E-4</v>
      </c>
      <c r="BO99" s="188">
        <f>opex_orig!BG99</f>
        <v>8.8443949999999997E-3</v>
      </c>
      <c r="BP99" s="188">
        <f>opex_orig!$BH99</f>
        <v>1.1561089349864601E-3</v>
      </c>
      <c r="BQ99" s="188">
        <f>opex_orig!$BH99</f>
        <v>1.1561089349864601E-3</v>
      </c>
      <c r="BR99" s="188">
        <f>opex_orig!BI99</f>
        <v>2.091472E-3</v>
      </c>
      <c r="BS99" s="188">
        <f>opex_orig!BJ99</f>
        <v>4.3644820000000003E-3</v>
      </c>
      <c r="BT99" s="188">
        <f>opex_orig!BK99</f>
        <v>1.266774E-3</v>
      </c>
      <c r="BU99" s="188">
        <f>opex_orig!BL99</f>
        <v>0</v>
      </c>
      <c r="BV99" s="27">
        <f>opex_orig!BM99</f>
        <v>1.8746122812531799E-4</v>
      </c>
      <c r="BW99" s="27">
        <f>opex_orig!BN99</f>
        <v>2.5056600662024198E-4</v>
      </c>
      <c r="BX99" s="27">
        <f>opex_orig!BO99</f>
        <v>6.2092507854592298E-5</v>
      </c>
      <c r="BY99" s="27">
        <f>opex_orig!BP99</f>
        <v>1.15353801384932E-4</v>
      </c>
      <c r="BZ99" s="27">
        <f>opex_orig!BQ99</f>
        <v>1.29981245048177E-4</v>
      </c>
      <c r="CA99" s="27">
        <f>opex_orig!BR99</f>
        <v>1.0165320550290701E-4</v>
      </c>
      <c r="CB99" s="27">
        <f>opex_orig!BS99</f>
        <v>2.69205840586952E-4</v>
      </c>
      <c r="CC99" s="27">
        <f>opex_orig!BT99</f>
        <v>3.9264082380793804E-6</v>
      </c>
      <c r="CD99" s="27">
        <f>opex_orig!BU99</f>
        <v>1.08138825132048E-4</v>
      </c>
      <c r="CE99" s="27">
        <f>opex_orig!BV99</f>
        <v>1.08138825132048E-4</v>
      </c>
      <c r="CF99" s="27">
        <f>opex_orig!BW99</f>
        <v>3.5987338402436403E-5</v>
      </c>
      <c r="CG99" s="27">
        <f>opex_orig!BX99</f>
        <v>6.9119741922349399E-7</v>
      </c>
      <c r="CH99" s="27">
        <f>opex_orig!BY99</f>
        <v>7.5109562984773999E-6</v>
      </c>
      <c r="CI99" s="27">
        <f>opex_orig!Y99</f>
        <v>7.1044300000000001E-3</v>
      </c>
      <c r="CJ99" s="27">
        <f>opex_orig!Z99</f>
        <v>1.4454524999999999E-2</v>
      </c>
      <c r="CK99" s="27">
        <f>opex_orig!AA99</f>
        <v>3.2325000000000002E-4</v>
      </c>
      <c r="CL99" s="27">
        <f>opex_orig!AB99</f>
        <v>2.9041342622646802E-4</v>
      </c>
      <c r="CM99" s="27">
        <f>opex_orig!AC99</f>
        <v>1.8950531346734001E-3</v>
      </c>
      <c r="CN99" s="27">
        <f>opex_orig!AD99</f>
        <v>3.3409401562030502E-3</v>
      </c>
      <c r="CO99" s="27">
        <f>opex_orig!AE99</f>
        <v>3.6213999999999999E-3</v>
      </c>
      <c r="CP99" s="27">
        <f>opex_orig!AF99</f>
        <v>1.0070653000000001E-2</v>
      </c>
    </row>
    <row r="100" spans="1:94" x14ac:dyDescent="0.25">
      <c r="A100" s="5" t="s">
        <v>8</v>
      </c>
      <c r="B100" s="2" t="s">
        <v>9</v>
      </c>
      <c r="C100" s="1" t="s">
        <v>330</v>
      </c>
      <c r="D100" s="188">
        <f>opex_orig!D100</f>
        <v>4.8199999999999999E-5</v>
      </c>
      <c r="E100" s="188">
        <f>opex_orig!E100</f>
        <v>7.7700000000000005E-5</v>
      </c>
      <c r="F100" s="188">
        <f>opex_orig!F100</f>
        <v>4.2200000000000003E-5</v>
      </c>
      <c r="G100" s="188">
        <f>opex_orig!G100</f>
        <v>6.1800000000000001E-6</v>
      </c>
      <c r="H100" s="188">
        <f>opex_orig!H100</f>
        <v>1.3499999999999999E-5</v>
      </c>
      <c r="I100" s="188">
        <f>opex_orig!I100</f>
        <v>2.4537799999999998E-4</v>
      </c>
      <c r="J100" s="188">
        <f>opex_orig!J100</f>
        <v>1.002743E-3</v>
      </c>
      <c r="K100" s="188">
        <f>opex_orig!K100</f>
        <v>1.9400000000000001E-5</v>
      </c>
      <c r="L100" s="188">
        <f>opex_orig!L100</f>
        <v>9.5299999999999999E-5</v>
      </c>
      <c r="M100" s="188">
        <f>opex_orig!M100</f>
        <v>3.24154E-4</v>
      </c>
      <c r="N100" s="188">
        <f>opex_orig!N100</f>
        <v>1.4013200000000001E-4</v>
      </c>
      <c r="O100" s="188">
        <f>opex_orig!O100</f>
        <v>8.5000000000000006E-5</v>
      </c>
      <c r="P100" s="188">
        <f>opex_orig!P100</f>
        <v>7.2398099999999995E-4</v>
      </c>
      <c r="Q100" s="188">
        <f>opex_orig!Q100</f>
        <v>7.1124100000000004E-4</v>
      </c>
      <c r="R100" s="188">
        <f>opex_orig!R100</f>
        <v>3.5899999999999998E-5</v>
      </c>
      <c r="S100" s="188">
        <f>opex_orig!S100</f>
        <v>3.65683E-4</v>
      </c>
      <c r="T100" s="188">
        <f>opex_orig!T100</f>
        <v>3.7456300000000001E-4</v>
      </c>
      <c r="U100" s="188">
        <f>opex_orig!U100</f>
        <v>1.3076839999999999E-3</v>
      </c>
      <c r="V100" s="188">
        <f>opex_orig!V100</f>
        <v>6.4959000000000002E-4</v>
      </c>
      <c r="W100" s="188">
        <f>opex_orig!W100</f>
        <v>2.9200999999999999E-4</v>
      </c>
      <c r="X100" s="188">
        <f>opex_orig!X100</f>
        <v>1.8412999999999999E-4</v>
      </c>
      <c r="Y100" s="188">
        <f>opex_orig!Y100</f>
        <v>4.5204099999999998E-4</v>
      </c>
      <c r="Z100" s="188">
        <f>opex_orig!Z100</f>
        <v>9.2654E-4</v>
      </c>
      <c r="AA100" s="188">
        <f>opex_orig!AA100</f>
        <v>2.4000000000000001E-5</v>
      </c>
      <c r="AB100" s="273">
        <f>opex_concordance!M166</f>
        <v>2.0023637119714199E-5</v>
      </c>
      <c r="AC100" s="273">
        <f>opex_concordance!M211</f>
        <v>6.0501654964274841E-4</v>
      </c>
      <c r="AD100" s="273">
        <f>opex_concordance!M256</f>
        <v>5.3969935695486436E-4</v>
      </c>
      <c r="AE100" s="188">
        <f>opex_orig!$AC100</f>
        <v>1.3524637682202099E-4</v>
      </c>
      <c r="AF100" s="273">
        <f>opex_concordance!M298</f>
        <v>2.12120146280756E-4</v>
      </c>
      <c r="AG100" s="273">
        <f>opex_concordance!M334</f>
        <v>5.2306259836152964E-5</v>
      </c>
      <c r="AH100" s="273">
        <f>opex_concordance!M370</f>
        <v>6.325172648800507E-5</v>
      </c>
      <c r="AI100" s="188">
        <f>opex_orig!AE100</f>
        <v>2.2357E-4</v>
      </c>
      <c r="AJ100" s="188">
        <f>opex_orig!AF100</f>
        <v>6.5277499999999997E-4</v>
      </c>
      <c r="AK100" s="188">
        <f>opex_orig!AG100</f>
        <v>1.88223E-4</v>
      </c>
      <c r="AL100" s="188">
        <f>opex_orig!AH100</f>
        <v>1.29682E-4</v>
      </c>
      <c r="AM100" s="188">
        <f>opex_orig!AI100</f>
        <v>3.20515E-4</v>
      </c>
      <c r="AN100" s="188">
        <f>opex_orig!AJ100</f>
        <v>1.17834E-4</v>
      </c>
      <c r="AO100" s="188">
        <f>opex_orig!AK100</f>
        <v>1.6039599999999999E-4</v>
      </c>
      <c r="AP100" s="273">
        <f>opex_concordance!M408</f>
        <v>4.0098674309218797E-4</v>
      </c>
      <c r="AQ100" s="273">
        <f>opex_concordance!M462</f>
        <v>5.3317361810836382E-4</v>
      </c>
      <c r="AR100" s="273">
        <f>opex_concordance!M516</f>
        <v>1.0965422026463639E-3</v>
      </c>
      <c r="AS100" s="188">
        <f>opex_orig!$AM100</f>
        <v>1.7875135940595299E-4</v>
      </c>
      <c r="AT100" s="188">
        <f>opex_orig!AN100</f>
        <v>5.6571900000000001E-4</v>
      </c>
      <c r="AU100" s="273">
        <f>opex_concordance!M575</f>
        <v>1.14901289678793E-4</v>
      </c>
      <c r="AV100" s="273">
        <f>opex_concordance!M621</f>
        <v>1.5683629708083899E-3</v>
      </c>
      <c r="AW100" s="273">
        <f>opex_concordance!M667</f>
        <v>1.3606157288696336E-4</v>
      </c>
      <c r="AX100" s="188">
        <f>opex_orig!$AP100</f>
        <v>4.9161600000427095E-4</v>
      </c>
      <c r="AY100" s="188">
        <f>opex_orig!AQ100</f>
        <v>7.0199999999999999E-5</v>
      </c>
      <c r="AZ100" s="188">
        <f>opex_orig!AR100</f>
        <v>0</v>
      </c>
      <c r="BA100" s="188">
        <f>opex_orig!AS100</f>
        <v>4.2334600000000001E-4</v>
      </c>
      <c r="BB100" s="188">
        <f>opex_orig!AT100</f>
        <v>3.7799999999999997E-5</v>
      </c>
      <c r="BC100" s="188">
        <f>opex_orig!AU100</f>
        <v>1.6799999999999998E-5</v>
      </c>
      <c r="BD100" s="188">
        <f>opex_orig!AV100</f>
        <v>1.0000000000000001E-5</v>
      </c>
      <c r="BE100" s="188">
        <f>opex_orig!AW100</f>
        <v>6.3499999999999999E-5</v>
      </c>
      <c r="BF100" s="188">
        <f>opex_orig!AX100</f>
        <v>0</v>
      </c>
      <c r="BG100" s="188">
        <f>opex_orig!AY100</f>
        <v>1.21752E-4</v>
      </c>
      <c r="BH100" s="188">
        <f>opex_orig!AZ100</f>
        <v>0</v>
      </c>
      <c r="BI100" s="188">
        <f>opex_orig!BA100</f>
        <v>3.8699999999999999E-5</v>
      </c>
      <c r="BJ100" s="188">
        <f>opex_orig!BB100</f>
        <v>2.2399799999999999E-4</v>
      </c>
      <c r="BK100" s="188">
        <f>opex_orig!BC100</f>
        <v>3.95003E-4</v>
      </c>
      <c r="BL100" s="188">
        <f>opex_orig!BD100</f>
        <v>3.1399999999999998E-5</v>
      </c>
      <c r="BM100" s="188">
        <f>opex_orig!BE100</f>
        <v>2.41778E-4</v>
      </c>
      <c r="BN100" s="188">
        <f>opex_orig!BF100</f>
        <v>6.05E-5</v>
      </c>
      <c r="BO100" s="188">
        <f>opex_orig!BG100</f>
        <v>5.7001199999999995E-4</v>
      </c>
      <c r="BP100" s="188">
        <f>opex_orig!$BH100</f>
        <v>8.0033938129402298E-5</v>
      </c>
      <c r="BQ100" s="188">
        <f>opex_orig!$BH100</f>
        <v>8.0033938129402298E-5</v>
      </c>
      <c r="BR100" s="188">
        <f>opex_orig!BI100</f>
        <v>1.38035E-4</v>
      </c>
      <c r="BS100" s="188">
        <f>opex_orig!BJ100</f>
        <v>2.8047499999999997E-4</v>
      </c>
      <c r="BT100" s="188">
        <f>opex_orig!BK100</f>
        <v>8.3599999999999999E-5</v>
      </c>
      <c r="BU100" s="188">
        <f>opex_orig!BL100</f>
        <v>0</v>
      </c>
      <c r="BV100" s="27">
        <f>opex_orig!BM100</f>
        <v>1.6033133331581301E-5</v>
      </c>
      <c r="BW100" s="27">
        <f>opex_orig!BN100</f>
        <v>3.0847902754961799E-5</v>
      </c>
      <c r="BX100" s="27">
        <f>opex_orig!BO100</f>
        <v>5.8578971003157802E-6</v>
      </c>
      <c r="BY100" s="27">
        <f>opex_orig!BP100</f>
        <v>1.3349235421173399E-5</v>
      </c>
      <c r="BZ100" s="27">
        <f>opex_orig!BQ100</f>
        <v>1.07625233550481E-5</v>
      </c>
      <c r="CA100" s="27">
        <f>opex_orig!BR100</f>
        <v>1.6363267123522601E-5</v>
      </c>
      <c r="CB100" s="27">
        <f>opex_orig!BS100</f>
        <v>2.4355034982207401E-5</v>
      </c>
      <c r="CC100" s="27">
        <f>opex_orig!BT100</f>
        <v>2.4009505349464399E-5</v>
      </c>
      <c r="CD100" s="27">
        <f>opex_orig!BU100</f>
        <v>8.7588035791569004E-6</v>
      </c>
      <c r="CE100" s="27">
        <f>opex_orig!BV100</f>
        <v>8.7588035791569004E-6</v>
      </c>
      <c r="CF100" s="27">
        <f>opex_orig!BW100</f>
        <v>1.5349405288377001E-5</v>
      </c>
      <c r="CG100" s="27">
        <f>opex_orig!BX100</f>
        <v>2.2912547658778201E-7</v>
      </c>
      <c r="CH100" s="27">
        <f>opex_orig!BY100</f>
        <v>2.7661046274818299E-5</v>
      </c>
      <c r="CI100" s="27">
        <f>opex_orig!Y100</f>
        <v>4.5204099999999998E-4</v>
      </c>
      <c r="CJ100" s="27">
        <f>opex_orig!Z100</f>
        <v>9.2654E-4</v>
      </c>
      <c r="CK100" s="27">
        <f>opex_orig!AA100</f>
        <v>2.4000000000000001E-5</v>
      </c>
      <c r="CL100" s="27">
        <f>opex_orig!AB100</f>
        <v>2.0023637119714199E-5</v>
      </c>
      <c r="CM100" s="27">
        <f>opex_orig!AC100</f>
        <v>1.3524637682202099E-4</v>
      </c>
      <c r="CN100" s="27">
        <f>opex_orig!AD100</f>
        <v>2.12120146280756E-4</v>
      </c>
      <c r="CO100" s="27">
        <f>opex_orig!AE100</f>
        <v>2.2357E-4</v>
      </c>
      <c r="CP100" s="27">
        <f>opex_orig!AF100</f>
        <v>6.5277499999999997E-4</v>
      </c>
    </row>
    <row r="101" spans="1:94" x14ac:dyDescent="0.25">
      <c r="A101" s="1" t="s">
        <v>342</v>
      </c>
      <c r="B101" s="2" t="s">
        <v>336</v>
      </c>
      <c r="C101" s="1" t="s">
        <v>330</v>
      </c>
      <c r="D101" s="188">
        <f>opex_orig!D101</f>
        <v>1.1E-5</v>
      </c>
      <c r="E101" s="188">
        <f>opex_orig!E101</f>
        <v>1.49E-5</v>
      </c>
      <c r="F101" s="188">
        <f>opex_orig!F101</f>
        <v>8.5599999999999994E-6</v>
      </c>
      <c r="G101" s="188">
        <f>opex_orig!G101</f>
        <v>5.9599999999999999E-7</v>
      </c>
      <c r="H101" s="188">
        <f>opex_orig!H101</f>
        <v>2.4600000000000002E-6</v>
      </c>
      <c r="I101" s="188">
        <f>opex_orig!I101</f>
        <v>4.5200000000000001E-5</v>
      </c>
      <c r="J101" s="188">
        <f>opex_orig!J101</f>
        <v>1.8327400000000001E-4</v>
      </c>
      <c r="K101" s="188">
        <f>opex_orig!K101</f>
        <v>1.9599999999999999E-6</v>
      </c>
      <c r="L101" s="188">
        <f>opex_orig!L101</f>
        <v>1.77E-5</v>
      </c>
      <c r="M101" s="188">
        <f>opex_orig!M101</f>
        <v>6.2299999999999996E-5</v>
      </c>
      <c r="N101" s="188">
        <f>opex_orig!N101</f>
        <v>2.8900000000000001E-5</v>
      </c>
      <c r="O101" s="188">
        <f>opex_orig!O101</f>
        <v>1.8300000000000001E-5</v>
      </c>
      <c r="P101" s="188">
        <f>opex_orig!P101</f>
        <v>1.4081200000000001E-4</v>
      </c>
      <c r="Q101" s="188">
        <f>opex_orig!Q101</f>
        <v>1.4733500000000001E-4</v>
      </c>
      <c r="R101" s="188">
        <f>opex_orig!R101</f>
        <v>8.3000000000000002E-6</v>
      </c>
      <c r="S101" s="188">
        <f>opex_orig!S101</f>
        <v>7.0099999999999996E-5</v>
      </c>
      <c r="T101" s="188">
        <f>opex_orig!T101</f>
        <v>7.2299999999999996E-5</v>
      </c>
      <c r="U101" s="188">
        <f>opex_orig!U101</f>
        <v>2.3645E-4</v>
      </c>
      <c r="V101" s="188">
        <f>opex_orig!V101</f>
        <v>1.17173E-4</v>
      </c>
      <c r="W101" s="188">
        <f>opex_orig!W101</f>
        <v>5.7099999999999999E-5</v>
      </c>
      <c r="X101" s="188">
        <f>opex_orig!X101</f>
        <v>3.43E-5</v>
      </c>
      <c r="Y101" s="188">
        <f>opex_orig!Y101</f>
        <v>9.1500000000000001E-5</v>
      </c>
      <c r="Z101" s="188">
        <f>opex_orig!Z101</f>
        <v>1.9926300000000001E-4</v>
      </c>
      <c r="AA101" s="188">
        <f>opex_orig!AA101</f>
        <v>7.4499999999999998E-6</v>
      </c>
      <c r="AB101" s="273">
        <f>opex_concordance!M167</f>
        <v>1.3729815519649202E-5</v>
      </c>
      <c r="AC101" s="273">
        <f>opex_concordance!M212</f>
        <v>4.1484799006626138E-4</v>
      </c>
      <c r="AD101" s="273">
        <f>opex_concordance!M257</f>
        <v>3.7006127122470316E-4</v>
      </c>
      <c r="AE101" s="188">
        <f>opex_orig!$AC101</f>
        <v>2.9736475108600101E-5</v>
      </c>
      <c r="AF101" s="273">
        <f>opex_concordance!M299</f>
        <v>4.0171547932160302E-5</v>
      </c>
      <c r="AG101" s="273">
        <f>opex_concordance!M335</f>
        <v>9.905817344567227E-6</v>
      </c>
      <c r="AH101" s="273">
        <f>opex_concordance!M371</f>
        <v>1.1978681926051955E-5</v>
      </c>
      <c r="AI101" s="188">
        <f>opex_orig!AE101</f>
        <v>4.0200000000000001E-5</v>
      </c>
      <c r="AJ101" s="188">
        <f>opex_orig!AF101</f>
        <v>1.3089899999999999E-4</v>
      </c>
      <c r="AK101" s="188">
        <f>opex_orig!AG101</f>
        <v>3.8399999999999998E-5</v>
      </c>
      <c r="AL101" s="188">
        <f>opex_orig!AH101</f>
        <v>2.8E-5</v>
      </c>
      <c r="AM101" s="188">
        <f>opex_orig!AI101</f>
        <v>6.1299999999999999E-5</v>
      </c>
      <c r="AN101" s="188">
        <f>opex_orig!AJ101</f>
        <v>1.9199999999999999E-5</v>
      </c>
      <c r="AO101" s="188">
        <f>opex_orig!AK101</f>
        <v>3.15E-5</v>
      </c>
      <c r="AP101" s="273">
        <f>opex_concordance!M409</f>
        <v>7.4378301385586503E-5</v>
      </c>
      <c r="AQ101" s="273">
        <f>opex_concordance!M463</f>
        <v>9.8897404319898768E-5</v>
      </c>
      <c r="AR101" s="273">
        <f>opex_concordance!M517</f>
        <v>2.0339561802345044E-4</v>
      </c>
      <c r="AS101" s="188">
        <f>opex_orig!$AM101</f>
        <v>3.4168970306975598E-5</v>
      </c>
      <c r="AT101" s="188">
        <f>opex_orig!AN101</f>
        <v>1.0964E-4</v>
      </c>
      <c r="AU101" s="273">
        <f>opex_concordance!M576</f>
        <v>2.3859152415101702E-5</v>
      </c>
      <c r="AV101" s="273">
        <f>opex_concordance!M622</f>
        <v>3.2566920064453847E-4</v>
      </c>
      <c r="AW101" s="273">
        <f>opex_concordance!M668</f>
        <v>2.825306673600976E-5</v>
      </c>
      <c r="AX101" s="188">
        <f>opex_orig!$AP101</f>
        <v>9.7940968819567703E-5</v>
      </c>
      <c r="AY101" s="188">
        <f>opex_orig!AQ101</f>
        <v>1.43E-5</v>
      </c>
      <c r="AZ101" s="188">
        <f>opex_orig!AR101</f>
        <v>0</v>
      </c>
      <c r="BA101" s="188">
        <f>opex_orig!AS101</f>
        <v>8.2799999999999993E-5</v>
      </c>
      <c r="BB101" s="188">
        <f>opex_orig!AT101</f>
        <v>7.7400000000000004E-6</v>
      </c>
      <c r="BC101" s="188">
        <f>opex_orig!AU101</f>
        <v>3.2799999999999999E-6</v>
      </c>
      <c r="BD101" s="188">
        <f>opex_orig!AV101</f>
        <v>2.1799999999999999E-6</v>
      </c>
      <c r="BE101" s="188">
        <f>opex_orig!AW101</f>
        <v>1.22E-5</v>
      </c>
      <c r="BF101" s="188">
        <f>opex_orig!AX101</f>
        <v>0</v>
      </c>
      <c r="BG101" s="188">
        <f>opex_orig!AY101</f>
        <v>3.0000000000000001E-5</v>
      </c>
      <c r="BH101" s="188">
        <f>opex_orig!AZ101</f>
        <v>0</v>
      </c>
      <c r="BI101" s="188">
        <f>opex_orig!BA101</f>
        <v>8.7700000000000007E-6</v>
      </c>
      <c r="BJ101" s="188">
        <f>opex_orig!BB101</f>
        <v>4.6100000000000002E-5</v>
      </c>
      <c r="BK101" s="188">
        <f>opex_orig!BC101</f>
        <v>8.7800000000000006E-5</v>
      </c>
      <c r="BL101" s="188">
        <f>opex_orig!BD101</f>
        <v>2.1100000000000001E-5</v>
      </c>
      <c r="BM101" s="188">
        <f>opex_orig!BE101</f>
        <v>6.3800000000000006E-5</v>
      </c>
      <c r="BN101" s="188">
        <f>opex_orig!BF101</f>
        <v>1.5099999999999999E-5</v>
      </c>
      <c r="BO101" s="188">
        <f>opex_orig!BG101</f>
        <v>1.14746E-4</v>
      </c>
      <c r="BP101" s="188">
        <f>opex_orig!$BH101</f>
        <v>2.21581955974504E-5</v>
      </c>
      <c r="BQ101" s="188">
        <f>opex_orig!$BH101</f>
        <v>2.21581955974504E-5</v>
      </c>
      <c r="BR101" s="188">
        <f>opex_orig!BI101</f>
        <v>3.1300000000000002E-5</v>
      </c>
      <c r="BS101" s="188">
        <f>opex_orig!BJ101</f>
        <v>5.5399999999999998E-5</v>
      </c>
      <c r="BT101" s="188">
        <f>opex_orig!BK101</f>
        <v>1.6200000000000001E-5</v>
      </c>
      <c r="BU101" s="188">
        <f>opex_orig!BL101</f>
        <v>0</v>
      </c>
      <c r="BV101" s="27">
        <f>opex_orig!BM101</f>
        <v>7.8445408799459797E-6</v>
      </c>
      <c r="BW101" s="27">
        <f>opex_orig!BN101</f>
        <v>1.9045928145342499E-5</v>
      </c>
      <c r="BX101" s="27">
        <f>opex_orig!BO101</f>
        <v>2.89913625340271E-6</v>
      </c>
      <c r="BY101" s="27">
        <f>opex_orig!BP101</f>
        <v>5.0857510227404399E-6</v>
      </c>
      <c r="BZ101" s="27">
        <f>opex_orig!BQ101</f>
        <v>4.9125021418168396E-6</v>
      </c>
      <c r="CA101" s="27">
        <f>opex_orig!BR101</f>
        <v>3.9616562900569101E-5</v>
      </c>
      <c r="CB101" s="27">
        <f>opex_orig!BS101</f>
        <v>1.28844128304467E-5</v>
      </c>
      <c r="CC101" s="27">
        <f>opex_orig!BT101</f>
        <v>5.3451246604056898E-6</v>
      </c>
      <c r="CD101" s="27">
        <f>opex_orig!BU101</f>
        <v>3.0581003649247699E-6</v>
      </c>
      <c r="CE101" s="27">
        <f>opex_orig!BV101</f>
        <v>3.05810036492478E-6</v>
      </c>
      <c r="CF101" s="27">
        <f>opex_orig!BW101</f>
        <v>2.2265101869356799E-5</v>
      </c>
      <c r="CG101" s="27">
        <f>opex_orig!BX101</f>
        <v>5.9707827764642605E-7</v>
      </c>
      <c r="CH101" s="27">
        <f>opex_orig!BY101</f>
        <v>2.03537873231578E-5</v>
      </c>
      <c r="CI101" s="27">
        <f>opex_orig!Y101</f>
        <v>9.1500000000000001E-5</v>
      </c>
      <c r="CJ101" s="27">
        <f>opex_orig!Z101</f>
        <v>1.9926300000000001E-4</v>
      </c>
      <c r="CK101" s="27">
        <f>opex_orig!AA101</f>
        <v>7.4499999999999998E-6</v>
      </c>
      <c r="CL101" s="27">
        <f>opex_orig!AB101</f>
        <v>1.37298155196492E-5</v>
      </c>
      <c r="CM101" s="27">
        <f>opex_orig!AC101</f>
        <v>2.9736475108600101E-5</v>
      </c>
      <c r="CN101" s="27">
        <f>opex_orig!AD101</f>
        <v>4.0171547932160302E-5</v>
      </c>
      <c r="CO101" s="27">
        <f>opex_orig!AE101</f>
        <v>4.0200000000000001E-5</v>
      </c>
      <c r="CP101" s="27">
        <f>opex_orig!AF101</f>
        <v>1.3089899999999999E-4</v>
      </c>
    </row>
    <row r="102" spans="1:94" x14ac:dyDescent="0.25">
      <c r="A102" s="1" t="s">
        <v>343</v>
      </c>
      <c r="B102" s="2" t="s">
        <v>337</v>
      </c>
      <c r="C102" s="1" t="s">
        <v>330</v>
      </c>
      <c r="D102" s="188">
        <f>opex_orig!D102</f>
        <v>1.8699999999999999E-7</v>
      </c>
      <c r="E102" s="188">
        <f>opex_orig!E102</f>
        <v>3.9500000000000003E-8</v>
      </c>
      <c r="F102" s="188">
        <f>opex_orig!F102</f>
        <v>2.1299999999999999E-8</v>
      </c>
      <c r="G102" s="188">
        <f>opex_orig!G102</f>
        <v>4.9200000000000004E-9</v>
      </c>
      <c r="H102" s="188">
        <f>opex_orig!H102</f>
        <v>7.5200000000000005E-9</v>
      </c>
      <c r="I102" s="188">
        <f>opex_orig!I102</f>
        <v>5.4100000000000001E-8</v>
      </c>
      <c r="J102" s="188">
        <f>opex_orig!J102</f>
        <v>1.3E-7</v>
      </c>
      <c r="K102" s="188">
        <f>opex_orig!K102</f>
        <v>1.52E-8</v>
      </c>
      <c r="L102" s="188">
        <f>opex_orig!L102</f>
        <v>3.5299999999999998E-8</v>
      </c>
      <c r="M102" s="188">
        <f>opex_orig!M102</f>
        <v>8.9599999999999995E-8</v>
      </c>
      <c r="N102" s="188">
        <f>opex_orig!N102</f>
        <v>1.09E-7</v>
      </c>
      <c r="O102" s="188">
        <f>opex_orig!O102</f>
        <v>9.1300000000000004E-8</v>
      </c>
      <c r="P102" s="188">
        <f>opex_orig!P102</f>
        <v>8.1899999999999999E-8</v>
      </c>
      <c r="Q102" s="188">
        <f>opex_orig!Q102</f>
        <v>1.11E-8</v>
      </c>
      <c r="R102" s="188">
        <f>opex_orig!R102</f>
        <v>4.8200000000000001E-8</v>
      </c>
      <c r="S102" s="188">
        <f>opex_orig!S102</f>
        <v>4.7899999999999999E-8</v>
      </c>
      <c r="T102" s="188">
        <f>opex_orig!T102</f>
        <v>5.8799999999999997E-8</v>
      </c>
      <c r="U102" s="188">
        <f>opex_orig!U102</f>
        <v>1.6E-7</v>
      </c>
      <c r="V102" s="188">
        <f>opex_orig!V102</f>
        <v>2.3999999999999998E-7</v>
      </c>
      <c r="W102" s="188">
        <f>opex_orig!W102</f>
        <v>4.8E-8</v>
      </c>
      <c r="X102" s="188">
        <f>opex_orig!X102</f>
        <v>4.1899999999999998E-8</v>
      </c>
      <c r="Y102" s="188">
        <f>opex_orig!Y102</f>
        <v>2.14E-8</v>
      </c>
      <c r="Z102" s="188">
        <f>opex_orig!Z102</f>
        <v>1.08E-7</v>
      </c>
      <c r="AA102" s="188">
        <f>opex_orig!AA102</f>
        <v>1.14E-7</v>
      </c>
      <c r="AB102" s="273">
        <f>opex_concordance!M168</f>
        <v>5.3072151691515196E-8</v>
      </c>
      <c r="AC102" s="273">
        <f>opex_concordance!M213</f>
        <v>1.6035813027646092E-6</v>
      </c>
      <c r="AD102" s="273">
        <f>opex_concordance!M258</f>
        <v>1.4304597096359383E-6</v>
      </c>
      <c r="AE102" s="188">
        <f>opex_orig!$AC102</f>
        <v>2.9506289366623298E-7</v>
      </c>
      <c r="AF102" s="273">
        <f>opex_concordance!M300</f>
        <v>9.4850640097901204E-8</v>
      </c>
      <c r="AG102" s="273">
        <f>opex_concordance!M336</f>
        <v>2.3389019447590055E-8</v>
      </c>
      <c r="AH102" s="273">
        <f>opex_concordance!M372</f>
        <v>2.8283342482443582E-8</v>
      </c>
      <c r="AI102" s="188">
        <f>opex_orig!AE102</f>
        <v>7.4299999999999997E-8</v>
      </c>
      <c r="AJ102" s="188">
        <f>opex_orig!AF102</f>
        <v>1.36E-7</v>
      </c>
      <c r="AK102" s="188">
        <f>opex_orig!AG102</f>
        <v>7.4999999999999997E-8</v>
      </c>
      <c r="AL102" s="188">
        <f>opex_orig!AH102</f>
        <v>5.9499999999999997E-8</v>
      </c>
      <c r="AM102" s="188">
        <f>opex_orig!AI102</f>
        <v>1.1999999999999999E-7</v>
      </c>
      <c r="AN102" s="188">
        <f>opex_orig!AJ102</f>
        <v>6.4599999999999996E-8</v>
      </c>
      <c r="AO102" s="188">
        <f>opex_orig!AK102</f>
        <v>8.4299999999999994E-8</v>
      </c>
      <c r="AP102" s="273">
        <f>opex_concordance!M410</f>
        <v>6.4999995235635296E-8</v>
      </c>
      <c r="AQ102" s="273">
        <f>opex_concordance!M464</f>
        <v>8.6427502239999246E-8</v>
      </c>
      <c r="AR102" s="273">
        <f>opex_concordance!M518</f>
        <v>1.7774961186509929E-7</v>
      </c>
      <c r="AS102" s="188">
        <f>opex_orig!$AM102</f>
        <v>7.4591819959577701E-8</v>
      </c>
      <c r="AT102" s="188">
        <f>opex_orig!AN102</f>
        <v>8.3000000000000002E-8</v>
      </c>
      <c r="AU102" s="273">
        <f>opex_concordance!M577</f>
        <v>2.20018358998826E-8</v>
      </c>
      <c r="AV102" s="273">
        <f>opex_concordance!M623</f>
        <v>3.0031747086253451E-7</v>
      </c>
      <c r="AW102" s="273">
        <f>opex_concordance!M669</f>
        <v>2.6053705813986213E-8</v>
      </c>
      <c r="AX102" s="188">
        <f>opex_orig!$AP102</f>
        <v>3.53731854988277E-8</v>
      </c>
      <c r="AY102" s="188">
        <f>opex_orig!AQ102</f>
        <v>3.8199999999999998E-8</v>
      </c>
      <c r="AZ102" s="188">
        <f>opex_orig!AR102</f>
        <v>0</v>
      </c>
      <c r="BA102" s="188">
        <f>opex_orig!AS102</f>
        <v>3.5000000000000002E-8</v>
      </c>
      <c r="BB102" s="188">
        <f>opex_orig!AT102</f>
        <v>2.8200000000000001E-8</v>
      </c>
      <c r="BC102" s="188">
        <f>opex_orig!AU102</f>
        <v>3.6400000000000002E-8</v>
      </c>
      <c r="BD102" s="188">
        <f>opex_orig!AV102</f>
        <v>2.6700000000000001E-8</v>
      </c>
      <c r="BE102" s="188">
        <f>opex_orig!AW102</f>
        <v>2.7599999999999999E-8</v>
      </c>
      <c r="BF102" s="188">
        <f>opex_orig!AX102</f>
        <v>0</v>
      </c>
      <c r="BG102" s="188">
        <f>opex_orig!AY102</f>
        <v>2.7199999999999999E-8</v>
      </c>
      <c r="BH102" s="188">
        <f>opex_orig!AZ102</f>
        <v>0</v>
      </c>
      <c r="BI102" s="188">
        <f>opex_orig!BA102</f>
        <v>3.3699999999999997E-8</v>
      </c>
      <c r="BJ102" s="188">
        <f>opex_orig!BB102</f>
        <v>1.04E-7</v>
      </c>
      <c r="BK102" s="188">
        <f>opex_orig!BC102</f>
        <v>4.2100000000000002E-7</v>
      </c>
      <c r="BL102" s="188">
        <f>opex_orig!BD102</f>
        <v>6.2799999999999996E-7</v>
      </c>
      <c r="BM102" s="188">
        <f>opex_orig!BE102</f>
        <v>6.3300000000000002E-7</v>
      </c>
      <c r="BN102" s="188">
        <f>opex_orig!BF102</f>
        <v>1.74E-7</v>
      </c>
      <c r="BO102" s="188">
        <f>opex_orig!BG102</f>
        <v>9.8500000000000002E-8</v>
      </c>
      <c r="BP102" s="188">
        <f>opex_orig!$BH102</f>
        <v>2.6004803163151601E-7</v>
      </c>
      <c r="BQ102" s="188">
        <f>opex_orig!$BH102</f>
        <v>2.6004803163151601E-7</v>
      </c>
      <c r="BR102" s="188">
        <f>opex_orig!BI102</f>
        <v>1.8699999999999999E-7</v>
      </c>
      <c r="BS102" s="188">
        <f>opex_orig!BJ102</f>
        <v>5.32E-8</v>
      </c>
      <c r="BT102" s="188">
        <f>opex_orig!BK102</f>
        <v>1.7199999999999999E-8</v>
      </c>
      <c r="BU102" s="188">
        <f>opex_orig!BL102</f>
        <v>0</v>
      </c>
      <c r="BV102" s="27">
        <f>opex_orig!BM102</f>
        <v>1.9500961058771599E-7</v>
      </c>
      <c r="BW102" s="27">
        <f>opex_orig!BN102</f>
        <v>4.9060162978389902E-7</v>
      </c>
      <c r="BX102" s="27">
        <f>opex_orig!BO102</f>
        <v>8.3638148968482297E-8</v>
      </c>
      <c r="BY102" s="27">
        <f>opex_orig!BP102</f>
        <v>1.43311945526179E-7</v>
      </c>
      <c r="BZ102" s="27">
        <f>opex_orig!BQ102</f>
        <v>1.71994460392354E-7</v>
      </c>
      <c r="CA102" s="27">
        <f>opex_orig!BR102</f>
        <v>4.4375563891499602E-6</v>
      </c>
      <c r="CB102" s="27">
        <f>opex_orig!BS102</f>
        <v>2.3008161225727099E-7</v>
      </c>
      <c r="CC102" s="27">
        <f>opex_orig!BT102</f>
        <v>1.1970313167089199E-7</v>
      </c>
      <c r="CD102" s="27">
        <f>opex_orig!BU102</f>
        <v>8.4683923467902103E-8</v>
      </c>
      <c r="CE102" s="27">
        <f>opex_orig!BV102</f>
        <v>8.4683923467902196E-8</v>
      </c>
      <c r="CF102" s="27">
        <f>opex_orig!BW102</f>
        <v>8.6848090917193805E-8</v>
      </c>
      <c r="CG102" s="27">
        <f>opex_orig!BX102</f>
        <v>1.9042928898912899E-8</v>
      </c>
      <c r="CH102" s="27">
        <f>opex_orig!BY102</f>
        <v>9.5429961220499305E-9</v>
      </c>
      <c r="CI102" s="27">
        <f>opex_orig!Y102</f>
        <v>2.14E-8</v>
      </c>
      <c r="CJ102" s="27">
        <f>opex_orig!Z102</f>
        <v>1.08E-7</v>
      </c>
      <c r="CK102" s="27">
        <f>opex_orig!AA102</f>
        <v>1.14E-7</v>
      </c>
      <c r="CL102" s="27">
        <f>opex_orig!AB102</f>
        <v>5.3072151691515202E-8</v>
      </c>
      <c r="CM102" s="27">
        <f>opex_orig!AC102</f>
        <v>2.9506289366623298E-7</v>
      </c>
      <c r="CN102" s="27">
        <f>opex_orig!AD102</f>
        <v>9.4850640097901204E-8</v>
      </c>
      <c r="CO102" s="27">
        <f>opex_orig!AE102</f>
        <v>7.4299999999999997E-8</v>
      </c>
      <c r="CP102" s="27">
        <f>opex_orig!AF102</f>
        <v>1.36E-7</v>
      </c>
    </row>
    <row r="103" spans="1:94" x14ac:dyDescent="0.25">
      <c r="A103" s="1" t="s">
        <v>10</v>
      </c>
      <c r="B103" s="2" t="s">
        <v>11</v>
      </c>
      <c r="C103" s="1" t="s">
        <v>330</v>
      </c>
      <c r="D103" s="188">
        <f>opex_orig!D103</f>
        <v>5.3399999999999997E-6</v>
      </c>
      <c r="E103" s="188">
        <f>opex_orig!E103</f>
        <v>4.1300000000000003E-6</v>
      </c>
      <c r="F103" s="188">
        <f>opex_orig!F103</f>
        <v>3.6799999999999999E-6</v>
      </c>
      <c r="G103" s="188">
        <f>opex_orig!G103</f>
        <v>2.1E-7</v>
      </c>
      <c r="H103" s="188">
        <f>opex_orig!H103</f>
        <v>5.4600000000000005E-7</v>
      </c>
      <c r="I103" s="188">
        <f>opex_orig!I103</f>
        <v>5.5799999999999999E-6</v>
      </c>
      <c r="J103" s="188">
        <f>opex_orig!J103</f>
        <v>1.9000000000000001E-5</v>
      </c>
      <c r="K103" s="188">
        <f>opex_orig!K103</f>
        <v>6.7599999999999997E-7</v>
      </c>
      <c r="L103" s="188">
        <f>opex_orig!L103</f>
        <v>4.07E-6</v>
      </c>
      <c r="M103" s="188">
        <f>opex_orig!M103</f>
        <v>1.3499999999999999E-5</v>
      </c>
      <c r="N103" s="188">
        <f>opex_orig!N103</f>
        <v>1.56E-5</v>
      </c>
      <c r="O103" s="188">
        <f>opex_orig!O103</f>
        <v>8.9400000000000008E-6</v>
      </c>
      <c r="P103" s="188">
        <f>opex_orig!P103</f>
        <v>1.8099999999999999E-5</v>
      </c>
      <c r="Q103" s="188">
        <f>opex_orig!Q103</f>
        <v>3.01E-5</v>
      </c>
      <c r="R103" s="188">
        <f>opex_orig!R103</f>
        <v>3.3100000000000001E-6</v>
      </c>
      <c r="S103" s="188">
        <f>opex_orig!S103</f>
        <v>8.3999999999999992E-6</v>
      </c>
      <c r="T103" s="188">
        <f>opex_orig!T103</f>
        <v>7.9200000000000004E-6</v>
      </c>
      <c r="U103" s="188">
        <f>opex_orig!U103</f>
        <v>9.4199999999999996E-6</v>
      </c>
      <c r="V103" s="188">
        <f>opex_orig!V103</f>
        <v>9.7699999999999996E-6</v>
      </c>
      <c r="W103" s="188">
        <f>opex_orig!W103</f>
        <v>8.0900000000000005E-6</v>
      </c>
      <c r="X103" s="188">
        <f>opex_orig!X103</f>
        <v>3.3900000000000002E-6</v>
      </c>
      <c r="Y103" s="188">
        <f>opex_orig!Y103</f>
        <v>9.5400000000000001E-5</v>
      </c>
      <c r="Z103" s="188">
        <f>opex_orig!Z103</f>
        <v>2.2221599999999999E-4</v>
      </c>
      <c r="AA103" s="188">
        <f>opex_orig!AA103</f>
        <v>2.8499999999999998E-6</v>
      </c>
      <c r="AB103" s="273">
        <f>opex_concordance!M169</f>
        <v>1.0694007351382899E-5</v>
      </c>
      <c r="AC103" s="273">
        <f>opex_concordance!M214</f>
        <v>3.2312068935856826E-4</v>
      </c>
      <c r="AD103" s="273">
        <f>opex_concordance!M259</f>
        <v>2.8823679016483903E-4</v>
      </c>
      <c r="AE103" s="188">
        <f>opex_orig!$AC103</f>
        <v>3.98844551923785E-5</v>
      </c>
      <c r="AF103" s="273">
        <f>opex_concordance!M301</f>
        <v>1.5827195035048702E-5</v>
      </c>
      <c r="AG103" s="273">
        <f>opex_concordance!M337</f>
        <v>3.9027946684752641E-6</v>
      </c>
      <c r="AH103" s="273">
        <f>opex_concordance!M373</f>
        <v>4.7194829391838582E-6</v>
      </c>
      <c r="AI103" s="188">
        <f>opex_orig!AE103</f>
        <v>1.08E-5</v>
      </c>
      <c r="AJ103" s="188">
        <f>opex_orig!AF103</f>
        <v>4.8900000000000003E-5</v>
      </c>
      <c r="AK103" s="188">
        <f>opex_orig!AG103</f>
        <v>9.4900000000000006E-6</v>
      </c>
      <c r="AL103" s="188">
        <f>opex_orig!AH103</f>
        <v>1.03E-5</v>
      </c>
      <c r="AM103" s="188">
        <f>opex_orig!AI103</f>
        <v>5.0300000000000001E-6</v>
      </c>
      <c r="AN103" s="188">
        <f>opex_orig!AJ103</f>
        <v>3.2799999999999999E-6</v>
      </c>
      <c r="AO103" s="188">
        <f>opex_orig!AK103</f>
        <v>4.16E-6</v>
      </c>
      <c r="AP103" s="273">
        <f>opex_concordance!M411</f>
        <v>5.18878179465611E-6</v>
      </c>
      <c r="AQ103" s="273">
        <f>opex_concordance!M465</f>
        <v>6.8992843546340795E-6</v>
      </c>
      <c r="AR103" s="273">
        <f>opex_concordance!M519</f>
        <v>1.4189292579319715E-5</v>
      </c>
      <c r="AS103" s="188">
        <f>opex_orig!$AM103</f>
        <v>3.26341870373815E-6</v>
      </c>
      <c r="AT103" s="188">
        <f>opex_orig!AN103</f>
        <v>1.27E-5</v>
      </c>
      <c r="AU103" s="273">
        <f>opex_concordance!M578</f>
        <v>4.8587582379900104E-6</v>
      </c>
      <c r="AV103" s="273">
        <f>opex_concordance!M624</f>
        <v>6.6320373999946547E-5</v>
      </c>
      <c r="AW103" s="273">
        <f>opex_concordance!M670</f>
        <v>5.7535497642062319E-6</v>
      </c>
      <c r="AX103" s="188">
        <f>opex_orig!$AP103</f>
        <v>1.6287050169252899E-5</v>
      </c>
      <c r="AY103" s="188">
        <f>opex_orig!AQ103</f>
        <v>5.4099999999999999E-6</v>
      </c>
      <c r="AZ103" s="188">
        <f>opex_orig!AR103</f>
        <v>0</v>
      </c>
      <c r="BA103" s="188">
        <f>opex_orig!AS103</f>
        <v>1.2500000000000001E-5</v>
      </c>
      <c r="BB103" s="188">
        <f>opex_orig!AT103</f>
        <v>3.4199999999999999E-6</v>
      </c>
      <c r="BC103" s="188">
        <f>opex_orig!AU103</f>
        <v>3.19E-6</v>
      </c>
      <c r="BD103" s="188">
        <f>opex_orig!AV103</f>
        <v>9.6099999999999999E-7</v>
      </c>
      <c r="BE103" s="188">
        <f>opex_orig!AW103</f>
        <v>4.2899999999999996E-6</v>
      </c>
      <c r="BF103" s="188">
        <f>opex_orig!AX103</f>
        <v>0</v>
      </c>
      <c r="BG103" s="188">
        <f>opex_orig!AY103</f>
        <v>5.4500000000000003E-6</v>
      </c>
      <c r="BH103" s="188">
        <f>opex_orig!AZ103</f>
        <v>0</v>
      </c>
      <c r="BI103" s="188">
        <f>opex_orig!BA103</f>
        <v>2.5299999999999999E-6</v>
      </c>
      <c r="BJ103" s="188">
        <f>opex_orig!BB103</f>
        <v>7.34E-6</v>
      </c>
      <c r="BK103" s="188">
        <f>opex_orig!BC103</f>
        <v>1.9000000000000001E-5</v>
      </c>
      <c r="BL103" s="188">
        <f>opex_orig!BD103</f>
        <v>1.6099999999999998E-5</v>
      </c>
      <c r="BM103" s="188">
        <f>opex_orig!BE103</f>
        <v>1.7900000000000001E-5</v>
      </c>
      <c r="BN103" s="188">
        <f>opex_orig!BF103</f>
        <v>3.9199999999999997E-6</v>
      </c>
      <c r="BO103" s="188">
        <f>opex_orig!BG103</f>
        <v>1.6200000000000001E-5</v>
      </c>
      <c r="BP103" s="188">
        <f>opex_orig!$BH103</f>
        <v>7.5750670053210299E-6</v>
      </c>
      <c r="BQ103" s="188">
        <f>opex_orig!$BH103</f>
        <v>7.5750670053210299E-6</v>
      </c>
      <c r="BR103" s="188">
        <f>opex_orig!BI103</f>
        <v>8.8200000000000003E-6</v>
      </c>
      <c r="BS103" s="188">
        <f>opex_orig!BJ103</f>
        <v>8.6000000000000007E-6</v>
      </c>
      <c r="BT103" s="188">
        <f>opex_orig!BK103</f>
        <v>2.88E-6</v>
      </c>
      <c r="BU103" s="188">
        <f>opex_orig!BL103</f>
        <v>0</v>
      </c>
      <c r="BV103" s="27">
        <f>opex_orig!BM103</f>
        <v>4.2554420751478397E-6</v>
      </c>
      <c r="BW103" s="27">
        <f>opex_orig!BN103</f>
        <v>2.1260893491208402E-5</v>
      </c>
      <c r="BX103" s="27">
        <f>opex_orig!BO103</f>
        <v>2.1426557612251E-6</v>
      </c>
      <c r="BY103" s="27">
        <f>opex_orig!BP103</f>
        <v>1.24192989379644E-5</v>
      </c>
      <c r="BZ103" s="27">
        <f>opex_orig!BQ103</f>
        <v>3.8929024247553602E-6</v>
      </c>
      <c r="CA103" s="27">
        <f>opex_orig!BR103</f>
        <v>9.1225953534647798E-6</v>
      </c>
      <c r="CB103" s="27">
        <f>opex_orig!BS103</f>
        <v>7.4545739663570798E-6</v>
      </c>
      <c r="CC103" s="27">
        <f>opex_orig!BT103</f>
        <v>6.5837920458583699E-6</v>
      </c>
      <c r="CD103" s="27">
        <f>opex_orig!BU103</f>
        <v>1.5339128785290201E-6</v>
      </c>
      <c r="CE103" s="27">
        <f>opex_orig!BV103</f>
        <v>1.5339128785290301E-6</v>
      </c>
      <c r="CF103" s="27">
        <f>opex_orig!BW103</f>
        <v>2.43857467993004E-5</v>
      </c>
      <c r="CG103" s="27">
        <f>opex_orig!BX103</f>
        <v>2.82229570066155E-7</v>
      </c>
      <c r="CH103" s="27">
        <f>opex_orig!BY103</f>
        <v>1.2671156162909099E-5</v>
      </c>
      <c r="CI103" s="27">
        <f>opex_orig!Y103</f>
        <v>9.5400000000000001E-5</v>
      </c>
      <c r="CJ103" s="27">
        <f>opex_orig!Z103</f>
        <v>2.2221599999999999E-4</v>
      </c>
      <c r="CK103" s="27">
        <f>opex_orig!AA103</f>
        <v>2.8499999999999998E-6</v>
      </c>
      <c r="CL103" s="27">
        <f>opex_orig!AB103</f>
        <v>1.0694007351382899E-5</v>
      </c>
      <c r="CM103" s="27">
        <f>opex_orig!AC103</f>
        <v>3.98844551923785E-5</v>
      </c>
      <c r="CN103" s="27">
        <f>opex_orig!AD103</f>
        <v>1.5827195035048702E-5</v>
      </c>
      <c r="CO103" s="27">
        <f>opex_orig!AE103</f>
        <v>1.08E-5</v>
      </c>
      <c r="CP103" s="27">
        <f>opex_orig!AF103</f>
        <v>4.8900000000000003E-5</v>
      </c>
    </row>
    <row r="104" spans="1:94" x14ac:dyDescent="0.25">
      <c r="A104" s="1" t="s">
        <v>12</v>
      </c>
      <c r="B104" s="2" t="s">
        <v>13</v>
      </c>
      <c r="C104" s="1" t="s">
        <v>330</v>
      </c>
      <c r="D104" s="188">
        <f>opex_orig!D104</f>
        <v>1.3159200000000001E-4</v>
      </c>
      <c r="E104" s="188">
        <f>opex_orig!E104</f>
        <v>2.0636999999999999E-4</v>
      </c>
      <c r="F104" s="188">
        <f>opex_orig!F104</f>
        <v>1.08961E-4</v>
      </c>
      <c r="G104" s="188">
        <f>opex_orig!G104</f>
        <v>1.77E-5</v>
      </c>
      <c r="H104" s="188">
        <f>opex_orig!H104</f>
        <v>3.7100000000000001E-5</v>
      </c>
      <c r="I104" s="188">
        <f>opex_orig!I104</f>
        <v>6.5478900000000002E-4</v>
      </c>
      <c r="J104" s="188">
        <f>opex_orig!J104</f>
        <v>2.67446E-3</v>
      </c>
      <c r="K104" s="188">
        <f>opex_orig!K104</f>
        <v>5.4799999999999997E-5</v>
      </c>
      <c r="L104" s="188">
        <f>opex_orig!L104</f>
        <v>2.4587799999999999E-4</v>
      </c>
      <c r="M104" s="188">
        <f>opex_orig!M104</f>
        <v>8.5206500000000005E-4</v>
      </c>
      <c r="N104" s="188">
        <f>opex_orig!N104</f>
        <v>3.61131E-4</v>
      </c>
      <c r="O104" s="188">
        <f>opex_orig!O104</f>
        <v>2.2488599999999999E-4</v>
      </c>
      <c r="P104" s="188">
        <f>opex_orig!P104</f>
        <v>1.6166500000000001E-3</v>
      </c>
      <c r="Q104" s="188">
        <f>opex_orig!Q104</f>
        <v>1.3506530000000001E-3</v>
      </c>
      <c r="R104" s="188">
        <f>opex_orig!R104</f>
        <v>7.75E-5</v>
      </c>
      <c r="S104" s="188">
        <f>opex_orig!S104</f>
        <v>8.3496000000000004E-4</v>
      </c>
      <c r="T104" s="188">
        <f>opex_orig!T104</f>
        <v>8.65221E-4</v>
      </c>
      <c r="U104" s="188">
        <f>opex_orig!U104</f>
        <v>3.3113589999999998E-3</v>
      </c>
      <c r="V104" s="188">
        <f>opex_orig!V104</f>
        <v>1.71003E-3</v>
      </c>
      <c r="W104" s="188">
        <f>opex_orig!W104</f>
        <v>6.4930399999999996E-4</v>
      </c>
      <c r="X104" s="188">
        <f>opex_orig!X104</f>
        <v>4.4107599999999999E-4</v>
      </c>
      <c r="Y104" s="188">
        <f>opex_orig!Y104</f>
        <v>2.5293149999999999E-3</v>
      </c>
      <c r="Z104" s="188">
        <f>opex_orig!Z104</f>
        <v>5.5662970000000004E-3</v>
      </c>
      <c r="AA104" s="188">
        <f>opex_orig!AA104</f>
        <v>7.8399999999999995E-5</v>
      </c>
      <c r="AB104" s="273">
        <f>opex_concordance!M170</f>
        <v>6.1171648027476502E-5</v>
      </c>
      <c r="AC104" s="273">
        <f>opex_concordance!M215</f>
        <v>1.8483085367696037E-3</v>
      </c>
      <c r="AD104" s="273">
        <f>opex_concordance!M260</f>
        <v>1.6487663508341478E-3</v>
      </c>
      <c r="AE104" s="188">
        <f>opex_orig!$AC104</f>
        <v>3.1907494513485002E-4</v>
      </c>
      <c r="AF104" s="273">
        <f>opex_concordance!M302</f>
        <v>5.3236548635258595E-4</v>
      </c>
      <c r="AG104" s="273">
        <f>opex_concordance!M338</f>
        <v>1.3127488333947355E-4</v>
      </c>
      <c r="AH104" s="273">
        <f>opex_concordance!M374</f>
        <v>1.5874511084797632E-4</v>
      </c>
      <c r="AI104" s="188">
        <f>opex_orig!AE104</f>
        <v>5.7953499999999995E-4</v>
      </c>
      <c r="AJ104" s="188">
        <f>opex_orig!AF104</f>
        <v>1.5575599999999999E-3</v>
      </c>
      <c r="AK104" s="188">
        <f>opex_orig!AG104</f>
        <v>3.7638100000000001E-4</v>
      </c>
      <c r="AL104" s="188">
        <f>opex_orig!AH104</f>
        <v>3.10107E-4</v>
      </c>
      <c r="AM104" s="188">
        <f>opex_orig!AI104</f>
        <v>7.7879399999999997E-4</v>
      </c>
      <c r="AN104" s="188">
        <f>opex_orig!AJ104</f>
        <v>4.0116499999999999E-4</v>
      </c>
      <c r="AO104" s="188">
        <f>opex_orig!AK104</f>
        <v>3.9632900000000001E-4</v>
      </c>
      <c r="AP104" s="273">
        <f>opex_concordance!M412</f>
        <v>9.789230328172431E-4</v>
      </c>
      <c r="AQ104" s="273">
        <f>opex_concordance!M466</f>
        <v>1.3016289048159069E-3</v>
      </c>
      <c r="AR104" s="273">
        <f>opex_concordance!M520</f>
        <v>2.6769723366637434E-3</v>
      </c>
      <c r="AS104" s="188">
        <f>opex_orig!$AM104</f>
        <v>4.4417351056326801E-4</v>
      </c>
      <c r="AT104" s="188">
        <f>opex_orig!AN104</f>
        <v>1.26775E-3</v>
      </c>
      <c r="AU104" s="273">
        <f>opex_concordance!M579</f>
        <v>2.42048182205621E-4</v>
      </c>
      <c r="AV104" s="273">
        <f>opex_concordance!M625</f>
        <v>3.3038741965734737E-3</v>
      </c>
      <c r="AW104" s="273">
        <f>opex_concordance!M671</f>
        <v>2.8662390541823069E-4</v>
      </c>
      <c r="AX104" s="188">
        <f>opex_orig!$AP104</f>
        <v>1.0409959591858101E-3</v>
      </c>
      <c r="AY104" s="188">
        <f>opex_orig!AQ104</f>
        <v>1.4248200000000001E-4</v>
      </c>
      <c r="AZ104" s="188">
        <f>opex_orig!AR104</f>
        <v>0</v>
      </c>
      <c r="BA104" s="188">
        <f>opex_orig!AS104</f>
        <v>8.9841499999999996E-4</v>
      </c>
      <c r="BB104" s="188">
        <f>opex_orig!AT104</f>
        <v>8.4699999999999999E-5</v>
      </c>
      <c r="BC104" s="188">
        <f>opex_orig!AU104</f>
        <v>5.5300000000000002E-5</v>
      </c>
      <c r="BD104" s="188">
        <f>opex_orig!AV104</f>
        <v>3.7799999999999997E-5</v>
      </c>
      <c r="BE104" s="188">
        <f>opex_orig!AW104</f>
        <v>1.2945799999999999E-4</v>
      </c>
      <c r="BF104" s="188">
        <f>opex_orig!AX104</f>
        <v>0</v>
      </c>
      <c r="BG104" s="188">
        <f>opex_orig!AY104</f>
        <v>2.4476599999999999E-4</v>
      </c>
      <c r="BH104" s="188">
        <f>opex_orig!AZ104</f>
        <v>0</v>
      </c>
      <c r="BI104" s="188">
        <f>opex_orig!BA104</f>
        <v>8.6199999999999995E-5</v>
      </c>
      <c r="BJ104" s="188">
        <f>opex_orig!BB104</f>
        <v>5.1333599999999998E-4</v>
      </c>
      <c r="BK104" s="188">
        <f>opex_orig!BC104</f>
        <v>8.7532099999999998E-4</v>
      </c>
      <c r="BL104" s="188">
        <f>opex_orig!BD104</f>
        <v>4.4400000000000002E-5</v>
      </c>
      <c r="BM104" s="188">
        <f>opex_orig!BE104</f>
        <v>5.3711600000000003E-4</v>
      </c>
      <c r="BN104" s="188">
        <f>opex_orig!BF104</f>
        <v>1.2824099999999999E-4</v>
      </c>
      <c r="BO104" s="188">
        <f>opex_orig!BG104</f>
        <v>1.103487E-3</v>
      </c>
      <c r="BP104" s="188">
        <f>opex_orig!$BH104</f>
        <v>1.7796016698912599E-4</v>
      </c>
      <c r="BQ104" s="188">
        <f>opex_orig!$BH104</f>
        <v>1.7796016698912599E-4</v>
      </c>
      <c r="BR104" s="188">
        <f>opex_orig!BI104</f>
        <v>3.00439E-4</v>
      </c>
      <c r="BS104" s="188">
        <f>opex_orig!BJ104</f>
        <v>5.6052000000000001E-4</v>
      </c>
      <c r="BT104" s="188">
        <f>opex_orig!BK104</f>
        <v>1.8005199999999999E-4</v>
      </c>
      <c r="BU104" s="188">
        <f>opex_orig!BL104</f>
        <v>0</v>
      </c>
      <c r="BV104" s="27">
        <f>opex_orig!BM104</f>
        <v>4.9219570414099599E-5</v>
      </c>
      <c r="BW104" s="27">
        <f>opex_orig!BN104</f>
        <v>6.8056238741679706E-5</v>
      </c>
      <c r="BX104" s="27">
        <f>opex_orig!BO104</f>
        <v>1.6237821031665601E-5</v>
      </c>
      <c r="BY104" s="27">
        <f>opex_orig!BP104</f>
        <v>2.9707768620171099E-5</v>
      </c>
      <c r="BZ104" s="27">
        <f>opex_orig!BQ104</f>
        <v>3.31850212466671E-5</v>
      </c>
      <c r="CA104" s="27">
        <f>opex_orig!BR104</f>
        <v>3.1847587090800998E-5</v>
      </c>
      <c r="CB104" s="27">
        <f>opex_orig!BS104</f>
        <v>7.2020617487036497E-5</v>
      </c>
      <c r="CC104" s="27">
        <f>opex_orig!BT104</f>
        <v>7.6389029008288393E-6</v>
      </c>
      <c r="CD104" s="27">
        <f>opex_orig!BU104</f>
        <v>2.76980504104791E-5</v>
      </c>
      <c r="CE104" s="27">
        <f>opex_orig!BV104</f>
        <v>2.7698050410479202E-5</v>
      </c>
      <c r="CF104" s="27">
        <f>opex_orig!BW104</f>
        <v>7.5338154761772099E-6</v>
      </c>
      <c r="CG104" s="27">
        <f>opex_orig!BX104</f>
        <v>5.22621742982634E-7</v>
      </c>
      <c r="CH104" s="27">
        <f>opex_orig!BY104</f>
        <v>6.8488631211214596E-6</v>
      </c>
      <c r="CI104" s="27">
        <f>opex_orig!Y104</f>
        <v>2.5293149999999999E-3</v>
      </c>
      <c r="CJ104" s="27">
        <f>opex_orig!Z104</f>
        <v>5.5662970000000004E-3</v>
      </c>
      <c r="CK104" s="27">
        <f>opex_orig!AA104</f>
        <v>7.8399999999999995E-5</v>
      </c>
      <c r="CL104" s="27">
        <f>opex_orig!AB104</f>
        <v>6.1171648027476502E-5</v>
      </c>
      <c r="CM104" s="27">
        <f>opex_orig!AC104</f>
        <v>3.1907494513485002E-4</v>
      </c>
      <c r="CN104" s="27">
        <f>opex_orig!AD104</f>
        <v>5.3236548635258595E-4</v>
      </c>
      <c r="CO104" s="27">
        <f>opex_orig!AE104</f>
        <v>5.7953499999999995E-4</v>
      </c>
      <c r="CP104" s="27">
        <f>opex_orig!AF104</f>
        <v>1.5575599999999999E-3</v>
      </c>
    </row>
    <row r="105" spans="1:94" x14ac:dyDescent="0.25">
      <c r="A105" s="1" t="s">
        <v>340</v>
      </c>
      <c r="B105" s="2" t="s">
        <v>338</v>
      </c>
      <c r="C105" s="1" t="s">
        <v>330</v>
      </c>
      <c r="D105" s="188">
        <f>opex_orig!D105</f>
        <v>2.87E-5</v>
      </c>
      <c r="E105" s="188">
        <f>opex_orig!E105</f>
        <v>4.6499999999999999E-5</v>
      </c>
      <c r="F105" s="188">
        <f>opex_orig!F105</f>
        <v>2.8600000000000001E-5</v>
      </c>
      <c r="G105" s="188">
        <f>opex_orig!G105</f>
        <v>3.3000000000000002E-6</v>
      </c>
      <c r="H105" s="188">
        <f>opex_orig!H105</f>
        <v>8.4600000000000003E-6</v>
      </c>
      <c r="I105" s="188">
        <f>opex_orig!I105</f>
        <v>1.4426599999999999E-4</v>
      </c>
      <c r="J105" s="188">
        <f>opex_orig!J105</f>
        <v>5.8767100000000001E-4</v>
      </c>
      <c r="K105" s="188">
        <f>opex_orig!K105</f>
        <v>1.08E-5</v>
      </c>
      <c r="L105" s="188">
        <f>opex_orig!L105</f>
        <v>5.5999999999999999E-5</v>
      </c>
      <c r="M105" s="188">
        <f>opex_orig!M105</f>
        <v>2.01213E-4</v>
      </c>
      <c r="N105" s="188">
        <f>opex_orig!N105</f>
        <v>8.81E-5</v>
      </c>
      <c r="O105" s="188">
        <f>opex_orig!O105</f>
        <v>5.91E-5</v>
      </c>
      <c r="P105" s="188">
        <f>opex_orig!P105</f>
        <v>4.7193199999999999E-4</v>
      </c>
      <c r="Q105" s="188">
        <f>opex_orig!Q105</f>
        <v>5.2879000000000001E-4</v>
      </c>
      <c r="R105" s="188">
        <f>opex_orig!R105</f>
        <v>2.37E-5</v>
      </c>
      <c r="S105" s="188">
        <f>opex_orig!S105</f>
        <v>2.3050699999999999E-4</v>
      </c>
      <c r="T105" s="188">
        <f>opex_orig!T105</f>
        <v>2.3484800000000001E-4</v>
      </c>
      <c r="U105" s="188">
        <f>opex_orig!U105</f>
        <v>7.5236200000000002E-4</v>
      </c>
      <c r="V105" s="188">
        <f>opex_orig!V105</f>
        <v>3.58205E-4</v>
      </c>
      <c r="W105" s="188">
        <f>opex_orig!W105</f>
        <v>1.9051100000000001E-4</v>
      </c>
      <c r="X105" s="188">
        <f>opex_orig!X105</f>
        <v>1.1086699999999999E-4</v>
      </c>
      <c r="Y105" s="188">
        <f>opex_orig!Y105</f>
        <v>3.2062399999999998E-4</v>
      </c>
      <c r="Z105" s="188">
        <f>opex_orig!Z105</f>
        <v>6.5712599999999996E-4</v>
      </c>
      <c r="AA105" s="188">
        <f>opex_orig!AA105</f>
        <v>1.26E-5</v>
      </c>
      <c r="AB105" s="273">
        <f>opex_concordance!M171</f>
        <v>9.8509742840008501E-6</v>
      </c>
      <c r="AC105" s="273">
        <f>opex_concordance!M216</f>
        <v>2.9764834611678711E-4</v>
      </c>
      <c r="AD105" s="273">
        <f>opex_concordance!M261</f>
        <v>2.6551442451080781E-4</v>
      </c>
      <c r="AE105" s="188">
        <f>opex_orig!$AC105</f>
        <v>7.8473144864104794E-5</v>
      </c>
      <c r="AF105" s="273">
        <f>opex_concordance!M303</f>
        <v>1.2474597341853799E-4</v>
      </c>
      <c r="AG105" s="273">
        <f>opex_concordance!M339</f>
        <v>3.0760846687836938E-5</v>
      </c>
      <c r="AH105" s="273">
        <f>opex_concordance!M375</f>
        <v>3.7197778379361552E-5</v>
      </c>
      <c r="AI105" s="188">
        <f>opex_orig!AE105</f>
        <v>1.2244099999999999E-4</v>
      </c>
      <c r="AJ105" s="188">
        <f>opex_orig!AF105</f>
        <v>4.4308200000000002E-4</v>
      </c>
      <c r="AK105" s="188">
        <f>opex_orig!AG105</f>
        <v>1.2504500000000001E-4</v>
      </c>
      <c r="AL105" s="188">
        <f>opex_orig!AH105</f>
        <v>7.1799999999999997E-5</v>
      </c>
      <c r="AM105" s="188">
        <f>opex_orig!AI105</f>
        <v>1.8995000000000001E-4</v>
      </c>
      <c r="AN105" s="188">
        <f>opex_orig!AJ105</f>
        <v>4.2899999999999999E-5</v>
      </c>
      <c r="AO105" s="188">
        <f>opex_orig!AK105</f>
        <v>9.2499999999999999E-5</v>
      </c>
      <c r="AP105" s="273">
        <f>opex_concordance!M413</f>
        <v>2.3676548956555398E-4</v>
      </c>
      <c r="AQ105" s="273">
        <f>opex_concordance!M467</f>
        <v>3.1481617507200788E-4</v>
      </c>
      <c r="AR105" s="273">
        <f>opex_concordance!M521</f>
        <v>6.4746118397028692E-4</v>
      </c>
      <c r="AS105" s="188">
        <f>opex_orig!$AM105</f>
        <v>1.0360380788966E-4</v>
      </c>
      <c r="AT105" s="188">
        <f>opex_orig!AN105</f>
        <v>3.6151899999999998E-4</v>
      </c>
      <c r="AU105" s="273">
        <f>opex_concordance!M580</f>
        <v>7.4704670047328204E-5</v>
      </c>
      <c r="AV105" s="273">
        <f>opex_concordance!M626</f>
        <v>1.0196929780006882E-3</v>
      </c>
      <c r="AW105" s="273">
        <f>opex_concordance!M672</f>
        <v>8.8462322198957138E-5</v>
      </c>
      <c r="AX105" s="188">
        <f>opex_orig!$AP105</f>
        <v>3.3074452182893499E-4</v>
      </c>
      <c r="AY105" s="188">
        <f>opex_orig!AQ105</f>
        <v>4.1399999999999997E-5</v>
      </c>
      <c r="AZ105" s="188">
        <f>opex_orig!AR105</f>
        <v>0</v>
      </c>
      <c r="BA105" s="188">
        <f>opex_orig!AS105</f>
        <v>2.75543E-4</v>
      </c>
      <c r="BB105" s="188">
        <f>opex_orig!AT105</f>
        <v>1.73E-5</v>
      </c>
      <c r="BC105" s="188">
        <f>opex_orig!AU105</f>
        <v>5.66E-6</v>
      </c>
      <c r="BD105" s="188">
        <f>opex_orig!AV105</f>
        <v>3.1599999999999998E-6</v>
      </c>
      <c r="BE105" s="188">
        <f>opex_orig!AW105</f>
        <v>3.57E-5</v>
      </c>
      <c r="BF105" s="188">
        <f>opex_orig!AX105</f>
        <v>0</v>
      </c>
      <c r="BG105" s="188">
        <f>opex_orig!AY105</f>
        <v>7.8399999999999995E-5</v>
      </c>
      <c r="BH105" s="188">
        <f>opex_orig!AZ105</f>
        <v>0</v>
      </c>
      <c r="BI105" s="188">
        <f>opex_orig!BA105</f>
        <v>2.1299999999999999E-5</v>
      </c>
      <c r="BJ105" s="188">
        <f>opex_orig!BB105</f>
        <v>1.4376699999999999E-4</v>
      </c>
      <c r="BK105" s="188">
        <f>opex_orig!BC105</f>
        <v>2.5259000000000002E-4</v>
      </c>
      <c r="BL105" s="188">
        <f>opex_orig!BD105</f>
        <v>9.6500000000000008E-6</v>
      </c>
      <c r="BM105" s="188">
        <f>opex_orig!BE105</f>
        <v>1.4544100000000001E-4</v>
      </c>
      <c r="BN105" s="188">
        <f>opex_orig!BF105</f>
        <v>3.8099999999999998E-5</v>
      </c>
      <c r="BO105" s="188">
        <f>opex_orig!BG105</f>
        <v>3.9050100000000002E-4</v>
      </c>
      <c r="BP105" s="188">
        <f>opex_orig!$BH105</f>
        <v>4.6156623488737801E-5</v>
      </c>
      <c r="BQ105" s="188">
        <f>opex_orig!$BH105</f>
        <v>4.6156623488737801E-5</v>
      </c>
      <c r="BR105" s="188">
        <f>opex_orig!BI105</f>
        <v>8.9800000000000001E-5</v>
      </c>
      <c r="BS105" s="188">
        <f>opex_orig!BJ105</f>
        <v>1.87011E-4</v>
      </c>
      <c r="BT105" s="188">
        <f>opex_orig!BK105</f>
        <v>4.5000000000000003E-5</v>
      </c>
      <c r="BU105" s="188">
        <f>opex_orig!BL105</f>
        <v>0</v>
      </c>
      <c r="BV105" s="27">
        <f>opex_orig!BM105</f>
        <v>7.3175954428389101E-6</v>
      </c>
      <c r="BW105" s="27">
        <f>opex_orig!BN105</f>
        <v>1.0969799370608301E-5</v>
      </c>
      <c r="BX105" s="27">
        <f>opex_orig!BO105</f>
        <v>2.5020293226442801E-6</v>
      </c>
      <c r="BY105" s="27">
        <f>opex_orig!BP105</f>
        <v>5.1153043173806399E-6</v>
      </c>
      <c r="BZ105" s="27">
        <f>opex_orig!BQ105</f>
        <v>6.2866686897159602E-6</v>
      </c>
      <c r="CA105" s="27">
        <f>opex_orig!BR105</f>
        <v>4.9676368070355897E-6</v>
      </c>
      <c r="CB105" s="27">
        <f>opex_orig!BS105</f>
        <v>1.1196199732864201E-5</v>
      </c>
      <c r="CC105" s="27">
        <f>opex_orig!BT105</f>
        <v>4.3521133923624599E-7</v>
      </c>
      <c r="CD105" s="27">
        <f>opex_orig!BU105</f>
        <v>4.1843232825974304E-6</v>
      </c>
      <c r="CE105" s="27">
        <f>opex_orig!BV105</f>
        <v>4.1843232825974397E-6</v>
      </c>
      <c r="CF105" s="27">
        <f>opex_orig!BW105</f>
        <v>1.57625790016914E-6</v>
      </c>
      <c r="CG105" s="27">
        <f>opex_orig!BX105</f>
        <v>1.63786029178587E-7</v>
      </c>
      <c r="CH105" s="27">
        <f>opex_orig!BY105</f>
        <v>1.60688724913883E-6</v>
      </c>
      <c r="CI105" s="27">
        <f>opex_orig!Y105</f>
        <v>3.2062399999999998E-4</v>
      </c>
      <c r="CJ105" s="27">
        <f>opex_orig!Z105</f>
        <v>6.5712599999999996E-4</v>
      </c>
      <c r="CK105" s="27">
        <f>opex_orig!AA105</f>
        <v>1.26E-5</v>
      </c>
      <c r="CL105" s="27">
        <f>opex_orig!AB105</f>
        <v>9.8509742840008501E-6</v>
      </c>
      <c r="CM105" s="27">
        <f>opex_orig!AC105</f>
        <v>7.8473144864104794E-5</v>
      </c>
      <c r="CN105" s="27">
        <f>opex_orig!AD105</f>
        <v>1.2474597341853799E-4</v>
      </c>
      <c r="CO105" s="27">
        <f>opex_orig!AE105</f>
        <v>1.2244099999999999E-4</v>
      </c>
      <c r="CP105" s="27">
        <f>opex_orig!AF105</f>
        <v>4.4308200000000002E-4</v>
      </c>
    </row>
    <row r="106" spans="1:94" x14ac:dyDescent="0.25">
      <c r="A106" s="1" t="s">
        <v>341</v>
      </c>
      <c r="B106" s="2" t="s">
        <v>339</v>
      </c>
      <c r="C106" s="1" t="s">
        <v>330</v>
      </c>
      <c r="D106" s="188">
        <f>opex_orig!D106</f>
        <v>1.5E-5</v>
      </c>
      <c r="E106" s="188">
        <f>opex_orig!E106</f>
        <v>2.4499999999999999E-5</v>
      </c>
      <c r="F106" s="188">
        <f>opex_orig!F106</f>
        <v>1.5099999999999999E-5</v>
      </c>
      <c r="G106" s="188">
        <f>opex_orig!G106</f>
        <v>1.72E-6</v>
      </c>
      <c r="H106" s="188">
        <f>opex_orig!H106</f>
        <v>4.4499999999999997E-6</v>
      </c>
      <c r="I106" s="188">
        <f>opex_orig!I106</f>
        <v>7.6299999999999998E-5</v>
      </c>
      <c r="J106" s="188">
        <f>opex_orig!J106</f>
        <v>3.1063800000000002E-4</v>
      </c>
      <c r="K106" s="188">
        <f>opex_orig!K106</f>
        <v>5.6500000000000001E-6</v>
      </c>
      <c r="L106" s="188">
        <f>opex_orig!L106</f>
        <v>2.9600000000000001E-5</v>
      </c>
      <c r="M106" s="188">
        <f>opex_orig!M106</f>
        <v>1.06483E-4</v>
      </c>
      <c r="N106" s="188">
        <f>opex_orig!N106</f>
        <v>4.6100000000000002E-5</v>
      </c>
      <c r="O106" s="188">
        <f>opex_orig!O106</f>
        <v>3.1099999999999997E-5</v>
      </c>
      <c r="P106" s="188">
        <f>opex_orig!P106</f>
        <v>2.4963600000000002E-4</v>
      </c>
      <c r="Q106" s="188">
        <f>opex_orig!Q106</f>
        <v>2.79609E-4</v>
      </c>
      <c r="R106" s="188">
        <f>opex_orig!R106</f>
        <v>1.26E-5</v>
      </c>
      <c r="S106" s="188">
        <f>opex_orig!S106</f>
        <v>1.21922E-4</v>
      </c>
      <c r="T106" s="188">
        <f>opex_orig!T106</f>
        <v>1.24194E-4</v>
      </c>
      <c r="U106" s="188">
        <f>opex_orig!U106</f>
        <v>3.9785200000000003E-4</v>
      </c>
      <c r="V106" s="188">
        <f>opex_orig!V106</f>
        <v>1.8934299999999999E-4</v>
      </c>
      <c r="W106" s="188">
        <f>opex_orig!W106</f>
        <v>1.0076100000000001E-4</v>
      </c>
      <c r="X106" s="188">
        <f>opex_orig!X106</f>
        <v>5.8600000000000001E-5</v>
      </c>
      <c r="Y106" s="188">
        <f>opex_orig!Y106</f>
        <v>1.69536E-4</v>
      </c>
      <c r="Z106" s="188">
        <f>opex_orig!Z106</f>
        <v>3.4743099999999999E-4</v>
      </c>
      <c r="AA106" s="188">
        <f>opex_orig!AA106</f>
        <v>6.55E-6</v>
      </c>
      <c r="AB106" s="273">
        <f>opex_concordance!M172</f>
        <v>3.2366965306455799E-6</v>
      </c>
      <c r="AC106" s="273">
        <f>opex_concordance!M217</f>
        <v>9.7797166194339905E-5</v>
      </c>
      <c r="AD106" s="273">
        <f>opex_concordance!M262</f>
        <v>8.7239047821517494E-5</v>
      </c>
      <c r="AE106" s="188">
        <f>opex_orig!$AC106</f>
        <v>3.9625853836620697E-5</v>
      </c>
      <c r="AF106" s="273">
        <f>opex_concordance!M304</f>
        <v>6.5658863174722495E-5</v>
      </c>
      <c r="AG106" s="273">
        <f>opex_concordance!M340</f>
        <v>1.619068069667376E-5</v>
      </c>
      <c r="AH106" s="273">
        <f>opex_concordance!M376</f>
        <v>1.9578698807533623E-5</v>
      </c>
      <c r="AI106" s="188">
        <f>opex_orig!AE106</f>
        <v>6.4599999999999998E-5</v>
      </c>
      <c r="AJ106" s="188">
        <f>opex_orig!AF106</f>
        <v>2.34436E-4</v>
      </c>
      <c r="AK106" s="188">
        <f>opex_orig!AG106</f>
        <v>6.6199999999999996E-5</v>
      </c>
      <c r="AL106" s="188">
        <f>opex_orig!AH106</f>
        <v>3.8000000000000002E-5</v>
      </c>
      <c r="AM106" s="188">
        <f>opex_orig!AI106</f>
        <v>1.00413E-4</v>
      </c>
      <c r="AN106" s="188">
        <f>opex_orig!AJ106</f>
        <v>2.27E-5</v>
      </c>
      <c r="AO106" s="188">
        <f>opex_orig!AK106</f>
        <v>4.8699999999999998E-5</v>
      </c>
      <c r="AP106" s="273">
        <f>opex_concordance!M414</f>
        <v>1.2517820002296901E-4</v>
      </c>
      <c r="AQ106" s="273">
        <f>opex_concordance!M468</f>
        <v>1.6644369162896431E-4</v>
      </c>
      <c r="AR106" s="273">
        <f>opex_concordance!M522</f>
        <v>3.4231350921478315E-4</v>
      </c>
      <c r="AS106" s="188">
        <f>opex_orig!$AM106</f>
        <v>5.4638240587505797E-5</v>
      </c>
      <c r="AT106" s="188">
        <f>opex_orig!AN106</f>
        <v>1.9116599999999999E-4</v>
      </c>
      <c r="AU106" s="273">
        <f>opex_concordance!M581</f>
        <v>3.9476265143633502E-5</v>
      </c>
      <c r="AV106" s="273">
        <f>opex_concordance!M627</f>
        <v>5.3883740252321855E-4</v>
      </c>
      <c r="AW106" s="273">
        <f>opex_concordance!M673</f>
        <v>4.6746235330872251E-5</v>
      </c>
      <c r="AX106" s="188">
        <f>opex_orig!$AP106</f>
        <v>1.7480100000861001E-4</v>
      </c>
      <c r="AY106" s="188">
        <f>opex_orig!AQ106</f>
        <v>2.1800000000000001E-5</v>
      </c>
      <c r="AZ106" s="188">
        <f>opex_orig!AR106</f>
        <v>0</v>
      </c>
      <c r="BA106" s="188">
        <f>opex_orig!AS106</f>
        <v>1.45618E-4</v>
      </c>
      <c r="BB106" s="188">
        <f>opex_orig!AT106</f>
        <v>9.1200000000000008E-6</v>
      </c>
      <c r="BC106" s="188">
        <f>opex_orig!AU106</f>
        <v>2.8700000000000001E-6</v>
      </c>
      <c r="BD106" s="188">
        <f>opex_orig!AV106</f>
        <v>1.5200000000000001E-6</v>
      </c>
      <c r="BE106" s="188">
        <f>opex_orig!AW106</f>
        <v>1.88E-5</v>
      </c>
      <c r="BF106" s="188">
        <f>opex_orig!AX106</f>
        <v>0</v>
      </c>
      <c r="BG106" s="188">
        <f>opex_orig!AY106</f>
        <v>4.1300000000000001E-5</v>
      </c>
      <c r="BH106" s="188">
        <f>opex_orig!AZ106</f>
        <v>0</v>
      </c>
      <c r="BI106" s="188">
        <f>opex_orig!BA106</f>
        <v>1.1199999999999999E-5</v>
      </c>
      <c r="BJ106" s="188">
        <f>opex_orig!BB106</f>
        <v>7.6100000000000007E-5</v>
      </c>
      <c r="BK106" s="188">
        <f>opex_orig!BC106</f>
        <v>1.34358E-4</v>
      </c>
      <c r="BL106" s="188">
        <f>opex_orig!BD106</f>
        <v>6.1999999999999999E-6</v>
      </c>
      <c r="BM106" s="188">
        <f>opex_orig!BE106</f>
        <v>7.8200000000000003E-5</v>
      </c>
      <c r="BN106" s="188">
        <f>opex_orig!BF106</f>
        <v>2.0400000000000001E-5</v>
      </c>
      <c r="BO106" s="188">
        <f>opex_orig!BG106</f>
        <v>2.0661200000000001E-4</v>
      </c>
      <c r="BP106" s="188">
        <f>opex_orig!$BH106</f>
        <v>2.4905623271607702E-5</v>
      </c>
      <c r="BQ106" s="188">
        <f>opex_orig!$BH106</f>
        <v>2.4905623271607702E-5</v>
      </c>
      <c r="BR106" s="188">
        <f>opex_orig!BI106</f>
        <v>4.7800000000000003E-5</v>
      </c>
      <c r="BS106" s="188">
        <f>opex_orig!BJ106</f>
        <v>9.8900000000000005E-5</v>
      </c>
      <c r="BT106" s="188">
        <f>opex_orig!BK106</f>
        <v>2.3799999999999999E-5</v>
      </c>
      <c r="BU106" s="188">
        <f>opex_orig!BL106</f>
        <v>0</v>
      </c>
      <c r="BV106" s="27">
        <f>opex_orig!BM106</f>
        <v>4.0866358473783604E-6</v>
      </c>
      <c r="BW106" s="27">
        <f>opex_orig!BN106</f>
        <v>6.0304705138217297E-6</v>
      </c>
      <c r="BX106" s="27">
        <f>opex_orig!BO106</f>
        <v>1.3680766769776799E-6</v>
      </c>
      <c r="BY106" s="27">
        <f>opex_orig!BP106</f>
        <v>2.2999022576593502E-6</v>
      </c>
      <c r="BZ106" s="27">
        <f>opex_orig!BQ106</f>
        <v>2.7916364135244501E-6</v>
      </c>
      <c r="CA106" s="27">
        <f>opex_orig!BR106</f>
        <v>1.2677775618125299E-5</v>
      </c>
      <c r="CB106" s="27">
        <f>opex_orig!BS106</f>
        <v>5.7370339799257003E-6</v>
      </c>
      <c r="CC106" s="27">
        <f>opex_orig!BT106</f>
        <v>5.5174522588964505E-7</v>
      </c>
      <c r="CD106" s="27">
        <f>opex_orig!BU106</f>
        <v>2.30784782207681E-6</v>
      </c>
      <c r="CE106" s="27">
        <f>opex_orig!BV106</f>
        <v>2.3078478220768202E-6</v>
      </c>
      <c r="CF106" s="27">
        <f>opex_orig!BW106</f>
        <v>2.4899076663526301E-6</v>
      </c>
      <c r="CG106" s="27">
        <f>opex_orig!BX106</f>
        <v>6.84749441285248E-8</v>
      </c>
      <c r="CH106" s="27">
        <f>opex_orig!BY106</f>
        <v>8.0589234711712495E-8</v>
      </c>
      <c r="CI106" s="27">
        <f>opex_orig!Y106</f>
        <v>1.69536E-4</v>
      </c>
      <c r="CJ106" s="27">
        <f>opex_orig!Z106</f>
        <v>3.4743099999999999E-4</v>
      </c>
      <c r="CK106" s="27">
        <f>opex_orig!AA106</f>
        <v>6.55E-6</v>
      </c>
      <c r="CL106" s="27">
        <f>opex_orig!AB106</f>
        <v>3.2366965306455799E-6</v>
      </c>
      <c r="CM106" s="27">
        <f>opex_orig!AC106</f>
        <v>3.9625853836620697E-5</v>
      </c>
      <c r="CN106" s="27">
        <f>opex_orig!AD106</f>
        <v>6.5658863174722495E-5</v>
      </c>
      <c r="CO106" s="27">
        <f>opex_orig!AE106</f>
        <v>6.4599999999999998E-5</v>
      </c>
      <c r="CP106" s="27">
        <f>opex_orig!AF106</f>
        <v>2.34436E-4</v>
      </c>
    </row>
    <row r="107" spans="1:94" x14ac:dyDescent="0.25">
      <c r="A107" s="5" t="s">
        <v>14</v>
      </c>
      <c r="B107" s="2" t="s">
        <v>15</v>
      </c>
      <c r="C107" s="1" t="s">
        <v>330</v>
      </c>
      <c r="D107" s="188">
        <f>opex_orig!D107</f>
        <v>7.8199999999999999E-9</v>
      </c>
      <c r="E107" s="188">
        <f>opex_orig!E107</f>
        <v>1.0999999999999999E-9</v>
      </c>
      <c r="F107" s="188">
        <f>opex_orig!F107</f>
        <v>5.9000000000000003E-10</v>
      </c>
      <c r="G107" s="188">
        <f>opex_orig!G107</f>
        <v>1.5E-10</v>
      </c>
      <c r="H107" s="188">
        <f>opex_orig!H107</f>
        <v>2.4599999999999998E-10</v>
      </c>
      <c r="I107" s="188">
        <f>opex_orig!I107</f>
        <v>1.62E-9</v>
      </c>
      <c r="J107" s="188">
        <f>opex_orig!J107</f>
        <v>4.9E-9</v>
      </c>
      <c r="K107" s="188">
        <f>opex_orig!K107</f>
        <v>4.6900000000000003E-10</v>
      </c>
      <c r="L107" s="188">
        <f>opex_orig!L107</f>
        <v>1.08E-9</v>
      </c>
      <c r="M107" s="188">
        <f>opex_orig!M107</f>
        <v>2.6299999999999998E-9</v>
      </c>
      <c r="N107" s="188">
        <f>opex_orig!N107</f>
        <v>1.5300000000000001E-9</v>
      </c>
      <c r="O107" s="188">
        <f>opex_orig!O107</f>
        <v>2.9499999999999999E-9</v>
      </c>
      <c r="P107" s="188">
        <f>opex_orig!P107</f>
        <v>2.4699999999999999E-9</v>
      </c>
      <c r="Q107" s="188">
        <f>opex_orig!Q107</f>
        <v>2.3600000000000001E-10</v>
      </c>
      <c r="R107" s="188">
        <f>opex_orig!R107</f>
        <v>1.37E-9</v>
      </c>
      <c r="S107" s="188">
        <f>opex_orig!S107</f>
        <v>1.15E-9</v>
      </c>
      <c r="T107" s="188">
        <f>opex_orig!T107</f>
        <v>1.4800000000000001E-9</v>
      </c>
      <c r="U107" s="188">
        <f>opex_orig!U107</f>
        <v>4.0899999999999997E-9</v>
      </c>
      <c r="V107" s="188">
        <f>opex_orig!V107</f>
        <v>5.8699999999999998E-9</v>
      </c>
      <c r="W107" s="188">
        <f>opex_orig!W107</f>
        <v>1.1599999999999999E-9</v>
      </c>
      <c r="X107" s="188">
        <f>opex_orig!X107</f>
        <v>8.7399999999999998E-10</v>
      </c>
      <c r="Y107" s="188">
        <f>opex_orig!Y107</f>
        <v>4.9600000000000004E-10</v>
      </c>
      <c r="Z107" s="188">
        <f>opex_orig!Z107</f>
        <v>2.8699999999999998E-9</v>
      </c>
      <c r="AA107" s="188">
        <f>opex_orig!AA107</f>
        <v>2.9600000000000001E-9</v>
      </c>
      <c r="AB107" s="273">
        <f>opex_concordance!M173</f>
        <v>1.51912372898467E-9</v>
      </c>
      <c r="AC107" s="273">
        <f>opex_concordance!M218</f>
        <v>4.5900502066422248E-8</v>
      </c>
      <c r="AD107" s="273">
        <f>opex_concordance!M263</f>
        <v>4.0945113755617446E-8</v>
      </c>
      <c r="AE107" s="188">
        <f>opex_orig!$AC107</f>
        <v>2.1970401333417899E-9</v>
      </c>
      <c r="AF107" s="273">
        <f>opex_concordance!M305</f>
        <v>1.9287146365628901E-9</v>
      </c>
      <c r="AG107" s="273">
        <f>opex_concordance!M341</f>
        <v>4.7559767753659275E-10</v>
      </c>
      <c r="AH107" s="273">
        <f>opex_concordance!M377</f>
        <v>5.751199629280834E-10</v>
      </c>
      <c r="AI107" s="188">
        <f>opex_orig!AE107</f>
        <v>1.8199999999999999E-9</v>
      </c>
      <c r="AJ107" s="188">
        <f>opex_orig!AF107</f>
        <v>4.0300000000000004E-9</v>
      </c>
      <c r="AK107" s="188">
        <f>opex_orig!AG107</f>
        <v>2.0099999999999999E-9</v>
      </c>
      <c r="AL107" s="188">
        <f>opex_orig!AH107</f>
        <v>8.67E-10</v>
      </c>
      <c r="AM107" s="188">
        <f>opex_orig!AI107</f>
        <v>1.79E-9</v>
      </c>
      <c r="AN107" s="188">
        <f>opex_orig!AJ107</f>
        <v>4.7400000000000002E-10</v>
      </c>
      <c r="AO107" s="188">
        <f>opex_orig!AK107</f>
        <v>1.0399999999999999E-9</v>
      </c>
      <c r="AP107" s="273">
        <f>opex_concordance!M415</f>
        <v>8.8864751107379086E-10</v>
      </c>
      <c r="AQ107" s="273">
        <f>opex_concordance!M469</f>
        <v>1.1815936982068176E-9</v>
      </c>
      <c r="AR107" s="273">
        <f>opex_concordance!M523</f>
        <v>2.4301040270177646E-9</v>
      </c>
      <c r="AS107" s="188">
        <f>opex_orig!$AM107</f>
        <v>9.6369735256330706E-10</v>
      </c>
      <c r="AT107" s="188">
        <f>opex_orig!AN107</f>
        <v>9.8100000000000002E-10</v>
      </c>
      <c r="AU107" s="273">
        <f>opex_concordance!M582</f>
        <v>1.91337258228685E-10</v>
      </c>
      <c r="AV107" s="273">
        <f>opex_concordance!M628</f>
        <v>2.6116875761861751E-9</v>
      </c>
      <c r="AW107" s="273">
        <f>opex_concordance!M674</f>
        <v>2.2657403045040758E-10</v>
      </c>
      <c r="AX107" s="188">
        <f>opex_orig!$AP107</f>
        <v>2.7597077293991601E-10</v>
      </c>
      <c r="AY107" s="188">
        <f>opex_orig!AQ107</f>
        <v>3.1100000000000001E-10</v>
      </c>
      <c r="AZ107" s="188">
        <f>opex_orig!AR107</f>
        <v>0</v>
      </c>
      <c r="BA107" s="188">
        <f>opex_orig!AS107</f>
        <v>3.5700000000000001E-10</v>
      </c>
      <c r="BB107" s="188">
        <f>opex_orig!AT107</f>
        <v>3.4799999999999999E-10</v>
      </c>
      <c r="BC107" s="188">
        <f>opex_orig!AU107</f>
        <v>2.6800000000000001E-10</v>
      </c>
      <c r="BD107" s="188">
        <f>opex_orig!AV107</f>
        <v>2.7099999999999999E-10</v>
      </c>
      <c r="BE107" s="188">
        <f>opex_orig!AW107</f>
        <v>2.32E-10</v>
      </c>
      <c r="BF107" s="188">
        <f>opex_orig!AX107</f>
        <v>0</v>
      </c>
      <c r="BG107" s="188">
        <f>opex_orig!AY107</f>
        <v>4.8999999999999996E-10</v>
      </c>
      <c r="BH107" s="188">
        <f>opex_orig!AZ107</f>
        <v>0</v>
      </c>
      <c r="BI107" s="188">
        <f>opex_orig!BA107</f>
        <v>2.18E-10</v>
      </c>
      <c r="BJ107" s="188">
        <f>opex_orig!BB107</f>
        <v>1.87E-9</v>
      </c>
      <c r="BK107" s="188">
        <f>opex_orig!BC107</f>
        <v>1.2100000000000001E-8</v>
      </c>
      <c r="BL107" s="188">
        <f>opex_orig!BD107</f>
        <v>1.51E-8</v>
      </c>
      <c r="BM107" s="188">
        <f>opex_orig!BE107</f>
        <v>1.8299999999999998E-8</v>
      </c>
      <c r="BN107" s="188">
        <f>opex_orig!BF107</f>
        <v>2.2699999999999998E-9</v>
      </c>
      <c r="BO107" s="188">
        <f>opex_orig!BG107</f>
        <v>1.9599999999999998E-9</v>
      </c>
      <c r="BP107" s="188">
        <f>opex_orig!$BH107</f>
        <v>7.5692860948222299E-9</v>
      </c>
      <c r="BQ107" s="188">
        <f>opex_orig!$BH107</f>
        <v>7.5692860948222299E-9</v>
      </c>
      <c r="BR107" s="188">
        <f>opex_orig!BI107</f>
        <v>3.84E-9</v>
      </c>
      <c r="BS107" s="188">
        <f>opex_orig!BJ107</f>
        <v>1.2E-9</v>
      </c>
      <c r="BT107" s="188">
        <f>opex_orig!BK107</f>
        <v>2.3400000000000002E-10</v>
      </c>
      <c r="BU107" s="188">
        <f>opex_orig!BL107</f>
        <v>0</v>
      </c>
      <c r="BV107" s="27">
        <f>opex_orig!BM107</f>
        <v>4.8692393645159699E-9</v>
      </c>
      <c r="BW107" s="27">
        <f>opex_orig!BN107</f>
        <v>1.22609455796522E-8</v>
      </c>
      <c r="BX107" s="27">
        <f>opex_orig!BO107</f>
        <v>1.82969134166997E-9</v>
      </c>
      <c r="BY107" s="27">
        <f>opex_orig!BP107</f>
        <v>2.27318835464568E-9</v>
      </c>
      <c r="BZ107" s="27">
        <f>opex_orig!BQ107</f>
        <v>2.2417184298853799E-9</v>
      </c>
      <c r="CA107" s="27">
        <f>opex_orig!BR107</f>
        <v>2.39072984269333E-9</v>
      </c>
      <c r="CB107" s="27">
        <f>opex_orig!BS107</f>
        <v>6.5884949058357697E-9</v>
      </c>
      <c r="CC107" s="27">
        <f>opex_orig!BT107</f>
        <v>2.0923102705572401E-9</v>
      </c>
      <c r="CD107" s="27">
        <f>opex_orig!BU107</f>
        <v>2.4067358790456902E-9</v>
      </c>
      <c r="CE107" s="27">
        <f>opex_orig!BV107</f>
        <v>2.4067358790457001E-9</v>
      </c>
      <c r="CF107" s="27">
        <f>opex_orig!BW107</f>
        <v>5.7112957158898599E-7</v>
      </c>
      <c r="CG107" s="27">
        <f>opex_orig!BX107</f>
        <v>7.0842074222433996E-10</v>
      </c>
      <c r="CH107" s="27">
        <f>opex_orig!BY107</f>
        <v>2.3971334822999999E-10</v>
      </c>
      <c r="CI107" s="27">
        <f>opex_orig!Y107</f>
        <v>4.9600000000000004E-10</v>
      </c>
      <c r="CJ107" s="27">
        <f>opex_orig!Z107</f>
        <v>2.8699999999999998E-9</v>
      </c>
      <c r="CK107" s="27">
        <f>opex_orig!AA107</f>
        <v>2.9600000000000001E-9</v>
      </c>
      <c r="CL107" s="27">
        <f>opex_orig!AB107</f>
        <v>1.51912372898467E-9</v>
      </c>
      <c r="CM107" s="27">
        <f>opex_orig!AC107</f>
        <v>2.1970401333417899E-9</v>
      </c>
      <c r="CN107" s="27">
        <f>opex_orig!AD107</f>
        <v>1.9287146365628901E-9</v>
      </c>
      <c r="CO107" s="27">
        <f>opex_orig!AE107</f>
        <v>1.8199999999999999E-9</v>
      </c>
      <c r="CP107" s="27">
        <f>opex_orig!AF107</f>
        <v>4.0300000000000004E-9</v>
      </c>
    </row>
    <row r="108" spans="1:94" x14ac:dyDescent="0.25">
      <c r="A108" s="5" t="s">
        <v>16</v>
      </c>
      <c r="B108" s="2" t="s">
        <v>17</v>
      </c>
      <c r="C108" s="1" t="s">
        <v>330</v>
      </c>
      <c r="D108" s="188">
        <f>opex_orig!D108</f>
        <v>5.17E-11</v>
      </c>
      <c r="E108" s="188">
        <f>opex_orig!E108</f>
        <v>6.4199999999999995E-11</v>
      </c>
      <c r="F108" s="188">
        <f>opex_orig!F108</f>
        <v>1.7199999999999999E-11</v>
      </c>
      <c r="G108" s="188">
        <f>opex_orig!G108</f>
        <v>9.6199999999999998E-12</v>
      </c>
      <c r="H108" s="188">
        <f>opex_orig!H108</f>
        <v>1.1300000000000001E-11</v>
      </c>
      <c r="I108" s="188">
        <f>opex_orig!I108</f>
        <v>1.5100000000000001E-11</v>
      </c>
      <c r="J108" s="188">
        <f>opex_orig!J108</f>
        <v>6.6099999999999997E-11</v>
      </c>
      <c r="K108" s="188">
        <f>opex_orig!K108</f>
        <v>2.92E-11</v>
      </c>
      <c r="L108" s="188">
        <f>opex_orig!L108</f>
        <v>1.1100000000000001E-11</v>
      </c>
      <c r="M108" s="188">
        <f>opex_orig!M108</f>
        <v>3.0499999999999998E-11</v>
      </c>
      <c r="N108" s="188">
        <f>opex_orig!N108</f>
        <v>3.6399999999999998E-10</v>
      </c>
      <c r="O108" s="188">
        <f>opex_orig!O108</f>
        <v>8.3999999999999994E-11</v>
      </c>
      <c r="P108" s="188">
        <f>opex_orig!P108</f>
        <v>1.8900000000000001E-11</v>
      </c>
      <c r="Q108" s="188">
        <f>opex_orig!Q108</f>
        <v>7.2299999999999997E-12</v>
      </c>
      <c r="R108" s="188">
        <f>opex_orig!R108</f>
        <v>1.1200000000000001E-11</v>
      </c>
      <c r="S108" s="188">
        <f>opex_orig!S108</f>
        <v>1.7300000000000001E-11</v>
      </c>
      <c r="T108" s="188">
        <f>opex_orig!T108</f>
        <v>5.21E-11</v>
      </c>
      <c r="U108" s="188">
        <f>opex_orig!U108</f>
        <v>9.3199999999999999E-11</v>
      </c>
      <c r="V108" s="188">
        <f>opex_orig!V108</f>
        <v>2.17E-10</v>
      </c>
      <c r="W108" s="188">
        <f>opex_orig!W108</f>
        <v>2.4200000000000001E-11</v>
      </c>
      <c r="X108" s="188">
        <f>opex_orig!X108</f>
        <v>1.7500000000000001E-11</v>
      </c>
      <c r="Y108" s="188">
        <f>opex_orig!Y108</f>
        <v>2.17E-11</v>
      </c>
      <c r="Z108" s="188">
        <f>opex_orig!Z108</f>
        <v>2.3000000000000001E-11</v>
      </c>
      <c r="AA108" s="188">
        <f>opex_orig!AA108</f>
        <v>9.0999999999999996E-11</v>
      </c>
      <c r="AB108" s="273">
        <f>opex_concordance!M174</f>
        <v>9.9952413843299992E-10</v>
      </c>
      <c r="AC108" s="273">
        <f>opex_concordance!M219</f>
        <v>3.0200739351393411E-8</v>
      </c>
      <c r="AD108" s="273">
        <f>opex_concordance!M264</f>
        <v>2.6940287198974889E-8</v>
      </c>
      <c r="AE108" s="188">
        <f>opex_orig!$AC108</f>
        <v>1.19199716888E-9</v>
      </c>
      <c r="AF108" s="273">
        <f>opex_concordance!M306</f>
        <v>3.1313078810900002E-10</v>
      </c>
      <c r="AG108" s="273">
        <f>opex_concordance!M342</f>
        <v>7.7214261128456634E-11</v>
      </c>
      <c r="AH108" s="273">
        <f>opex_concordance!M378</f>
        <v>9.3371908853151627E-11</v>
      </c>
      <c r="AI108" s="188">
        <f>opex_orig!AE108</f>
        <v>1.88E-10</v>
      </c>
      <c r="AJ108" s="188">
        <f>opex_orig!AF108</f>
        <v>1.37E-11</v>
      </c>
      <c r="AK108" s="188">
        <f>opex_orig!AG108</f>
        <v>5.88E-12</v>
      </c>
      <c r="AL108" s="188">
        <f>opex_orig!AH108</f>
        <v>2.1399999999999998E-11</v>
      </c>
      <c r="AM108" s="188">
        <f>opex_orig!AI108</f>
        <v>5.1500000000000003E-11</v>
      </c>
      <c r="AN108" s="188">
        <f>opex_orig!AJ108</f>
        <v>5.2400000000000001E-11</v>
      </c>
      <c r="AO108" s="188">
        <f>opex_orig!AK108</f>
        <v>8.8200000000000003E-11</v>
      </c>
      <c r="AP108" s="273">
        <f>opex_concordance!M416</f>
        <v>5.5549515684600003E-11</v>
      </c>
      <c r="AQ108" s="273">
        <f>opex_concordance!M470</f>
        <v>7.3861634510236994E-11</v>
      </c>
      <c r="AR108" s="273">
        <f>opex_concordance!M524</f>
        <v>1.5190623963028645E-10</v>
      </c>
      <c r="AS108" s="188">
        <f>opex_orig!$AM108</f>
        <v>7.9924600161099899E-11</v>
      </c>
      <c r="AT108" s="188">
        <f>opex_orig!AN108</f>
        <v>5.1600000000000001E-11</v>
      </c>
      <c r="AU108" s="273">
        <f>opex_concordance!M583</f>
        <v>2.1652850795599999E-11</v>
      </c>
      <c r="AV108" s="273">
        <f>opex_concordance!M629</f>
        <v>2.9555394456574003E-10</v>
      </c>
      <c r="AW108" s="273">
        <f>opex_concordance!M675</f>
        <v>2.5640451425497174E-11</v>
      </c>
      <c r="AX108" s="188">
        <f>opex_orig!$AP108</f>
        <v>8.1055261112500105E-11</v>
      </c>
      <c r="AY108" s="188">
        <f>opex_orig!AQ108</f>
        <v>1.06E-10</v>
      </c>
      <c r="AZ108" s="188">
        <f>opex_orig!AR108</f>
        <v>0</v>
      </c>
      <c r="BA108" s="188">
        <f>opex_orig!AS108</f>
        <v>7.8000000000000002E-11</v>
      </c>
      <c r="BB108" s="188">
        <f>opex_orig!AT108</f>
        <v>3.5199999999999999E-11</v>
      </c>
      <c r="BC108" s="188">
        <f>opex_orig!AU108</f>
        <v>1.34E-10</v>
      </c>
      <c r="BD108" s="188">
        <f>opex_orig!AV108</f>
        <v>6.6300000000000006E-11</v>
      </c>
      <c r="BE108" s="188">
        <f>opex_orig!AW108</f>
        <v>8.9399999999999996E-11</v>
      </c>
      <c r="BF108" s="188">
        <f>opex_orig!AX108</f>
        <v>0</v>
      </c>
      <c r="BG108" s="188">
        <f>opex_orig!AY108</f>
        <v>5.5200000000000001E-11</v>
      </c>
      <c r="BH108" s="188">
        <f>opex_orig!AZ108</f>
        <v>0</v>
      </c>
      <c r="BI108" s="188">
        <f>opex_orig!BA108</f>
        <v>1.7700000000000001E-11</v>
      </c>
      <c r="BJ108" s="188">
        <f>opex_orig!BB108</f>
        <v>4.9400000000000004E-12</v>
      </c>
      <c r="BK108" s="188">
        <f>opex_orig!BC108</f>
        <v>6.03E-12</v>
      </c>
      <c r="BL108" s="188">
        <f>opex_orig!BD108</f>
        <v>2.9500000000000002E-11</v>
      </c>
      <c r="BM108" s="188">
        <f>opex_orig!BE108</f>
        <v>6.2699999999999997E-12</v>
      </c>
      <c r="BN108" s="188">
        <f>opex_orig!BF108</f>
        <v>5.6400000000000002E-12</v>
      </c>
      <c r="BO108" s="188">
        <f>opex_orig!BG108</f>
        <v>2.1399999999999998E-11</v>
      </c>
      <c r="BP108" s="188">
        <f>opex_orig!$BH108</f>
        <v>4.16621556622001E-12</v>
      </c>
      <c r="BQ108" s="188">
        <f>opex_orig!$BH108</f>
        <v>4.16621556622001E-12</v>
      </c>
      <c r="BR108" s="188">
        <f>opex_orig!BI108</f>
        <v>1.8399999999999999E-11</v>
      </c>
      <c r="BS108" s="188">
        <f>opex_orig!BJ108</f>
        <v>1.2100000000000001E-11</v>
      </c>
      <c r="BT108" s="188">
        <f>opex_orig!BK108</f>
        <v>3.83E-11</v>
      </c>
      <c r="BU108" s="188">
        <f>opex_orig!BL108</f>
        <v>0</v>
      </c>
      <c r="BV108" s="27">
        <f>opex_orig!BM108</f>
        <v>1.9716718901899999E-11</v>
      </c>
      <c r="BW108" s="27">
        <f>opex_orig!BN108</f>
        <v>4.1727841845300002E-10</v>
      </c>
      <c r="BX108" s="27">
        <f>opex_orig!BO108</f>
        <v>3.0198870579599998E-11</v>
      </c>
      <c r="BY108" s="27">
        <f>opex_orig!BP108</f>
        <v>3.9571996026199998E-10</v>
      </c>
      <c r="BZ108" s="27">
        <f>opex_orig!BQ108</f>
        <v>1.4036476238700001E-10</v>
      </c>
      <c r="CA108" s="27">
        <f>opex_orig!BR108</f>
        <v>7.8746353926700099E-12</v>
      </c>
      <c r="CB108" s="27">
        <f>opex_orig!BS108</f>
        <v>2.8371055136199999E-10</v>
      </c>
      <c r="CC108" s="27">
        <f>opex_orig!BT108</f>
        <v>1.1285629620000001E-11</v>
      </c>
      <c r="CD108" s="27">
        <f>opex_orig!BU108</f>
        <v>3.7688175598400003E-12</v>
      </c>
      <c r="CE108" s="27">
        <f>opex_orig!BV108</f>
        <v>3.76881755984001E-12</v>
      </c>
      <c r="CF108" s="27">
        <f>opex_orig!BW108</f>
        <v>1.4882192841399999E-11</v>
      </c>
      <c r="CG108" s="27">
        <f>opex_orig!BX108</f>
        <v>4.9783048631700004E-13</v>
      </c>
      <c r="CH108" s="27">
        <f>opex_orig!BY108</f>
        <v>2.33142580246E-9</v>
      </c>
      <c r="CI108" s="27">
        <f>opex_orig!Y108</f>
        <v>2.17E-11</v>
      </c>
      <c r="CJ108" s="27">
        <f>opex_orig!Z108</f>
        <v>2.3000000000000001E-11</v>
      </c>
      <c r="CK108" s="27">
        <f>opex_orig!AA108</f>
        <v>9.0999999999999996E-11</v>
      </c>
      <c r="CL108" s="27">
        <f>opex_orig!AB108</f>
        <v>9.9952413843299992E-10</v>
      </c>
      <c r="CM108" s="27">
        <f>opex_orig!AC108</f>
        <v>1.19199716888E-9</v>
      </c>
      <c r="CN108" s="27">
        <f>opex_orig!AD108</f>
        <v>3.1313078810900002E-10</v>
      </c>
      <c r="CO108" s="27">
        <f>opex_orig!AE108</f>
        <v>1.88E-10</v>
      </c>
      <c r="CP108" s="27">
        <f>opex_orig!AF108</f>
        <v>1.37E-11</v>
      </c>
    </row>
    <row r="109" spans="1:94" x14ac:dyDescent="0.25">
      <c r="A109" s="5" t="s">
        <v>18</v>
      </c>
      <c r="B109" s="2" t="s">
        <v>19</v>
      </c>
      <c r="C109" s="1" t="s">
        <v>330</v>
      </c>
      <c r="D109" s="188">
        <f>opex_orig!D109</f>
        <v>8.0099999999999996E-8</v>
      </c>
      <c r="E109" s="188">
        <f>opex_orig!E109</f>
        <v>2.3499999999999999E-8</v>
      </c>
      <c r="F109" s="188">
        <f>opex_orig!F109</f>
        <v>1.9000000000000001E-8</v>
      </c>
      <c r="G109" s="188">
        <f>opex_orig!G109</f>
        <v>2.76E-9</v>
      </c>
      <c r="H109" s="188">
        <f>opex_orig!H109</f>
        <v>5.1799999999999999E-9</v>
      </c>
      <c r="I109" s="188">
        <f>opex_orig!I109</f>
        <v>3.2700000000000002E-8</v>
      </c>
      <c r="J109" s="188">
        <f>opex_orig!J109</f>
        <v>3.8500000000000001E-8</v>
      </c>
      <c r="K109" s="188">
        <f>opex_orig!K109</f>
        <v>6.82E-9</v>
      </c>
      <c r="L109" s="188">
        <f>opex_orig!L109</f>
        <v>5.32E-8</v>
      </c>
      <c r="M109" s="188">
        <f>opex_orig!M109</f>
        <v>1.8300000000000001E-7</v>
      </c>
      <c r="N109" s="188">
        <f>opex_orig!N109</f>
        <v>1.1300000000000001E-7</v>
      </c>
      <c r="O109" s="188">
        <f>opex_orig!O109</f>
        <v>5.4599999999999999E-8</v>
      </c>
      <c r="P109" s="188">
        <f>opex_orig!P109</f>
        <v>1.8E-7</v>
      </c>
      <c r="Q109" s="188">
        <f>opex_orig!Q109</f>
        <v>1.1300000000000001E-7</v>
      </c>
      <c r="R109" s="188">
        <f>opex_orig!R109</f>
        <v>1.4000000000000001E-7</v>
      </c>
      <c r="S109" s="188">
        <f>opex_orig!S109</f>
        <v>8.5300000000000003E-8</v>
      </c>
      <c r="T109" s="188">
        <f>opex_orig!T109</f>
        <v>9.0800000000000006E-8</v>
      </c>
      <c r="U109" s="188">
        <f>opex_orig!U109</f>
        <v>1.2200000000000001E-7</v>
      </c>
      <c r="V109" s="188">
        <f>opex_orig!V109</f>
        <v>1.54E-7</v>
      </c>
      <c r="W109" s="188">
        <f>opex_orig!W109</f>
        <v>1.11E-7</v>
      </c>
      <c r="X109" s="188">
        <f>opex_orig!X109</f>
        <v>2.6300000000000001E-8</v>
      </c>
      <c r="Y109" s="188">
        <f>opex_orig!Y109</f>
        <v>1.59E-8</v>
      </c>
      <c r="Z109" s="188">
        <f>opex_orig!Z109</f>
        <v>6.9899999999999997E-8</v>
      </c>
      <c r="AA109" s="188">
        <f>opex_orig!AA109</f>
        <v>8.0200000000000003E-8</v>
      </c>
      <c r="AB109" s="273">
        <f>opex_concordance!M175</f>
        <v>1.11890862601421E-7</v>
      </c>
      <c r="AC109" s="273">
        <f>opex_concordance!M220</f>
        <v>3.3807955679047388E-6</v>
      </c>
      <c r="AD109" s="273">
        <f>opex_concordance!M265</f>
        <v>3.0158070801062296E-6</v>
      </c>
      <c r="AE109" s="188">
        <f>opex_orig!$AC109</f>
        <v>1.55986072982575E-7</v>
      </c>
      <c r="AF109" s="273">
        <f>opex_concordance!M307</f>
        <v>5.5313346936039598E-8</v>
      </c>
      <c r="AG109" s="273">
        <f>opex_concordance!M343</f>
        <v>1.3639601650162746E-8</v>
      </c>
      <c r="AH109" s="273">
        <f>opex_concordance!M379</f>
        <v>1.6493787850324127E-8</v>
      </c>
      <c r="AI109" s="188">
        <f>opex_orig!AE109</f>
        <v>4.3900000000000003E-8</v>
      </c>
      <c r="AJ109" s="188">
        <f>opex_orig!AF109</f>
        <v>3.9200000000000002E-7</v>
      </c>
      <c r="AK109" s="188">
        <f>opex_orig!AG109</f>
        <v>2.4900000000000002E-7</v>
      </c>
      <c r="AL109" s="188">
        <f>opex_orig!AH109</f>
        <v>1.29E-7</v>
      </c>
      <c r="AM109" s="188">
        <f>opex_orig!AI109</f>
        <v>2.1E-7</v>
      </c>
      <c r="AN109" s="188">
        <f>opex_orig!AJ109</f>
        <v>1.2800000000000001E-7</v>
      </c>
      <c r="AO109" s="188">
        <f>opex_orig!AK109</f>
        <v>1.48E-7</v>
      </c>
      <c r="AP109" s="273">
        <f>opex_concordance!M417</f>
        <v>1.01749429181875E-7</v>
      </c>
      <c r="AQ109" s="273">
        <f>opex_concordance!M471</f>
        <v>1.3529153327866698E-7</v>
      </c>
      <c r="AR109" s="273">
        <f>opex_concordance!M525</f>
        <v>2.7824496723437211E-7</v>
      </c>
      <c r="AS109" s="188">
        <f>opex_orig!$AM109</f>
        <v>1.08724494505503E-7</v>
      </c>
      <c r="AT109" s="188">
        <f>opex_orig!AN109</f>
        <v>1.5099999999999999E-7</v>
      </c>
      <c r="AU109" s="273">
        <f>opex_concordance!M584</f>
        <v>6.7931192020269998E-8</v>
      </c>
      <c r="AV109" s="273">
        <f>opex_concordance!M630</f>
        <v>9.272373393310116E-7</v>
      </c>
      <c r="AW109" s="273">
        <f>opex_concordance!M676</f>
        <v>8.0441436821141194E-8</v>
      </c>
      <c r="AX109" s="188">
        <f>opex_orig!$AP109</f>
        <v>8.1165344025774196E-8</v>
      </c>
      <c r="AY109" s="188">
        <f>opex_orig!AQ109</f>
        <v>8.8300000000000003E-8</v>
      </c>
      <c r="AZ109" s="188">
        <f>opex_orig!AR109</f>
        <v>0</v>
      </c>
      <c r="BA109" s="188">
        <f>opex_orig!AS109</f>
        <v>8.5899999999999995E-8</v>
      </c>
      <c r="BB109" s="188">
        <f>opex_orig!AT109</f>
        <v>8.0299999999999998E-8</v>
      </c>
      <c r="BC109" s="188">
        <f>opex_orig!AU109</f>
        <v>2.96E-8</v>
      </c>
      <c r="BD109" s="188">
        <f>opex_orig!AV109</f>
        <v>2.77E-8</v>
      </c>
      <c r="BE109" s="188">
        <f>opex_orig!AW109</f>
        <v>4.1099999999999997E-8</v>
      </c>
      <c r="BF109" s="188">
        <f>opex_orig!AX109</f>
        <v>0</v>
      </c>
      <c r="BG109" s="188">
        <f>opex_orig!AY109</f>
        <v>5.5000000000000003E-8</v>
      </c>
      <c r="BH109" s="188">
        <f>opex_orig!AZ109</f>
        <v>0</v>
      </c>
      <c r="BI109" s="188">
        <f>opex_orig!BA109</f>
        <v>1.05E-7</v>
      </c>
      <c r="BJ109" s="188">
        <f>opex_orig!BB109</f>
        <v>2.84E-7</v>
      </c>
      <c r="BK109" s="188">
        <f>opex_orig!BC109</f>
        <v>1.22E-6</v>
      </c>
      <c r="BL109" s="188">
        <f>opex_orig!BD109</f>
        <v>1.66E-6</v>
      </c>
      <c r="BM109" s="188">
        <f>opex_orig!BE109</f>
        <v>1.9E-6</v>
      </c>
      <c r="BN109" s="188">
        <f>opex_orig!BF109</f>
        <v>3.3700000000000001E-7</v>
      </c>
      <c r="BO109" s="188">
        <f>opex_orig!BG109</f>
        <v>2.41E-7</v>
      </c>
      <c r="BP109" s="188">
        <f>opex_orig!$BH109</f>
        <v>9.1657257804976497E-7</v>
      </c>
      <c r="BQ109" s="188">
        <f>opex_orig!$BH109</f>
        <v>9.1657257804976497E-7</v>
      </c>
      <c r="BR109" s="188">
        <f>opex_orig!BI109</f>
        <v>4.7999999999999996E-7</v>
      </c>
      <c r="BS109" s="188">
        <f>opex_orig!BJ109</f>
        <v>4.3300000000000003E-7</v>
      </c>
      <c r="BT109" s="188">
        <f>opex_orig!BK109</f>
        <v>2.3800000000000001E-8</v>
      </c>
      <c r="BU109" s="188">
        <f>opex_orig!BL109</f>
        <v>0</v>
      </c>
      <c r="BV109" s="27">
        <f>opex_orig!BM109</f>
        <v>3.1697177889978902E-7</v>
      </c>
      <c r="BW109" s="27">
        <f>opex_orig!BN109</f>
        <v>1.12652743857778E-6</v>
      </c>
      <c r="BX109" s="27">
        <f>opex_orig!BO109</f>
        <v>1.2218494877673401E-7</v>
      </c>
      <c r="BY109" s="27">
        <f>opex_orig!BP109</f>
        <v>1.2746094004728601E-7</v>
      </c>
      <c r="BZ109" s="27">
        <f>opex_orig!BQ109</f>
        <v>1.8885193587374199E-7</v>
      </c>
      <c r="CA109" s="27">
        <f>opex_orig!BR109</f>
        <v>2.6386051629361E-7</v>
      </c>
      <c r="CB109" s="27">
        <f>opex_orig!BS109</f>
        <v>5.4827016606244495E-7</v>
      </c>
      <c r="CC109" s="27">
        <f>opex_orig!BT109</f>
        <v>2.6735876804137799E-7</v>
      </c>
      <c r="CD109" s="27">
        <f>opex_orig!BU109</f>
        <v>1.07342421215263E-7</v>
      </c>
      <c r="CE109" s="27">
        <f>opex_orig!BV109</f>
        <v>1.07342421215264E-7</v>
      </c>
      <c r="CF109" s="27">
        <f>opex_orig!BW109</f>
        <v>2.94031428437894E-7</v>
      </c>
      <c r="CG109" s="27">
        <f>opex_orig!BX109</f>
        <v>2.3577408212464302E-9</v>
      </c>
      <c r="CH109" s="27">
        <f>opex_orig!BY109</f>
        <v>1.5989544305676501E-7</v>
      </c>
      <c r="CI109" s="27">
        <f>opex_orig!Y109</f>
        <v>1.59E-8</v>
      </c>
      <c r="CJ109" s="27">
        <f>opex_orig!Z109</f>
        <v>6.9899999999999997E-8</v>
      </c>
      <c r="CK109" s="27">
        <f>opex_orig!AA109</f>
        <v>8.0200000000000003E-8</v>
      </c>
      <c r="CL109" s="27">
        <f>opex_orig!AB109</f>
        <v>1.11890862601421E-7</v>
      </c>
      <c r="CM109" s="27">
        <f>opex_orig!AC109</f>
        <v>1.55986072982575E-7</v>
      </c>
      <c r="CN109" s="27">
        <f>opex_orig!AD109</f>
        <v>5.5313346936039598E-8</v>
      </c>
      <c r="CO109" s="27">
        <f>opex_orig!AE109</f>
        <v>4.3900000000000003E-8</v>
      </c>
      <c r="CP109" s="27">
        <f>opex_orig!AF109</f>
        <v>3.9200000000000002E-7</v>
      </c>
    </row>
    <row r="110" spans="1:94" x14ac:dyDescent="0.25">
      <c r="A110" s="5" t="s">
        <v>20</v>
      </c>
      <c r="B110" s="2" t="s">
        <v>21</v>
      </c>
      <c r="C110" s="1" t="s">
        <v>330</v>
      </c>
      <c r="D110" s="188">
        <f>opex_orig!D110</f>
        <v>7.47E-5</v>
      </c>
      <c r="E110" s="188">
        <f>opex_orig!E110</f>
        <v>1.237E-4</v>
      </c>
      <c r="F110" s="188">
        <f>opex_orig!F110</f>
        <v>6.9900000000000005E-5</v>
      </c>
      <c r="G110" s="188">
        <f>opex_orig!G110</f>
        <v>9.2499999999999995E-6</v>
      </c>
      <c r="H110" s="188">
        <f>opex_orig!H110</f>
        <v>2.1699999999999999E-5</v>
      </c>
      <c r="I110" s="188">
        <f>opex_orig!I110</f>
        <v>3.92459E-4</v>
      </c>
      <c r="J110" s="188">
        <f>opex_orig!J110</f>
        <v>1.6085940000000001E-3</v>
      </c>
      <c r="K110" s="188">
        <f>opex_orig!K110</f>
        <v>2.94E-5</v>
      </c>
      <c r="L110" s="188">
        <f>opex_orig!L110</f>
        <v>1.48665E-4</v>
      </c>
      <c r="M110" s="188">
        <f>opex_orig!M110</f>
        <v>5.2787999999999999E-4</v>
      </c>
      <c r="N110" s="188">
        <f>opex_orig!N110</f>
        <v>2.2237599999999999E-4</v>
      </c>
      <c r="O110" s="188">
        <f>opex_orig!O110</f>
        <v>1.45823E-4</v>
      </c>
      <c r="P110" s="188">
        <f>opex_orig!P110</f>
        <v>1.127372E-3</v>
      </c>
      <c r="Q110" s="188">
        <f>opex_orig!Q110</f>
        <v>1.11958E-3</v>
      </c>
      <c r="R110" s="188">
        <f>opex_orig!R110</f>
        <v>5.1400000000000003E-5</v>
      </c>
      <c r="S110" s="188">
        <f>opex_orig!S110</f>
        <v>5.6357300000000005E-4</v>
      </c>
      <c r="T110" s="188">
        <f>opex_orig!T110</f>
        <v>5.7643199999999999E-4</v>
      </c>
      <c r="U110" s="188">
        <f>opex_orig!U110</f>
        <v>2.0223179999999999E-3</v>
      </c>
      <c r="V110" s="188">
        <f>opex_orig!V110</f>
        <v>9.9512699999999995E-4</v>
      </c>
      <c r="W110" s="188">
        <f>opex_orig!W110</f>
        <v>4.5275900000000001E-4</v>
      </c>
      <c r="X110" s="188">
        <f>opex_orig!X110</f>
        <v>2.8200499999999999E-4</v>
      </c>
      <c r="Y110" s="188">
        <f>opex_orig!Y110</f>
        <v>1.231745E-3</v>
      </c>
      <c r="Z110" s="188">
        <f>opex_orig!Z110</f>
        <v>2.6578890000000001E-3</v>
      </c>
      <c r="AA110" s="188">
        <f>opex_orig!AA110</f>
        <v>3.2299999999999999E-5</v>
      </c>
      <c r="AB110" s="273">
        <f>opex_concordance!M176</f>
        <v>1.52739607723571E-5</v>
      </c>
      <c r="AC110" s="273">
        <f>opex_concordance!M221</f>
        <v>4.6150452041362604E-4</v>
      </c>
      <c r="AD110" s="273">
        <f>opex_concordance!M266</f>
        <v>4.1168079294040907E-4</v>
      </c>
      <c r="AE110" s="188">
        <f>opex_orig!$AC110</f>
        <v>1.88059673135003E-4</v>
      </c>
      <c r="AF110" s="273">
        <f>opex_concordance!M308</f>
        <v>3.2757700900063201E-4</v>
      </c>
      <c r="AG110" s="273">
        <f>opex_concordance!M344</f>
        <v>8.0776524293257762E-5</v>
      </c>
      <c r="AH110" s="273">
        <f>opex_concordance!M380</f>
        <v>9.7679601585992757E-5</v>
      </c>
      <c r="AI110" s="188">
        <f>opex_orig!AE110</f>
        <v>3.4021300000000002E-4</v>
      </c>
      <c r="AJ110" s="188">
        <f>opex_orig!AF110</f>
        <v>1.072036E-3</v>
      </c>
      <c r="AK110" s="188">
        <f>opex_orig!AG110</f>
        <v>2.8143899999999997E-4</v>
      </c>
      <c r="AL110" s="188">
        <f>opex_orig!AH110</f>
        <v>1.9071E-4</v>
      </c>
      <c r="AM110" s="188">
        <f>opex_orig!AI110</f>
        <v>4.9223099999999998E-4</v>
      </c>
      <c r="AN110" s="188">
        <f>opex_orig!AJ110</f>
        <v>1.8111900000000001E-4</v>
      </c>
      <c r="AO110" s="188">
        <f>opex_orig!AK110</f>
        <v>2.4269E-4</v>
      </c>
      <c r="AP110" s="273">
        <f>opex_concordance!M418</f>
        <v>6.1772925140870898E-4</v>
      </c>
      <c r="AQ110" s="273">
        <f>opex_concordance!M472</f>
        <v>8.2136615650964891E-4</v>
      </c>
      <c r="AR110" s="273">
        <f>opex_concordance!M526</f>
        <v>1.6892483495971008E-3</v>
      </c>
      <c r="AS110" s="188">
        <f>opex_orig!$AM110</f>
        <v>2.7308135456141403E-4</v>
      </c>
      <c r="AT110" s="188">
        <f>opex_orig!AN110</f>
        <v>8.72747E-4</v>
      </c>
      <c r="AU110" s="273">
        <f>opex_concordance!M585</f>
        <v>1.79797761095058E-4</v>
      </c>
      <c r="AV110" s="273">
        <f>opex_concordance!M631</f>
        <v>2.4541774206716157E-3</v>
      </c>
      <c r="AW110" s="273">
        <f>opex_concordance!M677</f>
        <v>2.1290941332804925E-4</v>
      </c>
      <c r="AX110" s="188">
        <f>opex_orig!$AP110</f>
        <v>7.6828287713527296E-4</v>
      </c>
      <c r="AY110" s="188">
        <f>opex_orig!AQ110</f>
        <v>1.0458699999999999E-4</v>
      </c>
      <c r="AZ110" s="188">
        <f>opex_orig!AR110</f>
        <v>0</v>
      </c>
      <c r="BA110" s="188">
        <f>opex_orig!AS110</f>
        <v>6.4999000000000003E-4</v>
      </c>
      <c r="BB110" s="188">
        <f>opex_orig!AT110</f>
        <v>5.5800000000000001E-5</v>
      </c>
      <c r="BC110" s="188">
        <f>opex_orig!AU110</f>
        <v>2.3E-5</v>
      </c>
      <c r="BD110" s="188">
        <f>opex_orig!AV110</f>
        <v>1.3900000000000001E-5</v>
      </c>
      <c r="BE110" s="188">
        <f>opex_orig!AW110</f>
        <v>9.1199999999999994E-5</v>
      </c>
      <c r="BF110" s="188">
        <f>opex_orig!AX110</f>
        <v>0</v>
      </c>
      <c r="BG110" s="188">
        <f>opex_orig!AY110</f>
        <v>1.7880899999999999E-4</v>
      </c>
      <c r="BH110" s="188">
        <f>opex_orig!AZ110</f>
        <v>0</v>
      </c>
      <c r="BI110" s="188">
        <f>opex_orig!BA110</f>
        <v>5.77E-5</v>
      </c>
      <c r="BJ110" s="188">
        <f>opex_orig!BB110</f>
        <v>3.4972399999999999E-4</v>
      </c>
      <c r="BK110" s="188">
        <f>opex_orig!BC110</f>
        <v>6.0391799999999995E-4</v>
      </c>
      <c r="BL110" s="188">
        <f>opex_orig!BD110</f>
        <v>2.5899999999999999E-5</v>
      </c>
      <c r="BM110" s="188">
        <f>opex_orig!BE110</f>
        <v>3.5506200000000001E-4</v>
      </c>
      <c r="BN110" s="188">
        <f>opex_orig!BF110</f>
        <v>8.8399999999999994E-5</v>
      </c>
      <c r="BO110" s="188">
        <f>opex_orig!BG110</f>
        <v>8.5749700000000003E-4</v>
      </c>
      <c r="BP110" s="188">
        <f>opex_orig!$BH110</f>
        <v>1.1411645579594199E-4</v>
      </c>
      <c r="BQ110" s="188">
        <f>opex_orig!$BH110</f>
        <v>1.1411645579594199E-4</v>
      </c>
      <c r="BR110" s="188">
        <f>opex_orig!BI110</f>
        <v>2.1191299999999999E-4</v>
      </c>
      <c r="BS110" s="188">
        <f>opex_orig!BJ110</f>
        <v>4.2154099999999999E-4</v>
      </c>
      <c r="BT110" s="188">
        <f>opex_orig!BK110</f>
        <v>1.2663600000000001E-4</v>
      </c>
      <c r="BU110" s="188">
        <f>opex_orig!BL110</f>
        <v>0</v>
      </c>
      <c r="BV110" s="27">
        <f>opex_orig!BM110</f>
        <v>1.7832889504628599E-5</v>
      </c>
      <c r="BW110" s="27">
        <f>opex_orig!BN110</f>
        <v>2.3895597228507999E-5</v>
      </c>
      <c r="BX110" s="27">
        <f>opex_orig!BO110</f>
        <v>5.9452985368122303E-6</v>
      </c>
      <c r="BY110" s="27">
        <f>opex_orig!BP110</f>
        <v>1.0161124076629399E-5</v>
      </c>
      <c r="BZ110" s="27">
        <f>opex_orig!BQ110</f>
        <v>1.18767474417279E-5</v>
      </c>
      <c r="CA110" s="27">
        <f>opex_orig!BR110</f>
        <v>1.24404410962687E-5</v>
      </c>
      <c r="CB110" s="27">
        <f>opex_orig!BS110</f>
        <v>2.5880689739453401E-5</v>
      </c>
      <c r="CC110" s="27">
        <f>opex_orig!BT110</f>
        <v>1.6625500076322201E-6</v>
      </c>
      <c r="CD110" s="27">
        <f>opex_orig!BU110</f>
        <v>1.02961418905236E-5</v>
      </c>
      <c r="CE110" s="27">
        <f>opex_orig!BV110</f>
        <v>1.02961418905236E-5</v>
      </c>
      <c r="CF110" s="27">
        <f>opex_orig!BW110</f>
        <v>1.08196469162221E-6</v>
      </c>
      <c r="CG110" s="27">
        <f>opex_orig!BX110</f>
        <v>6.72108376096842E-8</v>
      </c>
      <c r="CH110" s="27">
        <f>opex_orig!BY110</f>
        <v>2.0632615417752799E-7</v>
      </c>
      <c r="CI110" s="27">
        <f>opex_orig!Y110</f>
        <v>1.231745E-3</v>
      </c>
      <c r="CJ110" s="27">
        <f>opex_orig!Z110</f>
        <v>2.6578890000000001E-3</v>
      </c>
      <c r="CK110" s="27">
        <f>opex_orig!AA110</f>
        <v>3.2299999999999999E-5</v>
      </c>
      <c r="CL110" s="27">
        <f>opex_orig!AB110</f>
        <v>1.52739607723571E-5</v>
      </c>
      <c r="CM110" s="27">
        <f>opex_orig!AC110</f>
        <v>1.88059673135003E-4</v>
      </c>
      <c r="CN110" s="27">
        <f>opex_orig!AD110</f>
        <v>3.2757700900063201E-4</v>
      </c>
      <c r="CO110" s="27">
        <f>opex_orig!AE110</f>
        <v>3.4021300000000002E-4</v>
      </c>
      <c r="CP110" s="27">
        <f>opex_orig!AF110</f>
        <v>1.072036E-3</v>
      </c>
    </row>
    <row r="111" spans="1:94" x14ac:dyDescent="0.25">
      <c r="A111" s="5" t="s">
        <v>213</v>
      </c>
      <c r="B111" s="2" t="s">
        <v>212</v>
      </c>
      <c r="C111" s="1" t="s">
        <v>330</v>
      </c>
      <c r="D111" s="188">
        <f>opex_orig!D111</f>
        <v>4.03683E-4</v>
      </c>
      <c r="E111" s="188">
        <f>opex_orig!E111</f>
        <v>6.6686899999999995E-4</v>
      </c>
      <c r="F111" s="188">
        <f>opex_orig!F111</f>
        <v>3.6106099999999998E-4</v>
      </c>
      <c r="G111" s="188">
        <f>opex_orig!G111</f>
        <v>5.0500000000000001E-5</v>
      </c>
      <c r="H111" s="188">
        <f>opex_orig!H111</f>
        <v>1.1563199999999999E-4</v>
      </c>
      <c r="I111" s="188">
        <f>opex_orig!I111</f>
        <v>2.1295490000000001E-3</v>
      </c>
      <c r="J111" s="188">
        <f>opex_orig!J111</f>
        <v>8.7544360000000009E-3</v>
      </c>
      <c r="K111" s="188">
        <f>opex_orig!K111</f>
        <v>1.5998799999999999E-4</v>
      </c>
      <c r="L111" s="188">
        <f>opex_orig!L111</f>
        <v>7.9732000000000002E-4</v>
      </c>
      <c r="M111" s="188">
        <f>opex_orig!M111</f>
        <v>2.8158720000000001E-3</v>
      </c>
      <c r="N111" s="188">
        <f>opex_orig!N111</f>
        <v>1.176702E-3</v>
      </c>
      <c r="O111" s="188">
        <f>opex_orig!O111</f>
        <v>7.5578400000000001E-4</v>
      </c>
      <c r="P111" s="188">
        <f>opex_orig!P111</f>
        <v>6.4618840000000002E-3</v>
      </c>
      <c r="Q111" s="188">
        <f>opex_orig!Q111</f>
        <v>6.5449059999999996E-3</v>
      </c>
      <c r="R111" s="188">
        <f>opex_orig!R111</f>
        <v>2.9455300000000002E-4</v>
      </c>
      <c r="S111" s="188">
        <f>opex_orig!S111</f>
        <v>3.2246660000000002E-3</v>
      </c>
      <c r="T111" s="188">
        <f>opex_orig!T111</f>
        <v>3.2922099999999998E-3</v>
      </c>
      <c r="U111" s="188">
        <f>opex_orig!U111</f>
        <v>1.1383087E-2</v>
      </c>
      <c r="V111" s="188">
        <f>opex_orig!V111</f>
        <v>5.5667659999999999E-3</v>
      </c>
      <c r="W111" s="188">
        <f>opex_orig!W111</f>
        <v>2.5983450000000002E-3</v>
      </c>
      <c r="X111" s="188">
        <f>opex_orig!X111</f>
        <v>1.606421E-3</v>
      </c>
      <c r="Y111" s="188">
        <f>opex_orig!Y111</f>
        <v>4.111824E-3</v>
      </c>
      <c r="Z111" s="188">
        <f>opex_orig!Z111</f>
        <v>8.4395419999999995E-3</v>
      </c>
      <c r="AA111" s="188">
        <f>opex_orig!AA111</f>
        <v>1.6672E-4</v>
      </c>
      <c r="AB111" s="273">
        <f>opex_concordance!M177</f>
        <v>1.0946893180591401E-4</v>
      </c>
      <c r="AC111" s="273">
        <f>opex_concordance!M222</f>
        <v>3.3076166441852062E-3</v>
      </c>
      <c r="AD111" s="273">
        <f>opex_concordance!M267</f>
        <v>2.9505285053343464E-3</v>
      </c>
      <c r="AE111" s="188">
        <f>opex_orig!$AC111</f>
        <v>1.04911341824612E-3</v>
      </c>
      <c r="AF111" s="273">
        <f>opex_concordance!M309</f>
        <v>1.8073528375023801E-3</v>
      </c>
      <c r="AG111" s="273">
        <f>opex_concordance!M345</f>
        <v>4.4567132727168184E-4</v>
      </c>
      <c r="AH111" s="273">
        <f>opex_concordance!M381</f>
        <v>5.3893130543909869E-4</v>
      </c>
      <c r="AI111" s="188">
        <f>opex_orig!AE111</f>
        <v>1.8901790000000001E-3</v>
      </c>
      <c r="AJ111" s="188">
        <f>opex_orig!AF111</f>
        <v>5.8343450000000003E-3</v>
      </c>
      <c r="AK111" s="188">
        <f>opex_orig!AG111</f>
        <v>1.6726709999999999E-3</v>
      </c>
      <c r="AL111" s="188">
        <f>opex_orig!AH111</f>
        <v>1.086942E-3</v>
      </c>
      <c r="AM111" s="188">
        <f>opex_orig!AI111</f>
        <v>2.7953850000000001E-3</v>
      </c>
      <c r="AN111" s="188">
        <f>opex_orig!AJ111</f>
        <v>9.4043499999999999E-4</v>
      </c>
      <c r="AO111" s="188">
        <f>opex_orig!AK111</f>
        <v>1.3741090000000001E-3</v>
      </c>
      <c r="AP111" s="273">
        <f>opex_concordance!M419</f>
        <v>3.5050658144862002E-3</v>
      </c>
      <c r="AQ111" s="273">
        <f>opex_concordance!M473</f>
        <v>4.6605247036506196E-3</v>
      </c>
      <c r="AR111" s="273">
        <f>opex_concordance!M527</f>
        <v>9.5849866731218814E-3</v>
      </c>
      <c r="AS111" s="188">
        <f>opex_orig!$AM111</f>
        <v>1.5447831808711101E-3</v>
      </c>
      <c r="AT111" s="188">
        <f>opex_orig!AN111</f>
        <v>5.0235260000000004E-3</v>
      </c>
      <c r="AU111" s="273">
        <f>opex_concordance!M586</f>
        <v>1.03280880735687E-3</v>
      </c>
      <c r="AV111" s="273">
        <f>opex_concordance!M632</f>
        <v>1.4097483970036377E-2</v>
      </c>
      <c r="AW111" s="273">
        <f>opex_concordance!M678</f>
        <v>1.2230114319284344E-3</v>
      </c>
      <c r="AX111" s="188">
        <f>opex_orig!$AP111</f>
        <v>4.4313708601779597E-3</v>
      </c>
      <c r="AY111" s="188">
        <f>opex_orig!AQ111</f>
        <v>6.0459100000000003E-4</v>
      </c>
      <c r="AZ111" s="188">
        <f>opex_orig!AR111</f>
        <v>0</v>
      </c>
      <c r="BA111" s="188">
        <f>opex_orig!AS111</f>
        <v>3.7804729999999999E-3</v>
      </c>
      <c r="BB111" s="188">
        <f>opex_orig!AT111</f>
        <v>3.1194399999999998E-4</v>
      </c>
      <c r="BC111" s="188">
        <f>opex_orig!AU111</f>
        <v>1.2003899999999999E-4</v>
      </c>
      <c r="BD111" s="188">
        <f>opex_orig!AV111</f>
        <v>6.9599999999999998E-5</v>
      </c>
      <c r="BE111" s="188">
        <f>opex_orig!AW111</f>
        <v>5.3455600000000005E-4</v>
      </c>
      <c r="BF111" s="188">
        <f>opex_orig!AX111</f>
        <v>0</v>
      </c>
      <c r="BG111" s="188">
        <f>opex_orig!AY111</f>
        <v>1.040036E-3</v>
      </c>
      <c r="BH111" s="188">
        <f>opex_orig!AZ111</f>
        <v>0</v>
      </c>
      <c r="BI111" s="188">
        <f>opex_orig!BA111</f>
        <v>3.2786799999999999E-4</v>
      </c>
      <c r="BJ111" s="188">
        <f>opex_orig!BB111</f>
        <v>1.987216E-3</v>
      </c>
      <c r="BK111" s="188">
        <f>opex_orig!BC111</f>
        <v>3.4500529999999998E-3</v>
      </c>
      <c r="BL111" s="188">
        <f>opex_orig!BD111</f>
        <v>1.59968E-4</v>
      </c>
      <c r="BM111" s="188">
        <f>opex_orig!BE111</f>
        <v>2.0435150000000001E-3</v>
      </c>
      <c r="BN111" s="188">
        <f>opex_orig!BF111</f>
        <v>5.01941E-4</v>
      </c>
      <c r="BO111" s="188">
        <f>opex_orig!BG111</f>
        <v>5.1288260000000004E-3</v>
      </c>
      <c r="BP111" s="188">
        <f>opex_orig!$BH111</f>
        <v>6.5341410040488E-4</v>
      </c>
      <c r="BQ111" s="188">
        <f>opex_orig!$BH111</f>
        <v>6.5341410040488E-4</v>
      </c>
      <c r="BR111" s="188">
        <f>opex_orig!BI111</f>
        <v>1.20488E-3</v>
      </c>
      <c r="BS111" s="188">
        <f>opex_orig!BJ111</f>
        <v>2.4994100000000001E-3</v>
      </c>
      <c r="BT111" s="188">
        <f>opex_orig!BK111</f>
        <v>7.2471099999999995E-4</v>
      </c>
      <c r="BU111" s="188">
        <f>opex_orig!BL111</f>
        <v>0</v>
      </c>
      <c r="BV111" s="27">
        <f>opex_orig!BM111</f>
        <v>9.9039112263292099E-5</v>
      </c>
      <c r="BW111" s="27">
        <f>opex_orig!BN111</f>
        <v>1.5132922127386901E-4</v>
      </c>
      <c r="BX111" s="27">
        <f>opex_orig!BO111</f>
        <v>3.37800687937365E-5</v>
      </c>
      <c r="BY111" s="27">
        <f>opex_orig!BP111</f>
        <v>6.2947833430436405E-5</v>
      </c>
      <c r="BZ111" s="27">
        <f>opex_orig!BQ111</f>
        <v>6.7878900421027604E-5</v>
      </c>
      <c r="CA111" s="27">
        <f>opex_orig!BR111</f>
        <v>1.75221660393749E-4</v>
      </c>
      <c r="CB111" s="27">
        <f>opex_orig!BS111</f>
        <v>1.4298951793509601E-4</v>
      </c>
      <c r="CC111" s="27">
        <f>opex_orig!BT111</f>
        <v>1.16678896134579E-4</v>
      </c>
      <c r="CD111" s="27">
        <f>opex_orig!BU111</f>
        <v>5.5396441434879999E-5</v>
      </c>
      <c r="CE111" s="27">
        <f>opex_orig!BV111</f>
        <v>5.5396441434879999E-5</v>
      </c>
      <c r="CF111" s="27">
        <f>opex_orig!BW111</f>
        <v>1.7751860952279799E-5</v>
      </c>
      <c r="CG111" s="27">
        <f>opex_orig!BX111</f>
        <v>7.1795866497410698E-7</v>
      </c>
      <c r="CH111" s="27">
        <f>opex_orig!BY111</f>
        <v>1.20946094627398E-5</v>
      </c>
      <c r="CI111" s="27">
        <f>opex_orig!Y111</f>
        <v>4.111824E-3</v>
      </c>
      <c r="CJ111" s="27">
        <f>opex_orig!Z111</f>
        <v>8.4395419999999995E-3</v>
      </c>
      <c r="CK111" s="27">
        <f>opex_orig!AA111</f>
        <v>1.6672E-4</v>
      </c>
      <c r="CL111" s="27">
        <f>opex_orig!AB111</f>
        <v>1.0946893180591399E-4</v>
      </c>
      <c r="CM111" s="27">
        <f>opex_orig!AC111</f>
        <v>1.04911341824612E-3</v>
      </c>
      <c r="CN111" s="27">
        <f>opex_orig!AD111</f>
        <v>1.8073528375023801E-3</v>
      </c>
      <c r="CO111" s="27">
        <f>opex_orig!AE111</f>
        <v>1.8901790000000001E-3</v>
      </c>
      <c r="CP111" s="27">
        <f>opex_orig!AF111</f>
        <v>5.8343450000000003E-3</v>
      </c>
    </row>
    <row r="112" spans="1:94" x14ac:dyDescent="0.25">
      <c r="A112" s="5" t="s">
        <v>215</v>
      </c>
      <c r="B112" s="2" t="s">
        <v>214</v>
      </c>
      <c r="C112" s="1" t="s">
        <v>330</v>
      </c>
      <c r="D112" s="188">
        <f>opex_orig!D112</f>
        <v>1.251629E-3</v>
      </c>
      <c r="E112" s="188">
        <f>opex_orig!E112</f>
        <v>1.1095289999999999E-3</v>
      </c>
      <c r="F112" s="188">
        <f>opex_orig!F112</f>
        <v>6.1430800000000004E-4</v>
      </c>
      <c r="G112" s="188">
        <f>opex_orig!G112</f>
        <v>1.26329E-4</v>
      </c>
      <c r="H112" s="188">
        <f>opex_orig!H112</f>
        <v>2.2720300000000001E-4</v>
      </c>
      <c r="I112" s="188">
        <f>opex_orig!I112</f>
        <v>3.2797270000000001E-3</v>
      </c>
      <c r="J112" s="188">
        <f>opex_orig!J112</f>
        <v>1.2896919999999999E-2</v>
      </c>
      <c r="K112" s="188">
        <f>opex_orig!K112</f>
        <v>3.9357299999999998E-4</v>
      </c>
      <c r="L112" s="188">
        <f>opex_orig!L112</f>
        <v>1.324422E-3</v>
      </c>
      <c r="M112" s="188">
        <f>opex_orig!M112</f>
        <v>4.2543060000000002E-3</v>
      </c>
      <c r="N112" s="188">
        <f>opex_orig!N112</f>
        <v>1.9904240000000002E-3</v>
      </c>
      <c r="O112" s="188">
        <f>opex_orig!O112</f>
        <v>1.348421E-3</v>
      </c>
      <c r="P112" s="188">
        <f>opex_orig!P112</f>
        <v>8.2302920000000002E-3</v>
      </c>
      <c r="Q112" s="188">
        <f>opex_orig!Q112</f>
        <v>7.0780909999999999E-3</v>
      </c>
      <c r="R112" s="188">
        <f>opex_orig!R112</f>
        <v>6.8190899999999997E-4</v>
      </c>
      <c r="S112" s="188">
        <f>opex_orig!S112</f>
        <v>4.3381310000000003E-3</v>
      </c>
      <c r="T112" s="188">
        <f>opex_orig!T112</f>
        <v>4.5970539999999997E-3</v>
      </c>
      <c r="U112" s="188">
        <f>opex_orig!U112</f>
        <v>1.6765799000000001E-2</v>
      </c>
      <c r="V112" s="188">
        <f>opex_orig!V112</f>
        <v>9.2168879999999995E-3</v>
      </c>
      <c r="W112" s="188">
        <f>opex_orig!W112</f>
        <v>3.421468E-3</v>
      </c>
      <c r="X112" s="188">
        <f>opex_orig!X112</f>
        <v>2.3611439999999999E-3</v>
      </c>
      <c r="Y112" s="188">
        <f>opex_orig!Y112</f>
        <v>4.8482849999999999E-3</v>
      </c>
      <c r="Z112" s="188">
        <f>opex_orig!Z112</f>
        <v>1.0916303E-2</v>
      </c>
      <c r="AA112" s="188">
        <f>opex_orig!AA112</f>
        <v>1.263068E-3</v>
      </c>
      <c r="AB112" s="273">
        <f>opex_concordance!M178</f>
        <v>6.4922659236433795E-4</v>
      </c>
      <c r="AC112" s="273">
        <f>opex_concordance!M223</f>
        <v>1.9616457814343236E-2</v>
      </c>
      <c r="AD112" s="273">
        <f>opex_concordance!M268</f>
        <v>1.7498677803747181E-2</v>
      </c>
      <c r="AE112" s="188">
        <f>opex_orig!$AC112</f>
        <v>2.0785644425696101E-3</v>
      </c>
      <c r="AF112" s="273">
        <f>opex_concordance!M310</f>
        <v>2.7859504172782195E-3</v>
      </c>
      <c r="AG112" s="273">
        <f>opex_concordance!M346</f>
        <v>6.8698164211106628E-4</v>
      </c>
      <c r="AH112" s="273">
        <f>opex_concordance!M382</f>
        <v>8.3073756497221616E-4</v>
      </c>
      <c r="AI112" s="188">
        <f>opex_orig!AE112</f>
        <v>3.0284140000000001E-3</v>
      </c>
      <c r="AJ112" s="188">
        <f>opex_orig!AF112</f>
        <v>7.2417330000000002E-3</v>
      </c>
      <c r="AK112" s="188">
        <f>opex_orig!AG112</f>
        <v>2.140159E-3</v>
      </c>
      <c r="AL112" s="188">
        <f>opex_orig!AH112</f>
        <v>1.6077859999999999E-3</v>
      </c>
      <c r="AM112" s="188">
        <f>opex_orig!AI112</f>
        <v>4.0072609999999998E-3</v>
      </c>
      <c r="AN112" s="188">
        <f>opex_orig!AJ112</f>
        <v>1.883909E-3</v>
      </c>
      <c r="AO112" s="188">
        <f>opex_orig!AK112</f>
        <v>2.140791E-3</v>
      </c>
      <c r="AP112" s="273">
        <f>opex_concordance!M420</f>
        <v>4.9252142432523998E-3</v>
      </c>
      <c r="AQ112" s="273">
        <f>opex_concordance!M474</f>
        <v>6.5488307114183212E-3</v>
      </c>
      <c r="AR112" s="273">
        <f>opex_concordance!M528</f>
        <v>1.3468538219378474E-2</v>
      </c>
      <c r="AS112" s="188">
        <f>opex_orig!$AM112</f>
        <v>2.3577699462270598E-3</v>
      </c>
      <c r="AT112" s="188">
        <f>opex_orig!AN112</f>
        <v>6.4613559999999997E-3</v>
      </c>
      <c r="AU112" s="273">
        <f>opex_concordance!M587</f>
        <v>1.6066188344992999E-3</v>
      </c>
      <c r="AV112" s="273">
        <f>opex_concordance!M633</f>
        <v>2.1929792914213913E-2</v>
      </c>
      <c r="AW112" s="273">
        <f>opex_concordance!M679</f>
        <v>1.9024946218000613E-3</v>
      </c>
      <c r="AX112" s="188">
        <f>opex_orig!$AP112</f>
        <v>5.6783107544196897E-3</v>
      </c>
      <c r="AY112" s="188">
        <f>opex_orig!AQ112</f>
        <v>1.245199E-3</v>
      </c>
      <c r="AZ112" s="188">
        <f>opex_orig!AR112</f>
        <v>0</v>
      </c>
      <c r="BA112" s="188">
        <f>opex_orig!AS112</f>
        <v>5.046376E-3</v>
      </c>
      <c r="BB112" s="188">
        <f>opex_orig!AT112</f>
        <v>9.2462100000000004E-4</v>
      </c>
      <c r="BC112" s="188">
        <f>opex_orig!AU112</f>
        <v>3.7537200000000001E-4</v>
      </c>
      <c r="BD112" s="188">
        <f>opex_orig!AV112</f>
        <v>2.8352500000000002E-4</v>
      </c>
      <c r="BE112" s="188">
        <f>opex_orig!AW112</f>
        <v>1.039299E-3</v>
      </c>
      <c r="BF112" s="188">
        <f>opex_orig!AX112</f>
        <v>0</v>
      </c>
      <c r="BG112" s="188">
        <f>opex_orig!AY112</f>
        <v>1.862612E-3</v>
      </c>
      <c r="BH112" s="188">
        <f>opex_orig!AZ112</f>
        <v>0</v>
      </c>
      <c r="BI112" s="188">
        <f>opex_orig!BA112</f>
        <v>7.02128E-4</v>
      </c>
      <c r="BJ112" s="188">
        <f>opex_orig!BB112</f>
        <v>2.6002360000000001E-3</v>
      </c>
      <c r="BK112" s="188">
        <f>opex_orig!BC112</f>
        <v>4.6053839999999997E-3</v>
      </c>
      <c r="BL112" s="188">
        <f>opex_orig!BD112</f>
        <v>4.72662E-4</v>
      </c>
      <c r="BM112" s="188">
        <f>opex_orig!BE112</f>
        <v>2.967033E-3</v>
      </c>
      <c r="BN112" s="188">
        <f>opex_orig!BF112</f>
        <v>7.2067699999999997E-4</v>
      </c>
      <c r="BO112" s="188">
        <f>opex_orig!BG112</f>
        <v>6.1857459999999998E-3</v>
      </c>
      <c r="BP112" s="188">
        <f>opex_orig!$BH112</f>
        <v>1.0670970389916701E-3</v>
      </c>
      <c r="BQ112" s="188">
        <f>opex_orig!$BH112</f>
        <v>1.0670970389916701E-3</v>
      </c>
      <c r="BR112" s="188">
        <f>opex_orig!BI112</f>
        <v>1.5637890000000001E-3</v>
      </c>
      <c r="BS112" s="188">
        <f>opex_orig!BJ112</f>
        <v>3.1288359999999999E-3</v>
      </c>
      <c r="BT112" s="188">
        <f>opex_orig!BK112</f>
        <v>1.6712140000000001E-3</v>
      </c>
      <c r="BU112" s="188">
        <f>opex_orig!BL112</f>
        <v>0</v>
      </c>
      <c r="BV112" s="27">
        <f>opex_orig!BM112</f>
        <v>7.5171489717313505E-4</v>
      </c>
      <c r="BW112" s="27">
        <f>opex_orig!BN112</f>
        <v>1.0211896024248199E-3</v>
      </c>
      <c r="BX112" s="27">
        <f>opex_orig!BO112</f>
        <v>2.5008401482366901E-4</v>
      </c>
      <c r="BY112" s="27">
        <f>opex_orig!BP112</f>
        <v>4.3793325184165999E-4</v>
      </c>
      <c r="BZ112" s="27">
        <f>opex_orig!BQ112</f>
        <v>5.1409632399214997E-4</v>
      </c>
      <c r="CA112" s="27">
        <f>opex_orig!BR112</f>
        <v>5.8291047446742299E-4</v>
      </c>
      <c r="CB112" s="27">
        <f>opex_orig!BS112</f>
        <v>1.0730161344223201E-3</v>
      </c>
      <c r="CC112" s="27">
        <f>opex_orig!BT112</f>
        <v>2.5372005800634498E-4</v>
      </c>
      <c r="CD112" s="27">
        <f>opex_orig!BU112</f>
        <v>4.3098925709542601E-4</v>
      </c>
      <c r="CE112" s="27">
        <f>opex_orig!BV112</f>
        <v>4.3098925709542801E-4</v>
      </c>
      <c r="CF112" s="27">
        <f>opex_orig!BW112</f>
        <v>3.2389763264302701E-4</v>
      </c>
      <c r="CG112" s="27">
        <f>opex_orig!BX112</f>
        <v>4.2915553951296899E-6</v>
      </c>
      <c r="CH112" s="27">
        <f>opex_orig!BY112</f>
        <v>4.0735217937139901E-5</v>
      </c>
      <c r="CI112" s="27">
        <f>opex_orig!Y112</f>
        <v>4.8482849999999999E-3</v>
      </c>
      <c r="CJ112" s="27">
        <f>opex_orig!Z112</f>
        <v>1.0916303E-2</v>
      </c>
      <c r="CK112" s="27">
        <f>opex_orig!AA112</f>
        <v>1.263068E-3</v>
      </c>
      <c r="CL112" s="27">
        <f>opex_orig!AB112</f>
        <v>6.4922659236433795E-4</v>
      </c>
      <c r="CM112" s="27">
        <f>opex_orig!AC112</f>
        <v>2.0785644425696101E-3</v>
      </c>
      <c r="CN112" s="27">
        <f>opex_orig!AD112</f>
        <v>2.7859504172782199E-3</v>
      </c>
      <c r="CO112" s="27">
        <f>opex_orig!AE112</f>
        <v>3.0284140000000001E-3</v>
      </c>
      <c r="CP112" s="27">
        <f>opex_orig!AF112</f>
        <v>7.2417330000000002E-3</v>
      </c>
    </row>
    <row r="113" spans="1:94" x14ac:dyDescent="0.25">
      <c r="A113" s="5" t="s">
        <v>217</v>
      </c>
      <c r="B113" s="2" t="s">
        <v>216</v>
      </c>
      <c r="C113" s="1" t="s">
        <v>330</v>
      </c>
      <c r="D113" s="188">
        <f>opex_orig!D113</f>
        <v>2.6100000000000001E-5</v>
      </c>
      <c r="E113" s="188">
        <f>opex_orig!E113</f>
        <v>9.0799999999999995E-6</v>
      </c>
      <c r="F113" s="188">
        <f>opex_orig!F113</f>
        <v>3.0960100000000001E-4</v>
      </c>
      <c r="G113" s="188">
        <f>opex_orig!G113</f>
        <v>7.4499999999999996E-7</v>
      </c>
      <c r="H113" s="188">
        <f>opex_orig!H113</f>
        <v>1.4500000000000001E-6</v>
      </c>
      <c r="I113" s="188">
        <f>opex_orig!I113</f>
        <v>1.9899999999999999E-5</v>
      </c>
      <c r="J113" s="188">
        <f>opex_orig!J113</f>
        <v>6.4399999999999993E-5</v>
      </c>
      <c r="K113" s="188">
        <f>opex_orig!K113</f>
        <v>2.26E-6</v>
      </c>
      <c r="L113" s="188">
        <f>opex_orig!L113</f>
        <v>1.3499999999999999E-5</v>
      </c>
      <c r="M113" s="188">
        <f>opex_orig!M113</f>
        <v>3.5299999999999997E-5</v>
      </c>
      <c r="N113" s="188">
        <f>opex_orig!N113</f>
        <v>2.1299999999999999E-5</v>
      </c>
      <c r="O113" s="188">
        <f>opex_orig!O113</f>
        <v>5.2764299999999995E-4</v>
      </c>
      <c r="P113" s="188">
        <f>opex_orig!P113</f>
        <v>3.1000000000000001E-5</v>
      </c>
      <c r="Q113" s="188">
        <f>opex_orig!Q113</f>
        <v>4.2967359999999998E-3</v>
      </c>
      <c r="R113" s="188">
        <f>opex_orig!R113</f>
        <v>1.5660500000000001E-4</v>
      </c>
      <c r="S113" s="188">
        <f>opex_orig!S113</f>
        <v>1.0200000000000001E-5</v>
      </c>
      <c r="T113" s="188">
        <f>opex_orig!T113</f>
        <v>9.9199999999999999E-6</v>
      </c>
      <c r="U113" s="188">
        <f>opex_orig!U113</f>
        <v>2.2099999999999998E-5</v>
      </c>
      <c r="V113" s="188">
        <f>opex_orig!V113</f>
        <v>2.97E-5</v>
      </c>
      <c r="W113" s="188">
        <f>opex_orig!W113</f>
        <v>9.2199999999999998E-6</v>
      </c>
      <c r="X113" s="188">
        <f>opex_orig!X113</f>
        <v>6.7599999999999997E-6</v>
      </c>
      <c r="Y113" s="188">
        <f>opex_orig!Y113</f>
        <v>1.1711744E-2</v>
      </c>
      <c r="Z113" s="188">
        <f>opex_orig!Z113</f>
        <v>1.0705177999999999E-2</v>
      </c>
      <c r="AA113" s="188">
        <f>opex_orig!AA113</f>
        <v>4.9299999999999999E-5</v>
      </c>
      <c r="AB113" s="188">
        <f>opex_orig!$AB113</f>
        <v>1.8846425861964202E-5</v>
      </c>
      <c r="AC113" s="188">
        <f>opex_orig!$AB113</f>
        <v>1.8846425861964202E-5</v>
      </c>
      <c r="AD113" s="188">
        <f>opex_orig!$AB113</f>
        <v>1.8846425861964202E-5</v>
      </c>
      <c r="AE113" s="188">
        <f>opex_orig!$AC113</f>
        <v>2.56900711080358E-5</v>
      </c>
      <c r="AF113" s="188">
        <f>opex_orig!$AD113</f>
        <v>1.7221821664401401E-5</v>
      </c>
      <c r="AG113" s="188">
        <f>opex_orig!$AD113</f>
        <v>1.7221821664401401E-5</v>
      </c>
      <c r="AH113" s="188">
        <f>opex_orig!$AD113</f>
        <v>1.7221821664401401E-5</v>
      </c>
      <c r="AI113" s="188">
        <f>opex_orig!AE113</f>
        <v>1.6099999999999998E-5</v>
      </c>
      <c r="AJ113" s="188">
        <f>opex_orig!AF113</f>
        <v>4.7899999999999999E-5</v>
      </c>
      <c r="AK113" s="188">
        <f>opex_orig!AG113</f>
        <v>1.27E-5</v>
      </c>
      <c r="AL113" s="188">
        <f>opex_orig!AH113</f>
        <v>1.0200000000000001E-5</v>
      </c>
      <c r="AM113" s="188">
        <f>opex_orig!AI113</f>
        <v>1.31E-5</v>
      </c>
      <c r="AN113" s="188">
        <f>opex_orig!AJ113</f>
        <v>6.5200000000000003E-6</v>
      </c>
      <c r="AO113" s="188">
        <f>opex_orig!AK113</f>
        <v>9.2299999999999997E-6</v>
      </c>
      <c r="AP113" s="188">
        <f>opex_orig!$AL113</f>
        <v>1.13696909621767E-5</v>
      </c>
      <c r="AQ113" s="188">
        <f>opex_orig!$AL113</f>
        <v>1.13696909621767E-5</v>
      </c>
      <c r="AR113" s="188">
        <f>opex_orig!$AL113</f>
        <v>1.13696909621767E-5</v>
      </c>
      <c r="AS113" s="188">
        <f>opex_orig!$AM113</f>
        <v>6.9689989554070301E-6</v>
      </c>
      <c r="AT113" s="188">
        <f>opex_orig!AN113</f>
        <v>1.88E-5</v>
      </c>
      <c r="AU113" s="188">
        <f>opex_orig!$AO113</f>
        <v>1.6646719731240801E-4</v>
      </c>
      <c r="AV113" s="188">
        <f>opex_orig!$AO113</f>
        <v>1.6646719731240801E-4</v>
      </c>
      <c r="AW113" s="188">
        <f>opex_orig!$AO113</f>
        <v>1.6646719731240801E-4</v>
      </c>
      <c r="AX113" s="188">
        <f>opex_orig!$AP113</f>
        <v>4.6802133798897101E-4</v>
      </c>
      <c r="AY113" s="188">
        <f>opex_orig!AQ113</f>
        <v>7.2000000000000002E-5</v>
      </c>
      <c r="AZ113" s="188">
        <f>opex_orig!AR113</f>
        <v>0</v>
      </c>
      <c r="BA113" s="188">
        <f>opex_orig!AS113</f>
        <v>5.5699999999999999E-5</v>
      </c>
      <c r="BB113" s="188">
        <f>opex_orig!AT113</f>
        <v>6.5099999999999997E-5</v>
      </c>
      <c r="BC113" s="188">
        <f>opex_orig!AU113</f>
        <v>3.54E-6</v>
      </c>
      <c r="BD113" s="188">
        <f>opex_orig!AV113</f>
        <v>1.7600000000000001E-6</v>
      </c>
      <c r="BE113" s="188">
        <f>opex_orig!AW113</f>
        <v>6.3899999999999995E-5</v>
      </c>
      <c r="BF113" s="188">
        <f>opex_orig!AX113</f>
        <v>0</v>
      </c>
      <c r="BG113" s="188">
        <f>opex_orig!AY113</f>
        <v>9.1700000000000006E-5</v>
      </c>
      <c r="BH113" s="188">
        <f>opex_orig!AZ113</f>
        <v>0</v>
      </c>
      <c r="BI113" s="188">
        <f>opex_orig!BA113</f>
        <v>5.49E-5</v>
      </c>
      <c r="BJ113" s="188">
        <f>opex_orig!BB113</f>
        <v>1.15E-5</v>
      </c>
      <c r="BK113" s="188">
        <f>opex_orig!BC113</f>
        <v>4.4799999999999998E-5</v>
      </c>
      <c r="BL113" s="188">
        <f>opex_orig!BD113</f>
        <v>5.0300000000000003E-5</v>
      </c>
      <c r="BM113" s="188">
        <f>opex_orig!BE113</f>
        <v>6.19E-5</v>
      </c>
      <c r="BN113" s="188">
        <f>opex_orig!BF113</f>
        <v>1.0699999999999999E-5</v>
      </c>
      <c r="BO113" s="188">
        <f>opex_orig!BG113</f>
        <v>2.4700000000000001E-5</v>
      </c>
      <c r="BP113" s="188">
        <f>opex_orig!$BH113</f>
        <v>2.3872299092623499E-5</v>
      </c>
      <c r="BQ113" s="188">
        <f>opex_orig!$BH113</f>
        <v>2.3872299092623499E-5</v>
      </c>
      <c r="BR113" s="188">
        <f>opex_orig!BI113</f>
        <v>1.5699999999999999E-5</v>
      </c>
      <c r="BS113" s="188">
        <f>opex_orig!BJ113</f>
        <v>1.3900000000000001E-5</v>
      </c>
      <c r="BT113" s="188">
        <f>opex_orig!BK113</f>
        <v>1.0293699999999999E-4</v>
      </c>
      <c r="BU113" s="188">
        <f>opex_orig!BL113</f>
        <v>0</v>
      </c>
      <c r="BV113" s="27">
        <f>opex_orig!BM113</f>
        <v>3.15989525652443E-3</v>
      </c>
      <c r="BW113" s="27">
        <f>opex_orig!BN113</f>
        <v>2.6822856029032002E-2</v>
      </c>
      <c r="BX113" s="27">
        <f>opex_orig!BO113</f>
        <v>2.8777829354581502E-4</v>
      </c>
      <c r="BY113" s="27">
        <f>opex_orig!BP113</f>
        <v>2.6440655436770302E-4</v>
      </c>
      <c r="BZ113" s="27">
        <f>opex_orig!BQ113</f>
        <v>3.1661788754176301E-4</v>
      </c>
      <c r="CA113" s="27">
        <f>opex_orig!BR113</f>
        <v>8.9515164827490695E-3</v>
      </c>
      <c r="CB113" s="27">
        <f>opex_orig!BS113</f>
        <v>1.5705286465449601E-2</v>
      </c>
      <c r="CC113" s="27">
        <f>opex_orig!BT113</f>
        <v>0.71169451156609698</v>
      </c>
      <c r="CD113" s="27">
        <f>opex_orig!BU113</f>
        <v>4.1175951021386501E-4</v>
      </c>
      <c r="CE113" s="27">
        <f>opex_orig!BV113</f>
        <v>4.1175951021386501E-4</v>
      </c>
      <c r="CF113" s="27">
        <f>opex_orig!BW113</f>
        <v>7.3412308534686693E-2</v>
      </c>
      <c r="CG113" s="27">
        <f>opex_orig!BX113</f>
        <v>7.5822326762960102E-4</v>
      </c>
      <c r="CH113" s="27">
        <f>opex_orig!BY113</f>
        <v>9.0513793312426207E-6</v>
      </c>
      <c r="CI113" s="27">
        <f>opex_orig!Y113</f>
        <v>1.1711744E-2</v>
      </c>
      <c r="CJ113" s="27">
        <f>opex_orig!Z113</f>
        <v>1.0705177999999999E-2</v>
      </c>
      <c r="CK113" s="27">
        <f>opex_orig!AA113</f>
        <v>4.9299999999999999E-5</v>
      </c>
      <c r="CL113" s="27">
        <f>opex_orig!AB113</f>
        <v>1.8846425861964202E-5</v>
      </c>
      <c r="CM113" s="27">
        <f>opex_orig!AC113</f>
        <v>2.56900711080358E-5</v>
      </c>
      <c r="CN113" s="27">
        <f>opex_orig!AD113</f>
        <v>1.7221821664401401E-5</v>
      </c>
      <c r="CO113" s="27">
        <f>opex_orig!AE113</f>
        <v>1.6099999999999998E-5</v>
      </c>
      <c r="CP113" s="27">
        <f>opex_orig!AF113</f>
        <v>4.7899999999999999E-5</v>
      </c>
    </row>
    <row r="114" spans="1:94" x14ac:dyDescent="0.25">
      <c r="A114" s="5" t="s">
        <v>219</v>
      </c>
      <c r="B114" s="2" t="s">
        <v>218</v>
      </c>
      <c r="C114" s="1" t="s">
        <v>330</v>
      </c>
      <c r="D114" s="188">
        <f>opex_orig!D114</f>
        <v>2.1848899999999999E-4</v>
      </c>
      <c r="E114" s="188">
        <f>opex_orig!E114</f>
        <v>1.5162199999999999E-4</v>
      </c>
      <c r="F114" s="188">
        <f>opex_orig!F114</f>
        <v>1.5533699999999999E-4</v>
      </c>
      <c r="G114" s="188">
        <f>opex_orig!G114</f>
        <v>2.02E-5</v>
      </c>
      <c r="H114" s="188">
        <f>opex_orig!H114</f>
        <v>5.6700000000000003E-5</v>
      </c>
      <c r="I114" s="188">
        <f>opex_orig!I114</f>
        <v>3.02618E-4</v>
      </c>
      <c r="J114" s="188">
        <f>opex_orig!J114</f>
        <v>1.1298040000000001E-3</v>
      </c>
      <c r="K114" s="188">
        <f>opex_orig!K114</f>
        <v>4.3699999999999998E-5</v>
      </c>
      <c r="L114" s="188">
        <f>opex_orig!L114</f>
        <v>1.80106E-4</v>
      </c>
      <c r="M114" s="188">
        <f>opex_orig!M114</f>
        <v>6.7089600000000004E-4</v>
      </c>
      <c r="N114" s="188">
        <f>opex_orig!N114</f>
        <v>5.4719399999999998E-4</v>
      </c>
      <c r="O114" s="188">
        <f>opex_orig!O114</f>
        <v>3.8222100000000003E-4</v>
      </c>
      <c r="P114" s="188">
        <f>opex_orig!P114</f>
        <v>4.2431899999999999E-4</v>
      </c>
      <c r="Q114" s="188">
        <f>opex_orig!Q114</f>
        <v>6.9351299999999999E-4</v>
      </c>
      <c r="R114" s="188">
        <f>opex_orig!R114</f>
        <v>5.3300000000000001E-5</v>
      </c>
      <c r="S114" s="188">
        <f>opex_orig!S114</f>
        <v>1.8740299999999999E-4</v>
      </c>
      <c r="T114" s="188">
        <f>opex_orig!T114</f>
        <v>1.80519E-4</v>
      </c>
      <c r="U114" s="188">
        <f>opex_orig!U114</f>
        <v>3.1333899999999999E-4</v>
      </c>
      <c r="V114" s="188">
        <f>opex_orig!V114</f>
        <v>1.87856E-4</v>
      </c>
      <c r="W114" s="188">
        <f>opex_orig!W114</f>
        <v>1.9148400000000001E-4</v>
      </c>
      <c r="X114" s="188">
        <f>opex_orig!X114</f>
        <v>9.3700000000000001E-5</v>
      </c>
      <c r="Y114" s="188">
        <f>opex_orig!Y114</f>
        <v>7.4971780000000002E-3</v>
      </c>
      <c r="Z114" s="188">
        <f>opex_orig!Z114</f>
        <v>1.8039617000000001E-2</v>
      </c>
      <c r="AA114" s="188">
        <f>opex_orig!AA114</f>
        <v>2.1017900000000001E-4</v>
      </c>
      <c r="AB114" s="188">
        <f>opex_orig!$AB114</f>
        <v>1.0904684827404501E-3</v>
      </c>
      <c r="AC114" s="188">
        <f>opex_orig!$AB114</f>
        <v>1.0904684827404501E-3</v>
      </c>
      <c r="AD114" s="188">
        <f>opex_orig!$AB114</f>
        <v>1.0904684827404501E-3</v>
      </c>
      <c r="AE114" s="188">
        <f>opex_orig!$AC114</f>
        <v>6.0285697224132502E-4</v>
      </c>
      <c r="AF114" s="188">
        <f>opex_orig!$AD114</f>
        <v>3.2520877792445397E-4</v>
      </c>
      <c r="AG114" s="188">
        <f>opex_orig!$AD114</f>
        <v>3.2520877792445397E-4</v>
      </c>
      <c r="AH114" s="188">
        <f>opex_orig!$AD114</f>
        <v>3.2520877792445397E-4</v>
      </c>
      <c r="AI114" s="188">
        <f>opex_orig!AE114</f>
        <v>1.7122099999999999E-4</v>
      </c>
      <c r="AJ114" s="188">
        <f>opex_orig!AF114</f>
        <v>1.442416E-3</v>
      </c>
      <c r="AK114" s="188">
        <f>opex_orig!AG114</f>
        <v>3.5500000000000002E-5</v>
      </c>
      <c r="AL114" s="188">
        <f>opex_orig!AH114</f>
        <v>4.1900000000000002E-5</v>
      </c>
      <c r="AM114" s="188">
        <f>opex_orig!AI114</f>
        <v>9.5799999999999998E-5</v>
      </c>
      <c r="AN114" s="188">
        <f>opex_orig!AJ114</f>
        <v>3.01E-5</v>
      </c>
      <c r="AO114" s="188">
        <f>opex_orig!AK114</f>
        <v>6.2000000000000003E-5</v>
      </c>
      <c r="AP114" s="188">
        <f>opex_orig!$AL114</f>
        <v>1.17608084528371E-4</v>
      </c>
      <c r="AQ114" s="188">
        <f>opex_orig!$AL114</f>
        <v>1.17608084528371E-4</v>
      </c>
      <c r="AR114" s="188">
        <f>opex_orig!$AL114</f>
        <v>1.17608084528371E-4</v>
      </c>
      <c r="AS114" s="188">
        <f>opex_orig!$AM114</f>
        <v>5.7025977729590599E-5</v>
      </c>
      <c r="AT114" s="188">
        <f>opex_orig!AN114</f>
        <v>2.36085E-4</v>
      </c>
      <c r="AU114" s="188">
        <f>opex_orig!$AO114</f>
        <v>3.1863774514212799E-4</v>
      </c>
      <c r="AV114" s="188">
        <f>opex_orig!$AO114</f>
        <v>3.1863774514212799E-4</v>
      </c>
      <c r="AW114" s="188">
        <f>opex_orig!$AO114</f>
        <v>3.1863774514212799E-4</v>
      </c>
      <c r="AX114" s="188">
        <f>opex_orig!$AP114</f>
        <v>5.8474256436928098E-4</v>
      </c>
      <c r="AY114" s="188">
        <f>opex_orig!AQ114</f>
        <v>3.5357800000000001E-4</v>
      </c>
      <c r="AZ114" s="188">
        <f>opex_orig!AR114</f>
        <v>0</v>
      </c>
      <c r="BA114" s="188">
        <f>opex_orig!AS114</f>
        <v>3.7606100000000002E-4</v>
      </c>
      <c r="BB114" s="188">
        <f>opex_orig!AT114</f>
        <v>2.9237300000000001E-4</v>
      </c>
      <c r="BC114" s="188">
        <f>opex_orig!AU114</f>
        <v>4.2599999999999999E-5</v>
      </c>
      <c r="BD114" s="188">
        <f>opex_orig!AV114</f>
        <v>1.08E-5</v>
      </c>
      <c r="BE114" s="188">
        <f>opex_orig!AW114</f>
        <v>2.76307E-4</v>
      </c>
      <c r="BF114" s="188">
        <f>opex_orig!AX114</f>
        <v>0</v>
      </c>
      <c r="BG114" s="188">
        <f>opex_orig!AY114</f>
        <v>3.45259E-4</v>
      </c>
      <c r="BH114" s="188">
        <f>opex_orig!AZ114</f>
        <v>0</v>
      </c>
      <c r="BI114" s="188">
        <f>opex_orig!BA114</f>
        <v>1.6679999999999999E-4</v>
      </c>
      <c r="BJ114" s="188">
        <f>opex_orig!BB114</f>
        <v>1.8548100000000001E-4</v>
      </c>
      <c r="BK114" s="188">
        <f>opex_orig!BC114</f>
        <v>3.84516E-4</v>
      </c>
      <c r="BL114" s="188">
        <f>opex_orig!BD114</f>
        <v>1.3260999999999999E-4</v>
      </c>
      <c r="BM114" s="188">
        <f>opex_orig!BE114</f>
        <v>2.7313100000000002E-4</v>
      </c>
      <c r="BN114" s="188">
        <f>opex_orig!BF114</f>
        <v>8.1000000000000004E-5</v>
      </c>
      <c r="BO114" s="188">
        <f>opex_orig!BG114</f>
        <v>1.08631E-4</v>
      </c>
      <c r="BP114" s="188">
        <f>opex_orig!$BH114</f>
        <v>1.01497536847174E-4</v>
      </c>
      <c r="BQ114" s="188">
        <f>opex_orig!$BH114</f>
        <v>1.01497536847174E-4</v>
      </c>
      <c r="BR114" s="188">
        <f>opex_orig!BI114</f>
        <v>1.7796700000000001E-4</v>
      </c>
      <c r="BS114" s="188">
        <f>opex_orig!BJ114</f>
        <v>6.6799999999999997E-5</v>
      </c>
      <c r="BT114" s="188">
        <f>opex_orig!BK114</f>
        <v>4.5287300000000001E-4</v>
      </c>
      <c r="BU114" s="188">
        <f>opex_orig!BL114</f>
        <v>0</v>
      </c>
      <c r="BV114" s="27">
        <f>opex_orig!BM114</f>
        <v>5.6010257896148699E-5</v>
      </c>
      <c r="BW114" s="27">
        <f>opex_orig!BN114</f>
        <v>3.2580703061185301E-4</v>
      </c>
      <c r="BX114" s="27">
        <f>opex_orig!BO114</f>
        <v>3.04609981249283E-5</v>
      </c>
      <c r="BY114" s="27">
        <f>opex_orig!BP114</f>
        <v>1.7072108634105299E-4</v>
      </c>
      <c r="BZ114" s="27">
        <f>opex_orig!BQ114</f>
        <v>5.8351677511747901E-5</v>
      </c>
      <c r="CA114" s="27">
        <f>opex_orig!BR114</f>
        <v>4.9605798173275097E-5</v>
      </c>
      <c r="CB114" s="27">
        <f>opex_orig!BS114</f>
        <v>3.2459631548366E-4</v>
      </c>
      <c r="CC114" s="27">
        <f>opex_orig!BT114</f>
        <v>8.5957439749670506E-5</v>
      </c>
      <c r="CD114" s="27">
        <f>opex_orig!BU114</f>
        <v>3.1163714778236402E-5</v>
      </c>
      <c r="CE114" s="27">
        <f>opex_orig!BV114</f>
        <v>3.1163714778236497E-5</v>
      </c>
      <c r="CF114" s="27">
        <f>opex_orig!BW114</f>
        <v>9.1820158470360598E-6</v>
      </c>
      <c r="CG114" s="27">
        <f>opex_orig!BX114</f>
        <v>1.55806937452359E-5</v>
      </c>
      <c r="CH114" s="27">
        <f>opex_orig!BY114</f>
        <v>9.8494867558395995E-5</v>
      </c>
      <c r="CI114" s="27">
        <f>opex_orig!Y114</f>
        <v>7.4971780000000002E-3</v>
      </c>
      <c r="CJ114" s="27">
        <f>opex_orig!Z114</f>
        <v>1.8039617000000001E-2</v>
      </c>
      <c r="CK114" s="27">
        <f>opex_orig!AA114</f>
        <v>2.1017900000000001E-4</v>
      </c>
      <c r="CL114" s="27">
        <f>opex_orig!AB114</f>
        <v>1.0904684827404501E-3</v>
      </c>
      <c r="CM114" s="27">
        <f>opex_orig!AC114</f>
        <v>6.0285697224132502E-4</v>
      </c>
      <c r="CN114" s="27">
        <f>opex_orig!AD114</f>
        <v>3.2520877792445397E-4</v>
      </c>
      <c r="CO114" s="27">
        <f>opex_orig!AE114</f>
        <v>1.7122099999999999E-4</v>
      </c>
      <c r="CP114" s="27">
        <f>opex_orig!AF114</f>
        <v>1.442416E-3</v>
      </c>
    </row>
    <row r="115" spans="1:94" x14ac:dyDescent="0.25">
      <c r="A115" s="5" t="s">
        <v>221</v>
      </c>
      <c r="B115" s="2" t="s">
        <v>220</v>
      </c>
      <c r="C115" s="1" t="s">
        <v>330</v>
      </c>
      <c r="D115" s="188">
        <f>opex_orig!D115</f>
        <v>2.02062E-4</v>
      </c>
      <c r="E115" s="188">
        <f>opex_orig!E115</f>
        <v>2.3005399999999999E-4</v>
      </c>
      <c r="F115" s="188">
        <f>opex_orig!F115</f>
        <v>1.1582399999999999E-4</v>
      </c>
      <c r="G115" s="188">
        <f>opex_orig!G115</f>
        <v>1.7E-5</v>
      </c>
      <c r="H115" s="188">
        <f>opex_orig!H115</f>
        <v>3.7400000000000001E-5</v>
      </c>
      <c r="I115" s="188">
        <f>opex_orig!I115</f>
        <v>4.3637800000000002E-4</v>
      </c>
      <c r="J115" s="188">
        <f>opex_orig!J115</f>
        <v>3.65817E-4</v>
      </c>
      <c r="K115" s="188">
        <f>opex_orig!K115</f>
        <v>4.7599999999999998E-5</v>
      </c>
      <c r="L115" s="188">
        <f>opex_orig!L115</f>
        <v>5.9913999999999996E-4</v>
      </c>
      <c r="M115" s="188">
        <f>opex_orig!M115</f>
        <v>1.8053559999999999E-3</v>
      </c>
      <c r="N115" s="188">
        <f>opex_orig!N115</f>
        <v>1.2448820000000001E-3</v>
      </c>
      <c r="O115" s="188">
        <f>opex_orig!O115</f>
        <v>2.3968200000000001E-4</v>
      </c>
      <c r="P115" s="188">
        <f>opex_orig!P115</f>
        <v>3.0907500000000002E-4</v>
      </c>
      <c r="Q115" s="188">
        <f>opex_orig!Q115</f>
        <v>1.1862300000000001E-4</v>
      </c>
      <c r="R115" s="188">
        <f>opex_orig!R115</f>
        <v>5.0300000000000003E-5</v>
      </c>
      <c r="S115" s="188">
        <f>opex_orig!S115</f>
        <v>1.0346800000000001E-4</v>
      </c>
      <c r="T115" s="188">
        <f>opex_orig!T115</f>
        <v>9.3800000000000003E-5</v>
      </c>
      <c r="U115" s="188">
        <f>opex_orig!U115</f>
        <v>1.170529E-3</v>
      </c>
      <c r="V115" s="188">
        <f>opex_orig!V115</f>
        <v>1.48112E-3</v>
      </c>
      <c r="W115" s="188">
        <f>opex_orig!W115</f>
        <v>5.7408999999999997E-4</v>
      </c>
      <c r="X115" s="188">
        <f>opex_orig!X115</f>
        <v>6.0699999999999998E-5</v>
      </c>
      <c r="Y115" s="188">
        <f>opex_orig!Y115</f>
        <v>7.5934500000000003E-4</v>
      </c>
      <c r="Z115" s="188">
        <f>opex_orig!Z115</f>
        <v>4.2594679999999998E-3</v>
      </c>
      <c r="AA115" s="188">
        <f>opex_orig!AA115</f>
        <v>6.5106779999999998E-3</v>
      </c>
      <c r="AB115" s="188">
        <f>opex_orig!$AB115</f>
        <v>1.3220498934009799E-4</v>
      </c>
      <c r="AC115" s="188">
        <f>opex_orig!$AB115</f>
        <v>1.3220498934009799E-4</v>
      </c>
      <c r="AD115" s="188">
        <f>opex_orig!$AB115</f>
        <v>1.3220498934009799E-4</v>
      </c>
      <c r="AE115" s="188">
        <f>opex_orig!$AC115</f>
        <v>2.3888610735493202E-3</v>
      </c>
      <c r="AF115" s="188">
        <f>opex_orig!$AD115</f>
        <v>1.6975919049231E-3</v>
      </c>
      <c r="AG115" s="188">
        <f>opex_orig!$AD115</f>
        <v>1.6975919049231E-3</v>
      </c>
      <c r="AH115" s="188">
        <f>opex_orig!$AD115</f>
        <v>1.6975919049231E-3</v>
      </c>
      <c r="AI115" s="188">
        <f>opex_orig!AE115</f>
        <v>1.5141320000000001E-3</v>
      </c>
      <c r="AJ115" s="188">
        <f>opex_orig!AF115</f>
        <v>1.0731339999999999E-3</v>
      </c>
      <c r="AK115" s="188">
        <f>opex_orig!AG115</f>
        <v>1.2855000000000001E-4</v>
      </c>
      <c r="AL115" s="188">
        <f>opex_orig!AH115</f>
        <v>7.1500000000000003E-5</v>
      </c>
      <c r="AM115" s="188">
        <f>opex_orig!AI115</f>
        <v>1.2849700000000001E-4</v>
      </c>
      <c r="AN115" s="188">
        <f>opex_orig!AJ115</f>
        <v>8.1699999999999994E-5</v>
      </c>
      <c r="AO115" s="188">
        <f>opex_orig!AK115</f>
        <v>1.39025E-4</v>
      </c>
      <c r="AP115" s="188">
        <f>opex_orig!$AL115</f>
        <v>1.7378815917905299E-4</v>
      </c>
      <c r="AQ115" s="188">
        <f>opex_orig!$AL115</f>
        <v>1.7378815917905299E-4</v>
      </c>
      <c r="AR115" s="188">
        <f>opex_orig!$AL115</f>
        <v>1.7378815917905299E-4</v>
      </c>
      <c r="AS115" s="188">
        <f>opex_orig!$AM115</f>
        <v>1.30747460515533E-4</v>
      </c>
      <c r="AT115" s="188">
        <f>opex_orig!AN115</f>
        <v>2.4184799999999999E-4</v>
      </c>
      <c r="AU115" s="188">
        <f>opex_orig!$AO115</f>
        <v>3.3838702307089702E-4</v>
      </c>
      <c r="AV115" s="188">
        <f>opex_orig!$AO115</f>
        <v>3.3838702307089702E-4</v>
      </c>
      <c r="AW115" s="188">
        <f>opex_orig!$AO115</f>
        <v>3.3838702307089702E-4</v>
      </c>
      <c r="AX115" s="188">
        <f>opex_orig!$AP115</f>
        <v>4.8247187049231701E-4</v>
      </c>
      <c r="AY115" s="188">
        <f>opex_orig!AQ115</f>
        <v>5.8319000000000003E-4</v>
      </c>
      <c r="AZ115" s="188">
        <f>opex_orig!AR115</f>
        <v>0</v>
      </c>
      <c r="BA115" s="188">
        <f>opex_orig!AS115</f>
        <v>2.6133500000000002E-4</v>
      </c>
      <c r="BB115" s="188">
        <f>opex_orig!AT115</f>
        <v>1.8762100000000001E-4</v>
      </c>
      <c r="BC115" s="188">
        <f>opex_orig!AU115</f>
        <v>1.46491E-4</v>
      </c>
      <c r="BD115" s="188">
        <f>opex_orig!AV115</f>
        <v>5.8300000000000001E-5</v>
      </c>
      <c r="BE115" s="188">
        <f>opex_orig!AW115</f>
        <v>2.85059E-4</v>
      </c>
      <c r="BF115" s="188">
        <f>opex_orig!AX115</f>
        <v>0</v>
      </c>
      <c r="BG115" s="188">
        <f>opex_orig!AY115</f>
        <v>3.2691000000000003E-4</v>
      </c>
      <c r="BH115" s="188">
        <f>opex_orig!AZ115</f>
        <v>0</v>
      </c>
      <c r="BI115" s="188">
        <f>opex_orig!BA115</f>
        <v>4.8453100000000001E-4</v>
      </c>
      <c r="BJ115" s="188">
        <f>opex_orig!BB115</f>
        <v>5.5027400000000001E-4</v>
      </c>
      <c r="BK115" s="188">
        <f>opex_orig!BC115</f>
        <v>9.0365900000000002E-4</v>
      </c>
      <c r="BL115" s="188">
        <f>opex_orig!BD115</f>
        <v>1.04806E-4</v>
      </c>
      <c r="BM115" s="188">
        <f>opex_orig!BE115</f>
        <v>2.4626900000000002E-4</v>
      </c>
      <c r="BN115" s="188">
        <f>opex_orig!BF115</f>
        <v>7.2200000000000007E-5</v>
      </c>
      <c r="BO115" s="188">
        <f>opex_orig!BG115</f>
        <v>2.1379299999999999E-4</v>
      </c>
      <c r="BP115" s="188">
        <f>opex_orig!$BH115</f>
        <v>5.2888875406946999E-4</v>
      </c>
      <c r="BQ115" s="188">
        <f>opex_orig!$BH115</f>
        <v>5.2888875406946999E-4</v>
      </c>
      <c r="BR115" s="188">
        <f>opex_orig!BI115</f>
        <v>4.0178399999999997E-4</v>
      </c>
      <c r="BS115" s="188">
        <f>opex_orig!BJ115</f>
        <v>1.8045600000000001E-4</v>
      </c>
      <c r="BT115" s="188">
        <f>opex_orig!BK115</f>
        <v>3.6441799999999998E-4</v>
      </c>
      <c r="BU115" s="188">
        <f>opex_orig!BL115</f>
        <v>0</v>
      </c>
      <c r="BV115" s="27">
        <f>opex_orig!BM115</f>
        <v>6.8661508659314803E-4</v>
      </c>
      <c r="BW115" s="27">
        <f>opex_orig!BN115</f>
        <v>1.2148241093597901E-3</v>
      </c>
      <c r="BX115" s="27">
        <f>opex_orig!BO115</f>
        <v>4.7435586280217197E-4</v>
      </c>
      <c r="BY115" s="27">
        <f>opex_orig!BP115</f>
        <v>7.3455384727238603E-4</v>
      </c>
      <c r="BZ115" s="27">
        <f>opex_orig!BQ115</f>
        <v>5.1782695927648798E-4</v>
      </c>
      <c r="CA115" s="27">
        <f>opex_orig!BR115</f>
        <v>2.13441745430597E-4</v>
      </c>
      <c r="CB115" s="27">
        <f>opex_orig!BS115</f>
        <v>6.30941336281931E-4</v>
      </c>
      <c r="CC115" s="27">
        <f>opex_orig!BT115</f>
        <v>6.1466949114440898E-4</v>
      </c>
      <c r="CD115" s="27">
        <f>opex_orig!BU115</f>
        <v>4.0780985947006199E-4</v>
      </c>
      <c r="CE115" s="27">
        <f>opex_orig!BV115</f>
        <v>4.0780985947006302E-4</v>
      </c>
      <c r="CF115" s="27">
        <f>opex_orig!BW115</f>
        <v>2.5127218565855801E-3</v>
      </c>
      <c r="CG115" s="27">
        <f>opex_orig!BX115</f>
        <v>2.86292475873035E-5</v>
      </c>
      <c r="CH115" s="27">
        <f>opex_orig!BY115</f>
        <v>5.2957210579137796E-6</v>
      </c>
      <c r="CI115" s="27">
        <f>opex_orig!Y115</f>
        <v>7.5934500000000003E-4</v>
      </c>
      <c r="CJ115" s="27">
        <f>opex_orig!Z115</f>
        <v>4.2594679999999998E-3</v>
      </c>
      <c r="CK115" s="27">
        <f>opex_orig!AA115</f>
        <v>6.5106779999999998E-3</v>
      </c>
      <c r="CL115" s="27">
        <f>opex_orig!AB115</f>
        <v>1.3220498934009799E-4</v>
      </c>
      <c r="CM115" s="27">
        <f>opex_orig!AC115</f>
        <v>2.3888610735493202E-3</v>
      </c>
      <c r="CN115" s="27">
        <f>opex_orig!AD115</f>
        <v>1.6975919049231E-3</v>
      </c>
      <c r="CO115" s="27">
        <f>opex_orig!AE115</f>
        <v>1.5141320000000001E-3</v>
      </c>
      <c r="CP115" s="27">
        <f>opex_orig!AF115</f>
        <v>1.0731339999999999E-3</v>
      </c>
    </row>
    <row r="116" spans="1:94" s="8" customFormat="1" x14ac:dyDescent="0.25">
      <c r="A116" s="7" t="s">
        <v>223</v>
      </c>
      <c r="B116" s="2" t="s">
        <v>222</v>
      </c>
      <c r="C116" s="1" t="s">
        <v>331</v>
      </c>
      <c r="D116" s="188">
        <f>opex_orig!D116</f>
        <v>3.1338149999999999E-3</v>
      </c>
      <c r="E116" s="188">
        <f>opex_orig!E116</f>
        <v>7.2314600000000003E-4</v>
      </c>
      <c r="F116" s="188">
        <f>opex_orig!F116</f>
        <v>5.0439500000000004E-4</v>
      </c>
      <c r="G116" s="188">
        <f>opex_orig!G116</f>
        <v>1.00917E-4</v>
      </c>
      <c r="H116" s="188">
        <f>opex_orig!H116</f>
        <v>1.8015500000000001E-4</v>
      </c>
      <c r="I116" s="188">
        <f>opex_orig!I116</f>
        <v>1.107972E-3</v>
      </c>
      <c r="J116" s="188">
        <f>opex_orig!J116</f>
        <v>3.1787149999999999E-3</v>
      </c>
      <c r="K116" s="188">
        <f>opex_orig!K116</f>
        <v>3.0298499999999997E-4</v>
      </c>
      <c r="L116" s="188">
        <f>opex_orig!L116</f>
        <v>1.342431E-3</v>
      </c>
      <c r="M116" s="188">
        <f>opex_orig!M116</f>
        <v>7.0982830000000004E-3</v>
      </c>
      <c r="N116" s="188">
        <f>opex_orig!N116</f>
        <v>2.2503480000000001E-3</v>
      </c>
      <c r="O116" s="188">
        <f>opex_orig!O116</f>
        <v>1.928744E-3</v>
      </c>
      <c r="P116" s="188">
        <f>opex_orig!P116</f>
        <v>2.7838369999999999E-3</v>
      </c>
      <c r="Q116" s="188">
        <f>opex_orig!Q116</f>
        <v>7.5237299999999997E-4</v>
      </c>
      <c r="R116" s="188">
        <f>opex_orig!R116</f>
        <v>6.2637999999999995E-4</v>
      </c>
      <c r="S116" s="188">
        <f>opex_orig!S116</f>
        <v>5.8455879999999997E-3</v>
      </c>
      <c r="T116" s="188">
        <f>opex_orig!T116</f>
        <v>5.0653390000000003E-3</v>
      </c>
      <c r="U116" s="188">
        <f>opex_orig!U116</f>
        <v>7.9952860000000008E-3</v>
      </c>
      <c r="V116" s="188">
        <f>opex_orig!V116</f>
        <v>8.2884689999999997E-3</v>
      </c>
      <c r="W116" s="188">
        <f>opex_orig!W116</f>
        <v>6.2757259999999997E-3</v>
      </c>
      <c r="X116" s="188">
        <f>opex_orig!X116</f>
        <v>6.9343400000000004E-4</v>
      </c>
      <c r="Y116" s="188">
        <f>opex_orig!Y116</f>
        <v>4.6793629999999998E-3</v>
      </c>
      <c r="Z116" s="188">
        <f>opex_orig!Z116</f>
        <v>1.1933747E-2</v>
      </c>
      <c r="AA116" s="188">
        <f>opex_orig!AA116</f>
        <v>6.4723421000000003E-2</v>
      </c>
      <c r="AB116" s="188">
        <f>opex_orig!$AB116</f>
        <v>1.88465808675112E-3</v>
      </c>
      <c r="AC116" s="188">
        <f>opex_orig!$AB116</f>
        <v>1.88465808675112E-3</v>
      </c>
      <c r="AD116" s="188">
        <f>opex_orig!$AB116</f>
        <v>1.88465808675112E-3</v>
      </c>
      <c r="AE116" s="188">
        <f>opex_orig!$AC116</f>
        <v>3.8614117390545601E-3</v>
      </c>
      <c r="AF116" s="296">
        <f>opex_concordance!$M$317</f>
        <v>9.3494861544835706E-3</v>
      </c>
      <c r="AG116" s="296">
        <f>opex_concordance!$M$353</f>
        <v>4.1431636348678155E-3</v>
      </c>
      <c r="AH116" s="296">
        <f>opex_concordance!$M$389</f>
        <v>3.3240424016378637E-3</v>
      </c>
      <c r="AI116" s="188">
        <f>opex_orig!AE116</f>
        <v>7.7562680000000002E-3</v>
      </c>
      <c r="AJ116" s="188">
        <f>opex_orig!AF116</f>
        <v>2.2719982999999999E-2</v>
      </c>
      <c r="AK116" s="188">
        <f>opex_orig!AG116</f>
        <v>2.7830379999999998E-3</v>
      </c>
      <c r="AL116" s="188">
        <f>opex_orig!AH116</f>
        <v>7.8066239999999999E-3</v>
      </c>
      <c r="AM116" s="188">
        <f>opex_orig!AI116</f>
        <v>3.0571869999999998E-3</v>
      </c>
      <c r="AN116" s="188">
        <f>opex_orig!AJ116</f>
        <v>3.232361E-3</v>
      </c>
      <c r="AO116" s="188">
        <f>opex_orig!AK116</f>
        <v>7.2555680000000004E-3</v>
      </c>
      <c r="AP116" s="296">
        <f>opex_concordance!M445</f>
        <v>6.2928505605343004E-3</v>
      </c>
      <c r="AQ116" s="296">
        <f>opex_concordance!M499</f>
        <v>5.0644267623377905E-3</v>
      </c>
      <c r="AR116" s="296">
        <f>opex_concordance!M553</f>
        <v>5.5577657930593032E-3</v>
      </c>
      <c r="AS116" s="188">
        <f>opex_orig!$AM116</f>
        <v>5.8458010913237197E-3</v>
      </c>
      <c r="AT116" s="188">
        <f>opex_orig!AN116</f>
        <v>6.85588E-3</v>
      </c>
      <c r="AU116" s="188">
        <f>opex_orig!$AO116</f>
        <v>3.6743748816919098E-3</v>
      </c>
      <c r="AV116" s="188">
        <f>opex_orig!$AO116</f>
        <v>3.6743748816919098E-3</v>
      </c>
      <c r="AW116" s="188">
        <f>opex_orig!$AO116</f>
        <v>3.6743748816919098E-3</v>
      </c>
      <c r="AX116" s="188">
        <f>opex_orig!$AP116</f>
        <v>3.5222725677823202E-3</v>
      </c>
      <c r="AY116" s="188">
        <f>opex_orig!AQ116</f>
        <v>3.4989320000000002E-3</v>
      </c>
      <c r="AZ116" s="188">
        <f>opex_orig!AR116</f>
        <v>0</v>
      </c>
      <c r="BA116" s="188">
        <f>opex_orig!AS116</f>
        <v>3.319766E-3</v>
      </c>
      <c r="BB116" s="188">
        <f>opex_orig!AT116</f>
        <v>3.6239240000000002E-3</v>
      </c>
      <c r="BC116" s="188">
        <f>opex_orig!AU116</f>
        <v>3.9227100000000003E-4</v>
      </c>
      <c r="BD116" s="188">
        <f>opex_orig!AV116</f>
        <v>2.7088600000000002E-4</v>
      </c>
      <c r="BE116" s="188">
        <f>opex_orig!AW116</f>
        <v>2.3073709999999999E-3</v>
      </c>
      <c r="BF116" s="188">
        <f>opex_orig!AX116</f>
        <v>0</v>
      </c>
      <c r="BG116" s="188">
        <f>opex_orig!AY116</f>
        <v>3.0581380000000002E-3</v>
      </c>
      <c r="BH116" s="188">
        <f>opex_orig!AZ116</f>
        <v>0</v>
      </c>
      <c r="BI116" s="188">
        <f>opex_orig!BA116</f>
        <v>3.04725E-3</v>
      </c>
      <c r="BJ116" s="188">
        <f>opex_orig!BB116</f>
        <v>3.0326540000000001E-3</v>
      </c>
      <c r="BK116" s="188">
        <f>opex_orig!BC116</f>
        <v>6.596111E-3</v>
      </c>
      <c r="BL116" s="188">
        <f>opex_orig!BD116</f>
        <v>1.5355760000000001E-3</v>
      </c>
      <c r="BM116" s="188">
        <f>opex_orig!BE116</f>
        <v>3.1564010000000003E-2</v>
      </c>
      <c r="BN116" s="188">
        <f>opex_orig!BF116</f>
        <v>5.1427579999999999E-3</v>
      </c>
      <c r="BO116" s="188">
        <f>opex_orig!BG116</f>
        <v>3.9761309999999999E-3</v>
      </c>
      <c r="BP116" s="188">
        <f>opex_orig!$BH116</f>
        <v>3.4494809387046301E-3</v>
      </c>
      <c r="BQ116" s="188">
        <f>opex_orig!$BH116</f>
        <v>3.4494809387046301E-3</v>
      </c>
      <c r="BR116" s="188">
        <f>opex_orig!BI116</f>
        <v>2.4077539999999998E-3</v>
      </c>
      <c r="BS116" s="188">
        <f>opex_orig!BJ116</f>
        <v>7.9364559999999997E-3</v>
      </c>
      <c r="BT116" s="188">
        <f>opex_orig!BK116</f>
        <v>1.5142462000000001E-2</v>
      </c>
      <c r="BU116" s="188">
        <f>opex_orig!BL116</f>
        <v>0</v>
      </c>
      <c r="BV116" s="27">
        <f>opex_orig!BM116</f>
        <v>7.2359561828253703E-3</v>
      </c>
      <c r="BW116" s="27">
        <f>opex_orig!BN116</f>
        <v>8.4904844071271302E-3</v>
      </c>
      <c r="BX116" s="27">
        <f>opex_orig!BO116</f>
        <v>4.1783345150354003E-3</v>
      </c>
      <c r="BY116" s="27">
        <f>opex_orig!BP116</f>
        <v>7.00929536695783E-3</v>
      </c>
      <c r="BZ116" s="27">
        <f>opex_orig!BQ116</f>
        <v>7.6910829748098502E-3</v>
      </c>
      <c r="CA116" s="27">
        <f>opex_orig!BR116</f>
        <v>2.9804848118935599E-2</v>
      </c>
      <c r="CB116" s="27">
        <f>opex_orig!BS116</f>
        <v>5.7598205705822799E-3</v>
      </c>
      <c r="CC116" s="27">
        <f>opex_orig!BT116</f>
        <v>4.2467168198911899E-3</v>
      </c>
      <c r="CD116" s="27">
        <f>opex_orig!BU116</f>
        <v>9.1497606308390805E-3</v>
      </c>
      <c r="CE116" s="27">
        <f>opex_orig!BV116</f>
        <v>9.1497606308390805E-3</v>
      </c>
      <c r="CF116" s="27">
        <f>opex_orig!BW116</f>
        <v>2.3158337335053699E-3</v>
      </c>
      <c r="CG116" s="27">
        <f>opex_orig!BX116</f>
        <v>1.6581518145475699E-5</v>
      </c>
      <c r="CH116" s="27">
        <f>opex_orig!BY116</f>
        <v>9.3171355641026997E-5</v>
      </c>
      <c r="CI116" s="27">
        <f>opex_orig!Y116</f>
        <v>4.6793629999999998E-3</v>
      </c>
      <c r="CJ116" s="27">
        <f>opex_orig!Z116</f>
        <v>1.1933747E-2</v>
      </c>
      <c r="CK116" s="27">
        <f>opex_orig!AA116</f>
        <v>6.4723421000000003E-2</v>
      </c>
      <c r="CL116" s="27">
        <f>opex_orig!AB116</f>
        <v>1.88465808675112E-3</v>
      </c>
      <c r="CM116" s="27">
        <f>opex_orig!AC116</f>
        <v>3.8614117390545601E-3</v>
      </c>
      <c r="CN116" s="27">
        <f>opex_orig!AD116</f>
        <v>9.3494861544835706E-3</v>
      </c>
      <c r="CO116" s="27">
        <f>opex_orig!AE116</f>
        <v>7.7562680000000002E-3</v>
      </c>
      <c r="CP116" s="27">
        <f>opex_orig!AF116</f>
        <v>2.2719982999999999E-2</v>
      </c>
    </row>
    <row r="117" spans="1:94" x14ac:dyDescent="0.25">
      <c r="A117" s="5" t="s">
        <v>225</v>
      </c>
      <c r="B117" s="2" t="s">
        <v>224</v>
      </c>
      <c r="C117" s="1" t="s">
        <v>331</v>
      </c>
      <c r="D117" s="188">
        <f>opex_orig!D117</f>
        <v>1.2799999999999999E-5</v>
      </c>
      <c r="E117" s="188">
        <f>opex_orig!E117</f>
        <v>3.01E-6</v>
      </c>
      <c r="F117" s="188">
        <f>opex_orig!F117</f>
        <v>2.0600000000000002E-6</v>
      </c>
      <c r="G117" s="188">
        <f>opex_orig!G117</f>
        <v>3.8099999999999998E-7</v>
      </c>
      <c r="H117" s="188">
        <f>opex_orig!H117</f>
        <v>7.0699999999999996E-7</v>
      </c>
      <c r="I117" s="188">
        <f>opex_orig!I117</f>
        <v>4.5399999999999997E-6</v>
      </c>
      <c r="J117" s="188">
        <f>opex_orig!J117</f>
        <v>1.27E-5</v>
      </c>
      <c r="K117" s="188">
        <f>opex_orig!K117</f>
        <v>1.1799999999999999E-6</v>
      </c>
      <c r="L117" s="188">
        <f>opex_orig!L117</f>
        <v>5.2800000000000003E-6</v>
      </c>
      <c r="M117" s="188">
        <f>opex_orig!M117</f>
        <v>2.7399999999999999E-5</v>
      </c>
      <c r="N117" s="188">
        <f>opex_orig!N117</f>
        <v>9.5200000000000003E-6</v>
      </c>
      <c r="O117" s="188">
        <f>opex_orig!O117</f>
        <v>7.9300000000000003E-6</v>
      </c>
      <c r="P117" s="188">
        <f>opex_orig!P117</f>
        <v>1.1399999999999999E-5</v>
      </c>
      <c r="Q117" s="188">
        <f>opex_orig!Q117</f>
        <v>1.7999999999999999E-6</v>
      </c>
      <c r="R117" s="188">
        <f>opex_orig!R117</f>
        <v>2.0899999999999999E-6</v>
      </c>
      <c r="S117" s="188">
        <f>opex_orig!S117</f>
        <v>2.27E-5</v>
      </c>
      <c r="T117" s="188">
        <f>opex_orig!T117</f>
        <v>1.95E-5</v>
      </c>
      <c r="U117" s="188">
        <f>opex_orig!U117</f>
        <v>3.1000000000000001E-5</v>
      </c>
      <c r="V117" s="188">
        <f>opex_orig!V117</f>
        <v>3.2400000000000001E-5</v>
      </c>
      <c r="W117" s="188">
        <f>opex_orig!W117</f>
        <v>2.4000000000000001E-5</v>
      </c>
      <c r="X117" s="188">
        <f>opex_orig!X117</f>
        <v>2.8100000000000002E-6</v>
      </c>
      <c r="Y117" s="188">
        <f>opex_orig!Y117</f>
        <v>1.7600000000000001E-5</v>
      </c>
      <c r="Z117" s="188">
        <f>opex_orig!Z117</f>
        <v>4.6600000000000001E-5</v>
      </c>
      <c r="AA117" s="188">
        <f>opex_orig!AA117</f>
        <v>2.4898200000000002E-4</v>
      </c>
      <c r="AB117" s="188">
        <f>opex_orig!$AB117</f>
        <v>5.6084333865515804E-6</v>
      </c>
      <c r="AC117" s="188">
        <f>opex_orig!$AB117</f>
        <v>5.6084333865515804E-6</v>
      </c>
      <c r="AD117" s="188">
        <f>opex_orig!$AB117</f>
        <v>5.6084333865515804E-6</v>
      </c>
      <c r="AE117" s="188">
        <f>opex_orig!$AC117</f>
        <v>1.8063171686576498E-5</v>
      </c>
      <c r="AF117" s="188">
        <f>opex_orig!$AD117</f>
        <v>3.6586364932319903E-5</v>
      </c>
      <c r="AG117" s="188">
        <f>opex_orig!$AD117</f>
        <v>3.6586364932319903E-5</v>
      </c>
      <c r="AH117" s="188">
        <f>opex_orig!$AD117</f>
        <v>3.6586364932319903E-5</v>
      </c>
      <c r="AI117" s="188">
        <f>opex_orig!AE117</f>
        <v>3.0000000000000001E-5</v>
      </c>
      <c r="AJ117" s="188">
        <f>opex_orig!AF117</f>
        <v>8.8499999999999996E-5</v>
      </c>
      <c r="AK117" s="188">
        <f>opex_orig!AG117</f>
        <v>1.06E-5</v>
      </c>
      <c r="AL117" s="188">
        <f>opex_orig!AH117</f>
        <v>3.7200000000000003E-5</v>
      </c>
      <c r="AM117" s="188">
        <f>opex_orig!AI117</f>
        <v>1.26E-5</v>
      </c>
      <c r="AN117" s="188">
        <f>opex_orig!AJ117</f>
        <v>1.5500000000000001E-5</v>
      </c>
      <c r="AO117" s="188">
        <f>opex_orig!AK117</f>
        <v>2.9799999999999999E-5</v>
      </c>
      <c r="AP117" s="188">
        <f>opex_orig!$AL117</f>
        <v>2.5894474739554E-5</v>
      </c>
      <c r="AQ117" s="188">
        <f>opex_orig!$AL117</f>
        <v>2.5894474739554E-5</v>
      </c>
      <c r="AR117" s="188">
        <f>opex_orig!$AL117</f>
        <v>2.5894474739554E-5</v>
      </c>
      <c r="AS117" s="188">
        <f>opex_orig!$AM117</f>
        <v>2.4121786479497401E-5</v>
      </c>
      <c r="AT117" s="188">
        <f>opex_orig!AN117</f>
        <v>2.7800000000000001E-5</v>
      </c>
      <c r="AU117" s="188">
        <f>opex_orig!$AO117</f>
        <v>1.19309592254275E-5</v>
      </c>
      <c r="AV117" s="188">
        <f>opex_orig!$AO117</f>
        <v>1.19309592254275E-5</v>
      </c>
      <c r="AW117" s="188">
        <f>opex_orig!$AO117</f>
        <v>1.19309592254275E-5</v>
      </c>
      <c r="AX117" s="188">
        <f>opex_orig!$AP117</f>
        <v>1.3541682457562601E-5</v>
      </c>
      <c r="AY117" s="188">
        <f>opex_orig!AQ117</f>
        <v>1.3499999999999999E-5</v>
      </c>
      <c r="AZ117" s="188">
        <f>opex_orig!AR117</f>
        <v>0</v>
      </c>
      <c r="BA117" s="188">
        <f>opex_orig!AS117</f>
        <v>1.2799999999999999E-5</v>
      </c>
      <c r="BB117" s="188">
        <f>opex_orig!AT117</f>
        <v>1.4E-5</v>
      </c>
      <c r="BC117" s="188">
        <f>opex_orig!AU117</f>
        <v>1.7600000000000001E-6</v>
      </c>
      <c r="BD117" s="188">
        <f>opex_orig!AV117</f>
        <v>1.08E-6</v>
      </c>
      <c r="BE117" s="188">
        <f>opex_orig!AW117</f>
        <v>8.5699999999999993E-6</v>
      </c>
      <c r="BF117" s="188">
        <f>opex_orig!AX117</f>
        <v>0</v>
      </c>
      <c r="BG117" s="188">
        <f>opex_orig!AY117</f>
        <v>1.1199999999999999E-5</v>
      </c>
      <c r="BH117" s="188">
        <f>opex_orig!AZ117</f>
        <v>0</v>
      </c>
      <c r="BI117" s="188">
        <f>opex_orig!BA117</f>
        <v>1.1199999999999999E-5</v>
      </c>
      <c r="BJ117" s="188">
        <f>opex_orig!BB117</f>
        <v>1.11E-5</v>
      </c>
      <c r="BK117" s="188">
        <f>opex_orig!BC117</f>
        <v>2.48E-5</v>
      </c>
      <c r="BL117" s="188">
        <f>opex_orig!BD117</f>
        <v>5.4399999999999996E-6</v>
      </c>
      <c r="BM117" s="188">
        <f>opex_orig!BE117</f>
        <v>1.21718E-4</v>
      </c>
      <c r="BN117" s="188">
        <f>opex_orig!BF117</f>
        <v>1.88E-5</v>
      </c>
      <c r="BO117" s="188">
        <f>opex_orig!BG117</f>
        <v>1.5800000000000001E-5</v>
      </c>
      <c r="BP117" s="188">
        <f>opex_orig!$BH117</f>
        <v>1.31488596527563E-5</v>
      </c>
      <c r="BQ117" s="188">
        <f>opex_orig!$BH117</f>
        <v>1.31488596527563E-5</v>
      </c>
      <c r="BR117" s="188">
        <f>opex_orig!BI117</f>
        <v>9.73E-6</v>
      </c>
      <c r="BS117" s="188">
        <f>opex_orig!BJ117</f>
        <v>2.7100000000000001E-5</v>
      </c>
      <c r="BT117" s="188">
        <f>opex_orig!BK117</f>
        <v>5.8699999999999997E-5</v>
      </c>
      <c r="BU117" s="188">
        <f>opex_orig!BL117</f>
        <v>0</v>
      </c>
      <c r="BV117" s="27">
        <f>opex_orig!BM117</f>
        <v>2.74745557241701E-5</v>
      </c>
      <c r="BW117" s="27">
        <f>opex_orig!BN117</f>
        <v>3.3593733734968998E-5</v>
      </c>
      <c r="BX117" s="27">
        <f>opex_orig!BO117</f>
        <v>1.6234424122470299E-5</v>
      </c>
      <c r="BY117" s="27">
        <f>opex_orig!BP117</f>
        <v>2.7718450157704001E-5</v>
      </c>
      <c r="BZ117" s="27">
        <f>opex_orig!BQ117</f>
        <v>3.0193646286308799E-5</v>
      </c>
      <c r="CA117" s="27">
        <f>opex_orig!BR117</f>
        <v>2.23114748335165E-4</v>
      </c>
      <c r="CB117" s="27">
        <f>opex_orig!BS117</f>
        <v>2.17486232235888E-5</v>
      </c>
      <c r="CC117" s="27">
        <f>opex_orig!BT117</f>
        <v>1.3050326829500401E-5</v>
      </c>
      <c r="CD117" s="27">
        <f>opex_orig!BU117</f>
        <v>3.5437060354442702E-5</v>
      </c>
      <c r="CE117" s="27">
        <f>opex_orig!BV117</f>
        <v>3.5437060354442601E-5</v>
      </c>
      <c r="CF117" s="27">
        <f>opex_orig!BW117</f>
        <v>5.0249283497734302E-6</v>
      </c>
      <c r="CG117" s="27">
        <f>opex_orig!BX117</f>
        <v>3.4650778491314201E-8</v>
      </c>
      <c r="CH117" s="27">
        <f>opex_orig!BY117</f>
        <v>3.1897515368980098E-8</v>
      </c>
      <c r="CI117" s="27">
        <f>opex_orig!Y117</f>
        <v>1.7600000000000001E-5</v>
      </c>
      <c r="CJ117" s="27">
        <f>opex_orig!Z117</f>
        <v>4.6600000000000001E-5</v>
      </c>
      <c r="CK117" s="27">
        <f>opex_orig!AA117</f>
        <v>2.4898200000000002E-4</v>
      </c>
      <c r="CL117" s="27">
        <f>opex_orig!AB117</f>
        <v>5.6084333865515804E-6</v>
      </c>
      <c r="CM117" s="27">
        <f>opex_orig!AC117</f>
        <v>1.8063171686576498E-5</v>
      </c>
      <c r="CN117" s="27">
        <f>opex_orig!AD117</f>
        <v>3.6586364932319903E-5</v>
      </c>
      <c r="CO117" s="27">
        <f>opex_orig!AE117</f>
        <v>3.0000000000000001E-5</v>
      </c>
      <c r="CP117" s="27">
        <f>opex_orig!AF117</f>
        <v>8.8499999999999996E-5</v>
      </c>
    </row>
    <row r="118" spans="1:94" x14ac:dyDescent="0.25">
      <c r="A118" s="5" t="s">
        <v>227</v>
      </c>
      <c r="B118" s="2" t="s">
        <v>226</v>
      </c>
      <c r="C118" s="1" t="s">
        <v>332</v>
      </c>
      <c r="D118" s="188">
        <f>opex_orig!D118</f>
        <v>6.3400799999999997E-3</v>
      </c>
      <c r="E118" s="188">
        <f>opex_orig!E118</f>
        <v>5.6428069999999997E-3</v>
      </c>
      <c r="F118" s="188">
        <f>opex_orig!F118</f>
        <v>1.0900749E-2</v>
      </c>
      <c r="G118" s="188">
        <f>opex_orig!G118</f>
        <v>4.4137760000000003E-3</v>
      </c>
      <c r="H118" s="188">
        <f>opex_orig!H118</f>
        <v>5.8615719999999998E-3</v>
      </c>
      <c r="I118" s="188">
        <f>opex_orig!I118</f>
        <v>3.554237E-3</v>
      </c>
      <c r="J118" s="188">
        <f>opex_orig!J118</f>
        <v>4.1518175999999997E-2</v>
      </c>
      <c r="K118" s="188">
        <f>opex_orig!K118</f>
        <v>1.4167216E-2</v>
      </c>
      <c r="L118" s="188">
        <f>opex_orig!L118</f>
        <v>3.376324E-3</v>
      </c>
      <c r="M118" s="188">
        <f>opex_orig!M118</f>
        <v>4.3705380000000002E-3</v>
      </c>
      <c r="N118" s="188">
        <f>opex_orig!N118</f>
        <v>2.0340494000000001E-2</v>
      </c>
      <c r="O118" s="188">
        <f>opex_orig!O118</f>
        <v>6.1438700000000001E-3</v>
      </c>
      <c r="P118" s="188">
        <f>opex_orig!P118</f>
        <v>4.9782180000000004E-3</v>
      </c>
      <c r="Q118" s="188">
        <f>opex_orig!Q118</f>
        <v>1.6421649999999999E-2</v>
      </c>
      <c r="R118" s="188">
        <f>opex_orig!R118</f>
        <v>2.2644093000000001E-2</v>
      </c>
      <c r="S118" s="188">
        <f>opex_orig!S118</f>
        <v>5.0963969999999999E-3</v>
      </c>
      <c r="T118" s="188">
        <f>opex_orig!T118</f>
        <v>1.6933027999999999E-2</v>
      </c>
      <c r="U118" s="188">
        <f>opex_orig!U118</f>
        <v>7.0270469999999998E-3</v>
      </c>
      <c r="V118" s="188">
        <f>opex_orig!V118</f>
        <v>9.7906980000000005E-3</v>
      </c>
      <c r="W118" s="188">
        <f>opex_orig!W118</f>
        <v>3.870657E-3</v>
      </c>
      <c r="X118" s="188">
        <f>opex_orig!X118</f>
        <v>2.5731909999999998E-3</v>
      </c>
      <c r="Y118" s="188">
        <f>opex_orig!Y118</f>
        <v>1.0231779E-2</v>
      </c>
      <c r="Z118" s="188">
        <f>opex_orig!Z118</f>
        <v>1.0472739E-2</v>
      </c>
      <c r="AA118" s="188">
        <f>opex_orig!AA118</f>
        <v>4.6224438E-2</v>
      </c>
      <c r="AB118" s="246">
        <f>opex_concordance!M160</f>
        <v>0.24062650606124397</v>
      </c>
      <c r="AC118" s="246">
        <f>opex_concordance!M205</f>
        <v>0.20669734244665436</v>
      </c>
      <c r="AD118" s="246">
        <f>opex_concordance!M250</f>
        <v>0.12249190477104857</v>
      </c>
      <c r="AE118" s="188">
        <f>opex_orig!$AC118</f>
        <v>4.6401681099970803E-2</v>
      </c>
      <c r="AF118" s="238">
        <f>opex_concordance!$M$318</f>
        <v>1.0960305363634499E-2</v>
      </c>
      <c r="AG118" s="238">
        <f>opex_concordance!$M$354</f>
        <v>4.8569876311202907E-3</v>
      </c>
      <c r="AH118" s="238">
        <f>opex_concordance!$M$390</f>
        <v>3.896740330071367E-3</v>
      </c>
      <c r="AI118" s="188">
        <f>opex_orig!AE118</f>
        <v>7.1311439999999999E-3</v>
      </c>
      <c r="AJ118" s="188">
        <f>opex_orig!AF118</f>
        <v>3.1047010000000001E-3</v>
      </c>
      <c r="AK118" s="188">
        <f>opex_orig!AG118</f>
        <v>4.5085330000000003E-3</v>
      </c>
      <c r="AL118" s="188">
        <f>opex_orig!AH118</f>
        <v>5.4401789999999998E-3</v>
      </c>
      <c r="AM118" s="188">
        <f>opex_orig!AI118</f>
        <v>1.3632224E-2</v>
      </c>
      <c r="AN118" s="188">
        <f>opex_orig!AJ118</f>
        <v>6.8156670000000001E-3</v>
      </c>
      <c r="AO118" s="188">
        <f>opex_orig!AK118</f>
        <v>2.1156702999999999E-2</v>
      </c>
      <c r="AP118" s="238">
        <f>opex_concordance!M446</f>
        <v>8.7274057296664997E-3</v>
      </c>
      <c r="AQ118" s="238">
        <f>opex_concordance!M500</f>
        <v>7.0237337940773237E-3</v>
      </c>
      <c r="AR118" s="238">
        <f>opex_concordance!M554</f>
        <v>7.7079340371896407E-3</v>
      </c>
      <c r="AS118" s="188">
        <f>opex_orig!$AM118</f>
        <v>1.53067325731444E-2</v>
      </c>
      <c r="AT118" s="188">
        <f>opex_orig!AN118</f>
        <v>9.5218149999999994E-3</v>
      </c>
      <c r="AU118" s="238">
        <f>opex_concordance!M566</f>
        <v>6.0069637361832703E-3</v>
      </c>
      <c r="AV118" s="238">
        <f>opex_concordance!M612</f>
        <v>5.4402927106159639E-3</v>
      </c>
      <c r="AW118" s="238">
        <f>opex_concordance!M658</f>
        <v>4.9792465824657047E-3</v>
      </c>
      <c r="AX118" s="188">
        <f>opex_orig!$AP118</f>
        <v>9.2892937849749398E-3</v>
      </c>
      <c r="AY118" s="188">
        <f>opex_orig!AQ118</f>
        <v>1.5829472000000001E-2</v>
      </c>
      <c r="AZ118" s="188">
        <f>opex_orig!AR118</f>
        <v>0</v>
      </c>
      <c r="BA118" s="188">
        <f>opex_orig!AS118</f>
        <v>1.3096956999999999E-2</v>
      </c>
      <c r="BB118" s="188">
        <f>opex_orig!AT118</f>
        <v>9.3400559999999994E-3</v>
      </c>
      <c r="BC118" s="188">
        <f>opex_orig!AU118</f>
        <v>8.5057829999999994E-3</v>
      </c>
      <c r="BD118" s="188">
        <f>opex_orig!AV118</f>
        <v>7.9143159999999994E-3</v>
      </c>
      <c r="BE118" s="188">
        <f>opex_orig!AW118</f>
        <v>9.5380870000000006E-3</v>
      </c>
      <c r="BF118" s="188">
        <f>opex_orig!AX118</f>
        <v>0</v>
      </c>
      <c r="BG118" s="188">
        <f>opex_orig!AY118</f>
        <v>3.9557759999999997E-2</v>
      </c>
      <c r="BH118" s="188">
        <f>opex_orig!AZ118</f>
        <v>0</v>
      </c>
      <c r="BI118" s="188">
        <f>opex_orig!BA118</f>
        <v>5.1682159999999998E-3</v>
      </c>
      <c r="BJ118" s="188">
        <f>opex_orig!BB118</f>
        <v>8.0799930000000006E-3</v>
      </c>
      <c r="BK118" s="188">
        <f>opex_orig!BC118</f>
        <v>1.820201E-3</v>
      </c>
      <c r="BL118" s="188">
        <f>opex_orig!BD118</f>
        <v>2.8007240000000001E-3</v>
      </c>
      <c r="BM118" s="188">
        <f>opex_orig!BE118</f>
        <v>1.725288E-3</v>
      </c>
      <c r="BN118" s="188">
        <f>opex_orig!BF118</f>
        <v>1.807003E-3</v>
      </c>
      <c r="BO118" s="188">
        <f>opex_orig!BG118</f>
        <v>3.607393E-3</v>
      </c>
      <c r="BP118" s="246">
        <f>opex_concordance!M107</f>
        <v>1.7141242837654683E-2</v>
      </c>
      <c r="BQ118" s="246">
        <f>opex_concordance!M150</f>
        <v>1.4694990529223927E-2</v>
      </c>
      <c r="BR118" s="188">
        <f>opex_orig!BI118</f>
        <v>4.8198299999999998E-3</v>
      </c>
      <c r="BS118" s="188">
        <f>opex_orig!BJ118</f>
        <v>3.6306870000000001E-3</v>
      </c>
      <c r="BT118" s="188">
        <f>opex_orig!BK118</f>
        <v>2.4241413999999999E-2</v>
      </c>
      <c r="BU118" s="188">
        <f>opex_orig!BL118</f>
        <v>0</v>
      </c>
      <c r="BV118" s="27">
        <f>opex_orig!BM118</f>
        <v>5.6007320938512798E-3</v>
      </c>
      <c r="BW118" s="27">
        <f>opex_orig!BN118</f>
        <v>1.60737486685603E-2</v>
      </c>
      <c r="BX118" s="27">
        <f>opex_orig!BO118</f>
        <v>3.51313178275885E-3</v>
      </c>
      <c r="BY118" s="27">
        <f>opex_orig!BP118</f>
        <v>1.07860983141567E-2</v>
      </c>
      <c r="BZ118" s="27">
        <f>opex_orig!BQ118</f>
        <v>3.2894485936884599E-2</v>
      </c>
      <c r="CA118" s="27">
        <f>opex_orig!BR118</f>
        <v>8.6312403709191306E-3</v>
      </c>
      <c r="CB118" s="27">
        <f>opex_orig!BS118</f>
        <v>9.3652897424366499E-2</v>
      </c>
      <c r="CC118" s="27">
        <f>opex_orig!BT118</f>
        <v>4.4330213693547001E-3</v>
      </c>
      <c r="CD118" s="27">
        <f>opex_orig!BU118</f>
        <v>2.8249797531524098E-3</v>
      </c>
      <c r="CE118" s="27">
        <f>opex_orig!BV118</f>
        <v>2.8249797531524198E-3</v>
      </c>
      <c r="CF118" s="27">
        <f>opex_orig!BW118</f>
        <v>1.73836651831532E-2</v>
      </c>
      <c r="CG118" s="27">
        <f>opex_orig!BX118</f>
        <v>2.50150258372995E-2</v>
      </c>
      <c r="CH118" s="27">
        <f>opex_orig!BY118</f>
        <v>5.1819394862894297E-3</v>
      </c>
      <c r="CI118" s="27">
        <f>opex_orig!Y118</f>
        <v>1.0231779E-2</v>
      </c>
      <c r="CJ118" s="27">
        <f>opex_orig!Z118</f>
        <v>1.0472739E-2</v>
      </c>
      <c r="CK118" s="27">
        <f>opex_orig!AA118</f>
        <v>4.6224438E-2</v>
      </c>
      <c r="CL118" s="27">
        <f>opex_orig!AB118</f>
        <v>0.240626506061244</v>
      </c>
      <c r="CM118" s="27">
        <f>opex_orig!AC118</f>
        <v>4.6401681099970803E-2</v>
      </c>
      <c r="CN118" s="27">
        <f>opex_orig!AD118</f>
        <v>1.0960305363634499E-2</v>
      </c>
      <c r="CO118" s="27">
        <f>opex_orig!AE118</f>
        <v>7.1311439999999999E-3</v>
      </c>
      <c r="CP118" s="27">
        <f>opex_orig!AF118</f>
        <v>3.1047010000000001E-3</v>
      </c>
    </row>
    <row r="119" spans="1:94" x14ac:dyDescent="0.25">
      <c r="A119" s="5" t="s">
        <v>229</v>
      </c>
      <c r="B119" s="2" t="s">
        <v>228</v>
      </c>
      <c r="C119" s="1" t="s">
        <v>332</v>
      </c>
      <c r="D119" s="188">
        <f>opex_orig!D119</f>
        <v>1.0825850000000001E-3</v>
      </c>
      <c r="E119" s="188">
        <f>opex_orig!E119</f>
        <v>9.59303E-4</v>
      </c>
      <c r="F119" s="188">
        <f>opex_orig!F119</f>
        <v>1.9393069999999999E-3</v>
      </c>
      <c r="G119" s="188">
        <f>opex_orig!G119</f>
        <v>7.4770200000000005E-4</v>
      </c>
      <c r="H119" s="188">
        <f>opex_orig!H119</f>
        <v>1.0164289999999999E-3</v>
      </c>
      <c r="I119" s="188">
        <f>opex_orig!I119</f>
        <v>5.9778399999999997E-4</v>
      </c>
      <c r="J119" s="188">
        <f>opex_orig!J119</f>
        <v>6.2125289999999996E-3</v>
      </c>
      <c r="K119" s="188">
        <f>opex_orig!K119</f>
        <v>2.3934709999999999E-3</v>
      </c>
      <c r="L119" s="188">
        <f>opex_orig!L119</f>
        <v>5.7797700000000003E-4</v>
      </c>
      <c r="M119" s="188">
        <f>opex_orig!M119</f>
        <v>7.5378800000000003E-4</v>
      </c>
      <c r="N119" s="188">
        <f>opex_orig!N119</f>
        <v>3.5894529999999998E-3</v>
      </c>
      <c r="O119" s="188">
        <f>opex_orig!O119</f>
        <v>1.5035129999999999E-3</v>
      </c>
      <c r="P119" s="188">
        <f>opex_orig!P119</f>
        <v>9.5973300000000005E-4</v>
      </c>
      <c r="Q119" s="188">
        <f>opex_orig!Q119</f>
        <v>3.1038160000000001E-3</v>
      </c>
      <c r="R119" s="188">
        <f>opex_orig!R119</f>
        <v>4.0824399999999997E-3</v>
      </c>
      <c r="S119" s="188">
        <f>opex_orig!S119</f>
        <v>1.4378380000000001E-3</v>
      </c>
      <c r="T119" s="188">
        <f>opex_orig!T119</f>
        <v>3.5712109999999999E-3</v>
      </c>
      <c r="U119" s="188">
        <f>opex_orig!U119</f>
        <v>1.134255E-3</v>
      </c>
      <c r="V119" s="188">
        <f>opex_orig!V119</f>
        <v>1.6084230000000001E-3</v>
      </c>
      <c r="W119" s="188">
        <f>opex_orig!W119</f>
        <v>6.6303399999999995E-4</v>
      </c>
      <c r="X119" s="188">
        <f>opex_orig!X119</f>
        <v>4.5750899999999999E-4</v>
      </c>
      <c r="Y119" s="188">
        <f>opex_orig!Y119</f>
        <v>1.772715E-3</v>
      </c>
      <c r="Z119" s="188">
        <f>opex_orig!Z119</f>
        <v>3.4129849999999999E-3</v>
      </c>
      <c r="AA119" s="188">
        <f>opex_orig!AA119</f>
        <v>7.771165E-3</v>
      </c>
      <c r="AB119" s="274">
        <f>opex_concordance!M192</f>
        <v>4.1115712416530302E-2</v>
      </c>
      <c r="AC119" s="274">
        <f>opex_concordance!M237</f>
        <v>3.2657380679857392E-2</v>
      </c>
      <c r="AD119" s="274">
        <f>opex_concordance!M282</f>
        <v>0</v>
      </c>
      <c r="AE119" s="188">
        <f>opex_orig!$AC119</f>
        <v>7.9536751311474908E-3</v>
      </c>
      <c r="AF119" s="188">
        <f>opex_orig!$AD119</f>
        <v>1.8983040392490001E-3</v>
      </c>
      <c r="AG119" s="188">
        <f>opex_orig!$AD119</f>
        <v>1.8983040392490001E-3</v>
      </c>
      <c r="AH119" s="188">
        <f>opex_orig!$AD119</f>
        <v>1.8983040392490001E-3</v>
      </c>
      <c r="AI119" s="188">
        <f>opex_orig!AE119</f>
        <v>1.2270180000000001E-3</v>
      </c>
      <c r="AJ119" s="188">
        <f>opex_orig!AF119</f>
        <v>5.6115400000000001E-4</v>
      </c>
      <c r="AK119" s="188">
        <f>opex_orig!AG119</f>
        <v>5.3992899999999997E-4</v>
      </c>
      <c r="AL119" s="188">
        <f>opex_orig!AH119</f>
        <v>6.30666E-4</v>
      </c>
      <c r="AM119" s="188">
        <f>opex_orig!AI119</f>
        <v>1.8154250000000001E-3</v>
      </c>
      <c r="AN119" s="188">
        <f>opex_orig!AJ119</f>
        <v>9.778670000000001E-4</v>
      </c>
      <c r="AO119" s="188">
        <f>opex_orig!AK119</f>
        <v>2.8009129999999999E-3</v>
      </c>
      <c r="AP119" s="188">
        <f>opex_orig!$AL119</f>
        <v>1.08380136630958E-3</v>
      </c>
      <c r="AQ119" s="188">
        <f>opex_orig!$AL119</f>
        <v>1.08380136630958E-3</v>
      </c>
      <c r="AR119" s="188">
        <f>opex_orig!$AL119</f>
        <v>1.08380136630958E-3</v>
      </c>
      <c r="AS119" s="188">
        <f>opex_orig!$AM119</f>
        <v>2.2250270587862902E-3</v>
      </c>
      <c r="AT119" s="188">
        <f>opex_orig!AN119</f>
        <v>1.175358E-3</v>
      </c>
      <c r="AU119" s="188">
        <f>opex_orig!$AO119</f>
        <v>9.4937693008211401E-4</v>
      </c>
      <c r="AV119" s="188">
        <f>opex_orig!$AO119</f>
        <v>9.4937693008211401E-4</v>
      </c>
      <c r="AW119" s="188">
        <f>opex_orig!$AO119</f>
        <v>9.4937693008211401E-4</v>
      </c>
      <c r="AX119" s="188">
        <f>opex_orig!$AP119</f>
        <v>1.5382397665302499E-3</v>
      </c>
      <c r="AY119" s="188">
        <f>opex_orig!AQ119</f>
        <v>2.4490409999999999E-3</v>
      </c>
      <c r="AZ119" s="188">
        <f>opex_orig!AR119</f>
        <v>0</v>
      </c>
      <c r="BA119" s="188">
        <f>opex_orig!AS119</f>
        <v>2.2939530000000001E-3</v>
      </c>
      <c r="BB119" s="188">
        <f>opex_orig!AT119</f>
        <v>1.832293E-3</v>
      </c>
      <c r="BC119" s="188">
        <f>opex_orig!AU119</f>
        <v>1.3149909999999999E-3</v>
      </c>
      <c r="BD119" s="188">
        <f>opex_orig!AV119</f>
        <v>1.250794E-3</v>
      </c>
      <c r="BE119" s="188">
        <f>opex_orig!AW119</f>
        <v>1.755085E-3</v>
      </c>
      <c r="BF119" s="188">
        <f>opex_orig!AX119</f>
        <v>0</v>
      </c>
      <c r="BG119" s="188">
        <f>opex_orig!AY119</f>
        <v>7.4764890000000002E-3</v>
      </c>
      <c r="BH119" s="188">
        <f>opex_orig!AZ119</f>
        <v>0</v>
      </c>
      <c r="BI119" s="188">
        <f>opex_orig!BA119</f>
        <v>9.2348099999999998E-4</v>
      </c>
      <c r="BJ119" s="188">
        <f>opex_orig!BB119</f>
        <v>7.8964499999999995E-4</v>
      </c>
      <c r="BK119" s="188">
        <f>opex_orig!BC119</f>
        <v>3.3084599999999998E-4</v>
      </c>
      <c r="BL119" s="188">
        <f>opex_orig!BD119</f>
        <v>5.1916600000000005E-4</v>
      </c>
      <c r="BM119" s="188">
        <f>opex_orig!BE119</f>
        <v>3.4774699999999998E-4</v>
      </c>
      <c r="BN119" s="188">
        <f>opex_orig!BF119</f>
        <v>3.6966599999999999E-4</v>
      </c>
      <c r="BO119" s="188">
        <f>opex_orig!BG119</f>
        <v>6.7194100000000001E-4</v>
      </c>
      <c r="BP119" s="188">
        <f>opex_orig!$BH119</f>
        <v>2.1795551431961599E-3</v>
      </c>
      <c r="BQ119" s="188">
        <f>opex_orig!$BH119</f>
        <v>2.1795551431961599E-3</v>
      </c>
      <c r="BR119" s="188">
        <f>opex_orig!BI119</f>
        <v>1.171783E-3</v>
      </c>
      <c r="BS119" s="188">
        <f>opex_orig!BJ119</f>
        <v>8.5212799999999996E-4</v>
      </c>
      <c r="BT119" s="188">
        <f>opex_orig!BK119</f>
        <v>1.0152072999999999E-2</v>
      </c>
      <c r="BU119" s="188">
        <f>opex_orig!BL119</f>
        <v>0</v>
      </c>
      <c r="BV119" s="27">
        <f>opex_orig!BM119</f>
        <v>6.9891710473587402E-4</v>
      </c>
      <c r="BW119" s="27">
        <f>opex_orig!BN119</f>
        <v>2.7599531680010301E-3</v>
      </c>
      <c r="BX119" s="27">
        <f>opex_orig!BO119</f>
        <v>3.2728100450470202E-4</v>
      </c>
      <c r="BY119" s="27">
        <f>opex_orig!BP119</f>
        <v>1.58671887809436E-3</v>
      </c>
      <c r="BZ119" s="27">
        <f>opex_orig!BQ119</f>
        <v>5.3322783199215096E-3</v>
      </c>
      <c r="CA119" s="27">
        <f>opex_orig!BR119</f>
        <v>2.7293928207193703E-4</v>
      </c>
      <c r="CB119" s="27">
        <f>opex_orig!BS119</f>
        <v>1.6313251670235999E-2</v>
      </c>
      <c r="CC119" s="27">
        <f>opex_orig!BT119</f>
        <v>5.2051993722639696E-4</v>
      </c>
      <c r="CD119" s="27">
        <f>opex_orig!BU119</f>
        <v>4.9088240193533896E-4</v>
      </c>
      <c r="CE119" s="27">
        <f>opex_orig!BV119</f>
        <v>4.9088240193533896E-4</v>
      </c>
      <c r="CF119" s="27">
        <f>opex_orig!BW119</f>
        <v>1.4379490678363301E-3</v>
      </c>
      <c r="CG119" s="27">
        <f>opex_orig!BX119</f>
        <v>1.4802481556884699E-3</v>
      </c>
      <c r="CH119" s="27">
        <f>opex_orig!BY119</f>
        <v>3.7790012060312499E-3</v>
      </c>
      <c r="CI119" s="27">
        <f>opex_orig!Y119</f>
        <v>1.772715E-3</v>
      </c>
      <c r="CJ119" s="27">
        <f>opex_orig!Z119</f>
        <v>3.4129849999999999E-3</v>
      </c>
      <c r="CK119" s="27">
        <f>opex_orig!AA119</f>
        <v>7.771165E-3</v>
      </c>
      <c r="CL119" s="27">
        <f>opex_orig!AB119</f>
        <v>4.1115712416530302E-2</v>
      </c>
      <c r="CM119" s="27">
        <f>opex_orig!AC119</f>
        <v>7.9536751311474908E-3</v>
      </c>
      <c r="CN119" s="27">
        <f>opex_orig!AD119</f>
        <v>1.8983040392490001E-3</v>
      </c>
      <c r="CO119" s="27">
        <f>opex_orig!AE119</f>
        <v>1.2270180000000001E-3</v>
      </c>
      <c r="CP119" s="27">
        <f>opex_orig!AF119</f>
        <v>5.6115400000000001E-4</v>
      </c>
    </row>
    <row r="120" spans="1:94" x14ac:dyDescent="0.25">
      <c r="A120" s="5" t="s">
        <v>231</v>
      </c>
      <c r="B120" s="2" t="s">
        <v>230</v>
      </c>
      <c r="C120" s="1" t="s">
        <v>332</v>
      </c>
      <c r="D120" s="188">
        <f>opex_orig!D120</f>
        <v>5.2897758000000003E-2</v>
      </c>
      <c r="E120" s="188">
        <f>opex_orig!E120</f>
        <v>4.6278545999999997E-2</v>
      </c>
      <c r="F120" s="188">
        <f>opex_orig!F120</f>
        <v>6.3282281999999995E-2</v>
      </c>
      <c r="G120" s="188">
        <f>opex_orig!G120</f>
        <v>1.8859728999999999E-2</v>
      </c>
      <c r="H120" s="188">
        <f>opex_orig!H120</f>
        <v>2.8394804999999999E-2</v>
      </c>
      <c r="I120" s="188">
        <f>opex_orig!I120</f>
        <v>6.1372449000000003E-2</v>
      </c>
      <c r="J120" s="188">
        <f>opex_orig!J120</f>
        <v>0.15818348600000001</v>
      </c>
      <c r="K120" s="188">
        <f>opex_orig!K120</f>
        <v>5.4125582999999998E-2</v>
      </c>
      <c r="L120" s="188">
        <f>opex_orig!L120</f>
        <v>8.3851055999999993E-2</v>
      </c>
      <c r="M120" s="188">
        <f>opex_orig!M120</f>
        <v>0.19932937100000001</v>
      </c>
      <c r="N120" s="188">
        <f>opex_orig!N120</f>
        <v>0.19275814099999999</v>
      </c>
      <c r="O120" s="188">
        <f>opex_orig!O120</f>
        <v>0.11826442099999999</v>
      </c>
      <c r="P120" s="188">
        <f>opex_orig!P120</f>
        <v>5.6693235000000002E-2</v>
      </c>
      <c r="Q120" s="188">
        <f>opex_orig!Q120</f>
        <v>9.8802100000000004E-2</v>
      </c>
      <c r="R120" s="188">
        <f>opex_orig!R120</f>
        <v>0.12718723700000001</v>
      </c>
      <c r="S120" s="188">
        <f>opex_orig!S120</f>
        <v>3.6350274000000002E-2</v>
      </c>
      <c r="T120" s="188">
        <f>opex_orig!T120</f>
        <v>8.8520909999999994E-2</v>
      </c>
      <c r="U120" s="188">
        <f>opex_orig!U120</f>
        <v>4.4718923000000001E-2</v>
      </c>
      <c r="V120" s="188">
        <f>opex_orig!V120</f>
        <v>5.4536973000000002E-2</v>
      </c>
      <c r="W120" s="188">
        <f>opex_orig!W120</f>
        <v>4.4759300000000002E-2</v>
      </c>
      <c r="X120" s="188">
        <f>opex_orig!X120</f>
        <v>5.5580422999999997E-2</v>
      </c>
      <c r="Y120" s="188">
        <f>opex_orig!Y120</f>
        <v>4.8460617999999997E-2</v>
      </c>
      <c r="Z120" s="188">
        <f>opex_orig!Z120</f>
        <v>3.7175910999999999E-2</v>
      </c>
      <c r="AA120" s="188">
        <f>opex_orig!AA120</f>
        <v>0.14436406399999999</v>
      </c>
      <c r="AB120" s="247">
        <f>opex_concordance!M161</f>
        <v>0.357646054898278</v>
      </c>
      <c r="AC120" s="247">
        <f>opex_concordance!M206</f>
        <v>0.30721673307756514</v>
      </c>
      <c r="AD120" s="247">
        <f>opex_concordance!M251</f>
        <v>0.16082230744495032</v>
      </c>
      <c r="AE120" s="188">
        <f>opex_orig!$AC120</f>
        <v>0.169727892590811</v>
      </c>
      <c r="AF120" s="231">
        <f>opex_concordance!$M$319</f>
        <v>5.2021404617691697E-2</v>
      </c>
      <c r="AG120" s="231">
        <f>opex_concordance!$M$355</f>
        <v>2.3052945187089811E-2</v>
      </c>
      <c r="AH120" s="231">
        <f>opex_concordance!$M$391</f>
        <v>1.849527897948082E-2</v>
      </c>
      <c r="AI120" s="188">
        <f>opex_orig!AE120</f>
        <v>3.9522473000000002E-2</v>
      </c>
      <c r="AJ120" s="188">
        <f>opex_orig!AF120</f>
        <v>7.5482272000000003E-2</v>
      </c>
      <c r="AK120" s="188">
        <f>opex_orig!AG120</f>
        <v>5.5607954000000001E-2</v>
      </c>
      <c r="AL120" s="188">
        <f>opex_orig!AH120</f>
        <v>2.940361E-2</v>
      </c>
      <c r="AM120" s="188">
        <f>opex_orig!AI120</f>
        <v>5.9315211E-2</v>
      </c>
      <c r="AN120" s="188">
        <f>opex_orig!AJ120</f>
        <v>3.3940799000000001E-2</v>
      </c>
      <c r="AO120" s="188">
        <f>opex_orig!AK120</f>
        <v>7.7683123000000007E-2</v>
      </c>
      <c r="AP120" s="231">
        <f>opex_concordance!M447</f>
        <v>3.8934471268083401E-2</v>
      </c>
      <c r="AQ120" s="231">
        <f>opex_concordance!M501</f>
        <v>3.1334095156203987E-2</v>
      </c>
      <c r="AR120" s="231">
        <f>opex_concordance!M555</f>
        <v>3.4386431157556609E-2</v>
      </c>
      <c r="AS120" s="188">
        <f>opex_orig!$AM120</f>
        <v>6.21944831505633E-2</v>
      </c>
      <c r="AT120" s="188">
        <f>opex_orig!AN120</f>
        <v>4.3413438999999998E-2</v>
      </c>
      <c r="AU120" s="231">
        <f>opex_concordance!M567</f>
        <v>3.5708672953641503E-2</v>
      </c>
      <c r="AV120" s="231">
        <f>opex_concordance!M613</f>
        <v>3.2340070908917891E-2</v>
      </c>
      <c r="AW120" s="231">
        <f>opex_concordance!M659</f>
        <v>2.9599360938006549E-2</v>
      </c>
      <c r="AX120" s="188">
        <f>opex_orig!$AP120</f>
        <v>5.0841793572019699E-2</v>
      </c>
      <c r="AY120" s="188">
        <f>opex_orig!AQ120</f>
        <v>6.2399393999999997E-2</v>
      </c>
      <c r="AZ120" s="188">
        <f>opex_orig!AR120</f>
        <v>0</v>
      </c>
      <c r="BA120" s="188">
        <f>opex_orig!AS120</f>
        <v>4.8955772000000002E-2</v>
      </c>
      <c r="BB120" s="188">
        <f>opex_orig!AT120</f>
        <v>3.6499759E-2</v>
      </c>
      <c r="BC120" s="188">
        <f>opex_orig!AU120</f>
        <v>3.6206851999999998E-2</v>
      </c>
      <c r="BD120" s="188">
        <f>opex_orig!AV120</f>
        <v>3.6250612000000002E-2</v>
      </c>
      <c r="BE120" s="188">
        <f>opex_orig!AW120</f>
        <v>4.7021668000000003E-2</v>
      </c>
      <c r="BF120" s="188">
        <f>opex_orig!AX120</f>
        <v>0</v>
      </c>
      <c r="BG120" s="188">
        <f>opex_orig!AY120</f>
        <v>0.173477718</v>
      </c>
      <c r="BH120" s="188">
        <f>opex_orig!AZ120</f>
        <v>0</v>
      </c>
      <c r="BI120" s="188">
        <f>opex_orig!BA120</f>
        <v>3.3094944000000001E-2</v>
      </c>
      <c r="BJ120" s="188">
        <f>opex_orig!BB120</f>
        <v>2.3265233999999999E-2</v>
      </c>
      <c r="BK120" s="188">
        <f>opex_orig!BC120</f>
        <v>3.2609791999999999E-2</v>
      </c>
      <c r="BL120" s="188">
        <f>opex_orig!BD120</f>
        <v>3.1222646E-2</v>
      </c>
      <c r="BM120" s="188">
        <f>opex_orig!BE120</f>
        <v>1.6184898999999999E-2</v>
      </c>
      <c r="BN120" s="188">
        <f>opex_orig!BF120</f>
        <v>3.8281326999999997E-2</v>
      </c>
      <c r="BO120" s="188">
        <f>opex_orig!BG120</f>
        <v>6.0106680000000003E-2</v>
      </c>
      <c r="BP120" s="247">
        <f>opex_concordance!M108</f>
        <v>3.6935275961190693E-2</v>
      </c>
      <c r="BQ120" s="247">
        <f>opex_concordance!M151</f>
        <v>3.1664187689568489E-2</v>
      </c>
      <c r="BR120" s="188">
        <f>opex_orig!BI120</f>
        <v>2.2503537000000001E-2</v>
      </c>
      <c r="BS120" s="188">
        <f>opex_orig!BJ120</f>
        <v>2.6395842999999999E-2</v>
      </c>
      <c r="BT120" s="188">
        <f>opex_orig!BK120</f>
        <v>5.8830331E-2</v>
      </c>
      <c r="BU120" s="188">
        <f>opex_orig!BL120</f>
        <v>0</v>
      </c>
      <c r="BV120" s="27">
        <f>opex_orig!BM120</f>
        <v>2.3965573699748301E-2</v>
      </c>
      <c r="BW120" s="27">
        <f>opex_orig!BN120</f>
        <v>8.1483341738130904E-2</v>
      </c>
      <c r="BX120" s="27">
        <f>opex_orig!BO120</f>
        <v>7.4399545275371801E-3</v>
      </c>
      <c r="BY120" s="27">
        <f>opex_orig!BP120</f>
        <v>2.6161791863222698E-2</v>
      </c>
      <c r="BZ120" s="27">
        <f>opex_orig!BQ120</f>
        <v>4.3736272762718298E-2</v>
      </c>
      <c r="CA120" s="27">
        <f>opex_orig!BR120</f>
        <v>1.9635223058099002E-2</v>
      </c>
      <c r="CB120" s="27">
        <f>opex_orig!BS120</f>
        <v>0.225370319324109</v>
      </c>
      <c r="CC120" s="27">
        <f>opex_orig!BT120</f>
        <v>2.16536653370639E-2</v>
      </c>
      <c r="CD120" s="27">
        <f>opex_orig!BU120</f>
        <v>1.7168994231766301E-2</v>
      </c>
      <c r="CE120" s="27">
        <f>opex_orig!BV120</f>
        <v>1.7168994231766401E-2</v>
      </c>
      <c r="CF120" s="27">
        <f>opex_orig!BW120</f>
        <v>4.5566789678724101E-2</v>
      </c>
      <c r="CG120" s="27">
        <f>opex_orig!BX120</f>
        <v>0.12161765813971399</v>
      </c>
      <c r="CH120" s="27">
        <f>opex_orig!BY120</f>
        <v>3.8426005168540701E-2</v>
      </c>
      <c r="CI120" s="27">
        <f>opex_orig!Y120</f>
        <v>4.8460617999999997E-2</v>
      </c>
      <c r="CJ120" s="27">
        <f>opex_orig!Z120</f>
        <v>3.7175910999999999E-2</v>
      </c>
      <c r="CK120" s="27">
        <f>opex_orig!AA120</f>
        <v>0.14436406399999999</v>
      </c>
      <c r="CL120" s="27">
        <f>opex_orig!AB120</f>
        <v>0.357646054898278</v>
      </c>
      <c r="CM120" s="27">
        <f>opex_orig!AC120</f>
        <v>0.169727892590811</v>
      </c>
      <c r="CN120" s="27">
        <f>opex_orig!AD120</f>
        <v>5.2021404617691697E-2</v>
      </c>
      <c r="CO120" s="27">
        <f>opex_orig!AE120</f>
        <v>3.9522473000000002E-2</v>
      </c>
      <c r="CP120" s="27">
        <f>opex_orig!AF120</f>
        <v>7.5482272000000003E-2</v>
      </c>
    </row>
    <row r="121" spans="1:94" x14ac:dyDescent="0.25">
      <c r="A121" s="5" t="s">
        <v>233</v>
      </c>
      <c r="B121" s="2" t="s">
        <v>232</v>
      </c>
      <c r="C121" s="1" t="s">
        <v>332</v>
      </c>
      <c r="D121" s="188">
        <f>opex_orig!D121</f>
        <v>2.7047005999999998E-2</v>
      </c>
      <c r="E121" s="188">
        <f>opex_orig!E121</f>
        <v>1.3680804E-2</v>
      </c>
      <c r="F121" s="188">
        <f>opex_orig!F121</f>
        <v>1.8247267000000001E-2</v>
      </c>
      <c r="G121" s="188">
        <f>opex_orig!G121</f>
        <v>5.3808329999999998E-3</v>
      </c>
      <c r="H121" s="188">
        <f>opex_orig!H121</f>
        <v>5.6697509999999998E-3</v>
      </c>
      <c r="I121" s="188">
        <f>opex_orig!I121</f>
        <v>1.4300277E-2</v>
      </c>
      <c r="J121" s="188">
        <f>opex_orig!J121</f>
        <v>4.8329324E-2</v>
      </c>
      <c r="K121" s="188">
        <f>opex_orig!K121</f>
        <v>1.2623667E-2</v>
      </c>
      <c r="L121" s="188">
        <f>opex_orig!L121</f>
        <v>2.1350544999999999E-2</v>
      </c>
      <c r="M121" s="188">
        <f>opex_orig!M121</f>
        <v>4.3004753E-2</v>
      </c>
      <c r="N121" s="188">
        <f>opex_orig!N121</f>
        <v>6.1013228000000003E-2</v>
      </c>
      <c r="O121" s="188">
        <f>opex_orig!O121</f>
        <v>2.9716441E-2</v>
      </c>
      <c r="P121" s="188">
        <f>opex_orig!P121</f>
        <v>1.4192654000000001E-2</v>
      </c>
      <c r="Q121" s="188">
        <f>opex_orig!Q121</f>
        <v>2.5603428000000001E-2</v>
      </c>
      <c r="R121" s="188">
        <f>opex_orig!R121</f>
        <v>3.2690811E-2</v>
      </c>
      <c r="S121" s="188">
        <f>opex_orig!S121</f>
        <v>7.5607069999999998E-3</v>
      </c>
      <c r="T121" s="188">
        <f>opex_orig!T121</f>
        <v>3.0930454E-2</v>
      </c>
      <c r="U121" s="188">
        <f>opex_orig!U121</f>
        <v>1.4920900000000001E-2</v>
      </c>
      <c r="V121" s="188">
        <f>opex_orig!V121</f>
        <v>2.3022616999999999E-2</v>
      </c>
      <c r="W121" s="188">
        <f>opex_orig!W121</f>
        <v>9.2359550000000006E-3</v>
      </c>
      <c r="X121" s="188">
        <f>opex_orig!X121</f>
        <v>2.2061883000000001E-2</v>
      </c>
      <c r="Y121" s="188">
        <f>opex_orig!Y121</f>
        <v>1.6837237000000001E-2</v>
      </c>
      <c r="Z121" s="188">
        <f>opex_orig!Z121</f>
        <v>9.4606180000000005E-3</v>
      </c>
      <c r="AA121" s="188">
        <f>opex_orig!AA121</f>
        <v>3.7355025E-2</v>
      </c>
      <c r="AB121" s="226">
        <f>opex_concordance!M162</f>
        <v>5.3624669526973701E-2</v>
      </c>
      <c r="AC121" s="226">
        <f>opex_concordance!M207</f>
        <v>4.6063406988025024E-2</v>
      </c>
      <c r="AD121" s="226">
        <f>opex_concordance!M252</f>
        <v>6.1238415363907159E-2</v>
      </c>
      <c r="AE121" s="188">
        <f>opex_orig!$AC121</f>
        <v>4.1410988565069799E-2</v>
      </c>
      <c r="AF121" s="226">
        <f>opex_concordance!$M$320</f>
        <v>2.7457674285480502E-2</v>
      </c>
      <c r="AG121" s="226">
        <f>opex_concordance!$M$356</f>
        <v>1.2167688760423826E-2</v>
      </c>
      <c r="AH121" s="226">
        <f>opex_concordance!$M$392</f>
        <v>9.7620844683030863E-3</v>
      </c>
      <c r="AI121" s="188">
        <f>opex_orig!AE121</f>
        <v>1.8418985999999998E-2</v>
      </c>
      <c r="AJ121" s="188">
        <f>opex_orig!AF121</f>
        <v>2.4101309000000001E-2</v>
      </c>
      <c r="AK121" s="188">
        <f>opex_orig!AG121</f>
        <v>1.1468366000000001E-2</v>
      </c>
      <c r="AL121" s="188">
        <f>opex_orig!AH121</f>
        <v>7.4705350000000004E-3</v>
      </c>
      <c r="AM121" s="188">
        <f>opex_orig!AI121</f>
        <v>2.4030131999999999E-2</v>
      </c>
      <c r="AN121" s="188">
        <f>opex_orig!AJ121</f>
        <v>1.0192769000000001E-2</v>
      </c>
      <c r="AO121" s="188">
        <f>opex_orig!AK121</f>
        <v>3.5758106999999997E-2</v>
      </c>
      <c r="AP121" s="226">
        <f>opex_concordance!M448</f>
        <v>1.16259332753585E-2</v>
      </c>
      <c r="AQ121" s="226">
        <f>opex_concordance!M502</f>
        <v>9.3564414172072567E-3</v>
      </c>
      <c r="AR121" s="226">
        <f>opex_concordance!M556</f>
        <v>1.0267876799014796E-2</v>
      </c>
      <c r="AS121" s="188">
        <f>opex_orig!$AM121</f>
        <v>2.6735464761741701E-2</v>
      </c>
      <c r="AT121" s="188">
        <f>opex_orig!AN121</f>
        <v>1.2361874E-2</v>
      </c>
      <c r="AU121" s="226">
        <f>opex_concordance!M568</f>
        <v>7.8379204446527798E-3</v>
      </c>
      <c r="AV121" s="226">
        <f>opex_concordance!M614</f>
        <v>7.0985248678270699E-3</v>
      </c>
      <c r="AW121" s="226">
        <f>opex_concordance!M660</f>
        <v>6.4969492578412875E-3</v>
      </c>
      <c r="AX121" s="188">
        <f>opex_orig!$AP121</f>
        <v>1.34679420555038E-2</v>
      </c>
      <c r="AY121" s="188">
        <f>opex_orig!AQ121</f>
        <v>1.6855917000000002E-2</v>
      </c>
      <c r="AZ121" s="188">
        <f>opex_orig!AR121</f>
        <v>0</v>
      </c>
      <c r="BA121" s="188">
        <f>opex_orig!AS121</f>
        <v>1.3217791E-2</v>
      </c>
      <c r="BB121" s="188">
        <f>opex_orig!AT121</f>
        <v>8.7980990000000002E-3</v>
      </c>
      <c r="BC121" s="188">
        <f>opex_orig!AU121</f>
        <v>1.5454346000000001E-2</v>
      </c>
      <c r="BD121" s="188">
        <f>opex_orig!AV121</f>
        <v>1.6485316E-2</v>
      </c>
      <c r="BE121" s="188">
        <f>opex_orig!AW121</f>
        <v>1.3031205000000001E-2</v>
      </c>
      <c r="BF121" s="188">
        <f>opex_orig!AX121</f>
        <v>0</v>
      </c>
      <c r="BG121" s="188">
        <f>opex_orig!AY121</f>
        <v>3.5406733000000003E-2</v>
      </c>
      <c r="BH121" s="188">
        <f>opex_orig!AZ121</f>
        <v>0</v>
      </c>
      <c r="BI121" s="188">
        <f>opex_orig!BA121</f>
        <v>6.8954999999999997E-3</v>
      </c>
      <c r="BJ121" s="188">
        <f>opex_orig!BB121</f>
        <v>5.0690370000000002E-3</v>
      </c>
      <c r="BK121" s="188">
        <f>opex_orig!BC121</f>
        <v>7.3100459999999997E-3</v>
      </c>
      <c r="BL121" s="188">
        <f>opex_orig!BD121</f>
        <v>8.9717000000000009E-3</v>
      </c>
      <c r="BM121" s="188">
        <f>opex_orig!BE121</f>
        <v>4.0568649999999998E-3</v>
      </c>
      <c r="BN121" s="188">
        <f>opex_orig!BF121</f>
        <v>9.2111180000000008E-3</v>
      </c>
      <c r="BO121" s="188">
        <f>opex_orig!BG121</f>
        <v>1.3582240000000001E-2</v>
      </c>
      <c r="BP121" s="327">
        <f>opex_concordance!M109</f>
        <v>7.3399211585520102E-3</v>
      </c>
      <c r="BQ121" s="327">
        <f>opex_concordance!M152</f>
        <v>6.2924300724118238E-3</v>
      </c>
      <c r="BR121" s="188">
        <f>opex_orig!BI121</f>
        <v>7.5583179999999996E-3</v>
      </c>
      <c r="BS121" s="188">
        <f>opex_orig!BJ121</f>
        <v>1.0024137000000001E-2</v>
      </c>
      <c r="BT121" s="188">
        <f>opex_orig!BK121</f>
        <v>1.3196041E-2</v>
      </c>
      <c r="BU121" s="188">
        <f>opex_orig!BL121</f>
        <v>0</v>
      </c>
      <c r="BV121" s="27">
        <f>opex_orig!BM121</f>
        <v>7.3206236622921804E-3</v>
      </c>
      <c r="BW121" s="27">
        <f>opex_orig!BN121</f>
        <v>1.5881573944063299E-2</v>
      </c>
      <c r="BX121" s="27">
        <f>opex_orig!BO121</f>
        <v>3.4981227957675801E-3</v>
      </c>
      <c r="BY121" s="27">
        <f>opex_orig!BP121</f>
        <v>6.8176716485519404E-3</v>
      </c>
      <c r="BZ121" s="27">
        <f>opex_orig!BQ121</f>
        <v>1.17878746149614E-2</v>
      </c>
      <c r="CA121" s="27">
        <f>opex_orig!BR121</f>
        <v>1.36597751768648E-2</v>
      </c>
      <c r="CB121" s="27">
        <f>opex_orig!BS121</f>
        <v>4.4527794788358402E-2</v>
      </c>
      <c r="CC121" s="27">
        <f>opex_orig!BT121</f>
        <v>1.01487524800248E-2</v>
      </c>
      <c r="CD121" s="27">
        <f>opex_orig!BU121</f>
        <v>4.7867435537118997E-3</v>
      </c>
      <c r="CE121" s="27">
        <f>opex_orig!BV121</f>
        <v>4.7867435537119196E-3</v>
      </c>
      <c r="CF121" s="27">
        <f>opex_orig!BW121</f>
        <v>9.5861292219202292E-3</v>
      </c>
      <c r="CG121" s="27">
        <f>opex_orig!BX121</f>
        <v>4.9828546844768201E-2</v>
      </c>
      <c r="CH121" s="27">
        <f>opex_orig!BY121</f>
        <v>0.67565041258360403</v>
      </c>
      <c r="CI121" s="27">
        <f>opex_orig!Y121</f>
        <v>1.6837237000000001E-2</v>
      </c>
      <c r="CJ121" s="27">
        <f>opex_orig!Z121</f>
        <v>9.4606180000000005E-3</v>
      </c>
      <c r="CK121" s="27">
        <f>opex_orig!AA121</f>
        <v>3.7355025E-2</v>
      </c>
      <c r="CL121" s="27">
        <f>opex_orig!AB121</f>
        <v>5.3624669526973701E-2</v>
      </c>
      <c r="CM121" s="27">
        <f>opex_orig!AC121</f>
        <v>4.1410988565069799E-2</v>
      </c>
      <c r="CN121" s="27">
        <f>opex_orig!AD121</f>
        <v>2.7457674285480502E-2</v>
      </c>
      <c r="CO121" s="27">
        <f>opex_orig!AE121</f>
        <v>1.8418985999999998E-2</v>
      </c>
      <c r="CP121" s="27">
        <f>opex_orig!AF121</f>
        <v>2.4101309000000001E-2</v>
      </c>
    </row>
    <row r="122" spans="1:94" x14ac:dyDescent="0.25">
      <c r="A122" s="6" t="s">
        <v>235</v>
      </c>
      <c r="B122" s="2" t="s">
        <v>234</v>
      </c>
      <c r="C122" s="1" t="s">
        <v>332</v>
      </c>
      <c r="D122" s="188">
        <f>opex_orig!D122</f>
        <v>6.3601800000000002E-4</v>
      </c>
      <c r="E122" s="188">
        <f>opex_orig!E122</f>
        <v>6.3840399999999997E-4</v>
      </c>
      <c r="F122" s="188">
        <f>opex_orig!F122</f>
        <v>4.1790399999999998E-4</v>
      </c>
      <c r="G122" s="188">
        <f>opex_orig!G122</f>
        <v>6.1699999999999995E-5</v>
      </c>
      <c r="H122" s="188">
        <f>opex_orig!H122</f>
        <v>1.1585400000000001E-4</v>
      </c>
      <c r="I122" s="188">
        <f>opex_orig!I122</f>
        <v>1.270817E-3</v>
      </c>
      <c r="J122" s="188">
        <f>opex_orig!J122</f>
        <v>1.540977E-3</v>
      </c>
      <c r="K122" s="188">
        <f>opex_orig!K122</f>
        <v>1.53659E-4</v>
      </c>
      <c r="L122" s="188">
        <f>opex_orig!L122</f>
        <v>2.7754939999999999E-3</v>
      </c>
      <c r="M122" s="188">
        <f>opex_orig!M122</f>
        <v>8.4789940000000001E-3</v>
      </c>
      <c r="N122" s="188">
        <f>opex_orig!N122</f>
        <v>3.6861860000000001E-3</v>
      </c>
      <c r="O122" s="188">
        <f>opex_orig!O122</f>
        <v>5.0403700000000004E-4</v>
      </c>
      <c r="P122" s="188">
        <f>opex_orig!P122</f>
        <v>1.405377E-3</v>
      </c>
      <c r="Q122" s="188">
        <f>opex_orig!Q122</f>
        <v>3.3681999999999999E-4</v>
      </c>
      <c r="R122" s="188">
        <f>opex_orig!R122</f>
        <v>1.67713E-4</v>
      </c>
      <c r="S122" s="188">
        <f>opex_orig!S122</f>
        <v>3.040896E-3</v>
      </c>
      <c r="T122" s="188">
        <f>opex_orig!T122</f>
        <v>3.4201000000000001E-3</v>
      </c>
      <c r="U122" s="188">
        <f>opex_orig!U122</f>
        <v>1.0460929999999999E-3</v>
      </c>
      <c r="V122" s="188">
        <f>opex_orig!V122</f>
        <v>1.2675500000000001E-3</v>
      </c>
      <c r="W122" s="188">
        <f>opex_orig!W122</f>
        <v>6.65268E-4</v>
      </c>
      <c r="X122" s="188">
        <f>opex_orig!X122</f>
        <v>1.1286650000000001E-3</v>
      </c>
      <c r="Y122" s="188">
        <f>opex_orig!Y122</f>
        <v>2.2492899999999999E-4</v>
      </c>
      <c r="Z122" s="188">
        <f>opex_orig!Z122</f>
        <v>9.5444400000000004E-4</v>
      </c>
      <c r="AA122" s="188">
        <f>opex_orig!AA122</f>
        <v>2.0024079999999998E-3</v>
      </c>
      <c r="AB122" s="188">
        <f>opex_orig!$AB122</f>
        <v>8.7640671672479002E-4</v>
      </c>
      <c r="AC122" s="188">
        <f>opex_orig!$AB122</f>
        <v>8.7640671672479002E-4</v>
      </c>
      <c r="AD122" s="188">
        <f>opex_orig!$AB122</f>
        <v>8.7640671672479002E-4</v>
      </c>
      <c r="AE122" s="188">
        <f>opex_orig!$AC122</f>
        <v>1.2806693118066299E-3</v>
      </c>
      <c r="AF122" s="188">
        <f>opex_orig!$AD122</f>
        <v>1.0303402224011099E-3</v>
      </c>
      <c r="AG122" s="188">
        <f>opex_orig!$AD122</f>
        <v>1.0303402224011099E-3</v>
      </c>
      <c r="AH122" s="188">
        <f>opex_orig!$AD122</f>
        <v>1.0303402224011099E-3</v>
      </c>
      <c r="AI122" s="188">
        <f>opex_orig!AE122</f>
        <v>9.8945499999999998E-4</v>
      </c>
      <c r="AJ122" s="188">
        <f>opex_orig!AF122</f>
        <v>7.5197959999999996E-3</v>
      </c>
      <c r="AK122" s="188">
        <f>opex_orig!AG122</f>
        <v>1.1124590000000001E-3</v>
      </c>
      <c r="AL122" s="188">
        <f>opex_orig!AH122</f>
        <v>1.23485E-4</v>
      </c>
      <c r="AM122" s="188">
        <f>opex_orig!AI122</f>
        <v>2.0772400000000001E-4</v>
      </c>
      <c r="AN122" s="188">
        <f>opex_orig!AJ122</f>
        <v>1.5065799999999999E-4</v>
      </c>
      <c r="AO122" s="188">
        <f>opex_orig!AK122</f>
        <v>1.66253E-4</v>
      </c>
      <c r="AP122" s="188">
        <f>opex_orig!$AL122</f>
        <v>1.9468287615884901E-4</v>
      </c>
      <c r="AQ122" s="188">
        <f>opex_orig!$AL122</f>
        <v>1.9468287615884901E-4</v>
      </c>
      <c r="AR122" s="188">
        <f>opex_orig!$AL122</f>
        <v>1.9468287615884901E-4</v>
      </c>
      <c r="AS122" s="188">
        <f>opex_orig!$AM122</f>
        <v>1.7532261087102201E-4</v>
      </c>
      <c r="AT122" s="188">
        <f>opex_orig!AN122</f>
        <v>2.69349E-4</v>
      </c>
      <c r="AU122" s="188">
        <f>opex_orig!$AO122</f>
        <v>1.0666872770045399E-3</v>
      </c>
      <c r="AV122" s="188">
        <f>opex_orig!$AO122</f>
        <v>1.0666872770045399E-3</v>
      </c>
      <c r="AW122" s="188">
        <f>opex_orig!$AO122</f>
        <v>1.0666872770045399E-3</v>
      </c>
      <c r="AX122" s="188">
        <f>opex_orig!$AP122</f>
        <v>1.32780377541732E-3</v>
      </c>
      <c r="AY122" s="188">
        <f>opex_orig!AQ122</f>
        <v>4.8336070000000002E-3</v>
      </c>
      <c r="AZ122" s="188">
        <f>opex_orig!AR122</f>
        <v>0</v>
      </c>
      <c r="BA122" s="188">
        <f>opex_orig!AS122</f>
        <v>2.3437559999999998E-3</v>
      </c>
      <c r="BB122" s="188">
        <f>opex_orig!AT122</f>
        <v>2.497151E-3</v>
      </c>
      <c r="BC122" s="188">
        <f>opex_orig!AU122</f>
        <v>6.7650499999999999E-4</v>
      </c>
      <c r="BD122" s="188">
        <f>opex_orig!AV122</f>
        <v>5.9042600000000002E-4</v>
      </c>
      <c r="BE122" s="188">
        <f>opex_orig!AW122</f>
        <v>1.7573389999999999E-3</v>
      </c>
      <c r="BF122" s="188">
        <f>opex_orig!AX122</f>
        <v>0</v>
      </c>
      <c r="BG122" s="188">
        <f>opex_orig!AY122</f>
        <v>5.1771170000000002E-3</v>
      </c>
      <c r="BH122" s="188">
        <f>opex_orig!AZ122</f>
        <v>0</v>
      </c>
      <c r="BI122" s="188">
        <f>opex_orig!BA122</f>
        <v>2.401748E-3</v>
      </c>
      <c r="BJ122" s="188">
        <f>opex_orig!BB122</f>
        <v>8.9070600000000001E-4</v>
      </c>
      <c r="BK122" s="188">
        <f>opex_orig!BC122</f>
        <v>8.2441100000000005E-4</v>
      </c>
      <c r="BL122" s="188">
        <f>opex_orig!BD122</f>
        <v>1.0273299999999999E-4</v>
      </c>
      <c r="BM122" s="188">
        <f>opex_orig!BE122</f>
        <v>1.456316E-3</v>
      </c>
      <c r="BN122" s="188">
        <f>opex_orig!BF122</f>
        <v>1.6199000000000001E-4</v>
      </c>
      <c r="BO122" s="188">
        <f>opex_orig!BG122</f>
        <v>4.6446370000000001E-3</v>
      </c>
      <c r="BP122" s="188">
        <f>opex_orig!$BH122</f>
        <v>1.66048719596853E-3</v>
      </c>
      <c r="BQ122" s="188">
        <f>opex_orig!$BH122</f>
        <v>1.66048719596853E-3</v>
      </c>
      <c r="BR122" s="188">
        <f>opex_orig!BI122</f>
        <v>1.0168589999999999E-3</v>
      </c>
      <c r="BS122" s="188">
        <f>opex_orig!BJ122</f>
        <v>9.99923E-4</v>
      </c>
      <c r="BT122" s="188">
        <f>opex_orig!BK122</f>
        <v>1.9419540000000001E-3</v>
      </c>
      <c r="BU122" s="188">
        <f>opex_orig!BL122</f>
        <v>0</v>
      </c>
      <c r="BV122" s="27">
        <f>opex_orig!BM122</f>
        <v>2.9297467684564998E-3</v>
      </c>
      <c r="BW122" s="27">
        <f>opex_orig!BN122</f>
        <v>1.7342055752926401E-3</v>
      </c>
      <c r="BX122" s="27">
        <f>opex_orig!BO122</f>
        <v>1.3519142268663901E-3</v>
      </c>
      <c r="BY122" s="27">
        <f>opex_orig!BP122</f>
        <v>1.3086217574843099E-3</v>
      </c>
      <c r="BZ122" s="27">
        <f>opex_orig!BQ122</f>
        <v>1.07527844912141E-3</v>
      </c>
      <c r="CA122" s="27">
        <f>opex_orig!BR122</f>
        <v>6.4091055778930602E-4</v>
      </c>
      <c r="CB122" s="27">
        <f>opex_orig!BS122</f>
        <v>1.9013122446813399E-3</v>
      </c>
      <c r="CC122" s="27">
        <f>opex_orig!BT122</f>
        <v>3.2315041847901598E-3</v>
      </c>
      <c r="CD122" s="27">
        <f>opex_orig!BU122</f>
        <v>5.4876639564093097E-3</v>
      </c>
      <c r="CE122" s="27">
        <f>opex_orig!BV122</f>
        <v>5.4876639564093296E-3</v>
      </c>
      <c r="CF122" s="27">
        <f>opex_orig!BW122</f>
        <v>1.74792733450863E-3</v>
      </c>
      <c r="CG122" s="27">
        <f>opex_orig!BX122</f>
        <v>3.1675541870723001E-6</v>
      </c>
      <c r="CH122" s="27">
        <f>opex_orig!BY122</f>
        <v>2.1065767314186299E-3</v>
      </c>
      <c r="CI122" s="27">
        <f>opex_orig!Y122</f>
        <v>2.2492899999999999E-4</v>
      </c>
      <c r="CJ122" s="27">
        <f>opex_orig!Z122</f>
        <v>9.5444400000000004E-4</v>
      </c>
      <c r="CK122" s="27">
        <f>opex_orig!AA122</f>
        <v>2.0024079999999998E-3</v>
      </c>
      <c r="CL122" s="27">
        <f>opex_orig!AB122</f>
        <v>8.7640671672479002E-4</v>
      </c>
      <c r="CM122" s="27">
        <f>opex_orig!AC122</f>
        <v>1.2806693118066299E-3</v>
      </c>
      <c r="CN122" s="27">
        <f>opex_orig!AD122</f>
        <v>1.0303402224011099E-3</v>
      </c>
      <c r="CO122" s="27">
        <f>opex_orig!AE122</f>
        <v>9.8945499999999998E-4</v>
      </c>
      <c r="CP122" s="27">
        <f>opex_orig!AF122</f>
        <v>7.5197959999999996E-3</v>
      </c>
    </row>
    <row r="123" spans="1:94" x14ac:dyDescent="0.25">
      <c r="A123" s="5" t="s">
        <v>237</v>
      </c>
      <c r="B123" s="2" t="s">
        <v>236</v>
      </c>
      <c r="C123" s="1" t="s">
        <v>333</v>
      </c>
      <c r="D123" s="188">
        <f>opex_orig!D123</f>
        <v>3.448193E-3</v>
      </c>
      <c r="E123" s="188">
        <f>opex_orig!E123</f>
        <v>2.3110040000000002E-3</v>
      </c>
      <c r="F123" s="188">
        <f>opex_orig!F123</f>
        <v>3.766742E-3</v>
      </c>
      <c r="G123" s="188">
        <f>opex_orig!G123</f>
        <v>1.0225290000000001E-3</v>
      </c>
      <c r="H123" s="188">
        <f>opex_orig!H123</f>
        <v>1.393149E-3</v>
      </c>
      <c r="I123" s="188">
        <f>opex_orig!I123</f>
        <v>2.3489359999999998E-3</v>
      </c>
      <c r="J123" s="188">
        <f>opex_orig!J123</f>
        <v>9.2288309999999998E-3</v>
      </c>
      <c r="K123" s="188">
        <f>opex_orig!K123</f>
        <v>3.2219990000000001E-3</v>
      </c>
      <c r="L123" s="188">
        <f>opex_orig!L123</f>
        <v>1.7149540000000001E-3</v>
      </c>
      <c r="M123" s="188">
        <f>opex_orig!M123</f>
        <v>2.4381559999999999E-3</v>
      </c>
      <c r="N123" s="188">
        <f>opex_orig!N123</f>
        <v>6.3753129999999996E-3</v>
      </c>
      <c r="O123" s="188">
        <f>opex_orig!O123</f>
        <v>2.906301E-3</v>
      </c>
      <c r="P123" s="188">
        <f>opex_orig!P123</f>
        <v>2.3134140000000002E-3</v>
      </c>
      <c r="Q123" s="188">
        <f>opex_orig!Q123</f>
        <v>5.2272519999999999E-3</v>
      </c>
      <c r="R123" s="188">
        <f>opex_orig!R123</f>
        <v>7.74693E-3</v>
      </c>
      <c r="S123" s="188">
        <f>opex_orig!S123</f>
        <v>1.665202E-3</v>
      </c>
      <c r="T123" s="188">
        <f>opex_orig!T123</f>
        <v>5.1308609999999996E-3</v>
      </c>
      <c r="U123" s="188">
        <f>opex_orig!U123</f>
        <v>4.4612469999999998E-3</v>
      </c>
      <c r="V123" s="188">
        <f>opex_orig!V123</f>
        <v>5.6526129999999999E-3</v>
      </c>
      <c r="W123" s="188">
        <f>opex_orig!W123</f>
        <v>2.8104110000000001E-3</v>
      </c>
      <c r="X123" s="188">
        <f>opex_orig!X123</f>
        <v>1.7811260000000001E-3</v>
      </c>
      <c r="Y123" s="188">
        <f>opex_orig!Y123</f>
        <v>1.5367845E-2</v>
      </c>
      <c r="Z123" s="188">
        <f>opex_orig!Z123</f>
        <v>1.5436791E-2</v>
      </c>
      <c r="AA123" s="188">
        <f>opex_orig!AA123</f>
        <v>4.1934870999999999E-2</v>
      </c>
      <c r="AB123" s="254">
        <f>opex_concordance!M195</f>
        <v>1.4535611744200599E-2</v>
      </c>
      <c r="AC123" s="254">
        <f>opex_concordance!M224</f>
        <v>2.1644560069678416E-2</v>
      </c>
      <c r="AD123" s="254">
        <f>opex_concordance!M285</f>
        <v>2.5622983159442628E-2</v>
      </c>
      <c r="AE123" s="188">
        <f>opex_orig!$AC123</f>
        <v>1.9229450169041401E-2</v>
      </c>
      <c r="AF123" s="188">
        <f>opex_orig!$AD123</f>
        <v>4.3368112600819103E-3</v>
      </c>
      <c r="AG123" s="188">
        <f>opex_orig!$AD123</f>
        <v>4.3368112600819103E-3</v>
      </c>
      <c r="AH123" s="188">
        <f>opex_orig!$AD123</f>
        <v>4.3368112600819103E-3</v>
      </c>
      <c r="AI123" s="188">
        <f>opex_orig!AE123</f>
        <v>3.3597689999999999E-3</v>
      </c>
      <c r="AJ123" s="188">
        <f>opex_orig!AF123</f>
        <v>2.0337596999999999E-2</v>
      </c>
      <c r="AK123" s="188">
        <f>opex_orig!AG123</f>
        <v>8.99499E-4</v>
      </c>
      <c r="AL123" s="188">
        <f>opex_orig!AH123</f>
        <v>1.6684429999999999E-3</v>
      </c>
      <c r="AM123" s="188">
        <f>opex_orig!AI123</f>
        <v>3.7368240000000001E-3</v>
      </c>
      <c r="AN123" s="188">
        <f>opex_orig!AJ123</f>
        <v>2.464211E-3</v>
      </c>
      <c r="AO123" s="188">
        <f>opex_orig!AK123</f>
        <v>5.5260400000000003E-3</v>
      </c>
      <c r="AP123" s="188">
        <f>opex_orig!$AL123</f>
        <v>2.84086392656226E-3</v>
      </c>
      <c r="AQ123" s="188">
        <f>opex_orig!$AL123</f>
        <v>2.84086392656226E-3</v>
      </c>
      <c r="AR123" s="188">
        <f>opex_orig!$AL123</f>
        <v>2.84086392656226E-3</v>
      </c>
      <c r="AS123" s="188">
        <f>opex_orig!$AM123</f>
        <v>4.6158598009367197E-3</v>
      </c>
      <c r="AT123" s="188">
        <f>opex_orig!AN123</f>
        <v>3.2285399999999998E-3</v>
      </c>
      <c r="AU123" s="188">
        <f>opex_orig!$AO123</f>
        <v>4.52605322254028E-3</v>
      </c>
      <c r="AV123" s="188">
        <f>opex_orig!$AO123</f>
        <v>4.52605322254028E-3</v>
      </c>
      <c r="AW123" s="188">
        <f>opex_orig!$AO123</f>
        <v>4.52605322254028E-3</v>
      </c>
      <c r="AX123" s="188">
        <f>opex_orig!$AP123</f>
        <v>5.7844543444071196E-3</v>
      </c>
      <c r="AY123" s="188">
        <f>opex_orig!AQ123</f>
        <v>3.9981349999999999E-3</v>
      </c>
      <c r="AZ123" s="188">
        <f>opex_orig!AR123</f>
        <v>0</v>
      </c>
      <c r="BA123" s="188">
        <f>opex_orig!AS123</f>
        <v>3.2267720000000001E-3</v>
      </c>
      <c r="BB123" s="188">
        <f>opex_orig!AT123</f>
        <v>2.4369439999999999E-3</v>
      </c>
      <c r="BC123" s="188">
        <f>opex_orig!AU123</f>
        <v>1.987698E-3</v>
      </c>
      <c r="BD123" s="188">
        <f>opex_orig!AV123</f>
        <v>1.8890479999999999E-3</v>
      </c>
      <c r="BE123" s="188">
        <f>opex_orig!AW123</f>
        <v>2.9090050000000001E-3</v>
      </c>
      <c r="BF123" s="188">
        <f>opex_orig!AX123</f>
        <v>0</v>
      </c>
      <c r="BG123" s="188">
        <f>opex_orig!AY123</f>
        <v>1.0537479000000001E-2</v>
      </c>
      <c r="BH123" s="188">
        <f>opex_orig!AZ123</f>
        <v>0</v>
      </c>
      <c r="BI123" s="188">
        <f>opex_orig!BA123</f>
        <v>1.745576E-3</v>
      </c>
      <c r="BJ123" s="188">
        <f>opex_orig!BB123</f>
        <v>9.8828999999999996E-4</v>
      </c>
      <c r="BK123" s="188">
        <f>opex_orig!BC123</f>
        <v>2.044761E-3</v>
      </c>
      <c r="BL123" s="188">
        <f>opex_orig!BD123</f>
        <v>1.5036889999999999E-3</v>
      </c>
      <c r="BM123" s="188">
        <f>opex_orig!BE123</f>
        <v>1.4659639999999999E-3</v>
      </c>
      <c r="BN123" s="188">
        <f>opex_orig!BF123</f>
        <v>8.9982899999999999E-4</v>
      </c>
      <c r="BO123" s="188">
        <f>opex_orig!BG123</f>
        <v>1.5195740000000001E-3</v>
      </c>
      <c r="BP123" s="188">
        <f>opex_orig!$BH123</f>
        <v>3.4514886087290502E-3</v>
      </c>
      <c r="BQ123" s="188">
        <f>opex_orig!$BH123</f>
        <v>3.4514886087290502E-3</v>
      </c>
      <c r="BR123" s="188">
        <f>opex_orig!BI123</f>
        <v>1.388495E-3</v>
      </c>
      <c r="BS123" s="188">
        <f>opex_orig!BJ123</f>
        <v>1.5173070000000001E-3</v>
      </c>
      <c r="BT123" s="188">
        <f>opex_orig!BK123</f>
        <v>2.9180790000000001E-3</v>
      </c>
      <c r="BU123" s="188">
        <f>opex_orig!BL123</f>
        <v>0</v>
      </c>
      <c r="BV123" s="27">
        <f>opex_orig!BM123</f>
        <v>1.5873600319641998E-2</v>
      </c>
      <c r="BW123" s="27">
        <f>opex_orig!BN123</f>
        <v>5.2947482641924497E-2</v>
      </c>
      <c r="BX123" s="27">
        <f>opex_orig!BO123</f>
        <v>3.0334280676113001E-3</v>
      </c>
      <c r="BY123" s="27">
        <f>opex_orig!BP123</f>
        <v>4.0771797757612601E-3</v>
      </c>
      <c r="BZ123" s="27">
        <f>opex_orig!BQ123</f>
        <v>5.7667470529491997E-3</v>
      </c>
      <c r="CA123" s="27">
        <f>opex_orig!BR123</f>
        <v>1.4332833667677501E-3</v>
      </c>
      <c r="CB123" s="27">
        <f>opex_orig!BS123</f>
        <v>4.0962333344819503E-2</v>
      </c>
      <c r="CC123" s="27">
        <f>opex_orig!BT123</f>
        <v>2.0846614070915898E-3</v>
      </c>
      <c r="CD123" s="27">
        <f>opex_orig!BU123</f>
        <v>3.7079157077593802E-3</v>
      </c>
      <c r="CE123" s="27">
        <f>opex_orig!BV123</f>
        <v>3.7079157077593802E-3</v>
      </c>
      <c r="CF123" s="27">
        <f>opex_orig!BW123</f>
        <v>1.3368263496317001E-3</v>
      </c>
      <c r="CG123" s="27">
        <f>opex_orig!BX123</f>
        <v>1.2146404041005501E-2</v>
      </c>
      <c r="CH123" s="27">
        <f>opex_orig!BY123</f>
        <v>1.54477973395384E-3</v>
      </c>
      <c r="CI123" s="27">
        <f>opex_orig!Y123</f>
        <v>1.5367845E-2</v>
      </c>
      <c r="CJ123" s="27">
        <f>opex_orig!Z123</f>
        <v>1.5436791E-2</v>
      </c>
      <c r="CK123" s="27">
        <f>opex_orig!AA123</f>
        <v>4.1934870999999999E-2</v>
      </c>
      <c r="CL123" s="27">
        <f>opex_orig!AB123</f>
        <v>1.4535611744200601E-2</v>
      </c>
      <c r="CM123" s="27">
        <f>opex_orig!AC123</f>
        <v>1.9229450169041401E-2</v>
      </c>
      <c r="CN123" s="27">
        <f>opex_orig!AD123</f>
        <v>4.3368112600819103E-3</v>
      </c>
      <c r="CO123" s="27">
        <f>opex_orig!AE123</f>
        <v>3.3597689999999999E-3</v>
      </c>
      <c r="CP123" s="27">
        <f>opex_orig!AF123</f>
        <v>2.0337596999999999E-2</v>
      </c>
    </row>
    <row r="124" spans="1:94" x14ac:dyDescent="0.25">
      <c r="A124" s="5" t="s">
        <v>239</v>
      </c>
      <c r="B124" s="2" t="s">
        <v>238</v>
      </c>
      <c r="C124" s="1" t="s">
        <v>333</v>
      </c>
      <c r="D124" s="188">
        <f>opex_orig!D124</f>
        <v>1.7270707E-2</v>
      </c>
      <c r="E124" s="188">
        <f>opex_orig!E124</f>
        <v>2.2416934999999999E-2</v>
      </c>
      <c r="F124" s="188">
        <f>opex_orig!F124</f>
        <v>1.7898491999999998E-2</v>
      </c>
      <c r="G124" s="188">
        <f>opex_orig!G124</f>
        <v>5.365201E-3</v>
      </c>
      <c r="H124" s="188">
        <f>opex_orig!H124</f>
        <v>7.5185429999999999E-3</v>
      </c>
      <c r="I124" s="188">
        <f>opex_orig!I124</f>
        <v>5.8809425999999998E-2</v>
      </c>
      <c r="J124" s="188">
        <f>opex_orig!J124</f>
        <v>8.2560713999999993E-2</v>
      </c>
      <c r="K124" s="188">
        <f>opex_orig!K124</f>
        <v>1.6656901000000002E-2</v>
      </c>
      <c r="L124" s="188">
        <f>opex_orig!L124</f>
        <v>2.2148866E-2</v>
      </c>
      <c r="M124" s="188">
        <f>opex_orig!M124</f>
        <v>4.2818881000000003E-2</v>
      </c>
      <c r="N124" s="188">
        <f>opex_orig!N124</f>
        <v>4.3011425999999998E-2</v>
      </c>
      <c r="O124" s="188">
        <f>opex_orig!O124</f>
        <v>1.523249E-2</v>
      </c>
      <c r="P124" s="188">
        <f>opex_orig!P124</f>
        <v>2.9560468999999999E-2</v>
      </c>
      <c r="Q124" s="188">
        <f>opex_orig!Q124</f>
        <v>1.8033820999999998E-2</v>
      </c>
      <c r="R124" s="188">
        <f>opex_orig!R124</f>
        <v>2.8983867999999999E-2</v>
      </c>
      <c r="S124" s="188">
        <f>opex_orig!S124</f>
        <v>4.2644287000000003E-2</v>
      </c>
      <c r="T124" s="188">
        <f>opex_orig!T124</f>
        <v>6.1622964000000002E-2</v>
      </c>
      <c r="U124" s="188">
        <f>opex_orig!U124</f>
        <v>0.20064143300000001</v>
      </c>
      <c r="V124" s="188">
        <f>opex_orig!V124</f>
        <v>0.28683148000000003</v>
      </c>
      <c r="W124" s="188">
        <f>opex_orig!W124</f>
        <v>3.8606641999999997E-2</v>
      </c>
      <c r="X124" s="188">
        <f>opex_orig!X124</f>
        <v>2.0610397999999999E-2</v>
      </c>
      <c r="Y124" s="188">
        <f>opex_orig!Y124</f>
        <v>4.0072492000000001E-2</v>
      </c>
      <c r="Z124" s="188">
        <f>opex_orig!Z124</f>
        <v>0.22639365</v>
      </c>
      <c r="AA124" s="188">
        <f>opex_orig!AA124</f>
        <v>0.12693434000000001</v>
      </c>
      <c r="AB124" s="217">
        <f>opex_concordance!M196</f>
        <v>5.6700519893351398E-2</v>
      </c>
      <c r="AC124" s="217">
        <f>opex_concordance!M225</f>
        <v>6.895359983579194E-2</v>
      </c>
      <c r="AD124" s="217">
        <f>opex_concordance!M286</f>
        <v>9.9950142582656359E-2</v>
      </c>
      <c r="AE124" s="188">
        <f>opex_orig!$AC124</f>
        <v>7.5949282296661202E-2</v>
      </c>
      <c r="AF124" s="217">
        <f>opex_concordance!$M$321</f>
        <v>4.4291695162636098E-2</v>
      </c>
      <c r="AG124" s="217">
        <f>opex_concordance!$M$357</f>
        <v>1.9627575001700277E-2</v>
      </c>
      <c r="AH124" s="217">
        <f>opex_concordance!$M$393</f>
        <v>1.5747119181562481E-2</v>
      </c>
      <c r="AI124" s="188">
        <f>opex_orig!AE124</f>
        <v>4.1029897000000003E-2</v>
      </c>
      <c r="AJ124" s="188">
        <f>opex_orig!AF124</f>
        <v>2.2112364999999998E-2</v>
      </c>
      <c r="AK124" s="188">
        <f>opex_orig!AG124</f>
        <v>3.3451370000000002E-3</v>
      </c>
      <c r="AL124" s="188">
        <f>opex_orig!AH124</f>
        <v>5.991405E-3</v>
      </c>
      <c r="AM124" s="188">
        <f>opex_orig!AI124</f>
        <v>1.3793730000000001E-2</v>
      </c>
      <c r="AN124" s="188">
        <f>opex_orig!AJ124</f>
        <v>8.7423589999999999E-3</v>
      </c>
      <c r="AO124" s="188">
        <f>opex_orig!AK124</f>
        <v>2.0739205E-2</v>
      </c>
      <c r="AP124" s="217">
        <f>opex_concordance!M449</f>
        <v>1.06413366651971E-2</v>
      </c>
      <c r="AQ124" s="217">
        <f>opex_concordance!M503</f>
        <v>8.5640473543510936E-3</v>
      </c>
      <c r="AR124" s="217">
        <f>opex_concordance!M557</f>
        <v>9.3982935620894048E-3</v>
      </c>
      <c r="AS124" s="188">
        <f>opex_orig!$AM124</f>
        <v>1.7976153505367898E-2</v>
      </c>
      <c r="AT124" s="188">
        <f>opex_orig!AN124</f>
        <v>1.0670377E-2</v>
      </c>
      <c r="AU124" s="217">
        <f>opex_concordance!M603</f>
        <v>1.08120372992614E-2</v>
      </c>
      <c r="AV124" s="217">
        <f>opex_concordance!M649</f>
        <v>1.4688114567373789E-2</v>
      </c>
      <c r="AW124" s="217">
        <f>opex_concordance!M695</f>
        <v>1.2125372064560894E-2</v>
      </c>
      <c r="AX124" s="188">
        <f>opex_orig!$AP124</f>
        <v>1.47048362740355E-2</v>
      </c>
      <c r="AY124" s="188">
        <f>opex_orig!AQ124</f>
        <v>1.5146366E-2</v>
      </c>
      <c r="AZ124" s="188">
        <f>opex_orig!AR124</f>
        <v>0</v>
      </c>
      <c r="BA124" s="188">
        <f>opex_orig!AS124</f>
        <v>1.5389915000000001E-2</v>
      </c>
      <c r="BB124" s="188">
        <f>opex_orig!AT124</f>
        <v>1.3049721E-2</v>
      </c>
      <c r="BC124" s="188">
        <f>opex_orig!AU124</f>
        <v>1.3352179E-2</v>
      </c>
      <c r="BD124" s="188">
        <f>opex_orig!AV124</f>
        <v>1.3191230999999999E-2</v>
      </c>
      <c r="BE124" s="188">
        <f>opex_orig!AW124</f>
        <v>1.4406624E-2</v>
      </c>
      <c r="BF124" s="188">
        <f>opex_orig!AX124</f>
        <v>0</v>
      </c>
      <c r="BG124" s="188">
        <f>opex_orig!AY124</f>
        <v>3.7070625000000003E-2</v>
      </c>
      <c r="BH124" s="188">
        <f>opex_orig!AZ124</f>
        <v>0</v>
      </c>
      <c r="BI124" s="188">
        <f>opex_orig!BA124</f>
        <v>8.9064869999999994E-3</v>
      </c>
      <c r="BJ124" s="188">
        <f>opex_orig!BB124</f>
        <v>3.037578E-3</v>
      </c>
      <c r="BK124" s="188">
        <f>opex_orig!BC124</f>
        <v>2.7740322000000001E-2</v>
      </c>
      <c r="BL124" s="188">
        <f>opex_orig!BD124</f>
        <v>4.9751550000000002E-3</v>
      </c>
      <c r="BM124" s="188">
        <f>opex_orig!BE124</f>
        <v>2.1812964000000001E-2</v>
      </c>
      <c r="BN124" s="188">
        <f>opex_orig!BF124</f>
        <v>6.1841170000000003E-3</v>
      </c>
      <c r="BO124" s="188">
        <f>opex_orig!BG124</f>
        <v>1.3693965000000001E-2</v>
      </c>
      <c r="BP124" s="207">
        <f>opex_concordance!M102</f>
        <v>1.1975334938031927E-2</v>
      </c>
      <c r="BQ124" s="207">
        <f>opex_concordance!M145</f>
        <v>7.8669096122205903E-3</v>
      </c>
      <c r="BR124" s="188">
        <f>opex_orig!BI124</f>
        <v>6.913705E-3</v>
      </c>
      <c r="BS124" s="188">
        <f>opex_orig!BJ124</f>
        <v>6.9737169999999999E-3</v>
      </c>
      <c r="BT124" s="188">
        <f>opex_orig!BK124</f>
        <v>1.1536670000000001E-2</v>
      </c>
      <c r="BU124" s="188">
        <f>opex_orig!BL124</f>
        <v>0</v>
      </c>
      <c r="BV124" s="27">
        <f>opex_orig!BM124</f>
        <v>0.12875309609659699</v>
      </c>
      <c r="BW124" s="27">
        <f>opex_orig!BN124</f>
        <v>0.104911299632202</v>
      </c>
      <c r="BX124" s="27">
        <f>opex_orig!BO124</f>
        <v>4.1794605091217199E-2</v>
      </c>
      <c r="BY124" s="27">
        <f>opex_orig!BP124</f>
        <v>7.24151515758472E-2</v>
      </c>
      <c r="BZ124" s="27">
        <f>opex_orig!BQ124</f>
        <v>7.9171232948198403E-2</v>
      </c>
      <c r="CA124" s="27">
        <f>opex_orig!BR124</f>
        <v>2.1947916366098399E-2</v>
      </c>
      <c r="CB124" s="27">
        <f>opex_orig!BS124</f>
        <v>9.9322587884996802E-2</v>
      </c>
      <c r="CC124" s="27">
        <f>opex_orig!BT124</f>
        <v>6.5428152753507799E-3</v>
      </c>
      <c r="CD124" s="27">
        <f>opex_orig!BU124</f>
        <v>7.5745891607497298E-2</v>
      </c>
      <c r="CE124" s="27">
        <f>opex_orig!BV124</f>
        <v>7.5745891607497395E-2</v>
      </c>
      <c r="CF124" s="27">
        <f>opex_orig!BW124</f>
        <v>2.0189265978785498E-2</v>
      </c>
      <c r="CG124" s="27">
        <f>opex_orig!BX124</f>
        <v>2.9441747226081401E-2</v>
      </c>
      <c r="CH124" s="27">
        <f>opex_orig!BY124</f>
        <v>5.05699974144754E-3</v>
      </c>
      <c r="CI124" s="27">
        <f>opex_orig!Y124</f>
        <v>4.0072492000000001E-2</v>
      </c>
      <c r="CJ124" s="27">
        <f>opex_orig!Z124</f>
        <v>0.22639365</v>
      </c>
      <c r="CK124" s="27">
        <f>opex_orig!AA124</f>
        <v>0.12693434000000001</v>
      </c>
      <c r="CL124" s="27">
        <f>opex_orig!AB124</f>
        <v>5.6700519893351398E-2</v>
      </c>
      <c r="CM124" s="27">
        <f>opex_orig!AC124</f>
        <v>7.5949282296661202E-2</v>
      </c>
      <c r="CN124" s="27">
        <f>opex_orig!AD124</f>
        <v>4.4291695162636098E-2</v>
      </c>
      <c r="CO124" s="27">
        <f>opex_orig!AE124</f>
        <v>4.1029897000000003E-2</v>
      </c>
      <c r="CP124" s="27">
        <f>opex_orig!AF124</f>
        <v>2.2112364999999998E-2</v>
      </c>
    </row>
    <row r="125" spans="1:94" x14ac:dyDescent="0.25">
      <c r="A125" s="5" t="s">
        <v>241</v>
      </c>
      <c r="B125" s="2" t="s">
        <v>240</v>
      </c>
      <c r="C125" s="1" t="s">
        <v>333</v>
      </c>
      <c r="D125" s="188">
        <f>opex_orig!D125</f>
        <v>9.3365500000000003E-4</v>
      </c>
      <c r="E125" s="188">
        <f>opex_orig!E125</f>
        <v>6.9481600000000001E-4</v>
      </c>
      <c r="F125" s="188">
        <f>opex_orig!F125</f>
        <v>8.6928099999999996E-4</v>
      </c>
      <c r="G125" s="188">
        <f>opex_orig!G125</f>
        <v>4.0564799999999999E-4</v>
      </c>
      <c r="H125" s="188">
        <f>opex_orig!H125</f>
        <v>4.5867199999999998E-4</v>
      </c>
      <c r="I125" s="188">
        <f>opex_orig!I125</f>
        <v>4.50748E-4</v>
      </c>
      <c r="J125" s="188">
        <f>opex_orig!J125</f>
        <v>2.8936830000000002E-3</v>
      </c>
      <c r="K125" s="188">
        <f>opex_orig!K125</f>
        <v>1.2430150000000001E-3</v>
      </c>
      <c r="L125" s="188">
        <f>opex_orig!L125</f>
        <v>4.34793E-4</v>
      </c>
      <c r="M125" s="188">
        <f>opex_orig!M125</f>
        <v>4.9619599999999996E-4</v>
      </c>
      <c r="N125" s="188">
        <f>opex_orig!N125</f>
        <v>1.789821E-3</v>
      </c>
      <c r="O125" s="188">
        <f>opex_orig!O125</f>
        <v>6.35858E-4</v>
      </c>
      <c r="P125" s="188">
        <f>opex_orig!P125</f>
        <v>4.86176E-4</v>
      </c>
      <c r="Q125" s="188">
        <f>opex_orig!Q125</f>
        <v>7.8445200000000004E-4</v>
      </c>
      <c r="R125" s="188">
        <f>opex_orig!R125</f>
        <v>1.658893E-3</v>
      </c>
      <c r="S125" s="188">
        <f>opex_orig!S125</f>
        <v>3.7809600000000002E-4</v>
      </c>
      <c r="T125" s="188">
        <f>opex_orig!T125</f>
        <v>1.543989E-3</v>
      </c>
      <c r="U125" s="188">
        <f>opex_orig!U125</f>
        <v>7.29961E-4</v>
      </c>
      <c r="V125" s="188">
        <f>opex_orig!V125</f>
        <v>8.8647900000000002E-4</v>
      </c>
      <c r="W125" s="188">
        <f>opex_orig!W125</f>
        <v>4.2826300000000002E-4</v>
      </c>
      <c r="X125" s="188">
        <f>opex_orig!X125</f>
        <v>4.0865399999999999E-4</v>
      </c>
      <c r="Y125" s="188">
        <f>opex_orig!Y125</f>
        <v>1.2735120000000001E-3</v>
      </c>
      <c r="Z125" s="188">
        <f>opex_orig!Z125</f>
        <v>5.9049325E-2</v>
      </c>
      <c r="AA125" s="188">
        <f>opex_orig!AA125</f>
        <v>4.3606189999999996E-3</v>
      </c>
      <c r="AB125" s="219">
        <f>opex_concordance!M197</f>
        <v>1.48073809005072E-2</v>
      </c>
      <c r="AC125" s="219">
        <f>opex_concordance!M226</f>
        <v>2.1949485145702115E-2</v>
      </c>
      <c r="AD125" s="219">
        <f>opex_concordance!M287</f>
        <v>2.6102050476171017E-2</v>
      </c>
      <c r="AE125" s="188">
        <f>opex_orig!$AC125</f>
        <v>3.7684563367535902E-3</v>
      </c>
      <c r="AF125" s="188">
        <f>opex_orig!$AD125</f>
        <v>1.30885671614047E-3</v>
      </c>
      <c r="AG125" s="188">
        <f>opex_orig!$AD125</f>
        <v>1.30885671614047E-3</v>
      </c>
      <c r="AH125" s="188">
        <f>opex_orig!$AD125</f>
        <v>1.30885671614047E-3</v>
      </c>
      <c r="AI125" s="188">
        <f>opex_orig!AE125</f>
        <v>1.0365089999999999E-3</v>
      </c>
      <c r="AJ125" s="188">
        <f>opex_orig!AF125</f>
        <v>4.8954800000000002E-4</v>
      </c>
      <c r="AK125" s="188">
        <f>opex_orig!AG125</f>
        <v>2.3696000000000001E-4</v>
      </c>
      <c r="AL125" s="188">
        <f>opex_orig!AH125</f>
        <v>5.3655300000000005E-4</v>
      </c>
      <c r="AM125" s="188">
        <f>opex_orig!AI125</f>
        <v>1.2066659999999999E-3</v>
      </c>
      <c r="AN125" s="188">
        <f>opex_orig!AJ125</f>
        <v>8.4165800000000001E-4</v>
      </c>
      <c r="AO125" s="188">
        <f>opex_orig!AK125</f>
        <v>1.8623870000000001E-3</v>
      </c>
      <c r="AP125" s="188">
        <f>opex_orig!$AL125</f>
        <v>8.49969672861967E-4</v>
      </c>
      <c r="AQ125" s="188">
        <f>opex_orig!$AL125</f>
        <v>8.49969672861967E-4</v>
      </c>
      <c r="AR125" s="188">
        <f>opex_orig!$AL125</f>
        <v>8.49969672861967E-4</v>
      </c>
      <c r="AS125" s="188">
        <f>opex_orig!$AM125</f>
        <v>1.5372697127169399E-3</v>
      </c>
      <c r="AT125" s="188">
        <f>opex_orig!AN125</f>
        <v>8.6436599999999998E-4</v>
      </c>
      <c r="AU125" s="188">
        <f>opex_orig!$AO125</f>
        <v>5.7857580334563698E-4</v>
      </c>
      <c r="AV125" s="188">
        <f>opex_orig!$AO125</f>
        <v>5.7857580334563698E-4</v>
      </c>
      <c r="AW125" s="188">
        <f>opex_orig!$AO125</f>
        <v>5.7857580334563698E-4</v>
      </c>
      <c r="AX125" s="188">
        <f>opex_orig!$AP125</f>
        <v>8.2868777730947703E-4</v>
      </c>
      <c r="AY125" s="188">
        <f>opex_orig!AQ125</f>
        <v>9.5926599999999996E-4</v>
      </c>
      <c r="AZ125" s="188">
        <f>opex_orig!AR125</f>
        <v>0</v>
      </c>
      <c r="BA125" s="188">
        <f>opex_orig!AS125</f>
        <v>8.8075700000000002E-4</v>
      </c>
      <c r="BB125" s="188">
        <f>opex_orig!AT125</f>
        <v>6.3765600000000001E-4</v>
      </c>
      <c r="BC125" s="188">
        <f>opex_orig!AU125</f>
        <v>8.8524700000000003E-4</v>
      </c>
      <c r="BD125" s="188">
        <f>opex_orig!AV125</f>
        <v>8.94858E-4</v>
      </c>
      <c r="BE125" s="188">
        <f>opex_orig!AW125</f>
        <v>7.8425200000000004E-4</v>
      </c>
      <c r="BF125" s="188">
        <f>opex_orig!AX125</f>
        <v>0</v>
      </c>
      <c r="BG125" s="188">
        <f>opex_orig!AY125</f>
        <v>2.9226149999999999E-3</v>
      </c>
      <c r="BH125" s="188">
        <f>opex_orig!AZ125</f>
        <v>0</v>
      </c>
      <c r="BI125" s="188">
        <f>opex_orig!BA125</f>
        <v>4.6856699999999997E-4</v>
      </c>
      <c r="BJ125" s="188">
        <f>opex_orig!BB125</f>
        <v>2.5419100000000002E-4</v>
      </c>
      <c r="BK125" s="188">
        <f>opex_orig!BC125</f>
        <v>2.25157E-4</v>
      </c>
      <c r="BL125" s="188">
        <f>opex_orig!BD125</f>
        <v>3.60026E-4</v>
      </c>
      <c r="BM125" s="188">
        <f>opex_orig!BE125</f>
        <v>2.1306799999999999E-4</v>
      </c>
      <c r="BN125" s="188">
        <f>opex_orig!BF125</f>
        <v>2.2238600000000001E-4</v>
      </c>
      <c r="BO125" s="188">
        <f>opex_orig!BG125</f>
        <v>3.3962499999999997E-4</v>
      </c>
      <c r="BP125" s="188">
        <f>opex_orig!$BH125</f>
        <v>2.9058190007262802E-4</v>
      </c>
      <c r="BQ125" s="188">
        <f>opex_orig!$BH125</f>
        <v>2.9058190007262802E-4</v>
      </c>
      <c r="BR125" s="188">
        <f>opex_orig!BI125</f>
        <v>3.6383500000000002E-4</v>
      </c>
      <c r="BS125" s="188">
        <f>opex_orig!BJ125</f>
        <v>4.1944900000000002E-4</v>
      </c>
      <c r="BT125" s="188">
        <f>opex_orig!BK125</f>
        <v>7.7690799999999998E-4</v>
      </c>
      <c r="BU125" s="188">
        <f>opex_orig!BL125</f>
        <v>0</v>
      </c>
      <c r="BV125" s="27">
        <f>opex_orig!BM125</f>
        <v>1.0930863295916999E-3</v>
      </c>
      <c r="BW125" s="27">
        <f>opex_orig!BN125</f>
        <v>1.31531528272625E-3</v>
      </c>
      <c r="BX125" s="27">
        <f>opex_orig!BO125</f>
        <v>9.7582138433409198E-4</v>
      </c>
      <c r="BY125" s="27">
        <f>opex_orig!BP125</f>
        <v>1.57584573059786E-3</v>
      </c>
      <c r="BZ125" s="27">
        <f>opex_orig!BQ125</f>
        <v>2.0642955772295301E-3</v>
      </c>
      <c r="CA125" s="27">
        <f>opex_orig!BR125</f>
        <v>1.7718604561677801E-4</v>
      </c>
      <c r="CB125" s="27">
        <f>opex_orig!BS125</f>
        <v>5.15194087609746E-3</v>
      </c>
      <c r="CC125" s="27">
        <f>opex_orig!BT125</f>
        <v>6.0737785386151403E-4</v>
      </c>
      <c r="CD125" s="27">
        <f>opex_orig!BU125</f>
        <v>1.2842948344536799E-4</v>
      </c>
      <c r="CE125" s="27">
        <f>opex_orig!BV125</f>
        <v>1.28429483445369E-4</v>
      </c>
      <c r="CF125" s="27">
        <f>opex_orig!BW125</f>
        <v>7.0185341422322495E-4</v>
      </c>
      <c r="CG125" s="27">
        <f>opex_orig!BX125</f>
        <v>1.7268269304223499E-3</v>
      </c>
      <c r="CH125" s="27">
        <f>opex_orig!BY125</f>
        <v>8.2592417337134003E-2</v>
      </c>
      <c r="CI125" s="27">
        <f>opex_orig!Y125</f>
        <v>1.2735120000000001E-3</v>
      </c>
      <c r="CJ125" s="27">
        <f>opex_orig!Z125</f>
        <v>5.9049325E-2</v>
      </c>
      <c r="CK125" s="27">
        <f>opex_orig!AA125</f>
        <v>4.3606189999999996E-3</v>
      </c>
      <c r="CL125" s="27">
        <f>opex_orig!AB125</f>
        <v>1.48073809005072E-2</v>
      </c>
      <c r="CM125" s="27">
        <f>opex_orig!AC125</f>
        <v>3.7684563367535902E-3</v>
      </c>
      <c r="CN125" s="27">
        <f>opex_orig!AD125</f>
        <v>1.30885671614047E-3</v>
      </c>
      <c r="CO125" s="27">
        <f>opex_orig!AE125</f>
        <v>1.0365089999999999E-3</v>
      </c>
      <c r="CP125" s="27">
        <f>opex_orig!AF125</f>
        <v>4.8954800000000002E-4</v>
      </c>
    </row>
    <row r="126" spans="1:94" x14ac:dyDescent="0.25">
      <c r="A126" s="5" t="s">
        <v>243</v>
      </c>
      <c r="B126" s="2" t="s">
        <v>242</v>
      </c>
      <c r="C126" s="1" t="s">
        <v>333</v>
      </c>
      <c r="D126" s="188">
        <f>opex_orig!D126</f>
        <v>1.85162E-4</v>
      </c>
      <c r="E126" s="188">
        <f>opex_orig!E126</f>
        <v>8.4499999999999994E-5</v>
      </c>
      <c r="F126" s="188">
        <f>opex_orig!F126</f>
        <v>2.2302300000000001E-4</v>
      </c>
      <c r="G126" s="188">
        <f>opex_orig!G126</f>
        <v>1.28291E-4</v>
      </c>
      <c r="H126" s="188">
        <f>opex_orig!H126</f>
        <v>1.3699999999999999E-5</v>
      </c>
      <c r="I126" s="188">
        <f>opex_orig!I126</f>
        <v>9.3999999999999994E-5</v>
      </c>
      <c r="J126" s="188">
        <f>opex_orig!J126</f>
        <v>5.363339E-3</v>
      </c>
      <c r="K126" s="188">
        <f>opex_orig!K126</f>
        <v>6.1099999999999994E-5</v>
      </c>
      <c r="L126" s="188">
        <f>opex_orig!L126</f>
        <v>2.1951100000000001E-4</v>
      </c>
      <c r="M126" s="188">
        <f>opex_orig!M126</f>
        <v>3.0090100000000001E-4</v>
      </c>
      <c r="N126" s="188">
        <f>opex_orig!N126</f>
        <v>7.9800000000000002E-5</v>
      </c>
      <c r="O126" s="188">
        <f>opex_orig!O126</f>
        <v>4.3600000000000003E-5</v>
      </c>
      <c r="P126" s="188">
        <f>opex_orig!P126</f>
        <v>1.05604E-4</v>
      </c>
      <c r="Q126" s="188">
        <f>opex_orig!Q126</f>
        <v>1.15065E-4</v>
      </c>
      <c r="R126" s="188">
        <f>opex_orig!R126</f>
        <v>1.33499E-4</v>
      </c>
      <c r="S126" s="188">
        <f>opex_orig!S126</f>
        <v>1.8188500000000001E-4</v>
      </c>
      <c r="T126" s="188">
        <f>opex_orig!T126</f>
        <v>5.1844700000000001E-4</v>
      </c>
      <c r="U126" s="188">
        <f>opex_orig!U126</f>
        <v>7.8235999999999996E-4</v>
      </c>
      <c r="V126" s="188">
        <f>opex_orig!V126</f>
        <v>8.4310799999999997E-4</v>
      </c>
      <c r="W126" s="188">
        <f>opex_orig!W126</f>
        <v>1.83893E-4</v>
      </c>
      <c r="X126" s="188">
        <f>opex_orig!X126</f>
        <v>4.7299999999999998E-5</v>
      </c>
      <c r="Y126" s="188">
        <f>opex_orig!Y126</f>
        <v>3.2299999999999999E-5</v>
      </c>
      <c r="Z126" s="188">
        <f>opex_orig!Z126</f>
        <v>2.05899E-4</v>
      </c>
      <c r="AA126" s="188">
        <f>opex_orig!AA126</f>
        <v>1.9924799999999999E-4</v>
      </c>
      <c r="AB126" s="188">
        <f>opex_orig!$AB126</f>
        <v>4.3640384546201401E-4</v>
      </c>
      <c r="AC126" s="188">
        <f>opex_orig!$AB126</f>
        <v>4.3640384546201401E-4</v>
      </c>
      <c r="AD126" s="188">
        <f>opex_orig!$AB126</f>
        <v>4.3640384546201401E-4</v>
      </c>
      <c r="AE126" s="188">
        <f>opex_orig!$AC126</f>
        <v>1.6182903425994201E-3</v>
      </c>
      <c r="AF126" s="188">
        <f>opex_orig!$AD126</f>
        <v>1.55772246939226E-3</v>
      </c>
      <c r="AG126" s="188">
        <f>opex_orig!$AD126</f>
        <v>1.55772246939226E-3</v>
      </c>
      <c r="AH126" s="188">
        <f>opex_orig!$AD126</f>
        <v>1.55772246939226E-3</v>
      </c>
      <c r="AI126" s="188">
        <f>opex_orig!AE126</f>
        <v>1.2215889999999999E-3</v>
      </c>
      <c r="AJ126" s="188">
        <f>opex_orig!AF126</f>
        <v>1.361929E-3</v>
      </c>
      <c r="AK126" s="188">
        <f>opex_orig!AG126</f>
        <v>5.1900000000000001E-5</v>
      </c>
      <c r="AL126" s="188">
        <f>opex_orig!AH126</f>
        <v>4.5500000000000001E-5</v>
      </c>
      <c r="AM126" s="188">
        <f>opex_orig!AI126</f>
        <v>6.7000000000000002E-5</v>
      </c>
      <c r="AN126" s="188">
        <f>opex_orig!AJ126</f>
        <v>1.03677E-4</v>
      </c>
      <c r="AO126" s="188">
        <f>opex_orig!AK126</f>
        <v>9.2399999999999996E-5</v>
      </c>
      <c r="AP126" s="188">
        <f>opex_orig!$AL126</f>
        <v>6.8685984965705904E-5</v>
      </c>
      <c r="AQ126" s="188">
        <f>opex_orig!$AL126</f>
        <v>6.8685984965705904E-5</v>
      </c>
      <c r="AR126" s="188">
        <f>opex_orig!$AL126</f>
        <v>6.8685984965705904E-5</v>
      </c>
      <c r="AS126" s="188">
        <f>opex_orig!$AM126</f>
        <v>7.7715175616453505E-5</v>
      </c>
      <c r="AT126" s="188">
        <f>opex_orig!AN126</f>
        <v>8.7100000000000003E-5</v>
      </c>
      <c r="AU126" s="188">
        <f>opex_orig!$AO126</f>
        <v>5.9564886090533502E-5</v>
      </c>
      <c r="AV126" s="188">
        <f>opex_orig!$AO126</f>
        <v>5.9564886090533502E-5</v>
      </c>
      <c r="AW126" s="188">
        <f>opex_orig!$AO126</f>
        <v>5.9564886090533502E-5</v>
      </c>
      <c r="AX126" s="188">
        <f>opex_orig!$AP126</f>
        <v>4.9619154386365698E-5</v>
      </c>
      <c r="AY126" s="188">
        <f>opex_orig!AQ126</f>
        <v>8.7299999999999994E-5</v>
      </c>
      <c r="AZ126" s="188">
        <f>opex_orig!AR126</f>
        <v>0</v>
      </c>
      <c r="BA126" s="188">
        <f>opex_orig!AS126</f>
        <v>1.02154E-4</v>
      </c>
      <c r="BB126" s="188">
        <f>opex_orig!AT126</f>
        <v>6.9999999999999994E-5</v>
      </c>
      <c r="BC126" s="188">
        <f>opex_orig!AU126</f>
        <v>5.3399999999999997E-5</v>
      </c>
      <c r="BD126" s="188">
        <f>opex_orig!AV126</f>
        <v>3.9499999999999998E-5</v>
      </c>
      <c r="BE126" s="188">
        <f>opex_orig!AW126</f>
        <v>6.0999999999999999E-5</v>
      </c>
      <c r="BF126" s="188">
        <f>opex_orig!AX126</f>
        <v>0</v>
      </c>
      <c r="BG126" s="188">
        <f>opex_orig!AY126</f>
        <v>1.10027E-4</v>
      </c>
      <c r="BH126" s="188">
        <f>opex_orig!AZ126</f>
        <v>0</v>
      </c>
      <c r="BI126" s="188">
        <f>opex_orig!BA126</f>
        <v>8.9400000000000005E-5</v>
      </c>
      <c r="BJ126" s="188">
        <f>opex_orig!BB126</f>
        <v>4.9700000000000002E-5</v>
      </c>
      <c r="BK126" s="188">
        <f>opex_orig!BC126</f>
        <v>1.91361E-4</v>
      </c>
      <c r="BL126" s="188">
        <f>opex_orig!BD126</f>
        <v>1.4810999999999999E-4</v>
      </c>
      <c r="BM126" s="188">
        <f>opex_orig!BE126</f>
        <v>5.4400000000000001E-5</v>
      </c>
      <c r="BN126" s="188">
        <f>opex_orig!BF126</f>
        <v>1.3555899999999999E-4</v>
      </c>
      <c r="BO126" s="188">
        <f>opex_orig!BG126</f>
        <v>3.4600000000000001E-5</v>
      </c>
      <c r="BP126" s="188">
        <f>opex_orig!$BH126</f>
        <v>7.6597037632502297E-5</v>
      </c>
      <c r="BQ126" s="188">
        <f>opex_orig!$BH126</f>
        <v>7.6597037632502297E-5</v>
      </c>
      <c r="BR126" s="188">
        <f>opex_orig!BI126</f>
        <v>1.11266E-4</v>
      </c>
      <c r="BS126" s="188">
        <f>opex_orig!BJ126</f>
        <v>4.1100000000000003E-5</v>
      </c>
      <c r="BT126" s="188">
        <f>opex_orig!BK126</f>
        <v>4.7599999999999998E-5</v>
      </c>
      <c r="BU126" s="188">
        <f>opex_orig!BL126</f>
        <v>0</v>
      </c>
      <c r="BV126" s="27">
        <f>opex_orig!BM126</f>
        <v>2.13628311488247E-4</v>
      </c>
      <c r="BW126" s="27">
        <f>opex_orig!BN126</f>
        <v>2.6997342164931698E-4</v>
      </c>
      <c r="BX126" s="27">
        <f>opex_orig!BO126</f>
        <v>3.6888396858349998E-5</v>
      </c>
      <c r="BY126" s="27">
        <f>opex_orig!BP126</f>
        <v>5.57424322215016E-5</v>
      </c>
      <c r="BZ126" s="27">
        <f>opex_orig!BQ126</f>
        <v>9.4177155224901295E-5</v>
      </c>
      <c r="CA126" s="27">
        <f>opex_orig!BR126</f>
        <v>5.63814784493878E-4</v>
      </c>
      <c r="CB126" s="27">
        <f>opex_orig!BS126</f>
        <v>4.6736659071911299E-4</v>
      </c>
      <c r="CC126" s="27">
        <f>opex_orig!BT126</f>
        <v>2.0001004104855101E-4</v>
      </c>
      <c r="CD126" s="27">
        <f>opex_orig!BU126</f>
        <v>3.3593493266794803E-5</v>
      </c>
      <c r="CE126" s="27">
        <f>opex_orig!BV126</f>
        <v>3.3593493266794897E-5</v>
      </c>
      <c r="CF126" s="27">
        <f>opex_orig!BW126</f>
        <v>8.5199592517718695E-4</v>
      </c>
      <c r="CG126" s="27">
        <f>opex_orig!BX126</f>
        <v>4.5503871456084701E-3</v>
      </c>
      <c r="CH126" s="27">
        <f>opex_orig!BY126</f>
        <v>1.59233986582802E-4</v>
      </c>
      <c r="CI126" s="27">
        <f>opex_orig!Y126</f>
        <v>3.2299999999999999E-5</v>
      </c>
      <c r="CJ126" s="27">
        <f>opex_orig!Z126</f>
        <v>2.05899E-4</v>
      </c>
      <c r="CK126" s="27">
        <f>opex_orig!AA126</f>
        <v>1.9924799999999999E-4</v>
      </c>
      <c r="CL126" s="27">
        <f>opex_orig!AB126</f>
        <v>4.3640384546201401E-4</v>
      </c>
      <c r="CM126" s="27">
        <f>opex_orig!AC126</f>
        <v>1.6182903425994201E-3</v>
      </c>
      <c r="CN126" s="27">
        <f>opex_orig!AD126</f>
        <v>1.55772246939226E-3</v>
      </c>
      <c r="CO126" s="27">
        <f>opex_orig!AE126</f>
        <v>1.2215889999999999E-3</v>
      </c>
      <c r="CP126" s="27">
        <f>opex_orig!AF126</f>
        <v>1.361929E-3</v>
      </c>
    </row>
    <row r="127" spans="1:94" x14ac:dyDescent="0.25">
      <c r="A127" s="5" t="s">
        <v>245</v>
      </c>
      <c r="B127" s="2" t="s">
        <v>244</v>
      </c>
      <c r="C127" s="1" t="s">
        <v>333</v>
      </c>
      <c r="D127" s="188">
        <f>opex_orig!D127</f>
        <v>3.0199999999999999E-5</v>
      </c>
      <c r="E127" s="188">
        <f>opex_orig!E127</f>
        <v>1.1800000000000001E-5</v>
      </c>
      <c r="F127" s="188">
        <f>opex_orig!F127</f>
        <v>2.4499999999999999E-5</v>
      </c>
      <c r="G127" s="188">
        <f>opex_orig!G127</f>
        <v>1.5400000000000002E-5</v>
      </c>
      <c r="H127" s="188">
        <f>opex_orig!H127</f>
        <v>1.6700000000000001E-6</v>
      </c>
      <c r="I127" s="188">
        <f>opex_orig!I127</f>
        <v>1.9899999999999999E-5</v>
      </c>
      <c r="J127" s="188">
        <f>opex_orig!J127</f>
        <v>1.353976E-3</v>
      </c>
      <c r="K127" s="188">
        <f>opex_orig!K127</f>
        <v>1.1600000000000001E-5</v>
      </c>
      <c r="L127" s="188">
        <f>opex_orig!L127</f>
        <v>3.3500000000000001E-5</v>
      </c>
      <c r="M127" s="188">
        <f>opex_orig!M127</f>
        <v>4.2299999999999998E-5</v>
      </c>
      <c r="N127" s="188">
        <f>opex_orig!N127</f>
        <v>1.4100000000000001E-5</v>
      </c>
      <c r="O127" s="188">
        <f>opex_orig!O127</f>
        <v>5.1499999999999998E-6</v>
      </c>
      <c r="P127" s="188">
        <f>opex_orig!P127</f>
        <v>2.1500000000000001E-5</v>
      </c>
      <c r="Q127" s="188">
        <f>opex_orig!Q127</f>
        <v>2.9899999999999998E-5</v>
      </c>
      <c r="R127" s="188">
        <f>opex_orig!R127</f>
        <v>2.51E-5</v>
      </c>
      <c r="S127" s="188">
        <f>opex_orig!S127</f>
        <v>1.7600000000000001E-5</v>
      </c>
      <c r="T127" s="188">
        <f>opex_orig!T127</f>
        <v>4.5200000000000001E-5</v>
      </c>
      <c r="U127" s="188">
        <f>opex_orig!U127</f>
        <v>8.25E-5</v>
      </c>
      <c r="V127" s="188">
        <f>opex_orig!V127</f>
        <v>9.4400000000000004E-5</v>
      </c>
      <c r="W127" s="188">
        <f>opex_orig!W127</f>
        <v>2.1299999999999999E-5</v>
      </c>
      <c r="X127" s="188">
        <f>opex_orig!X127</f>
        <v>6.1099999999999999E-6</v>
      </c>
      <c r="Y127" s="188">
        <f>opex_orig!Y127</f>
        <v>6.9399999999999996E-6</v>
      </c>
      <c r="Z127" s="188">
        <f>opex_orig!Z127</f>
        <v>4.1499999999999999E-5</v>
      </c>
      <c r="AA127" s="188">
        <f>opex_orig!AA127</f>
        <v>2.6299999999999999E-5</v>
      </c>
      <c r="AB127" s="188">
        <f>opex_orig!$AB127</f>
        <v>2.56598517958552E-5</v>
      </c>
      <c r="AC127" s="188">
        <f>opex_orig!$AB127</f>
        <v>2.56598517958552E-5</v>
      </c>
      <c r="AD127" s="188">
        <f>opex_orig!$AB127</f>
        <v>2.56598517958552E-5</v>
      </c>
      <c r="AE127" s="188">
        <f>opex_orig!$AC127</f>
        <v>7.0278906283682699E-4</v>
      </c>
      <c r="AF127" s="188">
        <f>opex_orig!$AD127</f>
        <v>4.4305920752965399E-4</v>
      </c>
      <c r="AG127" s="188">
        <f>opex_orig!$AD127</f>
        <v>4.4305920752965399E-4</v>
      </c>
      <c r="AH127" s="188">
        <f>opex_orig!$AD127</f>
        <v>4.4305920752965399E-4</v>
      </c>
      <c r="AI127" s="188">
        <f>opex_orig!AE127</f>
        <v>3.2393100000000001E-4</v>
      </c>
      <c r="AJ127" s="188">
        <f>opex_orig!AF127</f>
        <v>4.1809099999999999E-4</v>
      </c>
      <c r="AK127" s="188">
        <f>opex_orig!AG127</f>
        <v>4.3200000000000001E-6</v>
      </c>
      <c r="AL127" s="188">
        <f>opex_orig!AH127</f>
        <v>5.8000000000000004E-6</v>
      </c>
      <c r="AM127" s="188">
        <f>opex_orig!AI127</f>
        <v>7.5800000000000003E-6</v>
      </c>
      <c r="AN127" s="188">
        <f>opex_orig!AJ127</f>
        <v>1.11E-5</v>
      </c>
      <c r="AO127" s="188">
        <f>opex_orig!AK127</f>
        <v>1.17E-5</v>
      </c>
      <c r="AP127" s="188">
        <f>opex_orig!$AL127</f>
        <v>8.1025116081592503E-6</v>
      </c>
      <c r="AQ127" s="188">
        <f>opex_orig!$AL127</f>
        <v>8.1025116081592503E-6</v>
      </c>
      <c r="AR127" s="188">
        <f>opex_orig!$AL127</f>
        <v>8.1025116081592503E-6</v>
      </c>
      <c r="AS127" s="188">
        <f>opex_orig!$AM127</f>
        <v>9.4930508661316502E-6</v>
      </c>
      <c r="AT127" s="188">
        <f>opex_orig!AN127</f>
        <v>1.0900000000000001E-5</v>
      </c>
      <c r="AU127" s="188">
        <f>opex_orig!$AO127</f>
        <v>7.9637374823292501E-6</v>
      </c>
      <c r="AV127" s="188">
        <f>opex_orig!$AO127</f>
        <v>7.9637374823292501E-6</v>
      </c>
      <c r="AW127" s="188">
        <f>opex_orig!$AO127</f>
        <v>7.9637374823292501E-6</v>
      </c>
      <c r="AX127" s="188">
        <f>opex_orig!$AP127</f>
        <v>7.7318416276896201E-6</v>
      </c>
      <c r="AY127" s="188">
        <f>opex_orig!AQ127</f>
        <v>1.0900000000000001E-5</v>
      </c>
      <c r="AZ127" s="188">
        <f>opex_orig!AR127</f>
        <v>0</v>
      </c>
      <c r="BA127" s="188">
        <f>opex_orig!AS127</f>
        <v>1.04E-5</v>
      </c>
      <c r="BB127" s="188">
        <f>opex_orig!AT127</f>
        <v>7.2099999999999996E-6</v>
      </c>
      <c r="BC127" s="188">
        <f>opex_orig!AU127</f>
        <v>6.0599999999999996E-6</v>
      </c>
      <c r="BD127" s="188">
        <f>opex_orig!AV127</f>
        <v>4.5199999999999999E-6</v>
      </c>
      <c r="BE127" s="188">
        <f>opex_orig!AW127</f>
        <v>7.6299999999999998E-6</v>
      </c>
      <c r="BF127" s="188">
        <f>opex_orig!AX127</f>
        <v>0</v>
      </c>
      <c r="BG127" s="188">
        <f>opex_orig!AY127</f>
        <v>3.57E-5</v>
      </c>
      <c r="BH127" s="188">
        <f>opex_orig!AZ127</f>
        <v>0</v>
      </c>
      <c r="BI127" s="188">
        <f>opex_orig!BA127</f>
        <v>9.9599999999999995E-6</v>
      </c>
      <c r="BJ127" s="188">
        <f>opex_orig!BB127</f>
        <v>4.6399999999999996E-6</v>
      </c>
      <c r="BK127" s="188">
        <f>opex_orig!BC127</f>
        <v>2.4199999999999999E-5</v>
      </c>
      <c r="BL127" s="188">
        <f>opex_orig!BD127</f>
        <v>3.0800000000000003E-5</v>
      </c>
      <c r="BM127" s="188">
        <f>opex_orig!BE127</f>
        <v>4.8999999999999997E-6</v>
      </c>
      <c r="BN127" s="188">
        <f>opex_orig!BF127</f>
        <v>2.16E-5</v>
      </c>
      <c r="BO127" s="188">
        <f>opex_orig!BG127</f>
        <v>4.95E-6</v>
      </c>
      <c r="BP127" s="188">
        <f>opex_orig!$BH127</f>
        <v>7.1706078664653302E-6</v>
      </c>
      <c r="BQ127" s="188">
        <f>opex_orig!$BH127</f>
        <v>7.1706078664653302E-6</v>
      </c>
      <c r="BR127" s="188">
        <f>opex_orig!BI127</f>
        <v>9.91E-6</v>
      </c>
      <c r="BS127" s="188">
        <f>opex_orig!BJ127</f>
        <v>4.8899999999999998E-6</v>
      </c>
      <c r="BT127" s="188">
        <f>opex_orig!BK127</f>
        <v>6.02E-6</v>
      </c>
      <c r="BU127" s="188">
        <f>opex_orig!BL127</f>
        <v>0</v>
      </c>
      <c r="BV127" s="27">
        <f>opex_orig!BM127</f>
        <v>2.8537688557155799E-5</v>
      </c>
      <c r="BW127" s="27">
        <f>opex_orig!BN127</f>
        <v>3.9272731158092397E-5</v>
      </c>
      <c r="BX127" s="27">
        <f>opex_orig!BO127</f>
        <v>6.8724759913631701E-6</v>
      </c>
      <c r="BY127" s="27">
        <f>opex_orig!BP127</f>
        <v>1.22567828829872E-5</v>
      </c>
      <c r="BZ127" s="27">
        <f>opex_orig!BQ127</f>
        <v>1.2602076932610301E-5</v>
      </c>
      <c r="CA127" s="27">
        <f>opex_orig!BR127</f>
        <v>9.8652487574231494E-5</v>
      </c>
      <c r="CB127" s="27">
        <f>opex_orig!BS127</f>
        <v>6.6579454711897395E-5</v>
      </c>
      <c r="CC127" s="27">
        <f>opex_orig!BT127</f>
        <v>9.1268529087479904E-5</v>
      </c>
      <c r="CD127" s="27">
        <f>opex_orig!BU127</f>
        <v>9.6938426385921507E-6</v>
      </c>
      <c r="CE127" s="27">
        <f>opex_orig!BV127</f>
        <v>9.6938426385921693E-6</v>
      </c>
      <c r="CF127" s="27">
        <f>opex_orig!BW127</f>
        <v>9.3271420923262701E-6</v>
      </c>
      <c r="CG127" s="27">
        <f>opex_orig!BX127</f>
        <v>5.0710939687464603E-3</v>
      </c>
      <c r="CH127" s="27">
        <f>opex_orig!BY127</f>
        <v>2.8457455962281798E-4</v>
      </c>
      <c r="CI127" s="27">
        <f>opex_orig!Y127</f>
        <v>6.9399999999999996E-6</v>
      </c>
      <c r="CJ127" s="27">
        <f>opex_orig!Z127</f>
        <v>4.1499999999999999E-5</v>
      </c>
      <c r="CK127" s="27">
        <f>opex_orig!AA127</f>
        <v>2.6299999999999999E-5</v>
      </c>
      <c r="CL127" s="27">
        <f>opex_orig!AB127</f>
        <v>2.56598517958552E-5</v>
      </c>
      <c r="CM127" s="27">
        <f>opex_orig!AC127</f>
        <v>7.0278906283682699E-4</v>
      </c>
      <c r="CN127" s="27">
        <f>opex_orig!AD127</f>
        <v>4.4305920752965399E-4</v>
      </c>
      <c r="CO127" s="27">
        <f>opex_orig!AE127</f>
        <v>3.2393100000000001E-4</v>
      </c>
      <c r="CP127" s="27">
        <f>opex_orig!AF127</f>
        <v>4.1809099999999999E-4</v>
      </c>
    </row>
    <row r="128" spans="1:94" x14ac:dyDescent="0.25">
      <c r="A128" s="5" t="s">
        <v>247</v>
      </c>
      <c r="B128" s="2" t="s">
        <v>246</v>
      </c>
      <c r="C128" s="1" t="s">
        <v>333</v>
      </c>
      <c r="D128" s="188">
        <f>opex_orig!D128</f>
        <v>7.6484899999999995E-4</v>
      </c>
      <c r="E128" s="188">
        <f>opex_orig!E128</f>
        <v>8.3257299999999997E-4</v>
      </c>
      <c r="F128" s="188">
        <f>opex_orig!F128</f>
        <v>1.2935259999999999E-3</v>
      </c>
      <c r="G128" s="188">
        <f>opex_orig!G128</f>
        <v>3.4633800000000002E-4</v>
      </c>
      <c r="H128" s="188">
        <f>opex_orig!H128</f>
        <v>4.94277E-4</v>
      </c>
      <c r="I128" s="188">
        <f>opex_orig!I128</f>
        <v>7.6541800000000002E-4</v>
      </c>
      <c r="J128" s="188">
        <f>opex_orig!J128</f>
        <v>2.9148120000000001E-3</v>
      </c>
      <c r="K128" s="188">
        <f>opex_orig!K128</f>
        <v>1.0940909999999999E-3</v>
      </c>
      <c r="L128" s="188">
        <f>opex_orig!L128</f>
        <v>9.9410600000000003E-4</v>
      </c>
      <c r="M128" s="188">
        <f>opex_orig!M128</f>
        <v>2.7481789999999999E-3</v>
      </c>
      <c r="N128" s="188">
        <f>opex_orig!N128</f>
        <v>3.012505E-3</v>
      </c>
      <c r="O128" s="188">
        <f>opex_orig!O128</f>
        <v>7.5805299999999996E-4</v>
      </c>
      <c r="P128" s="188">
        <f>opex_orig!P128</f>
        <v>9.8597799999999998E-4</v>
      </c>
      <c r="Q128" s="188">
        <f>opex_orig!Q128</f>
        <v>1.7963479999999999E-3</v>
      </c>
      <c r="R128" s="188">
        <f>opex_orig!R128</f>
        <v>2.622096E-3</v>
      </c>
      <c r="S128" s="188">
        <f>opex_orig!S128</f>
        <v>4.3032200000000002E-4</v>
      </c>
      <c r="T128" s="188">
        <f>opex_orig!T128</f>
        <v>1.8150449999999999E-3</v>
      </c>
      <c r="U128" s="188">
        <f>opex_orig!U128</f>
        <v>8.0444999999999996E-4</v>
      </c>
      <c r="V128" s="188">
        <f>opex_orig!V128</f>
        <v>1.0751350000000001E-3</v>
      </c>
      <c r="W128" s="188">
        <f>opex_orig!W128</f>
        <v>5.0953000000000001E-4</v>
      </c>
      <c r="X128" s="188">
        <f>opex_orig!X128</f>
        <v>1.1640279999999999E-3</v>
      </c>
      <c r="Y128" s="188">
        <f>opex_orig!Y128</f>
        <v>1.206904E-3</v>
      </c>
      <c r="Z128" s="188">
        <f>opex_orig!Z128</f>
        <v>1.0191410000000001E-3</v>
      </c>
      <c r="AA128" s="188">
        <f>opex_orig!AA128</f>
        <v>4.5103749999999996E-3</v>
      </c>
      <c r="AB128" s="188">
        <f>opex_orig!$AB128</f>
        <v>4.6961865990394099E-3</v>
      </c>
      <c r="AC128" s="188">
        <f>opex_orig!$AB128</f>
        <v>4.6961865990394099E-3</v>
      </c>
      <c r="AD128" s="188">
        <f>opex_orig!$AB128</f>
        <v>4.6961865990394099E-3</v>
      </c>
      <c r="AE128" s="188">
        <f>opex_orig!$AC128</f>
        <v>3.9510069457153098E-3</v>
      </c>
      <c r="AF128" s="188">
        <f>opex_orig!$AD128</f>
        <v>1.2890116050297E-3</v>
      </c>
      <c r="AG128" s="188">
        <f>opex_orig!$AD128</f>
        <v>1.2890116050297E-3</v>
      </c>
      <c r="AH128" s="188">
        <f>opex_orig!$AD128</f>
        <v>1.2890116050297E-3</v>
      </c>
      <c r="AI128" s="188">
        <f>opex_orig!AE128</f>
        <v>9.1388799999999996E-4</v>
      </c>
      <c r="AJ128" s="188">
        <f>opex_orig!AF128</f>
        <v>1.0803480000000001E-3</v>
      </c>
      <c r="AK128" s="188">
        <f>opex_orig!AG128</f>
        <v>3.0626900000000002E-4</v>
      </c>
      <c r="AL128" s="188">
        <f>opex_orig!AH128</f>
        <v>6.4069500000000004E-4</v>
      </c>
      <c r="AM128" s="188">
        <f>opex_orig!AI128</f>
        <v>1.5412920000000001E-3</v>
      </c>
      <c r="AN128" s="188">
        <f>opex_orig!AJ128</f>
        <v>1.1224060000000001E-3</v>
      </c>
      <c r="AO128" s="188">
        <f>opex_orig!AK128</f>
        <v>2.268197E-3</v>
      </c>
      <c r="AP128" s="188">
        <f>opex_orig!$AL128</f>
        <v>1.19816973926377E-3</v>
      </c>
      <c r="AQ128" s="188">
        <f>opex_orig!$AL128</f>
        <v>1.19816973926377E-3</v>
      </c>
      <c r="AR128" s="188">
        <f>opex_orig!$AL128</f>
        <v>1.19816973926377E-3</v>
      </c>
      <c r="AS128" s="188">
        <f>opex_orig!$AM128</f>
        <v>1.90964238504414E-3</v>
      </c>
      <c r="AT128" s="188">
        <f>opex_orig!AN128</f>
        <v>1.3865730000000001E-3</v>
      </c>
      <c r="AU128" s="188">
        <f>opex_orig!$AO128</f>
        <v>6.8154970479117002E-4</v>
      </c>
      <c r="AV128" s="188">
        <f>opex_orig!$AO128</f>
        <v>6.8154970479117002E-4</v>
      </c>
      <c r="AW128" s="188">
        <f>opex_orig!$AO128</f>
        <v>6.8154970479117002E-4</v>
      </c>
      <c r="AX128" s="188">
        <f>opex_orig!$AP128</f>
        <v>1.1102282720144899E-3</v>
      </c>
      <c r="AY128" s="188">
        <f>opex_orig!AQ128</f>
        <v>1.3232129999999999E-3</v>
      </c>
      <c r="AZ128" s="188">
        <f>opex_orig!AR128</f>
        <v>0</v>
      </c>
      <c r="BA128" s="188">
        <f>opex_orig!AS128</f>
        <v>1.018054E-3</v>
      </c>
      <c r="BB128" s="188">
        <f>opex_orig!AT128</f>
        <v>7.5449499999999999E-4</v>
      </c>
      <c r="BC128" s="188">
        <f>opex_orig!AU128</f>
        <v>8.1497099999999995E-4</v>
      </c>
      <c r="BD128" s="188">
        <f>opex_orig!AV128</f>
        <v>8.7048900000000001E-4</v>
      </c>
      <c r="BE128" s="188">
        <f>opex_orig!AW128</f>
        <v>1.063533E-3</v>
      </c>
      <c r="BF128" s="188">
        <f>opex_orig!AX128</f>
        <v>0</v>
      </c>
      <c r="BG128" s="188">
        <f>opex_orig!AY128</f>
        <v>3.3580630000000001E-3</v>
      </c>
      <c r="BH128" s="188">
        <f>opex_orig!AZ128</f>
        <v>0</v>
      </c>
      <c r="BI128" s="188">
        <f>opex_orig!BA128</f>
        <v>6.8038899999999999E-4</v>
      </c>
      <c r="BJ128" s="188">
        <f>opex_orig!BB128</f>
        <v>3.7747699999999998E-4</v>
      </c>
      <c r="BK128" s="188">
        <f>opex_orig!BC128</f>
        <v>9.3853700000000003E-4</v>
      </c>
      <c r="BL128" s="188">
        <f>opex_orig!BD128</f>
        <v>2.5647280000000001E-3</v>
      </c>
      <c r="BM128" s="188">
        <f>opex_orig!BE128</f>
        <v>5.9221399999999998E-4</v>
      </c>
      <c r="BN128" s="188">
        <f>opex_orig!BF128</f>
        <v>2.606241E-3</v>
      </c>
      <c r="BO128" s="188">
        <f>opex_orig!BG128</f>
        <v>6.3056799999999997E-4</v>
      </c>
      <c r="BP128" s="188">
        <f>opex_orig!$BH128</f>
        <v>3.9709589293945798E-4</v>
      </c>
      <c r="BQ128" s="188">
        <f>opex_orig!$BH128</f>
        <v>3.9709589293945798E-4</v>
      </c>
      <c r="BR128" s="188">
        <f>opex_orig!BI128</f>
        <v>6.8915100000000004E-4</v>
      </c>
      <c r="BS128" s="188">
        <f>opex_orig!BJ128</f>
        <v>1.585089E-3</v>
      </c>
      <c r="BT128" s="188">
        <f>opex_orig!BK128</f>
        <v>8.9284900000000003E-4</v>
      </c>
      <c r="BU128" s="188">
        <f>opex_orig!BL128</f>
        <v>0</v>
      </c>
      <c r="BV128" s="27">
        <f>opex_orig!BM128</f>
        <v>4.3651645219977298E-4</v>
      </c>
      <c r="BW128" s="27">
        <f>opex_orig!BN128</f>
        <v>1.3788962523253801E-3</v>
      </c>
      <c r="BX128" s="27">
        <f>opex_orig!BO128</f>
        <v>1.8158500379523E-4</v>
      </c>
      <c r="BY128" s="27">
        <f>opex_orig!BP128</f>
        <v>6.2184905299859504E-4</v>
      </c>
      <c r="BZ128" s="27">
        <f>opex_orig!BQ128</f>
        <v>1.04233991725125E-3</v>
      </c>
      <c r="CA128" s="27">
        <f>opex_orig!BR128</f>
        <v>1.20514395761784E-4</v>
      </c>
      <c r="CB128" s="27">
        <f>opex_orig!BS128</f>
        <v>4.3027948339879399E-3</v>
      </c>
      <c r="CC128" s="27">
        <f>opex_orig!BT128</f>
        <v>4.0941938068393701E-4</v>
      </c>
      <c r="CD128" s="27">
        <f>opex_orig!BU128</f>
        <v>3.9790982590792598E-4</v>
      </c>
      <c r="CE128" s="27">
        <f>opex_orig!BV128</f>
        <v>3.9790982590792598E-4</v>
      </c>
      <c r="CF128" s="27">
        <f>opex_orig!BW128</f>
        <v>1.4950258522201501E-4</v>
      </c>
      <c r="CG128" s="27">
        <f>opex_orig!BX128</f>
        <v>6.2792805393488296E-4</v>
      </c>
      <c r="CH128" s="27">
        <f>opex_orig!BY128</f>
        <v>1.0061063617771201E-2</v>
      </c>
      <c r="CI128" s="27">
        <f>opex_orig!Y128</f>
        <v>1.206904E-3</v>
      </c>
      <c r="CJ128" s="27">
        <f>opex_orig!Z128</f>
        <v>1.0191410000000001E-3</v>
      </c>
      <c r="CK128" s="27">
        <f>opex_orig!AA128</f>
        <v>4.5103749999999996E-3</v>
      </c>
      <c r="CL128" s="27">
        <f>opex_orig!AB128</f>
        <v>4.6961865990394099E-3</v>
      </c>
      <c r="CM128" s="27">
        <f>opex_orig!AC128</f>
        <v>3.9510069457153098E-3</v>
      </c>
      <c r="CN128" s="27">
        <f>opex_orig!AD128</f>
        <v>1.2890116050297E-3</v>
      </c>
      <c r="CO128" s="27">
        <f>opex_orig!AE128</f>
        <v>9.1388799999999996E-4</v>
      </c>
      <c r="CP128" s="27">
        <f>opex_orig!AF128</f>
        <v>1.0803480000000001E-3</v>
      </c>
    </row>
    <row r="129" spans="1:94" x14ac:dyDescent="0.25">
      <c r="A129" s="5" t="s">
        <v>249</v>
      </c>
      <c r="B129" s="2" t="s">
        <v>248</v>
      </c>
      <c r="C129" s="1" t="s">
        <v>333</v>
      </c>
      <c r="D129" s="188">
        <f>opex_orig!D129</f>
        <v>2.854859E-3</v>
      </c>
      <c r="E129" s="188">
        <f>opex_orig!E129</f>
        <v>2.8185939999999998E-3</v>
      </c>
      <c r="F129" s="188">
        <f>opex_orig!F129</f>
        <v>2.2087399999999998E-3</v>
      </c>
      <c r="G129" s="188">
        <f>opex_orig!G129</f>
        <v>5.95018E-4</v>
      </c>
      <c r="H129" s="188">
        <f>opex_orig!H129</f>
        <v>8.7890799999999997E-4</v>
      </c>
      <c r="I129" s="188">
        <f>opex_orig!I129</f>
        <v>7.5376660000000002E-3</v>
      </c>
      <c r="J129" s="188">
        <f>opex_orig!J129</f>
        <v>1.0400997E-2</v>
      </c>
      <c r="K129" s="188">
        <f>opex_orig!K129</f>
        <v>1.745704E-3</v>
      </c>
      <c r="L129" s="188">
        <f>opex_orig!L129</f>
        <v>3.8818699999999999E-3</v>
      </c>
      <c r="M129" s="188">
        <f>opex_orig!M129</f>
        <v>8.7406040000000008E-3</v>
      </c>
      <c r="N129" s="188">
        <f>opex_orig!N129</f>
        <v>6.7026860000000002E-3</v>
      </c>
      <c r="O129" s="188">
        <f>opex_orig!O129</f>
        <v>3.7908460000000001E-3</v>
      </c>
      <c r="P129" s="188">
        <f>opex_orig!P129</f>
        <v>2.5712510000000001E-3</v>
      </c>
      <c r="Q129" s="188">
        <f>opex_orig!Q129</f>
        <v>2.2137070000000001E-3</v>
      </c>
      <c r="R129" s="188">
        <f>opex_orig!R129</f>
        <v>3.2166809999999999E-3</v>
      </c>
      <c r="S129" s="188">
        <f>opex_orig!S129</f>
        <v>3.802873E-3</v>
      </c>
      <c r="T129" s="188">
        <f>opex_orig!T129</f>
        <v>6.5518399999999997E-3</v>
      </c>
      <c r="U129" s="188">
        <f>opex_orig!U129</f>
        <v>1.2220593E-2</v>
      </c>
      <c r="V129" s="188">
        <f>opex_orig!V129</f>
        <v>1.6969841999999999E-2</v>
      </c>
      <c r="W129" s="188">
        <f>opex_orig!W129</f>
        <v>3.206141E-3</v>
      </c>
      <c r="X129" s="188">
        <f>opex_orig!X129</f>
        <v>1.9574950000000001E-3</v>
      </c>
      <c r="Y129" s="188">
        <f>opex_orig!Y129</f>
        <v>7.8107250000000001E-3</v>
      </c>
      <c r="Z129" s="188">
        <f>opex_orig!Z129</f>
        <v>4.7694319999999998E-2</v>
      </c>
      <c r="AA129" s="188">
        <f>opex_orig!AA129</f>
        <v>8.1183078000000006E-2</v>
      </c>
      <c r="AB129" s="276">
        <f>opex_concordance!M198</f>
        <v>8.6195502111505104E-3</v>
      </c>
      <c r="AC129" s="276">
        <f>opex_concordance!M227</f>
        <v>1.5006737230463283E-2</v>
      </c>
      <c r="AD129" s="276">
        <f>opex_concordance!M288</f>
        <v>1.5194309932665717E-2</v>
      </c>
      <c r="AE129" s="188">
        <f>opex_orig!$AC129</f>
        <v>7.8861902575557905E-3</v>
      </c>
      <c r="AF129" s="257">
        <f>opex_concordance!$M$322</f>
        <v>5.5702518711760098E-3</v>
      </c>
      <c r="AG129" s="257">
        <f>opex_concordance!$M$358</f>
        <v>2.4684206819904756E-3</v>
      </c>
      <c r="AH129" s="257">
        <f>opex_concordance!$M$394</f>
        <v>1.980403318605101E-3</v>
      </c>
      <c r="AI129" s="188">
        <f>opex_orig!AE129</f>
        <v>4.8860470000000001E-3</v>
      </c>
      <c r="AJ129" s="188">
        <f>opex_orig!AF129</f>
        <v>1.0977143E-2</v>
      </c>
      <c r="AK129" s="188">
        <f>opex_orig!AG129</f>
        <v>7.0704139999999997E-3</v>
      </c>
      <c r="AL129" s="188">
        <f>opex_orig!AH129</f>
        <v>2.0845799000000002E-2</v>
      </c>
      <c r="AM129" s="188">
        <f>opex_orig!AI129</f>
        <v>4.0658342E-2</v>
      </c>
      <c r="AN129" s="188">
        <f>opex_orig!AJ129</f>
        <v>5.2466252999999997E-2</v>
      </c>
      <c r="AO129" s="188">
        <f>opex_orig!AK129</f>
        <v>4.8092540000000003E-2</v>
      </c>
      <c r="AP129" s="257">
        <f>opex_concordance!M404</f>
        <v>4.8979815221200297E-2</v>
      </c>
      <c r="AQ129" s="257">
        <f>opex_concordance!M458</f>
        <v>0.12753339019704485</v>
      </c>
      <c r="AR129" s="257">
        <f>opex_concordance!M512</f>
        <v>9.1974723220508356E-2</v>
      </c>
      <c r="AS129" s="188">
        <f>opex_orig!$AM129</f>
        <v>4.8415993644779998E-2</v>
      </c>
      <c r="AT129" s="188">
        <f>opex_orig!AN129</f>
        <v>6.1433205999999997E-2</v>
      </c>
      <c r="AU129" s="257">
        <f>opex_concordance!M571</f>
        <v>1.8017444205891301E-2</v>
      </c>
      <c r="AV129" s="257">
        <f>opex_concordance!M617</f>
        <v>2.4476634456808144E-2</v>
      </c>
      <c r="AW129" s="257">
        <f>opex_concordance!M663</f>
        <v>5.771368727568256E-2</v>
      </c>
      <c r="AX129" s="188">
        <f>opex_orig!$AP129</f>
        <v>1.9683711835593899E-2</v>
      </c>
      <c r="AY129" s="188">
        <f>opex_orig!AQ129</f>
        <v>1.7804176000000001E-2</v>
      </c>
      <c r="AZ129" s="188">
        <f>opex_orig!AR129</f>
        <v>0</v>
      </c>
      <c r="BA129" s="188">
        <f>opex_orig!AS129</f>
        <v>1.0593816000000001E-2</v>
      </c>
      <c r="BB129" s="188">
        <f>opex_orig!AT129</f>
        <v>1.0310395999999999E-2</v>
      </c>
      <c r="BC129" s="188">
        <f>opex_orig!AU129</f>
        <v>3.9662609999999996E-3</v>
      </c>
      <c r="BD129" s="188">
        <f>opex_orig!AV129</f>
        <v>3.5165420000000001E-3</v>
      </c>
      <c r="BE129" s="188">
        <f>opex_orig!AW129</f>
        <v>7.3690170000000003E-3</v>
      </c>
      <c r="BF129" s="188">
        <f>opex_orig!AX129</f>
        <v>0</v>
      </c>
      <c r="BG129" s="188">
        <f>opex_orig!AY129</f>
        <v>1.9210640000000001E-2</v>
      </c>
      <c r="BH129" s="188">
        <f>opex_orig!AZ129</f>
        <v>0</v>
      </c>
      <c r="BI129" s="188">
        <f>opex_orig!BA129</f>
        <v>2.1830626999999998E-2</v>
      </c>
      <c r="BJ129" s="188">
        <f>opex_orig!BB129</f>
        <v>1.0247832E-2</v>
      </c>
      <c r="BK129" s="188">
        <f>opex_orig!BC129</f>
        <v>4.9927579999999999E-3</v>
      </c>
      <c r="BL129" s="188">
        <f>opex_orig!BD129</f>
        <v>2.0797950000000002E-3</v>
      </c>
      <c r="BM129" s="188">
        <f>opex_orig!BE129</f>
        <v>1.9607270000000002E-3</v>
      </c>
      <c r="BN129" s="188">
        <f>opex_orig!BF129</f>
        <v>6.6239080000000004E-3</v>
      </c>
      <c r="BO129" s="188">
        <f>opex_orig!BG129</f>
        <v>4.0945189999999996E-3</v>
      </c>
      <c r="BP129" s="188">
        <f>opex_orig!$BH129</f>
        <v>3.0630563033745301E-3</v>
      </c>
      <c r="BQ129" s="188">
        <f>opex_orig!$BH129</f>
        <v>3.0630563033745301E-3</v>
      </c>
      <c r="BR129" s="188">
        <f>opex_orig!BI129</f>
        <v>1.8553420000000001E-3</v>
      </c>
      <c r="BS129" s="188">
        <f>opex_orig!BJ129</f>
        <v>3.8129129999999998E-3</v>
      </c>
      <c r="BT129" s="188">
        <f>opex_orig!BK129</f>
        <v>1.4652884999999999E-2</v>
      </c>
      <c r="BU129" s="188">
        <f>opex_orig!BL129</f>
        <v>0</v>
      </c>
      <c r="BV129" s="27">
        <f>opex_orig!BM129</f>
        <v>1.24887011462232E-2</v>
      </c>
      <c r="BW129" s="27">
        <f>opex_orig!BN129</f>
        <v>1.11684149702888E-2</v>
      </c>
      <c r="BX129" s="27">
        <f>opex_orig!BO129</f>
        <v>3.8837158532219499E-3</v>
      </c>
      <c r="BY129" s="27">
        <f>opex_orig!BP129</f>
        <v>6.5277647407708597E-3</v>
      </c>
      <c r="BZ129" s="27">
        <f>opex_orig!BQ129</f>
        <v>7.1654778110933296E-3</v>
      </c>
      <c r="CA129" s="27">
        <f>opex_orig!BR129</f>
        <v>5.62290737218951E-3</v>
      </c>
      <c r="CB129" s="27">
        <f>opex_orig!BS129</f>
        <v>1.1643511537964699E-2</v>
      </c>
      <c r="CC129" s="27">
        <f>opex_orig!BT129</f>
        <v>1.6858343766597901E-2</v>
      </c>
      <c r="CD129" s="27">
        <f>opex_orig!BU129</f>
        <v>6.9076222185073697E-3</v>
      </c>
      <c r="CE129" s="27">
        <f>opex_orig!BV129</f>
        <v>6.9076222185073697E-3</v>
      </c>
      <c r="CF129" s="27">
        <f>opex_orig!BW129</f>
        <v>5.7522940539109604E-4</v>
      </c>
      <c r="CG129" s="27">
        <f>opex_orig!BX129</f>
        <v>4.99276597520989E-3</v>
      </c>
      <c r="CH129" s="27">
        <f>opex_orig!BY129</f>
        <v>2.6019611283292399E-3</v>
      </c>
      <c r="CI129" s="27">
        <f>opex_orig!Y129</f>
        <v>7.8107250000000001E-3</v>
      </c>
      <c r="CJ129" s="27">
        <f>opex_orig!Z129</f>
        <v>4.7694319999999998E-2</v>
      </c>
      <c r="CK129" s="27">
        <f>opex_orig!AA129</f>
        <v>8.1183078000000006E-2</v>
      </c>
      <c r="CL129" s="27">
        <f>opex_orig!AB129</f>
        <v>8.6195502111505104E-3</v>
      </c>
      <c r="CM129" s="27">
        <f>opex_orig!AC129</f>
        <v>7.8861902575557905E-3</v>
      </c>
      <c r="CN129" s="27">
        <f>opex_orig!AD129</f>
        <v>5.5702518711760098E-3</v>
      </c>
      <c r="CO129" s="27">
        <f>opex_orig!AE129</f>
        <v>4.8860470000000001E-3</v>
      </c>
      <c r="CP129" s="27">
        <f>opex_orig!AF129</f>
        <v>1.0977143E-2</v>
      </c>
    </row>
    <row r="130" spans="1:94" x14ac:dyDescent="0.25">
      <c r="A130" s="9" t="s">
        <v>251</v>
      </c>
      <c r="B130" s="2" t="s">
        <v>250</v>
      </c>
      <c r="C130" s="1" t="s">
        <v>333</v>
      </c>
      <c r="D130" s="188">
        <f>opex_orig!D130</f>
        <v>5.2077899999999997E-4</v>
      </c>
      <c r="E130" s="188">
        <f>opex_orig!E130</f>
        <v>4.6802999999999998E-4</v>
      </c>
      <c r="F130" s="188">
        <f>opex_orig!F130</f>
        <v>2.0494400000000001E-4</v>
      </c>
      <c r="G130" s="188">
        <f>opex_orig!G130</f>
        <v>4.7299999999999998E-5</v>
      </c>
      <c r="H130" s="188">
        <f>opex_orig!H130</f>
        <v>8.42E-5</v>
      </c>
      <c r="I130" s="188">
        <f>opex_orig!I130</f>
        <v>1.365836E-3</v>
      </c>
      <c r="J130" s="188">
        <f>opex_orig!J130</f>
        <v>1.723535E-3</v>
      </c>
      <c r="K130" s="188">
        <f>opex_orig!K130</f>
        <v>1.2924400000000001E-4</v>
      </c>
      <c r="L130" s="188">
        <f>opex_orig!L130</f>
        <v>1.0939929999999999E-3</v>
      </c>
      <c r="M130" s="188">
        <f>opex_orig!M130</f>
        <v>2.868743E-3</v>
      </c>
      <c r="N130" s="188">
        <f>opex_orig!N130</f>
        <v>1.5763280000000001E-3</v>
      </c>
      <c r="O130" s="188">
        <f>opex_orig!O130</f>
        <v>1.5258769999999999E-3</v>
      </c>
      <c r="P130" s="188">
        <f>opex_orig!P130</f>
        <v>1.775006E-3</v>
      </c>
      <c r="Q130" s="188">
        <f>opex_orig!Q130</f>
        <v>5.13248E-4</v>
      </c>
      <c r="R130" s="188">
        <f>opex_orig!R130</f>
        <v>4.3209800000000001E-4</v>
      </c>
      <c r="S130" s="188">
        <f>opex_orig!S130</f>
        <v>1.3058119999999999E-3</v>
      </c>
      <c r="T130" s="188">
        <f>opex_orig!T130</f>
        <v>1.481509E-3</v>
      </c>
      <c r="U130" s="188">
        <f>opex_orig!U130</f>
        <v>1.2509699999999999E-3</v>
      </c>
      <c r="V130" s="188">
        <f>opex_orig!V130</f>
        <v>1.692296E-3</v>
      </c>
      <c r="W130" s="188">
        <f>opex_orig!W130</f>
        <v>1.22072E-3</v>
      </c>
      <c r="X130" s="188">
        <f>opex_orig!X130</f>
        <v>2.0230754E-2</v>
      </c>
      <c r="Y130" s="188">
        <f>opex_orig!Y130</f>
        <v>7.3999999999999996E-5</v>
      </c>
      <c r="Z130" s="188">
        <f>opex_orig!Z130</f>
        <v>3.7654399999999998E-4</v>
      </c>
      <c r="AA130" s="188">
        <f>opex_orig!AA130</f>
        <v>8.8513700000000003E-4</v>
      </c>
      <c r="AB130" s="188">
        <f>opex_orig!$AB130</f>
        <v>3.36609779159709E-4</v>
      </c>
      <c r="AC130" s="188">
        <f>opex_orig!$AB130</f>
        <v>3.36609779159709E-4</v>
      </c>
      <c r="AD130" s="188">
        <f>opex_orig!$AB130</f>
        <v>3.36609779159709E-4</v>
      </c>
      <c r="AE130" s="188">
        <f>opex_orig!$AC130</f>
        <v>3.5107474686844501E-4</v>
      </c>
      <c r="AF130" s="188">
        <f>opex_orig!$AD130</f>
        <v>4.79708025818266E-4</v>
      </c>
      <c r="AG130" s="188">
        <f>opex_orig!$AD130</f>
        <v>4.79708025818266E-4</v>
      </c>
      <c r="AH130" s="188">
        <f>opex_orig!$AD130</f>
        <v>4.79708025818266E-4</v>
      </c>
      <c r="AI130" s="188">
        <f>opex_orig!AE130</f>
        <v>5.2962300000000001E-4</v>
      </c>
      <c r="AJ130" s="188">
        <f>opex_orig!AF130</f>
        <v>7.5091700000000003E-4</v>
      </c>
      <c r="AK130" s="188">
        <f>opex_orig!AG130</f>
        <v>6.4364269999999998E-3</v>
      </c>
      <c r="AL130" s="188">
        <f>opex_orig!AH130</f>
        <v>1.6000000000000001E-3</v>
      </c>
      <c r="AM130" s="188">
        <f>opex_orig!AI130</f>
        <v>3.2685430000000001E-3</v>
      </c>
      <c r="AN130" s="188">
        <f>opex_orig!AJ130</f>
        <v>1.143313E-3</v>
      </c>
      <c r="AO130" s="188">
        <f>opex_orig!AK130</f>
        <v>1.3452970000000001E-3</v>
      </c>
      <c r="AP130" s="188">
        <f>opex_orig!$AL130</f>
        <v>1.1189684497528E-3</v>
      </c>
      <c r="AQ130" s="188">
        <f>opex_orig!$AL130</f>
        <v>1.1189684497528E-3</v>
      </c>
      <c r="AR130" s="188">
        <f>opex_orig!$AL130</f>
        <v>1.1189684497528E-3</v>
      </c>
      <c r="AS130" s="188">
        <f>opex_orig!$AM130</f>
        <v>1.0918042999814299E-3</v>
      </c>
      <c r="AT130" s="188">
        <f>opex_orig!AN130</f>
        <v>1.4952539999999999E-3</v>
      </c>
      <c r="AU130" s="188">
        <f>opex_orig!$AO130</f>
        <v>6.1144602789129602E-5</v>
      </c>
      <c r="AV130" s="188">
        <f>opex_orig!$AO130</f>
        <v>6.1144602789129602E-5</v>
      </c>
      <c r="AW130" s="188">
        <f>opex_orig!$AO130</f>
        <v>6.1144602789129602E-5</v>
      </c>
      <c r="AX130" s="188">
        <f>opex_orig!$AP130</f>
        <v>7.6589913860256804E-5</v>
      </c>
      <c r="AY130" s="188">
        <f>opex_orig!AQ130</f>
        <v>1.62258E-4</v>
      </c>
      <c r="AZ130" s="188">
        <f>opex_orig!AR130</f>
        <v>0</v>
      </c>
      <c r="BA130" s="188">
        <f>opex_orig!AS130</f>
        <v>9.4300000000000002E-5</v>
      </c>
      <c r="BB130" s="188">
        <f>opex_orig!AT130</f>
        <v>9.7100000000000002E-5</v>
      </c>
      <c r="BC130" s="188">
        <f>opex_orig!AU130</f>
        <v>3.8399999999999998E-5</v>
      </c>
      <c r="BD130" s="188">
        <f>opex_orig!AV130</f>
        <v>3.5500000000000002E-5</v>
      </c>
      <c r="BE130" s="188">
        <f>opex_orig!AW130</f>
        <v>6.4999999999999994E-5</v>
      </c>
      <c r="BF130" s="188">
        <f>opex_orig!AX130</f>
        <v>0</v>
      </c>
      <c r="BG130" s="188">
        <f>opex_orig!AY130</f>
        <v>2.0941300000000001E-4</v>
      </c>
      <c r="BH130" s="188">
        <f>opex_orig!AZ130</f>
        <v>0</v>
      </c>
      <c r="BI130" s="188">
        <f>opex_orig!BA130</f>
        <v>1.6789999999999999E-4</v>
      </c>
      <c r="BJ130" s="188">
        <f>opex_orig!BB130</f>
        <v>2.8974399999999998E-3</v>
      </c>
      <c r="BK130" s="188">
        <f>opex_orig!BC130</f>
        <v>1.3896340000000001E-3</v>
      </c>
      <c r="BL130" s="188">
        <f>opex_orig!BD130</f>
        <v>5.1371189999999999E-3</v>
      </c>
      <c r="BM130" s="188">
        <f>opex_orig!BE130</f>
        <v>3.1334819999999999E-3</v>
      </c>
      <c r="BN130" s="188">
        <f>opex_orig!BF130</f>
        <v>7.6569949999999998E-3</v>
      </c>
      <c r="BO130" s="188">
        <f>opex_orig!BG130</f>
        <v>4.405389E-3</v>
      </c>
      <c r="BP130" s="188">
        <f>opex_orig!$BH130</f>
        <v>1.7708151828157799E-3</v>
      </c>
      <c r="BQ130" s="188">
        <f>opex_orig!$BH130</f>
        <v>1.7708151828157799E-3</v>
      </c>
      <c r="BR130" s="188">
        <f>opex_orig!BI130</f>
        <v>1.8473129999999999E-3</v>
      </c>
      <c r="BS130" s="188">
        <f>opex_orig!BJ130</f>
        <v>4.4074989999999996E-3</v>
      </c>
      <c r="BT130" s="188">
        <f>opex_orig!BK130</f>
        <v>1.4651930000000001E-3</v>
      </c>
      <c r="BU130" s="188">
        <f>opex_orig!BL130</f>
        <v>0</v>
      </c>
      <c r="BV130" s="27">
        <f>opex_orig!BM130</f>
        <v>8.2380234674688697E-3</v>
      </c>
      <c r="BW130" s="27">
        <f>opex_orig!BN130</f>
        <v>7.5069060538666002E-3</v>
      </c>
      <c r="BX130" s="27">
        <f>opex_orig!BO130</f>
        <v>5.03024065880215E-3</v>
      </c>
      <c r="BY130" s="27">
        <f>opex_orig!BP130</f>
        <v>4.3390724122297298E-3</v>
      </c>
      <c r="BZ130" s="27">
        <f>opex_orig!BQ130</f>
        <v>4.4065699529427802E-3</v>
      </c>
      <c r="CA130" s="27">
        <f>opex_orig!BR130</f>
        <v>1.32387960396945E-3</v>
      </c>
      <c r="CB130" s="27">
        <f>opex_orig!BS130</f>
        <v>4.3681031455330499E-3</v>
      </c>
      <c r="CC130" s="27">
        <f>opex_orig!BT130</f>
        <v>2.4860660506927199E-3</v>
      </c>
      <c r="CD130" s="27">
        <f>opex_orig!BU130</f>
        <v>4.8858656175671498E-3</v>
      </c>
      <c r="CE130" s="27">
        <f>opex_orig!BV130</f>
        <v>4.8858656175671498E-3</v>
      </c>
      <c r="CF130" s="27">
        <f>opex_orig!BW130</f>
        <v>3.6593601572017402E-2</v>
      </c>
      <c r="CG130" s="27">
        <f>opex_orig!BX130</f>
        <v>4.4863204701593398E-5</v>
      </c>
      <c r="CH130" s="27">
        <f>opex_orig!BY130</f>
        <v>1.83564597554879E-4</v>
      </c>
      <c r="CI130" s="27">
        <f>opex_orig!Y130</f>
        <v>7.3999999999999996E-5</v>
      </c>
      <c r="CJ130" s="27">
        <f>opex_orig!Z130</f>
        <v>3.7654399999999998E-4</v>
      </c>
      <c r="CK130" s="27">
        <f>opex_orig!AA130</f>
        <v>8.8513700000000003E-4</v>
      </c>
      <c r="CL130" s="27">
        <f>opex_orig!AB130</f>
        <v>3.36609779159709E-4</v>
      </c>
      <c r="CM130" s="27">
        <f>opex_orig!AC130</f>
        <v>3.5107474686844501E-4</v>
      </c>
      <c r="CN130" s="27">
        <f>opex_orig!AD130</f>
        <v>4.79708025818266E-4</v>
      </c>
      <c r="CO130" s="27">
        <f>opex_orig!AE130</f>
        <v>5.2962300000000001E-4</v>
      </c>
      <c r="CP130" s="27">
        <f>opex_orig!AF130</f>
        <v>7.5091700000000003E-4</v>
      </c>
    </row>
    <row r="131" spans="1:94" x14ac:dyDescent="0.25">
      <c r="A131" s="5" t="s">
        <v>253</v>
      </c>
      <c r="B131" s="2" t="s">
        <v>252</v>
      </c>
      <c r="C131" s="1" t="s">
        <v>334</v>
      </c>
      <c r="D131" s="188">
        <f>opex_orig!D131</f>
        <v>6.7638699999999997E-4</v>
      </c>
      <c r="E131" s="188">
        <f>opex_orig!E131</f>
        <v>1.095581E-3</v>
      </c>
      <c r="F131" s="188">
        <f>opex_orig!F131</f>
        <v>5.3172699999999996E-4</v>
      </c>
      <c r="G131" s="188">
        <f>opex_orig!G131</f>
        <v>8.4900000000000004E-5</v>
      </c>
      <c r="H131" s="188">
        <f>opex_orig!H131</f>
        <v>1.80094E-4</v>
      </c>
      <c r="I131" s="188">
        <f>opex_orig!I131</f>
        <v>3.851925E-3</v>
      </c>
      <c r="J131" s="188">
        <f>opex_orig!J131</f>
        <v>1.4797E-3</v>
      </c>
      <c r="K131" s="188">
        <f>opex_orig!K131</f>
        <v>2.52778E-4</v>
      </c>
      <c r="L131" s="188">
        <f>opex_orig!L131</f>
        <v>1.443417E-3</v>
      </c>
      <c r="M131" s="188">
        <f>opex_orig!M131</f>
        <v>3.3130709999999999E-3</v>
      </c>
      <c r="N131" s="188">
        <f>opex_orig!N131</f>
        <v>2.0456070000000001E-3</v>
      </c>
      <c r="O131" s="188">
        <f>opex_orig!O131</f>
        <v>8.8266500000000003E-4</v>
      </c>
      <c r="P131" s="188">
        <f>opex_orig!P131</f>
        <v>5.7998829999999996E-3</v>
      </c>
      <c r="Q131" s="188">
        <f>opex_orig!Q131</f>
        <v>1.075117E-3</v>
      </c>
      <c r="R131" s="188">
        <f>opex_orig!R131</f>
        <v>8.0072400000000005E-4</v>
      </c>
      <c r="S131" s="188">
        <f>opex_orig!S131</f>
        <v>1.437846E-3</v>
      </c>
      <c r="T131" s="188">
        <f>opex_orig!T131</f>
        <v>1.6211750000000001E-3</v>
      </c>
      <c r="U131" s="188">
        <f>opex_orig!U131</f>
        <v>2.1629962999999999E-2</v>
      </c>
      <c r="V131" s="188">
        <f>opex_orig!V131</f>
        <v>2.9647026E-2</v>
      </c>
      <c r="W131" s="188">
        <f>opex_orig!W131</f>
        <v>5.3182070000000001E-3</v>
      </c>
      <c r="X131" s="188">
        <f>opex_orig!X131</f>
        <v>1.6774680000000001E-3</v>
      </c>
      <c r="Y131" s="188">
        <f>opex_orig!Y131</f>
        <v>7.7100000000000004E-5</v>
      </c>
      <c r="Z131" s="188">
        <f>opex_orig!Z131</f>
        <v>4.6593699999999998E-4</v>
      </c>
      <c r="AA131" s="188">
        <f>opex_orig!AA131</f>
        <v>2.6088000000000001E-4</v>
      </c>
      <c r="AB131" s="188">
        <f>opex_orig!$AB131</f>
        <v>4.8432597859398598E-5</v>
      </c>
      <c r="AC131" s="188">
        <f>opex_orig!$AB131</f>
        <v>4.8432597859398598E-5</v>
      </c>
      <c r="AD131" s="188">
        <f>opex_orig!$AB131</f>
        <v>4.8432597859398598E-5</v>
      </c>
      <c r="AE131" s="188">
        <f>opex_orig!$AC131</f>
        <v>2.3215590762168501E-3</v>
      </c>
      <c r="AF131" s="188">
        <f>opex_orig!$AD131</f>
        <v>4.5585224191631501E-3</v>
      </c>
      <c r="AG131" s="188">
        <f>opex_orig!$AD131</f>
        <v>4.5585224191631501E-3</v>
      </c>
      <c r="AH131" s="188">
        <f>opex_orig!$AD131</f>
        <v>4.5585224191631501E-3</v>
      </c>
      <c r="AI131" s="188">
        <f>opex_orig!AE131</f>
        <v>5.3442020000000002E-3</v>
      </c>
      <c r="AJ131" s="188">
        <f>opex_orig!AF131</f>
        <v>5.1714000000000003E-4</v>
      </c>
      <c r="AK131" s="188">
        <f>opex_orig!AG131</f>
        <v>8.4139699999999998E-3</v>
      </c>
      <c r="AL131" s="188">
        <f>opex_orig!AH131</f>
        <v>2.550213E-3</v>
      </c>
      <c r="AM131" s="188">
        <f>opex_orig!AI131</f>
        <v>5.3405600000000003E-3</v>
      </c>
      <c r="AN131" s="188">
        <f>opex_orig!AJ131</f>
        <v>4.0849930000000003E-3</v>
      </c>
      <c r="AO131" s="188">
        <f>opex_orig!AK131</f>
        <v>3.3617310000000002E-3</v>
      </c>
      <c r="AP131" s="302">
        <f>opex_concordance!M451</f>
        <v>5.3180374349479304E-3</v>
      </c>
      <c r="AQ131" s="302">
        <f>opex_concordance!M505</f>
        <v>4.2799063555670645E-3</v>
      </c>
      <c r="AR131" s="302">
        <f>opex_concordance!M559</f>
        <v>4.6968232056114395E-3</v>
      </c>
      <c r="AS131" s="188">
        <f>opex_orig!$AM131</f>
        <v>5.1959187684598599E-3</v>
      </c>
      <c r="AT131" s="188">
        <f>opex_orig!AN131</f>
        <v>4.2258479999999999E-3</v>
      </c>
      <c r="AU131" s="188">
        <f>opex_orig!$AO131</f>
        <v>8.7225225424363494E-5</v>
      </c>
      <c r="AV131" s="188">
        <f>opex_orig!$AO131</f>
        <v>8.7225225424363494E-5</v>
      </c>
      <c r="AW131" s="188">
        <f>opex_orig!$AO131</f>
        <v>8.7225225424363494E-5</v>
      </c>
      <c r="AX131" s="188">
        <f>opex_orig!$AP131</f>
        <v>1.0457168004955801E-4</v>
      </c>
      <c r="AY131" s="188">
        <f>opex_orig!AQ131</f>
        <v>1.7123799999999999E-4</v>
      </c>
      <c r="AZ131" s="188">
        <f>opex_orig!AR131</f>
        <v>0</v>
      </c>
      <c r="BA131" s="188">
        <f>opex_orig!AS131</f>
        <v>3.4164999999999998E-4</v>
      </c>
      <c r="BB131" s="188">
        <f>opex_orig!AT131</f>
        <v>3.9607999999999999E-4</v>
      </c>
      <c r="BC131" s="188">
        <f>opex_orig!AU131</f>
        <v>3.4199999999999998E-5</v>
      </c>
      <c r="BD131" s="188">
        <f>opex_orig!AV131</f>
        <v>3.01E-5</v>
      </c>
      <c r="BE131" s="188">
        <f>opex_orig!AW131</f>
        <v>2.2566400000000001E-4</v>
      </c>
      <c r="BF131" s="188">
        <f>opex_orig!AX131</f>
        <v>0</v>
      </c>
      <c r="BG131" s="188">
        <f>opex_orig!AY131</f>
        <v>5.8600000000000001E-5</v>
      </c>
      <c r="BH131" s="188">
        <f>opex_orig!AZ131</f>
        <v>0</v>
      </c>
      <c r="BI131" s="188">
        <f>opex_orig!BA131</f>
        <v>5.66E-5</v>
      </c>
      <c r="BJ131" s="188">
        <f>opex_orig!BB131</f>
        <v>1.0041069999999999E-2</v>
      </c>
      <c r="BK131" s="188">
        <f>opex_orig!BC131</f>
        <v>5.9674230000000003E-3</v>
      </c>
      <c r="BL131" s="188">
        <f>opex_orig!BD131</f>
        <v>1.588786E-3</v>
      </c>
      <c r="BM131" s="188">
        <f>opex_orig!BE131</f>
        <v>2.5104979999999999E-3</v>
      </c>
      <c r="BN131" s="188">
        <f>opex_orig!BF131</f>
        <v>1.7092159999999999E-3</v>
      </c>
      <c r="BO131" s="188">
        <f>opex_orig!BG131</f>
        <v>8.3102569999999997E-3</v>
      </c>
      <c r="BP131" s="188">
        <f>opex_orig!$BH131</f>
        <v>1.9136604500758899E-3</v>
      </c>
      <c r="BQ131" s="188">
        <f>opex_orig!$BH131</f>
        <v>1.9136604500758899E-3</v>
      </c>
      <c r="BR131" s="188">
        <f>opex_orig!BI131</f>
        <v>8.3457779999999999E-3</v>
      </c>
      <c r="BS131" s="188">
        <f>opex_orig!BJ131</f>
        <v>4.5251579999999996E-3</v>
      </c>
      <c r="BT131" s="188">
        <f>opex_orig!BK131</f>
        <v>9.0236329999999997E-3</v>
      </c>
      <c r="BU131" s="188">
        <f>opex_orig!BL131</f>
        <v>0</v>
      </c>
      <c r="BV131" s="27">
        <f>opex_orig!BM131</f>
        <v>1.88587397642383E-2</v>
      </c>
      <c r="BW131" s="27">
        <f>opex_orig!BN131</f>
        <v>2.11576640719272E-2</v>
      </c>
      <c r="BX131" s="27">
        <f>opex_orig!BO131</f>
        <v>8.9971428734370792E-3</v>
      </c>
      <c r="BY131" s="27">
        <f>opex_orig!BP131</f>
        <v>1.3993753621588801E-2</v>
      </c>
      <c r="BZ131" s="27">
        <f>opex_orig!BQ131</f>
        <v>1.4582814217131999E-2</v>
      </c>
      <c r="CA131" s="27">
        <f>opex_orig!BR131</f>
        <v>5.0519003609725702E-3</v>
      </c>
      <c r="CB131" s="27">
        <f>opex_orig!BS131</f>
        <v>1.2420415256605999E-2</v>
      </c>
      <c r="CC131" s="27">
        <f>opex_orig!BT131</f>
        <v>7.6817228091249704E-3</v>
      </c>
      <c r="CD131" s="27">
        <f>opex_orig!BU131</f>
        <v>1.66234787904035E-2</v>
      </c>
      <c r="CE131" s="27">
        <f>opex_orig!BV131</f>
        <v>1.66234787904035E-2</v>
      </c>
      <c r="CF131" s="27">
        <f>opex_orig!BW131</f>
        <v>2.4361261309939802E-2</v>
      </c>
      <c r="CG131" s="27">
        <f>opex_orig!BX131</f>
        <v>8.2665801994508803E-5</v>
      </c>
      <c r="CH131" s="27">
        <f>opex_orig!BY131</f>
        <v>6.0716512214742298E-6</v>
      </c>
      <c r="CI131" s="27">
        <f>opex_orig!Y131</f>
        <v>7.7100000000000004E-5</v>
      </c>
      <c r="CJ131" s="27">
        <f>opex_orig!Z131</f>
        <v>4.6593699999999998E-4</v>
      </c>
      <c r="CK131" s="27">
        <f>opex_orig!AA131</f>
        <v>2.6088000000000001E-4</v>
      </c>
      <c r="CL131" s="27">
        <f>opex_orig!AB131</f>
        <v>4.8432597859398598E-5</v>
      </c>
      <c r="CM131" s="27">
        <f>opex_orig!AC131</f>
        <v>2.3215590762168501E-3</v>
      </c>
      <c r="CN131" s="27">
        <f>opex_orig!AD131</f>
        <v>4.5585224191631501E-3</v>
      </c>
      <c r="CO131" s="27">
        <f>opex_orig!AE131</f>
        <v>5.3442020000000002E-3</v>
      </c>
      <c r="CP131" s="27">
        <f>opex_orig!AF131</f>
        <v>5.1714000000000003E-4</v>
      </c>
    </row>
    <row r="132" spans="1:94" x14ac:dyDescent="0.25">
      <c r="A132" s="5" t="s">
        <v>255</v>
      </c>
      <c r="B132" s="2" t="s">
        <v>254</v>
      </c>
      <c r="C132" s="1" t="s">
        <v>334</v>
      </c>
      <c r="D132" s="188">
        <f>opex_orig!D132</f>
        <v>1.7841800000000001E-4</v>
      </c>
      <c r="E132" s="188">
        <f>opex_orig!E132</f>
        <v>1.7676200000000001E-4</v>
      </c>
      <c r="F132" s="188">
        <f>opex_orig!F132</f>
        <v>9.2899999999999995E-5</v>
      </c>
      <c r="G132" s="188">
        <f>opex_orig!G132</f>
        <v>1.84E-5</v>
      </c>
      <c r="H132" s="188">
        <f>opex_orig!H132</f>
        <v>3.6000000000000001E-5</v>
      </c>
      <c r="I132" s="188">
        <f>opex_orig!I132</f>
        <v>3.15168E-4</v>
      </c>
      <c r="J132" s="188">
        <f>opex_orig!J132</f>
        <v>2.0568499999999999E-4</v>
      </c>
      <c r="K132" s="188">
        <f>opex_orig!K132</f>
        <v>4.8000000000000001E-5</v>
      </c>
      <c r="L132" s="188">
        <f>opex_orig!L132</f>
        <v>6.4778299999999997E-4</v>
      </c>
      <c r="M132" s="188">
        <f>opex_orig!M132</f>
        <v>2.6616510000000001E-3</v>
      </c>
      <c r="N132" s="188">
        <f>opex_orig!N132</f>
        <v>1.033869E-3</v>
      </c>
      <c r="O132" s="188">
        <f>opex_orig!O132</f>
        <v>8.7420800000000002E-4</v>
      </c>
      <c r="P132" s="188">
        <f>opex_orig!P132</f>
        <v>2.4501319999999998E-3</v>
      </c>
      <c r="Q132" s="188">
        <f>opex_orig!Q132</f>
        <v>1.12309E-4</v>
      </c>
      <c r="R132" s="188">
        <f>opex_orig!R132</f>
        <v>2.7919000000000002E-4</v>
      </c>
      <c r="S132" s="188">
        <f>opex_orig!S132</f>
        <v>4.8465879999999998E-3</v>
      </c>
      <c r="T132" s="188">
        <f>opex_orig!T132</f>
        <v>5.4768660000000004E-3</v>
      </c>
      <c r="U132" s="188">
        <f>opex_orig!U132</f>
        <v>4.3831850000000004E-3</v>
      </c>
      <c r="V132" s="188">
        <f>opex_orig!V132</f>
        <v>6.0095050000000001E-3</v>
      </c>
      <c r="W132" s="188">
        <f>opex_orig!W132</f>
        <v>9.2227300000000004E-4</v>
      </c>
      <c r="X132" s="188">
        <f>opex_orig!X132</f>
        <v>1.943637E-3</v>
      </c>
      <c r="Y132" s="188">
        <f>opex_orig!Y132</f>
        <v>1.91E-5</v>
      </c>
      <c r="Z132" s="188">
        <f>opex_orig!Z132</f>
        <v>5.0886599999999996E-4</v>
      </c>
      <c r="AA132" s="188">
        <f>opex_orig!AA132</f>
        <v>7.2899999999999997E-5</v>
      </c>
      <c r="AB132" s="188">
        <f>opex_orig!$AB132</f>
        <v>4.2525934886827399E-4</v>
      </c>
      <c r="AC132" s="188">
        <f>opex_orig!$AB132</f>
        <v>4.2525934886827399E-4</v>
      </c>
      <c r="AD132" s="188">
        <f>opex_orig!$AB132</f>
        <v>4.2525934886827399E-4</v>
      </c>
      <c r="AE132" s="188">
        <f>opex_orig!$AC132</f>
        <v>4.4177013981379198E-3</v>
      </c>
      <c r="AF132" s="302">
        <f>opex_concordance!$M$323</f>
        <v>8.0393532307613397E-3</v>
      </c>
      <c r="AG132" s="302">
        <f>opex_concordance!$M$359</f>
        <v>3.5625867992300684E-3</v>
      </c>
      <c r="AH132" s="302">
        <f>opex_concordance!$M$395</f>
        <v>2.8582480982636553E-3</v>
      </c>
      <c r="AI132" s="188">
        <f>opex_orig!AE132</f>
        <v>7.4497599999999997E-3</v>
      </c>
      <c r="AJ132" s="188">
        <f>opex_orig!AF132</f>
        <v>1.579312E-3</v>
      </c>
      <c r="AK132" s="188">
        <f>opex_orig!AG132</f>
        <v>8.5071099999999998E-4</v>
      </c>
      <c r="AL132" s="188">
        <f>opex_orig!AH132</f>
        <v>6.7220699999999997E-4</v>
      </c>
      <c r="AM132" s="188">
        <f>opex_orig!AI132</f>
        <v>1.3598569999999999E-3</v>
      </c>
      <c r="AN132" s="188">
        <f>opex_orig!AJ132</f>
        <v>1.5437669999999999E-3</v>
      </c>
      <c r="AO132" s="188">
        <f>opex_orig!AK132</f>
        <v>8.1395899999999995E-4</v>
      </c>
      <c r="AP132" s="188">
        <f>opex_orig!$AL132</f>
        <v>8.4095280130187897E-4</v>
      </c>
      <c r="AQ132" s="188">
        <f>opex_orig!$AL132</f>
        <v>8.4095280130187897E-4</v>
      </c>
      <c r="AR132" s="188">
        <f>opex_orig!$AL132</f>
        <v>8.4095280130187897E-4</v>
      </c>
      <c r="AS132" s="188">
        <f>opex_orig!$AM132</f>
        <v>8.0681992461796202E-4</v>
      </c>
      <c r="AT132" s="188">
        <f>opex_orig!AN132</f>
        <v>2.4974490000000001E-3</v>
      </c>
      <c r="AU132" s="188">
        <f>opex_orig!$AO132</f>
        <v>4.09430318212092E-4</v>
      </c>
      <c r="AV132" s="188">
        <f>opex_orig!$AO132</f>
        <v>4.09430318212092E-4</v>
      </c>
      <c r="AW132" s="188">
        <f>opex_orig!$AO132</f>
        <v>4.09430318212092E-4</v>
      </c>
      <c r="AX132" s="188">
        <f>opex_orig!$AP132</f>
        <v>4.9408685995334803E-4</v>
      </c>
      <c r="AY132" s="188">
        <f>opex_orig!AQ132</f>
        <v>2.48774E-4</v>
      </c>
      <c r="AZ132" s="188">
        <f>opex_orig!AR132</f>
        <v>0</v>
      </c>
      <c r="BA132" s="188">
        <f>opex_orig!AS132</f>
        <v>1.100625E-3</v>
      </c>
      <c r="BB132" s="188">
        <f>opex_orig!AT132</f>
        <v>1.2614480000000001E-3</v>
      </c>
      <c r="BC132" s="188">
        <f>opex_orig!AU132</f>
        <v>3.58921E-4</v>
      </c>
      <c r="BD132" s="188">
        <f>opex_orig!AV132</f>
        <v>3.2182599999999999E-4</v>
      </c>
      <c r="BE132" s="188">
        <f>opex_orig!AW132</f>
        <v>1.1047990000000001E-3</v>
      </c>
      <c r="BF132" s="188">
        <f>opex_orig!AX132</f>
        <v>0</v>
      </c>
      <c r="BG132" s="188">
        <f>opex_orig!AY132</f>
        <v>1.27708E-4</v>
      </c>
      <c r="BH132" s="188">
        <f>opex_orig!AZ132</f>
        <v>0</v>
      </c>
      <c r="BI132" s="188">
        <f>opex_orig!BA132</f>
        <v>4.39899E-4</v>
      </c>
      <c r="BJ132" s="188">
        <f>opex_orig!BB132</f>
        <v>2.8030279999999999E-3</v>
      </c>
      <c r="BK132" s="188">
        <f>opex_orig!BC132</f>
        <v>2.554705E-3</v>
      </c>
      <c r="BL132" s="188">
        <f>opex_orig!BD132</f>
        <v>1.357437E-3</v>
      </c>
      <c r="BM132" s="188">
        <f>opex_orig!BE132</f>
        <v>1.0656579999999999E-3</v>
      </c>
      <c r="BN132" s="188">
        <f>opex_orig!BF132</f>
        <v>4.5911200000000002E-4</v>
      </c>
      <c r="BO132" s="188">
        <f>opex_orig!BG132</f>
        <v>1.12017E-3</v>
      </c>
      <c r="BP132" s="188">
        <f>opex_orig!$BH132</f>
        <v>8.6111300589345905E-4</v>
      </c>
      <c r="BQ132" s="188">
        <f>opex_orig!$BH132</f>
        <v>8.6111300589345905E-4</v>
      </c>
      <c r="BR132" s="188">
        <f>opex_orig!BI132</f>
        <v>1.9921600000000002E-3</v>
      </c>
      <c r="BS132" s="188">
        <f>opex_orig!BJ132</f>
        <v>1.1804890000000001E-3</v>
      </c>
      <c r="BT132" s="188">
        <f>opex_orig!BK132</f>
        <v>9.5116019999999992E-3</v>
      </c>
      <c r="BU132" s="188">
        <f>opex_orig!BL132</f>
        <v>0</v>
      </c>
      <c r="BV132" s="27">
        <f>opex_orig!BM132</f>
        <v>1.6162176008146E-3</v>
      </c>
      <c r="BW132" s="27">
        <f>opex_orig!BN132</f>
        <v>1.4492948841073701E-3</v>
      </c>
      <c r="BX132" s="27">
        <f>opex_orig!BO132</f>
        <v>2.20696878734007E-3</v>
      </c>
      <c r="BY132" s="27">
        <f>opex_orig!BP132</f>
        <v>1.99290753563391E-3</v>
      </c>
      <c r="BZ132" s="27">
        <f>opex_orig!BQ132</f>
        <v>2.0839771822968901E-3</v>
      </c>
      <c r="CA132" s="27">
        <f>opex_orig!BR132</f>
        <v>4.54425780569099E-3</v>
      </c>
      <c r="CB132" s="27">
        <f>opex_orig!BS132</f>
        <v>9.5834311901994002E-4</v>
      </c>
      <c r="CC132" s="27">
        <f>opex_orig!BT132</f>
        <v>4.5418507877782201E-4</v>
      </c>
      <c r="CD132" s="27">
        <f>opex_orig!BU132</f>
        <v>2.3894908081873302E-3</v>
      </c>
      <c r="CE132" s="27">
        <f>opex_orig!BV132</f>
        <v>2.3894908081873302E-3</v>
      </c>
      <c r="CF132" s="27">
        <f>opex_orig!BW132</f>
        <v>1.90171263018208E-3</v>
      </c>
      <c r="CG132" s="27">
        <f>opex_orig!BX132</f>
        <v>1.30839294627246E-5</v>
      </c>
      <c r="CH132" s="27">
        <f>opex_orig!BY132</f>
        <v>6.9056727201352E-6</v>
      </c>
      <c r="CI132" s="27">
        <f>opex_orig!Y132</f>
        <v>1.91E-5</v>
      </c>
      <c r="CJ132" s="27">
        <f>opex_orig!Z132</f>
        <v>5.0886599999999996E-4</v>
      </c>
      <c r="CK132" s="27">
        <f>opex_orig!AA132</f>
        <v>7.2899999999999997E-5</v>
      </c>
      <c r="CL132" s="27">
        <f>opex_orig!AB132</f>
        <v>4.2525934886827399E-4</v>
      </c>
      <c r="CM132" s="27">
        <f>opex_orig!AC132</f>
        <v>4.4177013981379198E-3</v>
      </c>
      <c r="CN132" s="27">
        <f>opex_orig!AD132</f>
        <v>8.0393532307613397E-3</v>
      </c>
      <c r="CO132" s="27">
        <f>opex_orig!AE132</f>
        <v>7.4497599999999997E-3</v>
      </c>
      <c r="CP132" s="27">
        <f>opex_orig!AF132</f>
        <v>1.579312E-3</v>
      </c>
    </row>
    <row r="133" spans="1:94" x14ac:dyDescent="0.25">
      <c r="A133" s="5" t="s">
        <v>257</v>
      </c>
      <c r="B133" s="2" t="s">
        <v>256</v>
      </c>
      <c r="C133" s="1" t="s">
        <v>334</v>
      </c>
      <c r="D133" s="188">
        <f>opex_orig!D133</f>
        <v>3.3699999999999999E-5</v>
      </c>
      <c r="E133" s="188">
        <f>opex_orig!E133</f>
        <v>4.0199999999999996E-6</v>
      </c>
      <c r="F133" s="188">
        <f>opex_orig!F133</f>
        <v>2.5000000000000002E-6</v>
      </c>
      <c r="G133" s="188">
        <f>opex_orig!G133</f>
        <v>4.6499999999999999E-7</v>
      </c>
      <c r="H133" s="188">
        <f>opex_orig!H133</f>
        <v>8.7300000000000005E-7</v>
      </c>
      <c r="I133" s="188">
        <f>opex_orig!I133</f>
        <v>5.0900000000000004E-6</v>
      </c>
      <c r="J133" s="188">
        <f>opex_orig!J133</f>
        <v>1.8899999999999999E-5</v>
      </c>
      <c r="K133" s="188">
        <f>opex_orig!K133</f>
        <v>1.48E-6</v>
      </c>
      <c r="L133" s="188">
        <f>opex_orig!L133</f>
        <v>4.78E-6</v>
      </c>
      <c r="M133" s="188">
        <f>opex_orig!M133</f>
        <v>1.11E-5</v>
      </c>
      <c r="N133" s="188">
        <f>opex_orig!N133</f>
        <v>6.5899999999999996E-6</v>
      </c>
      <c r="O133" s="188">
        <f>opex_orig!O133</f>
        <v>2.23E-5</v>
      </c>
      <c r="P133" s="188">
        <f>opex_orig!P133</f>
        <v>5.6200000000000004E-6</v>
      </c>
      <c r="Q133" s="188">
        <f>opex_orig!Q133</f>
        <v>2.96E-6</v>
      </c>
      <c r="R133" s="188">
        <f>opex_orig!R133</f>
        <v>1.0899999999999999E-6</v>
      </c>
      <c r="S133" s="188">
        <f>opex_orig!S133</f>
        <v>3.63E-6</v>
      </c>
      <c r="T133" s="188">
        <f>opex_orig!T133</f>
        <v>4.3599999999999998E-6</v>
      </c>
      <c r="U133" s="188">
        <f>opex_orig!U133</f>
        <v>5.6899999999999997E-6</v>
      </c>
      <c r="V133" s="188">
        <f>opex_orig!V133</f>
        <v>7.6199999999999999E-6</v>
      </c>
      <c r="W133" s="188">
        <f>opex_orig!W133</f>
        <v>5.2800000000000003E-6</v>
      </c>
      <c r="X133" s="188">
        <f>opex_orig!X133</f>
        <v>1.6178000000000001E-4</v>
      </c>
      <c r="Y133" s="188">
        <f>opex_orig!Y133</f>
        <v>6.5099999999999999E-7</v>
      </c>
      <c r="Z133" s="188">
        <f>opex_orig!Z133</f>
        <v>3.05E-6</v>
      </c>
      <c r="AA133" s="188">
        <f>opex_orig!AA133</f>
        <v>3.6200000000000001E-6</v>
      </c>
      <c r="AB133" s="188">
        <f>opex_orig!$AB133</f>
        <v>4.4194144857413097E-5</v>
      </c>
      <c r="AC133" s="188">
        <f>opex_orig!$AB133</f>
        <v>4.4194144857413097E-5</v>
      </c>
      <c r="AD133" s="188">
        <f>opex_orig!$AB133</f>
        <v>4.4194144857413097E-5</v>
      </c>
      <c r="AE133" s="188">
        <f>opex_orig!$AC133</f>
        <v>4.0454753274555798E-2</v>
      </c>
      <c r="AF133" s="299">
        <f>opex_concordance!$M$324</f>
        <v>8.8305151998102391E-2</v>
      </c>
      <c r="AG133" s="299">
        <f>opex_concordance!$M$360</f>
        <v>3.9131850508657362E-2</v>
      </c>
      <c r="AH133" s="299">
        <f>opex_concordance!$M$396</f>
        <v>3.1395315707698629E-2</v>
      </c>
      <c r="AI133" s="188">
        <f>opex_orig!AE133</f>
        <v>0.106262758</v>
      </c>
      <c r="AJ133" s="188">
        <f>opex_orig!AF133</f>
        <v>4.5189599999999998E-3</v>
      </c>
      <c r="AK133" s="188">
        <f>opex_orig!AG133</f>
        <v>5.0210599999999999E-4</v>
      </c>
      <c r="AL133" s="188">
        <f>opex_orig!AH133</f>
        <v>1.13472E-4</v>
      </c>
      <c r="AM133" s="188">
        <f>opex_orig!AI133</f>
        <v>2.3728099999999999E-4</v>
      </c>
      <c r="AN133" s="188">
        <f>opex_orig!AJ133</f>
        <v>1.50314E-4</v>
      </c>
      <c r="AO133" s="188">
        <f>opex_orig!AK133</f>
        <v>1.9608399999999999E-4</v>
      </c>
      <c r="AP133" s="188">
        <f>opex_orig!$AL133</f>
        <v>2.1050262636114001E-4</v>
      </c>
      <c r="AQ133" s="188">
        <f>opex_orig!$AL133</f>
        <v>2.1050262636114001E-4</v>
      </c>
      <c r="AR133" s="188">
        <f>opex_orig!$AL133</f>
        <v>2.1050262636114001E-4</v>
      </c>
      <c r="AS133" s="188">
        <f>opex_orig!$AM133</f>
        <v>2.04862703590957E-4</v>
      </c>
      <c r="AT133" s="188">
        <f>opex_orig!AN133</f>
        <v>2.0859000000000001E-4</v>
      </c>
      <c r="AU133" s="188">
        <f>opex_orig!$AO133</f>
        <v>7.2929009368409505E-4</v>
      </c>
      <c r="AV133" s="188">
        <f>opex_orig!$AO133</f>
        <v>7.2929009368409505E-4</v>
      </c>
      <c r="AW133" s="188">
        <f>opex_orig!$AO133</f>
        <v>7.2929009368409505E-4</v>
      </c>
      <c r="AX133" s="188">
        <f>opex_orig!$AP133</f>
        <v>8.7652854039615296E-4</v>
      </c>
      <c r="AY133" s="188">
        <f>opex_orig!AQ133</f>
        <v>1.647449E-3</v>
      </c>
      <c r="AZ133" s="188">
        <f>opex_orig!AR133</f>
        <v>0</v>
      </c>
      <c r="BA133" s="188">
        <f>opex_orig!AS133</f>
        <v>9.4530600000000003E-4</v>
      </c>
      <c r="BB133" s="188">
        <f>opex_orig!AT133</f>
        <v>1.029505E-3</v>
      </c>
      <c r="BC133" s="188">
        <f>opex_orig!AU133</f>
        <v>3.9402399999999998E-4</v>
      </c>
      <c r="BD133" s="188">
        <f>opex_orig!AV133</f>
        <v>3.4205900000000003E-4</v>
      </c>
      <c r="BE133" s="188">
        <f>opex_orig!AW133</f>
        <v>1.072136E-3</v>
      </c>
      <c r="BF133" s="188">
        <f>opex_orig!AX133</f>
        <v>0</v>
      </c>
      <c r="BG133" s="188">
        <f>opex_orig!AY133</f>
        <v>1.1145199999999999E-3</v>
      </c>
      <c r="BH133" s="188">
        <f>opex_orig!AZ133</f>
        <v>0</v>
      </c>
      <c r="BI133" s="188">
        <f>opex_orig!BA133</f>
        <v>1.314731E-3</v>
      </c>
      <c r="BJ133" s="188">
        <f>opex_orig!BB133</f>
        <v>4.3281299999999999E-4</v>
      </c>
      <c r="BK133" s="188">
        <f>opex_orig!BC133</f>
        <v>8.3799999999999994E-6</v>
      </c>
      <c r="BL133" s="188">
        <f>opex_orig!BD133</f>
        <v>2.9799999999999999E-5</v>
      </c>
      <c r="BM133" s="188">
        <f>opex_orig!BE133</f>
        <v>4.2500000000000003E-5</v>
      </c>
      <c r="BN133" s="188">
        <f>opex_orig!BF133</f>
        <v>1.39E-6</v>
      </c>
      <c r="BO133" s="188">
        <f>opex_orig!BG133</f>
        <v>6.5400000000000001E-6</v>
      </c>
      <c r="BP133" s="188">
        <f>opex_orig!$BH133</f>
        <v>2.1716551421394E-4</v>
      </c>
      <c r="BQ133" s="188">
        <f>opex_orig!$BH133</f>
        <v>2.1716551421394E-4</v>
      </c>
      <c r="BR133" s="188">
        <f>opex_orig!BI133</f>
        <v>3.45E-6</v>
      </c>
      <c r="BS133" s="188">
        <f>opex_orig!BJ133</f>
        <v>1.2999999999999999E-5</v>
      </c>
      <c r="BT133" s="188">
        <f>opex_orig!BK133</f>
        <v>3.1399999999999998E-5</v>
      </c>
      <c r="BU133" s="188">
        <f>opex_orig!BL133</f>
        <v>0</v>
      </c>
      <c r="BV133" s="27">
        <f>opex_orig!BM133</f>
        <v>2.9864269213563998E-4</v>
      </c>
      <c r="BW133" s="27">
        <f>opex_orig!BN133</f>
        <v>2.4798571052720401E-4</v>
      </c>
      <c r="BX133" s="27">
        <f>opex_orig!BO133</f>
        <v>2.2525702307959501E-4</v>
      </c>
      <c r="BY133" s="27">
        <f>opex_orig!BP133</f>
        <v>2.3665334549423901E-4</v>
      </c>
      <c r="BZ133" s="27">
        <f>opex_orig!BQ133</f>
        <v>2.49531031947237E-4</v>
      </c>
      <c r="CA133" s="27">
        <f>opex_orig!BR133</f>
        <v>7.3704203853832997E-6</v>
      </c>
      <c r="CB133" s="27">
        <f>opex_orig!BS133</f>
        <v>1.71178947030437E-4</v>
      </c>
      <c r="CC133" s="27">
        <f>opex_orig!BT133</f>
        <v>1.3328004323353199E-4</v>
      </c>
      <c r="CD133" s="27">
        <f>opex_orig!BU133</f>
        <v>2.6124797463882299E-6</v>
      </c>
      <c r="CE133" s="27">
        <f>opex_orig!BV133</f>
        <v>2.6124797463882401E-6</v>
      </c>
      <c r="CF133" s="27">
        <f>opex_orig!BW133</f>
        <v>2.3589609221748701E-3</v>
      </c>
      <c r="CG133" s="27">
        <f>opex_orig!BX133</f>
        <v>1.2366803417393599E-5</v>
      </c>
      <c r="CH133" s="27">
        <f>opex_orig!BY133</f>
        <v>9.9205915198633699E-7</v>
      </c>
      <c r="CI133" s="27">
        <f>opex_orig!Y133</f>
        <v>6.5099999999999999E-7</v>
      </c>
      <c r="CJ133" s="27">
        <f>opex_orig!Z133</f>
        <v>3.05E-6</v>
      </c>
      <c r="CK133" s="27">
        <f>opex_orig!AA133</f>
        <v>3.6200000000000001E-6</v>
      </c>
      <c r="CL133" s="27">
        <f>opex_orig!AB133</f>
        <v>4.4194144857413097E-5</v>
      </c>
      <c r="CM133" s="27">
        <f>opex_orig!AC133</f>
        <v>4.0454753274555798E-2</v>
      </c>
      <c r="CN133" s="27">
        <f>opex_orig!AD133</f>
        <v>8.8305151998102405E-2</v>
      </c>
      <c r="CO133" s="27">
        <f>opex_orig!AE133</f>
        <v>0.106262758</v>
      </c>
      <c r="CP133" s="27">
        <f>opex_orig!AF133</f>
        <v>4.5189599999999998E-3</v>
      </c>
    </row>
    <row r="134" spans="1:94" x14ac:dyDescent="0.25">
      <c r="A134" s="5" t="s">
        <v>259</v>
      </c>
      <c r="B134" s="2" t="s">
        <v>258</v>
      </c>
      <c r="C134" s="1" t="s">
        <v>334</v>
      </c>
      <c r="D134" s="188">
        <f>opex_orig!D134</f>
        <v>2.6966080000000001E-3</v>
      </c>
      <c r="E134" s="188">
        <f>opex_orig!E134</f>
        <v>1.7397420000000001E-3</v>
      </c>
      <c r="F134" s="188">
        <f>opex_orig!F134</f>
        <v>9.9671000000000004E-4</v>
      </c>
      <c r="G134" s="188">
        <f>opex_orig!G134</f>
        <v>2.0263599999999999E-4</v>
      </c>
      <c r="H134" s="188">
        <f>opex_orig!H134</f>
        <v>3.8819199999999999E-4</v>
      </c>
      <c r="I134" s="188">
        <f>opex_orig!I134</f>
        <v>5.350128E-3</v>
      </c>
      <c r="J134" s="188">
        <f>opex_orig!J134</f>
        <v>7.1146810000000003E-3</v>
      </c>
      <c r="K134" s="188">
        <f>opex_orig!K134</f>
        <v>6.0796400000000001E-4</v>
      </c>
      <c r="L134" s="188">
        <f>opex_orig!L134</f>
        <v>3.1180050000000001E-3</v>
      </c>
      <c r="M134" s="188">
        <f>opex_orig!M134</f>
        <v>8.3374380000000008E-3</v>
      </c>
      <c r="N134" s="188">
        <f>opex_orig!N134</f>
        <v>4.7497679999999997E-3</v>
      </c>
      <c r="O134" s="188">
        <f>opex_orig!O134</f>
        <v>2.6029966000000002E-2</v>
      </c>
      <c r="P134" s="188">
        <f>opex_orig!P134</f>
        <v>9.0954940000000008E-3</v>
      </c>
      <c r="Q134" s="188">
        <f>opex_orig!Q134</f>
        <v>1.3352710000000001E-3</v>
      </c>
      <c r="R134" s="188">
        <f>opex_orig!R134</f>
        <v>4.1377949999999997E-3</v>
      </c>
      <c r="S134" s="188">
        <f>opex_orig!S134</f>
        <v>2.2127779999999999E-3</v>
      </c>
      <c r="T134" s="188">
        <f>opex_orig!T134</f>
        <v>2.3964609999999999E-3</v>
      </c>
      <c r="U134" s="188">
        <f>opex_orig!U134</f>
        <v>5.8910669999999998E-3</v>
      </c>
      <c r="V134" s="188">
        <f>opex_orig!V134</f>
        <v>5.9671059999999998E-3</v>
      </c>
      <c r="W134" s="188">
        <f>opex_orig!W134</f>
        <v>4.9672980000000002E-3</v>
      </c>
      <c r="X134" s="188">
        <f>opex_orig!X134</f>
        <v>4.7671470000000002E-3</v>
      </c>
      <c r="Y134" s="188">
        <f>opex_orig!Y134</f>
        <v>4.7509240000000001E-3</v>
      </c>
      <c r="Z134" s="188">
        <f>opex_orig!Z134</f>
        <v>6.4368799999999999E-3</v>
      </c>
      <c r="AA134" s="188">
        <f>opex_orig!AA134</f>
        <v>1.4869189999999999E-2</v>
      </c>
      <c r="AB134" s="208">
        <f>opex_concordance!M199</f>
        <v>8.53981541354361E-3</v>
      </c>
      <c r="AC134" s="208">
        <f>opex_concordance!M244</f>
        <v>1.2935261912901851E-2</v>
      </c>
      <c r="AD134" s="208">
        <f>opex_concordance!M289</f>
        <v>1.5053755588462192E-2</v>
      </c>
      <c r="AE134" s="188">
        <f>opex_orig!$AC134</f>
        <v>2.3865367896454201E-3</v>
      </c>
      <c r="AF134" s="188">
        <f>opex_orig!$AD134</f>
        <v>2.8258122565272899E-3</v>
      </c>
      <c r="AG134" s="188">
        <f>opex_orig!$AD134</f>
        <v>2.8258122565272899E-3</v>
      </c>
      <c r="AH134" s="188">
        <f>opex_orig!$AD134</f>
        <v>2.8258122565272899E-3</v>
      </c>
      <c r="AI134" s="188">
        <f>opex_orig!AE134</f>
        <v>2.540507E-3</v>
      </c>
      <c r="AJ134" s="188">
        <f>opex_orig!AF134</f>
        <v>8.7599410000000003E-3</v>
      </c>
      <c r="AK134" s="188">
        <f>opex_orig!AG134</f>
        <v>1.874791E-3</v>
      </c>
      <c r="AL134" s="188">
        <f>opex_orig!AH134</f>
        <v>7.0690599999999998E-4</v>
      </c>
      <c r="AM134" s="188">
        <f>opex_orig!AI134</f>
        <v>1.598246E-3</v>
      </c>
      <c r="AN134" s="188">
        <f>opex_orig!AJ134</f>
        <v>6.1035099999999997E-4</v>
      </c>
      <c r="AO134" s="188">
        <f>opex_orig!AK134</f>
        <v>1.315121E-3</v>
      </c>
      <c r="AP134" s="188">
        <f>opex_orig!$AL134</f>
        <v>1.54476722476357E-3</v>
      </c>
      <c r="AQ134" s="188">
        <f>opex_orig!$AL134</f>
        <v>1.54476722476357E-3</v>
      </c>
      <c r="AR134" s="188">
        <f>opex_orig!$AL134</f>
        <v>1.54476722476357E-3</v>
      </c>
      <c r="AS134" s="188">
        <f>opex_orig!$AM134</f>
        <v>1.2845531852082601E-3</v>
      </c>
      <c r="AT134" s="188">
        <f>opex_orig!AN134</f>
        <v>2.0298650000000001E-3</v>
      </c>
      <c r="AU134" s="188">
        <f>opex_orig!$AO134</f>
        <v>9.2803477064927399E-4</v>
      </c>
      <c r="AV134" s="188">
        <f>opex_orig!$AO134</f>
        <v>9.2803477064927399E-4</v>
      </c>
      <c r="AW134" s="188">
        <f>opex_orig!$AO134</f>
        <v>9.2803477064927399E-4</v>
      </c>
      <c r="AX134" s="188">
        <f>opex_orig!$AP134</f>
        <v>1.1241400962766399E-3</v>
      </c>
      <c r="AY134" s="188">
        <f>opex_orig!AQ134</f>
        <v>1.1843540000000001E-3</v>
      </c>
      <c r="AZ134" s="188">
        <f>opex_orig!AR134</f>
        <v>0</v>
      </c>
      <c r="BA134" s="188">
        <f>opex_orig!AS134</f>
        <v>1.2126839999999999E-3</v>
      </c>
      <c r="BB134" s="188">
        <f>opex_orig!AT134</f>
        <v>6.3656699999999999E-4</v>
      </c>
      <c r="BC134" s="188">
        <f>opex_orig!AU134</f>
        <v>1.72325E-4</v>
      </c>
      <c r="BD134" s="188">
        <f>opex_orig!AV134</f>
        <v>1.52814E-4</v>
      </c>
      <c r="BE134" s="188">
        <f>opex_orig!AW134</f>
        <v>5.4564100000000003E-4</v>
      </c>
      <c r="BF134" s="188">
        <f>opex_orig!AX134</f>
        <v>0</v>
      </c>
      <c r="BG134" s="188">
        <f>opex_orig!AY134</f>
        <v>1.500288E-3</v>
      </c>
      <c r="BH134" s="188">
        <f>opex_orig!AZ134</f>
        <v>0</v>
      </c>
      <c r="BI134" s="188">
        <f>opex_orig!BA134</f>
        <v>5.8759700000000003E-4</v>
      </c>
      <c r="BJ134" s="188">
        <f>opex_orig!BB134</f>
        <v>6.8815599999999999E-4</v>
      </c>
      <c r="BK134" s="188">
        <f>opex_orig!BC134</f>
        <v>5.4593230000000003E-3</v>
      </c>
      <c r="BL134" s="188">
        <f>opex_orig!BD134</f>
        <v>2.3061520000000001E-3</v>
      </c>
      <c r="BM134" s="188">
        <f>opex_orig!BE134</f>
        <v>8.9437200000000005E-3</v>
      </c>
      <c r="BN134" s="188">
        <f>opex_orig!BF134</f>
        <v>2.5619050000000002E-3</v>
      </c>
      <c r="BO134" s="188">
        <f>opex_orig!BG134</f>
        <v>1.0800702000000001E-2</v>
      </c>
      <c r="BP134" s="188">
        <f>opex_orig!$BH134</f>
        <v>2.3763527019328799E-3</v>
      </c>
      <c r="BQ134" s="188">
        <f>opex_orig!$BH134</f>
        <v>2.3763527019328799E-3</v>
      </c>
      <c r="BR134" s="188">
        <f>opex_orig!BI134</f>
        <v>6.7659700000000003E-4</v>
      </c>
      <c r="BS134" s="188">
        <f>opex_orig!BJ134</f>
        <v>8.7464859999999995E-3</v>
      </c>
      <c r="BT134" s="188">
        <f>opex_orig!BK134</f>
        <v>2.6530680000000002E-3</v>
      </c>
      <c r="BU134" s="188">
        <f>opex_orig!BL134</f>
        <v>0</v>
      </c>
      <c r="BV134" s="27">
        <f>opex_orig!BM134</f>
        <v>3.4716403063582701E-3</v>
      </c>
      <c r="BW134" s="27">
        <f>opex_orig!BN134</f>
        <v>2.8530030498825098E-3</v>
      </c>
      <c r="BX134" s="27">
        <f>opex_orig!BO134</f>
        <v>1.38485804657518E-3</v>
      </c>
      <c r="BY134" s="27">
        <f>opex_orig!BP134</f>
        <v>2.22855820501433E-3</v>
      </c>
      <c r="BZ134" s="27">
        <f>opex_orig!BQ134</f>
        <v>3.14312872147303E-3</v>
      </c>
      <c r="CA134" s="27">
        <f>opex_orig!BR134</f>
        <v>7.6756323689436898E-3</v>
      </c>
      <c r="CB134" s="27">
        <f>opex_orig!BS134</f>
        <v>4.0958797802387696E-3</v>
      </c>
      <c r="CC134" s="27">
        <f>opex_orig!BT134</f>
        <v>1.1409057935692899E-3</v>
      </c>
      <c r="CD134" s="27">
        <f>opex_orig!BU134</f>
        <v>2.8599243964498098E-3</v>
      </c>
      <c r="CE134" s="27">
        <f>opex_orig!BV134</f>
        <v>2.8599243964498198E-3</v>
      </c>
      <c r="CF134" s="27">
        <f>opex_orig!BW134</f>
        <v>1.1030836524414099E-2</v>
      </c>
      <c r="CG134" s="27">
        <f>opex_orig!BX134</f>
        <v>2.0768312043669998E-5</v>
      </c>
      <c r="CH134" s="27">
        <f>opex_orig!BY134</f>
        <v>7.2704342588888699E-6</v>
      </c>
      <c r="CI134" s="27">
        <f>opex_orig!Y134</f>
        <v>4.7509240000000001E-3</v>
      </c>
      <c r="CJ134" s="27">
        <f>opex_orig!Z134</f>
        <v>6.4368799999999999E-3</v>
      </c>
      <c r="CK134" s="27">
        <f>opex_orig!AA134</f>
        <v>1.4869189999999999E-2</v>
      </c>
      <c r="CL134" s="27">
        <f>opex_orig!AB134</f>
        <v>8.53981541354361E-3</v>
      </c>
      <c r="CM134" s="27">
        <f>opex_orig!AC134</f>
        <v>2.3865367896454201E-3</v>
      </c>
      <c r="CN134" s="27">
        <f>opex_orig!AD134</f>
        <v>2.8258122565272899E-3</v>
      </c>
      <c r="CO134" s="27">
        <f>opex_orig!AE134</f>
        <v>2.540507E-3</v>
      </c>
      <c r="CP134" s="27">
        <f>opex_orig!AF134</f>
        <v>8.7599410000000003E-3</v>
      </c>
    </row>
    <row r="135" spans="1:94" x14ac:dyDescent="0.25">
      <c r="A135" s="5" t="s">
        <v>261</v>
      </c>
      <c r="B135" s="2" t="s">
        <v>260</v>
      </c>
      <c r="C135" s="1" t="s">
        <v>335</v>
      </c>
      <c r="D135" s="188">
        <f>opex_orig!D135</f>
        <v>8.4713200000000001E-4</v>
      </c>
      <c r="E135" s="188">
        <f>opex_orig!E135</f>
        <v>1.3093530000000001E-3</v>
      </c>
      <c r="F135" s="188">
        <f>opex_orig!F135</f>
        <v>7.0543699999999995E-4</v>
      </c>
      <c r="G135" s="188">
        <f>opex_orig!G135</f>
        <v>1.1302E-4</v>
      </c>
      <c r="H135" s="188">
        <f>opex_orig!H135</f>
        <v>2.3818999999999999E-4</v>
      </c>
      <c r="I135" s="188">
        <f>opex_orig!I135</f>
        <v>3.4887939999999999E-3</v>
      </c>
      <c r="J135" s="188">
        <f>opex_orig!J135</f>
        <v>4.8531210000000002E-3</v>
      </c>
      <c r="K135" s="188">
        <f>opex_orig!K135</f>
        <v>3.0251699999999998E-4</v>
      </c>
      <c r="L135" s="188">
        <f>opex_orig!L135</f>
        <v>3.7073280000000002E-3</v>
      </c>
      <c r="M135" s="188">
        <f>opex_orig!M135</f>
        <v>1.0200806999999999E-2</v>
      </c>
      <c r="N135" s="188">
        <f>opex_orig!N135</f>
        <v>5.988869E-3</v>
      </c>
      <c r="O135" s="188">
        <f>opex_orig!O135</f>
        <v>8.0723700000000004E-4</v>
      </c>
      <c r="P135" s="188">
        <f>opex_orig!P135</f>
        <v>1.522125E-3</v>
      </c>
      <c r="Q135" s="188">
        <f>opex_orig!Q135</f>
        <v>2.8190700000000002E-4</v>
      </c>
      <c r="R135" s="188">
        <f>opex_orig!R135</f>
        <v>3.83693E-4</v>
      </c>
      <c r="S135" s="188">
        <f>opex_orig!S135</f>
        <v>2.5653080000000001E-3</v>
      </c>
      <c r="T135" s="188">
        <f>opex_orig!T135</f>
        <v>2.9087800000000001E-3</v>
      </c>
      <c r="U135" s="188">
        <f>opex_orig!U135</f>
        <v>1.3232560000000001E-3</v>
      </c>
      <c r="V135" s="188">
        <f>opex_orig!V135</f>
        <v>1.745288E-3</v>
      </c>
      <c r="W135" s="188">
        <f>opex_orig!W135</f>
        <v>1.6872079999999999E-3</v>
      </c>
      <c r="X135" s="188">
        <f>opex_orig!X135</f>
        <v>3.1763859999999998E-3</v>
      </c>
      <c r="Y135" s="188">
        <f>opex_orig!Y135</f>
        <v>2.4446E-4</v>
      </c>
      <c r="Z135" s="188">
        <f>opex_orig!Z135</f>
        <v>1.834926E-3</v>
      </c>
      <c r="AA135" s="188">
        <f>opex_orig!AA135</f>
        <v>2.372093E-3</v>
      </c>
      <c r="AB135" s="188">
        <f>opex_orig!$AB135</f>
        <v>2.6358258976167699E-4</v>
      </c>
      <c r="AC135" s="188">
        <f>opex_orig!$AB135</f>
        <v>2.6358258976167699E-4</v>
      </c>
      <c r="AD135" s="188">
        <f>opex_orig!$AB135</f>
        <v>2.6358258976167699E-4</v>
      </c>
      <c r="AE135" s="188">
        <f>opex_orig!$AC135</f>
        <v>1.06082841810517E-3</v>
      </c>
      <c r="AF135" s="188">
        <f>opex_orig!$AD135</f>
        <v>1.0910998237931E-3</v>
      </c>
      <c r="AG135" s="188">
        <f>opex_orig!$AD135</f>
        <v>1.0910998237931E-3</v>
      </c>
      <c r="AH135" s="188">
        <f>opex_orig!$AD135</f>
        <v>1.0910998237931E-3</v>
      </c>
      <c r="AI135" s="188">
        <f>opex_orig!AE135</f>
        <v>1.1022880000000001E-3</v>
      </c>
      <c r="AJ135" s="188">
        <f>opex_orig!AF135</f>
        <v>6.3848029999999997E-3</v>
      </c>
      <c r="AK135" s="188">
        <f>opex_orig!AG135</f>
        <v>1.57155E-4</v>
      </c>
      <c r="AL135" s="188">
        <f>opex_orig!AH135</f>
        <v>1.5108499999999999E-4</v>
      </c>
      <c r="AM135" s="188">
        <f>opex_orig!AI135</f>
        <v>3.2147300000000002E-4</v>
      </c>
      <c r="AN135" s="188">
        <f>opex_orig!AJ135</f>
        <v>3.6480200000000001E-4</v>
      </c>
      <c r="AO135" s="188">
        <f>opex_orig!AK135</f>
        <v>3.7278300000000001E-4</v>
      </c>
      <c r="AP135" s="188">
        <f>opex_orig!$AL135</f>
        <v>6.86149754086509E-4</v>
      </c>
      <c r="AQ135" s="188">
        <f>opex_orig!$AL135</f>
        <v>6.86149754086509E-4</v>
      </c>
      <c r="AR135" s="188">
        <f>opex_orig!$AL135</f>
        <v>6.86149754086509E-4</v>
      </c>
      <c r="AS135" s="188">
        <f>opex_orig!$AM135</f>
        <v>6.8649699430410702E-4</v>
      </c>
      <c r="AT135" s="188">
        <f>opex_orig!AN135</f>
        <v>1.023801E-3</v>
      </c>
      <c r="AU135" s="188">
        <f>opex_orig!$AO135</f>
        <v>7.1951009809092701E-4</v>
      </c>
      <c r="AV135" s="188">
        <f>opex_orig!$AO135</f>
        <v>7.1951009809092701E-4</v>
      </c>
      <c r="AW135" s="188">
        <f>opex_orig!$AO135</f>
        <v>7.1951009809092701E-4</v>
      </c>
      <c r="AX135" s="188">
        <f>opex_orig!$AP135</f>
        <v>8.3310532107905701E-4</v>
      </c>
      <c r="AY135" s="188">
        <f>opex_orig!AQ135</f>
        <v>2.0959400000000001E-3</v>
      </c>
      <c r="AZ135" s="188">
        <f>opex_orig!AR135</f>
        <v>0</v>
      </c>
      <c r="BA135" s="188">
        <f>opex_orig!AS135</f>
        <v>1.063088E-3</v>
      </c>
      <c r="BB135" s="188">
        <f>opex_orig!AT135</f>
        <v>1.1782629999999999E-3</v>
      </c>
      <c r="BC135" s="188">
        <f>opex_orig!AU135</f>
        <v>1.9360199999999999E-4</v>
      </c>
      <c r="BD135" s="188">
        <f>opex_orig!AV135</f>
        <v>1.5788600000000001E-4</v>
      </c>
      <c r="BE135" s="188">
        <f>opex_orig!AW135</f>
        <v>8.50065E-4</v>
      </c>
      <c r="BF135" s="188">
        <f>opex_orig!AX135</f>
        <v>0</v>
      </c>
      <c r="BG135" s="188">
        <f>opex_orig!AY135</f>
        <v>2.3504929999999999E-3</v>
      </c>
      <c r="BH135" s="188">
        <f>opex_orig!AZ135</f>
        <v>0</v>
      </c>
      <c r="BI135" s="188">
        <f>opex_orig!BA135</f>
        <v>1.276513E-3</v>
      </c>
      <c r="BJ135" s="188">
        <f>opex_orig!BB135</f>
        <v>6.6615900000000004E-4</v>
      </c>
      <c r="BK135" s="188">
        <f>opex_orig!BC135</f>
        <v>5.6823639999999996E-3</v>
      </c>
      <c r="BL135" s="188">
        <f>opex_orig!BD135</f>
        <v>3.31002E-4</v>
      </c>
      <c r="BM135" s="188">
        <f>opex_orig!BE135</f>
        <v>1.427864E-3</v>
      </c>
      <c r="BN135" s="188">
        <f>opex_orig!BF135</f>
        <v>8.6047399999999996E-4</v>
      </c>
      <c r="BO135" s="188">
        <f>opex_orig!BG135</f>
        <v>3.4901839999999999E-3</v>
      </c>
      <c r="BP135" s="188">
        <f>opex_orig!$BH135</f>
        <v>1.4468681419810101E-3</v>
      </c>
      <c r="BQ135" s="188">
        <f>opex_orig!$BH135</f>
        <v>1.4468681419810101E-3</v>
      </c>
      <c r="BR135" s="188">
        <f>opex_orig!BI135</f>
        <v>1.5566399999999999E-4</v>
      </c>
      <c r="BS135" s="188">
        <f>opex_orig!BJ135</f>
        <v>2.9120639999999998E-3</v>
      </c>
      <c r="BT135" s="188">
        <f>opex_orig!BK135</f>
        <v>4.0177579999999997E-3</v>
      </c>
      <c r="BU135" s="188">
        <f>opex_orig!BL135</f>
        <v>0</v>
      </c>
      <c r="BV135" s="27">
        <f>opex_orig!BM135</f>
        <v>1.8486940662318699E-4</v>
      </c>
      <c r="BW135" s="27">
        <f>opex_orig!BN135</f>
        <v>1.7576815144218201E-4</v>
      </c>
      <c r="BX135" s="27">
        <f>opex_orig!BO135</f>
        <v>1.1275241202503E-4</v>
      </c>
      <c r="BY135" s="27">
        <f>opex_orig!BP135</f>
        <v>1.2788401710895901E-4</v>
      </c>
      <c r="BZ135" s="27">
        <f>opex_orig!BQ135</f>
        <v>1.4491103099860801E-4</v>
      </c>
      <c r="CA135" s="27">
        <f>opex_orig!BR135</f>
        <v>1.03410332204303E-2</v>
      </c>
      <c r="CB135" s="27">
        <f>opex_orig!BS135</f>
        <v>2.3070253281087401E-4</v>
      </c>
      <c r="CC135" s="27">
        <f>opex_orig!BT135</f>
        <v>2.1183193403486901E-4</v>
      </c>
      <c r="CD135" s="27">
        <f>opex_orig!BU135</f>
        <v>1.4341962122937899E-4</v>
      </c>
      <c r="CE135" s="27">
        <f>opex_orig!BV135</f>
        <v>1.4341962122937899E-4</v>
      </c>
      <c r="CF135" s="27">
        <f>opex_orig!BW135</f>
        <v>2.4942438737497702E-3</v>
      </c>
      <c r="CG135" s="27">
        <f>opex_orig!BX135</f>
        <v>5.3202803169035101E-5</v>
      </c>
      <c r="CH135" s="27">
        <f>opex_orig!BY135</f>
        <v>1.30266321691755E-3</v>
      </c>
      <c r="CI135" s="27">
        <f>opex_orig!Y135</f>
        <v>2.4446E-4</v>
      </c>
      <c r="CJ135" s="27">
        <f>opex_orig!Z135</f>
        <v>1.834926E-3</v>
      </c>
      <c r="CK135" s="27">
        <f>opex_orig!AA135</f>
        <v>2.372093E-3</v>
      </c>
      <c r="CL135" s="27">
        <f>opex_orig!AB135</f>
        <v>2.6358258976167699E-4</v>
      </c>
      <c r="CM135" s="27">
        <f>opex_orig!AC135</f>
        <v>1.06082841810517E-3</v>
      </c>
      <c r="CN135" s="27">
        <f>opex_orig!AD135</f>
        <v>1.0910998237931E-3</v>
      </c>
      <c r="CO135" s="27">
        <f>opex_orig!AE135</f>
        <v>1.1022880000000001E-3</v>
      </c>
      <c r="CP135" s="27">
        <f>opex_orig!AF135</f>
        <v>6.3848029999999997E-3</v>
      </c>
    </row>
    <row r="136" spans="1:94" x14ac:dyDescent="0.25">
      <c r="A136" s="5" t="s">
        <v>263</v>
      </c>
      <c r="B136" s="2" t="s">
        <v>262</v>
      </c>
      <c r="C136" s="1" t="s">
        <v>335</v>
      </c>
      <c r="D136" s="188">
        <f>opex_orig!D136</f>
        <v>1.797344E-3</v>
      </c>
      <c r="E136" s="188">
        <f>opex_orig!E136</f>
        <v>7.2147900000000002E-4</v>
      </c>
      <c r="F136" s="188">
        <f>opex_orig!F136</f>
        <v>4.9409699999999998E-4</v>
      </c>
      <c r="G136" s="188">
        <f>opex_orig!G136</f>
        <v>5.9200000000000002E-5</v>
      </c>
      <c r="H136" s="188">
        <f>opex_orig!H136</f>
        <v>1.2736E-4</v>
      </c>
      <c r="I136" s="188">
        <f>opex_orig!I136</f>
        <v>1.251051E-3</v>
      </c>
      <c r="J136" s="188">
        <f>opex_orig!J136</f>
        <v>1.2461709999999999E-3</v>
      </c>
      <c r="K136" s="188">
        <f>opex_orig!K136</f>
        <v>1.72363E-4</v>
      </c>
      <c r="L136" s="188">
        <f>opex_orig!L136</f>
        <v>2.1878209999999999E-3</v>
      </c>
      <c r="M136" s="188">
        <f>opex_orig!M136</f>
        <v>7.1871239999999996E-3</v>
      </c>
      <c r="N136" s="188">
        <f>opex_orig!N136</f>
        <v>3.3407749999999998E-3</v>
      </c>
      <c r="O136" s="188">
        <f>opex_orig!O136</f>
        <v>2.8850437E-2</v>
      </c>
      <c r="P136" s="188">
        <f>opex_orig!P136</f>
        <v>1.9561719999999999E-3</v>
      </c>
      <c r="Q136" s="188">
        <f>opex_orig!Q136</f>
        <v>1.7622199999999999E-4</v>
      </c>
      <c r="R136" s="188">
        <f>opex_orig!R136</f>
        <v>6.5625199999999996E-4</v>
      </c>
      <c r="S136" s="188">
        <f>opex_orig!S136</f>
        <v>1.9115650000000001E-3</v>
      </c>
      <c r="T136" s="188">
        <f>opex_orig!T136</f>
        <v>2.048036E-3</v>
      </c>
      <c r="U136" s="188">
        <f>opex_orig!U136</f>
        <v>3.1777799999999998E-3</v>
      </c>
      <c r="V136" s="188">
        <f>opex_orig!V136</f>
        <v>3.7474449999999999E-3</v>
      </c>
      <c r="W136" s="188">
        <f>opex_orig!W136</f>
        <v>4.9167239999999999E-3</v>
      </c>
      <c r="X136" s="188">
        <f>opex_orig!X136</f>
        <v>2.8857206E-2</v>
      </c>
      <c r="Y136" s="188">
        <f>opex_orig!Y136</f>
        <v>1.9809999999999999E-4</v>
      </c>
      <c r="Z136" s="188">
        <f>opex_orig!Z136</f>
        <v>9.6736900000000004E-4</v>
      </c>
      <c r="AA136" s="188">
        <f>opex_orig!AA136</f>
        <v>1.1357159999999999E-3</v>
      </c>
      <c r="AB136" s="188">
        <f>opex_orig!$AB136</f>
        <v>1.4960155830675499E-4</v>
      </c>
      <c r="AC136" s="188">
        <f>opex_orig!$AB136</f>
        <v>1.4960155830675499E-4</v>
      </c>
      <c r="AD136" s="188">
        <f>opex_orig!$AB136</f>
        <v>1.4960155830675499E-4</v>
      </c>
      <c r="AE136" s="188">
        <f>opex_orig!$AC136</f>
        <v>6.6282191227511999E-4</v>
      </c>
      <c r="AF136" s="188">
        <f>opex_orig!$AD136</f>
        <v>1.1938653550007199E-3</v>
      </c>
      <c r="AG136" s="188">
        <f>opex_orig!$AD136</f>
        <v>1.1938653550007199E-3</v>
      </c>
      <c r="AH136" s="188">
        <f>opex_orig!$AD136</f>
        <v>1.1938653550007199E-3</v>
      </c>
      <c r="AI136" s="188">
        <f>opex_orig!AE136</f>
        <v>1.090852E-3</v>
      </c>
      <c r="AJ136" s="188">
        <f>opex_orig!AF136</f>
        <v>4.0592170000000004E-3</v>
      </c>
      <c r="AK136" s="188">
        <f>opex_orig!AG136</f>
        <v>4.2586499999999999E-4</v>
      </c>
      <c r="AL136" s="188">
        <f>opex_orig!AH136</f>
        <v>8.4359099999999998E-4</v>
      </c>
      <c r="AM136" s="188">
        <f>opex_orig!AI136</f>
        <v>1.66092E-3</v>
      </c>
      <c r="AN136" s="188">
        <f>opex_orig!AJ136</f>
        <v>1.091358E-3</v>
      </c>
      <c r="AO136" s="188">
        <f>opex_orig!AK136</f>
        <v>1.198632E-3</v>
      </c>
      <c r="AP136" s="188">
        <f>opex_orig!$AL136</f>
        <v>1.0408441900777699E-3</v>
      </c>
      <c r="AQ136" s="188">
        <f>opex_orig!$AL136</f>
        <v>1.0408441900777699E-3</v>
      </c>
      <c r="AR136" s="188">
        <f>opex_orig!$AL136</f>
        <v>1.0408441900777699E-3</v>
      </c>
      <c r="AS136" s="188">
        <f>opex_orig!$AM136</f>
        <v>9.7633186542052895E-4</v>
      </c>
      <c r="AT136" s="188">
        <f>opex_orig!AN136</f>
        <v>2.3786800000000002E-3</v>
      </c>
      <c r="AU136" s="188">
        <f>opex_orig!$AO136</f>
        <v>2.5564109694789999E-4</v>
      </c>
      <c r="AV136" s="188">
        <f>opex_orig!$AO136</f>
        <v>2.5564109694789999E-4</v>
      </c>
      <c r="AW136" s="188">
        <f>opex_orig!$AO136</f>
        <v>2.5564109694789999E-4</v>
      </c>
      <c r="AX136" s="188">
        <f>opex_orig!$AP136</f>
        <v>3.0576479487317301E-4</v>
      </c>
      <c r="AY136" s="188">
        <f>opex_orig!AQ136</f>
        <v>5.38643E-4</v>
      </c>
      <c r="AZ136" s="188">
        <f>opex_orig!AR136</f>
        <v>0</v>
      </c>
      <c r="BA136" s="188">
        <f>opex_orig!AS136</f>
        <v>3.1528699999999998E-4</v>
      </c>
      <c r="BB136" s="188">
        <f>opex_orig!AT136</f>
        <v>3.22329E-4</v>
      </c>
      <c r="BC136" s="188">
        <f>opex_orig!AU136</f>
        <v>6.9800000000000003E-5</v>
      </c>
      <c r="BD136" s="188">
        <f>opex_orig!AV136</f>
        <v>5.8199999999999998E-5</v>
      </c>
      <c r="BE136" s="188">
        <f>opex_orig!AW136</f>
        <v>2.2099199999999999E-4</v>
      </c>
      <c r="BF136" s="188">
        <f>opex_orig!AX136</f>
        <v>0</v>
      </c>
      <c r="BG136" s="188">
        <f>opex_orig!AY136</f>
        <v>5.2748300000000003E-4</v>
      </c>
      <c r="BH136" s="188">
        <f>opex_orig!AZ136</f>
        <v>0</v>
      </c>
      <c r="BI136" s="188">
        <f>opex_orig!BA136</f>
        <v>5.1469299999999999E-4</v>
      </c>
      <c r="BJ136" s="188">
        <f>opex_orig!BB136</f>
        <v>5.2769299999999998E-4</v>
      </c>
      <c r="BK136" s="188">
        <f>opex_orig!BC136</f>
        <v>3.919329E-3</v>
      </c>
      <c r="BL136" s="188">
        <f>opex_orig!BD136</f>
        <v>0.100960508</v>
      </c>
      <c r="BM136" s="188">
        <f>opex_orig!BE136</f>
        <v>4.5373389999999996E-3</v>
      </c>
      <c r="BN136" s="188">
        <f>opex_orig!BF136</f>
        <v>1.3795859999999999E-3</v>
      </c>
      <c r="BO136" s="188">
        <f>opex_orig!BG136</f>
        <v>2.506604E-3</v>
      </c>
      <c r="BP136" s="354">
        <f>opex_concordance!M103</f>
        <v>3.2054804537612583E-3</v>
      </c>
      <c r="BQ136" s="354">
        <f>opex_concordance!M146</f>
        <v>2.105763648697074E-3</v>
      </c>
      <c r="BR136" s="188">
        <f>opex_orig!BI136</f>
        <v>3.6133139999999998E-3</v>
      </c>
      <c r="BS136" s="188">
        <f>opex_orig!BJ136</f>
        <v>2.533488E-3</v>
      </c>
      <c r="BT136" s="188">
        <f>opex_orig!BK136</f>
        <v>2.1084799999999998E-3</v>
      </c>
      <c r="BU136" s="188">
        <f>opex_orig!BL136</f>
        <v>0</v>
      </c>
      <c r="BV136" s="27">
        <f>opex_orig!BM136</f>
        <v>1.9617939705464799E-3</v>
      </c>
      <c r="BW136" s="27">
        <f>opex_orig!BN136</f>
        <v>1.1213775237672401E-3</v>
      </c>
      <c r="BX136" s="27">
        <f>opex_orig!BO136</f>
        <v>9.9799791070215109E-4</v>
      </c>
      <c r="BY136" s="27">
        <f>opex_orig!BP136</f>
        <v>8.3541995756067897E-4</v>
      </c>
      <c r="BZ136" s="27">
        <f>opex_orig!BQ136</f>
        <v>6.80213761210968E-4</v>
      </c>
      <c r="CA136" s="27">
        <f>opex_orig!BR136</f>
        <v>1.68380714826097E-3</v>
      </c>
      <c r="CB136" s="27">
        <f>opex_orig!BS136</f>
        <v>6.2290463151473002E-4</v>
      </c>
      <c r="CC136" s="27">
        <f>opex_orig!BT136</f>
        <v>2.5822555188074799E-3</v>
      </c>
      <c r="CD136" s="27">
        <f>opex_orig!BU136</f>
        <v>9.70932418694744E-5</v>
      </c>
      <c r="CE136" s="27">
        <f>opex_orig!BV136</f>
        <v>9.7093241869474495E-5</v>
      </c>
      <c r="CF136" s="27">
        <f>opex_orig!BW136</f>
        <v>4.3338343501535901E-3</v>
      </c>
      <c r="CG136" s="27">
        <f>opex_orig!BX136</f>
        <v>4.1902666300105103E-5</v>
      </c>
      <c r="CH136" s="27">
        <f>opex_orig!BY136</f>
        <v>1.0842155558097401E-4</v>
      </c>
      <c r="CI136" s="27">
        <f>opex_orig!Y136</f>
        <v>1.9809999999999999E-4</v>
      </c>
      <c r="CJ136" s="27">
        <f>opex_orig!Z136</f>
        <v>9.6736900000000004E-4</v>
      </c>
      <c r="CK136" s="27">
        <f>opex_orig!AA136</f>
        <v>1.1357159999999999E-3</v>
      </c>
      <c r="CL136" s="27">
        <f>opex_orig!AB136</f>
        <v>1.4960155830675499E-4</v>
      </c>
      <c r="CM136" s="27">
        <f>opex_orig!AC136</f>
        <v>6.6282191227511999E-4</v>
      </c>
      <c r="CN136" s="27">
        <f>opex_orig!AD136</f>
        <v>1.1938653550007199E-3</v>
      </c>
      <c r="CO136" s="27">
        <f>opex_orig!AE136</f>
        <v>1.090852E-3</v>
      </c>
      <c r="CP136" s="27">
        <f>opex_orig!AF136</f>
        <v>4.0592170000000004E-3</v>
      </c>
    </row>
    <row r="137" spans="1:94" x14ac:dyDescent="0.25">
      <c r="A137" s="5" t="s">
        <v>265</v>
      </c>
      <c r="B137" s="2" t="s">
        <v>264</v>
      </c>
      <c r="C137" s="1" t="s">
        <v>335</v>
      </c>
      <c r="D137" s="188">
        <f>opex_orig!D137</f>
        <v>5.7319300000000005E-4</v>
      </c>
      <c r="E137" s="188">
        <f>opex_orig!E137</f>
        <v>5.8499999999999999E-5</v>
      </c>
      <c r="F137" s="188">
        <f>opex_orig!F137</f>
        <v>3.9199999999999997E-5</v>
      </c>
      <c r="G137" s="188">
        <f>opex_orig!G137</f>
        <v>2.0000000000000002E-5</v>
      </c>
      <c r="H137" s="188">
        <f>opex_orig!H137</f>
        <v>1.2099999999999999E-5</v>
      </c>
      <c r="I137" s="188">
        <f>opex_orig!I137</f>
        <v>5.8300000000000001E-5</v>
      </c>
      <c r="J137" s="188">
        <f>opex_orig!J137</f>
        <v>2.8076000000000002E-4</v>
      </c>
      <c r="K137" s="188">
        <f>opex_orig!K137</f>
        <v>1.7099999999999999E-5</v>
      </c>
      <c r="L137" s="188">
        <f>opex_orig!L137</f>
        <v>2.4057899999999999E-4</v>
      </c>
      <c r="M137" s="188">
        <f>opex_orig!M137</f>
        <v>2.7142900000000001E-4</v>
      </c>
      <c r="N137" s="188">
        <f>opex_orig!N137</f>
        <v>2.9870999999999999E-4</v>
      </c>
      <c r="O137" s="188">
        <f>opex_orig!O137</f>
        <v>2.7596600000000002E-3</v>
      </c>
      <c r="P137" s="188">
        <f>opex_orig!P137</f>
        <v>1.175836E-3</v>
      </c>
      <c r="Q137" s="188">
        <f>opex_orig!Q137</f>
        <v>7.7000000000000001E-5</v>
      </c>
      <c r="R137" s="188">
        <f>opex_orig!R137</f>
        <v>7.2100000000000004E-5</v>
      </c>
      <c r="S137" s="188">
        <f>opex_orig!S137</f>
        <v>5.5600000000000003E-5</v>
      </c>
      <c r="T137" s="188">
        <f>opex_orig!T137</f>
        <v>6.0999999999999999E-5</v>
      </c>
      <c r="U137" s="188">
        <f>opex_orig!U137</f>
        <v>5.6799999999999998E-5</v>
      </c>
      <c r="V137" s="188">
        <f>opex_orig!V137</f>
        <v>6.7299999999999996E-5</v>
      </c>
      <c r="W137" s="188">
        <f>opex_orig!W137</f>
        <v>4.3900000000000003E-5</v>
      </c>
      <c r="X137" s="188">
        <f>opex_orig!X137</f>
        <v>1.05241E-4</v>
      </c>
      <c r="Y137" s="188">
        <f>opex_orig!Y137</f>
        <v>6.9900000000000005E-5</v>
      </c>
      <c r="Z137" s="188">
        <f>opex_orig!Z137</f>
        <v>4.56732E-4</v>
      </c>
      <c r="AA137" s="188">
        <f>opex_orig!AA137</f>
        <v>1.38341E-4</v>
      </c>
      <c r="AB137" s="188">
        <f>opex_orig!$AB137</f>
        <v>3.0303699308794999E-5</v>
      </c>
      <c r="AC137" s="188">
        <f>opex_orig!$AB137</f>
        <v>3.0303699308794999E-5</v>
      </c>
      <c r="AD137" s="188">
        <f>opex_orig!$AB137</f>
        <v>3.0303699308794999E-5</v>
      </c>
      <c r="AE137" s="188">
        <f>opex_orig!$AC137</f>
        <v>4.3149265432748798E-4</v>
      </c>
      <c r="AF137" s="188">
        <f>opex_orig!$AD137</f>
        <v>1.6469590935389801E-3</v>
      </c>
      <c r="AG137" s="188">
        <f>opex_orig!$AD137</f>
        <v>1.6469590935389801E-3</v>
      </c>
      <c r="AH137" s="188">
        <f>opex_orig!$AD137</f>
        <v>1.6469590935389801E-3</v>
      </c>
      <c r="AI137" s="188">
        <f>opex_orig!AE137</f>
        <v>1.480299E-3</v>
      </c>
      <c r="AJ137" s="188">
        <f>opex_orig!AF137</f>
        <v>2.7584340000000001E-3</v>
      </c>
      <c r="AK137" s="188">
        <f>opex_orig!AG137</f>
        <v>3.2134600000000002E-4</v>
      </c>
      <c r="AL137" s="188">
        <f>opex_orig!AH137</f>
        <v>2.05606E-4</v>
      </c>
      <c r="AM137" s="188">
        <f>opex_orig!AI137</f>
        <v>2.1553499999999999E-4</v>
      </c>
      <c r="AN137" s="188">
        <f>opex_orig!AJ137</f>
        <v>8.9245500000000001E-4</v>
      </c>
      <c r="AO137" s="188">
        <f>opex_orig!AK137</f>
        <v>8.5972100000000003E-4</v>
      </c>
      <c r="AP137" s="188">
        <f>opex_orig!$AL137</f>
        <v>8.8470407843702298E-4</v>
      </c>
      <c r="AQ137" s="188">
        <f>opex_orig!$AL137</f>
        <v>8.8470407843702298E-4</v>
      </c>
      <c r="AR137" s="188">
        <f>opex_orig!$AL137</f>
        <v>8.8470407843702298E-4</v>
      </c>
      <c r="AS137" s="188">
        <f>opex_orig!$AM137</f>
        <v>8.4283152749599604E-4</v>
      </c>
      <c r="AT137" s="188">
        <f>opex_orig!AN137</f>
        <v>1.5827300000000001E-3</v>
      </c>
      <c r="AU137" s="188">
        <f>opex_orig!$AO137</f>
        <v>2.1720555973695499E-4</v>
      </c>
      <c r="AV137" s="188">
        <f>opex_orig!$AO137</f>
        <v>2.1720555973695499E-4</v>
      </c>
      <c r="AW137" s="188">
        <f>opex_orig!$AO137</f>
        <v>2.1720555973695499E-4</v>
      </c>
      <c r="AX137" s="188">
        <f>opex_orig!$AP137</f>
        <v>2.5843160810165599E-4</v>
      </c>
      <c r="AY137" s="188">
        <f>opex_orig!AQ137</f>
        <v>1.82616E-4</v>
      </c>
      <c r="AZ137" s="188">
        <f>opex_orig!AR137</f>
        <v>0</v>
      </c>
      <c r="BA137" s="188">
        <f>opex_orig!AS137</f>
        <v>1.8246000000000001E-4</v>
      </c>
      <c r="BB137" s="188">
        <f>opex_orig!AT137</f>
        <v>1.8984399999999999E-4</v>
      </c>
      <c r="BC137" s="188">
        <f>opex_orig!AU137</f>
        <v>2.9300000000000001E-5</v>
      </c>
      <c r="BD137" s="188">
        <f>opex_orig!AV137</f>
        <v>2.2799999999999999E-5</v>
      </c>
      <c r="BE137" s="188">
        <f>opex_orig!AW137</f>
        <v>7.8100000000000001E-5</v>
      </c>
      <c r="BF137" s="188">
        <f>opex_orig!AX137</f>
        <v>0</v>
      </c>
      <c r="BG137" s="188">
        <f>opex_orig!AY137</f>
        <v>8.3499999999999997E-5</v>
      </c>
      <c r="BH137" s="188">
        <f>opex_orig!AZ137</f>
        <v>0</v>
      </c>
      <c r="BI137" s="188">
        <f>opex_orig!BA137</f>
        <v>1.08007E-4</v>
      </c>
      <c r="BJ137" s="188">
        <f>opex_orig!BB137</f>
        <v>1.29276E-4</v>
      </c>
      <c r="BK137" s="188">
        <f>opex_orig!BC137</f>
        <v>2.1430920000000001E-3</v>
      </c>
      <c r="BL137" s="188">
        <f>opex_orig!BD137</f>
        <v>1.17102E-4</v>
      </c>
      <c r="BM137" s="188">
        <f>opex_orig!BE137</f>
        <v>9.1799999999999995E-5</v>
      </c>
      <c r="BN137" s="188">
        <f>opex_orig!BF137</f>
        <v>1.3837019999999999E-3</v>
      </c>
      <c r="BO137" s="188">
        <f>opex_orig!BG137</f>
        <v>9.3917600000000001E-4</v>
      </c>
      <c r="BP137" s="326">
        <f>opex_concordance!M106</f>
        <v>5.1588333605838291E-3</v>
      </c>
      <c r="BQ137" s="326">
        <f>opex_concordance!M149</f>
        <v>3.4290432752436704E-3</v>
      </c>
      <c r="BR137" s="188">
        <f>opex_orig!BI137</f>
        <v>2.7759099999999999E-4</v>
      </c>
      <c r="BS137" s="188">
        <f>opex_orig!BJ137</f>
        <v>1.4007000000000001E-4</v>
      </c>
      <c r="BT137" s="188">
        <f>opex_orig!BK137</f>
        <v>3.6300000000000001E-5</v>
      </c>
      <c r="BU137" s="188">
        <f>opex_orig!BL137</f>
        <v>0</v>
      </c>
      <c r="BV137" s="27">
        <f>opex_orig!BM137</f>
        <v>4.6305943475033903E-5</v>
      </c>
      <c r="BW137" s="27">
        <f>opex_orig!BN137</f>
        <v>7.0516115204946305E-5</v>
      </c>
      <c r="BX137" s="27">
        <f>opex_orig!BO137</f>
        <v>2.2491688371882301E-5</v>
      </c>
      <c r="BY137" s="27">
        <f>opex_orig!BP137</f>
        <v>2.4489170962318699E-5</v>
      </c>
      <c r="BZ137" s="27">
        <f>opex_orig!BQ137</f>
        <v>2.1492293904240999E-5</v>
      </c>
      <c r="CA137" s="27">
        <f>opex_orig!BR137</f>
        <v>2.07165589363515E-5</v>
      </c>
      <c r="CB137" s="27">
        <f>opex_orig!BS137</f>
        <v>3.7762293671244497E-5</v>
      </c>
      <c r="CC137" s="27">
        <f>opex_orig!BT137</f>
        <v>3.0985933257110298E-4</v>
      </c>
      <c r="CD137" s="27">
        <f>opex_orig!BU137</f>
        <v>1.9464092928666602E-5</v>
      </c>
      <c r="CE137" s="27">
        <f>opex_orig!BV137</f>
        <v>1.94640929286667E-5</v>
      </c>
      <c r="CF137" s="27">
        <f>opex_orig!BW137</f>
        <v>2.4100716838055202E-3</v>
      </c>
      <c r="CG137" s="27">
        <f>opex_orig!BX137</f>
        <v>8.8019947467268398E-6</v>
      </c>
      <c r="CH137" s="27">
        <f>opex_orig!BY137</f>
        <v>2.4266902608108699E-5</v>
      </c>
      <c r="CI137" s="27">
        <f>opex_orig!Y137</f>
        <v>6.9900000000000005E-5</v>
      </c>
      <c r="CJ137" s="27">
        <f>opex_orig!Z137</f>
        <v>4.56732E-4</v>
      </c>
      <c r="CK137" s="27">
        <f>opex_orig!AA137</f>
        <v>1.38341E-4</v>
      </c>
      <c r="CL137" s="27">
        <f>opex_orig!AB137</f>
        <v>3.0303699308794999E-5</v>
      </c>
      <c r="CM137" s="27">
        <f>opex_orig!AC137</f>
        <v>4.3149265432748798E-4</v>
      </c>
      <c r="CN137" s="27">
        <f>opex_orig!AD137</f>
        <v>1.6469590935389801E-3</v>
      </c>
      <c r="CO137" s="27">
        <f>opex_orig!AE137</f>
        <v>1.480299E-3</v>
      </c>
      <c r="CP137" s="27">
        <f>opex_orig!AF137</f>
        <v>2.7584340000000001E-3</v>
      </c>
    </row>
    <row r="138" spans="1:94" x14ac:dyDescent="0.25">
      <c r="A138" s="5" t="s">
        <v>267</v>
      </c>
      <c r="B138" s="2" t="s">
        <v>266</v>
      </c>
      <c r="C138" s="1" t="s">
        <v>335</v>
      </c>
      <c r="D138" s="188">
        <f>opex_orig!D138</f>
        <v>0.28456901299999998</v>
      </c>
      <c r="E138" s="188">
        <f>opex_orig!E138</f>
        <v>2.6622863E-2</v>
      </c>
      <c r="F138" s="188">
        <f>opex_orig!F138</f>
        <v>1.3583289E-2</v>
      </c>
      <c r="G138" s="188">
        <f>opex_orig!G138</f>
        <v>2.139784E-3</v>
      </c>
      <c r="H138" s="188">
        <f>opex_orig!H138</f>
        <v>4.6907299999999997E-3</v>
      </c>
      <c r="I138" s="188">
        <f>opex_orig!I138</f>
        <v>2.3096483000000001E-2</v>
      </c>
      <c r="J138" s="188">
        <f>opex_orig!J138</f>
        <v>0.139136172</v>
      </c>
      <c r="K138" s="188">
        <f>opex_orig!K138</f>
        <v>7.0937159999999999E-3</v>
      </c>
      <c r="L138" s="188">
        <f>opex_orig!L138</f>
        <v>2.0290374999999999E-2</v>
      </c>
      <c r="M138" s="188">
        <f>opex_orig!M138</f>
        <v>3.6457121000000002E-2</v>
      </c>
      <c r="N138" s="188">
        <f>opex_orig!N138</f>
        <v>2.2012245999999999E-2</v>
      </c>
      <c r="O138" s="188">
        <f>opex_orig!O138</f>
        <v>0.107272519</v>
      </c>
      <c r="P138" s="188">
        <f>opex_orig!P138</f>
        <v>2.6706654999999999E-2</v>
      </c>
      <c r="Q138" s="188">
        <f>opex_orig!Q138</f>
        <v>6.0268250000000004E-3</v>
      </c>
      <c r="R138" s="188">
        <f>opex_orig!R138</f>
        <v>2.0092460000000001E-3</v>
      </c>
      <c r="S138" s="188">
        <f>opex_orig!S138</f>
        <v>9.5769380000000001E-3</v>
      </c>
      <c r="T138" s="188">
        <f>opex_orig!T138</f>
        <v>7.9459160000000008E-3</v>
      </c>
      <c r="U138" s="188">
        <f>opex_orig!U138</f>
        <v>1.2439156999999999E-2</v>
      </c>
      <c r="V138" s="188">
        <f>opex_orig!V138</f>
        <v>1.4279811E-2</v>
      </c>
      <c r="W138" s="188">
        <f>opex_orig!W138</f>
        <v>9.583421E-3</v>
      </c>
      <c r="X138" s="188">
        <f>opex_orig!X138</f>
        <v>3.7228004000000002E-2</v>
      </c>
      <c r="Y138" s="188">
        <f>opex_orig!Y138</f>
        <v>1.9970650000000001E-3</v>
      </c>
      <c r="Z138" s="188">
        <f>opex_orig!Z138</f>
        <v>7.1748560000000003E-3</v>
      </c>
      <c r="AA138" s="188">
        <f>opex_orig!AA138</f>
        <v>2.8680569999999998E-3</v>
      </c>
      <c r="AB138" s="188">
        <f>opex_orig!$AB138</f>
        <v>2.7523979603527099E-3</v>
      </c>
      <c r="AC138" s="188">
        <f>opex_orig!$AB138</f>
        <v>2.7523979603527099E-3</v>
      </c>
      <c r="AD138" s="188">
        <f>opex_orig!$AB138</f>
        <v>2.7523979603527099E-3</v>
      </c>
      <c r="AE138" s="188">
        <f>opex_orig!$AC138</f>
        <v>3.2864332707457103E-2</v>
      </c>
      <c r="AF138" s="208">
        <f>opex_concordance!$M$325</f>
        <v>4.1270669160376701E-2</v>
      </c>
      <c r="AG138" s="208">
        <f>opex_concordance!$M$361</f>
        <v>1.8288827089169398E-2</v>
      </c>
      <c r="AH138" s="208">
        <f>opex_concordance!$M$397</f>
        <v>1.4673047477296135E-2</v>
      </c>
      <c r="AI138" s="188">
        <f>opex_orig!AE138</f>
        <v>3.8156677999999999E-2</v>
      </c>
      <c r="AJ138" s="188">
        <f>opex_orig!AF138</f>
        <v>6.7545684999999994E-2</v>
      </c>
      <c r="AK138" s="188">
        <f>opex_orig!AG138</f>
        <v>1.492541E-2</v>
      </c>
      <c r="AL138" s="188">
        <f>opex_orig!AH138</f>
        <v>1.1441420000000001E-2</v>
      </c>
      <c r="AM138" s="188">
        <f>opex_orig!AI138</f>
        <v>2.4164973999999999E-2</v>
      </c>
      <c r="AN138" s="188">
        <f>opex_orig!AJ138</f>
        <v>6.0963450000000004E-3</v>
      </c>
      <c r="AO138" s="188">
        <f>opex_orig!AK138</f>
        <v>1.0751223000000001E-2</v>
      </c>
      <c r="AP138" s="208">
        <f>opex_concordance!M452</f>
        <v>1.7195063170659601E-2</v>
      </c>
      <c r="AQ138" s="208">
        <f>opex_concordance!M506</f>
        <v>1.3838424615979361E-2</v>
      </c>
      <c r="AR138" s="208">
        <f>opex_concordance!M560</f>
        <v>1.5186461680614207E-2</v>
      </c>
      <c r="AS138" s="188">
        <f>opex_orig!$AM138</f>
        <v>1.6633478857704598E-2</v>
      </c>
      <c r="AT138" s="188">
        <f>opex_orig!AN138</f>
        <v>1.7201658000000002E-2</v>
      </c>
      <c r="AU138" s="208">
        <f>opex_concordance!M569</f>
        <v>5.7703633663306999E-3</v>
      </c>
      <c r="AV138" s="208">
        <f>opex_concordance!M615</f>
        <v>5.815672866583842E-3</v>
      </c>
      <c r="AW138" s="208">
        <f>opex_concordance!M661</f>
        <v>5.1345077391726397E-3</v>
      </c>
      <c r="AX138" s="188">
        <f>opex_orig!$AP138</f>
        <v>6.9467099744618E-3</v>
      </c>
      <c r="AY138" s="188">
        <f>opex_orig!AQ138</f>
        <v>8.2253420000000001E-3</v>
      </c>
      <c r="AZ138" s="188">
        <f>opex_orig!AR138</f>
        <v>0</v>
      </c>
      <c r="BA138" s="188">
        <f>opex_orig!AS138</f>
        <v>9.1798309999999994E-3</v>
      </c>
      <c r="BB138" s="188">
        <f>opex_orig!AT138</f>
        <v>1.0108331999999999E-2</v>
      </c>
      <c r="BC138" s="188">
        <f>opex_orig!AU138</f>
        <v>1.2166810000000001E-3</v>
      </c>
      <c r="BD138" s="188">
        <f>opex_orig!AV138</f>
        <v>9.5820699999999998E-4</v>
      </c>
      <c r="BE138" s="188">
        <f>opex_orig!AW138</f>
        <v>4.3933779999999999E-3</v>
      </c>
      <c r="BF138" s="188">
        <f>opex_orig!AX138</f>
        <v>0</v>
      </c>
      <c r="BG138" s="188">
        <f>opex_orig!AY138</f>
        <v>4.797305E-3</v>
      </c>
      <c r="BH138" s="188">
        <f>opex_orig!AZ138</f>
        <v>0</v>
      </c>
      <c r="BI138" s="188">
        <f>opex_orig!BA138</f>
        <v>5.4301410000000003E-3</v>
      </c>
      <c r="BJ138" s="188">
        <f>opex_orig!BB138</f>
        <v>2.4273009000000002E-2</v>
      </c>
      <c r="BK138" s="188">
        <f>opex_orig!BC138</f>
        <v>3.1095550999999999E-2</v>
      </c>
      <c r="BL138" s="188">
        <f>opex_orig!BD138</f>
        <v>7.4830920000000002E-3</v>
      </c>
      <c r="BM138" s="188">
        <f>opex_orig!BE138</f>
        <v>1.1989088E-2</v>
      </c>
      <c r="BN138" s="188">
        <f>opex_orig!BF138</f>
        <v>4.2948730000000003E-3</v>
      </c>
      <c r="BO138" s="188">
        <f>opex_orig!BG138</f>
        <v>1.6605590999999999E-2</v>
      </c>
      <c r="BP138" s="248">
        <f>opex_concordance!M110</f>
        <v>1.5230709337231542E-2</v>
      </c>
      <c r="BQ138" s="248">
        <f>opex_concordance!M153</f>
        <v>1.3057112111632801E-2</v>
      </c>
      <c r="BR138" s="188">
        <f>opex_orig!BI138</f>
        <v>7.6245949999999996E-3</v>
      </c>
      <c r="BS138" s="188">
        <f>opex_orig!BJ138</f>
        <v>3.6045252999999999E-2</v>
      </c>
      <c r="BT138" s="188">
        <f>opex_orig!BK138</f>
        <v>6.8829160000000002E-3</v>
      </c>
      <c r="BU138" s="188">
        <f>opex_orig!BL138</f>
        <v>0</v>
      </c>
      <c r="BV138" s="27">
        <f>opex_orig!BM138</f>
        <v>1.2614634716876899E-2</v>
      </c>
      <c r="BW138" s="27">
        <f>opex_orig!BN138</f>
        <v>1.67888310715298E-2</v>
      </c>
      <c r="BX138" s="27">
        <f>opex_orig!BO138</f>
        <v>7.9455618422627702E-3</v>
      </c>
      <c r="BY138" s="27">
        <f>opex_orig!BP138</f>
        <v>7.6307150830147797E-3</v>
      </c>
      <c r="BZ138" s="27">
        <f>opex_orig!BQ138</f>
        <v>7.9956982698718808E-3</v>
      </c>
      <c r="CA138" s="27">
        <f>opex_orig!BR138</f>
        <v>1.1569284697528499E-2</v>
      </c>
      <c r="CB138" s="27">
        <f>opex_orig!BS138</f>
        <v>1.0080028698602099E-2</v>
      </c>
      <c r="CC138" s="27">
        <f>opex_orig!BT138</f>
        <v>1.5281348986481799E-2</v>
      </c>
      <c r="CD138" s="27">
        <f>opex_orig!BU138</f>
        <v>9.0722446373195601E-3</v>
      </c>
      <c r="CE138" s="27">
        <f>opex_orig!BV138</f>
        <v>9.0722446373195601E-3</v>
      </c>
      <c r="CF138" s="27">
        <f>opex_orig!BW138</f>
        <v>6.14616381630207E-2</v>
      </c>
      <c r="CG138" s="27">
        <f>opex_orig!BX138</f>
        <v>1.2390393633699101E-4</v>
      </c>
      <c r="CH138" s="27">
        <f>opex_orig!BY138</f>
        <v>1.3907558653986001E-4</v>
      </c>
      <c r="CI138" s="27">
        <f>opex_orig!Y138</f>
        <v>1.9970650000000001E-3</v>
      </c>
      <c r="CJ138" s="27">
        <f>opex_orig!Z138</f>
        <v>7.1748560000000003E-3</v>
      </c>
      <c r="CK138" s="27">
        <f>opex_orig!AA138</f>
        <v>2.8680569999999998E-3</v>
      </c>
      <c r="CL138" s="27">
        <f>opex_orig!AB138</f>
        <v>2.7523979603527099E-3</v>
      </c>
      <c r="CM138" s="27">
        <f>opex_orig!AC138</f>
        <v>3.2864332707457103E-2</v>
      </c>
      <c r="CN138" s="27">
        <f>opex_orig!AD138</f>
        <v>4.1270669160376701E-2</v>
      </c>
      <c r="CO138" s="27">
        <f>opex_orig!AE138</f>
        <v>3.8156677999999999E-2</v>
      </c>
      <c r="CP138" s="27">
        <f>opex_orig!AF138</f>
        <v>6.7545684999999994E-2</v>
      </c>
    </row>
    <row r="139" spans="1:94" x14ac:dyDescent="0.25">
      <c r="A139" s="5" t="s">
        <v>269</v>
      </c>
      <c r="B139" s="2" t="s">
        <v>268</v>
      </c>
      <c r="C139" s="1" t="s">
        <v>335</v>
      </c>
      <c r="D139" s="188">
        <f>opex_orig!D139</f>
        <v>1.6117400000000001E-4</v>
      </c>
      <c r="E139" s="188">
        <f>opex_orig!E139</f>
        <v>1.57035E-4</v>
      </c>
      <c r="F139" s="188">
        <f>opex_orig!F139</f>
        <v>8.7600000000000002E-5</v>
      </c>
      <c r="G139" s="188">
        <f>opex_orig!G139</f>
        <v>8.5199999999999997E-6</v>
      </c>
      <c r="H139" s="188">
        <f>opex_orig!H139</f>
        <v>2.2099999999999998E-5</v>
      </c>
      <c r="I139" s="188">
        <f>opex_orig!I139</f>
        <v>3.2239200000000001E-4</v>
      </c>
      <c r="J139" s="188">
        <f>opex_orig!J139</f>
        <v>3.39923E-4</v>
      </c>
      <c r="K139" s="188">
        <f>opex_orig!K139</f>
        <v>2.48E-5</v>
      </c>
      <c r="L139" s="188">
        <f>opex_orig!L139</f>
        <v>2.7365000000000001E-4</v>
      </c>
      <c r="M139" s="188">
        <f>opex_orig!M139</f>
        <v>8.7032400000000001E-4</v>
      </c>
      <c r="N139" s="188">
        <f>opex_orig!N139</f>
        <v>7.9120299999999998E-4</v>
      </c>
      <c r="O139" s="188">
        <f>opex_orig!O139</f>
        <v>1.667008E-3</v>
      </c>
      <c r="P139" s="188">
        <f>opex_orig!P139</f>
        <v>8.5979399999999999E-4</v>
      </c>
      <c r="Q139" s="188">
        <f>opex_orig!Q139</f>
        <v>6.3360399999999996E-4</v>
      </c>
      <c r="R139" s="188">
        <f>opex_orig!R139</f>
        <v>3.1119699999999998E-4</v>
      </c>
      <c r="S139" s="188">
        <f>opex_orig!S139</f>
        <v>3.0181869999999999E-3</v>
      </c>
      <c r="T139" s="188">
        <f>opex_orig!T139</f>
        <v>2.5450199999999998E-4</v>
      </c>
      <c r="U139" s="188">
        <f>opex_orig!U139</f>
        <v>1.443511E-3</v>
      </c>
      <c r="V139" s="188">
        <f>opex_orig!V139</f>
        <v>5.9446399999999995E-4</v>
      </c>
      <c r="W139" s="188">
        <f>opex_orig!W139</f>
        <v>9.4430100000000004E-4</v>
      </c>
      <c r="X139" s="188">
        <f>opex_orig!X139</f>
        <v>1.229415E-3</v>
      </c>
      <c r="Y139" s="188">
        <f>opex_orig!Y139</f>
        <v>3.0785300000000002E-4</v>
      </c>
      <c r="Z139" s="188">
        <f>opex_orig!Z139</f>
        <v>1.9781759999999999E-3</v>
      </c>
      <c r="AA139" s="188">
        <f>opex_orig!AA139</f>
        <v>1.8460690000000001E-3</v>
      </c>
      <c r="AB139" s="188">
        <f>opex_orig!$AB139</f>
        <v>5.3292914984749497E-5</v>
      </c>
      <c r="AC139" s="188">
        <f>opex_orig!$AB139</f>
        <v>5.3292914984749497E-5</v>
      </c>
      <c r="AD139" s="188">
        <f>opex_orig!$AB139</f>
        <v>5.3292914984749497E-5</v>
      </c>
      <c r="AE139" s="188">
        <f>opex_orig!$AC139</f>
        <v>1.3016700166762899E-3</v>
      </c>
      <c r="AF139" s="188">
        <f>opex_orig!$AD139</f>
        <v>4.4101454799743599E-4</v>
      </c>
      <c r="AG139" s="188">
        <f>opex_orig!$AD139</f>
        <v>4.4101454799743599E-4</v>
      </c>
      <c r="AH139" s="188">
        <f>opex_orig!$AD139</f>
        <v>4.4101454799743599E-4</v>
      </c>
      <c r="AI139" s="188">
        <f>opex_orig!AE139</f>
        <v>3.7402699999999997E-4</v>
      </c>
      <c r="AJ139" s="188">
        <f>opex_orig!AF139</f>
        <v>3.69594E-4</v>
      </c>
      <c r="AK139" s="188">
        <f>opex_orig!AG139</f>
        <v>3.7610600000000002E-4</v>
      </c>
      <c r="AL139" s="188">
        <f>opex_orig!AH139</f>
        <v>3.37144E-4</v>
      </c>
      <c r="AM139" s="188">
        <f>opex_orig!AI139</f>
        <v>8.6352499999999997E-4</v>
      </c>
      <c r="AN139" s="188">
        <f>opex_orig!AJ139</f>
        <v>8.8200000000000003E-5</v>
      </c>
      <c r="AO139" s="188">
        <f>opex_orig!AK139</f>
        <v>1.80228E-4</v>
      </c>
      <c r="AP139" s="188">
        <f>opex_orig!$AL139</f>
        <v>1.69805912048654E-4</v>
      </c>
      <c r="AQ139" s="188">
        <f>opex_orig!$AL139</f>
        <v>1.69805912048654E-4</v>
      </c>
      <c r="AR139" s="188">
        <f>opex_orig!$AL139</f>
        <v>1.69805912048654E-4</v>
      </c>
      <c r="AS139" s="188">
        <f>opex_orig!$AM139</f>
        <v>1.54710973948073E-4</v>
      </c>
      <c r="AT139" s="188">
        <f>opex_orig!AN139</f>
        <v>2.5228400000000003E-4</v>
      </c>
      <c r="AU139" s="188">
        <f>opex_orig!$AO139</f>
        <v>1.4302074110098001E-4</v>
      </c>
      <c r="AV139" s="188">
        <f>opex_orig!$AO139</f>
        <v>1.4302074110098001E-4</v>
      </c>
      <c r="AW139" s="188">
        <f>opex_orig!$AO139</f>
        <v>1.4302074110098001E-4</v>
      </c>
      <c r="AX139" s="188">
        <f>opex_orig!$AP139</f>
        <v>1.52776747214973E-4</v>
      </c>
      <c r="AY139" s="188">
        <f>opex_orig!AQ139</f>
        <v>2.6498899999999998E-4</v>
      </c>
      <c r="AZ139" s="188">
        <f>opex_orig!AR139</f>
        <v>0</v>
      </c>
      <c r="BA139" s="188">
        <f>opex_orig!AS139</f>
        <v>1.26E-4</v>
      </c>
      <c r="BB139" s="188">
        <f>opex_orig!AT139</f>
        <v>9.5099999999999994E-5</v>
      </c>
      <c r="BC139" s="188">
        <f>opex_orig!AU139</f>
        <v>1.00503E-4</v>
      </c>
      <c r="BD139" s="188">
        <f>opex_orig!AV139</f>
        <v>3.8600000000000003E-5</v>
      </c>
      <c r="BE139" s="188">
        <f>opex_orig!AW139</f>
        <v>1.13076E-4</v>
      </c>
      <c r="BF139" s="188">
        <f>opex_orig!AX139</f>
        <v>0</v>
      </c>
      <c r="BG139" s="188">
        <f>opex_orig!AY139</f>
        <v>1.7985000000000001E-4</v>
      </c>
      <c r="BH139" s="188">
        <f>opex_orig!AZ139</f>
        <v>0</v>
      </c>
      <c r="BI139" s="188">
        <f>opex_orig!BA139</f>
        <v>1.49753E-4</v>
      </c>
      <c r="BJ139" s="188">
        <f>opex_orig!BB139</f>
        <v>3.53529E-4</v>
      </c>
      <c r="BK139" s="188">
        <f>opex_orig!BC139</f>
        <v>3.8860499999999998E-4</v>
      </c>
      <c r="BL139" s="188">
        <f>opex_orig!BD139</f>
        <v>4.6488500000000001E-4</v>
      </c>
      <c r="BM139" s="188">
        <f>opex_orig!BE139</f>
        <v>3.3768699999999998E-4</v>
      </c>
      <c r="BN139" s="188">
        <f>opex_orig!BF139</f>
        <v>2.04487E-4</v>
      </c>
      <c r="BO139" s="188">
        <f>opex_orig!BG139</f>
        <v>6.9983000000000003E-4</v>
      </c>
      <c r="BP139" s="188">
        <f>opex_orig!$BH139</f>
        <v>3.02684636446934E-4</v>
      </c>
      <c r="BQ139" s="188">
        <f>opex_orig!$BH139</f>
        <v>3.02684636446934E-4</v>
      </c>
      <c r="BR139" s="188">
        <f>opex_orig!BI139</f>
        <v>1.1142630000000001E-3</v>
      </c>
      <c r="BS139" s="188">
        <f>opex_orig!BJ139</f>
        <v>7.1110399999999995E-4</v>
      </c>
      <c r="BT139" s="188">
        <f>opex_orig!BK139</f>
        <v>1.7485720000000001E-3</v>
      </c>
      <c r="BU139" s="188">
        <f>opex_orig!BL139</f>
        <v>0</v>
      </c>
      <c r="BV139" s="27">
        <f>opex_orig!BM139</f>
        <v>4.19567624319692E-4</v>
      </c>
      <c r="BW139" s="27">
        <f>opex_orig!BN139</f>
        <v>1.82776473926188E-3</v>
      </c>
      <c r="BX139" s="27">
        <f>opex_orig!BO139</f>
        <v>1.2334401553297099E-4</v>
      </c>
      <c r="BY139" s="27">
        <f>opex_orig!BP139</f>
        <v>4.3510606340114598E-4</v>
      </c>
      <c r="BZ139" s="27">
        <f>opex_orig!BQ139</f>
        <v>2.0580948192420399E-4</v>
      </c>
      <c r="CA139" s="27">
        <f>opex_orig!BR139</f>
        <v>1.7042890316509699E-3</v>
      </c>
      <c r="CB139" s="27">
        <f>opex_orig!BS139</f>
        <v>9.6921718949433599E-4</v>
      </c>
      <c r="CC139" s="27">
        <f>opex_orig!BT139</f>
        <v>3.8031371422002499E-4</v>
      </c>
      <c r="CD139" s="27">
        <f>opex_orig!BU139</f>
        <v>1.5169185065842599E-4</v>
      </c>
      <c r="CE139" s="27">
        <f>opex_orig!BV139</f>
        <v>1.5169185065842699E-4</v>
      </c>
      <c r="CF139" s="27">
        <f>opex_orig!BW139</f>
        <v>1.3569121697856799E-3</v>
      </c>
      <c r="CG139" s="27">
        <f>opex_orig!BX139</f>
        <v>1.6135417053105101E-5</v>
      </c>
      <c r="CH139" s="27">
        <f>opex_orig!BY139</f>
        <v>7.1914509364717402E-6</v>
      </c>
      <c r="CI139" s="27">
        <f>opex_orig!Y139</f>
        <v>3.0785300000000002E-4</v>
      </c>
      <c r="CJ139" s="27">
        <f>opex_orig!Z139</f>
        <v>1.9781759999999999E-3</v>
      </c>
      <c r="CK139" s="27">
        <f>opex_orig!AA139</f>
        <v>1.8460690000000001E-3</v>
      </c>
      <c r="CL139" s="27">
        <f>opex_orig!AB139</f>
        <v>5.3292914984749497E-5</v>
      </c>
      <c r="CM139" s="27">
        <f>opex_orig!AC139</f>
        <v>1.3016700166762899E-3</v>
      </c>
      <c r="CN139" s="27">
        <f>opex_orig!AD139</f>
        <v>4.4101454799743599E-4</v>
      </c>
      <c r="CO139" s="27">
        <f>opex_orig!AE139</f>
        <v>3.7402699999999997E-4</v>
      </c>
      <c r="CP139" s="27">
        <f>opex_orig!AF139</f>
        <v>3.69594E-4</v>
      </c>
    </row>
    <row r="140" spans="1:94" x14ac:dyDescent="0.25">
      <c r="A140" s="5" t="s">
        <v>271</v>
      </c>
      <c r="B140" s="2" t="s">
        <v>270</v>
      </c>
      <c r="C140" s="1" t="s">
        <v>335</v>
      </c>
      <c r="D140" s="188">
        <f>opex_orig!D140</f>
        <v>1.64289E-4</v>
      </c>
      <c r="E140" s="188">
        <f>opex_orig!E140</f>
        <v>3.0300000000000001E-5</v>
      </c>
      <c r="F140" s="188">
        <f>opex_orig!F140</f>
        <v>3.7599999999999999E-5</v>
      </c>
      <c r="G140" s="188">
        <f>opex_orig!G140</f>
        <v>2.7300000000000001E-6</v>
      </c>
      <c r="H140" s="188">
        <f>opex_orig!H140</f>
        <v>6.1700000000000002E-6</v>
      </c>
      <c r="I140" s="188">
        <f>opex_orig!I140</f>
        <v>4.6600000000000001E-5</v>
      </c>
      <c r="J140" s="188">
        <f>opex_orig!J140</f>
        <v>1.0724E-4</v>
      </c>
      <c r="K140" s="188">
        <f>opex_orig!K140</f>
        <v>7.0899999999999999E-6</v>
      </c>
      <c r="L140" s="188">
        <f>opex_orig!L140</f>
        <v>5.77E-5</v>
      </c>
      <c r="M140" s="188">
        <f>opex_orig!M140</f>
        <v>2.1648500000000001E-4</v>
      </c>
      <c r="N140" s="188">
        <f>opex_orig!N140</f>
        <v>1.96498E-4</v>
      </c>
      <c r="O140" s="188">
        <f>opex_orig!O140</f>
        <v>2.24513E-4</v>
      </c>
      <c r="P140" s="188">
        <f>opex_orig!P140</f>
        <v>7.1500000000000003E-5</v>
      </c>
      <c r="Q140" s="188">
        <f>opex_orig!Q140</f>
        <v>9.7399999999999999E-6</v>
      </c>
      <c r="R140" s="188">
        <f>opex_orig!R140</f>
        <v>1.8300000000000001E-5</v>
      </c>
      <c r="S140" s="188">
        <f>opex_orig!S140</f>
        <v>6.3E-5</v>
      </c>
      <c r="T140" s="188">
        <f>opex_orig!T140</f>
        <v>6.9099999999999999E-5</v>
      </c>
      <c r="U140" s="188">
        <f>opex_orig!U140</f>
        <v>4.99E-5</v>
      </c>
      <c r="V140" s="188">
        <f>opex_orig!V140</f>
        <v>6.4300000000000004E-5</v>
      </c>
      <c r="W140" s="188">
        <f>opex_orig!W140</f>
        <v>1.5815299999999999E-4</v>
      </c>
      <c r="X140" s="188">
        <f>opex_orig!X140</f>
        <v>3.4775300000000002E-4</v>
      </c>
      <c r="Y140" s="188">
        <f>opex_orig!Y140</f>
        <v>1.03E-5</v>
      </c>
      <c r="Z140" s="188">
        <f>opex_orig!Z140</f>
        <v>8.4800000000000001E-5</v>
      </c>
      <c r="AA140" s="188">
        <f>opex_orig!AA140</f>
        <v>3.79E-5</v>
      </c>
      <c r="AB140" s="188">
        <f>opex_orig!$AB140</f>
        <v>7.7391153840255593E-6</v>
      </c>
      <c r="AC140" s="188">
        <f>opex_orig!$AB140</f>
        <v>7.7391153840255593E-6</v>
      </c>
      <c r="AD140" s="188">
        <f>opex_orig!$AB140</f>
        <v>7.7391153840255593E-6</v>
      </c>
      <c r="AE140" s="188">
        <f>opex_orig!$AC140</f>
        <v>8.1167824764465197E-5</v>
      </c>
      <c r="AF140" s="188">
        <f>opex_orig!$AD140</f>
        <v>6.0249276851774801E-5</v>
      </c>
      <c r="AG140" s="188">
        <f>opex_orig!$AD140</f>
        <v>6.0249276851774801E-5</v>
      </c>
      <c r="AH140" s="188">
        <f>opex_orig!$AD140</f>
        <v>6.0249276851774801E-5</v>
      </c>
      <c r="AI140" s="188">
        <f>opex_orig!AE140</f>
        <v>5.3499999999999999E-5</v>
      </c>
      <c r="AJ140" s="188">
        <f>opex_orig!AF140</f>
        <v>2.26608E-4</v>
      </c>
      <c r="AK140" s="188">
        <f>opex_orig!AG140</f>
        <v>4.5200000000000001E-5</v>
      </c>
      <c r="AL140" s="188">
        <f>opex_orig!AH140</f>
        <v>1.2500000000000001E-5</v>
      </c>
      <c r="AM140" s="188">
        <f>opex_orig!AI140</f>
        <v>2.5899999999999999E-5</v>
      </c>
      <c r="AN140" s="188">
        <f>opex_orig!AJ140</f>
        <v>2.2500000000000001E-5</v>
      </c>
      <c r="AO140" s="188">
        <f>opex_orig!AK140</f>
        <v>2.19E-5</v>
      </c>
      <c r="AP140" s="188">
        <f>opex_orig!$AL140</f>
        <v>2.24671836341656E-5</v>
      </c>
      <c r="AQ140" s="188">
        <f>opex_orig!$AL140</f>
        <v>2.24671836341656E-5</v>
      </c>
      <c r="AR140" s="188">
        <f>opex_orig!$AL140</f>
        <v>2.24671836341656E-5</v>
      </c>
      <c r="AS140" s="188">
        <f>opex_orig!$AM140</f>
        <v>2.2997510643762799E-5</v>
      </c>
      <c r="AT140" s="188">
        <f>opex_orig!AN140</f>
        <v>3.5299999999999997E-5</v>
      </c>
      <c r="AU140" s="188">
        <f>opex_orig!$AO140</f>
        <v>1.20258121022864E-4</v>
      </c>
      <c r="AV140" s="188">
        <f>opex_orig!$AO140</f>
        <v>1.20258121022864E-4</v>
      </c>
      <c r="AW140" s="188">
        <f>opex_orig!$AO140</f>
        <v>1.20258121022864E-4</v>
      </c>
      <c r="AX140" s="188">
        <f>opex_orig!$AP140</f>
        <v>1.22085882460346E-4</v>
      </c>
      <c r="AY140" s="188">
        <f>opex_orig!AQ140</f>
        <v>3.1442599999999997E-4</v>
      </c>
      <c r="AZ140" s="188">
        <f>opex_orig!AR140</f>
        <v>0</v>
      </c>
      <c r="BA140" s="188">
        <f>opex_orig!AS140</f>
        <v>8.8999999999999995E-5</v>
      </c>
      <c r="BB140" s="188">
        <f>opex_orig!AT140</f>
        <v>8.7700000000000004E-5</v>
      </c>
      <c r="BC140" s="188">
        <f>opex_orig!AU140</f>
        <v>1.0200000000000001E-5</v>
      </c>
      <c r="BD140" s="188">
        <f>opex_orig!AV140</f>
        <v>7.1999999999999997E-6</v>
      </c>
      <c r="BE140" s="188">
        <f>opex_orig!AW140</f>
        <v>8.14E-5</v>
      </c>
      <c r="BF140" s="188">
        <f>opex_orig!AX140</f>
        <v>0</v>
      </c>
      <c r="BG140" s="188">
        <f>opex_orig!AY140</f>
        <v>3.4490200000000001E-4</v>
      </c>
      <c r="BH140" s="188">
        <f>opex_orig!AZ140</f>
        <v>0</v>
      </c>
      <c r="BI140" s="188">
        <f>opex_orig!BA140</f>
        <v>1.1314100000000001E-4</v>
      </c>
      <c r="BJ140" s="188">
        <f>opex_orig!BB140</f>
        <v>3.7499999999999997E-5</v>
      </c>
      <c r="BK140" s="188">
        <f>opex_orig!BC140</f>
        <v>1.0773E-4</v>
      </c>
      <c r="BL140" s="188">
        <f>opex_orig!BD140</f>
        <v>1.7532800000000001E-4</v>
      </c>
      <c r="BM140" s="188">
        <f>opex_orig!BE140</f>
        <v>1.14967E-4</v>
      </c>
      <c r="BN140" s="188">
        <f>opex_orig!BF140</f>
        <v>5.5800000000000001E-5</v>
      </c>
      <c r="BO140" s="188">
        <f>opex_orig!BG140</f>
        <v>1.43425E-4</v>
      </c>
      <c r="BP140" s="188">
        <f>opex_orig!$BH140</f>
        <v>8.7925245681687799E-5</v>
      </c>
      <c r="BQ140" s="188">
        <f>opex_orig!$BH140</f>
        <v>8.7925245681687799E-5</v>
      </c>
      <c r="BR140" s="188">
        <f>opex_orig!BI140</f>
        <v>9.7100000000000002E-5</v>
      </c>
      <c r="BS140" s="188">
        <f>opex_orig!BJ140</f>
        <v>1.3857999999999999E-4</v>
      </c>
      <c r="BT140" s="188">
        <f>opex_orig!BK140</f>
        <v>1.25535E-4</v>
      </c>
      <c r="BU140" s="188">
        <f>opex_orig!BL140</f>
        <v>0</v>
      </c>
      <c r="BV140" s="27">
        <f>opex_orig!BM140</f>
        <v>1.2765948808514399E-4</v>
      </c>
      <c r="BW140" s="27">
        <f>opex_orig!BN140</f>
        <v>2.7490565031252099E-4</v>
      </c>
      <c r="BX140" s="27">
        <f>opex_orig!BO140</f>
        <v>2.9668935543952201E-5</v>
      </c>
      <c r="BY140" s="27">
        <f>opex_orig!BP140</f>
        <v>3.8887045338731097E-5</v>
      </c>
      <c r="BZ140" s="27">
        <f>opex_orig!BQ140</f>
        <v>3.0466651449050099E-5</v>
      </c>
      <c r="CA140" s="27">
        <f>opex_orig!BR140</f>
        <v>2.3599667497067599E-6</v>
      </c>
      <c r="CB140" s="27">
        <f>opex_orig!BS140</f>
        <v>1.6896071231978701E-4</v>
      </c>
      <c r="CC140" s="27">
        <f>opex_orig!BT140</f>
        <v>1.0964689490564E-5</v>
      </c>
      <c r="CD140" s="27">
        <f>opex_orig!BU140</f>
        <v>8.2993699253959595E-5</v>
      </c>
      <c r="CE140" s="27">
        <f>opex_orig!BV140</f>
        <v>8.2993699253959799E-5</v>
      </c>
      <c r="CF140" s="27">
        <f>opex_orig!BW140</f>
        <v>4.8817150702566503E-3</v>
      </c>
      <c r="CG140" s="27">
        <f>opex_orig!BX140</f>
        <v>3.2172258733394502E-6</v>
      </c>
      <c r="CH140" s="27">
        <f>opex_orig!BY140</f>
        <v>2.7845697410377499E-6</v>
      </c>
      <c r="CI140" s="27">
        <f>opex_orig!Y140</f>
        <v>1.03E-5</v>
      </c>
      <c r="CJ140" s="27">
        <f>opex_orig!Z140</f>
        <v>8.4800000000000001E-5</v>
      </c>
      <c r="CK140" s="27">
        <f>opex_orig!AA140</f>
        <v>3.79E-5</v>
      </c>
      <c r="CL140" s="27">
        <f>opex_orig!AB140</f>
        <v>7.7391153840255593E-6</v>
      </c>
      <c r="CM140" s="27">
        <f>opex_orig!AC140</f>
        <v>8.1167824764465197E-5</v>
      </c>
      <c r="CN140" s="27">
        <f>opex_orig!AD140</f>
        <v>6.0249276851774801E-5</v>
      </c>
      <c r="CO140" s="27">
        <f>opex_orig!AE140</f>
        <v>5.3499999999999999E-5</v>
      </c>
      <c r="CP140" s="27">
        <f>opex_orig!AF140</f>
        <v>2.26608E-4</v>
      </c>
    </row>
    <row r="141" spans="1:94" x14ac:dyDescent="0.25">
      <c r="A141" s="5" t="s">
        <v>273</v>
      </c>
      <c r="B141" s="2" t="s">
        <v>272</v>
      </c>
      <c r="C141" s="1" t="s">
        <v>335</v>
      </c>
      <c r="D141" s="188">
        <f>opex_orig!D141</f>
        <v>1.45E-5</v>
      </c>
      <c r="E141" s="188">
        <f>opex_orig!E141</f>
        <v>5.3700000000000003E-6</v>
      </c>
      <c r="F141" s="188">
        <f>opex_orig!F141</f>
        <v>1.63E-5</v>
      </c>
      <c r="G141" s="188">
        <f>opex_orig!G141</f>
        <v>5.5899999999999996E-7</v>
      </c>
      <c r="H141" s="188">
        <f>opex_orig!H141</f>
        <v>7.8199999999999999E-7</v>
      </c>
      <c r="I141" s="188">
        <f>opex_orig!I141</f>
        <v>9.4599999999999992E-6</v>
      </c>
      <c r="J141" s="188">
        <f>opex_orig!J141</f>
        <v>2.69E-5</v>
      </c>
      <c r="K141" s="188">
        <f>opex_orig!K141</f>
        <v>1.0899999999999999E-6</v>
      </c>
      <c r="L141" s="188">
        <f>opex_orig!L141</f>
        <v>2.76E-5</v>
      </c>
      <c r="M141" s="188">
        <f>opex_orig!M141</f>
        <v>3.2400000000000001E-5</v>
      </c>
      <c r="N141" s="188">
        <f>opex_orig!N141</f>
        <v>1.6900000000000001E-5</v>
      </c>
      <c r="O141" s="188">
        <f>opex_orig!O141</f>
        <v>3.8999999999999999E-5</v>
      </c>
      <c r="P141" s="188">
        <f>opex_orig!P141</f>
        <v>2.4300000000000001E-5</v>
      </c>
      <c r="Q141" s="188">
        <f>opex_orig!Q141</f>
        <v>2.4700000000000001E-5</v>
      </c>
      <c r="R141" s="188">
        <f>opex_orig!R141</f>
        <v>7.1600000000000001E-6</v>
      </c>
      <c r="S141" s="188">
        <f>opex_orig!S141</f>
        <v>9.4199999999999996E-6</v>
      </c>
      <c r="T141" s="188">
        <f>opex_orig!T141</f>
        <v>1.0699999999999999E-5</v>
      </c>
      <c r="U141" s="188">
        <f>opex_orig!U141</f>
        <v>1.2999999999999999E-5</v>
      </c>
      <c r="V141" s="188">
        <f>opex_orig!V141</f>
        <v>1.3699999999999999E-5</v>
      </c>
      <c r="W141" s="188">
        <f>opex_orig!W141</f>
        <v>1.3200000000000001E-5</v>
      </c>
      <c r="X141" s="188">
        <f>opex_orig!X141</f>
        <v>1.7399999999999999E-5</v>
      </c>
      <c r="Y141" s="188">
        <f>opex_orig!Y141</f>
        <v>1.2999999999999999E-5</v>
      </c>
      <c r="Z141" s="188">
        <f>opex_orig!Z141</f>
        <v>4.2700000000000001E-5</v>
      </c>
      <c r="AA141" s="188">
        <f>opex_orig!AA141</f>
        <v>5.5000000000000002E-5</v>
      </c>
      <c r="AB141" s="188">
        <f>opex_orig!$AB141</f>
        <v>1.0000365215506399E-5</v>
      </c>
      <c r="AC141" s="188">
        <f>opex_orig!$AB141</f>
        <v>1.0000365215506399E-5</v>
      </c>
      <c r="AD141" s="188">
        <f>opex_orig!$AB141</f>
        <v>1.0000365215506399E-5</v>
      </c>
      <c r="AE141" s="188">
        <f>opex_orig!$AC141</f>
        <v>1.0308235224472701E-5</v>
      </c>
      <c r="AF141" s="188">
        <f>opex_orig!$AD141</f>
        <v>1.18728989322633E-5</v>
      </c>
      <c r="AG141" s="188">
        <f>opex_orig!$AD141</f>
        <v>1.18728989322633E-5</v>
      </c>
      <c r="AH141" s="188">
        <f>opex_orig!$AD141</f>
        <v>1.18728989322633E-5</v>
      </c>
      <c r="AI141" s="188">
        <f>opex_orig!AE141</f>
        <v>1.0499999999999999E-5</v>
      </c>
      <c r="AJ141" s="188">
        <f>opex_orig!AF141</f>
        <v>3.0836500000000001E-4</v>
      </c>
      <c r="AK141" s="188">
        <f>opex_orig!AG141</f>
        <v>9.1500000000000005E-6</v>
      </c>
      <c r="AL141" s="188">
        <f>opex_orig!AH141</f>
        <v>5.6699999999999999E-6</v>
      </c>
      <c r="AM141" s="188">
        <f>opex_orig!AI141</f>
        <v>6.6599999999999998E-6</v>
      </c>
      <c r="AN141" s="188">
        <f>opex_orig!AJ141</f>
        <v>5.5799999999999999E-6</v>
      </c>
      <c r="AO141" s="188">
        <f>opex_orig!AK141</f>
        <v>7.2599999999999999E-6</v>
      </c>
      <c r="AP141" s="188">
        <f>opex_orig!$AL141</f>
        <v>6.1988308567455897E-6</v>
      </c>
      <c r="AQ141" s="188">
        <f>opex_orig!$AL141</f>
        <v>6.1988308567455897E-6</v>
      </c>
      <c r="AR141" s="188">
        <f>opex_orig!$AL141</f>
        <v>6.1988308567455897E-6</v>
      </c>
      <c r="AS141" s="188">
        <f>opex_orig!$AM141</f>
        <v>5.7574081594838301E-6</v>
      </c>
      <c r="AT141" s="188">
        <f>opex_orig!AN141</f>
        <v>9.4199999999999996E-6</v>
      </c>
      <c r="AU141" s="188">
        <f>opex_orig!$AO141</f>
        <v>9.1599806739617094E-6</v>
      </c>
      <c r="AV141" s="188">
        <f>opex_orig!$AO141</f>
        <v>9.1599806739617094E-6</v>
      </c>
      <c r="AW141" s="188">
        <f>opex_orig!$AO141</f>
        <v>9.1599806739617094E-6</v>
      </c>
      <c r="AX141" s="188">
        <f>opex_orig!$AP141</f>
        <v>7.3244227061987001E-6</v>
      </c>
      <c r="AY141" s="188">
        <f>opex_orig!AQ141</f>
        <v>5.3100000000000003E-5</v>
      </c>
      <c r="AZ141" s="188">
        <f>opex_orig!AR141</f>
        <v>0</v>
      </c>
      <c r="BA141" s="188">
        <f>opex_orig!AS141</f>
        <v>7.5800000000000003E-6</v>
      </c>
      <c r="BB141" s="188">
        <f>opex_orig!AT141</f>
        <v>6.8199999999999999E-6</v>
      </c>
      <c r="BC141" s="188">
        <f>opex_orig!AU141</f>
        <v>1.8199999999999999E-6</v>
      </c>
      <c r="BD141" s="188">
        <f>opex_orig!AV141</f>
        <v>1.5200000000000001E-6</v>
      </c>
      <c r="BE141" s="188">
        <f>opex_orig!AW141</f>
        <v>4.5000000000000001E-6</v>
      </c>
      <c r="BF141" s="188">
        <f>opex_orig!AX141</f>
        <v>0</v>
      </c>
      <c r="BG141" s="188">
        <f>opex_orig!AY141</f>
        <v>1.2999999999999999E-5</v>
      </c>
      <c r="BH141" s="188">
        <f>opex_orig!AZ141</f>
        <v>0</v>
      </c>
      <c r="BI141" s="188">
        <f>opex_orig!BA141</f>
        <v>7.5599999999999996E-6</v>
      </c>
      <c r="BJ141" s="188">
        <f>opex_orig!BB141</f>
        <v>1.03E-5</v>
      </c>
      <c r="BK141" s="188">
        <f>opex_orig!BC141</f>
        <v>1.5099999999999999E-5</v>
      </c>
      <c r="BL141" s="188">
        <f>opex_orig!BD141</f>
        <v>2.8E-5</v>
      </c>
      <c r="BM141" s="188">
        <f>opex_orig!BE141</f>
        <v>3.01E-5</v>
      </c>
      <c r="BN141" s="188">
        <f>opex_orig!BF141</f>
        <v>9.2799999999999992E-6</v>
      </c>
      <c r="BO141" s="188">
        <f>opex_orig!BG141</f>
        <v>3.6699999999999998E-5</v>
      </c>
      <c r="BP141" s="188">
        <f>opex_orig!$BH141</f>
        <v>9.9273457764468902E-6</v>
      </c>
      <c r="BQ141" s="188">
        <f>opex_orig!$BH141</f>
        <v>9.9273457764468902E-6</v>
      </c>
      <c r="BR141" s="188">
        <f>opex_orig!BI141</f>
        <v>7.0899999999999999E-6</v>
      </c>
      <c r="BS141" s="188">
        <f>opex_orig!BJ141</f>
        <v>2.1100000000000001E-5</v>
      </c>
      <c r="BT141" s="188">
        <f>opex_orig!BK141</f>
        <v>1.31E-5</v>
      </c>
      <c r="BU141" s="188">
        <f>opex_orig!BL141</f>
        <v>0</v>
      </c>
      <c r="BV141" s="27">
        <f>opex_orig!BM141</f>
        <v>1.16189935261666E-5</v>
      </c>
      <c r="BW141" s="27">
        <f>opex_orig!BN141</f>
        <v>2.87214870720668E-5</v>
      </c>
      <c r="BX141" s="27">
        <f>opex_orig!BO141</f>
        <v>6.19314847993937E-6</v>
      </c>
      <c r="BY141" s="27">
        <f>opex_orig!BP141</f>
        <v>8.7057018189532508E-6</v>
      </c>
      <c r="BZ141" s="27">
        <f>opex_orig!BQ141</f>
        <v>9.2110907310636403E-6</v>
      </c>
      <c r="CA141" s="27">
        <f>opex_orig!BR141</f>
        <v>7.69798570580495E-7</v>
      </c>
      <c r="CB141" s="27">
        <f>opex_orig!BS141</f>
        <v>1.1991599944111699E-5</v>
      </c>
      <c r="CC141" s="27">
        <f>opex_orig!BT141</f>
        <v>3.5432301612228902E-6</v>
      </c>
      <c r="CD141" s="27">
        <f>opex_orig!BU141</f>
        <v>1.4372908389005E-5</v>
      </c>
      <c r="CE141" s="27">
        <f>opex_orig!BV141</f>
        <v>1.4372908389005E-5</v>
      </c>
      <c r="CF141" s="27">
        <f>opex_orig!BW141</f>
        <v>1.1017644264690499E-5</v>
      </c>
      <c r="CG141" s="27">
        <f>opex_orig!BX141</f>
        <v>6.8123674395350903E-7</v>
      </c>
      <c r="CH141" s="27">
        <f>opex_orig!BY141</f>
        <v>1.9845224535434202E-6</v>
      </c>
      <c r="CI141" s="27">
        <f>opex_orig!Y141</f>
        <v>1.2999999999999999E-5</v>
      </c>
      <c r="CJ141" s="27">
        <f>opex_orig!Z141</f>
        <v>4.2700000000000001E-5</v>
      </c>
      <c r="CK141" s="27">
        <f>opex_orig!AA141</f>
        <v>5.5000000000000002E-5</v>
      </c>
      <c r="CL141" s="27">
        <f>opex_orig!AB141</f>
        <v>1.0000365215506399E-5</v>
      </c>
      <c r="CM141" s="27">
        <f>opex_orig!AC141</f>
        <v>1.0308235224472701E-5</v>
      </c>
      <c r="CN141" s="27">
        <f>opex_orig!AD141</f>
        <v>1.18728989322633E-5</v>
      </c>
      <c r="CO141" s="27">
        <f>opex_orig!AE141</f>
        <v>1.0499999999999999E-5</v>
      </c>
      <c r="CP141" s="27">
        <f>opex_orig!AF141</f>
        <v>3.0836500000000001E-4</v>
      </c>
    </row>
    <row r="142" spans="1:94" x14ac:dyDescent="0.25">
      <c r="A142" s="6" t="s">
        <v>275</v>
      </c>
      <c r="B142" s="2" t="s">
        <v>274</v>
      </c>
      <c r="C142" s="1" t="s">
        <v>335</v>
      </c>
      <c r="D142" s="188">
        <f>opex_orig!D142</f>
        <v>1.3050900000000001E-4</v>
      </c>
      <c r="E142" s="188">
        <f>opex_orig!E142</f>
        <v>1.1476699999999999E-4</v>
      </c>
      <c r="F142" s="188">
        <f>opex_orig!F142</f>
        <v>2.41E-5</v>
      </c>
      <c r="G142" s="188">
        <f>opex_orig!G142</f>
        <v>5.3900000000000001E-6</v>
      </c>
      <c r="H142" s="188">
        <f>opex_orig!H142</f>
        <v>9.3300000000000005E-6</v>
      </c>
      <c r="I142" s="188">
        <f>opex_orig!I142</f>
        <v>1.0521100000000001E-4</v>
      </c>
      <c r="J142" s="188">
        <f>opex_orig!J142</f>
        <v>1.33552E-4</v>
      </c>
      <c r="K142" s="188">
        <f>opex_orig!K142</f>
        <v>1.49E-5</v>
      </c>
      <c r="L142" s="188">
        <f>opex_orig!L142</f>
        <v>1.2447200000000001E-4</v>
      </c>
      <c r="M142" s="188">
        <f>opex_orig!M142</f>
        <v>3.5459899999999998E-4</v>
      </c>
      <c r="N142" s="188">
        <f>opex_orig!N142</f>
        <v>6.80706E-4</v>
      </c>
      <c r="O142" s="188">
        <f>opex_orig!O142</f>
        <v>1.9991099999999999E-4</v>
      </c>
      <c r="P142" s="188">
        <f>opex_orig!P142</f>
        <v>1.35005E-4</v>
      </c>
      <c r="Q142" s="188">
        <f>opex_orig!Q142</f>
        <v>4.5399999999999999E-5</v>
      </c>
      <c r="R142" s="188">
        <f>opex_orig!R142</f>
        <v>1.42E-5</v>
      </c>
      <c r="S142" s="188">
        <f>opex_orig!S142</f>
        <v>4.7200000000000002E-5</v>
      </c>
      <c r="T142" s="188">
        <f>opex_orig!T142</f>
        <v>3.8000000000000002E-5</v>
      </c>
      <c r="U142" s="188">
        <f>opex_orig!U142</f>
        <v>3.1648000000000001E-4</v>
      </c>
      <c r="V142" s="188">
        <f>opex_orig!V142</f>
        <v>4.5941999999999999E-4</v>
      </c>
      <c r="W142" s="188">
        <f>opex_orig!W142</f>
        <v>9.1899999999999998E-5</v>
      </c>
      <c r="X142" s="188">
        <f>opex_orig!X142</f>
        <v>4.1900000000000002E-5</v>
      </c>
      <c r="Y142" s="188">
        <f>opex_orig!Y142</f>
        <v>3.79E-5</v>
      </c>
      <c r="Z142" s="188">
        <f>opex_orig!Z142</f>
        <v>1.1189E-4</v>
      </c>
      <c r="AA142" s="188">
        <f>opex_orig!AA142</f>
        <v>4.35E-5</v>
      </c>
      <c r="AB142" s="188">
        <f>opex_orig!$AB142</f>
        <v>2.75761222642569E-5</v>
      </c>
      <c r="AC142" s="188">
        <f>opex_orig!$AB142</f>
        <v>2.75761222642569E-5</v>
      </c>
      <c r="AD142" s="188">
        <f>opex_orig!$AB142</f>
        <v>2.75761222642569E-5</v>
      </c>
      <c r="AE142" s="188">
        <f>opex_orig!$AC142</f>
        <v>2.4280199962420398E-3</v>
      </c>
      <c r="AF142" s="188">
        <f>opex_orig!$AD142</f>
        <v>7.6919425609610001E-4</v>
      </c>
      <c r="AG142" s="188">
        <f>opex_orig!$AD142</f>
        <v>7.6919425609610001E-4</v>
      </c>
      <c r="AH142" s="188">
        <f>opex_orig!$AD142</f>
        <v>7.6919425609610001E-4</v>
      </c>
      <c r="AI142" s="188">
        <f>opex_orig!AE142</f>
        <v>6.0639299999999999E-4</v>
      </c>
      <c r="AJ142" s="188">
        <f>opex_orig!AF142</f>
        <v>2.11461E-4</v>
      </c>
      <c r="AK142" s="188">
        <f>opex_orig!AG142</f>
        <v>3.96E-5</v>
      </c>
      <c r="AL142" s="188">
        <f>opex_orig!AH142</f>
        <v>4.7500000000000003E-5</v>
      </c>
      <c r="AM142" s="188">
        <f>opex_orig!AI142</f>
        <v>5.3999999999999998E-5</v>
      </c>
      <c r="AN142" s="188">
        <f>opex_orig!AJ142</f>
        <v>8.2399999999999997E-5</v>
      </c>
      <c r="AO142" s="188">
        <f>opex_orig!AK142</f>
        <v>5.0500000000000001E-5</v>
      </c>
      <c r="AP142" s="284">
        <f>opex_concordance!M426</f>
        <v>1.2337059530660499E-4</v>
      </c>
      <c r="AQ142" s="284">
        <f>opex_concordance!M480</f>
        <v>8.2020101413530735E-5</v>
      </c>
      <c r="AR142" s="284">
        <f>opex_concordance!M534</f>
        <v>0</v>
      </c>
      <c r="AS142" s="188">
        <f>opex_orig!$AM142</f>
        <v>4.98469287170518E-5</v>
      </c>
      <c r="AT142" s="188">
        <f>opex_orig!AN142</f>
        <v>1.4221000000000001E-4</v>
      </c>
      <c r="AU142" s="188">
        <f>opex_orig!$AO142</f>
        <v>1.6969731242386801E-4</v>
      </c>
      <c r="AV142" s="188">
        <f>opex_orig!$AO142</f>
        <v>1.6969731242386801E-4</v>
      </c>
      <c r="AW142" s="188">
        <f>opex_orig!$AO142</f>
        <v>1.6969731242386801E-4</v>
      </c>
      <c r="AX142" s="188">
        <f>opex_orig!$AP142</f>
        <v>2.8146858651635702E-4</v>
      </c>
      <c r="AY142" s="188">
        <f>opex_orig!AQ142</f>
        <v>3.0149400000000002E-4</v>
      </c>
      <c r="AZ142" s="188">
        <f>opex_orig!AR142</f>
        <v>0</v>
      </c>
      <c r="BA142" s="188">
        <f>opex_orig!AS142</f>
        <v>2.02401E-4</v>
      </c>
      <c r="BB142" s="188">
        <f>opex_orig!AT142</f>
        <v>1.4061999999999999E-4</v>
      </c>
      <c r="BC142" s="188">
        <f>opex_orig!AU142</f>
        <v>2.27E-5</v>
      </c>
      <c r="BD142" s="188">
        <f>opex_orig!AV142</f>
        <v>1.77E-5</v>
      </c>
      <c r="BE142" s="188">
        <f>opex_orig!AW142</f>
        <v>2.0933200000000001E-4</v>
      </c>
      <c r="BF142" s="188">
        <f>opex_orig!AX142</f>
        <v>0</v>
      </c>
      <c r="BG142" s="188">
        <f>opex_orig!AY142</f>
        <v>1.05189E-4</v>
      </c>
      <c r="BH142" s="188">
        <f>opex_orig!AZ142</f>
        <v>0</v>
      </c>
      <c r="BI142" s="188">
        <f>opex_orig!BA142</f>
        <v>1.4192799999999999E-4</v>
      </c>
      <c r="BJ142" s="188">
        <f>opex_orig!BB142</f>
        <v>2.0523300000000001E-4</v>
      </c>
      <c r="BK142" s="188">
        <f>opex_orig!BC142</f>
        <v>3.3018499999999998E-4</v>
      </c>
      <c r="BL142" s="188">
        <f>opex_orig!BD142</f>
        <v>2.2500000000000001E-5</v>
      </c>
      <c r="BM142" s="188">
        <f>opex_orig!BE142</f>
        <v>5.1900000000000001E-5</v>
      </c>
      <c r="BN142" s="188">
        <f>opex_orig!BF142</f>
        <v>1.84E-5</v>
      </c>
      <c r="BO142" s="188">
        <f>opex_orig!BG142</f>
        <v>8.9599999999999996E-5</v>
      </c>
      <c r="BP142" s="188">
        <f>opex_orig!$BH142</f>
        <v>1.1153814470769501E-4</v>
      </c>
      <c r="BQ142" s="188">
        <f>opex_orig!$BH142</f>
        <v>1.1153814470769501E-4</v>
      </c>
      <c r="BR142" s="188">
        <f>opex_orig!BI142</f>
        <v>1.57243E-4</v>
      </c>
      <c r="BS142" s="188">
        <f>opex_orig!BJ142</f>
        <v>6.6600000000000006E-5</v>
      </c>
      <c r="BT142" s="188">
        <f>opex_orig!BK142</f>
        <v>2.7460800000000002E-4</v>
      </c>
      <c r="BU142" s="188">
        <f>opex_orig!BL142</f>
        <v>0</v>
      </c>
      <c r="BV142" s="27">
        <f>opex_orig!BM142</f>
        <v>1.3237033072663399E-4</v>
      </c>
      <c r="BW142" s="27">
        <f>opex_orig!BN142</f>
        <v>6.7235385602436803E-4</v>
      </c>
      <c r="BX142" s="27">
        <f>opex_orig!BO142</f>
        <v>1.3549451638241E-4</v>
      </c>
      <c r="BY142" s="27">
        <f>opex_orig!BP142</f>
        <v>5.63499419032785E-4</v>
      </c>
      <c r="BZ142" s="27">
        <f>opex_orig!BQ142</f>
        <v>6.5153000748886905E-5</v>
      </c>
      <c r="CA142" s="27">
        <f>opex_orig!BR142</f>
        <v>5.8907887144913697E-6</v>
      </c>
      <c r="CB142" s="27">
        <f>opex_orig!BS142</f>
        <v>1.5945601830570999E-4</v>
      </c>
      <c r="CC142" s="27">
        <f>opex_orig!BT142</f>
        <v>7.1595463043936703E-4</v>
      </c>
      <c r="CD142" s="27">
        <f>opex_orig!BU142</f>
        <v>7.3705015390773E-6</v>
      </c>
      <c r="CE142" s="27">
        <f>opex_orig!BV142</f>
        <v>7.3705015390773E-6</v>
      </c>
      <c r="CF142" s="27">
        <f>opex_orig!BW142</f>
        <v>1.47775754032937E-6</v>
      </c>
      <c r="CG142" s="27">
        <f>opex_orig!BX142</f>
        <v>7.1553735575872901E-6</v>
      </c>
      <c r="CH142" s="27">
        <f>opex_orig!BY142</f>
        <v>1.7497947856879199E-6</v>
      </c>
      <c r="CI142" s="27">
        <f>opex_orig!Y142</f>
        <v>3.79E-5</v>
      </c>
      <c r="CJ142" s="27">
        <f>opex_orig!Z142</f>
        <v>1.1189E-4</v>
      </c>
      <c r="CK142" s="27">
        <f>opex_orig!AA142</f>
        <v>4.35E-5</v>
      </c>
      <c r="CL142" s="27">
        <f>opex_orig!AB142</f>
        <v>2.75761222642569E-5</v>
      </c>
      <c r="CM142" s="27">
        <f>opex_orig!AC142</f>
        <v>2.4280199962420398E-3</v>
      </c>
      <c r="CN142" s="27">
        <f>opex_orig!AD142</f>
        <v>7.6919425609610001E-4</v>
      </c>
      <c r="CO142" s="27">
        <f>opex_orig!AE142</f>
        <v>6.0639299999999999E-4</v>
      </c>
      <c r="CP142" s="27">
        <f>opex_orig!AF142</f>
        <v>2.11461E-4</v>
      </c>
    </row>
    <row r="143" spans="1:94" x14ac:dyDescent="0.25">
      <c r="A143" s="6" t="s">
        <v>277</v>
      </c>
      <c r="B143" s="2" t="s">
        <v>276</v>
      </c>
      <c r="C143" s="1" t="s">
        <v>335</v>
      </c>
      <c r="D143" s="188">
        <f>opex_orig!D143</f>
        <v>1.10784E-4</v>
      </c>
      <c r="E143" s="188">
        <f>opex_orig!E143</f>
        <v>1.19021E-4</v>
      </c>
      <c r="F143" s="188">
        <f>opex_orig!F143</f>
        <v>2.3200000000000001E-5</v>
      </c>
      <c r="G143" s="188">
        <f>opex_orig!G143</f>
        <v>5.3199999999999999E-6</v>
      </c>
      <c r="H143" s="188">
        <f>opex_orig!H143</f>
        <v>9.1300000000000007E-6</v>
      </c>
      <c r="I143" s="188">
        <f>opex_orig!I143</f>
        <v>1.09349E-4</v>
      </c>
      <c r="J143" s="188">
        <f>opex_orig!J143</f>
        <v>1.14533E-4</v>
      </c>
      <c r="K143" s="188">
        <f>opex_orig!K143</f>
        <v>1.4600000000000001E-5</v>
      </c>
      <c r="L143" s="188">
        <f>opex_orig!L143</f>
        <v>1.3217099999999999E-4</v>
      </c>
      <c r="M143" s="188">
        <f>opex_orig!M143</f>
        <v>3.8090200000000002E-4</v>
      </c>
      <c r="N143" s="188">
        <f>opex_orig!N143</f>
        <v>7.2055100000000005E-4</v>
      </c>
      <c r="O143" s="188">
        <f>opex_orig!O143</f>
        <v>1.9455199999999999E-4</v>
      </c>
      <c r="P143" s="188">
        <f>opex_orig!P143</f>
        <v>1.3510099999999999E-4</v>
      </c>
      <c r="Q143" s="188">
        <f>opex_orig!Q143</f>
        <v>4.1399999999999997E-5</v>
      </c>
      <c r="R143" s="188">
        <f>opex_orig!R143</f>
        <v>1.2300000000000001E-5</v>
      </c>
      <c r="S143" s="188">
        <f>opex_orig!S143</f>
        <v>4.4700000000000002E-5</v>
      </c>
      <c r="T143" s="188">
        <f>opex_orig!T143</f>
        <v>3.43E-5</v>
      </c>
      <c r="U143" s="188">
        <f>opex_orig!U143</f>
        <v>3.2673799999999997E-4</v>
      </c>
      <c r="V143" s="188">
        <f>opex_orig!V143</f>
        <v>4.8804000000000002E-4</v>
      </c>
      <c r="W143" s="188">
        <f>opex_orig!W143</f>
        <v>9.5600000000000006E-5</v>
      </c>
      <c r="X143" s="188">
        <f>opex_orig!X143</f>
        <v>3.9499999999999998E-5</v>
      </c>
      <c r="Y143" s="188">
        <f>opex_orig!Y143</f>
        <v>3.5599999999999998E-5</v>
      </c>
      <c r="Z143" s="188">
        <f>opex_orig!Z143</f>
        <v>1.09067E-4</v>
      </c>
      <c r="AA143" s="188">
        <f>opex_orig!AA143</f>
        <v>3.9900000000000001E-5</v>
      </c>
      <c r="AB143" s="188">
        <f>opex_orig!$AB143</f>
        <v>3.2498482502795903E-5</v>
      </c>
      <c r="AC143" s="188">
        <f>opex_orig!$AB143</f>
        <v>3.2498482502795903E-5</v>
      </c>
      <c r="AD143" s="188">
        <f>opex_orig!$AB143</f>
        <v>3.2498482502795903E-5</v>
      </c>
      <c r="AE143" s="188">
        <f>opex_orig!$AC143</f>
        <v>2.5880470555588102E-3</v>
      </c>
      <c r="AF143" s="188">
        <f>opex_orig!$AD143</f>
        <v>8.3627912108958898E-4</v>
      </c>
      <c r="AG143" s="188">
        <f>opex_orig!$AD143</f>
        <v>8.3627912108958898E-4</v>
      </c>
      <c r="AH143" s="188">
        <f>opex_orig!$AD143</f>
        <v>8.3627912108958898E-4</v>
      </c>
      <c r="AI143" s="188">
        <f>opex_orig!AE143</f>
        <v>6.6561099999999998E-4</v>
      </c>
      <c r="AJ143" s="188">
        <f>opex_orig!AF143</f>
        <v>2.1672799999999999E-4</v>
      </c>
      <c r="AK143" s="188">
        <f>opex_orig!AG143</f>
        <v>3.8399999999999998E-5</v>
      </c>
      <c r="AL143" s="188">
        <f>opex_orig!AH143</f>
        <v>4.8000000000000001E-5</v>
      </c>
      <c r="AM143" s="188">
        <f>opex_orig!AI143</f>
        <v>5.1799999999999999E-5</v>
      </c>
      <c r="AN143" s="188">
        <f>opex_orig!AJ143</f>
        <v>8.5000000000000006E-5</v>
      </c>
      <c r="AO143" s="188">
        <f>opex_orig!AK143</f>
        <v>5.13E-5</v>
      </c>
      <c r="AP143" s="284">
        <f>opex_concordance!M427</f>
        <v>1.2555797471430999E-4</v>
      </c>
      <c r="AQ143" s="284">
        <f>opex_concordance!M481</f>
        <v>8.3474330279039219E-5</v>
      </c>
      <c r="AR143" s="284">
        <f>opex_concordance!M535</f>
        <v>0</v>
      </c>
      <c r="AS143" s="188">
        <f>opex_orig!$AM143</f>
        <v>4.9649270236720098E-5</v>
      </c>
      <c r="AT143" s="188">
        <f>opex_orig!AN143</f>
        <v>1.4533800000000001E-4</v>
      </c>
      <c r="AU143" s="188">
        <f>opex_orig!$AO143</f>
        <v>1.67055965540329E-4</v>
      </c>
      <c r="AV143" s="188">
        <f>opex_orig!$AO143</f>
        <v>1.67055965540329E-4</v>
      </c>
      <c r="AW143" s="188">
        <f>opex_orig!$AO143</f>
        <v>1.67055965540329E-4</v>
      </c>
      <c r="AX143" s="188">
        <f>opex_orig!$AP143</f>
        <v>2.8115435453907002E-4</v>
      </c>
      <c r="AY143" s="188">
        <f>opex_orig!AQ143</f>
        <v>3.0549499999999997E-4</v>
      </c>
      <c r="AZ143" s="188">
        <f>opex_orig!AR143</f>
        <v>0</v>
      </c>
      <c r="BA143" s="188">
        <f>opex_orig!AS143</f>
        <v>1.9642999999999999E-4</v>
      </c>
      <c r="BB143" s="188">
        <f>opex_orig!AT143</f>
        <v>1.3140999999999999E-4</v>
      </c>
      <c r="BC143" s="188">
        <f>opex_orig!AU143</f>
        <v>2.44E-5</v>
      </c>
      <c r="BD143" s="188">
        <f>opex_orig!AV143</f>
        <v>1.9400000000000001E-5</v>
      </c>
      <c r="BE143" s="188">
        <f>opex_orig!AW143</f>
        <v>2.1126200000000001E-4</v>
      </c>
      <c r="BF143" s="188">
        <f>opex_orig!AX143</f>
        <v>0</v>
      </c>
      <c r="BG143" s="188">
        <f>opex_orig!AY143</f>
        <v>9.4699999999999998E-5</v>
      </c>
      <c r="BH143" s="188">
        <f>opex_orig!AZ143</f>
        <v>0</v>
      </c>
      <c r="BI143" s="188">
        <f>opex_orig!BA143</f>
        <v>1.4771900000000001E-4</v>
      </c>
      <c r="BJ143" s="188">
        <f>opex_orig!BB143</f>
        <v>2.2347600000000001E-4</v>
      </c>
      <c r="BK143" s="188">
        <f>opex_orig!BC143</f>
        <v>3.5912299999999998E-4</v>
      </c>
      <c r="BL143" s="188">
        <f>opex_orig!BD143</f>
        <v>2.1399999999999998E-5</v>
      </c>
      <c r="BM143" s="188">
        <f>opex_orig!BE143</f>
        <v>5.1799999999999999E-5</v>
      </c>
      <c r="BN143" s="188">
        <f>opex_orig!BF143</f>
        <v>1.7799999999999999E-5</v>
      </c>
      <c r="BO143" s="188">
        <f>opex_orig!BG143</f>
        <v>8.8700000000000001E-5</v>
      </c>
      <c r="BP143" s="188">
        <f>opex_orig!$BH143</f>
        <v>1.20712569995955E-4</v>
      </c>
      <c r="BQ143" s="188">
        <f>opex_orig!$BH143</f>
        <v>1.20712569995955E-4</v>
      </c>
      <c r="BR143" s="188">
        <f>opex_orig!BI143</f>
        <v>1.70927E-4</v>
      </c>
      <c r="BS143" s="188">
        <f>opex_orig!BJ143</f>
        <v>6.5500000000000006E-5</v>
      </c>
      <c r="BT143" s="188">
        <f>opex_orig!BK143</f>
        <v>2.6389399999999998E-4</v>
      </c>
      <c r="BU143" s="188">
        <f>opex_orig!BL143</f>
        <v>0</v>
      </c>
      <c r="BV143" s="27">
        <f>opex_orig!BM143</f>
        <v>1.4435032833762899E-4</v>
      </c>
      <c r="BW143" s="27">
        <f>opex_orig!BN143</f>
        <v>7.14343498200954E-4</v>
      </c>
      <c r="BX143" s="27">
        <f>opex_orig!BO143</f>
        <v>1.49595826427949E-4</v>
      </c>
      <c r="BY143" s="27">
        <f>opex_orig!BP143</f>
        <v>5.9883256233951598E-4</v>
      </c>
      <c r="BZ143" s="27">
        <f>opex_orig!BQ143</f>
        <v>7.0810344800912995E-5</v>
      </c>
      <c r="CA143" s="27">
        <f>opex_orig!BR143</f>
        <v>8.1098978132677002E-6</v>
      </c>
      <c r="CB143" s="27">
        <f>opex_orig!BS143</f>
        <v>1.66361357976287E-4</v>
      </c>
      <c r="CC143" s="27">
        <f>opex_orig!BT143</f>
        <v>9.75790149970564E-4</v>
      </c>
      <c r="CD143" s="27">
        <f>opex_orig!BU143</f>
        <v>6.0979628860651099E-6</v>
      </c>
      <c r="CE143" s="27">
        <f>opex_orig!BV143</f>
        <v>6.0979628860651302E-6</v>
      </c>
      <c r="CF143" s="27">
        <f>opex_orig!BW143</f>
        <v>1.1610220052531901E-6</v>
      </c>
      <c r="CG143" s="27">
        <f>opex_orig!BX143</f>
        <v>7.4594929926488098E-6</v>
      </c>
      <c r="CH143" s="27">
        <f>opex_orig!BY143</f>
        <v>1.81300662326997E-6</v>
      </c>
      <c r="CI143" s="27">
        <f>opex_orig!Y143</f>
        <v>3.5599999999999998E-5</v>
      </c>
      <c r="CJ143" s="27">
        <f>opex_orig!Z143</f>
        <v>1.09067E-4</v>
      </c>
      <c r="CK143" s="27">
        <f>opex_orig!AA143</f>
        <v>3.9900000000000001E-5</v>
      </c>
      <c r="CL143" s="27">
        <f>opex_orig!AB143</f>
        <v>3.2498482502795903E-5</v>
      </c>
      <c r="CM143" s="27">
        <f>opex_orig!AC143</f>
        <v>2.5880470555588102E-3</v>
      </c>
      <c r="CN143" s="27">
        <f>opex_orig!AD143</f>
        <v>8.3627912108958898E-4</v>
      </c>
      <c r="CO143" s="27">
        <f>opex_orig!AE143</f>
        <v>6.6561099999999998E-4</v>
      </c>
      <c r="CP143" s="27">
        <f>opex_orig!AF143</f>
        <v>2.1672799999999999E-4</v>
      </c>
    </row>
    <row r="144" spans="1:94" x14ac:dyDescent="0.25">
      <c r="A144" s="6" t="s">
        <v>279</v>
      </c>
      <c r="B144" s="2" t="s">
        <v>278</v>
      </c>
      <c r="C144" s="1" t="s">
        <v>335</v>
      </c>
      <c r="D144" s="188">
        <f>opex_orig!D144</f>
        <v>2.7100000000000001E-5</v>
      </c>
      <c r="E144" s="188">
        <f>opex_orig!E144</f>
        <v>4.9499999999999997E-5</v>
      </c>
      <c r="F144" s="188">
        <f>opex_orig!F144</f>
        <v>8.4400000000000005E-6</v>
      </c>
      <c r="G144" s="188">
        <f>opex_orig!G144</f>
        <v>2.6000000000000001E-6</v>
      </c>
      <c r="H144" s="188">
        <f>opex_orig!H144</f>
        <v>4.9899999999999997E-6</v>
      </c>
      <c r="I144" s="188">
        <f>opex_orig!I144</f>
        <v>4.6600000000000001E-5</v>
      </c>
      <c r="J144" s="188">
        <f>opex_orig!J144</f>
        <v>2.4899999999999999E-5</v>
      </c>
      <c r="K144" s="188">
        <f>opex_orig!K144</f>
        <v>7.7300000000000005E-6</v>
      </c>
      <c r="L144" s="188">
        <f>opex_orig!L144</f>
        <v>5.9899999999999999E-5</v>
      </c>
      <c r="M144" s="188">
        <f>opex_orig!M144</f>
        <v>1.75732E-4</v>
      </c>
      <c r="N144" s="188">
        <f>opex_orig!N144</f>
        <v>3.1203600000000002E-4</v>
      </c>
      <c r="O144" s="188">
        <f>opex_orig!O144</f>
        <v>7.1699999999999995E-5</v>
      </c>
      <c r="P144" s="188">
        <f>opex_orig!P144</f>
        <v>5.1199999999999998E-5</v>
      </c>
      <c r="Q144" s="188">
        <f>opex_orig!Q144</f>
        <v>1.0900000000000001E-5</v>
      </c>
      <c r="R144" s="188">
        <f>opex_orig!R144</f>
        <v>4.6299999999999997E-6</v>
      </c>
      <c r="S144" s="188">
        <f>opex_orig!S144</f>
        <v>1.4100000000000001E-5</v>
      </c>
      <c r="T144" s="188">
        <f>opex_orig!T144</f>
        <v>1.1E-5</v>
      </c>
      <c r="U144" s="188">
        <f>opex_orig!U144</f>
        <v>1.3255600000000001E-4</v>
      </c>
      <c r="V144" s="188">
        <f>opex_orig!V144</f>
        <v>2.1290999999999999E-4</v>
      </c>
      <c r="W144" s="188">
        <f>opex_orig!W144</f>
        <v>4.0200000000000001E-5</v>
      </c>
      <c r="X144" s="188">
        <f>opex_orig!X144</f>
        <v>1.2799999999999999E-5</v>
      </c>
      <c r="Y144" s="188">
        <f>opex_orig!Y144</f>
        <v>1.1E-5</v>
      </c>
      <c r="Z144" s="188">
        <f>opex_orig!Z144</f>
        <v>3.8000000000000002E-5</v>
      </c>
      <c r="AA144" s="188">
        <f>opex_orig!AA144</f>
        <v>2.2900000000000001E-5</v>
      </c>
      <c r="AB144" s="188">
        <f>opex_orig!$AB144</f>
        <v>2.6276194728761701E-5</v>
      </c>
      <c r="AC144" s="188">
        <f>opex_orig!$AB144</f>
        <v>2.6276194728761701E-5</v>
      </c>
      <c r="AD144" s="188">
        <f>opex_orig!$AB144</f>
        <v>2.6276194728761701E-5</v>
      </c>
      <c r="AE144" s="188">
        <f>opex_orig!$AC144</f>
        <v>1.1296942913681101E-3</v>
      </c>
      <c r="AF144" s="188">
        <f>opex_orig!$AD144</f>
        <v>3.88593520839776E-4</v>
      </c>
      <c r="AG144" s="188">
        <f>opex_orig!$AD144</f>
        <v>3.88593520839776E-4</v>
      </c>
      <c r="AH144" s="188">
        <f>opex_orig!$AD144</f>
        <v>3.88593520839776E-4</v>
      </c>
      <c r="AI144" s="188">
        <f>opex_orig!AE144</f>
        <v>3.1760000000000002E-4</v>
      </c>
      <c r="AJ144" s="188">
        <f>opex_orig!AF144</f>
        <v>8.9599999999999996E-5</v>
      </c>
      <c r="AK144" s="188">
        <f>opex_orig!AG144</f>
        <v>1.36E-5</v>
      </c>
      <c r="AL144" s="188">
        <f>opex_orig!AH144</f>
        <v>1.8700000000000001E-5</v>
      </c>
      <c r="AM144" s="188">
        <f>opex_orig!AI144</f>
        <v>1.7799999999999999E-5</v>
      </c>
      <c r="AN144" s="188">
        <f>opex_orig!AJ144</f>
        <v>3.4100000000000002E-5</v>
      </c>
      <c r="AO144" s="188">
        <f>opex_orig!AK144</f>
        <v>2.09E-5</v>
      </c>
      <c r="AP144" s="284">
        <f>opex_concordance!M428</f>
        <v>4.9132521427501298E-5</v>
      </c>
      <c r="AQ144" s="284">
        <f>opex_concordance!M482</f>
        <v>3.2664626284496646E-5</v>
      </c>
      <c r="AR144" s="284">
        <f>opex_concordance!M536</f>
        <v>0</v>
      </c>
      <c r="AS144" s="188">
        <f>opex_orig!$AM144</f>
        <v>1.92403201310627E-5</v>
      </c>
      <c r="AT144" s="188">
        <f>opex_orig!AN144</f>
        <v>5.77E-5</v>
      </c>
      <c r="AU144" s="188">
        <f>opex_orig!$AO144</f>
        <v>6.42234940550313E-5</v>
      </c>
      <c r="AV144" s="188">
        <f>opex_orig!$AO144</f>
        <v>6.42234940550313E-5</v>
      </c>
      <c r="AW144" s="188">
        <f>opex_orig!$AO144</f>
        <v>6.42234940550313E-5</v>
      </c>
      <c r="AX144" s="188">
        <f>opex_orig!$AP144</f>
        <v>1.09189318881042E-4</v>
      </c>
      <c r="AY144" s="188">
        <f>opex_orig!AQ144</f>
        <v>1.2435500000000001E-4</v>
      </c>
      <c r="AZ144" s="188">
        <f>opex_orig!AR144</f>
        <v>0</v>
      </c>
      <c r="BA144" s="188">
        <f>opex_orig!AS144</f>
        <v>7.0199999999999999E-5</v>
      </c>
      <c r="BB144" s="188">
        <f>opex_orig!AT144</f>
        <v>4.3900000000000003E-5</v>
      </c>
      <c r="BC144" s="188">
        <f>opex_orig!AU144</f>
        <v>1.15E-5</v>
      </c>
      <c r="BD144" s="188">
        <f>opex_orig!AV144</f>
        <v>9.55E-6</v>
      </c>
      <c r="BE144" s="188">
        <f>opex_orig!AW144</f>
        <v>8.42E-5</v>
      </c>
      <c r="BF144" s="188">
        <f>opex_orig!AX144</f>
        <v>0</v>
      </c>
      <c r="BG144" s="188">
        <f>opex_orig!AY144</f>
        <v>4.5200000000000001E-5</v>
      </c>
      <c r="BH144" s="188">
        <f>opex_orig!AZ144</f>
        <v>0</v>
      </c>
      <c r="BI144" s="188">
        <f>opex_orig!BA144</f>
        <v>6.4399999999999993E-5</v>
      </c>
      <c r="BJ144" s="188">
        <f>opex_orig!BB144</f>
        <v>1.05719E-4</v>
      </c>
      <c r="BK144" s="188">
        <f>opex_orig!BC144</f>
        <v>1.69452E-4</v>
      </c>
      <c r="BL144" s="188">
        <f>opex_orig!BD144</f>
        <v>8.9900000000000003E-6</v>
      </c>
      <c r="BM144" s="188">
        <f>opex_orig!BE144</f>
        <v>2.02E-5</v>
      </c>
      <c r="BN144" s="188">
        <f>opex_orig!BF144</f>
        <v>6.7000000000000002E-6</v>
      </c>
      <c r="BO144" s="188">
        <f>opex_orig!BG144</f>
        <v>3.26E-5</v>
      </c>
      <c r="BP144" s="188">
        <f>opex_orig!$BH144</f>
        <v>5.68255332116226E-5</v>
      </c>
      <c r="BQ144" s="188">
        <f>opex_orig!$BH144</f>
        <v>5.68255332116226E-5</v>
      </c>
      <c r="BR144" s="188">
        <f>opex_orig!BI144</f>
        <v>8.0500000000000005E-5</v>
      </c>
      <c r="BS144" s="188">
        <f>opex_orig!BJ144</f>
        <v>2.41E-5</v>
      </c>
      <c r="BT144" s="188">
        <f>opex_orig!BK144</f>
        <v>9.59E-5</v>
      </c>
      <c r="BU144" s="188">
        <f>opex_orig!BL144</f>
        <v>0</v>
      </c>
      <c r="BV144" s="27">
        <f>opex_orig!BM144</f>
        <v>6.8776520887602494E-5</v>
      </c>
      <c r="BW144" s="27">
        <f>opex_orig!BN144</f>
        <v>3.1261948121059197E-4</v>
      </c>
      <c r="BX144" s="27">
        <f>opex_orig!BO144</f>
        <v>7.2517876183122499E-5</v>
      </c>
      <c r="BY144" s="27">
        <f>opex_orig!BP144</f>
        <v>2.5771341926903899E-4</v>
      </c>
      <c r="BZ144" s="27">
        <f>opex_orig!BQ144</f>
        <v>4.1690910931073E-5</v>
      </c>
      <c r="CA144" s="27">
        <f>opex_orig!BR144</f>
        <v>7.9375622120396392E-6</v>
      </c>
      <c r="CB144" s="27">
        <f>opex_orig!BS144</f>
        <v>1.5149455839243801E-4</v>
      </c>
      <c r="CC144" s="27">
        <f>opex_orig!BT144</f>
        <v>1.7371977739871901E-3</v>
      </c>
      <c r="CD144" s="27">
        <f>opex_orig!BU144</f>
        <v>1.36252964352462E-6</v>
      </c>
      <c r="CE144" s="27">
        <f>opex_orig!BV144</f>
        <v>1.36252964352462E-6</v>
      </c>
      <c r="CF144" s="27">
        <f>opex_orig!BW144</f>
        <v>2.8233739262875101E-7</v>
      </c>
      <c r="CG144" s="27">
        <f>opex_orig!BX144</f>
        <v>4.6562959418414199E-6</v>
      </c>
      <c r="CH144" s="27">
        <f>opex_orig!BY144</f>
        <v>2.0528902133965599E-6</v>
      </c>
      <c r="CI144" s="27">
        <f>opex_orig!Y144</f>
        <v>1.1E-5</v>
      </c>
      <c r="CJ144" s="27">
        <f>opex_orig!Z144</f>
        <v>3.8000000000000002E-5</v>
      </c>
      <c r="CK144" s="27">
        <f>opex_orig!AA144</f>
        <v>2.2900000000000001E-5</v>
      </c>
      <c r="CL144" s="27">
        <f>opex_orig!AB144</f>
        <v>2.6276194728761701E-5</v>
      </c>
      <c r="CM144" s="27">
        <f>opex_orig!AC144</f>
        <v>1.1296942913681101E-3</v>
      </c>
      <c r="CN144" s="27">
        <f>opex_orig!AD144</f>
        <v>3.88593520839776E-4</v>
      </c>
      <c r="CO144" s="27">
        <f>opex_orig!AE144</f>
        <v>3.1760000000000002E-4</v>
      </c>
      <c r="CP144" s="27">
        <f>opex_orig!AF144</f>
        <v>8.9599999999999996E-5</v>
      </c>
    </row>
    <row r="145" spans="1:94" x14ac:dyDescent="0.25">
      <c r="A145" s="6" t="s">
        <v>281</v>
      </c>
      <c r="B145" s="2" t="s">
        <v>280</v>
      </c>
      <c r="C145" s="1" t="s">
        <v>335</v>
      </c>
      <c r="D145" s="188">
        <f>opex_orig!D145</f>
        <v>1.6720400000000001E-4</v>
      </c>
      <c r="E145" s="188">
        <f>opex_orig!E145</f>
        <v>1.76157E-4</v>
      </c>
      <c r="F145" s="188">
        <f>opex_orig!F145</f>
        <v>2.7800000000000001E-5</v>
      </c>
      <c r="G145" s="188">
        <f>opex_orig!G145</f>
        <v>6.2400000000000004E-6</v>
      </c>
      <c r="H145" s="188">
        <f>opex_orig!H145</f>
        <v>1.0200000000000001E-5</v>
      </c>
      <c r="I145" s="188">
        <f>opex_orig!I145</f>
        <v>1.1409900000000001E-4</v>
      </c>
      <c r="J145" s="188">
        <f>opex_orig!J145</f>
        <v>9.2399999999999996E-5</v>
      </c>
      <c r="K145" s="188">
        <f>opex_orig!K145</f>
        <v>1.66E-5</v>
      </c>
      <c r="L145" s="188">
        <f>opex_orig!L145</f>
        <v>1.4626299999999999E-4</v>
      </c>
      <c r="M145" s="188">
        <f>opex_orig!M145</f>
        <v>3.9986500000000001E-4</v>
      </c>
      <c r="N145" s="188">
        <f>opex_orig!N145</f>
        <v>1.122191E-3</v>
      </c>
      <c r="O145" s="188">
        <f>opex_orig!O145</f>
        <v>2.9440500000000002E-4</v>
      </c>
      <c r="P145" s="188">
        <f>opex_orig!P145</f>
        <v>1.34714E-4</v>
      </c>
      <c r="Q145" s="188">
        <f>opex_orig!Q145</f>
        <v>2.16E-5</v>
      </c>
      <c r="R145" s="188">
        <f>opex_orig!R145</f>
        <v>1.84E-5</v>
      </c>
      <c r="S145" s="188">
        <f>opex_orig!S145</f>
        <v>4.2400000000000001E-5</v>
      </c>
      <c r="T145" s="188">
        <f>opex_orig!T145</f>
        <v>2.2099999999999998E-5</v>
      </c>
      <c r="U145" s="188">
        <f>opex_orig!U145</f>
        <v>3.3162000000000003E-4</v>
      </c>
      <c r="V145" s="188">
        <f>opex_orig!V145</f>
        <v>6.3807299999999996E-4</v>
      </c>
      <c r="W145" s="188">
        <f>opex_orig!W145</f>
        <v>1.10029E-4</v>
      </c>
      <c r="X145" s="188">
        <f>opex_orig!X145</f>
        <v>4.85E-5</v>
      </c>
      <c r="Y145" s="188">
        <f>opex_orig!Y145</f>
        <v>2.69E-5</v>
      </c>
      <c r="Z145" s="188">
        <f>opex_orig!Z145</f>
        <v>1.02124E-4</v>
      </c>
      <c r="AA145" s="188">
        <f>opex_orig!AA145</f>
        <v>5.5099999999999998E-5</v>
      </c>
      <c r="AB145" s="188">
        <f>opex_orig!$AB145</f>
        <v>3.2522581951519903E-5</v>
      </c>
      <c r="AC145" s="188">
        <f>opex_orig!$AB145</f>
        <v>3.2522581951519903E-5</v>
      </c>
      <c r="AD145" s="188">
        <f>opex_orig!$AB145</f>
        <v>3.2522581951519903E-5</v>
      </c>
      <c r="AE145" s="188">
        <f>opex_orig!$AC145</f>
        <v>4.1264233017965397E-3</v>
      </c>
      <c r="AF145" s="188">
        <f>opex_orig!$AD145</f>
        <v>1.0647293888047E-3</v>
      </c>
      <c r="AG145" s="188">
        <f>opex_orig!$AD145</f>
        <v>1.0647293888047E-3</v>
      </c>
      <c r="AH145" s="188">
        <f>opex_orig!$AD145</f>
        <v>1.0647293888047E-3</v>
      </c>
      <c r="AI145" s="188">
        <f>opex_orig!AE145</f>
        <v>7.75546E-4</v>
      </c>
      <c r="AJ145" s="188">
        <f>opex_orig!AF145</f>
        <v>2.12969E-4</v>
      </c>
      <c r="AK145" s="188">
        <f>opex_orig!AG145</f>
        <v>4.1399999999999997E-5</v>
      </c>
      <c r="AL145" s="188">
        <f>opex_orig!AH145</f>
        <v>6.5900000000000003E-5</v>
      </c>
      <c r="AM145" s="188">
        <f>opex_orig!AI145</f>
        <v>4.2500000000000003E-5</v>
      </c>
      <c r="AN145" s="188">
        <f>opex_orig!AJ145</f>
        <v>1.26568E-4</v>
      </c>
      <c r="AO145" s="188">
        <f>opex_orig!AK145</f>
        <v>5.13E-5</v>
      </c>
      <c r="AP145" s="284">
        <f>opex_concordance!M429</f>
        <v>1.5809233314637101E-4</v>
      </c>
      <c r="AQ145" s="284">
        <f>opex_concordance!M483</f>
        <v>1.0510404983571334E-4</v>
      </c>
      <c r="AR145" s="284">
        <f>opex_concordance!M537</f>
        <v>0</v>
      </c>
      <c r="AS145" s="188">
        <f>opex_orig!$AM145</f>
        <v>4.8385898280453403E-5</v>
      </c>
      <c r="AT145" s="188">
        <f>opex_orig!AN145</f>
        <v>1.6749199999999999E-4</v>
      </c>
      <c r="AU145" s="188">
        <f>opex_orig!$AO145</f>
        <v>2.2163692143224899E-4</v>
      </c>
      <c r="AV145" s="188">
        <f>opex_orig!$AO145</f>
        <v>2.2163692143224899E-4</v>
      </c>
      <c r="AW145" s="188">
        <f>opex_orig!$AO145</f>
        <v>2.2163692143224899E-4</v>
      </c>
      <c r="AX145" s="188">
        <f>opex_orig!$AP145</f>
        <v>3.6544321876864498E-4</v>
      </c>
      <c r="AY145" s="188">
        <f>opex_orig!AQ145</f>
        <v>4.2670799999999998E-4</v>
      </c>
      <c r="AZ145" s="188">
        <f>opex_orig!AR145</f>
        <v>0</v>
      </c>
      <c r="BA145" s="188">
        <f>opex_orig!AS145</f>
        <v>2.7539900000000001E-4</v>
      </c>
      <c r="BB145" s="188">
        <f>opex_orig!AT145</f>
        <v>1.9863699999999999E-4</v>
      </c>
      <c r="BC145" s="188">
        <f>opex_orig!AU145</f>
        <v>2.5000000000000001E-5</v>
      </c>
      <c r="BD145" s="188">
        <f>opex_orig!AV145</f>
        <v>1.9599999999999999E-5</v>
      </c>
      <c r="BE145" s="188">
        <f>opex_orig!AW145</f>
        <v>3.1157899999999998E-4</v>
      </c>
      <c r="BF145" s="188">
        <f>opex_orig!AX145</f>
        <v>0</v>
      </c>
      <c r="BG145" s="188">
        <f>opex_orig!AY145</f>
        <v>1.2319800000000001E-4</v>
      </c>
      <c r="BH145" s="188">
        <f>opex_orig!AZ145</f>
        <v>0</v>
      </c>
      <c r="BI145" s="188">
        <f>opex_orig!BA145</f>
        <v>1.76133E-4</v>
      </c>
      <c r="BJ145" s="188">
        <f>opex_orig!BB145</f>
        <v>2.1942399999999999E-4</v>
      </c>
      <c r="BK145" s="188">
        <f>opex_orig!BC145</f>
        <v>3.4939200000000002E-4</v>
      </c>
      <c r="BL145" s="188">
        <f>opex_orig!BD145</f>
        <v>3.7400000000000001E-5</v>
      </c>
      <c r="BM145" s="188">
        <f>opex_orig!BE145</f>
        <v>5.0599999999999997E-5</v>
      </c>
      <c r="BN145" s="188">
        <f>opex_orig!BF145</f>
        <v>2.5599999999999999E-5</v>
      </c>
      <c r="BO145" s="188">
        <f>opex_orig!BG145</f>
        <v>8.7000000000000001E-5</v>
      </c>
      <c r="BP145" s="188">
        <f>opex_orig!$BH145</f>
        <v>1.2382905040129999E-4</v>
      </c>
      <c r="BQ145" s="188">
        <f>opex_orig!$BH145</f>
        <v>1.2382905040129999E-4</v>
      </c>
      <c r="BR145" s="188">
        <f>opex_orig!BI145</f>
        <v>1.8370100000000001E-4</v>
      </c>
      <c r="BS145" s="188">
        <f>opex_orig!BJ145</f>
        <v>7.1899999999999999E-5</v>
      </c>
      <c r="BT145" s="188">
        <f>opex_orig!BK145</f>
        <v>3.5830500000000001E-4</v>
      </c>
      <c r="BU145" s="188">
        <f>opex_orig!BL145</f>
        <v>0</v>
      </c>
      <c r="BV145" s="27">
        <f>opex_orig!BM145</f>
        <v>1.7480490318179501E-4</v>
      </c>
      <c r="BW145" s="27">
        <f>opex_orig!BN145</f>
        <v>1.13162057853957E-3</v>
      </c>
      <c r="BX145" s="27">
        <f>opex_orig!BO145</f>
        <v>1.7459468186405299E-4</v>
      </c>
      <c r="BY145" s="27">
        <f>opex_orig!BP145</f>
        <v>9.914149881881391E-4</v>
      </c>
      <c r="BZ145" s="27">
        <f>opex_orig!BQ145</f>
        <v>7.4047444777351496E-5</v>
      </c>
      <c r="CA145" s="27">
        <f>opex_orig!BR145</f>
        <v>1.29041479310644E-5</v>
      </c>
      <c r="CB145" s="27">
        <f>opex_orig!BS145</f>
        <v>1.7116340292651499E-4</v>
      </c>
      <c r="CC145" s="27">
        <f>opex_orig!BT145</f>
        <v>5.1950850008415702E-3</v>
      </c>
      <c r="CD145" s="27">
        <f>opex_orig!BU145</f>
        <v>1.00130812514957E-5</v>
      </c>
      <c r="CE145" s="27">
        <f>opex_orig!BV145</f>
        <v>1.00130812514957E-5</v>
      </c>
      <c r="CF145" s="27">
        <f>opex_orig!BW145</f>
        <v>1.72155306224222E-6</v>
      </c>
      <c r="CG145" s="27">
        <f>opex_orig!BX145</f>
        <v>8.2575287423926993E-6</v>
      </c>
      <c r="CH145" s="27">
        <f>opex_orig!BY145</f>
        <v>2.2159292229306598E-6</v>
      </c>
      <c r="CI145" s="27">
        <f>opex_orig!Y145</f>
        <v>2.69E-5</v>
      </c>
      <c r="CJ145" s="27">
        <f>opex_orig!Z145</f>
        <v>1.02124E-4</v>
      </c>
      <c r="CK145" s="27">
        <f>opex_orig!AA145</f>
        <v>5.5099999999999998E-5</v>
      </c>
      <c r="CL145" s="27">
        <f>opex_orig!AB145</f>
        <v>3.2522581951519903E-5</v>
      </c>
      <c r="CM145" s="27">
        <f>opex_orig!AC145</f>
        <v>4.1264233017965397E-3</v>
      </c>
      <c r="CN145" s="27">
        <f>opex_orig!AD145</f>
        <v>1.0647293888047E-3</v>
      </c>
      <c r="CO145" s="27">
        <f>opex_orig!AE145</f>
        <v>7.75546E-4</v>
      </c>
      <c r="CP145" s="27">
        <f>opex_orig!AF145</f>
        <v>2.12969E-4</v>
      </c>
    </row>
    <row r="146" spans="1:94" x14ac:dyDescent="0.25">
      <c r="A146" s="6" t="s">
        <v>283</v>
      </c>
      <c r="B146" s="2" t="s">
        <v>282</v>
      </c>
      <c r="C146" s="1" t="s">
        <v>335</v>
      </c>
      <c r="D146" s="188">
        <f>opex_orig!D146</f>
        <v>2.44E-5</v>
      </c>
      <c r="E146" s="188">
        <f>opex_orig!E146</f>
        <v>2.9499999999999999E-5</v>
      </c>
      <c r="F146" s="188">
        <f>opex_orig!F146</f>
        <v>5.9699999999999996E-6</v>
      </c>
      <c r="G146" s="188">
        <f>opex_orig!G146</f>
        <v>1.81E-6</v>
      </c>
      <c r="H146" s="188">
        <f>opex_orig!H146</f>
        <v>8.2399999999999997E-7</v>
      </c>
      <c r="I146" s="188">
        <f>opex_orig!I146</f>
        <v>2.5599999999999999E-5</v>
      </c>
      <c r="J146" s="188">
        <f>opex_orig!J146</f>
        <v>2.58E-5</v>
      </c>
      <c r="K146" s="188">
        <f>opex_orig!K146</f>
        <v>5.75E-6</v>
      </c>
      <c r="L146" s="188">
        <f>opex_orig!L146</f>
        <v>3.0599999999999998E-5</v>
      </c>
      <c r="M146" s="188">
        <f>opex_orig!M146</f>
        <v>8.8200000000000003E-5</v>
      </c>
      <c r="N146" s="188">
        <f>opex_orig!N146</f>
        <v>4.1E-5</v>
      </c>
      <c r="O146" s="188">
        <f>opex_orig!O146</f>
        <v>2.3900000000000002E-5</v>
      </c>
      <c r="P146" s="188">
        <f>opex_orig!P146</f>
        <v>3.1399999999999998E-5</v>
      </c>
      <c r="Q146" s="188">
        <f>opex_orig!Q146</f>
        <v>1.01E-5</v>
      </c>
      <c r="R146" s="188">
        <f>opex_orig!R146</f>
        <v>4.5700000000000003E-6</v>
      </c>
      <c r="S146" s="188">
        <f>opex_orig!S146</f>
        <v>6.9600000000000003E-6</v>
      </c>
      <c r="T146" s="188">
        <f>opex_orig!T146</f>
        <v>1.0000000000000001E-5</v>
      </c>
      <c r="U146" s="188">
        <f>opex_orig!U146</f>
        <v>7.86E-5</v>
      </c>
      <c r="V146" s="188">
        <f>opex_orig!V146</f>
        <v>1.19879E-4</v>
      </c>
      <c r="W146" s="188">
        <f>opex_orig!W146</f>
        <v>2.2799999999999999E-5</v>
      </c>
      <c r="X146" s="188">
        <f>opex_orig!X146</f>
        <v>5.84E-6</v>
      </c>
      <c r="Y146" s="188">
        <f>opex_orig!Y146</f>
        <v>9.6199999999999994E-6</v>
      </c>
      <c r="Z146" s="188">
        <f>opex_orig!Z146</f>
        <v>2.5999999999999998E-5</v>
      </c>
      <c r="AA146" s="188">
        <f>opex_orig!AA146</f>
        <v>2.09E-5</v>
      </c>
      <c r="AB146" s="188">
        <f>opex_orig!$AB146</f>
        <v>1.5648001352756201E-5</v>
      </c>
      <c r="AC146" s="188">
        <f>opex_orig!$AB146</f>
        <v>1.5648001352756201E-5</v>
      </c>
      <c r="AD146" s="188">
        <f>opex_orig!$AB146</f>
        <v>1.5648001352756201E-5</v>
      </c>
      <c r="AE146" s="188">
        <f>opex_orig!$AC146</f>
        <v>1.11934697852692E-4</v>
      </c>
      <c r="AF146" s="188">
        <f>opex_orig!$AD146</f>
        <v>2.0235943989805401E-4</v>
      </c>
      <c r="AG146" s="188">
        <f>opex_orig!$AD146</f>
        <v>2.0235943989805401E-4</v>
      </c>
      <c r="AH146" s="188">
        <f>opex_orig!$AD146</f>
        <v>2.0235943989805401E-4</v>
      </c>
      <c r="AI146" s="188">
        <f>opex_orig!AE146</f>
        <v>1.58956E-4</v>
      </c>
      <c r="AJ146" s="188">
        <f>opex_orig!AF146</f>
        <v>4.9299999999999999E-5</v>
      </c>
      <c r="AK146" s="188">
        <f>opex_orig!AG146</f>
        <v>8.8899999999999996E-6</v>
      </c>
      <c r="AL146" s="188">
        <f>opex_orig!AH146</f>
        <v>1.1800000000000001E-5</v>
      </c>
      <c r="AM146" s="188">
        <f>opex_orig!AI146</f>
        <v>1.2099999999999999E-5</v>
      </c>
      <c r="AN146" s="188">
        <f>opex_orig!AJ146</f>
        <v>5.6799999999999998E-6</v>
      </c>
      <c r="AO146" s="188">
        <f>opex_orig!AK146</f>
        <v>1.2500000000000001E-5</v>
      </c>
      <c r="AP146" s="284">
        <f>opex_concordance!M430</f>
        <v>3.0744996846169401E-5</v>
      </c>
      <c r="AQ146" s="284">
        <f>opex_concordance!M484</f>
        <v>2.0440103681225325E-5</v>
      </c>
      <c r="AR146" s="284">
        <f>opex_concordance!M538</f>
        <v>0</v>
      </c>
      <c r="AS146" s="188">
        <f>opex_orig!$AM146</f>
        <v>1.1415543674242001E-5</v>
      </c>
      <c r="AT146" s="188">
        <f>opex_orig!AN146</f>
        <v>3.5299999999999997E-5</v>
      </c>
      <c r="AU146" s="188">
        <f>opex_orig!$AO146</f>
        <v>3.81666819874706E-5</v>
      </c>
      <c r="AV146" s="188">
        <f>opex_orig!$AO146</f>
        <v>3.81666819874706E-5</v>
      </c>
      <c r="AW146" s="188">
        <f>opex_orig!$AO146</f>
        <v>3.81666819874706E-5</v>
      </c>
      <c r="AX146" s="188">
        <f>opex_orig!$AP146</f>
        <v>6.6782222505662805E-5</v>
      </c>
      <c r="AY146" s="188">
        <f>opex_orig!AQ146</f>
        <v>7.3499999999999998E-5</v>
      </c>
      <c r="AZ146" s="188">
        <f>opex_orig!AR146</f>
        <v>0</v>
      </c>
      <c r="BA146" s="188">
        <f>opex_orig!AS146</f>
        <v>2.3600000000000001E-5</v>
      </c>
      <c r="BB146" s="188">
        <f>opex_orig!AT146</f>
        <v>3.0499999999999999E-5</v>
      </c>
      <c r="BC146" s="188">
        <f>opex_orig!AU146</f>
        <v>5.7400000000000001E-6</v>
      </c>
      <c r="BD146" s="188">
        <f>opex_orig!AV146</f>
        <v>4.6399999999999996E-6</v>
      </c>
      <c r="BE146" s="188">
        <f>opex_orig!AW146</f>
        <v>5.13E-5</v>
      </c>
      <c r="BF146" s="188">
        <f>opex_orig!AX146</f>
        <v>0</v>
      </c>
      <c r="BG146" s="188">
        <f>opex_orig!AY146</f>
        <v>1.27E-5</v>
      </c>
      <c r="BH146" s="188">
        <f>opex_orig!AZ146</f>
        <v>0</v>
      </c>
      <c r="BI146" s="188">
        <f>opex_orig!BA146</f>
        <v>3.4100000000000002E-5</v>
      </c>
      <c r="BJ146" s="188">
        <f>opex_orig!BB146</f>
        <v>5.13E-5</v>
      </c>
      <c r="BK146" s="188">
        <f>opex_orig!BC146</f>
        <v>8.2200000000000006E-5</v>
      </c>
      <c r="BL146" s="188">
        <f>opex_orig!BD146</f>
        <v>5.1900000000000003E-6</v>
      </c>
      <c r="BM146" s="188">
        <f>opex_orig!BE146</f>
        <v>1.2E-5</v>
      </c>
      <c r="BN146" s="188">
        <f>opex_orig!BF146</f>
        <v>4.7700000000000001E-6</v>
      </c>
      <c r="BO146" s="188">
        <f>opex_orig!BG146</f>
        <v>2.0999999999999999E-5</v>
      </c>
      <c r="BP146" s="188">
        <f>opex_orig!$BH146</f>
        <v>2.7689956282423299E-5</v>
      </c>
      <c r="BQ146" s="188">
        <f>opex_orig!$BH146</f>
        <v>2.7689956282423299E-5</v>
      </c>
      <c r="BR146" s="188">
        <f>opex_orig!BI146</f>
        <v>3.96E-5</v>
      </c>
      <c r="BS146" s="188">
        <f>opex_orig!BJ146</f>
        <v>1.52E-5</v>
      </c>
      <c r="BT146" s="188">
        <f>opex_orig!BK146</f>
        <v>6.02E-5</v>
      </c>
      <c r="BU146" s="188">
        <f>opex_orig!BL146</f>
        <v>0</v>
      </c>
      <c r="BV146" s="27">
        <f>opex_orig!BM146</f>
        <v>3.3642282720215702E-5</v>
      </c>
      <c r="BW146" s="27">
        <f>opex_orig!BN146</f>
        <v>1.8476862176250501E-4</v>
      </c>
      <c r="BX146" s="27">
        <f>opex_orig!BO146</f>
        <v>3.5611587615944599E-5</v>
      </c>
      <c r="BY146" s="27">
        <f>opex_orig!BP146</f>
        <v>1.57129671573601E-5</v>
      </c>
      <c r="BZ146" s="27">
        <f>opex_orig!BQ146</f>
        <v>2.75368899318521E-5</v>
      </c>
      <c r="CA146" s="27">
        <f>opex_orig!BR146</f>
        <v>1.53378372566094E-6</v>
      </c>
      <c r="CB146" s="27">
        <f>opex_orig!BS146</f>
        <v>1.34814709809548E-4</v>
      </c>
      <c r="CC146" s="27">
        <f>opex_orig!BT146</f>
        <v>1.7200415046981401E-4</v>
      </c>
      <c r="CD146" s="27">
        <f>opex_orig!BU146</f>
        <v>1.34590053272834E-6</v>
      </c>
      <c r="CE146" s="27">
        <f>opex_orig!BV146</f>
        <v>1.34590053272834E-6</v>
      </c>
      <c r="CF146" s="27">
        <f>opex_orig!BW146</f>
        <v>2.5762957422837099E-7</v>
      </c>
      <c r="CG146" s="27">
        <f>opex_orig!BX146</f>
        <v>3.2702837357668302E-6</v>
      </c>
      <c r="CH146" s="27">
        <f>opex_orig!BY146</f>
        <v>5.86207901803422E-8</v>
      </c>
      <c r="CI146" s="27">
        <f>opex_orig!Y146</f>
        <v>9.6199999999999994E-6</v>
      </c>
      <c r="CJ146" s="27">
        <f>opex_orig!Z146</f>
        <v>2.5999999999999998E-5</v>
      </c>
      <c r="CK146" s="27">
        <f>opex_orig!AA146</f>
        <v>2.09E-5</v>
      </c>
      <c r="CL146" s="27">
        <f>opex_orig!AB146</f>
        <v>1.5648001352756201E-5</v>
      </c>
      <c r="CM146" s="27">
        <f>opex_orig!AC146</f>
        <v>1.11934697852692E-4</v>
      </c>
      <c r="CN146" s="27">
        <f>opex_orig!AD146</f>
        <v>2.0235943989805401E-4</v>
      </c>
      <c r="CO146" s="27">
        <f>opex_orig!AE146</f>
        <v>1.58956E-4</v>
      </c>
      <c r="CP146" s="27">
        <f>opex_orig!AF146</f>
        <v>4.9299999999999999E-5</v>
      </c>
    </row>
    <row r="147" spans="1:94" x14ac:dyDescent="0.25">
      <c r="A147" s="6" t="s">
        <v>285</v>
      </c>
      <c r="B147" s="2" t="s">
        <v>284</v>
      </c>
      <c r="C147" s="1" t="s">
        <v>335</v>
      </c>
      <c r="D147" s="188">
        <f>opex_orig!D147</f>
        <v>3.1600000000000002E-5</v>
      </c>
      <c r="E147" s="188">
        <f>opex_orig!E147</f>
        <v>3.7499999999999997E-5</v>
      </c>
      <c r="F147" s="188">
        <f>opex_orig!F147</f>
        <v>6.9600000000000003E-6</v>
      </c>
      <c r="G147" s="188">
        <f>opex_orig!G147</f>
        <v>2.04E-6</v>
      </c>
      <c r="H147" s="188">
        <f>opex_orig!H147</f>
        <v>4.6999999999999999E-6</v>
      </c>
      <c r="I147" s="188">
        <f>opex_orig!I147</f>
        <v>3.3000000000000003E-5</v>
      </c>
      <c r="J147" s="188">
        <f>opex_orig!J147</f>
        <v>3.4799999999999999E-5</v>
      </c>
      <c r="K147" s="188">
        <f>opex_orig!K147</f>
        <v>6.2700000000000001E-6</v>
      </c>
      <c r="L147" s="188">
        <f>opex_orig!L147</f>
        <v>3.93E-5</v>
      </c>
      <c r="M147" s="188">
        <f>opex_orig!M147</f>
        <v>1.12781E-4</v>
      </c>
      <c r="N147" s="188">
        <f>opex_orig!N147</f>
        <v>2.3164E-4</v>
      </c>
      <c r="O147" s="188">
        <f>opex_orig!O147</f>
        <v>6.02E-5</v>
      </c>
      <c r="P147" s="188">
        <f>opex_orig!P147</f>
        <v>4.21E-5</v>
      </c>
      <c r="Q147" s="188">
        <f>opex_orig!Q147</f>
        <v>1.3699999999999999E-5</v>
      </c>
      <c r="R147" s="188">
        <f>opex_orig!R147</f>
        <v>5.4099999999999999E-6</v>
      </c>
      <c r="S147" s="188">
        <f>opex_orig!S147</f>
        <v>1.42E-5</v>
      </c>
      <c r="T147" s="188">
        <f>opex_orig!T147</f>
        <v>1.26E-5</v>
      </c>
      <c r="U147" s="188">
        <f>opex_orig!U147</f>
        <v>1.01722E-4</v>
      </c>
      <c r="V147" s="188">
        <f>opex_orig!V147</f>
        <v>1.5290900000000001E-4</v>
      </c>
      <c r="W147" s="188">
        <f>opex_orig!W147</f>
        <v>2.9600000000000001E-5</v>
      </c>
      <c r="X147" s="188">
        <f>opex_orig!X147</f>
        <v>1.24E-5</v>
      </c>
      <c r="Y147" s="188">
        <f>opex_orig!Y147</f>
        <v>1.24E-5</v>
      </c>
      <c r="Z147" s="188">
        <f>opex_orig!Z147</f>
        <v>3.4199999999999998E-5</v>
      </c>
      <c r="AA147" s="188">
        <f>opex_orig!AA147</f>
        <v>2.16E-5</v>
      </c>
      <c r="AB147" s="188">
        <f>opex_orig!$AB147</f>
        <v>1.52458046658861E-5</v>
      </c>
      <c r="AC147" s="188">
        <f>opex_orig!$AB147</f>
        <v>1.52458046658861E-5</v>
      </c>
      <c r="AD147" s="188">
        <f>opex_orig!$AB147</f>
        <v>1.52458046658861E-5</v>
      </c>
      <c r="AE147" s="188">
        <f>opex_orig!$AC147</f>
        <v>1.4275907378356799E-4</v>
      </c>
      <c r="AF147" s="188">
        <f>opex_orig!$AD147</f>
        <v>2.5685935897586999E-4</v>
      </c>
      <c r="AG147" s="188">
        <f>opex_orig!$AD147</f>
        <v>2.5685935897586999E-4</v>
      </c>
      <c r="AH147" s="188">
        <f>opex_orig!$AD147</f>
        <v>2.5685935897586999E-4</v>
      </c>
      <c r="AI147" s="188">
        <f>opex_orig!AE147</f>
        <v>2.0192300000000001E-4</v>
      </c>
      <c r="AJ147" s="188">
        <f>opex_orig!AF147</f>
        <v>6.4300000000000004E-5</v>
      </c>
      <c r="AK147" s="188">
        <f>opex_orig!AG147</f>
        <v>1.1800000000000001E-5</v>
      </c>
      <c r="AL147" s="188">
        <f>opex_orig!AH147</f>
        <v>1.5299999999999999E-5</v>
      </c>
      <c r="AM147" s="188">
        <f>opex_orig!AI147</f>
        <v>1.5800000000000001E-5</v>
      </c>
      <c r="AN147" s="188">
        <f>opex_orig!AJ147</f>
        <v>2.73E-5</v>
      </c>
      <c r="AO147" s="188">
        <f>opex_orig!AK147</f>
        <v>1.5500000000000001E-5</v>
      </c>
      <c r="AP147" s="284">
        <f>opex_concordance!M431</f>
        <v>3.9829477882566297E-5</v>
      </c>
      <c r="AQ147" s="284">
        <f>opex_concordance!M485</f>
        <v>2.6479711855626981E-5</v>
      </c>
      <c r="AR147" s="284">
        <f>opex_concordance!M539</f>
        <v>0</v>
      </c>
      <c r="AS147" s="188">
        <f>opex_orig!$AM147</f>
        <v>1.50239592426961E-5</v>
      </c>
      <c r="AT147" s="188">
        <f>opex_orig!AN147</f>
        <v>4.57E-5</v>
      </c>
      <c r="AU147" s="188">
        <f>opex_orig!$AO147</f>
        <v>4.9611908384660403E-5</v>
      </c>
      <c r="AV147" s="188">
        <f>opex_orig!$AO147</f>
        <v>4.9611908384660403E-5</v>
      </c>
      <c r="AW147" s="188">
        <f>opex_orig!$AO147</f>
        <v>4.9611908384660403E-5</v>
      </c>
      <c r="AX147" s="188">
        <f>opex_orig!$AP147</f>
        <v>8.5734260245084098E-5</v>
      </c>
      <c r="AY147" s="188">
        <f>opex_orig!AQ147</f>
        <v>9.3700000000000001E-5</v>
      </c>
      <c r="AZ147" s="188">
        <f>opex_orig!AR147</f>
        <v>0</v>
      </c>
      <c r="BA147" s="188">
        <f>opex_orig!AS147</f>
        <v>6.0800000000000001E-5</v>
      </c>
      <c r="BB147" s="188">
        <f>opex_orig!AT147</f>
        <v>3.9100000000000002E-5</v>
      </c>
      <c r="BC147" s="188">
        <f>opex_orig!AU147</f>
        <v>7.2899999999999997E-6</v>
      </c>
      <c r="BD147" s="188">
        <f>opex_orig!AV147</f>
        <v>5.8699999999999997E-6</v>
      </c>
      <c r="BE147" s="188">
        <f>opex_orig!AW147</f>
        <v>6.5199999999999999E-5</v>
      </c>
      <c r="BF147" s="188">
        <f>opex_orig!AX147</f>
        <v>0</v>
      </c>
      <c r="BG147" s="188">
        <f>opex_orig!AY147</f>
        <v>1.66E-5</v>
      </c>
      <c r="BH147" s="188">
        <f>opex_orig!AZ147</f>
        <v>0</v>
      </c>
      <c r="BI147" s="188">
        <f>opex_orig!BA147</f>
        <v>4.3800000000000001E-5</v>
      </c>
      <c r="BJ147" s="188">
        <f>opex_orig!BB147</f>
        <v>6.58E-5</v>
      </c>
      <c r="BK147" s="188">
        <f>opex_orig!BC147</f>
        <v>1.0553299999999999E-4</v>
      </c>
      <c r="BL147" s="188">
        <f>opex_orig!BD147</f>
        <v>6.8600000000000004E-6</v>
      </c>
      <c r="BM147" s="188">
        <f>opex_orig!BE147</f>
        <v>1.59E-5</v>
      </c>
      <c r="BN147" s="188">
        <f>opex_orig!BF147</f>
        <v>6.4999999999999996E-6</v>
      </c>
      <c r="BO147" s="188">
        <f>opex_orig!BG147</f>
        <v>2.7500000000000001E-5</v>
      </c>
      <c r="BP147" s="188">
        <f>opex_orig!$BH147</f>
        <v>3.5562747680392801E-5</v>
      </c>
      <c r="BQ147" s="188">
        <f>opex_orig!$BH147</f>
        <v>3.5562747680392801E-5</v>
      </c>
      <c r="BR147" s="188">
        <f>opex_orig!BI147</f>
        <v>5.0899999999999997E-5</v>
      </c>
      <c r="BS147" s="188">
        <f>opex_orig!BJ147</f>
        <v>2.0000000000000002E-5</v>
      </c>
      <c r="BT147" s="188">
        <f>opex_orig!BK147</f>
        <v>7.7299999999999995E-5</v>
      </c>
      <c r="BU147" s="188">
        <f>opex_orig!BL147</f>
        <v>0</v>
      </c>
      <c r="BV147" s="27">
        <f>opex_orig!BM147</f>
        <v>4.3719683304310201E-5</v>
      </c>
      <c r="BW147" s="27">
        <f>opex_orig!BN147</f>
        <v>2.3220458368928E-4</v>
      </c>
      <c r="BX147" s="27">
        <f>opex_orig!BO147</f>
        <v>4.5219309976742701E-5</v>
      </c>
      <c r="BY147" s="27">
        <f>opex_orig!BP147</f>
        <v>1.9357819924436999E-4</v>
      </c>
      <c r="BZ147" s="27">
        <f>opex_orig!BQ147</f>
        <v>2.9981196607720101E-5</v>
      </c>
      <c r="CA147" s="27">
        <f>opex_orig!BR147</f>
        <v>5.0164138031321796E-6</v>
      </c>
      <c r="CB147" s="27">
        <f>opex_orig!BS147</f>
        <v>1.34681836798255E-4</v>
      </c>
      <c r="CC147" s="27">
        <f>opex_orig!BT147</f>
        <v>3.3442825720528301E-4</v>
      </c>
      <c r="CD147" s="27">
        <f>opex_orig!BU147</f>
        <v>1.77282040800598E-6</v>
      </c>
      <c r="CE147" s="27">
        <f>opex_orig!BV147</f>
        <v>1.77282040800598E-6</v>
      </c>
      <c r="CF147" s="27">
        <f>opex_orig!BW147</f>
        <v>3.4009303322855798E-7</v>
      </c>
      <c r="CG147" s="27">
        <f>opex_orig!BX147</f>
        <v>4.0414081473989398E-6</v>
      </c>
      <c r="CH147" s="27">
        <f>opex_orig!BY147</f>
        <v>1.87612958051114E-6</v>
      </c>
      <c r="CI147" s="27">
        <f>opex_orig!Y147</f>
        <v>1.24E-5</v>
      </c>
      <c r="CJ147" s="27">
        <f>opex_orig!Z147</f>
        <v>3.4199999999999998E-5</v>
      </c>
      <c r="CK147" s="27">
        <f>opex_orig!AA147</f>
        <v>2.16E-5</v>
      </c>
      <c r="CL147" s="27">
        <f>opex_orig!AB147</f>
        <v>1.52458046658861E-5</v>
      </c>
      <c r="CM147" s="27">
        <f>opex_orig!AC147</f>
        <v>1.4275907378356799E-4</v>
      </c>
      <c r="CN147" s="27">
        <f>opex_orig!AD147</f>
        <v>2.5685935897586999E-4</v>
      </c>
      <c r="CO147" s="27">
        <f>opex_orig!AE147</f>
        <v>2.0192300000000001E-4</v>
      </c>
      <c r="CP147" s="27">
        <f>opex_orig!AF147</f>
        <v>6.4300000000000004E-5</v>
      </c>
    </row>
    <row r="148" spans="1:94" x14ac:dyDescent="0.25">
      <c r="A148" s="6" t="s">
        <v>287</v>
      </c>
      <c r="B148" s="2" t="s">
        <v>286</v>
      </c>
      <c r="C148" s="1" t="s">
        <v>335</v>
      </c>
      <c r="D148" s="188">
        <f>opex_orig!D148</f>
        <v>1.5517600000000001E-4</v>
      </c>
      <c r="E148" s="188">
        <f>opex_orig!E148</f>
        <v>6.3600000000000001E-5</v>
      </c>
      <c r="F148" s="188">
        <f>opex_orig!F148</f>
        <v>3.2499999999999997E-5</v>
      </c>
      <c r="G148" s="188">
        <f>opex_orig!G148</f>
        <v>7.2599999999999999E-6</v>
      </c>
      <c r="H148" s="188">
        <f>opex_orig!H148</f>
        <v>1.24E-5</v>
      </c>
      <c r="I148" s="188">
        <f>opex_orig!I148</f>
        <v>1.32356E-4</v>
      </c>
      <c r="J148" s="188">
        <f>opex_orig!J148</f>
        <v>1.7241500000000001E-4</v>
      </c>
      <c r="K148" s="188">
        <f>opex_orig!K148</f>
        <v>1.9599999999999999E-5</v>
      </c>
      <c r="L148" s="188">
        <f>opex_orig!L148</f>
        <v>2.1483900000000001E-4</v>
      </c>
      <c r="M148" s="188">
        <f>opex_orig!M148</f>
        <v>6.1291299999999998E-4</v>
      </c>
      <c r="N148" s="188">
        <f>opex_orig!N148</f>
        <v>2.4874000000000001E-4</v>
      </c>
      <c r="O148" s="188">
        <f>opex_orig!O148</f>
        <v>1.5157899999999999E-4</v>
      </c>
      <c r="P148" s="188">
        <f>opex_orig!P148</f>
        <v>1.6876200000000001E-4</v>
      </c>
      <c r="Q148" s="188">
        <f>opex_orig!Q148</f>
        <v>6.41E-5</v>
      </c>
      <c r="R148" s="188">
        <f>opex_orig!R148</f>
        <v>1.6799999999999998E-5</v>
      </c>
      <c r="S148" s="188">
        <f>opex_orig!S148</f>
        <v>4.6499999999999999E-5</v>
      </c>
      <c r="T148" s="188">
        <f>opex_orig!T148</f>
        <v>5.1100000000000002E-5</v>
      </c>
      <c r="U148" s="188">
        <f>opex_orig!U148</f>
        <v>3.2044499999999999E-4</v>
      </c>
      <c r="V148" s="188">
        <f>opex_orig!V148</f>
        <v>3.3275500000000001E-4</v>
      </c>
      <c r="W148" s="188">
        <f>opex_orig!W148</f>
        <v>9.8800000000000003E-5</v>
      </c>
      <c r="X148" s="188">
        <f>opex_orig!X148</f>
        <v>3.7599999999999999E-5</v>
      </c>
      <c r="Y148" s="188">
        <f>opex_orig!Y148</f>
        <v>5.4200000000000003E-5</v>
      </c>
      <c r="Z148" s="188">
        <f>opex_orig!Z148</f>
        <v>1.2278199999999999E-4</v>
      </c>
      <c r="AA148" s="188">
        <f>opex_orig!AA148</f>
        <v>5.0699999999999999E-5</v>
      </c>
      <c r="AB148" s="188">
        <f>opex_orig!$AB148</f>
        <v>4.6373012035470702E-5</v>
      </c>
      <c r="AC148" s="188">
        <f>opex_orig!$AB148</f>
        <v>4.6373012035470702E-5</v>
      </c>
      <c r="AD148" s="188">
        <f>opex_orig!$AB148</f>
        <v>4.6373012035470702E-5</v>
      </c>
      <c r="AE148" s="188">
        <f>opex_orig!$AC148</f>
        <v>6.6843420978802102E-4</v>
      </c>
      <c r="AF148" s="188">
        <f>opex_orig!$AD148</f>
        <v>7.0365034169448998E-4</v>
      </c>
      <c r="AG148" s="188">
        <f>opex_orig!$AD148</f>
        <v>7.0365034169448998E-4</v>
      </c>
      <c r="AH148" s="188">
        <f>opex_orig!$AD148</f>
        <v>7.0365034169448998E-4</v>
      </c>
      <c r="AI148" s="188">
        <f>opex_orig!AE148</f>
        <v>6.8214399999999998E-4</v>
      </c>
      <c r="AJ148" s="188">
        <f>opex_orig!AF148</f>
        <v>3.2903199999999999E-4</v>
      </c>
      <c r="AK148" s="188">
        <f>opex_orig!AG148</f>
        <v>4.7800000000000003E-5</v>
      </c>
      <c r="AL148" s="188">
        <f>opex_orig!AH148</f>
        <v>3.4600000000000001E-5</v>
      </c>
      <c r="AM148" s="188">
        <f>opex_orig!AI148</f>
        <v>7.5699999999999997E-5</v>
      </c>
      <c r="AN148" s="188">
        <f>opex_orig!AJ148</f>
        <v>3.5899999999999998E-5</v>
      </c>
      <c r="AO148" s="188">
        <f>opex_orig!AK148</f>
        <v>7.2600000000000003E-5</v>
      </c>
      <c r="AP148" s="284">
        <f>opex_concordance!M432</f>
        <v>9.0061005930271496E-5</v>
      </c>
      <c r="AQ148" s="284">
        <f>opex_concordance!M486</f>
        <v>5.9874987402366748E-5</v>
      </c>
      <c r="AR148" s="284">
        <f>opex_concordance!M540</f>
        <v>0</v>
      </c>
      <c r="AS148" s="188">
        <f>opex_orig!$AM148</f>
        <v>7.0761455048700404E-5</v>
      </c>
      <c r="AT148" s="188">
        <f>opex_orig!AN148</f>
        <v>1.25494E-4</v>
      </c>
      <c r="AU148" s="188">
        <f>opex_orig!$AO148</f>
        <v>1.9888616786550701E-4</v>
      </c>
      <c r="AV148" s="188">
        <f>opex_orig!$AO148</f>
        <v>1.9888616786550701E-4</v>
      </c>
      <c r="AW148" s="188">
        <f>opex_orig!$AO148</f>
        <v>1.9888616786550701E-4</v>
      </c>
      <c r="AX148" s="188">
        <f>opex_orig!$AP148</f>
        <v>2.6351484716787699E-4</v>
      </c>
      <c r="AY148" s="188">
        <f>opex_orig!AQ148</f>
        <v>2.5093099999999997E-4</v>
      </c>
      <c r="AZ148" s="188">
        <f>opex_orig!AR148</f>
        <v>0</v>
      </c>
      <c r="BA148" s="188">
        <f>opex_orig!AS148</f>
        <v>1.52979E-4</v>
      </c>
      <c r="BB148" s="188">
        <f>opex_orig!AT148</f>
        <v>1.2916699999999999E-4</v>
      </c>
      <c r="BC148" s="188">
        <f>opex_orig!AU148</f>
        <v>3.3500000000000001E-5</v>
      </c>
      <c r="BD148" s="188">
        <f>opex_orig!AV148</f>
        <v>2.6599999999999999E-5</v>
      </c>
      <c r="BE148" s="188">
        <f>opex_orig!AW148</f>
        <v>1.4906500000000001E-4</v>
      </c>
      <c r="BF148" s="188">
        <f>opex_orig!AX148</f>
        <v>0</v>
      </c>
      <c r="BG148" s="188">
        <f>opex_orig!AY148</f>
        <v>1.24034E-4</v>
      </c>
      <c r="BH148" s="188">
        <f>opex_orig!AZ148</f>
        <v>0</v>
      </c>
      <c r="BI148" s="188">
        <f>opex_orig!BA148</f>
        <v>1.77407E-4</v>
      </c>
      <c r="BJ148" s="188">
        <f>opex_orig!BB148</f>
        <v>3.2159799999999998E-4</v>
      </c>
      <c r="BK148" s="188">
        <f>opex_orig!BC148</f>
        <v>5.09137E-4</v>
      </c>
      <c r="BL148" s="188">
        <f>opex_orig!BD148</f>
        <v>2.51E-5</v>
      </c>
      <c r="BM148" s="188">
        <f>opex_orig!BE148</f>
        <v>6.8300000000000007E-5</v>
      </c>
      <c r="BN148" s="188">
        <f>opex_orig!BF148</f>
        <v>1.8700000000000001E-5</v>
      </c>
      <c r="BO148" s="188">
        <f>opex_orig!BG148</f>
        <v>9.8999999999999994E-5</v>
      </c>
      <c r="BP148" s="188">
        <f>opex_orig!$BH148</f>
        <v>1.7183390356607901E-4</v>
      </c>
      <c r="BQ148" s="188">
        <f>opex_orig!$BH148</f>
        <v>1.7183390356607901E-4</v>
      </c>
      <c r="BR148" s="188">
        <f>opex_orig!BI148</f>
        <v>2.0885500000000001E-4</v>
      </c>
      <c r="BS148" s="188">
        <f>opex_orig!BJ148</f>
        <v>7.8300000000000006E-5</v>
      </c>
      <c r="BT148" s="188">
        <f>opex_orig!BK148</f>
        <v>3.0713799999999999E-4</v>
      </c>
      <c r="BU148" s="188">
        <f>opex_orig!BL148</f>
        <v>0</v>
      </c>
      <c r="BV148" s="27">
        <f>opex_orig!BM148</f>
        <v>2.6444455417473102E-4</v>
      </c>
      <c r="BW148" s="27">
        <f>opex_orig!BN148</f>
        <v>2.07039085442104E-4</v>
      </c>
      <c r="BX148" s="27">
        <f>opex_orig!BO148</f>
        <v>3.1474432608470101E-4</v>
      </c>
      <c r="BY148" s="27">
        <f>opex_orig!BP148</f>
        <v>9.26943419708003E-5</v>
      </c>
      <c r="BZ148" s="27">
        <f>opex_orig!BQ148</f>
        <v>9.67416987784615E-5</v>
      </c>
      <c r="CA148" s="27">
        <f>opex_orig!BR148</f>
        <v>8.8540619175868908E-6</v>
      </c>
      <c r="CB148" s="27">
        <f>opex_orig!BS148</f>
        <v>1.85606905785175E-4</v>
      </c>
      <c r="CC148" s="27">
        <f>opex_orig!BT148</f>
        <v>1.07187893097031E-3</v>
      </c>
      <c r="CD148" s="27">
        <f>opex_orig!BU148</f>
        <v>8.6169419452209803E-6</v>
      </c>
      <c r="CE148" s="27">
        <f>opex_orig!BV148</f>
        <v>8.6169419452210007E-6</v>
      </c>
      <c r="CF148" s="27">
        <f>opex_orig!BW148</f>
        <v>1.8135971708957299E-6</v>
      </c>
      <c r="CG148" s="27">
        <f>opex_orig!BX148</f>
        <v>8.2200393851630904E-6</v>
      </c>
      <c r="CH148" s="27">
        <f>opex_orig!BY148</f>
        <v>1.7905612132233999E-6</v>
      </c>
      <c r="CI148" s="27">
        <f>opex_orig!Y148</f>
        <v>5.4200000000000003E-5</v>
      </c>
      <c r="CJ148" s="27">
        <f>opex_orig!Z148</f>
        <v>1.2278199999999999E-4</v>
      </c>
      <c r="CK148" s="27">
        <f>opex_orig!AA148</f>
        <v>5.0699999999999999E-5</v>
      </c>
      <c r="CL148" s="27">
        <f>opex_orig!AB148</f>
        <v>4.6373012035470702E-5</v>
      </c>
      <c r="CM148" s="27">
        <f>opex_orig!AC148</f>
        <v>6.6843420978802102E-4</v>
      </c>
      <c r="CN148" s="27">
        <f>opex_orig!AD148</f>
        <v>7.0365034169448998E-4</v>
      </c>
      <c r="CO148" s="27">
        <f>opex_orig!AE148</f>
        <v>6.8214399999999998E-4</v>
      </c>
      <c r="CP148" s="27">
        <f>opex_orig!AF148</f>
        <v>3.2903199999999999E-4</v>
      </c>
    </row>
    <row r="149" spans="1:94" x14ac:dyDescent="0.25">
      <c r="A149" s="6" t="s">
        <v>289</v>
      </c>
      <c r="B149" s="2" t="s">
        <v>288</v>
      </c>
      <c r="C149" s="1" t="s">
        <v>335</v>
      </c>
      <c r="D149" s="188">
        <f>opex_orig!D149</f>
        <v>3.89E-7</v>
      </c>
      <c r="E149" s="188">
        <f>opex_orig!E149</f>
        <v>6.0699999999999994E-8</v>
      </c>
      <c r="F149" s="188">
        <f>opex_orig!F149</f>
        <v>7.6899999999999994E-8</v>
      </c>
      <c r="G149" s="188">
        <f>opex_orig!G149</f>
        <v>1.26E-8</v>
      </c>
      <c r="H149" s="188">
        <f>opex_orig!H149</f>
        <v>1.74E-8</v>
      </c>
      <c r="I149" s="188">
        <f>opex_orig!I149</f>
        <v>6.6899999999999997E-8</v>
      </c>
      <c r="J149" s="188">
        <f>opex_orig!J149</f>
        <v>2.5600000000000002E-7</v>
      </c>
      <c r="K149" s="188">
        <f>opex_orig!K149</f>
        <v>2.81E-8</v>
      </c>
      <c r="L149" s="188">
        <f>opex_orig!L149</f>
        <v>1.66E-7</v>
      </c>
      <c r="M149" s="188">
        <f>opex_orig!M149</f>
        <v>1.37E-7</v>
      </c>
      <c r="N149" s="188">
        <f>opex_orig!N149</f>
        <v>9.9E-8</v>
      </c>
      <c r="O149" s="188">
        <f>opex_orig!O149</f>
        <v>1.8799999999999999E-7</v>
      </c>
      <c r="P149" s="188">
        <f>opex_orig!P149</f>
        <v>7.1400000000000004E-8</v>
      </c>
      <c r="Q149" s="188">
        <f>opex_orig!Q149</f>
        <v>6.3500000000000006E-8</v>
      </c>
      <c r="R149" s="188">
        <f>opex_orig!R149</f>
        <v>2.7500000000000001E-8</v>
      </c>
      <c r="S149" s="188">
        <f>opex_orig!S149</f>
        <v>4.0100000000000002E-8</v>
      </c>
      <c r="T149" s="188">
        <f>opex_orig!T149</f>
        <v>7.7799999999999995E-8</v>
      </c>
      <c r="U149" s="188">
        <f>opex_orig!U149</f>
        <v>9.0600000000000004E-8</v>
      </c>
      <c r="V149" s="188">
        <f>opex_orig!V149</f>
        <v>1.14E-7</v>
      </c>
      <c r="W149" s="188">
        <f>opex_orig!W149</f>
        <v>9.4500000000000006E-8</v>
      </c>
      <c r="X149" s="188">
        <f>opex_orig!X149</f>
        <v>2.2700000000000001E-7</v>
      </c>
      <c r="Y149" s="188">
        <f>opex_orig!Y149</f>
        <v>1.91E-7</v>
      </c>
      <c r="Z149" s="188">
        <f>opex_orig!Z149</f>
        <v>5.03E-8</v>
      </c>
      <c r="AA149" s="188">
        <f>opex_orig!AA149</f>
        <v>1.01E-7</v>
      </c>
      <c r="AB149" s="188">
        <f>opex_orig!$AB149</f>
        <v>5.2027513196844296E-7</v>
      </c>
      <c r="AC149" s="188">
        <f>opex_orig!$AB149</f>
        <v>5.2027513196844296E-7</v>
      </c>
      <c r="AD149" s="188">
        <f>opex_orig!$AB149</f>
        <v>5.2027513196844296E-7</v>
      </c>
      <c r="AE149" s="188">
        <f>opex_orig!$AC149</f>
        <v>1.11816421429884E-7</v>
      </c>
      <c r="AF149" s="188">
        <f>opex_orig!$AD149</f>
        <v>1.0455204547172699E-7</v>
      </c>
      <c r="AG149" s="188">
        <f>opex_orig!$AD149</f>
        <v>1.0455204547172699E-7</v>
      </c>
      <c r="AH149" s="188">
        <f>opex_orig!$AD149</f>
        <v>1.0455204547172699E-7</v>
      </c>
      <c r="AI149" s="188">
        <f>opex_orig!AE149</f>
        <v>9.53E-8</v>
      </c>
      <c r="AJ149" s="188">
        <f>opex_orig!AF149</f>
        <v>1.8099999999999999E-7</v>
      </c>
      <c r="AK149" s="188">
        <f>opex_orig!AG149</f>
        <v>5.3500000000000003E-8</v>
      </c>
      <c r="AL149" s="188">
        <f>opex_orig!AH149</f>
        <v>7.5899999999999998E-8</v>
      </c>
      <c r="AM149" s="188">
        <f>opex_orig!AI149</f>
        <v>9.9699999999999999E-8</v>
      </c>
      <c r="AN149" s="188">
        <f>opex_orig!AJ149</f>
        <v>8.7999999999999994E-8</v>
      </c>
      <c r="AO149" s="188">
        <f>opex_orig!AK149</f>
        <v>7.7700000000000001E-8</v>
      </c>
      <c r="AP149" s="284">
        <f>opex_concordance!M433</f>
        <v>7.73293616908977E-8</v>
      </c>
      <c r="AQ149" s="284">
        <f>opex_concordance!M487</f>
        <v>5.1410646697199333E-8</v>
      </c>
      <c r="AR149" s="284">
        <f>opex_concordance!M541</f>
        <v>0</v>
      </c>
      <c r="AS149" s="188">
        <f>opex_orig!$AM149</f>
        <v>7.8322233509304304E-8</v>
      </c>
      <c r="AT149" s="188">
        <f>opex_orig!AN149</f>
        <v>9.7699999999999995E-8</v>
      </c>
      <c r="AU149" s="188">
        <f>opex_orig!$AO149</f>
        <v>9.2889579621890903E-8</v>
      </c>
      <c r="AV149" s="188">
        <f>opex_orig!$AO149</f>
        <v>9.2889579621890903E-8</v>
      </c>
      <c r="AW149" s="188">
        <f>opex_orig!$AO149</f>
        <v>9.2889579621890903E-8</v>
      </c>
      <c r="AX149" s="188">
        <f>opex_orig!$AP149</f>
        <v>3.0014497438820999E-8</v>
      </c>
      <c r="AY149" s="188">
        <f>opex_orig!AQ149</f>
        <v>7.2200000000000003E-7</v>
      </c>
      <c r="AZ149" s="188">
        <f>opex_orig!AR149</f>
        <v>0</v>
      </c>
      <c r="BA149" s="188">
        <f>opex_orig!AS149</f>
        <v>2.5600000000000001E-8</v>
      </c>
      <c r="BB149" s="188">
        <f>opex_orig!AT149</f>
        <v>2.1200000000000001E-8</v>
      </c>
      <c r="BC149" s="188">
        <f>opex_orig!AU149</f>
        <v>1.2499999999999999E-8</v>
      </c>
      <c r="BD149" s="188">
        <f>opex_orig!AV149</f>
        <v>1.2100000000000001E-8</v>
      </c>
      <c r="BE149" s="188">
        <f>opex_orig!AW149</f>
        <v>1.33E-8</v>
      </c>
      <c r="BF149" s="188">
        <f>opex_orig!AX149</f>
        <v>0</v>
      </c>
      <c r="BG149" s="188">
        <f>opex_orig!AY149</f>
        <v>4.2799999999999999E-8</v>
      </c>
      <c r="BH149" s="188">
        <f>opex_orig!AZ149</f>
        <v>0</v>
      </c>
      <c r="BI149" s="188">
        <f>opex_orig!BA149</f>
        <v>1.4600000000000001E-7</v>
      </c>
      <c r="BJ149" s="188">
        <f>opex_orig!BB149</f>
        <v>5.8700000000000003E-8</v>
      </c>
      <c r="BK149" s="188">
        <f>opex_orig!BC149</f>
        <v>2.1500000000000001E-7</v>
      </c>
      <c r="BL149" s="188">
        <f>opex_orig!BD149</f>
        <v>2.2700000000000001E-7</v>
      </c>
      <c r="BM149" s="188">
        <f>opex_orig!BE149</f>
        <v>2.65E-7</v>
      </c>
      <c r="BN149" s="188">
        <f>opex_orig!BF149</f>
        <v>5.6799999999999999E-8</v>
      </c>
      <c r="BO149" s="188">
        <f>opex_orig!BG149</f>
        <v>7.8699999999999997E-8</v>
      </c>
      <c r="BP149" s="188">
        <f>opex_orig!$BH149</f>
        <v>1.83307895817942E-7</v>
      </c>
      <c r="BQ149" s="188">
        <f>opex_orig!$BH149</f>
        <v>1.83307895817942E-7</v>
      </c>
      <c r="BR149" s="188">
        <f>opex_orig!BI149</f>
        <v>1.02E-7</v>
      </c>
      <c r="BS149" s="188">
        <f>opex_orig!BJ149</f>
        <v>8.5300000000000003E-8</v>
      </c>
      <c r="BT149" s="188">
        <f>opex_orig!BK149</f>
        <v>2.7899999999999998E-8</v>
      </c>
      <c r="BU149" s="188">
        <f>opex_orig!BL149</f>
        <v>0</v>
      </c>
      <c r="BV149" s="27">
        <f>opex_orig!BM149</f>
        <v>2.49659085564416E-7</v>
      </c>
      <c r="BW149" s="27">
        <f>opex_orig!BN149</f>
        <v>2.1145341229193101E-7</v>
      </c>
      <c r="BX149" s="27">
        <f>opex_orig!BO149</f>
        <v>5.0133990853487902E-8</v>
      </c>
      <c r="BY149" s="27">
        <f>opex_orig!BP149</f>
        <v>5.4325972365743199E-8</v>
      </c>
      <c r="BZ149" s="27">
        <f>opex_orig!BQ149</f>
        <v>9.3280158062608006E-8</v>
      </c>
      <c r="CA149" s="27">
        <f>opex_orig!BR149</f>
        <v>5.6205622963838199E-6</v>
      </c>
      <c r="CB149" s="27">
        <f>opex_orig!BS149</f>
        <v>2.48935373602475E-7</v>
      </c>
      <c r="CC149" s="27">
        <f>opex_orig!BT149</f>
        <v>1.50126924453531E-4</v>
      </c>
      <c r="CD149" s="27">
        <f>opex_orig!BU149</f>
        <v>4.7065474189952198E-8</v>
      </c>
      <c r="CE149" s="27">
        <f>opex_orig!BV149</f>
        <v>4.7065474189952403E-8</v>
      </c>
      <c r="CF149" s="27">
        <f>opex_orig!BW149</f>
        <v>1.0486929814294901E-5</v>
      </c>
      <c r="CG149" s="27">
        <f>opex_orig!BX149</f>
        <v>3.29003758032536E-6</v>
      </c>
      <c r="CH149" s="27">
        <f>opex_orig!BY149</f>
        <v>1.4028810858436501E-8</v>
      </c>
      <c r="CI149" s="27">
        <f>opex_orig!Y149</f>
        <v>1.91E-7</v>
      </c>
      <c r="CJ149" s="27">
        <f>opex_orig!Z149</f>
        <v>5.03E-8</v>
      </c>
      <c r="CK149" s="27">
        <f>opex_orig!AA149</f>
        <v>1.01E-7</v>
      </c>
      <c r="CL149" s="27">
        <f>opex_orig!AB149</f>
        <v>5.2027513196844296E-7</v>
      </c>
      <c r="CM149" s="27">
        <f>opex_orig!AC149</f>
        <v>1.11816421429884E-7</v>
      </c>
      <c r="CN149" s="27">
        <f>opex_orig!AD149</f>
        <v>1.0455204547172699E-7</v>
      </c>
      <c r="CO149" s="27">
        <f>opex_orig!AE149</f>
        <v>9.53E-8</v>
      </c>
      <c r="CP149" s="27">
        <f>opex_orig!AF149</f>
        <v>1.8099999999999999E-7</v>
      </c>
    </row>
    <row r="150" spans="1:94" x14ac:dyDescent="0.25">
      <c r="A150" s="6" t="s">
        <v>291</v>
      </c>
      <c r="B150" s="2" t="s">
        <v>290</v>
      </c>
      <c r="C150" s="1" t="s">
        <v>335</v>
      </c>
      <c r="D150" s="188">
        <f>opex_orig!D150</f>
        <v>1.4999999999999999E-7</v>
      </c>
      <c r="E150" s="188">
        <f>opex_orig!E150</f>
        <v>6.36E-8</v>
      </c>
      <c r="F150" s="188">
        <f>opex_orig!F150</f>
        <v>1.09E-7</v>
      </c>
      <c r="G150" s="188">
        <f>opex_orig!G150</f>
        <v>1.55E-7</v>
      </c>
      <c r="H150" s="188">
        <f>opex_orig!H150</f>
        <v>5.7900000000000002E-8</v>
      </c>
      <c r="I150" s="188">
        <f>opex_orig!I150</f>
        <v>8.42E-8</v>
      </c>
      <c r="J150" s="188">
        <f>opex_orig!J150</f>
        <v>3.2800000000000003E-7</v>
      </c>
      <c r="K150" s="188">
        <f>opex_orig!K150</f>
        <v>1.2100000000000001E-7</v>
      </c>
      <c r="L150" s="188">
        <f>opex_orig!L150</f>
        <v>2.9200000000000002E-7</v>
      </c>
      <c r="M150" s="188">
        <f>opex_orig!M150</f>
        <v>2.04E-7</v>
      </c>
      <c r="N150" s="188">
        <f>opex_orig!N150</f>
        <v>2.9299999999999999E-7</v>
      </c>
      <c r="O150" s="188">
        <f>opex_orig!O150</f>
        <v>1.06E-7</v>
      </c>
      <c r="P150" s="188">
        <f>opex_orig!P150</f>
        <v>7.4200000000000003E-8</v>
      </c>
      <c r="Q150" s="188">
        <f>opex_orig!Q150</f>
        <v>2.8699999999999999E-8</v>
      </c>
      <c r="R150" s="188">
        <f>opex_orig!R150</f>
        <v>7.4299999999999997E-8</v>
      </c>
      <c r="S150" s="188">
        <f>opex_orig!S150</f>
        <v>4.7099999999999998E-8</v>
      </c>
      <c r="T150" s="188">
        <f>opex_orig!T150</f>
        <v>1.36E-7</v>
      </c>
      <c r="U150" s="188">
        <f>opex_orig!U150</f>
        <v>1.7100000000000001E-7</v>
      </c>
      <c r="V150" s="188">
        <f>opex_orig!V150</f>
        <v>2.48E-7</v>
      </c>
      <c r="W150" s="188">
        <f>opex_orig!W150</f>
        <v>1.06E-7</v>
      </c>
      <c r="X150" s="188">
        <f>opex_orig!X150</f>
        <v>4.1199999999999998E-7</v>
      </c>
      <c r="Y150" s="188">
        <f>opex_orig!Y150</f>
        <v>5.7800000000000001E-8</v>
      </c>
      <c r="Z150" s="188">
        <f>opex_orig!Z150</f>
        <v>8.4799999999999997E-7</v>
      </c>
      <c r="AA150" s="188">
        <f>opex_orig!AA150</f>
        <v>4.6499999999999999E-7</v>
      </c>
      <c r="AB150" s="188">
        <f>opex_orig!$AB150</f>
        <v>3.3681597375321901E-6</v>
      </c>
      <c r="AC150" s="188">
        <f>opex_orig!$AB150</f>
        <v>3.3681597375321901E-6</v>
      </c>
      <c r="AD150" s="188">
        <f>opex_orig!$AB150</f>
        <v>3.3681597375321901E-6</v>
      </c>
      <c r="AE150" s="188">
        <f>opex_orig!$AC150</f>
        <v>3.8071453680921601E-7</v>
      </c>
      <c r="AF150" s="188">
        <f>opex_orig!$AD150</f>
        <v>1.16335194035135E-7</v>
      </c>
      <c r="AG150" s="188">
        <f>opex_orig!$AD150</f>
        <v>1.16335194035135E-7</v>
      </c>
      <c r="AH150" s="188">
        <f>opex_orig!$AD150</f>
        <v>1.16335194035135E-7</v>
      </c>
      <c r="AI150" s="188">
        <f>opex_orig!AE150</f>
        <v>9.0800000000000006E-8</v>
      </c>
      <c r="AJ150" s="188">
        <f>opex_orig!AF150</f>
        <v>1.4100000000000001E-7</v>
      </c>
      <c r="AK150" s="188">
        <f>opex_orig!AG150</f>
        <v>5.3300000000000001E-8</v>
      </c>
      <c r="AL150" s="188">
        <f>opex_orig!AH150</f>
        <v>5.5899999999999998E-8</v>
      </c>
      <c r="AM150" s="188">
        <f>opex_orig!AI150</f>
        <v>1.05E-7</v>
      </c>
      <c r="AN150" s="188">
        <f>opex_orig!AJ150</f>
        <v>5.2700000000000002E-8</v>
      </c>
      <c r="AO150" s="188">
        <f>opex_orig!AK150</f>
        <v>1.2700000000000001E-7</v>
      </c>
      <c r="AP150" s="284">
        <f>opex_concordance!M434</f>
        <v>5.64176205479691E-8</v>
      </c>
      <c r="AQ150" s="284">
        <f>opex_concordance!M488</f>
        <v>3.7507956797601514E-8</v>
      </c>
      <c r="AR150" s="284">
        <f>opex_concordance!M542</f>
        <v>0</v>
      </c>
      <c r="AS150" s="188">
        <f>opex_orig!$AM150</f>
        <v>1.0078900358242099E-7</v>
      </c>
      <c r="AT150" s="188">
        <f>opex_orig!AN150</f>
        <v>6.1500000000000001E-8</v>
      </c>
      <c r="AU150" s="188">
        <f>opex_orig!$AO150</f>
        <v>6.3163477131694794E-8</v>
      </c>
      <c r="AV150" s="188">
        <f>opex_orig!$AO150</f>
        <v>6.3163477131694794E-8</v>
      </c>
      <c r="AW150" s="188">
        <f>opex_orig!$AO150</f>
        <v>6.3163477131694794E-8</v>
      </c>
      <c r="AX150" s="188">
        <f>opex_orig!$AP150</f>
        <v>4.6454016169605297E-8</v>
      </c>
      <c r="AY150" s="188">
        <f>opex_orig!AQ150</f>
        <v>1.55E-7</v>
      </c>
      <c r="AZ150" s="188">
        <f>opex_orig!AR150</f>
        <v>0</v>
      </c>
      <c r="BA150" s="188">
        <f>opex_orig!AS150</f>
        <v>3.9300000000000001E-8</v>
      </c>
      <c r="BB150" s="188">
        <f>opex_orig!AT150</f>
        <v>2.9099999999999999E-8</v>
      </c>
      <c r="BC150" s="188">
        <f>opex_orig!AU150</f>
        <v>5.4399999999999997E-8</v>
      </c>
      <c r="BD150" s="188">
        <f>opex_orig!AV150</f>
        <v>5.8199999999999998E-8</v>
      </c>
      <c r="BE150" s="188">
        <f>opex_orig!AW150</f>
        <v>3.5700000000000002E-8</v>
      </c>
      <c r="BF150" s="188">
        <f>opex_orig!AX150</f>
        <v>0</v>
      </c>
      <c r="BG150" s="188">
        <f>opex_orig!AY150</f>
        <v>2.2399999999999999E-7</v>
      </c>
      <c r="BH150" s="188">
        <f>opex_orig!AZ150</f>
        <v>0</v>
      </c>
      <c r="BI150" s="188">
        <f>opex_orig!BA150</f>
        <v>4.6499999999999999E-8</v>
      </c>
      <c r="BJ150" s="188">
        <f>opex_orig!BB150</f>
        <v>4.73E-8</v>
      </c>
      <c r="BK150" s="188">
        <f>opex_orig!BC150</f>
        <v>2.9200000000000002E-7</v>
      </c>
      <c r="BL150" s="188">
        <f>opex_orig!BD150</f>
        <v>3.7E-7</v>
      </c>
      <c r="BM150" s="188">
        <f>opex_orig!BE150</f>
        <v>4.2899999999999999E-7</v>
      </c>
      <c r="BN150" s="188">
        <f>opex_orig!BF150</f>
        <v>6.1799999999999998E-8</v>
      </c>
      <c r="BO150" s="188">
        <f>opex_orig!BG150</f>
        <v>7.0200000000000007E-8</v>
      </c>
      <c r="BP150" s="188">
        <f>opex_orig!$BH150</f>
        <v>1.9414176068821601E-7</v>
      </c>
      <c r="BQ150" s="188">
        <f>opex_orig!$BH150</f>
        <v>1.9414176068821601E-7</v>
      </c>
      <c r="BR150" s="188">
        <f>opex_orig!BI150</f>
        <v>1.04E-7</v>
      </c>
      <c r="BS150" s="188">
        <f>opex_orig!BJ150</f>
        <v>5.1300000000000003E-8</v>
      </c>
      <c r="BT150" s="188">
        <f>opex_orig!BK150</f>
        <v>3.8199999999999998E-8</v>
      </c>
      <c r="BU150" s="188">
        <f>opex_orig!BL150</f>
        <v>0</v>
      </c>
      <c r="BV150" s="27">
        <f>opex_orig!BM150</f>
        <v>2.2206708547427899E-7</v>
      </c>
      <c r="BW150" s="27">
        <f>opex_orig!BN150</f>
        <v>4.2832359688720299E-7</v>
      </c>
      <c r="BX150" s="27">
        <f>opex_orig!BO150</f>
        <v>7.33979980418677E-8</v>
      </c>
      <c r="BY150" s="27">
        <f>opex_orig!BP150</f>
        <v>1.5438816653154601E-7</v>
      </c>
      <c r="BZ150" s="27">
        <f>opex_orig!BQ150</f>
        <v>4.21727156486482E-7</v>
      </c>
      <c r="CA150" s="27">
        <f>opex_orig!BR150</f>
        <v>5.1114740861365101E-7</v>
      </c>
      <c r="CB150" s="27">
        <f>opex_orig!BS150</f>
        <v>1.13787623981086E-6</v>
      </c>
      <c r="CC150" s="27">
        <f>opex_orig!BT150</f>
        <v>2.18511609074642E-5</v>
      </c>
      <c r="CD150" s="27">
        <f>opex_orig!BU150</f>
        <v>7.3443666876365406E-8</v>
      </c>
      <c r="CE150" s="27">
        <f>opex_orig!BV150</f>
        <v>7.3443666876365406E-8</v>
      </c>
      <c r="CF150" s="27">
        <f>opex_orig!BW150</f>
        <v>1.56277184980311E-6</v>
      </c>
      <c r="CG150" s="27">
        <f>opex_orig!BX150</f>
        <v>1.7565139488465201E-6</v>
      </c>
      <c r="CH150" s="27">
        <f>opex_orig!BY150</f>
        <v>1.8054471924416701E-6</v>
      </c>
      <c r="CI150" s="27">
        <f>opex_orig!Y150</f>
        <v>5.7800000000000001E-8</v>
      </c>
      <c r="CJ150" s="27">
        <f>opex_orig!Z150</f>
        <v>8.4799999999999997E-7</v>
      </c>
      <c r="CK150" s="27">
        <f>opex_orig!AA150</f>
        <v>4.6499999999999999E-7</v>
      </c>
      <c r="CL150" s="27">
        <f>opex_orig!AB150</f>
        <v>3.3681597375321901E-6</v>
      </c>
      <c r="CM150" s="27">
        <f>opex_orig!AC150</f>
        <v>3.8071453680921601E-7</v>
      </c>
      <c r="CN150" s="27">
        <f>opex_orig!AD150</f>
        <v>1.16335194035135E-7</v>
      </c>
      <c r="CO150" s="27">
        <f>opex_orig!AE150</f>
        <v>9.0800000000000006E-8</v>
      </c>
      <c r="CP150" s="27">
        <f>opex_orig!AF150</f>
        <v>1.4100000000000001E-7</v>
      </c>
    </row>
    <row r="151" spans="1:94" x14ac:dyDescent="0.25">
      <c r="A151" s="6" t="s">
        <v>293</v>
      </c>
      <c r="B151" s="2" t="s">
        <v>292</v>
      </c>
      <c r="C151" s="1" t="s">
        <v>335</v>
      </c>
      <c r="D151" s="188">
        <f>opex_orig!D151</f>
        <v>7.5060199999999995E-4</v>
      </c>
      <c r="E151" s="188">
        <f>opex_orig!E151</f>
        <v>6.7458100000000005E-4</v>
      </c>
      <c r="F151" s="188">
        <f>opex_orig!F151</f>
        <v>1.37553E-4</v>
      </c>
      <c r="G151" s="188">
        <f>opex_orig!G151</f>
        <v>3.0899999999999999E-5</v>
      </c>
      <c r="H151" s="188">
        <f>opex_orig!H151</f>
        <v>5.2299999999999997E-5</v>
      </c>
      <c r="I151" s="188">
        <f>opex_orig!I151</f>
        <v>5.8034199999999997E-4</v>
      </c>
      <c r="J151" s="188">
        <f>opex_orig!J151</f>
        <v>4.1181399999999998E-4</v>
      </c>
      <c r="K151" s="188">
        <f>opex_orig!K151</f>
        <v>8.2000000000000001E-5</v>
      </c>
      <c r="L151" s="188">
        <f>opex_orig!L151</f>
        <v>7.7417299999999996E-4</v>
      </c>
      <c r="M151" s="188">
        <f>opex_orig!M151</f>
        <v>2.2069110000000002E-3</v>
      </c>
      <c r="N151" s="188">
        <f>opex_orig!N151</f>
        <v>4.0971940000000002E-3</v>
      </c>
      <c r="O151" s="188">
        <f>opex_orig!O151</f>
        <v>1.176341E-3</v>
      </c>
      <c r="P151" s="188">
        <f>opex_orig!P151</f>
        <v>6.0090299999999996E-4</v>
      </c>
      <c r="Q151" s="188">
        <f>opex_orig!Q151</f>
        <v>8.0500000000000005E-5</v>
      </c>
      <c r="R151" s="188">
        <f>opex_orig!R151</f>
        <v>6.3299999999999994E-5</v>
      </c>
      <c r="S151" s="188">
        <f>opex_orig!S151</f>
        <v>1.5568299999999999E-4</v>
      </c>
      <c r="T151" s="188">
        <f>opex_orig!T151</f>
        <v>9.2100000000000003E-5</v>
      </c>
      <c r="U151" s="188">
        <f>opex_orig!U151</f>
        <v>1.4636E-3</v>
      </c>
      <c r="V151" s="188">
        <f>opex_orig!V151</f>
        <v>2.61247E-3</v>
      </c>
      <c r="W151" s="188">
        <f>opex_orig!W151</f>
        <v>4.82089E-4</v>
      </c>
      <c r="X151" s="188">
        <f>opex_orig!X151</f>
        <v>1.83034E-4</v>
      </c>
      <c r="Y151" s="188">
        <f>opex_orig!Y151</f>
        <v>1.00537E-4</v>
      </c>
      <c r="Z151" s="188">
        <f>opex_orig!Z151</f>
        <v>4.2496E-4</v>
      </c>
      <c r="AA151" s="188">
        <f>opex_orig!AA151</f>
        <v>2.0543800000000001E-4</v>
      </c>
      <c r="AB151" s="188">
        <f>opex_orig!$AB151</f>
        <v>4.0779143705006998E-4</v>
      </c>
      <c r="AC151" s="188">
        <f>opex_orig!$AB151</f>
        <v>4.0779143705006998E-4</v>
      </c>
      <c r="AD151" s="188">
        <f>opex_orig!$AB151</f>
        <v>4.0779143705006998E-4</v>
      </c>
      <c r="AE151" s="188">
        <f>opex_orig!$AC151</f>
        <v>1.47205900693031E-2</v>
      </c>
      <c r="AF151" s="188">
        <f>opex_orig!$AD151</f>
        <v>4.8451550028647903E-3</v>
      </c>
      <c r="AG151" s="188">
        <f>opex_orig!$AD151</f>
        <v>4.8451550028647903E-3</v>
      </c>
      <c r="AH151" s="188">
        <f>opex_orig!$AD151</f>
        <v>4.8451550028647903E-3</v>
      </c>
      <c r="AI151" s="188">
        <f>opex_orig!AE151</f>
        <v>3.8648020000000001E-3</v>
      </c>
      <c r="AJ151" s="188">
        <f>opex_orig!AF151</f>
        <v>1.1499850000000001E-3</v>
      </c>
      <c r="AK151" s="188">
        <f>opex_orig!AG151</f>
        <v>1.8349999999999999E-4</v>
      </c>
      <c r="AL151" s="188">
        <f>opex_orig!AH151</f>
        <v>2.4061300000000001E-4</v>
      </c>
      <c r="AM151" s="188">
        <f>opex_orig!AI151</f>
        <v>2.1080099999999999E-4</v>
      </c>
      <c r="AN151" s="188">
        <f>opex_orig!AJ151</f>
        <v>4.3507099999999998E-4</v>
      </c>
      <c r="AO151" s="188">
        <f>opex_orig!AK151</f>
        <v>2.6100100000000002E-4</v>
      </c>
      <c r="AP151" s="284">
        <f>opex_concordance!M435</f>
        <v>5.9833910216383905E-4</v>
      </c>
      <c r="AQ151" s="284">
        <f>opex_concordance!M489</f>
        <v>3.9779198371535775E-4</v>
      </c>
      <c r="AR151" s="284">
        <f>opex_concordance!M543</f>
        <v>0</v>
      </c>
      <c r="AS151" s="188">
        <f>opex_orig!$AM151</f>
        <v>2.4495527498332099E-4</v>
      </c>
      <c r="AT151" s="188">
        <f>opex_orig!AN151</f>
        <v>6.7969700000000005E-4</v>
      </c>
      <c r="AU151" s="188">
        <f>opex_orig!$AO151</f>
        <v>1.02592142149026E-3</v>
      </c>
      <c r="AV151" s="188">
        <f>opex_orig!$AO151</f>
        <v>1.02592142149026E-3</v>
      </c>
      <c r="AW151" s="188">
        <f>opex_orig!$AO151</f>
        <v>1.02592142149026E-3</v>
      </c>
      <c r="AX151" s="188">
        <f>opex_orig!$AP151</f>
        <v>1.58024908945407E-3</v>
      </c>
      <c r="AY151" s="188">
        <f>opex_orig!AQ151</f>
        <v>1.8066779999999999E-3</v>
      </c>
      <c r="AZ151" s="188">
        <f>opex_orig!AR151</f>
        <v>0</v>
      </c>
      <c r="BA151" s="188">
        <f>opex_orig!AS151</f>
        <v>1.0807729999999999E-3</v>
      </c>
      <c r="BB151" s="188">
        <f>opex_orig!AT151</f>
        <v>8.3712299999999995E-4</v>
      </c>
      <c r="BC151" s="188">
        <f>opex_orig!AU151</f>
        <v>1.4913540000000001E-3</v>
      </c>
      <c r="BD151" s="188">
        <f>opex_orig!AV151</f>
        <v>1.14617E-4</v>
      </c>
      <c r="BE151" s="188">
        <f>opex_orig!AW151</f>
        <v>1.2604910000000001E-3</v>
      </c>
      <c r="BF151" s="188">
        <f>opex_orig!AX151</f>
        <v>0</v>
      </c>
      <c r="BG151" s="188">
        <f>opex_orig!AY151</f>
        <v>5.5049799999999996E-4</v>
      </c>
      <c r="BH151" s="188">
        <f>opex_orig!AZ151</f>
        <v>0</v>
      </c>
      <c r="BI151" s="188">
        <f>opex_orig!BA151</f>
        <v>8.9336400000000001E-4</v>
      </c>
      <c r="BJ151" s="188">
        <f>opex_orig!BB151</f>
        <v>1.2793080000000001E-3</v>
      </c>
      <c r="BK151" s="188">
        <f>opex_orig!BC151</f>
        <v>2.0519269999999998E-3</v>
      </c>
      <c r="BL151" s="188">
        <f>opex_orig!BD151</f>
        <v>1.2801699999999999E-4</v>
      </c>
      <c r="BM151" s="188">
        <f>opex_orig!BE151</f>
        <v>2.4504300000000002E-4</v>
      </c>
      <c r="BN151" s="188">
        <f>opex_orig!BF151</f>
        <v>9.1299999999999997E-5</v>
      </c>
      <c r="BO151" s="188">
        <f>opex_orig!BG151</f>
        <v>3.7532599999999999E-4</v>
      </c>
      <c r="BP151" s="188">
        <f>opex_orig!$BH151</f>
        <v>7.0941738088187698E-4</v>
      </c>
      <c r="BQ151" s="188">
        <f>opex_orig!$BH151</f>
        <v>7.0941738088187698E-4</v>
      </c>
      <c r="BR151" s="188">
        <f>opex_orig!BI151</f>
        <v>9.816759999999999E-4</v>
      </c>
      <c r="BS151" s="188">
        <f>opex_orig!BJ151</f>
        <v>3.2180400000000002E-4</v>
      </c>
      <c r="BT151" s="188">
        <f>opex_orig!BK151</f>
        <v>1.668817E-3</v>
      </c>
      <c r="BU151" s="188">
        <f>opex_orig!BL151</f>
        <v>0</v>
      </c>
      <c r="BV151" s="27">
        <f>opex_orig!BM151</f>
        <v>9.06552981922833E-4</v>
      </c>
      <c r="BW151" s="27">
        <f>opex_orig!BN151</f>
        <v>4.31597988665329E-3</v>
      </c>
      <c r="BX151" s="27">
        <f>opex_orig!BO151</f>
        <v>8.9157486830278797E-4</v>
      </c>
      <c r="BY151" s="27">
        <f>opex_orig!BP151</f>
        <v>3.4094000825991501E-3</v>
      </c>
      <c r="BZ151" s="27">
        <f>opex_orig!BQ151</f>
        <v>4.3309313224459202E-4</v>
      </c>
      <c r="CA151" s="27">
        <f>opex_orig!BR151</f>
        <v>1.76900244559416E-5</v>
      </c>
      <c r="CB151" s="27">
        <f>opex_orig!BS151</f>
        <v>7.4462640213385797E-4</v>
      </c>
      <c r="CC151" s="27">
        <f>opex_orig!BT151</f>
        <v>1.02870188231935E-4</v>
      </c>
      <c r="CD151" s="27">
        <f>opex_orig!BU151</f>
        <v>4.7382137204071802E-5</v>
      </c>
      <c r="CE151" s="27">
        <f>opex_orig!BV151</f>
        <v>4.7382137204071897E-5</v>
      </c>
      <c r="CF151" s="27">
        <f>opex_orig!BW151</f>
        <v>4.2682116581145297E-6</v>
      </c>
      <c r="CG151" s="27">
        <f>opex_orig!BX151</f>
        <v>7.4992149924902901E-6</v>
      </c>
      <c r="CH151" s="27">
        <f>opex_orig!BY151</f>
        <v>6.2745877962952505E-8</v>
      </c>
      <c r="CI151" s="27">
        <f>opex_orig!Y151</f>
        <v>1.00537E-4</v>
      </c>
      <c r="CJ151" s="27">
        <f>opex_orig!Z151</f>
        <v>4.2496E-4</v>
      </c>
      <c r="CK151" s="27">
        <f>opex_orig!AA151</f>
        <v>2.0543800000000001E-4</v>
      </c>
      <c r="CL151" s="27">
        <f>opex_orig!AB151</f>
        <v>4.0779143705006998E-4</v>
      </c>
      <c r="CM151" s="27">
        <f>opex_orig!AC151</f>
        <v>1.47205900693031E-2</v>
      </c>
      <c r="CN151" s="27">
        <f>opex_orig!AD151</f>
        <v>4.8451550028647903E-3</v>
      </c>
      <c r="CO151" s="27">
        <f>opex_orig!AE151</f>
        <v>3.8648020000000001E-3</v>
      </c>
      <c r="CP151" s="27">
        <f>opex_orig!AF151</f>
        <v>1.1499850000000001E-3</v>
      </c>
    </row>
    <row r="152" spans="1:94" x14ac:dyDescent="0.25">
      <c r="A152" s="6" t="s">
        <v>295</v>
      </c>
      <c r="B152" s="2" t="s">
        <v>294</v>
      </c>
      <c r="C152" s="1" t="s">
        <v>335</v>
      </c>
      <c r="D152" s="188">
        <f>opex_orig!D152</f>
        <v>3.6141E-4</v>
      </c>
      <c r="E152" s="188">
        <f>opex_orig!E152</f>
        <v>1.5144299999999999E-4</v>
      </c>
      <c r="F152" s="188">
        <f>opex_orig!F152</f>
        <v>2.4700000000000001E-5</v>
      </c>
      <c r="G152" s="188">
        <f>opex_orig!G152</f>
        <v>5.7300000000000002E-6</v>
      </c>
      <c r="H152" s="188">
        <f>opex_orig!H152</f>
        <v>9.4499999999999993E-6</v>
      </c>
      <c r="I152" s="188">
        <f>opex_orig!I152</f>
        <v>1.09522E-4</v>
      </c>
      <c r="J152" s="188">
        <f>opex_orig!J152</f>
        <v>7.1299999999999998E-5</v>
      </c>
      <c r="K152" s="188">
        <f>opex_orig!K152</f>
        <v>1.5400000000000002E-5</v>
      </c>
      <c r="L152" s="188">
        <f>opex_orig!L152</f>
        <v>1.42516E-4</v>
      </c>
      <c r="M152" s="188">
        <f>opex_orig!M152</f>
        <v>4.0025299999999999E-4</v>
      </c>
      <c r="N152" s="188">
        <f>opex_orig!N152</f>
        <v>9.6061200000000001E-4</v>
      </c>
      <c r="O152" s="188">
        <f>opex_orig!O152</f>
        <v>2.4738000000000001E-4</v>
      </c>
      <c r="P152" s="188">
        <f>opex_orig!P152</f>
        <v>1.5653299999999999E-4</v>
      </c>
      <c r="Q152" s="188">
        <f>opex_orig!Q152</f>
        <v>3.2100000000000001E-5</v>
      </c>
      <c r="R152" s="188">
        <f>opex_orig!R152</f>
        <v>1.9899999999999999E-5</v>
      </c>
      <c r="S152" s="188">
        <f>opex_orig!S152</f>
        <v>3.5099999999999999E-5</v>
      </c>
      <c r="T152" s="188">
        <f>opex_orig!T152</f>
        <v>1.8600000000000001E-5</v>
      </c>
      <c r="U152" s="188">
        <f>opex_orig!U152</f>
        <v>3.0597799999999999E-4</v>
      </c>
      <c r="V152" s="188">
        <f>opex_orig!V152</f>
        <v>5.7236600000000004E-4</v>
      </c>
      <c r="W152" s="188">
        <f>opex_orig!W152</f>
        <v>1.0179900000000001E-4</v>
      </c>
      <c r="X152" s="188">
        <f>opex_orig!X152</f>
        <v>4.1100000000000003E-5</v>
      </c>
      <c r="Y152" s="188">
        <f>opex_orig!Y152</f>
        <v>2.2500000000000001E-5</v>
      </c>
      <c r="Z152" s="188">
        <f>opex_orig!Z152</f>
        <v>8.9499999999999994E-5</v>
      </c>
      <c r="AA152" s="188">
        <f>opex_orig!AA152</f>
        <v>4.6999999999999997E-5</v>
      </c>
      <c r="AB152" s="188">
        <f>opex_orig!$AB152</f>
        <v>3.6122724475254003E-5</v>
      </c>
      <c r="AC152" s="188">
        <f>opex_orig!$AB152</f>
        <v>3.6122724475254003E-5</v>
      </c>
      <c r="AD152" s="188">
        <f>opex_orig!$AB152</f>
        <v>3.6122724475254003E-5</v>
      </c>
      <c r="AE152" s="188">
        <f>opex_orig!$AC152</f>
        <v>3.51658865794856E-3</v>
      </c>
      <c r="AF152" s="188">
        <f>opex_orig!$AD152</f>
        <v>9.9503212743291109E-4</v>
      </c>
      <c r="AG152" s="188">
        <f>opex_orig!$AD152</f>
        <v>9.9503212743291109E-4</v>
      </c>
      <c r="AH152" s="188">
        <f>opex_orig!$AD152</f>
        <v>9.9503212743291109E-4</v>
      </c>
      <c r="AI152" s="188">
        <f>opex_orig!AE152</f>
        <v>7.5445199999999997E-4</v>
      </c>
      <c r="AJ152" s="188">
        <f>opex_orig!AF152</f>
        <v>2.0940499999999999E-4</v>
      </c>
      <c r="AK152" s="188">
        <f>opex_orig!AG152</f>
        <v>3.8500000000000001E-5</v>
      </c>
      <c r="AL152" s="188">
        <f>opex_orig!AH152</f>
        <v>5.4700000000000001E-5</v>
      </c>
      <c r="AM152" s="188">
        <f>opex_orig!AI152</f>
        <v>3.8000000000000002E-5</v>
      </c>
      <c r="AN152" s="188">
        <f>opex_orig!AJ152</f>
        <v>1.04827E-4</v>
      </c>
      <c r="AO152" s="188">
        <f>opex_orig!AK152</f>
        <v>4.6999999999999997E-5</v>
      </c>
      <c r="AP152" s="188">
        <f>opex_orig!$AL152</f>
        <v>1.3512775337577799E-4</v>
      </c>
      <c r="AQ152" s="188">
        <f>opex_orig!$AL152</f>
        <v>1.3512775337577799E-4</v>
      </c>
      <c r="AR152" s="188">
        <f>opex_orig!$AL152</f>
        <v>1.3512775337577799E-4</v>
      </c>
      <c r="AS152" s="188">
        <f>opex_orig!$AM152</f>
        <v>5.0574544437702795E-4</v>
      </c>
      <c r="AT152" s="188">
        <f>opex_orig!AN152</f>
        <v>1.4677399999999999E-4</v>
      </c>
      <c r="AU152" s="188">
        <f>opex_orig!$AO152</f>
        <v>1.9499961782822999E-4</v>
      </c>
      <c r="AV152" s="188">
        <f>opex_orig!$AO152</f>
        <v>1.9499961782822999E-4</v>
      </c>
      <c r="AW152" s="188">
        <f>opex_orig!$AO152</f>
        <v>1.9499961782822999E-4</v>
      </c>
      <c r="AX152" s="188">
        <f>opex_orig!$AP152</f>
        <v>3.1904948747469197E-4</v>
      </c>
      <c r="AY152" s="188">
        <f>opex_orig!AQ152</f>
        <v>3.8755000000000001E-4</v>
      </c>
      <c r="AZ152" s="188">
        <f>opex_orig!AR152</f>
        <v>0</v>
      </c>
      <c r="BA152" s="188">
        <f>opex_orig!AS152</f>
        <v>2.2894899999999999E-4</v>
      </c>
      <c r="BB152" s="188">
        <f>opex_orig!AT152</f>
        <v>1.6331000000000001E-4</v>
      </c>
      <c r="BC152" s="188">
        <f>opex_orig!AU152</f>
        <v>3.6683100000000003E-4</v>
      </c>
      <c r="BD152" s="188">
        <f>opex_orig!AV152</f>
        <v>4.0289999999999998E-4</v>
      </c>
      <c r="BE152" s="188">
        <f>opex_orig!AW152</f>
        <v>2.6685100000000002E-4</v>
      </c>
      <c r="BF152" s="188">
        <f>opex_orig!AX152</f>
        <v>0</v>
      </c>
      <c r="BG152" s="188">
        <f>opex_orig!AY152</f>
        <v>1.03575E-4</v>
      </c>
      <c r="BH152" s="188">
        <f>opex_orig!AZ152</f>
        <v>0</v>
      </c>
      <c r="BI152" s="188">
        <f>opex_orig!BA152</f>
        <v>1.6847100000000001E-4</v>
      </c>
      <c r="BJ152" s="188">
        <f>opex_orig!BB152</f>
        <v>2.2697099999999999E-4</v>
      </c>
      <c r="BK152" s="188">
        <f>opex_orig!BC152</f>
        <v>3.62925E-4</v>
      </c>
      <c r="BL152" s="188">
        <f>opex_orig!BD152</f>
        <v>3.0300000000000001E-5</v>
      </c>
      <c r="BM152" s="188">
        <f>opex_orig!BE152</f>
        <v>4.6199999999999998E-5</v>
      </c>
      <c r="BN152" s="188">
        <f>opex_orig!BF152</f>
        <v>1.9599999999999999E-5</v>
      </c>
      <c r="BO152" s="188">
        <f>opex_orig!BG152</f>
        <v>7.6899999999999999E-5</v>
      </c>
      <c r="BP152" s="188">
        <f>opex_orig!$BH152</f>
        <v>1.2729870880822801E-4</v>
      </c>
      <c r="BQ152" s="188">
        <f>opex_orig!$BH152</f>
        <v>1.2729870880822801E-4</v>
      </c>
      <c r="BR152" s="188">
        <f>opex_orig!BI152</f>
        <v>1.83318E-4</v>
      </c>
      <c r="BS152" s="188">
        <f>opex_orig!BJ152</f>
        <v>6.3600000000000001E-5</v>
      </c>
      <c r="BT152" s="188">
        <f>opex_orig!BK152</f>
        <v>3.1004699999999998E-4</v>
      </c>
      <c r="BU152" s="188">
        <f>opex_orig!BL152</f>
        <v>0</v>
      </c>
      <c r="BV152" s="27">
        <f>opex_orig!BM152</f>
        <v>1.6932946730991E-4</v>
      </c>
      <c r="BW152" s="27">
        <f>opex_orig!BN152</f>
        <v>9.6656315429329497E-4</v>
      </c>
      <c r="BX152" s="27">
        <f>opex_orig!BO152</f>
        <v>1.7124384044226099E-4</v>
      </c>
      <c r="BY152" s="27">
        <f>opex_orig!BP152</f>
        <v>8.3341159985566096E-4</v>
      </c>
      <c r="BZ152" s="27">
        <f>opex_orig!BQ152</f>
        <v>7.6213680567842503E-5</v>
      </c>
      <c r="CA152" s="27">
        <f>opex_orig!BR152</f>
        <v>4.7919268110639304E-6</v>
      </c>
      <c r="CB152" s="27">
        <f>opex_orig!BS152</f>
        <v>1.7331354867221999E-4</v>
      </c>
      <c r="CC152" s="27">
        <f>opex_orig!BT152</f>
        <v>4.2864053637616997E-3</v>
      </c>
      <c r="CD152" s="27">
        <f>opex_orig!BU152</f>
        <v>7.9693628963268797E-6</v>
      </c>
      <c r="CE152" s="27">
        <f>opex_orig!BV152</f>
        <v>7.9693628963268899E-6</v>
      </c>
      <c r="CF152" s="27">
        <f>opex_orig!BW152</f>
        <v>3.9296589954353803E-6</v>
      </c>
      <c r="CG152" s="27">
        <f>opex_orig!BX152</f>
        <v>5.9043087107970504E-6</v>
      </c>
      <c r="CH152" s="27">
        <f>opex_orig!BY152</f>
        <v>2.10514152409404E-6</v>
      </c>
      <c r="CI152" s="27">
        <f>opex_orig!Y152</f>
        <v>2.2500000000000001E-5</v>
      </c>
      <c r="CJ152" s="27">
        <f>opex_orig!Z152</f>
        <v>8.9499999999999994E-5</v>
      </c>
      <c r="CK152" s="27">
        <f>opex_orig!AA152</f>
        <v>4.6999999999999997E-5</v>
      </c>
      <c r="CL152" s="27">
        <f>opex_orig!AB152</f>
        <v>3.6122724475254003E-5</v>
      </c>
      <c r="CM152" s="27">
        <f>opex_orig!AC152</f>
        <v>3.51658865794856E-3</v>
      </c>
      <c r="CN152" s="27">
        <f>opex_orig!AD152</f>
        <v>9.9503212743291109E-4</v>
      </c>
      <c r="CO152" s="27">
        <f>opex_orig!AE152</f>
        <v>7.5445199999999997E-4</v>
      </c>
      <c r="CP152" s="27">
        <f>opex_orig!AF152</f>
        <v>2.0940499999999999E-4</v>
      </c>
    </row>
    <row r="153" spans="1:94" x14ac:dyDescent="0.25">
      <c r="A153" s="6" t="s">
        <v>297</v>
      </c>
      <c r="B153" s="2" t="s">
        <v>296</v>
      </c>
      <c r="C153" s="1" t="s">
        <v>335</v>
      </c>
      <c r="D153" s="188">
        <f>opex_orig!D153</f>
        <v>5.9800000000000006E-8</v>
      </c>
      <c r="E153" s="188">
        <f>opex_orig!E153</f>
        <v>1.33E-8</v>
      </c>
      <c r="F153" s="188">
        <f>opex_orig!F153</f>
        <v>2.14E-8</v>
      </c>
      <c r="G153" s="188">
        <f>opex_orig!G153</f>
        <v>3.8199999999999996E-9</v>
      </c>
      <c r="H153" s="188">
        <f>opex_orig!H153</f>
        <v>8.6100000000000007E-9</v>
      </c>
      <c r="I153" s="188">
        <f>opex_orig!I153</f>
        <v>1.8699999999999999E-8</v>
      </c>
      <c r="J153" s="188">
        <f>opex_orig!J153</f>
        <v>5.0699999999999997E-8</v>
      </c>
      <c r="K153" s="188">
        <f>opex_orig!K153</f>
        <v>1.1199999999999999E-8</v>
      </c>
      <c r="L153" s="188">
        <f>opex_orig!L153</f>
        <v>6.7099999999999999E-8</v>
      </c>
      <c r="M153" s="188">
        <f>opex_orig!M153</f>
        <v>5.5000000000000003E-8</v>
      </c>
      <c r="N153" s="188">
        <f>opex_orig!N153</f>
        <v>3.7499999999999998E-8</v>
      </c>
      <c r="O153" s="188">
        <f>opex_orig!O153</f>
        <v>3.5399999999999999E-8</v>
      </c>
      <c r="P153" s="188">
        <f>opex_orig!P153</f>
        <v>8.5E-9</v>
      </c>
      <c r="Q153" s="188">
        <f>opex_orig!Q153</f>
        <v>4.5900000000000001E-9</v>
      </c>
      <c r="R153" s="188">
        <f>opex_orig!R153</f>
        <v>5.6599999999999999E-9</v>
      </c>
      <c r="S153" s="188">
        <f>opex_orig!S153</f>
        <v>8.6100000000000007E-9</v>
      </c>
      <c r="T153" s="188">
        <f>opex_orig!T153</f>
        <v>2.85E-8</v>
      </c>
      <c r="U153" s="188">
        <f>opex_orig!U153</f>
        <v>7.61E-9</v>
      </c>
      <c r="V153" s="188">
        <f>opex_orig!V153</f>
        <v>8.4599999999999993E-9</v>
      </c>
      <c r="W153" s="188">
        <f>opex_orig!W153</f>
        <v>3.2600000000000001E-8</v>
      </c>
      <c r="X153" s="188">
        <f>opex_orig!X153</f>
        <v>1.3799999999999999E-8</v>
      </c>
      <c r="Y153" s="188">
        <f>opex_orig!Y153</f>
        <v>2.23E-7</v>
      </c>
      <c r="Z153" s="188">
        <f>opex_orig!Z153</f>
        <v>4.0300000000000004E-9</v>
      </c>
      <c r="AA153" s="188">
        <f>opex_orig!AA153</f>
        <v>3.6500000000000003E-8</v>
      </c>
      <c r="AB153" s="188">
        <f>opex_orig!$AB153</f>
        <v>3.3124385624188101E-7</v>
      </c>
      <c r="AC153" s="188">
        <f>opex_orig!$AB153</f>
        <v>3.3124385624188101E-7</v>
      </c>
      <c r="AD153" s="188">
        <f>opex_orig!$AB153</f>
        <v>3.3124385624188101E-7</v>
      </c>
      <c r="AE153" s="188">
        <f>opex_orig!$AC153</f>
        <v>3.6858164331613297E-8</v>
      </c>
      <c r="AF153" s="188">
        <f>opex_orig!$AD153</f>
        <v>1.79447557831874E-8</v>
      </c>
      <c r="AG153" s="188">
        <f>opex_orig!$AD153</f>
        <v>1.79447557831874E-8</v>
      </c>
      <c r="AH153" s="188">
        <f>opex_orig!$AD153</f>
        <v>1.79447557831874E-8</v>
      </c>
      <c r="AI153" s="188">
        <f>opex_orig!AE153</f>
        <v>1.48E-8</v>
      </c>
      <c r="AJ153" s="188">
        <f>opex_orig!AF153</f>
        <v>2.4999999999999999E-8</v>
      </c>
      <c r="AK153" s="188">
        <f>opex_orig!AG153</f>
        <v>5.6599999999999999E-9</v>
      </c>
      <c r="AL153" s="188">
        <f>opex_orig!AH153</f>
        <v>2.1699999999999999E-8</v>
      </c>
      <c r="AM153" s="188">
        <f>opex_orig!AI153</f>
        <v>1.3000000000000001E-8</v>
      </c>
      <c r="AN153" s="188">
        <f>opex_orig!AJ153</f>
        <v>2.5600000000000001E-8</v>
      </c>
      <c r="AO153" s="188">
        <f>opex_orig!AK153</f>
        <v>1.9799999999999999E-8</v>
      </c>
      <c r="AP153" s="188">
        <f>opex_orig!$AL153</f>
        <v>1.48236781438993E-8</v>
      </c>
      <c r="AQ153" s="188">
        <f>opex_orig!$AL153</f>
        <v>1.48236781438993E-8</v>
      </c>
      <c r="AR153" s="188">
        <f>opex_orig!$AL153</f>
        <v>1.48236781438993E-8</v>
      </c>
      <c r="AS153" s="188">
        <f>opex_orig!$AM153</f>
        <v>1.68812119936103E-8</v>
      </c>
      <c r="AT153" s="188">
        <f>opex_orig!AN153</f>
        <v>1.33E-8</v>
      </c>
      <c r="AU153" s="188">
        <f>opex_orig!$AO153</f>
        <v>4.5260085548045498E-8</v>
      </c>
      <c r="AV153" s="188">
        <f>opex_orig!$AO153</f>
        <v>4.5260085548045498E-8</v>
      </c>
      <c r="AW153" s="188">
        <f>opex_orig!$AO153</f>
        <v>4.5260085548045498E-8</v>
      </c>
      <c r="AX153" s="188">
        <f>opex_orig!$AP153</f>
        <v>1.0647973758409799E-8</v>
      </c>
      <c r="AY153" s="188">
        <f>opex_orig!AQ153</f>
        <v>7.6000000000000002E-9</v>
      </c>
      <c r="AZ153" s="188">
        <f>opex_orig!AR153</f>
        <v>0</v>
      </c>
      <c r="BA153" s="188">
        <f>opex_orig!AS153</f>
        <v>9.8099999999999998E-9</v>
      </c>
      <c r="BB153" s="188">
        <f>opex_orig!AT153</f>
        <v>7.0800000000000004E-9</v>
      </c>
      <c r="BC153" s="188">
        <f>opex_orig!AU153</f>
        <v>4.6299999999999999E-9</v>
      </c>
      <c r="BD153" s="188">
        <f>opex_orig!AV153</f>
        <v>4.4699999999999997E-9</v>
      </c>
      <c r="BE153" s="188">
        <f>opex_orig!AW153</f>
        <v>5.0799999999999998E-9</v>
      </c>
      <c r="BF153" s="188">
        <f>opex_orig!AX153</f>
        <v>0</v>
      </c>
      <c r="BG153" s="188">
        <f>opex_orig!AY153</f>
        <v>2.18E-8</v>
      </c>
      <c r="BH153" s="188">
        <f>opex_orig!AZ153</f>
        <v>0</v>
      </c>
      <c r="BI153" s="188">
        <f>opex_orig!BA153</f>
        <v>1E-8</v>
      </c>
      <c r="BJ153" s="188">
        <f>opex_orig!BB153</f>
        <v>7.8000000000000004E-9</v>
      </c>
      <c r="BK153" s="188">
        <f>opex_orig!BC153</f>
        <v>9.94E-9</v>
      </c>
      <c r="BL153" s="188">
        <f>opex_orig!BD153</f>
        <v>1.73E-9</v>
      </c>
      <c r="BM153" s="188">
        <f>opex_orig!BE153</f>
        <v>6.5899999999999998E-9</v>
      </c>
      <c r="BN153" s="188">
        <f>opex_orig!BF153</f>
        <v>1.74E-9</v>
      </c>
      <c r="BO153" s="188">
        <f>opex_orig!BG153</f>
        <v>6.8800000000000002E-9</v>
      </c>
      <c r="BP153" s="188">
        <f>opex_orig!$BH153</f>
        <v>5.8491541064663598E-9</v>
      </c>
      <c r="BQ153" s="188">
        <f>opex_orig!$BH153</f>
        <v>5.8491541064663598E-9</v>
      </c>
      <c r="BR153" s="188">
        <f>opex_orig!BI153</f>
        <v>3.94E-9</v>
      </c>
      <c r="BS153" s="188">
        <f>opex_orig!BJ153</f>
        <v>1.24E-8</v>
      </c>
      <c r="BT153" s="188">
        <f>opex_orig!BK153</f>
        <v>6.3099999999999999E-9</v>
      </c>
      <c r="BU153" s="188">
        <f>opex_orig!BL153</f>
        <v>0</v>
      </c>
      <c r="BV153" s="27">
        <f>opex_orig!BM153</f>
        <v>5.9684984694976295E-8</v>
      </c>
      <c r="BW153" s="27">
        <f>opex_orig!BN153</f>
        <v>1.35342489055662E-8</v>
      </c>
      <c r="BX153" s="27">
        <f>opex_orig!BO153</f>
        <v>3.1995826005544702E-9</v>
      </c>
      <c r="BY153" s="27">
        <f>opex_orig!BP153</f>
        <v>9.5225606378635995E-9</v>
      </c>
      <c r="BZ153" s="27">
        <f>opex_orig!BQ153</f>
        <v>3.7491506243653902E-8</v>
      </c>
      <c r="CA153" s="27">
        <f>opex_orig!BR153</f>
        <v>2.1966410998050101E-7</v>
      </c>
      <c r="CB153" s="27">
        <f>opex_orig!BS153</f>
        <v>1.00449291662653E-7</v>
      </c>
      <c r="CC153" s="27">
        <f>opex_orig!BT153</f>
        <v>1.18568197719708E-8</v>
      </c>
      <c r="CD153" s="27">
        <f>opex_orig!BU153</f>
        <v>3.8002937281402397E-9</v>
      </c>
      <c r="CE153" s="27">
        <f>opex_orig!BV153</f>
        <v>3.8002937281402496E-9</v>
      </c>
      <c r="CF153" s="27">
        <f>opex_orig!BW153</f>
        <v>1.36619149831936E-8</v>
      </c>
      <c r="CG153" s="27">
        <f>opex_orig!BX153</f>
        <v>4.7866875770247495E-10</v>
      </c>
      <c r="CH153" s="27">
        <f>opex_orig!BY153</f>
        <v>2.7009100532561298E-9</v>
      </c>
      <c r="CI153" s="27">
        <f>opex_orig!Y153</f>
        <v>2.23E-7</v>
      </c>
      <c r="CJ153" s="27">
        <f>opex_orig!Z153</f>
        <v>4.0300000000000004E-9</v>
      </c>
      <c r="CK153" s="27">
        <f>opex_orig!AA153</f>
        <v>3.6500000000000003E-8</v>
      </c>
      <c r="CL153" s="27">
        <f>opex_orig!AB153</f>
        <v>3.3124385624188101E-7</v>
      </c>
      <c r="CM153" s="27">
        <f>opex_orig!AC153</f>
        <v>3.6858164331613297E-8</v>
      </c>
      <c r="CN153" s="27">
        <f>opex_orig!AD153</f>
        <v>1.79447557831874E-8</v>
      </c>
      <c r="CO153" s="27">
        <f>opex_orig!AE153</f>
        <v>1.48E-8</v>
      </c>
      <c r="CP153" s="27">
        <f>opex_orig!AF153</f>
        <v>2.4999999999999999E-8</v>
      </c>
    </row>
    <row r="154" spans="1:94" x14ac:dyDescent="0.25">
      <c r="A154" s="6" t="s">
        <v>299</v>
      </c>
      <c r="B154" s="2" t="s">
        <v>298</v>
      </c>
      <c r="C154" s="1" t="s">
        <v>335</v>
      </c>
      <c r="D154" s="188">
        <f>opex_orig!D154</f>
        <v>4.5905799999999998E-4</v>
      </c>
      <c r="E154" s="188">
        <f>opex_orig!E154</f>
        <v>1.65141E-4</v>
      </c>
      <c r="F154" s="188">
        <f>opex_orig!F154</f>
        <v>1.6490799999999999E-4</v>
      </c>
      <c r="G154" s="188">
        <f>opex_orig!G154</f>
        <v>9.6600000000000007E-6</v>
      </c>
      <c r="H154" s="188">
        <f>opex_orig!H154</f>
        <v>1.6099999999999998E-5</v>
      </c>
      <c r="I154" s="188">
        <f>opex_orig!I154</f>
        <v>1.5862800000000001E-4</v>
      </c>
      <c r="J154" s="188">
        <f>opex_orig!J154</f>
        <v>1.5508300000000001E-4</v>
      </c>
      <c r="K154" s="188">
        <f>opex_orig!K154</f>
        <v>2.5700000000000001E-5</v>
      </c>
      <c r="L154" s="188">
        <f>opex_orig!L154</f>
        <v>2.1560199999999999E-4</v>
      </c>
      <c r="M154" s="188">
        <f>opex_orig!M154</f>
        <v>6.0227900000000005E-4</v>
      </c>
      <c r="N154" s="188">
        <f>opex_orig!N154</f>
        <v>9.4162499999999997E-4</v>
      </c>
      <c r="O154" s="188">
        <f>opex_orig!O154</f>
        <v>3.3530000000000002E-4</v>
      </c>
      <c r="P154" s="188">
        <f>opex_orig!P154</f>
        <v>1.6721499999999999E-4</v>
      </c>
      <c r="Q154" s="188">
        <f>opex_orig!Q154</f>
        <v>7.8499999999999997E-5</v>
      </c>
      <c r="R154" s="188">
        <f>opex_orig!R154</f>
        <v>2.44E-5</v>
      </c>
      <c r="S154" s="188">
        <f>opex_orig!S154</f>
        <v>4.2400000000000001E-5</v>
      </c>
      <c r="T154" s="188">
        <f>opex_orig!T154</f>
        <v>3.15E-5</v>
      </c>
      <c r="U154" s="188">
        <f>opex_orig!U154</f>
        <v>3.6199600000000001E-4</v>
      </c>
      <c r="V154" s="188">
        <f>opex_orig!V154</f>
        <v>6.2190599999999998E-4</v>
      </c>
      <c r="W154" s="188">
        <f>opex_orig!W154</f>
        <v>1.2652799999999999E-4</v>
      </c>
      <c r="X154" s="188">
        <f>opex_orig!X154</f>
        <v>5.3699999999999997E-5</v>
      </c>
      <c r="Y154" s="188">
        <f>opex_orig!Y154</f>
        <v>3.3399999999999999E-5</v>
      </c>
      <c r="Z154" s="188">
        <f>opex_orig!Z154</f>
        <v>1.16698E-4</v>
      </c>
      <c r="AA154" s="188">
        <f>opex_orig!AA154</f>
        <v>8.0900000000000001E-5</v>
      </c>
      <c r="AB154" s="188">
        <f>opex_orig!$AB154</f>
        <v>6.00974610040198E-5</v>
      </c>
      <c r="AC154" s="188">
        <f>opex_orig!$AB154</f>
        <v>6.00974610040198E-5</v>
      </c>
      <c r="AD154" s="188">
        <f>opex_orig!$AB154</f>
        <v>6.00974610040198E-5</v>
      </c>
      <c r="AE154" s="188">
        <f>opex_orig!$AC154</f>
        <v>3.2787202138873702E-3</v>
      </c>
      <c r="AF154" s="188">
        <f>opex_orig!$AD154</f>
        <v>1.19876281626405E-3</v>
      </c>
      <c r="AG154" s="188">
        <f>opex_orig!$AD154</f>
        <v>1.19876281626405E-3</v>
      </c>
      <c r="AH154" s="188">
        <f>opex_orig!$AD154</f>
        <v>1.19876281626405E-3</v>
      </c>
      <c r="AI154" s="188">
        <f>opex_orig!AE154</f>
        <v>9.8096399999999997E-4</v>
      </c>
      <c r="AJ154" s="188">
        <f>opex_orig!AF154</f>
        <v>3.2990599999999998E-4</v>
      </c>
      <c r="AK154" s="188">
        <f>opex_orig!AG154</f>
        <v>5.5000000000000002E-5</v>
      </c>
      <c r="AL154" s="188">
        <f>opex_orig!AH154</f>
        <v>6.1500000000000004E-5</v>
      </c>
      <c r="AM154" s="188">
        <f>opex_orig!AI154</f>
        <v>3.95296E-4</v>
      </c>
      <c r="AN154" s="188">
        <f>opex_orig!AJ154</f>
        <v>1.0030300000000001E-4</v>
      </c>
      <c r="AO154" s="188">
        <f>opex_orig!AK154</f>
        <v>6.5319100000000001E-4</v>
      </c>
      <c r="AP154" s="188">
        <f>opex_orig!$AL154</f>
        <v>1.4631340572300599E-4</v>
      </c>
      <c r="AQ154" s="188">
        <f>opex_orig!$AL154</f>
        <v>1.4631340572300599E-4</v>
      </c>
      <c r="AR154" s="188">
        <f>opex_orig!$AL154</f>
        <v>1.4631340572300599E-4</v>
      </c>
      <c r="AS154" s="188">
        <f>opex_orig!$AM154</f>
        <v>4.5476328950981099E-4</v>
      </c>
      <c r="AT154" s="188">
        <f>opex_orig!AN154</f>
        <v>1.6961E-4</v>
      </c>
      <c r="AU154" s="188">
        <f>opex_orig!$AO154</f>
        <v>3.1085848023983001E-4</v>
      </c>
      <c r="AV154" s="188">
        <f>opex_orig!$AO154</f>
        <v>3.1085848023983001E-4</v>
      </c>
      <c r="AW154" s="188">
        <f>opex_orig!$AO154</f>
        <v>3.1085848023983001E-4</v>
      </c>
      <c r="AX154" s="188">
        <f>opex_orig!$AP154</f>
        <v>4.3920308043526998E-4</v>
      </c>
      <c r="AY154" s="188">
        <f>opex_orig!AQ154</f>
        <v>4.9028299999999999E-4</v>
      </c>
      <c r="AZ154" s="188">
        <f>opex_orig!AR154</f>
        <v>0</v>
      </c>
      <c r="BA154" s="188">
        <f>opex_orig!AS154</f>
        <v>3.00966E-4</v>
      </c>
      <c r="BB154" s="188">
        <f>opex_orig!AT154</f>
        <v>2.5911400000000001E-4</v>
      </c>
      <c r="BC154" s="188">
        <f>opex_orig!AU154</f>
        <v>3.2238299999999998E-4</v>
      </c>
      <c r="BD154" s="188">
        <f>opex_orig!AV154</f>
        <v>3.4757599999999999E-4</v>
      </c>
      <c r="BE154" s="188">
        <f>opex_orig!AW154</f>
        <v>3.3749099999999998E-4</v>
      </c>
      <c r="BF154" s="188">
        <f>opex_orig!AX154</f>
        <v>0</v>
      </c>
      <c r="BG154" s="188">
        <f>opex_orig!AY154</f>
        <v>1.88841E-4</v>
      </c>
      <c r="BH154" s="188">
        <f>opex_orig!AZ154</f>
        <v>0</v>
      </c>
      <c r="BI154" s="188">
        <f>opex_orig!BA154</f>
        <v>2.5232299999999999E-4</v>
      </c>
      <c r="BJ154" s="188">
        <f>opex_orig!BB154</f>
        <v>3.47012E-4</v>
      </c>
      <c r="BK154" s="188">
        <f>opex_orig!BC154</f>
        <v>5.5958600000000005E-4</v>
      </c>
      <c r="BL154" s="188">
        <f>opex_orig!BD154</f>
        <v>3.6999999999999998E-5</v>
      </c>
      <c r="BM154" s="188">
        <f>opex_orig!BE154</f>
        <v>7.1099999999999994E-5</v>
      </c>
      <c r="BN154" s="188">
        <f>opex_orig!BF154</f>
        <v>2.2900000000000001E-5</v>
      </c>
      <c r="BO154" s="188">
        <f>opex_orig!BG154</f>
        <v>1.0135499999999999E-4</v>
      </c>
      <c r="BP154" s="188">
        <f>opex_orig!$BH154</f>
        <v>1.9590367138453099E-4</v>
      </c>
      <c r="BQ154" s="188">
        <f>opex_orig!$BH154</f>
        <v>1.9590367138453099E-4</v>
      </c>
      <c r="BR154" s="188">
        <f>opex_orig!BI154</f>
        <v>2.60683E-4</v>
      </c>
      <c r="BS154" s="188">
        <f>opex_orig!BJ154</f>
        <v>9.3300000000000005E-5</v>
      </c>
      <c r="BT154" s="188">
        <f>opex_orig!BK154</f>
        <v>5.1384399999999995E-4</v>
      </c>
      <c r="BU154" s="188">
        <f>opex_orig!BL154</f>
        <v>0</v>
      </c>
      <c r="BV154" s="27">
        <f>opex_orig!BM154</f>
        <v>2.3533445448944499E-4</v>
      </c>
      <c r="BW154" s="27">
        <f>opex_orig!BN154</f>
        <v>9.2141172416562603E-4</v>
      </c>
      <c r="BX154" s="27">
        <f>opex_orig!BO154</f>
        <v>2.2693953237543299E-4</v>
      </c>
      <c r="BY154" s="27">
        <f>opex_orig!BP154</f>
        <v>7.41883456431368E-4</v>
      </c>
      <c r="BZ154" s="27">
        <f>opex_orig!BQ154</f>
        <v>3.30980313877647E-3</v>
      </c>
      <c r="CA154" s="27">
        <f>opex_orig!BR154</f>
        <v>2.9163671353881902E-6</v>
      </c>
      <c r="CB154" s="27">
        <f>opex_orig!BS154</f>
        <v>2.0828994071538101E-4</v>
      </c>
      <c r="CC154" s="27">
        <f>opex_orig!BT154</f>
        <v>3.0968596744851998E-4</v>
      </c>
      <c r="CD154" s="27">
        <f>opex_orig!BU154</f>
        <v>1.5535380806972601E-5</v>
      </c>
      <c r="CE154" s="27">
        <f>opex_orig!BV154</f>
        <v>1.5535380806972601E-5</v>
      </c>
      <c r="CF154" s="27">
        <f>opex_orig!BW154</f>
        <v>1.59291745929494E-6</v>
      </c>
      <c r="CG154" s="27">
        <f>opex_orig!BX154</f>
        <v>4.1330530822725E-6</v>
      </c>
      <c r="CH154" s="27">
        <f>opex_orig!BY154</f>
        <v>1.6990441657205E-6</v>
      </c>
      <c r="CI154" s="27">
        <f>opex_orig!Y154</f>
        <v>3.3399999999999999E-5</v>
      </c>
      <c r="CJ154" s="27">
        <f>opex_orig!Z154</f>
        <v>1.16698E-4</v>
      </c>
      <c r="CK154" s="27">
        <f>opex_orig!AA154</f>
        <v>8.0900000000000001E-5</v>
      </c>
      <c r="CL154" s="27">
        <f>opex_orig!AB154</f>
        <v>6.00974610040198E-5</v>
      </c>
      <c r="CM154" s="27">
        <f>opex_orig!AC154</f>
        <v>3.2787202138873702E-3</v>
      </c>
      <c r="CN154" s="27">
        <f>opex_orig!AD154</f>
        <v>1.19876281626405E-3</v>
      </c>
      <c r="CO154" s="27">
        <f>opex_orig!AE154</f>
        <v>9.8096399999999997E-4</v>
      </c>
      <c r="CP154" s="27">
        <f>opex_orig!AF154</f>
        <v>3.2990599999999998E-4</v>
      </c>
    </row>
    <row r="155" spans="1:94" x14ac:dyDescent="0.25">
      <c r="A155" s="6" t="s">
        <v>301</v>
      </c>
      <c r="B155" s="2" t="s">
        <v>300</v>
      </c>
      <c r="C155" s="1" t="s">
        <v>335</v>
      </c>
      <c r="D155" s="188">
        <f>opex_orig!D155</f>
        <v>8.87827E-4</v>
      </c>
      <c r="E155" s="188">
        <f>opex_orig!E155</f>
        <v>3.2305600000000001E-4</v>
      </c>
      <c r="F155" s="188">
        <f>opex_orig!F155</f>
        <v>8.0900000000000001E-5</v>
      </c>
      <c r="G155" s="188">
        <f>opex_orig!G155</f>
        <v>1.7900000000000001E-5</v>
      </c>
      <c r="H155" s="188">
        <f>opex_orig!H155</f>
        <v>3.0000000000000001E-5</v>
      </c>
      <c r="I155" s="188">
        <f>opex_orig!I155</f>
        <v>2.9926300000000002E-4</v>
      </c>
      <c r="J155" s="188">
        <f>opex_orig!J155</f>
        <v>2.8236599999999999E-4</v>
      </c>
      <c r="K155" s="188">
        <f>opex_orig!K155</f>
        <v>4.7800000000000003E-5</v>
      </c>
      <c r="L155" s="188">
        <f>opex_orig!L155</f>
        <v>4.0429300000000001E-4</v>
      </c>
      <c r="M155" s="188">
        <f>opex_orig!M155</f>
        <v>1.131347E-3</v>
      </c>
      <c r="N155" s="188">
        <f>opex_orig!N155</f>
        <v>1.8647030000000001E-3</v>
      </c>
      <c r="O155" s="188">
        <f>opex_orig!O155</f>
        <v>6.4103300000000005E-4</v>
      </c>
      <c r="P155" s="188">
        <f>opex_orig!P155</f>
        <v>3.1710700000000001E-4</v>
      </c>
      <c r="Q155" s="188">
        <f>opex_orig!Q155</f>
        <v>4.9200000000000003E-5</v>
      </c>
      <c r="R155" s="188">
        <f>opex_orig!R155</f>
        <v>4.3900000000000003E-5</v>
      </c>
      <c r="S155" s="188">
        <f>opex_orig!S155</f>
        <v>8.1899999999999999E-5</v>
      </c>
      <c r="T155" s="188">
        <f>opex_orig!T155</f>
        <v>5.8400000000000003E-5</v>
      </c>
      <c r="U155" s="188">
        <f>opex_orig!U155</f>
        <v>6.98031E-4</v>
      </c>
      <c r="V155" s="188">
        <f>opex_orig!V155</f>
        <v>1.213371E-3</v>
      </c>
      <c r="W155" s="188">
        <f>opex_orig!W155</f>
        <v>2.41179E-4</v>
      </c>
      <c r="X155" s="188">
        <f>opex_orig!X155</f>
        <v>1.02834E-4</v>
      </c>
      <c r="Y155" s="188">
        <f>opex_orig!Y155</f>
        <v>6.0999999999999999E-5</v>
      </c>
      <c r="Z155" s="188">
        <f>opex_orig!Z155</f>
        <v>2.22766E-4</v>
      </c>
      <c r="AA155" s="188">
        <f>opex_orig!AA155</f>
        <v>1.4192999999999999E-4</v>
      </c>
      <c r="AB155" s="188">
        <f>opex_orig!$AB155</f>
        <v>1.75779615479713E-4</v>
      </c>
      <c r="AC155" s="188">
        <f>opex_orig!$AB155</f>
        <v>1.75779615479713E-4</v>
      </c>
      <c r="AD155" s="188">
        <f>opex_orig!$AB155</f>
        <v>1.75779615479713E-4</v>
      </c>
      <c r="AE155" s="188">
        <f>opex_orig!$AC155</f>
        <v>6.5440124258429903E-3</v>
      </c>
      <c r="AF155" s="188">
        <f>opex_orig!$AD155</f>
        <v>2.3060063501480301E-3</v>
      </c>
      <c r="AG155" s="188">
        <f>opex_orig!$AD155</f>
        <v>2.3060063501480301E-3</v>
      </c>
      <c r="AH155" s="188">
        <f>opex_orig!$AD155</f>
        <v>2.3060063501480301E-3</v>
      </c>
      <c r="AI155" s="188">
        <f>opex_orig!AE155</f>
        <v>1.8678080000000001E-3</v>
      </c>
      <c r="AJ155" s="188">
        <f>opex_orig!AF155</f>
        <v>6.1852000000000001E-4</v>
      </c>
      <c r="AK155" s="188">
        <f>opex_orig!AG155</f>
        <v>1.042E-4</v>
      </c>
      <c r="AL155" s="188">
        <f>opex_orig!AH155</f>
        <v>1.1934699999999999E-4</v>
      </c>
      <c r="AM155" s="188">
        <f>opex_orig!AI155</f>
        <v>7.9468599999999996E-4</v>
      </c>
      <c r="AN155" s="188">
        <f>opex_orig!AJ155</f>
        <v>1.9937899999999999E-4</v>
      </c>
      <c r="AO155" s="188">
        <f>opex_orig!AK155</f>
        <v>1.3182510000000001E-3</v>
      </c>
      <c r="AP155" s="188">
        <f>opex_orig!$AL155</f>
        <v>2.8567617890058202E-4</v>
      </c>
      <c r="AQ155" s="188">
        <f>opex_orig!$AL155</f>
        <v>2.8567617890058202E-4</v>
      </c>
      <c r="AR155" s="188">
        <f>opex_orig!$AL155</f>
        <v>2.8567617890058202E-4</v>
      </c>
      <c r="AS155" s="188">
        <f>opex_orig!$AM155</f>
        <v>9.1403329914841304E-4</v>
      </c>
      <c r="AT155" s="188">
        <f>opex_orig!AN155</f>
        <v>3.2839399999999997E-4</v>
      </c>
      <c r="AU155" s="188">
        <f>opex_orig!$AO155</f>
        <v>5.8404726826616002E-4</v>
      </c>
      <c r="AV155" s="188">
        <f>opex_orig!$AO155</f>
        <v>5.8404726826616002E-4</v>
      </c>
      <c r="AW155" s="188">
        <f>opex_orig!$AO155</f>
        <v>5.8404726826616002E-4</v>
      </c>
      <c r="AX155" s="188">
        <f>opex_orig!$AP155</f>
        <v>8.3863771021095497E-4</v>
      </c>
      <c r="AY155" s="188">
        <f>opex_orig!AQ155</f>
        <v>9.40236E-4</v>
      </c>
      <c r="AZ155" s="188">
        <f>opex_orig!AR155</f>
        <v>0</v>
      </c>
      <c r="BA155" s="188">
        <f>opex_orig!AS155</f>
        <v>5.7917799999999996E-4</v>
      </c>
      <c r="BB155" s="188">
        <f>opex_orig!AT155</f>
        <v>4.9100200000000004E-4</v>
      </c>
      <c r="BC155" s="188">
        <f>opex_orig!AU155</f>
        <v>6.5167600000000001E-4</v>
      </c>
      <c r="BD155" s="188">
        <f>opex_orig!AV155</f>
        <v>7.0493699999999999E-4</v>
      </c>
      <c r="BE155" s="188">
        <f>opex_orig!AW155</f>
        <v>6.5039399999999999E-4</v>
      </c>
      <c r="BF155" s="188">
        <f>opex_orig!AX155</f>
        <v>0</v>
      </c>
      <c r="BG155" s="188">
        <f>opex_orig!AY155</f>
        <v>3.5110300000000002E-4</v>
      </c>
      <c r="BH155" s="188">
        <f>opex_orig!AZ155</f>
        <v>0</v>
      </c>
      <c r="BI155" s="188">
        <f>opex_orig!BA155</f>
        <v>4.7515399999999998E-4</v>
      </c>
      <c r="BJ155" s="188">
        <f>opex_orig!BB155</f>
        <v>6.50422E-4</v>
      </c>
      <c r="BK155" s="188">
        <f>opex_orig!BC155</f>
        <v>1.0500399999999999E-3</v>
      </c>
      <c r="BL155" s="188">
        <f>opex_orig!BD155</f>
        <v>7.5199999999999998E-5</v>
      </c>
      <c r="BM155" s="188">
        <f>opex_orig!BE155</f>
        <v>1.4140999999999999E-4</v>
      </c>
      <c r="BN155" s="188">
        <f>opex_orig!BF155</f>
        <v>4.4199999999999997E-5</v>
      </c>
      <c r="BO155" s="188">
        <f>opex_orig!BG155</f>
        <v>1.9395400000000001E-4</v>
      </c>
      <c r="BP155" s="188">
        <f>opex_orig!$BH155</f>
        <v>3.69167925723472E-4</v>
      </c>
      <c r="BQ155" s="188">
        <f>opex_orig!$BH155</f>
        <v>3.69167925723472E-4</v>
      </c>
      <c r="BR155" s="188">
        <f>opex_orig!BI155</f>
        <v>4.9282299999999998E-4</v>
      </c>
      <c r="BS155" s="188">
        <f>opex_orig!BJ155</f>
        <v>1.7614900000000001E-4</v>
      </c>
      <c r="BT155" s="188">
        <f>opex_orig!BK155</f>
        <v>9.6810400000000001E-4</v>
      </c>
      <c r="BU155" s="188">
        <f>opex_orig!BL155</f>
        <v>0</v>
      </c>
      <c r="BV155" s="27">
        <f>opex_orig!BM155</f>
        <v>4.43155536702237E-4</v>
      </c>
      <c r="BW155" s="27">
        <f>opex_orig!BN155</f>
        <v>1.83405471052581E-3</v>
      </c>
      <c r="BX155" s="27">
        <f>opex_orig!BO155</f>
        <v>4.3143751782531101E-4</v>
      </c>
      <c r="BY155" s="27">
        <f>opex_orig!BP155</f>
        <v>1.49388600936813E-3</v>
      </c>
      <c r="BZ155" s="27">
        <f>opex_orig!BQ155</f>
        <v>2.2234702234125601E-4</v>
      </c>
      <c r="CA155" s="27">
        <f>opex_orig!BR155</f>
        <v>7.45277610514715E-6</v>
      </c>
      <c r="CB155" s="27">
        <f>opex_orig!BS155</f>
        <v>3.2417242088143898E-4</v>
      </c>
      <c r="CC155" s="27">
        <f>opex_orig!BT155</f>
        <v>6.25276723281627E-4</v>
      </c>
      <c r="CD155" s="27">
        <f>opex_orig!BU155</f>
        <v>2.92708586837795E-5</v>
      </c>
      <c r="CE155" s="27">
        <f>opex_orig!BV155</f>
        <v>2.9270858683779601E-5</v>
      </c>
      <c r="CF155" s="27">
        <f>opex_orig!BW155</f>
        <v>3.2735414489275702E-6</v>
      </c>
      <c r="CG155" s="27">
        <f>opex_orig!BX155</f>
        <v>5.5476878097768999E-6</v>
      </c>
      <c r="CH155" s="27">
        <f>opex_orig!BY155</f>
        <v>1.8375001341602801E-6</v>
      </c>
      <c r="CI155" s="27">
        <f>opex_orig!Y155</f>
        <v>6.0999999999999999E-5</v>
      </c>
      <c r="CJ155" s="27">
        <f>opex_orig!Z155</f>
        <v>2.22766E-4</v>
      </c>
      <c r="CK155" s="27">
        <f>opex_orig!AA155</f>
        <v>1.4192999999999999E-4</v>
      </c>
      <c r="CL155" s="27">
        <f>opex_orig!AB155</f>
        <v>1.75779615479713E-4</v>
      </c>
      <c r="CM155" s="27">
        <f>opex_orig!AC155</f>
        <v>6.5440124258429903E-3</v>
      </c>
      <c r="CN155" s="27">
        <f>opex_orig!AD155</f>
        <v>2.3060063501480301E-3</v>
      </c>
      <c r="CO155" s="27">
        <f>opex_orig!AE155</f>
        <v>1.8678080000000001E-3</v>
      </c>
      <c r="CP155" s="27">
        <f>opex_orig!AF155</f>
        <v>6.1852000000000001E-4</v>
      </c>
    </row>
    <row r="156" spans="1:94" x14ac:dyDescent="0.25">
      <c r="A156" s="6" t="s">
        <v>303</v>
      </c>
      <c r="B156" s="2" t="s">
        <v>302</v>
      </c>
      <c r="C156" s="1" t="s">
        <v>335</v>
      </c>
      <c r="D156" s="188">
        <f>opex_orig!D156</f>
        <v>6.9707000000000005E-4</v>
      </c>
      <c r="E156" s="188">
        <f>opex_orig!E156</f>
        <v>7.3923700000000001E-4</v>
      </c>
      <c r="F156" s="188">
        <f>opex_orig!F156</f>
        <v>1.1307900000000001E-4</v>
      </c>
      <c r="G156" s="188">
        <f>opex_orig!G156</f>
        <v>2.48E-5</v>
      </c>
      <c r="H156" s="188">
        <f>opex_orig!H156</f>
        <v>4.1600000000000002E-5</v>
      </c>
      <c r="I156" s="188">
        <f>opex_orig!I156</f>
        <v>4.7487099999999997E-4</v>
      </c>
      <c r="J156" s="188">
        <f>opex_orig!J156</f>
        <v>3.9058499999999999E-4</v>
      </c>
      <c r="K156" s="188">
        <f>opex_orig!K156</f>
        <v>6.6299999999999999E-5</v>
      </c>
      <c r="L156" s="188">
        <f>opex_orig!L156</f>
        <v>6.00561E-4</v>
      </c>
      <c r="M156" s="188">
        <f>opex_orig!M156</f>
        <v>1.6706609999999999E-3</v>
      </c>
      <c r="N156" s="188">
        <f>opex_orig!N156</f>
        <v>4.7147619999999999E-3</v>
      </c>
      <c r="O156" s="188">
        <f>opex_orig!O156</f>
        <v>1.2280850000000001E-3</v>
      </c>
      <c r="P156" s="188">
        <f>opex_orig!P156</f>
        <v>5.1373100000000002E-4</v>
      </c>
      <c r="Q156" s="188">
        <f>opex_orig!Q156</f>
        <v>7.6500000000000003E-5</v>
      </c>
      <c r="R156" s="188">
        <f>opex_orig!R156</f>
        <v>5.94E-5</v>
      </c>
      <c r="S156" s="188">
        <f>opex_orig!S156</f>
        <v>1.72564E-4</v>
      </c>
      <c r="T156" s="188">
        <f>opex_orig!T156</f>
        <v>8.2700000000000004E-5</v>
      </c>
      <c r="U156" s="188">
        <f>opex_orig!U156</f>
        <v>1.3881290000000001E-3</v>
      </c>
      <c r="V156" s="188">
        <f>opex_orig!V156</f>
        <v>2.679617E-3</v>
      </c>
      <c r="W156" s="188">
        <f>opex_orig!W156</f>
        <v>4.4044599999999999E-4</v>
      </c>
      <c r="X156" s="188">
        <f>opex_orig!X156</f>
        <v>2.0505400000000001E-4</v>
      </c>
      <c r="Y156" s="188">
        <f>opex_orig!Y156</f>
        <v>8.4699999999999999E-5</v>
      </c>
      <c r="Z156" s="188">
        <f>opex_orig!Z156</f>
        <v>5.0925799999999995E-4</v>
      </c>
      <c r="AA156" s="188">
        <f>opex_orig!AA156</f>
        <v>1.9376500000000001E-4</v>
      </c>
      <c r="AB156" s="188">
        <f>opex_orig!$AB156</f>
        <v>2.8991103986343098E-4</v>
      </c>
      <c r="AC156" s="188">
        <f>opex_orig!$AB156</f>
        <v>2.8991103986343098E-4</v>
      </c>
      <c r="AD156" s="188">
        <f>opex_orig!$AB156</f>
        <v>2.8991103986343098E-4</v>
      </c>
      <c r="AE156" s="188">
        <f>opex_orig!$AC156</f>
        <v>1.7375960445600001E-2</v>
      </c>
      <c r="AF156" s="188">
        <f>opex_orig!$AD156</f>
        <v>4.4715935971112999E-3</v>
      </c>
      <c r="AG156" s="188">
        <f>opex_orig!$AD156</f>
        <v>4.4715935971112999E-3</v>
      </c>
      <c r="AH156" s="188">
        <f>opex_orig!$AD156</f>
        <v>4.4715935971112999E-3</v>
      </c>
      <c r="AI156" s="188">
        <f>opex_orig!AE156</f>
        <v>3.24968E-3</v>
      </c>
      <c r="AJ156" s="188">
        <f>opex_orig!AF156</f>
        <v>8.8707599999999999E-4</v>
      </c>
      <c r="AK156" s="188">
        <f>opex_orig!AG156</f>
        <v>1.67999E-4</v>
      </c>
      <c r="AL156" s="188">
        <f>opex_orig!AH156</f>
        <v>2.7130999999999998E-4</v>
      </c>
      <c r="AM156" s="188">
        <f>opex_orig!AI156</f>
        <v>1.7002200000000001E-4</v>
      </c>
      <c r="AN156" s="188">
        <f>opex_orig!AJ156</f>
        <v>5.2481700000000001E-4</v>
      </c>
      <c r="AO156" s="188">
        <f>opex_orig!AK156</f>
        <v>2.0376300000000001E-4</v>
      </c>
      <c r="AP156" s="188">
        <f>opex_orig!$AL156</f>
        <v>6.5255405964827597E-4</v>
      </c>
      <c r="AQ156" s="188">
        <f>opex_orig!$AL156</f>
        <v>6.5255405964827597E-4</v>
      </c>
      <c r="AR156" s="188">
        <f>opex_orig!$AL156</f>
        <v>6.5255405964827597E-4</v>
      </c>
      <c r="AS156" s="188">
        <f>opex_orig!$AM156</f>
        <v>1.9103215063761699E-4</v>
      </c>
      <c r="AT156" s="188">
        <f>opex_orig!AN156</f>
        <v>6.9379000000000001E-4</v>
      </c>
      <c r="AU156" s="188">
        <f>opex_orig!$AO156</f>
        <v>9.0770493286724998E-4</v>
      </c>
      <c r="AV156" s="188">
        <f>opex_orig!$AO156</f>
        <v>9.0770493286724998E-4</v>
      </c>
      <c r="AW156" s="188">
        <f>opex_orig!$AO156</f>
        <v>9.0770493286724998E-4</v>
      </c>
      <c r="AX156" s="188">
        <f>opex_orig!$AP156</f>
        <v>1.5359243953784001E-3</v>
      </c>
      <c r="AY156" s="188">
        <f>opex_orig!AQ156</f>
        <v>1.777215E-3</v>
      </c>
      <c r="AZ156" s="188">
        <f>opex_orig!AR156</f>
        <v>0</v>
      </c>
      <c r="BA156" s="188">
        <f>opex_orig!AS156</f>
        <v>1.1616409999999999E-3</v>
      </c>
      <c r="BB156" s="188">
        <f>opex_orig!AT156</f>
        <v>8.4000199999999996E-4</v>
      </c>
      <c r="BC156" s="188">
        <f>opex_orig!AU156</f>
        <v>1.854117E-3</v>
      </c>
      <c r="BD156" s="188">
        <f>opex_orig!AV156</f>
        <v>8.0900000000000001E-5</v>
      </c>
      <c r="BE156" s="188">
        <f>opex_orig!AW156</f>
        <v>1.352107E-3</v>
      </c>
      <c r="BF156" s="188">
        <f>opex_orig!AX156</f>
        <v>0</v>
      </c>
      <c r="BG156" s="188">
        <f>opex_orig!AY156</f>
        <v>4.9199599999999997E-4</v>
      </c>
      <c r="BH156" s="188">
        <f>opex_orig!AZ156</f>
        <v>0</v>
      </c>
      <c r="BI156" s="188">
        <f>opex_orig!BA156</f>
        <v>7.3457600000000002E-4</v>
      </c>
      <c r="BJ156" s="188">
        <f>opex_orig!BB156</f>
        <v>9.1581699999999998E-4</v>
      </c>
      <c r="BK156" s="188">
        <f>opex_orig!BC156</f>
        <v>1.460774E-3</v>
      </c>
      <c r="BL156" s="188">
        <f>opex_orig!BD156</f>
        <v>1.20862E-4</v>
      </c>
      <c r="BM156" s="188">
        <f>opex_orig!BE156</f>
        <v>2.0387399999999999E-4</v>
      </c>
      <c r="BN156" s="188">
        <f>opex_orig!BF156</f>
        <v>8.0799999999999999E-5</v>
      </c>
      <c r="BO156" s="188">
        <f>opex_orig!BG156</f>
        <v>3.5260700000000001E-4</v>
      </c>
      <c r="BP156" s="188">
        <f>opex_orig!$BH156</f>
        <v>5.1405708517077197E-4</v>
      </c>
      <c r="BQ156" s="188">
        <f>opex_orig!$BH156</f>
        <v>5.1405708517077197E-4</v>
      </c>
      <c r="BR156" s="188">
        <f>opex_orig!BI156</f>
        <v>7.6133099999999997E-4</v>
      </c>
      <c r="BS156" s="188">
        <f>opex_orig!BJ156</f>
        <v>3.0819700000000002E-4</v>
      </c>
      <c r="BT156" s="188">
        <f>opex_orig!BK156</f>
        <v>1.516454E-3</v>
      </c>
      <c r="BU156" s="188">
        <f>opex_orig!BL156</f>
        <v>0</v>
      </c>
      <c r="BV156" s="27">
        <f>opex_orig!BM156</f>
        <v>6.9135370975218597E-4</v>
      </c>
      <c r="BW156" s="27">
        <f>opex_orig!BN156</f>
        <v>4.7477773061178497E-3</v>
      </c>
      <c r="BX156" s="27">
        <f>opex_orig!BO156</f>
        <v>7.2964137879135099E-4</v>
      </c>
      <c r="BY156" s="27">
        <f>opex_orig!BP156</f>
        <v>4.1797246635399098E-3</v>
      </c>
      <c r="BZ156" s="27">
        <f>opex_orig!BQ156</f>
        <v>3.0727488364640302E-4</v>
      </c>
      <c r="CA156" s="27">
        <f>opex_orig!BR156</f>
        <v>3.58614301365673E-6</v>
      </c>
      <c r="CB156" s="27">
        <f>opex_orig!BS156</f>
        <v>4.5025273427052898E-4</v>
      </c>
      <c r="CC156" s="27">
        <f>opex_orig!BT156</f>
        <v>8.5120931893341599E-5</v>
      </c>
      <c r="CD156" s="27">
        <f>opex_orig!BU156</f>
        <v>4.0212646970507597E-5</v>
      </c>
      <c r="CE156" s="27">
        <f>opex_orig!BV156</f>
        <v>4.0212646970507801E-5</v>
      </c>
      <c r="CF156" s="27">
        <f>opex_orig!BW156</f>
        <v>5.9407479125004303E-6</v>
      </c>
      <c r="CG156" s="27">
        <f>opex_orig!BX156</f>
        <v>5.6119771733730298E-6</v>
      </c>
      <c r="CH156" s="27">
        <f>opex_orig!BY156</f>
        <v>3.3365552552091599E-6</v>
      </c>
      <c r="CI156" s="27">
        <f>opex_orig!Y156</f>
        <v>8.4699999999999999E-5</v>
      </c>
      <c r="CJ156" s="27">
        <f>opex_orig!Z156</f>
        <v>5.0925799999999995E-4</v>
      </c>
      <c r="CK156" s="27">
        <f>opex_orig!AA156</f>
        <v>1.9376500000000001E-4</v>
      </c>
      <c r="CL156" s="27">
        <f>opex_orig!AB156</f>
        <v>2.8991103986343098E-4</v>
      </c>
      <c r="CM156" s="27">
        <f>opex_orig!AC156</f>
        <v>1.7375960445600001E-2</v>
      </c>
      <c r="CN156" s="27">
        <f>opex_orig!AD156</f>
        <v>4.4715935971112999E-3</v>
      </c>
      <c r="CO156" s="27">
        <f>opex_orig!AE156</f>
        <v>3.24968E-3</v>
      </c>
      <c r="CP156" s="27">
        <f>opex_orig!AF156</f>
        <v>8.8707599999999999E-4</v>
      </c>
    </row>
    <row r="157" spans="1:94" x14ac:dyDescent="0.25">
      <c r="A157" s="6" t="s">
        <v>305</v>
      </c>
      <c r="B157" s="2" t="s">
        <v>304</v>
      </c>
      <c r="C157" s="1" t="s">
        <v>335</v>
      </c>
      <c r="D157" s="188">
        <f>opex_orig!D157</f>
        <v>4.7901999999999998E-4</v>
      </c>
      <c r="E157" s="188">
        <f>opex_orig!E157</f>
        <v>3.9701500000000002E-4</v>
      </c>
      <c r="F157" s="188">
        <f>opex_orig!F157</f>
        <v>7.7899999999999996E-5</v>
      </c>
      <c r="G157" s="188">
        <f>opex_orig!G157</f>
        <v>1.73E-5</v>
      </c>
      <c r="H157" s="188">
        <f>opex_orig!H157</f>
        <v>2.87E-5</v>
      </c>
      <c r="I157" s="188">
        <f>opex_orig!I157</f>
        <v>3.0340199999999998E-4</v>
      </c>
      <c r="J157" s="188">
        <f>opex_orig!J157</f>
        <v>2.7058399999999998E-4</v>
      </c>
      <c r="K157" s="188">
        <f>opex_orig!K157</f>
        <v>4.5899999999999998E-5</v>
      </c>
      <c r="L157" s="188">
        <f>opex_orig!L157</f>
        <v>3.97768E-4</v>
      </c>
      <c r="M157" s="188">
        <f>opex_orig!M157</f>
        <v>1.1072969999999999E-3</v>
      </c>
      <c r="N157" s="188">
        <f>opex_orig!N157</f>
        <v>2.428188E-3</v>
      </c>
      <c r="O157" s="188">
        <f>opex_orig!O157</f>
        <v>7.1870500000000004E-4</v>
      </c>
      <c r="P157" s="188">
        <f>opex_orig!P157</f>
        <v>3.2418099999999999E-4</v>
      </c>
      <c r="Q157" s="188">
        <f>opex_orig!Q157</f>
        <v>5.5000000000000002E-5</v>
      </c>
      <c r="R157" s="188">
        <f>opex_orig!R157</f>
        <v>4.1699999999999997E-5</v>
      </c>
      <c r="S157" s="188">
        <f>opex_orig!S157</f>
        <v>9.7999999999999997E-5</v>
      </c>
      <c r="T157" s="188">
        <f>opex_orig!T157</f>
        <v>5.77E-5</v>
      </c>
      <c r="U157" s="188">
        <f>opex_orig!U157</f>
        <v>7.9353300000000002E-4</v>
      </c>
      <c r="V157" s="188">
        <f>opex_orig!V157</f>
        <v>1.4602250000000001E-3</v>
      </c>
      <c r="W157" s="188">
        <f>opex_orig!W157</f>
        <v>2.6311800000000001E-4</v>
      </c>
      <c r="X157" s="188">
        <f>opex_orig!X157</f>
        <v>1.20642E-4</v>
      </c>
      <c r="Y157" s="188">
        <f>opex_orig!Y157</f>
        <v>5.7299999999999997E-5</v>
      </c>
      <c r="Z157" s="188">
        <f>opex_orig!Z157</f>
        <v>3.3895000000000003E-4</v>
      </c>
      <c r="AA157" s="188">
        <f>opex_orig!AA157</f>
        <v>1.37269E-4</v>
      </c>
      <c r="AB157" s="188">
        <f>opex_orig!$AB157</f>
        <v>1.7018294170267301E-4</v>
      </c>
      <c r="AC157" s="188">
        <f>opex_orig!$AB157</f>
        <v>1.7018294170267301E-4</v>
      </c>
      <c r="AD157" s="188">
        <f>opex_orig!$AB157</f>
        <v>1.7018294170267301E-4</v>
      </c>
      <c r="AE157" s="188">
        <f>opex_orig!$AC157</f>
        <v>8.7720385080731194E-3</v>
      </c>
      <c r="AF157" s="188">
        <f>opex_orig!$AD157</f>
        <v>2.5827499330849401E-3</v>
      </c>
      <c r="AG157" s="188">
        <f>opex_orig!$AD157</f>
        <v>2.5827499330849401E-3</v>
      </c>
      <c r="AH157" s="188">
        <f>opex_orig!$AD157</f>
        <v>2.5827499330849401E-3</v>
      </c>
      <c r="AI157" s="188">
        <f>opex_orig!AE157</f>
        <v>1.977389E-3</v>
      </c>
      <c r="AJ157" s="188">
        <f>opex_orig!AF157</f>
        <v>6.0040199999999999E-4</v>
      </c>
      <c r="AK157" s="188">
        <f>opex_orig!AG157</f>
        <v>1.07865E-4</v>
      </c>
      <c r="AL157" s="188">
        <f>opex_orig!AH157</f>
        <v>1.5752600000000001E-4</v>
      </c>
      <c r="AM157" s="188">
        <f>opex_orig!AI157</f>
        <v>1.17812E-4</v>
      </c>
      <c r="AN157" s="188">
        <f>opex_orig!AJ157</f>
        <v>2.7084599999999999E-4</v>
      </c>
      <c r="AO157" s="188">
        <f>opex_orig!AK157</f>
        <v>1.41772E-4</v>
      </c>
      <c r="AP157" s="188">
        <f>opex_orig!$AL157</f>
        <v>3.52067367083704E-4</v>
      </c>
      <c r="AQ157" s="188">
        <f>opex_orig!$AL157</f>
        <v>3.52067367083704E-4</v>
      </c>
      <c r="AR157" s="188">
        <f>opex_orig!$AL157</f>
        <v>3.52067367083704E-4</v>
      </c>
      <c r="AS157" s="188">
        <f>opex_orig!$AM157</f>
        <v>1.3196219483485399E-4</v>
      </c>
      <c r="AT157" s="188">
        <f>opex_orig!AN157</f>
        <v>3.89081E-4</v>
      </c>
      <c r="AU157" s="188">
        <f>opex_orig!$AO157</f>
        <v>5.8526037394860395E-4</v>
      </c>
      <c r="AV157" s="188">
        <f>opex_orig!$AO157</f>
        <v>5.8526037394860395E-4</v>
      </c>
      <c r="AW157" s="188">
        <f>opex_orig!$AO157</f>
        <v>5.8526037394860395E-4</v>
      </c>
      <c r="AX157" s="188">
        <f>opex_orig!$AP157</f>
        <v>9.1321580100747995E-4</v>
      </c>
      <c r="AY157" s="188">
        <f>opex_orig!AQ157</f>
        <v>1.038258E-3</v>
      </c>
      <c r="AZ157" s="188">
        <f>opex_orig!AR157</f>
        <v>0</v>
      </c>
      <c r="BA157" s="188">
        <f>opex_orig!AS157</f>
        <v>6.6460800000000002E-4</v>
      </c>
      <c r="BB157" s="188">
        <f>opex_orig!AT157</f>
        <v>5.1970599999999999E-4</v>
      </c>
      <c r="BC157" s="188">
        <f>opex_orig!AU157</f>
        <v>9.1173600000000001E-4</v>
      </c>
      <c r="BD157" s="188">
        <f>opex_orig!AV157</f>
        <v>5.5999999999999999E-5</v>
      </c>
      <c r="BE157" s="188">
        <f>opex_orig!AW157</f>
        <v>7.90812E-4</v>
      </c>
      <c r="BF157" s="188">
        <f>opex_orig!AX157</f>
        <v>0</v>
      </c>
      <c r="BG157" s="188">
        <f>opex_orig!AY157</f>
        <v>3.4501300000000003E-4</v>
      </c>
      <c r="BH157" s="188">
        <f>opex_orig!AZ157</f>
        <v>0</v>
      </c>
      <c r="BI157" s="188">
        <f>opex_orig!BA157</f>
        <v>4.7686000000000001E-4</v>
      </c>
      <c r="BJ157" s="188">
        <f>opex_orig!BB157</f>
        <v>6.2354000000000001E-4</v>
      </c>
      <c r="BK157" s="188">
        <f>opex_orig!BC157</f>
        <v>9.9850500000000001E-4</v>
      </c>
      <c r="BL157" s="188">
        <f>opex_orig!BD157</f>
        <v>7.5799999999999999E-5</v>
      </c>
      <c r="BM157" s="188">
        <f>opex_orig!BE157</f>
        <v>1.3647900000000001E-4</v>
      </c>
      <c r="BN157" s="188">
        <f>opex_orig!BF157</f>
        <v>4.7200000000000002E-5</v>
      </c>
      <c r="BO157" s="188">
        <f>opex_orig!BG157</f>
        <v>2.11084E-4</v>
      </c>
      <c r="BP157" s="188">
        <f>opex_orig!$BH157</f>
        <v>3.5283240885361299E-4</v>
      </c>
      <c r="BQ157" s="188">
        <f>opex_orig!$BH157</f>
        <v>3.5283240885361299E-4</v>
      </c>
      <c r="BR157" s="188">
        <f>opex_orig!BI157</f>
        <v>4.9329799999999998E-4</v>
      </c>
      <c r="BS157" s="188">
        <f>opex_orig!BJ157</f>
        <v>2.0016000000000001E-4</v>
      </c>
      <c r="BT157" s="188">
        <f>opex_orig!BK157</f>
        <v>9.7698100000000003E-4</v>
      </c>
      <c r="BU157" s="188">
        <f>opex_orig!BL157</f>
        <v>0</v>
      </c>
      <c r="BV157" s="27">
        <f>opex_orig!BM157</f>
        <v>4.4324302003774502E-4</v>
      </c>
      <c r="BW157" s="27">
        <f>opex_orig!BN157</f>
        <v>2.4212579089995601E-3</v>
      </c>
      <c r="BX157" s="27">
        <f>opex_orig!BO157</f>
        <v>4.5044097314015302E-4</v>
      </c>
      <c r="BY157" s="27">
        <f>opex_orig!BP157</f>
        <v>2.0678779877519701E-3</v>
      </c>
      <c r="BZ157" s="27">
        <f>opex_orig!BQ157</f>
        <v>2.12076564350015E-4</v>
      </c>
      <c r="CA157" s="27">
        <f>opex_orig!BR157</f>
        <v>2.5373068295384999E-6</v>
      </c>
      <c r="CB157" s="27">
        <f>opex_orig!BS157</f>
        <v>3.12448134508119E-4</v>
      </c>
      <c r="CC157" s="27">
        <f>opex_orig!BT157</f>
        <v>1.3564830593289399E-4</v>
      </c>
      <c r="CD157" s="27">
        <f>opex_orig!BU157</f>
        <v>2.78260725717538E-5</v>
      </c>
      <c r="CE157" s="27">
        <f>opex_orig!BV157</f>
        <v>2.7826072571753698E-5</v>
      </c>
      <c r="CF157" s="27">
        <f>opex_orig!BW157</f>
        <v>6.2280127523064099E-6</v>
      </c>
      <c r="CG157" s="27">
        <f>opex_orig!BX157</f>
        <v>5.0951320917932E-6</v>
      </c>
      <c r="CH157" s="27">
        <f>opex_orig!BY157</f>
        <v>1.06490403504606E-5</v>
      </c>
      <c r="CI157" s="27">
        <f>opex_orig!Y157</f>
        <v>5.7299999999999997E-5</v>
      </c>
      <c r="CJ157" s="27">
        <f>opex_orig!Z157</f>
        <v>3.3895000000000003E-4</v>
      </c>
      <c r="CK157" s="27">
        <f>opex_orig!AA157</f>
        <v>1.37269E-4</v>
      </c>
      <c r="CL157" s="27">
        <f>opex_orig!AB157</f>
        <v>1.7018294170267301E-4</v>
      </c>
      <c r="CM157" s="27">
        <f>opex_orig!AC157</f>
        <v>8.7720385080731194E-3</v>
      </c>
      <c r="CN157" s="27">
        <f>opex_orig!AD157</f>
        <v>2.5827499330849401E-3</v>
      </c>
      <c r="CO157" s="27">
        <f>opex_orig!AE157</f>
        <v>1.977389E-3</v>
      </c>
      <c r="CP157" s="27">
        <f>opex_orig!AF157</f>
        <v>6.0040199999999999E-4</v>
      </c>
    </row>
    <row r="158" spans="1:94" x14ac:dyDescent="0.25">
      <c r="A158" s="6" t="s">
        <v>307</v>
      </c>
      <c r="B158" s="2" t="s">
        <v>306</v>
      </c>
      <c r="C158" s="1" t="s">
        <v>335</v>
      </c>
      <c r="D158" s="188">
        <f>opex_orig!D158</f>
        <v>5.94E-5</v>
      </c>
      <c r="E158" s="188">
        <f>opex_orig!E158</f>
        <v>1.2505700000000001E-4</v>
      </c>
      <c r="F158" s="188">
        <f>opex_orig!F158</f>
        <v>1.04E-5</v>
      </c>
      <c r="G158" s="188">
        <f>opex_orig!G158</f>
        <v>2.6199999999999999E-6</v>
      </c>
      <c r="H158" s="188">
        <f>opex_orig!H158</f>
        <v>5.1399999999999999E-6</v>
      </c>
      <c r="I158" s="188">
        <f>opex_orig!I158</f>
        <v>5.2800000000000003E-5</v>
      </c>
      <c r="J158" s="188">
        <f>opex_orig!J158</f>
        <v>3.3699999999999999E-5</v>
      </c>
      <c r="K158" s="188">
        <f>opex_orig!K158</f>
        <v>7.4900000000000003E-6</v>
      </c>
      <c r="L158" s="188">
        <f>opex_orig!L158</f>
        <v>5.9599999999999999E-5</v>
      </c>
      <c r="M158" s="188">
        <f>opex_orig!M158</f>
        <v>1.60085E-4</v>
      </c>
      <c r="N158" s="188">
        <f>opex_orig!N158</f>
        <v>6.5300000000000002E-5</v>
      </c>
      <c r="O158" s="188">
        <f>opex_orig!O158</f>
        <v>1.81977E-4</v>
      </c>
      <c r="P158" s="188">
        <f>opex_orig!P158</f>
        <v>6.0900000000000003E-5</v>
      </c>
      <c r="Q158" s="188">
        <f>opex_orig!Q158</f>
        <v>1.5E-5</v>
      </c>
      <c r="R158" s="188">
        <f>opex_orig!R158</f>
        <v>7.7200000000000006E-6</v>
      </c>
      <c r="S158" s="188">
        <f>opex_orig!S158</f>
        <v>2.8900000000000001E-5</v>
      </c>
      <c r="T158" s="188">
        <f>opex_orig!T158</f>
        <v>1.11E-5</v>
      </c>
      <c r="U158" s="188">
        <f>opex_orig!U158</f>
        <v>2.06937E-4</v>
      </c>
      <c r="V158" s="188">
        <f>opex_orig!V158</f>
        <v>4.3846899999999998E-4</v>
      </c>
      <c r="W158" s="188">
        <f>opex_orig!W158</f>
        <v>6.0900000000000003E-5</v>
      </c>
      <c r="X158" s="188">
        <f>opex_orig!X158</f>
        <v>3.4700000000000003E-5</v>
      </c>
      <c r="Y158" s="188">
        <f>opex_orig!Y158</f>
        <v>8.2500000000000006E-6</v>
      </c>
      <c r="Z158" s="188">
        <f>opex_orig!Z158</f>
        <v>1.53172E-4</v>
      </c>
      <c r="AA158" s="188">
        <f>opex_orig!AA158</f>
        <v>2.8600000000000001E-5</v>
      </c>
      <c r="AB158" s="188">
        <f>opex_orig!$AB158</f>
        <v>2.3514239141681801E-5</v>
      </c>
      <c r="AC158" s="188">
        <f>opex_orig!$AB158</f>
        <v>2.3514239141681801E-5</v>
      </c>
      <c r="AD158" s="188">
        <f>opex_orig!$AB158</f>
        <v>2.3514239141681801E-5</v>
      </c>
      <c r="AE158" s="188">
        <f>opex_orig!$AC158</f>
        <v>1.6716436963089799E-4</v>
      </c>
      <c r="AF158" s="188">
        <f>opex_orig!$AD158</f>
        <v>6.4446358509226095E-4</v>
      </c>
      <c r="AG158" s="188">
        <f>opex_orig!$AD158</f>
        <v>6.4446358509226095E-4</v>
      </c>
      <c r="AH158" s="188">
        <f>opex_orig!$AD158</f>
        <v>6.4446358509226095E-4</v>
      </c>
      <c r="AI158" s="188">
        <f>opex_orig!AE158</f>
        <v>4.1050599999999999E-4</v>
      </c>
      <c r="AJ158" s="188">
        <f>opex_orig!AF158</f>
        <v>8.0099999999999995E-5</v>
      </c>
      <c r="AK158" s="188">
        <f>opex_orig!AG158</f>
        <v>2.0100000000000001E-5</v>
      </c>
      <c r="AL158" s="188">
        <f>opex_orig!AH158</f>
        <v>5.7200000000000001E-5</v>
      </c>
      <c r="AM158" s="188">
        <f>opex_orig!AI158</f>
        <v>1.5500000000000001E-5</v>
      </c>
      <c r="AN158" s="188">
        <f>opex_orig!AJ158</f>
        <v>9.7600000000000001E-5</v>
      </c>
      <c r="AO158" s="188">
        <f>opex_orig!AK158</f>
        <v>1.8600000000000001E-5</v>
      </c>
      <c r="AP158" s="188">
        <f>opex_orig!$AL158</f>
        <v>1.1006166006732599E-4</v>
      </c>
      <c r="AQ158" s="188">
        <f>opex_orig!$AL158</f>
        <v>1.1006166006732599E-4</v>
      </c>
      <c r="AR158" s="188">
        <f>opex_orig!$AL158</f>
        <v>1.1006166006732599E-4</v>
      </c>
      <c r="AS158" s="188">
        <f>opex_orig!$AM158</f>
        <v>1.7025550726392001E-5</v>
      </c>
      <c r="AT158" s="188">
        <f>opex_orig!AN158</f>
        <v>1.09815E-4</v>
      </c>
      <c r="AU158" s="188">
        <f>opex_orig!$AO158</f>
        <v>9.6434465253483897E-5</v>
      </c>
      <c r="AV158" s="188">
        <f>opex_orig!$AO158</f>
        <v>9.6434465253483897E-5</v>
      </c>
      <c r="AW158" s="188">
        <f>opex_orig!$AO158</f>
        <v>9.6434465253483897E-5</v>
      </c>
      <c r="AX158" s="188">
        <f>opex_orig!$AP158</f>
        <v>2.0824144172198301E-4</v>
      </c>
      <c r="AY158" s="188">
        <f>opex_orig!AQ158</f>
        <v>2.51573E-4</v>
      </c>
      <c r="AZ158" s="188">
        <f>opex_orig!AR158</f>
        <v>0</v>
      </c>
      <c r="BA158" s="188">
        <f>opex_orig!AS158</f>
        <v>1.7688099999999999E-4</v>
      </c>
      <c r="BB158" s="188">
        <f>opex_orig!AT158</f>
        <v>1.06901E-4</v>
      </c>
      <c r="BC158" s="188">
        <f>opex_orig!AU158</f>
        <v>9.1700000000000003E-6</v>
      </c>
      <c r="BD158" s="188">
        <f>opex_orig!AV158</f>
        <v>7.3499999999999999E-6</v>
      </c>
      <c r="BE158" s="188">
        <f>opex_orig!AW158</f>
        <v>2.16281E-4</v>
      </c>
      <c r="BF158" s="188">
        <f>opex_orig!AX158</f>
        <v>0</v>
      </c>
      <c r="BG158" s="188">
        <f>opex_orig!AY158</f>
        <v>7.2000000000000002E-5</v>
      </c>
      <c r="BH158" s="188">
        <f>opex_orig!AZ158</f>
        <v>0</v>
      </c>
      <c r="BI158" s="188">
        <f>opex_orig!BA158</f>
        <v>7.8200000000000003E-5</v>
      </c>
      <c r="BJ158" s="188">
        <f>opex_orig!BB158</f>
        <v>7.86E-5</v>
      </c>
      <c r="BK158" s="188">
        <f>opex_orig!BC158</f>
        <v>1.2342599999999999E-4</v>
      </c>
      <c r="BL158" s="188">
        <f>opex_orig!BD158</f>
        <v>1.9899999999999999E-5</v>
      </c>
      <c r="BM158" s="188">
        <f>opex_orig!BE158</f>
        <v>2.4300000000000001E-5</v>
      </c>
      <c r="BN158" s="188">
        <f>opex_orig!BF158</f>
        <v>1.31E-5</v>
      </c>
      <c r="BO158" s="188">
        <f>opex_orig!BG158</f>
        <v>4.85E-5</v>
      </c>
      <c r="BP158" s="188">
        <f>opex_orig!$BH158</f>
        <v>4.4988827566755897E-5</v>
      </c>
      <c r="BQ158" s="188">
        <f>opex_orig!$BH158</f>
        <v>4.4988827566755897E-5</v>
      </c>
      <c r="BR158" s="188">
        <f>opex_orig!BI158</f>
        <v>8.0900000000000001E-5</v>
      </c>
      <c r="BS158" s="188">
        <f>opex_orig!BJ158</f>
        <v>5.1900000000000001E-5</v>
      </c>
      <c r="BT158" s="188">
        <f>opex_orig!BK158</f>
        <v>1.63015E-4</v>
      </c>
      <c r="BU158" s="188">
        <f>opex_orig!BL158</f>
        <v>0</v>
      </c>
      <c r="BV158" s="27">
        <f>opex_orig!BM158</f>
        <v>7.5109643191318906E-5</v>
      </c>
      <c r="BW158" s="27">
        <f>opex_orig!BN158</f>
        <v>8.7805780293134697E-4</v>
      </c>
      <c r="BX158" s="27">
        <f>opex_orig!BO158</f>
        <v>8.9157373576567806E-5</v>
      </c>
      <c r="BY158" s="27">
        <f>opex_orig!BP158</f>
        <v>8.0310225274494898E-4</v>
      </c>
      <c r="BZ158" s="27">
        <f>opex_orig!BQ158</f>
        <v>3.2654315572785503E-5</v>
      </c>
      <c r="CA158" s="27">
        <f>opex_orig!BR158</f>
        <v>7.0137476346523402E-7</v>
      </c>
      <c r="CB158" s="27">
        <f>opex_orig!BS158</f>
        <v>1.3482800810826E-4</v>
      </c>
      <c r="CC158" s="27">
        <f>opex_orig!BT158</f>
        <v>3.23909204280854E-5</v>
      </c>
      <c r="CD158" s="27">
        <f>opex_orig!BU158</f>
        <v>3.8619931204369496E-6</v>
      </c>
      <c r="CE158" s="27">
        <f>opex_orig!BV158</f>
        <v>3.8619931204369496E-6</v>
      </c>
      <c r="CF158" s="27">
        <f>opex_orig!BW158</f>
        <v>2.28900890051315E-6</v>
      </c>
      <c r="CG158" s="27">
        <f>opex_orig!BX158</f>
        <v>3.2704113175192299E-6</v>
      </c>
      <c r="CH158" s="27">
        <f>opex_orig!BY158</f>
        <v>2.3796066895425801E-5</v>
      </c>
      <c r="CI158" s="27">
        <f>opex_orig!Y158</f>
        <v>8.2500000000000006E-6</v>
      </c>
      <c r="CJ158" s="27">
        <f>opex_orig!Z158</f>
        <v>1.53172E-4</v>
      </c>
      <c r="CK158" s="27">
        <f>opex_orig!AA158</f>
        <v>2.8600000000000001E-5</v>
      </c>
      <c r="CL158" s="27">
        <f>opex_orig!AB158</f>
        <v>2.3514239141681801E-5</v>
      </c>
      <c r="CM158" s="27">
        <f>opex_orig!AC158</f>
        <v>1.6716436963089799E-4</v>
      </c>
      <c r="CN158" s="27">
        <f>opex_orig!AD158</f>
        <v>6.4446358509226095E-4</v>
      </c>
      <c r="CO158" s="27">
        <f>opex_orig!AE158</f>
        <v>4.1050599999999999E-4</v>
      </c>
      <c r="CP158" s="27">
        <f>opex_orig!AF158</f>
        <v>8.0099999999999995E-5</v>
      </c>
    </row>
    <row r="159" spans="1:94" x14ac:dyDescent="0.25">
      <c r="A159" s="6" t="s">
        <v>309</v>
      </c>
      <c r="B159" s="2" t="s">
        <v>308</v>
      </c>
      <c r="C159" s="1" t="s">
        <v>335</v>
      </c>
      <c r="D159" s="188">
        <f>opex_orig!D159</f>
        <v>3.3694699999999998E-4</v>
      </c>
      <c r="E159" s="188">
        <f>opex_orig!E159</f>
        <v>3.5291700000000001E-4</v>
      </c>
      <c r="F159" s="188">
        <f>opex_orig!F159</f>
        <v>5.6499999999999998E-5</v>
      </c>
      <c r="G159" s="188">
        <f>opex_orig!G159</f>
        <v>1.24E-5</v>
      </c>
      <c r="H159" s="188">
        <f>opex_orig!H159</f>
        <v>2.02E-5</v>
      </c>
      <c r="I159" s="188">
        <f>opex_orig!I159</f>
        <v>2.2928400000000001E-4</v>
      </c>
      <c r="J159" s="188">
        <f>opex_orig!J159</f>
        <v>1.9313500000000001E-4</v>
      </c>
      <c r="K159" s="188">
        <f>opex_orig!K159</f>
        <v>3.2299999999999999E-5</v>
      </c>
      <c r="L159" s="188">
        <f>opex_orig!L159</f>
        <v>2.9492400000000001E-4</v>
      </c>
      <c r="M159" s="188">
        <f>opex_orig!M159</f>
        <v>8.0630299999999997E-4</v>
      </c>
      <c r="N159" s="188">
        <f>opex_orig!N159</f>
        <v>2.2460449999999999E-3</v>
      </c>
      <c r="O159" s="188">
        <f>opex_orig!O159</f>
        <v>5.9304799999999999E-4</v>
      </c>
      <c r="P159" s="188">
        <f>opex_orig!P159</f>
        <v>2.5541499999999999E-4</v>
      </c>
      <c r="Q159" s="188">
        <f>opex_orig!Q159</f>
        <v>4.46E-5</v>
      </c>
      <c r="R159" s="188">
        <f>opex_orig!R159</f>
        <v>3.4700000000000003E-5</v>
      </c>
      <c r="S159" s="188">
        <f>opex_orig!S159</f>
        <v>8.6100000000000006E-5</v>
      </c>
      <c r="T159" s="188">
        <f>opex_orig!T159</f>
        <v>4.6E-5</v>
      </c>
      <c r="U159" s="188">
        <f>opex_orig!U159</f>
        <v>6.6500499999999998E-4</v>
      </c>
      <c r="V159" s="188">
        <f>opex_orig!V159</f>
        <v>1.2779550000000001E-3</v>
      </c>
      <c r="W159" s="188">
        <f>opex_orig!W159</f>
        <v>2.1432299999999999E-4</v>
      </c>
      <c r="X159" s="188">
        <f>opex_orig!X159</f>
        <v>1.0064399999999999E-4</v>
      </c>
      <c r="Y159" s="188">
        <f>opex_orig!Y159</f>
        <v>4.5399999999999999E-5</v>
      </c>
      <c r="Z159" s="188">
        <f>opex_orig!Z159</f>
        <v>2.9094199999999998E-4</v>
      </c>
      <c r="AA159" s="188">
        <f>opex_orig!AA159</f>
        <v>1.0050199999999999E-4</v>
      </c>
      <c r="AB159" s="188">
        <f>opex_orig!$AB159</f>
        <v>9.4316181983729501E-5</v>
      </c>
      <c r="AC159" s="188">
        <f>opex_orig!$AB159</f>
        <v>9.4316181983729501E-5</v>
      </c>
      <c r="AD159" s="188">
        <f>opex_orig!$AB159</f>
        <v>9.4316181983729501E-5</v>
      </c>
      <c r="AE159" s="188">
        <f>opex_orig!$AC159</f>
        <v>8.2592784153750504E-3</v>
      </c>
      <c r="AF159" s="188">
        <f>opex_orig!$AD159</f>
        <v>2.13560390731099E-3</v>
      </c>
      <c r="AG159" s="188">
        <f>opex_orig!$AD159</f>
        <v>2.13560390731099E-3</v>
      </c>
      <c r="AH159" s="188">
        <f>opex_orig!$AD159</f>
        <v>2.13560390731099E-3</v>
      </c>
      <c r="AI159" s="188">
        <f>opex_orig!AE159</f>
        <v>1.555833E-3</v>
      </c>
      <c r="AJ159" s="188">
        <f>opex_orig!AF159</f>
        <v>4.3222300000000003E-4</v>
      </c>
      <c r="AK159" s="188">
        <f>opex_orig!AG159</f>
        <v>8.5000000000000006E-5</v>
      </c>
      <c r="AL159" s="188">
        <f>opex_orig!AH159</f>
        <v>1.4557799999999999E-4</v>
      </c>
      <c r="AM159" s="188">
        <f>opex_orig!AI159</f>
        <v>8.7700000000000004E-5</v>
      </c>
      <c r="AN159" s="188">
        <f>opex_orig!AJ159</f>
        <v>2.6766700000000002E-4</v>
      </c>
      <c r="AO159" s="188">
        <f>opex_orig!AK159</f>
        <v>1.13113E-4</v>
      </c>
      <c r="AP159" s="188">
        <f>opex_orig!$AL159</f>
        <v>3.20465060044885E-4</v>
      </c>
      <c r="AQ159" s="188">
        <f>opex_orig!$AL159</f>
        <v>3.20465060044885E-4</v>
      </c>
      <c r="AR159" s="188">
        <f>opex_orig!$AL159</f>
        <v>3.20465060044885E-4</v>
      </c>
      <c r="AS159" s="188">
        <f>opex_orig!$AM159</f>
        <v>1.00451769635191E-4</v>
      </c>
      <c r="AT159" s="188">
        <f>opex_orig!AN159</f>
        <v>3.4226699999999999E-4</v>
      </c>
      <c r="AU159" s="188">
        <f>opex_orig!$AO159</f>
        <v>4.3960917091354399E-4</v>
      </c>
      <c r="AV159" s="188">
        <f>opex_orig!$AO159</f>
        <v>4.3960917091354399E-4</v>
      </c>
      <c r="AW159" s="188">
        <f>opex_orig!$AO159</f>
        <v>4.3960917091354399E-4</v>
      </c>
      <c r="AX159" s="188">
        <f>opex_orig!$AP159</f>
        <v>7.3555164518019701E-4</v>
      </c>
      <c r="AY159" s="188">
        <f>opex_orig!AQ159</f>
        <v>8.5991400000000003E-4</v>
      </c>
      <c r="AZ159" s="188">
        <f>opex_orig!AR159</f>
        <v>0</v>
      </c>
      <c r="BA159" s="188">
        <f>opex_orig!AS159</f>
        <v>5.59721E-4</v>
      </c>
      <c r="BB159" s="188">
        <f>opex_orig!AT159</f>
        <v>4.0738100000000001E-4</v>
      </c>
      <c r="BC159" s="188">
        <f>opex_orig!AU159</f>
        <v>5.0800000000000002E-5</v>
      </c>
      <c r="BD159" s="188">
        <f>opex_orig!AV159</f>
        <v>3.9700000000000003E-5</v>
      </c>
      <c r="BE159" s="188">
        <f>opex_orig!AW159</f>
        <v>6.7311200000000002E-4</v>
      </c>
      <c r="BF159" s="188">
        <f>opex_orig!AX159</f>
        <v>0</v>
      </c>
      <c r="BG159" s="188">
        <f>opex_orig!AY159</f>
        <v>2.4203899999999999E-4</v>
      </c>
      <c r="BH159" s="188">
        <f>opex_orig!AZ159</f>
        <v>0</v>
      </c>
      <c r="BI159" s="188">
        <f>opex_orig!BA159</f>
        <v>3.5712599999999998E-4</v>
      </c>
      <c r="BJ159" s="188">
        <f>opex_orig!BB159</f>
        <v>4.4195699999999998E-4</v>
      </c>
      <c r="BK159" s="188">
        <f>opex_orig!BC159</f>
        <v>7.04414E-4</v>
      </c>
      <c r="BL159" s="188">
        <f>opex_orig!BD159</f>
        <v>6.97E-5</v>
      </c>
      <c r="BM159" s="188">
        <f>opex_orig!BE159</f>
        <v>1.02754E-4</v>
      </c>
      <c r="BN159" s="188">
        <f>opex_orig!BF159</f>
        <v>4.1600000000000002E-5</v>
      </c>
      <c r="BO159" s="188">
        <f>opex_orig!BG159</f>
        <v>1.70891E-4</v>
      </c>
      <c r="BP159" s="188">
        <f>opex_orig!$BH159</f>
        <v>2.5102751442709502E-4</v>
      </c>
      <c r="BQ159" s="188">
        <f>opex_orig!$BH159</f>
        <v>2.5102751442709502E-4</v>
      </c>
      <c r="BR159" s="188">
        <f>opex_orig!BI159</f>
        <v>3.69353E-4</v>
      </c>
      <c r="BS159" s="188">
        <f>opex_orig!BJ159</f>
        <v>1.5924799999999999E-4</v>
      </c>
      <c r="BT159" s="188">
        <f>opex_orig!BK159</f>
        <v>7.2962500000000002E-4</v>
      </c>
      <c r="BU159" s="188">
        <f>opex_orig!BL159</f>
        <v>0</v>
      </c>
      <c r="BV159" s="27">
        <f>opex_orig!BM159</f>
        <v>3.3821731219164301E-4</v>
      </c>
      <c r="BW159" s="27">
        <f>opex_orig!BN159</f>
        <v>2.2620877252600602E-3</v>
      </c>
      <c r="BX159" s="27">
        <f>opex_orig!BO159</f>
        <v>3.4996638482635199E-4</v>
      </c>
      <c r="BY159" s="27">
        <f>opex_orig!BP159</f>
        <v>1.9851687858298199E-3</v>
      </c>
      <c r="BZ159" s="27">
        <f>opex_orig!BQ159</f>
        <v>1.4896906946066101E-4</v>
      </c>
      <c r="CA159" s="27">
        <f>opex_orig!BR159</f>
        <v>4.2519184490714E-6</v>
      </c>
      <c r="CB159" s="27">
        <f>opex_orig!BS159</f>
        <v>2.4094553631591901E-4</v>
      </c>
      <c r="CC159" s="27">
        <f>opex_orig!BT159</f>
        <v>3.5010661756235698E-4</v>
      </c>
      <c r="CD159" s="27">
        <f>opex_orig!BU159</f>
        <v>1.97086189991677E-5</v>
      </c>
      <c r="CE159" s="27">
        <f>opex_orig!BV159</f>
        <v>1.9708618999167799E-5</v>
      </c>
      <c r="CF159" s="27">
        <f>opex_orig!BW159</f>
        <v>8.3438702378099102E-6</v>
      </c>
      <c r="CG159" s="27">
        <f>opex_orig!BX159</f>
        <v>9.7631584927433804E-6</v>
      </c>
      <c r="CH159" s="27">
        <f>opex_orig!BY159</f>
        <v>1.1804607575677201E-5</v>
      </c>
      <c r="CI159" s="27">
        <f>opex_orig!Y159</f>
        <v>4.5399999999999999E-5</v>
      </c>
      <c r="CJ159" s="27">
        <f>opex_orig!Z159</f>
        <v>2.9094199999999998E-4</v>
      </c>
      <c r="CK159" s="27">
        <f>opex_orig!AA159</f>
        <v>1.0050199999999999E-4</v>
      </c>
      <c r="CL159" s="27">
        <f>opex_orig!AB159</f>
        <v>9.4316181983729501E-5</v>
      </c>
      <c r="CM159" s="27">
        <f>opex_orig!AC159</f>
        <v>8.2592784153750504E-3</v>
      </c>
      <c r="CN159" s="27">
        <f>opex_orig!AD159</f>
        <v>2.13560390731099E-3</v>
      </c>
      <c r="CO159" s="27">
        <f>opex_orig!AE159</f>
        <v>1.555833E-3</v>
      </c>
      <c r="CP159" s="27">
        <f>opex_orig!AF159</f>
        <v>4.3222300000000003E-4</v>
      </c>
    </row>
    <row r="160" spans="1:94" x14ac:dyDescent="0.25">
      <c r="A160" s="6" t="s">
        <v>311</v>
      </c>
      <c r="B160" s="2" t="s">
        <v>310</v>
      </c>
      <c r="C160" s="1" t="s">
        <v>335</v>
      </c>
      <c r="D160" s="188">
        <f>opex_orig!D160</f>
        <v>1.0507599999999999E-4</v>
      </c>
      <c r="E160" s="188">
        <f>opex_orig!E160</f>
        <v>9.3700000000000001E-5</v>
      </c>
      <c r="F160" s="188">
        <f>opex_orig!F160</f>
        <v>1.7099999999999999E-5</v>
      </c>
      <c r="G160" s="188">
        <f>opex_orig!G160</f>
        <v>4.1699999999999999E-6</v>
      </c>
      <c r="H160" s="188">
        <f>opex_orig!H160</f>
        <v>7.17E-6</v>
      </c>
      <c r="I160" s="188">
        <f>opex_orig!I160</f>
        <v>6.7600000000000003E-5</v>
      </c>
      <c r="J160" s="188">
        <f>opex_orig!J160</f>
        <v>5.7800000000000002E-5</v>
      </c>
      <c r="K160" s="188">
        <f>opex_orig!K160</f>
        <v>1.13E-5</v>
      </c>
      <c r="L160" s="188">
        <f>opex_orig!L160</f>
        <v>8.7800000000000006E-5</v>
      </c>
      <c r="M160" s="188">
        <f>opex_orig!M160</f>
        <v>2.42215E-4</v>
      </c>
      <c r="N160" s="188">
        <f>opex_orig!N160</f>
        <v>1.16901E-4</v>
      </c>
      <c r="O160" s="188">
        <f>opex_orig!O160</f>
        <v>1.6979699999999999E-4</v>
      </c>
      <c r="P160" s="188">
        <f>opex_orig!P160</f>
        <v>7.3300000000000006E-5</v>
      </c>
      <c r="Q160" s="188">
        <f>opex_orig!Q160</f>
        <v>1.3200000000000001E-5</v>
      </c>
      <c r="R160" s="188">
        <f>opex_orig!R160</f>
        <v>1.1399999999999999E-5</v>
      </c>
      <c r="S160" s="188">
        <f>opex_orig!S160</f>
        <v>2.37E-5</v>
      </c>
      <c r="T160" s="188">
        <f>opex_orig!T160</f>
        <v>1.5E-5</v>
      </c>
      <c r="U160" s="188">
        <f>opex_orig!U160</f>
        <v>1.83077E-4</v>
      </c>
      <c r="V160" s="188">
        <f>opex_orig!V160</f>
        <v>3.4190400000000003E-4</v>
      </c>
      <c r="W160" s="188">
        <f>opex_orig!W160</f>
        <v>6.0099999999999997E-5</v>
      </c>
      <c r="X160" s="188">
        <f>opex_orig!X160</f>
        <v>2.8799999999999999E-5</v>
      </c>
      <c r="Y160" s="188">
        <f>opex_orig!Y160</f>
        <v>1.26E-5</v>
      </c>
      <c r="Z160" s="188">
        <f>opex_orig!Z160</f>
        <v>9.1100000000000005E-5</v>
      </c>
      <c r="AA160" s="188">
        <f>opex_orig!AA160</f>
        <v>3.9900000000000001E-5</v>
      </c>
      <c r="AB160" s="188">
        <f>opex_orig!$AB160</f>
        <v>2.6778410060271498E-5</v>
      </c>
      <c r="AC160" s="188">
        <f>opex_orig!$AB160</f>
        <v>2.6778410060271498E-5</v>
      </c>
      <c r="AD160" s="188">
        <f>opex_orig!$AB160</f>
        <v>2.6778410060271498E-5</v>
      </c>
      <c r="AE160" s="188">
        <f>opex_orig!$AC160</f>
        <v>3.0340557009651999E-4</v>
      </c>
      <c r="AF160" s="188">
        <f>opex_orig!$AD160</f>
        <v>5.8993459686822701E-4</v>
      </c>
      <c r="AG160" s="188">
        <f>opex_orig!$AD160</f>
        <v>5.8993459686822701E-4</v>
      </c>
      <c r="AH160" s="188">
        <f>opex_orig!$AD160</f>
        <v>5.8993459686822701E-4</v>
      </c>
      <c r="AI160" s="188">
        <f>opex_orig!AE160</f>
        <v>4.44048E-4</v>
      </c>
      <c r="AJ160" s="188">
        <f>opex_orig!AF160</f>
        <v>1.3071400000000001E-4</v>
      </c>
      <c r="AK160" s="188">
        <f>opex_orig!AG160</f>
        <v>2.6299999999999999E-5</v>
      </c>
      <c r="AL160" s="188">
        <f>opex_orig!AH160</f>
        <v>4.3800000000000001E-5</v>
      </c>
      <c r="AM160" s="188">
        <f>opex_orig!AI160</f>
        <v>2.69E-5</v>
      </c>
      <c r="AN160" s="188">
        <f>opex_orig!AJ160</f>
        <v>1.3699999999999999E-5</v>
      </c>
      <c r="AO160" s="188">
        <f>opex_orig!AK160</f>
        <v>3.2199999999999997E-5</v>
      </c>
      <c r="AP160" s="188">
        <f>opex_orig!$AL160</f>
        <v>8.3576928500994502E-5</v>
      </c>
      <c r="AQ160" s="188">
        <f>opex_orig!$AL160</f>
        <v>8.3576928500994502E-5</v>
      </c>
      <c r="AR160" s="188">
        <f>opex_orig!$AL160</f>
        <v>8.3576928500994502E-5</v>
      </c>
      <c r="AS160" s="188">
        <f>opex_orig!$AM160</f>
        <v>2.9659330173209399E-5</v>
      </c>
      <c r="AT160" s="188">
        <f>opex_orig!AN160</f>
        <v>9.1600000000000004E-5</v>
      </c>
      <c r="AU160" s="188">
        <f>opex_orig!$AO160</f>
        <v>1.28330186247315E-4</v>
      </c>
      <c r="AV160" s="188">
        <f>opex_orig!$AO160</f>
        <v>1.28330186247315E-4</v>
      </c>
      <c r="AW160" s="188">
        <f>opex_orig!$AO160</f>
        <v>1.28330186247315E-4</v>
      </c>
      <c r="AX160" s="188">
        <f>opex_orig!$AP160</f>
        <v>2.06537463384535E-4</v>
      </c>
      <c r="AY160" s="188">
        <f>opex_orig!AQ160</f>
        <v>2.3619299999999999E-4</v>
      </c>
      <c r="AZ160" s="188">
        <f>opex_orig!AR160</f>
        <v>0</v>
      </c>
      <c r="BA160" s="188">
        <f>opex_orig!AS160</f>
        <v>1.5522100000000001E-4</v>
      </c>
      <c r="BB160" s="188">
        <f>opex_orig!AT160</f>
        <v>1.18738E-4</v>
      </c>
      <c r="BC160" s="188">
        <f>opex_orig!AU160</f>
        <v>1.5800000000000001E-5</v>
      </c>
      <c r="BD160" s="188">
        <f>opex_orig!AV160</f>
        <v>1.24E-5</v>
      </c>
      <c r="BE160" s="188">
        <f>opex_orig!AW160</f>
        <v>1.8018400000000001E-4</v>
      </c>
      <c r="BF160" s="188">
        <f>opex_orig!AX160</f>
        <v>0</v>
      </c>
      <c r="BG160" s="188">
        <f>opex_orig!AY160</f>
        <v>9.8499999999999995E-5</v>
      </c>
      <c r="BH160" s="188">
        <f>opex_orig!AZ160</f>
        <v>0</v>
      </c>
      <c r="BI160" s="188">
        <f>opex_orig!BA160</f>
        <v>1.05364E-4</v>
      </c>
      <c r="BJ160" s="188">
        <f>opex_orig!BB160</f>
        <v>1.3524899999999999E-4</v>
      </c>
      <c r="BK160" s="188">
        <f>opex_orig!BC160</f>
        <v>2.1655200000000001E-4</v>
      </c>
      <c r="BL160" s="188">
        <f>opex_orig!BD160</f>
        <v>2.0699999999999998E-5</v>
      </c>
      <c r="BM160" s="188">
        <f>opex_orig!BE160</f>
        <v>3.3300000000000003E-5</v>
      </c>
      <c r="BN160" s="188">
        <f>opex_orig!BF160</f>
        <v>1.19E-5</v>
      </c>
      <c r="BO160" s="188">
        <f>opex_orig!BG160</f>
        <v>4.88E-5</v>
      </c>
      <c r="BP160" s="188">
        <f>opex_orig!$BH160</f>
        <v>7.8289234911365095E-5</v>
      </c>
      <c r="BQ160" s="188">
        <f>opex_orig!$BH160</f>
        <v>7.8289234911365095E-5</v>
      </c>
      <c r="BR160" s="188">
        <f>opex_orig!BI160</f>
        <v>1.10241E-4</v>
      </c>
      <c r="BS160" s="188">
        <f>opex_orig!BJ160</f>
        <v>4.7700000000000001E-5</v>
      </c>
      <c r="BT160" s="188">
        <f>opex_orig!BK160</f>
        <v>2.14348E-4</v>
      </c>
      <c r="BU160" s="188">
        <f>opex_orig!BL160</f>
        <v>0</v>
      </c>
      <c r="BV160" s="27">
        <f>opex_orig!BM160</f>
        <v>9.8278917622810294E-5</v>
      </c>
      <c r="BW160" s="27">
        <f>opex_orig!BN160</f>
        <v>5.8409760438884204E-4</v>
      </c>
      <c r="BX160" s="27">
        <f>opex_orig!BO160</f>
        <v>1.0113078259079E-4</v>
      </c>
      <c r="BY160" s="27">
        <f>opex_orig!BP160</f>
        <v>5.0099327148420104E-4</v>
      </c>
      <c r="BZ160" s="27">
        <f>opex_orig!BQ160</f>
        <v>4.8935475925847199E-5</v>
      </c>
      <c r="CA160" s="27">
        <f>opex_orig!BR160</f>
        <v>1.1697981551185399E-6</v>
      </c>
      <c r="CB160" s="27">
        <f>opex_orig!BS160</f>
        <v>1.5039156228156499E-4</v>
      </c>
      <c r="CC160" s="27">
        <f>opex_orig!BT160</f>
        <v>1.47924455836965E-5</v>
      </c>
      <c r="CD160" s="27">
        <f>opex_orig!BU160</f>
        <v>6.4881583355903499E-6</v>
      </c>
      <c r="CE160" s="27">
        <f>opex_orig!BV160</f>
        <v>6.4881583355903703E-6</v>
      </c>
      <c r="CF160" s="27">
        <f>opex_orig!BW160</f>
        <v>2.0339755801592598E-6</v>
      </c>
      <c r="CG160" s="27">
        <f>opex_orig!BX160</f>
        <v>2.4866381741655799E-6</v>
      </c>
      <c r="CH160" s="27">
        <f>opex_orig!BY160</f>
        <v>1.41279623428962E-5</v>
      </c>
      <c r="CI160" s="27">
        <f>opex_orig!Y160</f>
        <v>1.26E-5</v>
      </c>
      <c r="CJ160" s="27">
        <f>opex_orig!Z160</f>
        <v>9.1100000000000005E-5</v>
      </c>
      <c r="CK160" s="27">
        <f>opex_orig!AA160</f>
        <v>3.9900000000000001E-5</v>
      </c>
      <c r="CL160" s="27">
        <f>opex_orig!AB160</f>
        <v>2.6778410060271498E-5</v>
      </c>
      <c r="CM160" s="27">
        <f>opex_orig!AC160</f>
        <v>3.0340557009651999E-4</v>
      </c>
      <c r="CN160" s="27">
        <f>opex_orig!AD160</f>
        <v>5.8993459686822701E-4</v>
      </c>
      <c r="CO160" s="27">
        <f>opex_orig!AE160</f>
        <v>4.44048E-4</v>
      </c>
      <c r="CP160" s="27">
        <f>opex_orig!AF160</f>
        <v>1.3071400000000001E-4</v>
      </c>
    </row>
    <row r="161" spans="1:94" x14ac:dyDescent="0.25">
      <c r="A161" s="6" t="s">
        <v>313</v>
      </c>
      <c r="B161" s="2" t="s">
        <v>312</v>
      </c>
      <c r="C161" s="1" t="s">
        <v>335</v>
      </c>
      <c r="D161" s="188">
        <f>opex_orig!D161</f>
        <v>1.3304500000000001E-4</v>
      </c>
      <c r="E161" s="188">
        <f>opex_orig!E161</f>
        <v>1.18399E-4</v>
      </c>
      <c r="F161" s="188">
        <f>opex_orig!F161</f>
        <v>2.1699999999999999E-5</v>
      </c>
      <c r="G161" s="188">
        <f>opex_orig!G161</f>
        <v>5.1200000000000001E-6</v>
      </c>
      <c r="H161" s="188">
        <f>opex_orig!H161</f>
        <v>8.5599999999999994E-6</v>
      </c>
      <c r="I161" s="188">
        <f>opex_orig!I161</f>
        <v>8.5699999999999996E-5</v>
      </c>
      <c r="J161" s="188">
        <f>opex_orig!J161</f>
        <v>7.3200000000000004E-5</v>
      </c>
      <c r="K161" s="188">
        <f>opex_orig!K161</f>
        <v>1.38E-5</v>
      </c>
      <c r="L161" s="188">
        <f>opex_orig!L161</f>
        <v>1.11383E-4</v>
      </c>
      <c r="M161" s="188">
        <f>opex_orig!M161</f>
        <v>3.0776700000000002E-4</v>
      </c>
      <c r="N161" s="188">
        <f>opex_orig!N161</f>
        <v>1.4861900000000001E-4</v>
      </c>
      <c r="O161" s="188">
        <f>opex_orig!O161</f>
        <v>2.14677E-4</v>
      </c>
      <c r="P161" s="188">
        <f>opex_orig!P161</f>
        <v>9.31E-5</v>
      </c>
      <c r="Q161" s="188">
        <f>opex_orig!Q161</f>
        <v>1.6500000000000001E-5</v>
      </c>
      <c r="R161" s="188">
        <f>opex_orig!R161</f>
        <v>1.3699999999999999E-5</v>
      </c>
      <c r="S161" s="188">
        <f>opex_orig!S161</f>
        <v>2.9899999999999998E-5</v>
      </c>
      <c r="T161" s="188">
        <f>opex_orig!T161</f>
        <v>1.8099999999999999E-5</v>
      </c>
      <c r="U161" s="188">
        <f>opex_orig!U161</f>
        <v>2.31776E-4</v>
      </c>
      <c r="V161" s="188">
        <f>opex_orig!V161</f>
        <v>4.3249E-4</v>
      </c>
      <c r="W161" s="188">
        <f>opex_orig!W161</f>
        <v>7.6199999999999995E-5</v>
      </c>
      <c r="X161" s="188">
        <f>opex_orig!X161</f>
        <v>3.65E-5</v>
      </c>
      <c r="Y161" s="188">
        <f>opex_orig!Y161</f>
        <v>1.6200000000000001E-5</v>
      </c>
      <c r="Z161" s="188">
        <f>opex_orig!Z161</f>
        <v>1.12279E-4</v>
      </c>
      <c r="AA161" s="188">
        <f>opex_orig!AA161</f>
        <v>4.71E-5</v>
      </c>
      <c r="AB161" s="188">
        <f>opex_orig!$AB161</f>
        <v>3.2079500677445198E-5</v>
      </c>
      <c r="AC161" s="188">
        <f>opex_orig!$AB161</f>
        <v>3.2079500677445198E-5</v>
      </c>
      <c r="AD161" s="188">
        <f>opex_orig!$AB161</f>
        <v>3.2079500677445198E-5</v>
      </c>
      <c r="AE161" s="188">
        <f>opex_orig!$AC161</f>
        <v>3.8614433275978299E-4</v>
      </c>
      <c r="AF161" s="188">
        <f>opex_orig!$AD161</f>
        <v>7.4766594732178905E-4</v>
      </c>
      <c r="AG161" s="188">
        <f>opex_orig!$AD161</f>
        <v>7.4766594732178905E-4</v>
      </c>
      <c r="AH161" s="188">
        <f>opex_orig!$AD161</f>
        <v>7.4766594732178905E-4</v>
      </c>
      <c r="AI161" s="188">
        <f>opex_orig!AE161</f>
        <v>5.6330200000000001E-4</v>
      </c>
      <c r="AJ161" s="188">
        <f>opex_orig!AF161</f>
        <v>1.6634700000000001E-4</v>
      </c>
      <c r="AK161" s="188">
        <f>opex_orig!AG161</f>
        <v>3.2299999999999999E-5</v>
      </c>
      <c r="AL161" s="188">
        <f>opex_orig!AH161</f>
        <v>5.4500000000000003E-5</v>
      </c>
      <c r="AM161" s="188">
        <f>opex_orig!AI161</f>
        <v>3.4100000000000002E-5</v>
      </c>
      <c r="AN161" s="188">
        <f>opex_orig!AJ161</f>
        <v>8.3599999999999999E-5</v>
      </c>
      <c r="AO161" s="188">
        <f>opex_orig!AK161</f>
        <v>4.0899999999999998E-5</v>
      </c>
      <c r="AP161" s="188">
        <f>opex_orig!$AL161</f>
        <v>1.05693926440086E-4</v>
      </c>
      <c r="AQ161" s="188">
        <f>opex_orig!$AL161</f>
        <v>1.05693926440086E-4</v>
      </c>
      <c r="AR161" s="188">
        <f>opex_orig!$AL161</f>
        <v>1.05693926440086E-4</v>
      </c>
      <c r="AS161" s="188">
        <f>opex_orig!$AM161</f>
        <v>3.7626757112614798E-5</v>
      </c>
      <c r="AT161" s="188">
        <f>opex_orig!AN161</f>
        <v>1.15925E-4</v>
      </c>
      <c r="AU161" s="188">
        <f>opex_orig!$AO161</f>
        <v>1.633530897815E-4</v>
      </c>
      <c r="AV161" s="188">
        <f>opex_orig!$AO161</f>
        <v>1.633530897815E-4</v>
      </c>
      <c r="AW161" s="188">
        <f>opex_orig!$AO161</f>
        <v>1.633530897815E-4</v>
      </c>
      <c r="AX161" s="188">
        <f>opex_orig!$AP161</f>
        <v>2.6195583907484598E-4</v>
      </c>
      <c r="AY161" s="188">
        <f>opex_orig!AQ161</f>
        <v>3.0014899999999999E-4</v>
      </c>
      <c r="AZ161" s="188">
        <f>opex_orig!AR161</f>
        <v>0</v>
      </c>
      <c r="BA161" s="188">
        <f>opex_orig!AS161</f>
        <v>1.962E-4</v>
      </c>
      <c r="BB161" s="188">
        <f>opex_orig!AT161</f>
        <v>1.50309E-4</v>
      </c>
      <c r="BC161" s="188">
        <f>opex_orig!AU161</f>
        <v>2.0100000000000001E-5</v>
      </c>
      <c r="BD161" s="188">
        <f>opex_orig!AV161</f>
        <v>1.59E-5</v>
      </c>
      <c r="BE161" s="188">
        <f>opex_orig!AW161</f>
        <v>2.4156899999999999E-4</v>
      </c>
      <c r="BF161" s="188">
        <f>opex_orig!AX161</f>
        <v>0</v>
      </c>
      <c r="BG161" s="188">
        <f>opex_orig!AY161</f>
        <v>1.15844E-4</v>
      </c>
      <c r="BH161" s="188">
        <f>opex_orig!AZ161</f>
        <v>0</v>
      </c>
      <c r="BI161" s="188">
        <f>opex_orig!BA161</f>
        <v>1.3406599999999999E-4</v>
      </c>
      <c r="BJ161" s="188">
        <f>opex_orig!BB161</f>
        <v>1.7222200000000001E-4</v>
      </c>
      <c r="BK161" s="188">
        <f>opex_orig!BC161</f>
        <v>2.75918E-4</v>
      </c>
      <c r="BL161" s="188">
        <f>opex_orig!BD161</f>
        <v>2.5700000000000001E-5</v>
      </c>
      <c r="BM161" s="188">
        <f>opex_orig!BE161</f>
        <v>4.2400000000000001E-5</v>
      </c>
      <c r="BN161" s="188">
        <f>opex_orig!BF161</f>
        <v>1.49E-5</v>
      </c>
      <c r="BO161" s="188">
        <f>opex_orig!BG161</f>
        <v>6.1799999999999998E-5</v>
      </c>
      <c r="BP161" s="188">
        <f>opex_orig!$BH161</f>
        <v>9.9021341907965901E-5</v>
      </c>
      <c r="BQ161" s="188">
        <f>opex_orig!$BH161</f>
        <v>9.9021341907965901E-5</v>
      </c>
      <c r="BR161" s="188">
        <f>opex_orig!BI161</f>
        <v>1.3979500000000001E-4</v>
      </c>
      <c r="BS161" s="188">
        <f>opex_orig!BJ161</f>
        <v>5.9799999999999997E-5</v>
      </c>
      <c r="BT161" s="188">
        <f>opex_orig!BK161</f>
        <v>2.7349600000000003E-4</v>
      </c>
      <c r="BU161" s="188">
        <f>opex_orig!BL161</f>
        <v>0</v>
      </c>
      <c r="BV161" s="27">
        <f>opex_orig!BM161</f>
        <v>1.2510818549199101E-4</v>
      </c>
      <c r="BW161" s="27">
        <f>opex_orig!BN161</f>
        <v>7.3678973656984197E-4</v>
      </c>
      <c r="BX161" s="27">
        <f>opex_orig!BO161</f>
        <v>1.2832648099402901E-4</v>
      </c>
      <c r="BY161" s="27">
        <f>opex_orig!BP161</f>
        <v>6.3248259259981305E-4</v>
      </c>
      <c r="BZ161" s="27">
        <f>opex_orig!BQ161</f>
        <v>5.9285309974792903E-5</v>
      </c>
      <c r="CA161" s="27">
        <f>opex_orig!BR161</f>
        <v>1.3634233575037001E-6</v>
      </c>
      <c r="CB161" s="27">
        <f>opex_orig!BS161</f>
        <v>1.6068637442023299E-4</v>
      </c>
      <c r="CC161" s="27">
        <f>opex_orig!BT161</f>
        <v>6.8112521435454102E-5</v>
      </c>
      <c r="CD161" s="27">
        <f>opex_orig!BU161</f>
        <v>8.1795120597588196E-6</v>
      </c>
      <c r="CE161" s="27">
        <f>opex_orig!BV161</f>
        <v>8.1795120597588399E-6</v>
      </c>
      <c r="CF161" s="27">
        <f>opex_orig!BW161</f>
        <v>2.6447906039046701E-6</v>
      </c>
      <c r="CG161" s="27">
        <f>opex_orig!BX161</f>
        <v>4.0505349240296001E-6</v>
      </c>
      <c r="CH161" s="27">
        <f>opex_orig!BY161</f>
        <v>1.5527391045972502E-5</v>
      </c>
      <c r="CI161" s="27">
        <f>opex_orig!Y161</f>
        <v>1.6200000000000001E-5</v>
      </c>
      <c r="CJ161" s="27">
        <f>opex_orig!Z161</f>
        <v>1.12279E-4</v>
      </c>
      <c r="CK161" s="27">
        <f>opex_orig!AA161</f>
        <v>4.71E-5</v>
      </c>
      <c r="CL161" s="27">
        <f>opex_orig!AB161</f>
        <v>3.2079500677445198E-5</v>
      </c>
      <c r="CM161" s="27">
        <f>opex_orig!AC161</f>
        <v>3.8614433275978299E-4</v>
      </c>
      <c r="CN161" s="27">
        <f>opex_orig!AD161</f>
        <v>7.4766594732178905E-4</v>
      </c>
      <c r="CO161" s="27">
        <f>opex_orig!AE161</f>
        <v>5.6330200000000001E-4</v>
      </c>
      <c r="CP161" s="27">
        <f>opex_orig!AF161</f>
        <v>1.6634700000000001E-4</v>
      </c>
    </row>
    <row r="162" spans="1:94" x14ac:dyDescent="0.25">
      <c r="A162" s="5" t="s">
        <v>315</v>
      </c>
      <c r="B162" s="2" t="s">
        <v>314</v>
      </c>
      <c r="C162" s="1" t="s">
        <v>335</v>
      </c>
      <c r="D162" s="188">
        <f>opex_orig!D162</f>
        <v>3.0699999999999998E-6</v>
      </c>
      <c r="E162" s="188">
        <f>opex_orig!E162</f>
        <v>3.5499999999999999E-7</v>
      </c>
      <c r="F162" s="188">
        <f>opex_orig!F162</f>
        <v>3.3699999999999999E-6</v>
      </c>
      <c r="G162" s="188">
        <f>opex_orig!G162</f>
        <v>2.8100000000000002E-6</v>
      </c>
      <c r="H162" s="188">
        <f>opex_orig!H162</f>
        <v>3.9299999999999996E-6</v>
      </c>
      <c r="I162" s="188">
        <f>opex_orig!I162</f>
        <v>1.2699999999999999E-6</v>
      </c>
      <c r="J162" s="188">
        <f>opex_orig!J162</f>
        <v>1.8500000000000001E-6</v>
      </c>
      <c r="K162" s="188">
        <f>opex_orig!K162</f>
        <v>1.1399999999999999E-5</v>
      </c>
      <c r="L162" s="188">
        <f>opex_orig!L162</f>
        <v>1.9199999999999999E-5</v>
      </c>
      <c r="M162" s="188">
        <f>opex_orig!M162</f>
        <v>1.6645000000000001E-4</v>
      </c>
      <c r="N162" s="188">
        <f>opex_orig!N162</f>
        <v>9.8099999999999999E-5</v>
      </c>
      <c r="O162" s="188">
        <f>opex_orig!O162</f>
        <v>2.7900000000000001E-5</v>
      </c>
      <c r="P162" s="188">
        <f>opex_orig!P162</f>
        <v>2.39E-6</v>
      </c>
      <c r="Q162" s="188">
        <f>opex_orig!Q162</f>
        <v>5.4634900000000001E-4</v>
      </c>
      <c r="R162" s="188">
        <f>opex_orig!R162</f>
        <v>5.8188599999999999E-4</v>
      </c>
      <c r="S162" s="188">
        <f>opex_orig!S162</f>
        <v>2.7099999999999999E-6</v>
      </c>
      <c r="T162" s="188">
        <f>opex_orig!T162</f>
        <v>3.069713E-3</v>
      </c>
      <c r="U162" s="188">
        <f>opex_orig!U162</f>
        <v>1.22E-5</v>
      </c>
      <c r="V162" s="188">
        <f>opex_orig!V162</f>
        <v>6.61E-7</v>
      </c>
      <c r="W162" s="188">
        <f>opex_orig!W162</f>
        <v>3.0300000000000001E-5</v>
      </c>
      <c r="X162" s="188">
        <f>opex_orig!X162</f>
        <v>8.4100000000000008E-6</v>
      </c>
      <c r="Y162" s="188">
        <f>opex_orig!Y162</f>
        <v>4.4799999999999999E-7</v>
      </c>
      <c r="Z162" s="188">
        <f>opex_orig!Z162</f>
        <v>7.4900000000000002E-8</v>
      </c>
      <c r="AA162" s="188">
        <f>opex_orig!AA162</f>
        <v>2.17E-7</v>
      </c>
      <c r="AB162" s="188">
        <f>opex_orig!$AB162</f>
        <v>1.3847483179878599E-6</v>
      </c>
      <c r="AC162" s="188">
        <f>opex_orig!$AB162</f>
        <v>1.3847483179878599E-6</v>
      </c>
      <c r="AD162" s="188">
        <f>opex_orig!$AB162</f>
        <v>1.3847483179878599E-6</v>
      </c>
      <c r="AE162" s="188">
        <f>opex_orig!$AC162</f>
        <v>4.3668233248707203E-5</v>
      </c>
      <c r="AF162" s="188">
        <f>opex_orig!$AD162</f>
        <v>3.96084116528952E-5</v>
      </c>
      <c r="AG162" s="188">
        <f>opex_orig!$AD162</f>
        <v>3.96084116528952E-5</v>
      </c>
      <c r="AH162" s="188">
        <f>opex_orig!$AD162</f>
        <v>3.96084116528952E-5</v>
      </c>
      <c r="AI162" s="188">
        <f>opex_orig!AE162</f>
        <v>9.0599999999999997E-6</v>
      </c>
      <c r="AJ162" s="188">
        <f>opex_orig!AF162</f>
        <v>2.3730100000000001E-4</v>
      </c>
      <c r="AK162" s="188">
        <f>opex_orig!AG162</f>
        <v>7.0500000000000003E-7</v>
      </c>
      <c r="AL162" s="188">
        <f>opex_orig!AH162</f>
        <v>8.9999999999999996E-7</v>
      </c>
      <c r="AM162" s="188">
        <f>opex_orig!AI162</f>
        <v>8.7499999999999999E-7</v>
      </c>
      <c r="AN162" s="188">
        <f>opex_orig!AJ162</f>
        <v>1.3799999999999999E-6</v>
      </c>
      <c r="AO162" s="188">
        <f>opex_orig!AK162</f>
        <v>1.2500000000000001E-6</v>
      </c>
      <c r="AP162" s="188">
        <f>opex_orig!$AL162</f>
        <v>7.6877982635626802E-7</v>
      </c>
      <c r="AQ162" s="188">
        <f>opex_orig!$AL162</f>
        <v>7.6877982635626802E-7</v>
      </c>
      <c r="AR162" s="188">
        <f>opex_orig!$AL162</f>
        <v>7.6877982635626802E-7</v>
      </c>
      <c r="AS162" s="188">
        <f>opex_orig!$AM162</f>
        <v>6.9330753583842795E-7</v>
      </c>
      <c r="AT162" s="188">
        <f>opex_orig!AN162</f>
        <v>1.26E-6</v>
      </c>
      <c r="AU162" s="188">
        <f>opex_orig!$AO162</f>
        <v>7.8205414033679097E-7</v>
      </c>
      <c r="AV162" s="188">
        <f>opex_orig!$AO162</f>
        <v>7.8205414033679097E-7</v>
      </c>
      <c r="AW162" s="188">
        <f>opex_orig!$AO162</f>
        <v>7.8205414033679097E-7</v>
      </c>
      <c r="AX162" s="188">
        <f>opex_orig!$AP162</f>
        <v>5.1733314594485897E-7</v>
      </c>
      <c r="AY162" s="188">
        <f>opex_orig!AQ162</f>
        <v>1.2300000000000001E-6</v>
      </c>
      <c r="AZ162" s="188">
        <f>opex_orig!AR162</f>
        <v>0</v>
      </c>
      <c r="BA162" s="188">
        <f>opex_orig!AS162</f>
        <v>1.57E-6</v>
      </c>
      <c r="BB162" s="188">
        <f>opex_orig!AT162</f>
        <v>1.77E-6</v>
      </c>
      <c r="BC162" s="188">
        <f>opex_orig!AU162</f>
        <v>1.4399999999999999E-7</v>
      </c>
      <c r="BD162" s="188">
        <f>opex_orig!AV162</f>
        <v>5.7299999999999997E-8</v>
      </c>
      <c r="BE162" s="188">
        <f>opex_orig!AW162</f>
        <v>2.43E-6</v>
      </c>
      <c r="BF162" s="188">
        <f>opex_orig!AX162</f>
        <v>0</v>
      </c>
      <c r="BG162" s="188">
        <f>opex_orig!AY162</f>
        <v>2.4499999999999998E-7</v>
      </c>
      <c r="BH162" s="188">
        <f>opex_orig!AZ162</f>
        <v>0</v>
      </c>
      <c r="BI162" s="188">
        <f>opex_orig!BA162</f>
        <v>1.1200000000000001E-6</v>
      </c>
      <c r="BJ162" s="188">
        <f>opex_orig!BB162</f>
        <v>6.4899999999999995E-7</v>
      </c>
      <c r="BK162" s="188">
        <f>opex_orig!BC162</f>
        <v>9.569999999999999E-7</v>
      </c>
      <c r="BL162" s="188">
        <f>opex_orig!BD162</f>
        <v>1.73E-6</v>
      </c>
      <c r="BM162" s="188">
        <f>opex_orig!BE162</f>
        <v>7.3099999999999997E-7</v>
      </c>
      <c r="BN162" s="188">
        <f>opex_orig!BF162</f>
        <v>2.5799999999999999E-6</v>
      </c>
      <c r="BO162" s="188">
        <f>opex_orig!BG162</f>
        <v>7.7700000000000004E-7</v>
      </c>
      <c r="BP162" s="188">
        <f>opex_orig!$BH162</f>
        <v>9.57439489476464E-7</v>
      </c>
      <c r="BQ162" s="188">
        <f>opex_orig!$BH162</f>
        <v>9.57439489476464E-7</v>
      </c>
      <c r="BR162" s="188">
        <f>opex_orig!BI162</f>
        <v>7.9299999999999997E-7</v>
      </c>
      <c r="BS162" s="188">
        <f>opex_orig!BJ162</f>
        <v>1.1599999999999999E-6</v>
      </c>
      <c r="BT162" s="188">
        <f>opex_orig!BK162</f>
        <v>9.1200000000000001E-7</v>
      </c>
      <c r="BU162" s="188">
        <f>opex_orig!BL162</f>
        <v>0</v>
      </c>
      <c r="BV162" s="27">
        <f>opex_orig!BM162</f>
        <v>9.1952157672422796E-7</v>
      </c>
      <c r="BW162" s="27">
        <f>opex_orig!BN162</f>
        <v>5.9543591135705804E-7</v>
      </c>
      <c r="BX162" s="27">
        <f>opex_orig!BO162</f>
        <v>2.4655283410438898E-7</v>
      </c>
      <c r="BY162" s="27">
        <f>opex_orig!BP162</f>
        <v>3.7710360526712302E-7</v>
      </c>
      <c r="BZ162" s="27">
        <f>opex_orig!BQ162</f>
        <v>2.1620859308802301E-7</v>
      </c>
      <c r="CA162" s="27">
        <f>opex_orig!BR162</f>
        <v>1.9337730303935E-6</v>
      </c>
      <c r="CB162" s="27">
        <f>opex_orig!BS162</f>
        <v>4.8943631265472696E-7</v>
      </c>
      <c r="CC162" s="27">
        <f>opex_orig!BT162</f>
        <v>4.3298060544080799E-6</v>
      </c>
      <c r="CD162" s="27">
        <f>opex_orig!BU162</f>
        <v>1.4409365371630599E-7</v>
      </c>
      <c r="CE162" s="27">
        <f>opex_orig!BV162</f>
        <v>1.4409365371630599E-7</v>
      </c>
      <c r="CF162" s="27">
        <f>opex_orig!BW162</f>
        <v>1.3891020648707101E-6</v>
      </c>
      <c r="CG162" s="27">
        <f>opex_orig!BX162</f>
        <v>1.8212736406923799E-6</v>
      </c>
      <c r="CH162" s="27">
        <f>opex_orig!BY162</f>
        <v>6.7885518158220102E-7</v>
      </c>
      <c r="CI162" s="27">
        <f>opex_orig!Y162</f>
        <v>4.4799999999999999E-7</v>
      </c>
      <c r="CJ162" s="27">
        <f>opex_orig!Z162</f>
        <v>7.4900000000000002E-8</v>
      </c>
      <c r="CK162" s="27">
        <f>opex_orig!AA162</f>
        <v>2.17E-7</v>
      </c>
      <c r="CL162" s="27">
        <f>opex_orig!AB162</f>
        <v>1.3847483179878599E-6</v>
      </c>
      <c r="CM162" s="27">
        <f>opex_orig!AC162</f>
        <v>4.3668233248707203E-5</v>
      </c>
      <c r="CN162" s="27">
        <f>opex_orig!AD162</f>
        <v>3.96084116528952E-5</v>
      </c>
      <c r="CO162" s="27">
        <f>opex_orig!AE162</f>
        <v>9.0599999999999997E-6</v>
      </c>
      <c r="CP162" s="27">
        <f>opex_orig!AF162</f>
        <v>2.3730100000000001E-4</v>
      </c>
    </row>
    <row r="163" spans="1:94" x14ac:dyDescent="0.25">
      <c r="A163" s="5" t="s">
        <v>317</v>
      </c>
      <c r="B163" s="2" t="s">
        <v>316</v>
      </c>
      <c r="C163" s="1" t="s">
        <v>335</v>
      </c>
      <c r="D163" s="188">
        <f>opex_orig!D163</f>
        <v>2.23262E-4</v>
      </c>
      <c r="E163" s="188">
        <f>opex_orig!E163</f>
        <v>3.0800000000000003E-5</v>
      </c>
      <c r="F163" s="188">
        <f>opex_orig!F163</f>
        <v>9.7999999999999997E-5</v>
      </c>
      <c r="G163" s="188">
        <f>opex_orig!G163</f>
        <v>2.3800000000000001E-6</v>
      </c>
      <c r="H163" s="188">
        <f>opex_orig!H163</f>
        <v>5.0799999999999996E-6</v>
      </c>
      <c r="I163" s="188">
        <f>opex_orig!I163</f>
        <v>3.8399999999999998E-5</v>
      </c>
      <c r="J163" s="188">
        <f>opex_orig!J163</f>
        <v>1.21416E-4</v>
      </c>
      <c r="K163" s="188">
        <f>opex_orig!K163</f>
        <v>7.5000000000000002E-6</v>
      </c>
      <c r="L163" s="188">
        <f>opex_orig!L163</f>
        <v>4.1600000000000002E-5</v>
      </c>
      <c r="M163" s="188">
        <f>opex_orig!M163</f>
        <v>1.07506E-4</v>
      </c>
      <c r="N163" s="188">
        <f>opex_orig!N163</f>
        <v>7.25E-5</v>
      </c>
      <c r="O163" s="188">
        <f>opex_orig!O163</f>
        <v>1.5858499999999999E-4</v>
      </c>
      <c r="P163" s="188">
        <f>opex_orig!P163</f>
        <v>5.2200000000000002E-5</v>
      </c>
      <c r="Q163" s="188">
        <f>opex_orig!Q163</f>
        <v>6.8499999999999998E-5</v>
      </c>
      <c r="R163" s="188">
        <f>opex_orig!R163</f>
        <v>2.9200000000000002E-5</v>
      </c>
      <c r="S163" s="188">
        <f>opex_orig!S163</f>
        <v>5.2099999999999999E-5</v>
      </c>
      <c r="T163" s="188">
        <f>opex_orig!T163</f>
        <v>4.32E-5</v>
      </c>
      <c r="U163" s="188">
        <f>opex_orig!U163</f>
        <v>5.3600000000000002E-5</v>
      </c>
      <c r="V163" s="188">
        <f>opex_orig!V163</f>
        <v>6.0800000000000001E-5</v>
      </c>
      <c r="W163" s="188">
        <f>opex_orig!W163</f>
        <v>5.3199999999999999E-5</v>
      </c>
      <c r="X163" s="188">
        <f>opex_orig!X163</f>
        <v>8.1199999999999995E-5</v>
      </c>
      <c r="Y163" s="188">
        <f>opex_orig!Y163</f>
        <v>4.7400000000000004E-6</v>
      </c>
      <c r="Z163" s="188">
        <f>opex_orig!Z163</f>
        <v>6.2534099999999996E-4</v>
      </c>
      <c r="AA163" s="188">
        <f>opex_orig!AA163</f>
        <v>2.41E-5</v>
      </c>
      <c r="AB163" s="188">
        <f>opex_orig!$AB163</f>
        <v>2.1192933224346199E-5</v>
      </c>
      <c r="AC163" s="188">
        <f>opex_orig!$AB163</f>
        <v>2.1192933224346199E-5</v>
      </c>
      <c r="AD163" s="188">
        <f>opex_orig!$AB163</f>
        <v>2.1192933224346199E-5</v>
      </c>
      <c r="AE163" s="188">
        <f>opex_orig!$AC163</f>
        <v>1.13136768777148E-4</v>
      </c>
      <c r="AF163" s="188">
        <f>opex_orig!$AD163</f>
        <v>7.7942863584130604E-5</v>
      </c>
      <c r="AG163" s="188">
        <f>opex_orig!$AD163</f>
        <v>7.7942863584130604E-5</v>
      </c>
      <c r="AH163" s="188">
        <f>opex_orig!$AD163</f>
        <v>7.7942863584130604E-5</v>
      </c>
      <c r="AI163" s="188">
        <f>opex_orig!AE163</f>
        <v>7.4400000000000006E-5</v>
      </c>
      <c r="AJ163" s="188">
        <f>opex_orig!AF163</f>
        <v>5.8976799999999995E-4</v>
      </c>
      <c r="AK163" s="188">
        <f>opex_orig!AG163</f>
        <v>2.7500000000000001E-5</v>
      </c>
      <c r="AL163" s="188">
        <f>opex_orig!AH163</f>
        <v>1.33E-5</v>
      </c>
      <c r="AM163" s="188">
        <f>opex_orig!AI163</f>
        <v>2.4600000000000002E-5</v>
      </c>
      <c r="AN163" s="188">
        <f>opex_orig!AJ163</f>
        <v>1.19E-5</v>
      </c>
      <c r="AO163" s="188">
        <f>opex_orig!AK163</f>
        <v>1.36E-5</v>
      </c>
      <c r="AP163" s="188">
        <f>opex_orig!$AL163</f>
        <v>1.9225811905037701E-5</v>
      </c>
      <c r="AQ163" s="188">
        <f>opex_orig!$AL163</f>
        <v>1.9225811905037701E-5</v>
      </c>
      <c r="AR163" s="188">
        <f>opex_orig!$AL163</f>
        <v>1.9225811905037701E-5</v>
      </c>
      <c r="AS163" s="188">
        <f>opex_orig!$AM163</f>
        <v>1.7662469224607301E-5</v>
      </c>
      <c r="AT163" s="188">
        <f>opex_orig!AN163</f>
        <v>2.5400000000000001E-5</v>
      </c>
      <c r="AU163" s="188">
        <f>opex_orig!$AO163</f>
        <v>1.3967744771570899E-5</v>
      </c>
      <c r="AV163" s="188">
        <f>opex_orig!$AO163</f>
        <v>1.3967744771570899E-5</v>
      </c>
      <c r="AW163" s="188">
        <f>opex_orig!$AO163</f>
        <v>1.3967744771570899E-5</v>
      </c>
      <c r="AX163" s="188">
        <f>opex_orig!$AP163</f>
        <v>1.7450745944546499E-5</v>
      </c>
      <c r="AY163" s="188">
        <f>opex_orig!AQ163</f>
        <v>8.7899999999999995E-5</v>
      </c>
      <c r="AZ163" s="188">
        <f>opex_orig!AR163</f>
        <v>0</v>
      </c>
      <c r="BA163" s="188">
        <f>opex_orig!AS163</f>
        <v>2.0400000000000001E-5</v>
      </c>
      <c r="BB163" s="188">
        <f>opex_orig!AT163</f>
        <v>1.9300000000000002E-5</v>
      </c>
      <c r="BC163" s="188">
        <f>opex_orig!AU163</f>
        <v>7.96E-6</v>
      </c>
      <c r="BD163" s="188">
        <f>opex_orig!AV163</f>
        <v>4.6E-6</v>
      </c>
      <c r="BE163" s="188">
        <f>opex_orig!AW163</f>
        <v>1.4399999999999999E-5</v>
      </c>
      <c r="BF163" s="188">
        <f>opex_orig!AX163</f>
        <v>0</v>
      </c>
      <c r="BG163" s="188">
        <f>opex_orig!AY163</f>
        <v>2.6299999999999999E-5</v>
      </c>
      <c r="BH163" s="188">
        <f>opex_orig!AZ163</f>
        <v>0</v>
      </c>
      <c r="BI163" s="188">
        <f>opex_orig!BA163</f>
        <v>2.48E-5</v>
      </c>
      <c r="BJ163" s="188">
        <f>opex_orig!BB163</f>
        <v>2.5700000000000001E-5</v>
      </c>
      <c r="BK163" s="188">
        <f>opex_orig!BC163</f>
        <v>4.4299999999999999E-5</v>
      </c>
      <c r="BL163" s="188">
        <f>opex_orig!BD163</f>
        <v>1.2082300000000001E-4</v>
      </c>
      <c r="BM163" s="188">
        <f>opex_orig!BE163</f>
        <v>3.18E-5</v>
      </c>
      <c r="BN163" s="188">
        <f>opex_orig!BF163</f>
        <v>1.26E-5</v>
      </c>
      <c r="BO163" s="188">
        <f>opex_orig!BG163</f>
        <v>5.4500000000000003E-5</v>
      </c>
      <c r="BP163" s="188">
        <f>opex_orig!$BH163</f>
        <v>2.8513923540861499E-5</v>
      </c>
      <c r="BQ163" s="188">
        <f>opex_orig!$BH163</f>
        <v>2.8513923540861499E-5</v>
      </c>
      <c r="BR163" s="188">
        <f>opex_orig!BI163</f>
        <v>1.8899999999999999E-5</v>
      </c>
      <c r="BS163" s="188">
        <f>opex_orig!BJ163</f>
        <v>2.1490499999999999E-4</v>
      </c>
      <c r="BT163" s="188">
        <f>opex_orig!BK163</f>
        <v>1.5E-5</v>
      </c>
      <c r="BU163" s="188">
        <f>opex_orig!BL163</f>
        <v>0</v>
      </c>
      <c r="BV163" s="27">
        <f>opex_orig!BM163</f>
        <v>2.7178667076136001E-5</v>
      </c>
      <c r="BW163" s="27">
        <f>opex_orig!BN163</f>
        <v>5.2998248676683503E-5</v>
      </c>
      <c r="BX163" s="27">
        <f>opex_orig!BO163</f>
        <v>1.5105540152157899E-5</v>
      </c>
      <c r="BY163" s="27">
        <f>opex_orig!BP163</f>
        <v>3.3545981816338698E-5</v>
      </c>
      <c r="BZ163" s="27">
        <f>opex_orig!BQ163</f>
        <v>1.62103461719277E-5</v>
      </c>
      <c r="CA163" s="27">
        <f>opex_orig!BR163</f>
        <v>6.4780126218526204E-5</v>
      </c>
      <c r="CB163" s="27">
        <f>opex_orig!BS163</f>
        <v>2.2941245202591399E-5</v>
      </c>
      <c r="CC163" s="27">
        <f>opex_orig!BT163</f>
        <v>9.7134247988924896E-5</v>
      </c>
      <c r="CD163" s="27">
        <f>opex_orig!BU163</f>
        <v>3.0034955208036401E-5</v>
      </c>
      <c r="CE163" s="27">
        <f>opex_orig!BV163</f>
        <v>3.0034955208036499E-5</v>
      </c>
      <c r="CF163" s="27">
        <f>opex_orig!BW163</f>
        <v>4.0714813644691102E-5</v>
      </c>
      <c r="CG163" s="27">
        <f>opex_orig!BX163</f>
        <v>4.3523285205156897E-6</v>
      </c>
      <c r="CH163" s="27">
        <f>opex_orig!BY163</f>
        <v>4.1746528477457003E-5</v>
      </c>
      <c r="CI163" s="27">
        <f>opex_orig!Y163</f>
        <v>4.7400000000000004E-6</v>
      </c>
      <c r="CJ163" s="27">
        <f>opex_orig!Z163</f>
        <v>6.2534099999999996E-4</v>
      </c>
      <c r="CK163" s="27">
        <f>opex_orig!AA163</f>
        <v>2.41E-5</v>
      </c>
      <c r="CL163" s="27">
        <f>opex_orig!AB163</f>
        <v>2.1192933224346199E-5</v>
      </c>
      <c r="CM163" s="27">
        <f>opex_orig!AC163</f>
        <v>1.13136768777148E-4</v>
      </c>
      <c r="CN163" s="27">
        <f>opex_orig!AD163</f>
        <v>7.7942863584130604E-5</v>
      </c>
      <c r="CO163" s="27">
        <f>opex_orig!AE163</f>
        <v>7.4400000000000006E-5</v>
      </c>
      <c r="CP163" s="27">
        <f>opex_orig!AF163</f>
        <v>5.8976799999999995E-4</v>
      </c>
    </row>
    <row r="164" spans="1:94" x14ac:dyDescent="0.25">
      <c r="A164" s="5" t="s">
        <v>319</v>
      </c>
      <c r="B164" s="2" t="s">
        <v>318</v>
      </c>
      <c r="C164" s="1" t="s">
        <v>335</v>
      </c>
      <c r="D164" s="188">
        <f>opex_orig!D164</f>
        <v>5.49E-5</v>
      </c>
      <c r="E164" s="188">
        <f>opex_orig!E164</f>
        <v>2.6100000000000001E-5</v>
      </c>
      <c r="F164" s="188">
        <f>opex_orig!F164</f>
        <v>2.4600000000000002E-5</v>
      </c>
      <c r="G164" s="188">
        <f>opex_orig!G164</f>
        <v>5.0900000000000004E-6</v>
      </c>
      <c r="H164" s="188">
        <f>opex_orig!H164</f>
        <v>8.32E-6</v>
      </c>
      <c r="I164" s="188">
        <f>opex_orig!I164</f>
        <v>4.0299999999999997E-5</v>
      </c>
      <c r="J164" s="188">
        <f>opex_orig!J164</f>
        <v>7.7200000000000006E-5</v>
      </c>
      <c r="K164" s="188">
        <f>opex_orig!K164</f>
        <v>1.63E-5</v>
      </c>
      <c r="L164" s="188">
        <f>opex_orig!L164</f>
        <v>4.9700000000000002E-5</v>
      </c>
      <c r="M164" s="188">
        <f>opex_orig!M164</f>
        <v>1.42733E-4</v>
      </c>
      <c r="N164" s="188">
        <f>opex_orig!N164</f>
        <v>1.01235E-4</v>
      </c>
      <c r="O164" s="188">
        <f>opex_orig!O164</f>
        <v>6.86E-5</v>
      </c>
      <c r="P164" s="188">
        <f>opex_orig!P164</f>
        <v>3.2898699999999999E-4</v>
      </c>
      <c r="Q164" s="188">
        <f>opex_orig!Q164</f>
        <v>1.8762600000000001E-4</v>
      </c>
      <c r="R164" s="188">
        <f>opex_orig!R164</f>
        <v>4.4299999999999999E-5</v>
      </c>
      <c r="S164" s="188">
        <f>opex_orig!S164</f>
        <v>1.24845E-4</v>
      </c>
      <c r="T164" s="188">
        <f>opex_orig!T164</f>
        <v>1.4848500000000001E-4</v>
      </c>
      <c r="U164" s="188">
        <f>opex_orig!U164</f>
        <v>7.2200000000000007E-5</v>
      </c>
      <c r="V164" s="188">
        <f>opex_orig!V164</f>
        <v>4.7700000000000001E-5</v>
      </c>
      <c r="W164" s="188">
        <f>opex_orig!W164</f>
        <v>4.3699999999999998E-5</v>
      </c>
      <c r="X164" s="188">
        <f>opex_orig!X164</f>
        <v>6.2100000000000005E-5</v>
      </c>
      <c r="Y164" s="188">
        <f>opex_orig!Y164</f>
        <v>2.0299999999999999E-5</v>
      </c>
      <c r="Z164" s="188">
        <f>opex_orig!Z164</f>
        <v>1.6200000000000001E-5</v>
      </c>
      <c r="AA164" s="188">
        <f>opex_orig!AA164</f>
        <v>5.3300000000000001E-5</v>
      </c>
      <c r="AB164" s="188">
        <f>opex_orig!$AB164</f>
        <v>5.2384373153058202E-5</v>
      </c>
      <c r="AC164" s="188">
        <f>opex_orig!$AB164</f>
        <v>5.2384373153058202E-5</v>
      </c>
      <c r="AD164" s="188">
        <f>opex_orig!$AB164</f>
        <v>5.2384373153058202E-5</v>
      </c>
      <c r="AE164" s="188">
        <f>opex_orig!$AC164</f>
        <v>9.6183959114447799E-5</v>
      </c>
      <c r="AF164" s="188">
        <f>opex_orig!$AD164</f>
        <v>5.2585023334554401E-5</v>
      </c>
      <c r="AG164" s="188">
        <f>opex_orig!$AD164</f>
        <v>5.2585023334554401E-5</v>
      </c>
      <c r="AH164" s="188">
        <f>opex_orig!$AD164</f>
        <v>5.2585023334554401E-5</v>
      </c>
      <c r="AI164" s="188">
        <f>opex_orig!AE164</f>
        <v>4.6600000000000001E-5</v>
      </c>
      <c r="AJ164" s="188">
        <f>opex_orig!AF164</f>
        <v>1.1233E-4</v>
      </c>
      <c r="AK164" s="188">
        <f>opex_orig!AG164</f>
        <v>3.2700000000000002E-5</v>
      </c>
      <c r="AL164" s="188">
        <f>opex_orig!AH164</f>
        <v>1.5618300000000001E-4</v>
      </c>
      <c r="AM164" s="188">
        <f>opex_orig!AI164</f>
        <v>5.02E-5</v>
      </c>
      <c r="AN164" s="188">
        <f>opex_orig!AJ164</f>
        <v>1.7628199999999999E-4</v>
      </c>
      <c r="AO164" s="188">
        <f>opex_orig!AK164</f>
        <v>1.26484E-4</v>
      </c>
      <c r="AP164" s="188">
        <f>opex_orig!$AL164</f>
        <v>1.04720304548453E-4</v>
      </c>
      <c r="AQ164" s="188">
        <f>opex_orig!$AL164</f>
        <v>1.04720304548453E-4</v>
      </c>
      <c r="AR164" s="188">
        <f>opex_orig!$AL164</f>
        <v>1.04720304548453E-4</v>
      </c>
      <c r="AS164" s="188">
        <f>opex_orig!$AM164</f>
        <v>1.04171819738258E-4</v>
      </c>
      <c r="AT164" s="188">
        <f>opex_orig!AN164</f>
        <v>1.0063799999999999E-4</v>
      </c>
      <c r="AU164" s="188">
        <f>opex_orig!$AO164</f>
        <v>3.2056024835260102E-5</v>
      </c>
      <c r="AV164" s="188">
        <f>opex_orig!$AO164</f>
        <v>3.2056024835260102E-5</v>
      </c>
      <c r="AW164" s="188">
        <f>opex_orig!$AO164</f>
        <v>3.2056024835260102E-5</v>
      </c>
      <c r="AX164" s="188">
        <f>opex_orig!$AP164</f>
        <v>4.2290329449059799E-5</v>
      </c>
      <c r="AY164" s="188">
        <f>opex_orig!AQ164</f>
        <v>7.0500000000000006E-5</v>
      </c>
      <c r="AZ164" s="188">
        <f>opex_orig!AR164</f>
        <v>0</v>
      </c>
      <c r="BA164" s="188">
        <f>opex_orig!AS164</f>
        <v>4.6300000000000001E-5</v>
      </c>
      <c r="BB164" s="188">
        <f>opex_orig!AT164</f>
        <v>4.3399999999999998E-5</v>
      </c>
      <c r="BC164" s="188">
        <f>opex_orig!AU164</f>
        <v>1.7499999999999998E-5</v>
      </c>
      <c r="BD164" s="188">
        <f>opex_orig!AV164</f>
        <v>1.36E-5</v>
      </c>
      <c r="BE164" s="188">
        <f>opex_orig!AW164</f>
        <v>3.1300000000000002E-5</v>
      </c>
      <c r="BF164" s="188">
        <f>opex_orig!AX164</f>
        <v>0</v>
      </c>
      <c r="BG164" s="188">
        <f>opex_orig!AY164</f>
        <v>9.4500000000000007E-5</v>
      </c>
      <c r="BH164" s="188">
        <f>opex_orig!AZ164</f>
        <v>0</v>
      </c>
      <c r="BI164" s="188">
        <f>opex_orig!BA164</f>
        <v>4.9400000000000001E-5</v>
      </c>
      <c r="BJ164" s="188">
        <f>opex_orig!BB164</f>
        <v>4.1399999999999997E-5</v>
      </c>
      <c r="BK164" s="188">
        <f>opex_orig!BC164</f>
        <v>3.8699999999999999E-5</v>
      </c>
      <c r="BL164" s="188">
        <f>opex_orig!BD164</f>
        <v>5.0899999999999997E-5</v>
      </c>
      <c r="BM164" s="188">
        <f>opex_orig!BE164</f>
        <v>5.9599999999999999E-5</v>
      </c>
      <c r="BN164" s="188">
        <f>opex_orig!BF164</f>
        <v>7.6699999999999994E-5</v>
      </c>
      <c r="BO164" s="188">
        <f>opex_orig!BG164</f>
        <v>4.85E-5</v>
      </c>
      <c r="BP164" s="188">
        <f>opex_orig!$BH164</f>
        <v>3.37841055797442E-5</v>
      </c>
      <c r="BQ164" s="188">
        <f>opex_orig!$BH164</f>
        <v>3.37841055797442E-5</v>
      </c>
      <c r="BR164" s="188">
        <f>opex_orig!BI164</f>
        <v>2.1100000000000001E-5</v>
      </c>
      <c r="BS164" s="188">
        <f>opex_orig!BJ164</f>
        <v>6.0999999999999999E-5</v>
      </c>
      <c r="BT164" s="188">
        <f>opex_orig!BK164</f>
        <v>3.04E-5</v>
      </c>
      <c r="BU164" s="188">
        <f>opex_orig!BL164</f>
        <v>0</v>
      </c>
      <c r="BV164" s="27">
        <f>opex_orig!BM164</f>
        <v>2.3048704198728399E-5</v>
      </c>
      <c r="BW164" s="27">
        <f>opex_orig!BN164</f>
        <v>4.4263032493905502E-5</v>
      </c>
      <c r="BX164" s="27">
        <f>opex_orig!BO164</f>
        <v>1.51329221303918E-5</v>
      </c>
      <c r="BY164" s="27">
        <f>opex_orig!BP164</f>
        <v>2.5958667366038199E-5</v>
      </c>
      <c r="BZ164" s="27">
        <f>opex_orig!BQ164</f>
        <v>1.9557936922317601E-5</v>
      </c>
      <c r="CA164" s="27">
        <f>opex_orig!BR164</f>
        <v>4.0047176341573201E-4</v>
      </c>
      <c r="CB164" s="27">
        <f>opex_orig!BS164</f>
        <v>1.1561893699226E-4</v>
      </c>
      <c r="CC164" s="27">
        <f>opex_orig!BT164</f>
        <v>1.1309361249905999E-5</v>
      </c>
      <c r="CD164" s="27">
        <f>opex_orig!BU164</f>
        <v>1.31250331663879E-5</v>
      </c>
      <c r="CE164" s="27">
        <f>opex_orig!BV164</f>
        <v>1.31250331663879E-5</v>
      </c>
      <c r="CF164" s="27">
        <f>opex_orig!BW164</f>
        <v>1.6061716490178999E-5</v>
      </c>
      <c r="CG164" s="27">
        <f>opex_orig!BX164</f>
        <v>1.12627202847729E-5</v>
      </c>
      <c r="CH164" s="27">
        <f>opex_orig!BY164</f>
        <v>7.8128938811943504E-5</v>
      </c>
      <c r="CI164" s="27">
        <f>opex_orig!Y164</f>
        <v>2.0299999999999999E-5</v>
      </c>
      <c r="CJ164" s="27">
        <f>opex_orig!Z164</f>
        <v>1.6200000000000001E-5</v>
      </c>
      <c r="CK164" s="27">
        <f>opex_orig!AA164</f>
        <v>5.3300000000000001E-5</v>
      </c>
      <c r="CL164" s="27">
        <f>opex_orig!AB164</f>
        <v>5.2384373153058202E-5</v>
      </c>
      <c r="CM164" s="27">
        <f>opex_orig!AC164</f>
        <v>9.6183959114447799E-5</v>
      </c>
      <c r="CN164" s="27">
        <f>opex_orig!AD164</f>
        <v>5.2585023334554401E-5</v>
      </c>
      <c r="CO164" s="27">
        <f>opex_orig!AE164</f>
        <v>4.6600000000000001E-5</v>
      </c>
      <c r="CP164" s="27">
        <f>opex_orig!AF164</f>
        <v>1.1233E-4</v>
      </c>
    </row>
    <row r="165" spans="1:94" x14ac:dyDescent="0.25">
      <c r="A165" s="5" t="s">
        <v>321</v>
      </c>
      <c r="B165" s="2" t="s">
        <v>320</v>
      </c>
      <c r="C165" s="1" t="s">
        <v>335</v>
      </c>
      <c r="D165" s="188">
        <f>opex_orig!D165</f>
        <v>2.8200000000000001E-7</v>
      </c>
      <c r="E165" s="188">
        <f>opex_orig!E165</f>
        <v>5.6700000000000003E-7</v>
      </c>
      <c r="F165" s="188">
        <f>opex_orig!F165</f>
        <v>9.2600000000000001E-7</v>
      </c>
      <c r="G165" s="188">
        <f>opex_orig!G165</f>
        <v>1.0700000000000001E-7</v>
      </c>
      <c r="H165" s="188">
        <f>opex_orig!H165</f>
        <v>4.8900000000000001E-8</v>
      </c>
      <c r="I165" s="188">
        <f>opex_orig!I165</f>
        <v>5.2099999999999997E-7</v>
      </c>
      <c r="J165" s="188">
        <f>opex_orig!J165</f>
        <v>1.9099999999999999E-6</v>
      </c>
      <c r="K165" s="188">
        <f>opex_orig!K165</f>
        <v>2.6800000000000002E-7</v>
      </c>
      <c r="L165" s="188">
        <f>opex_orig!L165</f>
        <v>1.7099999999999999E-6</v>
      </c>
      <c r="M165" s="188">
        <f>opex_orig!M165</f>
        <v>1.9E-6</v>
      </c>
      <c r="N165" s="188">
        <f>opex_orig!N165</f>
        <v>1.3200000000000001E-6</v>
      </c>
      <c r="O165" s="188">
        <f>opex_orig!O165</f>
        <v>6.3100000000000003E-8</v>
      </c>
      <c r="P165" s="188">
        <f>opex_orig!P165</f>
        <v>2.4899999999999999E-6</v>
      </c>
      <c r="Q165" s="188">
        <f>opex_orig!Q165</f>
        <v>2.6100000000000001E-5</v>
      </c>
      <c r="R165" s="188">
        <f>opex_orig!R165</f>
        <v>2.4899999999999999E-5</v>
      </c>
      <c r="S165" s="188">
        <f>opex_orig!S165</f>
        <v>4.75E-7</v>
      </c>
      <c r="T165" s="188">
        <f>opex_orig!T165</f>
        <v>7.0299999999999998E-7</v>
      </c>
      <c r="U165" s="188">
        <f>opex_orig!U165</f>
        <v>7.9599999999999998E-7</v>
      </c>
      <c r="V165" s="188">
        <f>opex_orig!V165</f>
        <v>9.33E-7</v>
      </c>
      <c r="W165" s="188">
        <f>opex_orig!W165</f>
        <v>5.1399999999999997E-7</v>
      </c>
      <c r="X165" s="188">
        <f>opex_orig!X165</f>
        <v>2.35E-7</v>
      </c>
      <c r="Y165" s="188">
        <f>opex_orig!Y165</f>
        <v>1.3199999999999999E-7</v>
      </c>
      <c r="Z165" s="188">
        <f>opex_orig!Z165</f>
        <v>4.75E-7</v>
      </c>
      <c r="AA165" s="188">
        <f>opex_orig!AA165</f>
        <v>2.26E-6</v>
      </c>
      <c r="AB165" s="188">
        <f>opex_orig!$AB165</f>
        <v>1.7846163263408401E-6</v>
      </c>
      <c r="AC165" s="188">
        <f>opex_orig!$AB165</f>
        <v>1.7846163263408401E-6</v>
      </c>
      <c r="AD165" s="188">
        <f>opex_orig!$AB165</f>
        <v>1.7846163263408401E-6</v>
      </c>
      <c r="AE165" s="188">
        <f>opex_orig!$AC165</f>
        <v>1.51834511102114E-6</v>
      </c>
      <c r="AF165" s="188">
        <f>opex_orig!$AD165</f>
        <v>8.5840372566698495E-7</v>
      </c>
      <c r="AG165" s="188">
        <f>opex_orig!$AD165</f>
        <v>8.5840372566698495E-7</v>
      </c>
      <c r="AH165" s="188">
        <f>opex_orig!$AD165</f>
        <v>8.5840372566698495E-7</v>
      </c>
      <c r="AI165" s="188">
        <f>opex_orig!AE165</f>
        <v>7.0699999999999996E-7</v>
      </c>
      <c r="AJ165" s="188">
        <f>opex_orig!AF165</f>
        <v>1.7999999999999999E-6</v>
      </c>
      <c r="AK165" s="188">
        <f>opex_orig!AG165</f>
        <v>6.7400000000000003E-7</v>
      </c>
      <c r="AL165" s="188">
        <f>opex_orig!AH165</f>
        <v>1.73E-7</v>
      </c>
      <c r="AM165" s="188">
        <f>opex_orig!AI165</f>
        <v>2.36E-7</v>
      </c>
      <c r="AN165" s="188">
        <f>opex_orig!AJ165</f>
        <v>2.8599999999999999E-7</v>
      </c>
      <c r="AO165" s="188">
        <f>opex_orig!AK165</f>
        <v>4.6899999999999998E-7</v>
      </c>
      <c r="AP165" s="188">
        <f>opex_orig!$AL165</f>
        <v>3.4614722113146099E-7</v>
      </c>
      <c r="AQ165" s="188">
        <f>opex_orig!$AL165</f>
        <v>3.4614722113146099E-7</v>
      </c>
      <c r="AR165" s="188">
        <f>opex_orig!$AL165</f>
        <v>3.4614722113146099E-7</v>
      </c>
      <c r="AS165" s="188">
        <f>opex_orig!$AM165</f>
        <v>4.5591543449837997E-7</v>
      </c>
      <c r="AT165" s="188">
        <f>opex_orig!AN165</f>
        <v>2.4900000000000002E-7</v>
      </c>
      <c r="AU165" s="188">
        <f>opex_orig!$AO165</f>
        <v>1.58607042941954E-6</v>
      </c>
      <c r="AV165" s="188">
        <f>opex_orig!$AO165</f>
        <v>1.58607042941954E-6</v>
      </c>
      <c r="AW165" s="188">
        <f>opex_orig!$AO165</f>
        <v>1.58607042941954E-6</v>
      </c>
      <c r="AX165" s="188">
        <f>opex_orig!$AP165</f>
        <v>2.20198139225125E-7</v>
      </c>
      <c r="AY165" s="188">
        <f>opex_orig!AQ165</f>
        <v>1.74E-7</v>
      </c>
      <c r="AZ165" s="188">
        <f>opex_orig!AR165</f>
        <v>0</v>
      </c>
      <c r="BA165" s="188">
        <f>opex_orig!AS165</f>
        <v>2.05E-7</v>
      </c>
      <c r="BB165" s="188">
        <f>opex_orig!AT165</f>
        <v>1.4399999999999999E-7</v>
      </c>
      <c r="BC165" s="188">
        <f>opex_orig!AU165</f>
        <v>9.9400000000000003E-8</v>
      </c>
      <c r="BD165" s="188">
        <f>opex_orig!AV165</f>
        <v>5.25E-8</v>
      </c>
      <c r="BE165" s="188">
        <f>opex_orig!AW165</f>
        <v>1.36E-7</v>
      </c>
      <c r="BF165" s="188">
        <f>opex_orig!AX165</f>
        <v>0</v>
      </c>
      <c r="BG165" s="188">
        <f>opex_orig!AY165</f>
        <v>1.17E-6</v>
      </c>
      <c r="BH165" s="188">
        <f>opex_orig!AZ165</f>
        <v>0</v>
      </c>
      <c r="BI165" s="188">
        <f>opex_orig!BA165</f>
        <v>2.1500000000000001E-7</v>
      </c>
      <c r="BJ165" s="188">
        <f>opex_orig!BB165</f>
        <v>1.6500000000000001E-7</v>
      </c>
      <c r="BK165" s="188">
        <f>opex_orig!BC165</f>
        <v>4.0400000000000002E-7</v>
      </c>
      <c r="BL165" s="188">
        <f>opex_orig!BD165</f>
        <v>9.5600000000000004E-7</v>
      </c>
      <c r="BM165" s="188">
        <f>opex_orig!BE165</f>
        <v>6.4300000000000003E-7</v>
      </c>
      <c r="BN165" s="188">
        <f>opex_orig!BF165</f>
        <v>1.17E-6</v>
      </c>
      <c r="BO165" s="188">
        <f>opex_orig!BG165</f>
        <v>4.46E-7</v>
      </c>
      <c r="BP165" s="188">
        <f>opex_orig!$BH165</f>
        <v>2.2164024773430399E-7</v>
      </c>
      <c r="BQ165" s="188">
        <f>opex_orig!$BH165</f>
        <v>2.2164024773430399E-7</v>
      </c>
      <c r="BR165" s="188">
        <f>opex_orig!BI165</f>
        <v>5.7700000000000004E-7</v>
      </c>
      <c r="BS165" s="188">
        <f>opex_orig!BJ165</f>
        <v>2.17E-6</v>
      </c>
      <c r="BT165" s="188">
        <f>opex_orig!BK165</f>
        <v>5.3900000000000005E-7</v>
      </c>
      <c r="BU165" s="188">
        <f>opex_orig!BL165</f>
        <v>0</v>
      </c>
      <c r="BV165" s="27">
        <f>opex_orig!BM165</f>
        <v>5.7654186785735303E-7</v>
      </c>
      <c r="BW165" s="27">
        <f>opex_orig!BN165</f>
        <v>1.22306166621198E-6</v>
      </c>
      <c r="BX165" s="27">
        <f>opex_orig!BO165</f>
        <v>2.13435460522069E-7</v>
      </c>
      <c r="BY165" s="27">
        <f>opex_orig!BP165</f>
        <v>3.39938748611201E-7</v>
      </c>
      <c r="BZ165" s="27">
        <f>opex_orig!BQ165</f>
        <v>6.3754401403648799E-7</v>
      </c>
      <c r="CA165" s="27">
        <f>opex_orig!BR165</f>
        <v>1.2319222570579099E-6</v>
      </c>
      <c r="CB165" s="27">
        <f>opex_orig!BS165</f>
        <v>1.2856170297006901E-6</v>
      </c>
      <c r="CC165" s="27">
        <f>opex_orig!BT165</f>
        <v>7.1397410649271795E-7</v>
      </c>
      <c r="CD165" s="27">
        <f>opex_orig!BU165</f>
        <v>3.2345005118112098E-7</v>
      </c>
      <c r="CE165" s="27">
        <f>opex_orig!BV165</f>
        <v>3.2345005118112098E-7</v>
      </c>
      <c r="CF165" s="27">
        <f>opex_orig!BW165</f>
        <v>3.3598391751656198E-6</v>
      </c>
      <c r="CG165" s="27">
        <f>opex_orig!BX165</f>
        <v>1.9762208876009702E-6</v>
      </c>
      <c r="CH165" s="27">
        <f>opex_orig!BY165</f>
        <v>8.4008251806134998E-8</v>
      </c>
      <c r="CI165" s="27">
        <f>opex_orig!Y165</f>
        <v>1.3199999999999999E-7</v>
      </c>
      <c r="CJ165" s="27">
        <f>opex_orig!Z165</f>
        <v>4.75E-7</v>
      </c>
      <c r="CK165" s="27">
        <f>opex_orig!AA165</f>
        <v>2.26E-6</v>
      </c>
      <c r="CL165" s="27">
        <f>opex_orig!AB165</f>
        <v>1.7846163263408401E-6</v>
      </c>
      <c r="CM165" s="27">
        <f>opex_orig!AC165</f>
        <v>1.51834511102114E-6</v>
      </c>
      <c r="CN165" s="27">
        <f>opex_orig!AD165</f>
        <v>8.5840372566698495E-7</v>
      </c>
      <c r="CO165" s="27">
        <f>opex_orig!AE165</f>
        <v>7.0699999999999996E-7</v>
      </c>
      <c r="CP165" s="27">
        <f>opex_orig!AF165</f>
        <v>1.7999999999999999E-6</v>
      </c>
    </row>
    <row r="166" spans="1:94" x14ac:dyDescent="0.25">
      <c r="A166" s="5" t="s">
        <v>323</v>
      </c>
      <c r="B166" s="2" t="s">
        <v>322</v>
      </c>
      <c r="C166" s="1" t="s">
        <v>335</v>
      </c>
      <c r="D166" s="188">
        <f>opex_orig!D166</f>
        <v>0</v>
      </c>
      <c r="E166" s="188">
        <f>opex_orig!E166</f>
        <v>0</v>
      </c>
      <c r="F166" s="188">
        <f>opex_orig!F166</f>
        <v>0</v>
      </c>
      <c r="G166" s="188">
        <f>opex_orig!G166</f>
        <v>0</v>
      </c>
      <c r="H166" s="188">
        <f>opex_orig!H166</f>
        <v>0</v>
      </c>
      <c r="I166" s="188">
        <f>opex_orig!I166</f>
        <v>0</v>
      </c>
      <c r="J166" s="188">
        <f>opex_orig!J166</f>
        <v>0</v>
      </c>
      <c r="K166" s="188">
        <f>opex_orig!K166</f>
        <v>0</v>
      </c>
      <c r="L166" s="188">
        <f>opex_orig!L166</f>
        <v>0</v>
      </c>
      <c r="M166" s="188">
        <f>opex_orig!M166</f>
        <v>0</v>
      </c>
      <c r="N166" s="188">
        <f>opex_orig!N166</f>
        <v>0</v>
      </c>
      <c r="O166" s="188">
        <f>opex_orig!O166</f>
        <v>0</v>
      </c>
      <c r="P166" s="188">
        <f>opex_orig!P166</f>
        <v>0</v>
      </c>
      <c r="Q166" s="188">
        <f>opex_orig!Q166</f>
        <v>0</v>
      </c>
      <c r="R166" s="188">
        <f>opex_orig!R166</f>
        <v>0</v>
      </c>
      <c r="S166" s="188">
        <f>opex_orig!S166</f>
        <v>0</v>
      </c>
      <c r="T166" s="188">
        <f>opex_orig!T166</f>
        <v>0</v>
      </c>
      <c r="U166" s="188">
        <f>opex_orig!U166</f>
        <v>0</v>
      </c>
      <c r="V166" s="188">
        <f>opex_orig!V166</f>
        <v>0</v>
      </c>
      <c r="W166" s="188">
        <f>opex_orig!W166</f>
        <v>0</v>
      </c>
      <c r="X166" s="188">
        <f>opex_orig!X166</f>
        <v>0</v>
      </c>
      <c r="Y166" s="188">
        <f>opex_orig!Y166</f>
        <v>0</v>
      </c>
      <c r="Z166" s="188">
        <f>opex_orig!Z166</f>
        <v>0</v>
      </c>
      <c r="AA166" s="188">
        <f>opex_orig!AA166</f>
        <v>0</v>
      </c>
      <c r="AB166" s="188">
        <f>opex_orig!$AB166</f>
        <v>0</v>
      </c>
      <c r="AC166" s="188">
        <f>opex_orig!$AB166</f>
        <v>0</v>
      </c>
      <c r="AD166" s="188">
        <f>opex_orig!$AB166</f>
        <v>0</v>
      </c>
      <c r="AE166" s="188">
        <f>opex_orig!$AC166</f>
        <v>0</v>
      </c>
      <c r="AF166" s="188">
        <f>opex_orig!$AD166</f>
        <v>0</v>
      </c>
      <c r="AG166" s="188">
        <f>opex_orig!$AD166</f>
        <v>0</v>
      </c>
      <c r="AH166" s="188">
        <f>opex_orig!$AD166</f>
        <v>0</v>
      </c>
      <c r="AI166" s="188">
        <f>opex_orig!AE166</f>
        <v>0</v>
      </c>
      <c r="AJ166" s="188">
        <f>opex_orig!AF166</f>
        <v>0</v>
      </c>
      <c r="AK166" s="188">
        <f>opex_orig!AG166</f>
        <v>0</v>
      </c>
      <c r="AL166" s="188">
        <f>opex_orig!AH166</f>
        <v>0</v>
      </c>
      <c r="AM166" s="188">
        <f>opex_orig!AI166</f>
        <v>0</v>
      </c>
      <c r="AN166" s="188">
        <f>opex_orig!AJ166</f>
        <v>0</v>
      </c>
      <c r="AO166" s="188">
        <f>opex_orig!AK166</f>
        <v>0</v>
      </c>
      <c r="AP166" s="188">
        <f>opex_orig!$AL166</f>
        <v>0</v>
      </c>
      <c r="AQ166" s="188">
        <f>opex_orig!$AL166</f>
        <v>0</v>
      </c>
      <c r="AR166" s="188">
        <f>opex_orig!$AL166</f>
        <v>0</v>
      </c>
      <c r="AS166" s="188">
        <f>opex_orig!$AM166</f>
        <v>0</v>
      </c>
      <c r="AT166" s="188">
        <f>opex_orig!AN166</f>
        <v>0</v>
      </c>
      <c r="AU166" s="188">
        <f>opex_orig!$AO166</f>
        <v>0</v>
      </c>
      <c r="AV166" s="188">
        <f>opex_orig!$AO166</f>
        <v>0</v>
      </c>
      <c r="AW166" s="188">
        <f>opex_orig!$AO166</f>
        <v>0</v>
      </c>
      <c r="AX166" s="188">
        <f>opex_orig!$AP166</f>
        <v>0</v>
      </c>
      <c r="AY166" s="188">
        <f>opex_orig!AQ166</f>
        <v>0</v>
      </c>
      <c r="AZ166" s="188">
        <f>opex_orig!AR166</f>
        <v>0</v>
      </c>
      <c r="BA166" s="188">
        <f>opex_orig!AS166</f>
        <v>0</v>
      </c>
      <c r="BB166" s="188">
        <f>opex_orig!AT166</f>
        <v>0</v>
      </c>
      <c r="BC166" s="188">
        <f>opex_orig!AU166</f>
        <v>0</v>
      </c>
      <c r="BD166" s="188">
        <f>opex_orig!AV166</f>
        <v>0</v>
      </c>
      <c r="BE166" s="188">
        <f>opex_orig!AW166</f>
        <v>0</v>
      </c>
      <c r="BF166" s="188">
        <f>opex_orig!AX166</f>
        <v>0</v>
      </c>
      <c r="BG166" s="188">
        <f>opex_orig!AY166</f>
        <v>0</v>
      </c>
      <c r="BH166" s="188">
        <f>opex_orig!AZ166</f>
        <v>0</v>
      </c>
      <c r="BI166" s="188">
        <f>opex_orig!BA166</f>
        <v>0</v>
      </c>
      <c r="BJ166" s="188">
        <f>opex_orig!BB166</f>
        <v>0</v>
      </c>
      <c r="BK166" s="188">
        <f>opex_orig!BC166</f>
        <v>0</v>
      </c>
      <c r="BL166" s="188">
        <f>opex_orig!BD166</f>
        <v>0</v>
      </c>
      <c r="BM166" s="188">
        <f>opex_orig!BE166</f>
        <v>0</v>
      </c>
      <c r="BN166" s="188">
        <f>opex_orig!BF166</f>
        <v>0</v>
      </c>
      <c r="BO166" s="188">
        <f>opex_orig!BG166</f>
        <v>0</v>
      </c>
      <c r="BP166" s="188">
        <f>opex_orig!$BH166</f>
        <v>0</v>
      </c>
      <c r="BQ166" s="188">
        <f>opex_orig!$BH166</f>
        <v>0</v>
      </c>
      <c r="BR166" s="188">
        <f>opex_orig!BI166</f>
        <v>0</v>
      </c>
      <c r="BS166" s="188">
        <f>opex_orig!BJ166</f>
        <v>0</v>
      </c>
      <c r="BT166" s="188">
        <f>opex_orig!BK166</f>
        <v>0</v>
      </c>
      <c r="BU166" s="188">
        <f>opex_orig!BL166</f>
        <v>0</v>
      </c>
      <c r="BV166" s="27">
        <f>opex_orig!BM166</f>
        <v>0</v>
      </c>
      <c r="BW166" s="27">
        <f>opex_orig!BN166</f>
        <v>0</v>
      </c>
      <c r="BX166" s="27">
        <f>opex_orig!BO166</f>
        <v>0</v>
      </c>
      <c r="BY166" s="27">
        <f>opex_orig!BP166</f>
        <v>0</v>
      </c>
      <c r="BZ166" s="27">
        <f>opex_orig!BQ166</f>
        <v>0</v>
      </c>
      <c r="CA166" s="27">
        <f>opex_orig!BR166</f>
        <v>0</v>
      </c>
      <c r="CB166" s="27">
        <f>opex_orig!BS166</f>
        <v>0</v>
      </c>
      <c r="CC166" s="27">
        <f>opex_orig!BT166</f>
        <v>0</v>
      </c>
      <c r="CD166" s="27">
        <f>opex_orig!BU166</f>
        <v>0</v>
      </c>
      <c r="CE166" s="27">
        <f>opex_orig!BV166</f>
        <v>0</v>
      </c>
      <c r="CF166" s="27">
        <f>opex_orig!BW166</f>
        <v>0</v>
      </c>
      <c r="CG166" s="27">
        <f>opex_orig!BX166</f>
        <v>0</v>
      </c>
      <c r="CH166" s="27">
        <f>opex_orig!BY166</f>
        <v>0</v>
      </c>
      <c r="CI166" s="27">
        <f>opex_orig!Y166</f>
        <v>0</v>
      </c>
      <c r="CJ166" s="27">
        <f>opex_orig!Z166</f>
        <v>0</v>
      </c>
      <c r="CK166" s="27">
        <f>opex_orig!AA166</f>
        <v>0</v>
      </c>
      <c r="CL166" s="27">
        <f>opex_orig!AB166</f>
        <v>0</v>
      </c>
      <c r="CM166" s="27">
        <f>opex_orig!AC166</f>
        <v>0</v>
      </c>
      <c r="CN166" s="27">
        <f>opex_orig!AD166</f>
        <v>0</v>
      </c>
      <c r="CO166" s="27">
        <f>opex_orig!AE166</f>
        <v>0</v>
      </c>
      <c r="CP166" s="27">
        <f>opex_orig!AF166</f>
        <v>0</v>
      </c>
    </row>
    <row r="167" spans="1:94" x14ac:dyDescent="0.25">
      <c r="A167" s="43" t="s">
        <v>370</v>
      </c>
      <c r="B167" s="43">
        <v>1</v>
      </c>
      <c r="C167" s="43" t="s">
        <v>379</v>
      </c>
      <c r="D167" s="188">
        <f>opex_orig!D167</f>
        <v>1.1094641000000001E-2</v>
      </c>
      <c r="E167" s="188">
        <f>opex_orig!E167</f>
        <v>4.6216080000000001E-3</v>
      </c>
      <c r="F167" s="188">
        <f>opex_orig!F167</f>
        <v>1.1293766E-2</v>
      </c>
      <c r="G167" s="188">
        <f>opex_orig!G167</f>
        <v>2.8879779999999998E-3</v>
      </c>
      <c r="H167" s="188">
        <f>opex_orig!H167</f>
        <v>2.6131599999999999E-4</v>
      </c>
      <c r="I167" s="188">
        <f>opex_orig!I167</f>
        <v>1.3412949E-2</v>
      </c>
      <c r="J167" s="188">
        <f>opex_orig!J167</f>
        <v>1.3272533E-2</v>
      </c>
      <c r="K167" s="188">
        <f>opex_orig!K167</f>
        <v>4.7301800000000002E-4</v>
      </c>
      <c r="L167" s="188">
        <f>opex_orig!L167</f>
        <v>2.7519213000000001E-2</v>
      </c>
      <c r="M167" s="188">
        <f>opex_orig!M167</f>
        <v>1.6251565999999999E-2</v>
      </c>
      <c r="N167" s="188">
        <f>opex_orig!N167</f>
        <v>8.5591299999999999E-3</v>
      </c>
      <c r="O167" s="188">
        <f>opex_orig!O167</f>
        <v>5.3130499999999997E-3</v>
      </c>
      <c r="P167" s="188">
        <f>opex_orig!P167</f>
        <v>3.3073723999999999E-2</v>
      </c>
      <c r="Q167" s="188">
        <f>opex_orig!Q167</f>
        <v>5.7810674999999999E-2</v>
      </c>
      <c r="R167" s="188">
        <f>opex_orig!R167</f>
        <v>5.9012006999999998E-2</v>
      </c>
      <c r="S167" s="188">
        <f>opex_orig!S167</f>
        <v>2.2181962999999999E-2</v>
      </c>
      <c r="T167" s="188">
        <f>opex_orig!T167</f>
        <v>5.9909979000000002E-2</v>
      </c>
      <c r="U167" s="188">
        <f>opex_orig!U167</f>
        <v>1.1152987E-2</v>
      </c>
      <c r="V167" s="188">
        <f>opex_orig!V167</f>
        <v>-1.0856124999999999E-2</v>
      </c>
      <c r="W167" s="188">
        <f>opex_orig!W167</f>
        <v>2.1083039000000001E-2</v>
      </c>
      <c r="X167" s="188">
        <f>opex_orig!X167</f>
        <v>1.9118890999999999E-2</v>
      </c>
      <c r="Y167" s="188">
        <f>opex_orig!Y167</f>
        <v>2.2557173999999999E-2</v>
      </c>
      <c r="Z167" s="188">
        <f>opex_orig!Z167</f>
        <v>1.2734137E-2</v>
      </c>
      <c r="AA167" s="188">
        <f>opex_orig!AA167</f>
        <v>3.5246630000000001E-2</v>
      </c>
      <c r="AB167" s="188">
        <f>opex_orig!$AB167</f>
        <v>3.8373787899811301E-2</v>
      </c>
      <c r="AC167" s="188">
        <f>opex_orig!$AB167</f>
        <v>3.8373787899811301E-2</v>
      </c>
      <c r="AD167" s="188">
        <f>opex_orig!$AB167</f>
        <v>3.8373787899811301E-2</v>
      </c>
      <c r="AE167" s="188">
        <f>opex_orig!$AC167</f>
        <v>1.6426119751658801E-2</v>
      </c>
      <c r="AF167" s="188">
        <f>opex_orig!$AD167</f>
        <v>4.1252095697665803E-2</v>
      </c>
      <c r="AG167" s="188">
        <f>opex_orig!$AD167</f>
        <v>4.1252095697665803E-2</v>
      </c>
      <c r="AH167" s="188">
        <f>opex_orig!$AD167</f>
        <v>4.1252095697665803E-2</v>
      </c>
      <c r="AI167" s="188">
        <f>opex_orig!AE167</f>
        <v>4.3852934000000003E-2</v>
      </c>
      <c r="AJ167" s="188">
        <f>opex_orig!AF167</f>
        <v>4.7079289000000003E-2</v>
      </c>
      <c r="AK167" s="188">
        <f>opex_orig!AG167</f>
        <v>1.9997298E-2</v>
      </c>
      <c r="AL167" s="188">
        <f>opex_orig!AH167</f>
        <v>1.8428727999999998E-2</v>
      </c>
      <c r="AM167" s="188">
        <f>opex_orig!AI167</f>
        <v>1.2308176000000001E-2</v>
      </c>
      <c r="AN167" s="188">
        <f>opex_orig!AJ167</f>
        <v>3.3281481000000002E-2</v>
      </c>
      <c r="AO167" s="188">
        <f>opex_orig!AK167</f>
        <v>1.809361E-2</v>
      </c>
      <c r="AP167" s="188">
        <f>opex_orig!$AL167</f>
        <v>1.4590982803862699E-2</v>
      </c>
      <c r="AQ167" s="188">
        <f>opex_orig!$AL167</f>
        <v>1.4590982803862699E-2</v>
      </c>
      <c r="AR167" s="188">
        <f>opex_orig!$AL167</f>
        <v>1.4590982803862699E-2</v>
      </c>
      <c r="AS167" s="188">
        <f>opex_orig!$AM167</f>
        <v>1.3968475925001601E-2</v>
      </c>
      <c r="AT167" s="188">
        <f>opex_orig!AN167</f>
        <v>1.7255943999999999E-2</v>
      </c>
      <c r="AU167" s="188">
        <f>opex_orig!$AO167</f>
        <v>9.1212096186146403E-3</v>
      </c>
      <c r="AV167" s="188">
        <f>opex_orig!$AO167</f>
        <v>9.1212096186146403E-3</v>
      </c>
      <c r="AW167" s="188">
        <f>opex_orig!$AO167</f>
        <v>9.1212096186146403E-3</v>
      </c>
      <c r="AX167" s="188">
        <f>opex_orig!$AP167</f>
        <v>6.7200368914564698E-3</v>
      </c>
      <c r="AY167" s="188">
        <f>opex_orig!AQ167</f>
        <v>8.8108140000000001E-3</v>
      </c>
      <c r="AZ167" s="188">
        <f>opex_orig!AR167</f>
        <v>0</v>
      </c>
      <c r="BA167" s="188">
        <f>opex_orig!AS167</f>
        <v>1.5313128000000001E-2</v>
      </c>
      <c r="BB167" s="188">
        <f>opex_orig!AT167</f>
        <v>1.1940994999999999E-2</v>
      </c>
      <c r="BC167" s="188">
        <f>opex_orig!AU167</f>
        <v>8.7802569999999996E-3</v>
      </c>
      <c r="BD167" s="188">
        <f>opex_orig!AV167</f>
        <v>6.400284E-3</v>
      </c>
      <c r="BE167" s="188">
        <f>opex_orig!AW167</f>
        <v>8.5897200000000003E-3</v>
      </c>
      <c r="BF167" s="188">
        <f>opex_orig!AX167</f>
        <v>0</v>
      </c>
      <c r="BG167" s="188">
        <f>opex_orig!AY167</f>
        <v>5.9938680000000003E-3</v>
      </c>
      <c r="BH167" s="188">
        <f>opex_orig!AZ167</f>
        <v>0</v>
      </c>
      <c r="BI167" s="188">
        <f>opex_orig!BA167</f>
        <v>1.2311681E-2</v>
      </c>
      <c r="BJ167" s="188">
        <f>opex_orig!BB167</f>
        <v>9.1525719999999994E-3</v>
      </c>
      <c r="BK167" s="188">
        <f>opex_orig!BC167</f>
        <v>7.7226059999999999E-3</v>
      </c>
      <c r="BL167" s="188">
        <f>opex_orig!BD167</f>
        <v>1.9455324E-2</v>
      </c>
      <c r="BM167" s="188">
        <f>opex_orig!BE167</f>
        <v>8.2965069999999998E-3</v>
      </c>
      <c r="BN167" s="188">
        <f>opex_orig!BF167</f>
        <v>1.6568550000000001E-2</v>
      </c>
      <c r="BO167" s="188">
        <f>opex_orig!BG167</f>
        <v>1.3043165000000001E-2</v>
      </c>
      <c r="BP167" s="188">
        <f>opex_orig!$BH167</f>
        <v>1.4311192638375899E-2</v>
      </c>
      <c r="BQ167" s="188">
        <f>opex_orig!$BH167</f>
        <v>1.4311192638375899E-2</v>
      </c>
      <c r="BR167" s="188">
        <f>opex_orig!BI167</f>
        <v>1.5739138E-2</v>
      </c>
      <c r="BS167" s="188">
        <f>opex_orig!BJ167</f>
        <v>2.0712100000000001E-2</v>
      </c>
      <c r="BT167" s="188">
        <f>opex_orig!BK167</f>
        <v>6.3544500000000002E-3</v>
      </c>
      <c r="BU167" s="188">
        <f>opex_orig!BL167</f>
        <v>0</v>
      </c>
      <c r="BV167" s="27">
        <f>opex_orig!BM167</f>
        <v>1.9217877874260401E-2</v>
      </c>
      <c r="BW167" s="27">
        <f>opex_orig!BN167</f>
        <v>2.1220448352368498E-2</v>
      </c>
      <c r="BX167" s="27">
        <f>opex_orig!BO167</f>
        <v>9.3574532956588097E-4</v>
      </c>
      <c r="BY167" s="27">
        <f>opex_orig!BP167</f>
        <v>4.0371168910868999E-4</v>
      </c>
      <c r="BZ167" s="27">
        <f>opex_orig!BQ167</f>
        <v>-2.5512486208753999E-4</v>
      </c>
      <c r="CA167" s="27">
        <f>opex_orig!BR167</f>
        <v>2.03087027167414E-2</v>
      </c>
      <c r="CB167" s="27">
        <f>opex_orig!BS167</f>
        <v>3.9110640227603501E-2</v>
      </c>
      <c r="CC167" s="27">
        <f>opex_orig!BT167</f>
        <v>4.09221332653113E-2</v>
      </c>
      <c r="CD167" s="27">
        <f>opex_orig!BU167</f>
        <v>-3.2882927891388098E-3</v>
      </c>
      <c r="CE167" s="27">
        <f>opex_orig!BV167</f>
        <v>-3.2882927891387998E-3</v>
      </c>
      <c r="CF167" s="27">
        <f>opex_orig!BW167</f>
        <v>2.3256485429826401E-2</v>
      </c>
      <c r="CG167" s="27">
        <f>opex_orig!BX167</f>
        <v>2.0046903056631399E-2</v>
      </c>
      <c r="CH167" s="27">
        <f>opex_orig!BY167</f>
        <v>5.9474249329968497E-3</v>
      </c>
      <c r="CI167" s="27">
        <f>opex_orig!Y167</f>
        <v>2.2557173999999999E-2</v>
      </c>
      <c r="CJ167" s="27">
        <f>opex_orig!Z167</f>
        <v>1.2734137E-2</v>
      </c>
      <c r="CK167" s="27">
        <f>opex_orig!AA167</f>
        <v>3.5246630000000001E-2</v>
      </c>
      <c r="CL167" s="27">
        <f>opex_orig!AB167</f>
        <v>3.8373787899811301E-2</v>
      </c>
      <c r="CM167" s="27">
        <f>opex_orig!AC167</f>
        <v>1.6426119751658801E-2</v>
      </c>
      <c r="CN167" s="27">
        <f>opex_orig!AD167</f>
        <v>4.1252095697665803E-2</v>
      </c>
      <c r="CO167" s="27">
        <f>opex_orig!AE167</f>
        <v>4.3852934000000003E-2</v>
      </c>
      <c r="CP167" s="27">
        <f>opex_orig!AF167</f>
        <v>4.7079289000000003E-2</v>
      </c>
    </row>
    <row r="168" spans="1:94" x14ac:dyDescent="0.25">
      <c r="A168" s="43" t="s">
        <v>371</v>
      </c>
      <c r="B168" s="43">
        <v>2</v>
      </c>
      <c r="C168" s="43" t="s">
        <v>379</v>
      </c>
      <c r="D168" s="188">
        <f>opex_orig!D168</f>
        <v>-1.0000000000000001E-5</v>
      </c>
      <c r="E168" s="188">
        <f>opex_orig!E168</f>
        <v>-2.0699999999999998E-5</v>
      </c>
      <c r="F168" s="188">
        <f>opex_orig!F168</f>
        <v>-3.54E-6</v>
      </c>
      <c r="G168" s="188">
        <f>opex_orig!G168</f>
        <v>-2.7499999999999999E-6</v>
      </c>
      <c r="H168" s="188">
        <f>opex_orig!H168</f>
        <v>-3.3000000000000002E-6</v>
      </c>
      <c r="I168" s="188">
        <f>opex_orig!I168</f>
        <v>-4.6900000000000002E-5</v>
      </c>
      <c r="J168" s="188">
        <f>opex_orig!J168</f>
        <v>-4.2299999999999998E-5</v>
      </c>
      <c r="K168" s="188">
        <f>opex_orig!K168</f>
        <v>-7.7500000000000003E-6</v>
      </c>
      <c r="L168" s="188">
        <f>opex_orig!L168</f>
        <v>-7.1699999999999995E-5</v>
      </c>
      <c r="M168" s="188">
        <f>opex_orig!M168</f>
        <v>-2.2211E-4</v>
      </c>
      <c r="N168" s="188">
        <f>opex_orig!N168</f>
        <v>-8.1899999999999999E-5</v>
      </c>
      <c r="O168" s="188">
        <f>opex_orig!O168</f>
        <v>-2.0082300000000001E-4</v>
      </c>
      <c r="P168" s="188">
        <f>opex_orig!P168</f>
        <v>-3.1050700000000001E-4</v>
      </c>
      <c r="Q168" s="188">
        <f>opex_orig!Q168</f>
        <v>-3.9355100000000001E-4</v>
      </c>
      <c r="R168" s="188">
        <f>opex_orig!R168</f>
        <v>-1.1220799999999999E-4</v>
      </c>
      <c r="S168" s="188">
        <f>opex_orig!S168</f>
        <v>-5.3235200000000004E-4</v>
      </c>
      <c r="T168" s="188">
        <f>opex_orig!T168</f>
        <v>-5.58082E-4</v>
      </c>
      <c r="U168" s="188">
        <f>opex_orig!U168</f>
        <v>-4.7798900000000001E-4</v>
      </c>
      <c r="V168" s="188">
        <f>opex_orig!V168</f>
        <v>-5.4825399999999997E-4</v>
      </c>
      <c r="W168" s="188">
        <f>opex_orig!W168</f>
        <v>-1.7002900000000001E-4</v>
      </c>
      <c r="X168" s="188">
        <f>opex_orig!X168</f>
        <v>-3.0037400000000001E-4</v>
      </c>
      <c r="Y168" s="188">
        <f>opex_orig!Y168</f>
        <v>2.0699999999999998E-5</v>
      </c>
      <c r="Z168" s="188">
        <f>opex_orig!Z168</f>
        <v>2.9296500000000001E-4</v>
      </c>
      <c r="AA168" s="188">
        <f>opex_orig!AA168</f>
        <v>3.7004399999999998E-4</v>
      </c>
      <c r="AB168" s="188">
        <f>opex_orig!$AB168</f>
        <v>-1.37692962018158E-3</v>
      </c>
      <c r="AC168" s="188">
        <f>opex_orig!$AB168</f>
        <v>-1.37692962018158E-3</v>
      </c>
      <c r="AD168" s="188">
        <f>opex_orig!$AB168</f>
        <v>-1.37692962018158E-3</v>
      </c>
      <c r="AE168" s="188">
        <f>opex_orig!$AC168</f>
        <v>-1.50305529414925E-3</v>
      </c>
      <c r="AF168" s="188">
        <f>opex_orig!$AD168</f>
        <v>-1.79799507611615E-3</v>
      </c>
      <c r="AG168" s="188">
        <f>opex_orig!$AD168</f>
        <v>-1.79799507611615E-3</v>
      </c>
      <c r="AH168" s="188">
        <f>opex_orig!$AD168</f>
        <v>-1.79799507611615E-3</v>
      </c>
      <c r="AI168" s="188">
        <f>opex_orig!AE168</f>
        <v>-2.035153E-3</v>
      </c>
      <c r="AJ168" s="188">
        <f>opex_orig!AF168</f>
        <v>-4.9239399999999995E-4</v>
      </c>
      <c r="AK168" s="188">
        <f>opex_orig!AG168</f>
        <v>-2.2181300000000001E-4</v>
      </c>
      <c r="AL168" s="188">
        <f>opex_orig!AH168</f>
        <v>-1.2977749999999999E-3</v>
      </c>
      <c r="AM168" s="188">
        <f>opex_orig!AI168</f>
        <v>-1.8425760000000001E-3</v>
      </c>
      <c r="AN168" s="188">
        <f>opex_orig!AJ168</f>
        <v>-1.8275959999999999E-3</v>
      </c>
      <c r="AO168" s="188">
        <f>opex_orig!AK168</f>
        <v>-1.41431E-3</v>
      </c>
      <c r="AP168" s="188">
        <f>opex_orig!$AL168</f>
        <v>-1.3269491119265E-3</v>
      </c>
      <c r="AQ168" s="188">
        <f>opex_orig!$AL168</f>
        <v>-1.3269491119265E-3</v>
      </c>
      <c r="AR168" s="188">
        <f>opex_orig!$AL168</f>
        <v>-1.3269491119265E-3</v>
      </c>
      <c r="AS168" s="188">
        <f>opex_orig!$AM168</f>
        <v>-1.35022049380928E-3</v>
      </c>
      <c r="AT168" s="188">
        <f>opex_orig!AN168</f>
        <v>-1.3119830000000001E-3</v>
      </c>
      <c r="AU168" s="188">
        <f>opex_orig!$AO168</f>
        <v>1.38613233379743E-5</v>
      </c>
      <c r="AV168" s="188">
        <f>opex_orig!$AO168</f>
        <v>1.38613233379743E-5</v>
      </c>
      <c r="AW168" s="188">
        <f>opex_orig!$AO168</f>
        <v>1.38613233379743E-5</v>
      </c>
      <c r="AX168" s="188">
        <f>opex_orig!$AP168</f>
        <v>1.5823821074542599E-5</v>
      </c>
      <c r="AY168" s="188">
        <f>opex_orig!AQ168</f>
        <v>4.7299999999999996E-6</v>
      </c>
      <c r="AZ168" s="188">
        <f>opex_orig!AR168</f>
        <v>0</v>
      </c>
      <c r="BA168" s="188">
        <f>opex_orig!AS168</f>
        <v>8.5900000000000008E-6</v>
      </c>
      <c r="BB168" s="188">
        <f>opex_orig!AT168</f>
        <v>1.06E-5</v>
      </c>
      <c r="BC168" s="188">
        <f>opex_orig!AU168</f>
        <v>1.3900000000000001E-5</v>
      </c>
      <c r="BD168" s="188">
        <f>opex_orig!AV168</f>
        <v>1.6799999999999998E-5</v>
      </c>
      <c r="BE168" s="188">
        <f>opex_orig!AW168</f>
        <v>1.33E-5</v>
      </c>
      <c r="BF168" s="188">
        <f>opex_orig!AX168</f>
        <v>0</v>
      </c>
      <c r="BG168" s="188">
        <f>opex_orig!AY168</f>
        <v>5.6699999999999999E-6</v>
      </c>
      <c r="BH168" s="188">
        <f>opex_orig!AZ168</f>
        <v>0</v>
      </c>
      <c r="BI168" s="188">
        <f>opex_orig!BA168</f>
        <v>7.3200000000000002E-6</v>
      </c>
      <c r="BJ168" s="188">
        <f>opex_orig!BB168</f>
        <v>-1.1472399999999999E-4</v>
      </c>
      <c r="BK168" s="188">
        <f>opex_orig!BC168</f>
        <v>-3.2050900000000002E-4</v>
      </c>
      <c r="BL168" s="188">
        <f>opex_orig!BD168</f>
        <v>-1.6699999999999999E-5</v>
      </c>
      <c r="BM168" s="188">
        <f>opex_orig!BE168</f>
        <v>-7.1600000000000006E-5</v>
      </c>
      <c r="BN168" s="188">
        <f>opex_orig!BF168</f>
        <v>-4.0819899999999999E-4</v>
      </c>
      <c r="BO168" s="188">
        <f>opex_orig!BG168</f>
        <v>-1.0143179999999999E-3</v>
      </c>
      <c r="BP168" s="188">
        <f>opex_orig!$BH168</f>
        <v>-1.6007953468615601E-4</v>
      </c>
      <c r="BQ168" s="188">
        <f>opex_orig!$BH168</f>
        <v>-1.6007953468615601E-4</v>
      </c>
      <c r="BR168" s="188">
        <f>opex_orig!BI168</f>
        <v>-7.3361200000000002E-4</v>
      </c>
      <c r="BS168" s="188">
        <f>opex_orig!BJ168</f>
        <v>-3.6077899999999998E-4</v>
      </c>
      <c r="BT168" s="188">
        <f>opex_orig!BK168</f>
        <v>-2.6847699999999998E-4</v>
      </c>
      <c r="BU168" s="188">
        <f>opex_orig!BL168</f>
        <v>0</v>
      </c>
      <c r="BV168" s="27">
        <f>opex_orig!BM168</f>
        <v>4.1393068854815897E-3</v>
      </c>
      <c r="BW168" s="27">
        <f>opex_orig!BN168</f>
        <v>2.2836270809513799E-2</v>
      </c>
      <c r="BX168" s="27">
        <f>opex_orig!BO168</f>
        <v>1.5624396048960301E-3</v>
      </c>
      <c r="BY168" s="27">
        <f>opex_orig!BP168</f>
        <v>1.48529342370016E-3</v>
      </c>
      <c r="BZ168" s="27">
        <f>opex_orig!BQ168</f>
        <v>1.56747473013872E-3</v>
      </c>
      <c r="CA168" s="27">
        <f>opex_orig!BR168</f>
        <v>5.5669920881360304E-4</v>
      </c>
      <c r="CB168" s="27">
        <f>opex_orig!BS168</f>
        <v>1.0066004416298201E-2</v>
      </c>
      <c r="CC168" s="27">
        <f>opex_orig!BT168</f>
        <v>2.8348540627027101E-3</v>
      </c>
      <c r="CD168" s="27">
        <f>opex_orig!BU168</f>
        <v>1.61013995642182E-3</v>
      </c>
      <c r="CE168" s="27">
        <f>opex_orig!BV168</f>
        <v>1.61013995642182E-3</v>
      </c>
      <c r="CF168" s="27">
        <f>opex_orig!BW168</f>
        <v>3.22247696629291E-3</v>
      </c>
      <c r="CG168" s="27">
        <f>opex_orig!BX168</f>
        <v>2.2521604509950701E-4</v>
      </c>
      <c r="CH168" s="27">
        <f>opex_orig!BY168</f>
        <v>4.4007112319954897E-4</v>
      </c>
      <c r="CI168" s="27">
        <f>opex_orig!Y168</f>
        <v>2.0699999999999998E-5</v>
      </c>
      <c r="CJ168" s="27">
        <f>opex_orig!Z168</f>
        <v>2.9296500000000001E-4</v>
      </c>
      <c r="CK168" s="27">
        <f>opex_orig!AA168</f>
        <v>3.7004399999999998E-4</v>
      </c>
      <c r="CL168" s="27">
        <f>opex_orig!AB168</f>
        <v>-1.37692962018158E-3</v>
      </c>
      <c r="CM168" s="27">
        <f>opex_orig!AC168</f>
        <v>-1.50305529414925E-3</v>
      </c>
      <c r="CN168" s="27">
        <f>opex_orig!AD168</f>
        <v>-1.79799507611615E-3</v>
      </c>
      <c r="CO168" s="27">
        <f>opex_orig!AE168</f>
        <v>-2.035153E-3</v>
      </c>
      <c r="CP168" s="27">
        <f>opex_orig!AF168</f>
        <v>-4.9239399999999995E-4</v>
      </c>
    </row>
    <row r="169" spans="1:94" x14ac:dyDescent="0.25">
      <c r="A169" s="38" t="s">
        <v>372</v>
      </c>
      <c r="B169" s="38">
        <v>3</v>
      </c>
      <c r="C169" s="38" t="s">
        <v>379</v>
      </c>
      <c r="D169" s="463">
        <f>labcap_calc!L332</f>
        <v>4.8390632641325858E-3</v>
      </c>
      <c r="E169" s="463">
        <f>labcap_calc!L343</f>
        <v>8.4822241583661293E-3</v>
      </c>
      <c r="F169" s="463">
        <f>labcap_calc!L354</f>
        <v>2.7616265098234058E-3</v>
      </c>
      <c r="G169" s="463">
        <f>labcap_calc!L365</f>
        <v>1.0273391472110165E-3</v>
      </c>
      <c r="H169" s="463">
        <f>labcap_calc!L376</f>
        <v>4.0523865196516684E-2</v>
      </c>
      <c r="I169" s="463">
        <f>labcap_calc!L387</f>
        <v>4.8210230029734893E-3</v>
      </c>
      <c r="J169" s="463">
        <f>labcap_calc!L398</f>
        <v>6.4042033658512553E-3</v>
      </c>
      <c r="K169" s="463">
        <f>labcap_calc!L409</f>
        <v>1.6132765503182628E-2</v>
      </c>
      <c r="L169" s="463">
        <f>labcap_calc!L420</f>
        <v>4.7646765801341827E-3</v>
      </c>
      <c r="M169" s="463">
        <f>labcap_calc!L431</f>
        <v>6.2625451068530659E-3</v>
      </c>
      <c r="N169" s="463">
        <f>labcap_calc!L442</f>
        <v>3.2066912862399261E-3</v>
      </c>
      <c r="O169" s="463">
        <f>labcap_calc!L453</f>
        <v>2.2958541958034372E-3</v>
      </c>
      <c r="P169" s="463">
        <f>labcap_calc!L464</f>
        <v>8.3849783153547332E-3</v>
      </c>
      <c r="Q169" s="463">
        <f>labcap_calc!L475</f>
        <v>8.9530899602950353E-3</v>
      </c>
      <c r="R169" s="463">
        <f>labcap_calc!L486</f>
        <v>4.2965376149899544E-3</v>
      </c>
      <c r="S169" s="463">
        <f>labcap_calc!L497</f>
        <v>3.9755384286245879E-3</v>
      </c>
      <c r="T169" s="463">
        <f>labcap_calc!L508</f>
        <v>4.5527436049343116E-3</v>
      </c>
      <c r="U169" s="463">
        <f>labcap_calc!L519</f>
        <v>6.9899948506819921E-3</v>
      </c>
      <c r="V169" s="463">
        <f>labcap_calc!L530</f>
        <v>9.7196628701040899E-3</v>
      </c>
      <c r="W169" s="463">
        <f>labcap_calc!L541</f>
        <v>5.5568612939117393E-3</v>
      </c>
      <c r="X169" s="463">
        <f>labcap_calc!L552</f>
        <v>8.9742966733682688E-3</v>
      </c>
      <c r="Y169" s="463">
        <f>labcap_calc!L563</f>
        <v>1.8711687305247298E-4</v>
      </c>
      <c r="Z169" s="463">
        <f>labcap_calc!L574</f>
        <v>9.4166688473910573E-4</v>
      </c>
      <c r="AA169" s="463">
        <f>labcap_calc!L585</f>
        <v>1.5206855463308145E-3</v>
      </c>
      <c r="AB169" s="245">
        <f>labcap_calc!L167</f>
        <v>1.3952645202779707E-3</v>
      </c>
      <c r="AC169" s="245">
        <f>labcap_calc!L178</f>
        <v>2.1129729098605774E-3</v>
      </c>
      <c r="AD169" s="245">
        <f>labcap_calc!L189</f>
        <v>2.4571680958242418E-3</v>
      </c>
      <c r="AE169" s="227">
        <f>labcap_calc!L200</f>
        <v>7.2374481585444949E-3</v>
      </c>
      <c r="AF169" s="227">
        <f>labcap_calc!L211</f>
        <v>9.8512775648488277E-3</v>
      </c>
      <c r="AG169" s="227">
        <f>labcap_calc!L222</f>
        <v>4.4010957905939244E-3</v>
      </c>
      <c r="AH169" s="227">
        <f>labcap_calc!L233</f>
        <v>3.5309802631222557E-3</v>
      </c>
      <c r="AI169" s="463">
        <f>labcap_calc!L596</f>
        <v>1.0644839931619727E-2</v>
      </c>
      <c r="AJ169" s="463">
        <f>labcap_calc!L607</f>
        <v>4.000468345446196E-3</v>
      </c>
      <c r="AK169" s="463">
        <f>labcap_calc!L618</f>
        <v>6.5243412871623125E-3</v>
      </c>
      <c r="AL169" s="463">
        <f>labcap_calc!L629</f>
        <v>4.7715310145841948E-3</v>
      </c>
      <c r="AM169" s="463">
        <f>labcap_calc!L640</f>
        <v>9.5701567371014474E-3</v>
      </c>
      <c r="AN169" s="463">
        <f>labcap_calc!L651</f>
        <v>1.0572469963434132E-2</v>
      </c>
      <c r="AO169" s="463">
        <f>labcap_calc!L662</f>
        <v>7.6770236989886836E-3</v>
      </c>
      <c r="AP169" s="227">
        <f>labcap_calc!L244</f>
        <v>8.1387241027885086E-3</v>
      </c>
      <c r="AQ169" s="227">
        <f>labcap_calc!L255</f>
        <v>6.5336936800498759E-3</v>
      </c>
      <c r="AR169" s="227">
        <f>labcap_calc!L266</f>
        <v>7.1977781611977021E-3</v>
      </c>
      <c r="AS169" s="227">
        <f>labcap_calc!L277</f>
        <v>8.1305617922583402E-3</v>
      </c>
      <c r="AT169" s="463">
        <f>labcap_calc!L673</f>
        <v>8.086194793411541E-3</v>
      </c>
      <c r="AU169" s="227">
        <f>labcap_calc!L288</f>
        <v>2.2874428990310833E-3</v>
      </c>
      <c r="AV169" s="227">
        <f>labcap_calc!L299</f>
        <v>3.0677941087884279E-3</v>
      </c>
      <c r="AW169" s="227">
        <f>labcap_calc!L310</f>
        <v>2.5342028489700723E-3</v>
      </c>
      <c r="AX169" s="227">
        <f>labcap_calc!L321</f>
        <v>3.064716338533681E-3</v>
      </c>
      <c r="AY169" s="463">
        <f>labcap_calc!L684</f>
        <v>1.9576221896460268E-3</v>
      </c>
      <c r="AZ169" s="463">
        <f>labcap_calc!L695</f>
        <v>0</v>
      </c>
      <c r="BA169" s="463">
        <f>labcap_calc!L706</f>
        <v>2.8989378895862053E-3</v>
      </c>
      <c r="BB169" s="463">
        <f>labcap_calc!L717</f>
        <v>3.209421193954004E-3</v>
      </c>
      <c r="BC169" s="463">
        <f>labcap_calc!L728</f>
        <v>3.2901309106018232E-3</v>
      </c>
      <c r="BD169" s="463">
        <f>labcap_calc!L739</f>
        <v>3.3306520685250037E-3</v>
      </c>
      <c r="BE169" s="463">
        <f>labcap_calc!L750</f>
        <v>3.3208397563950528E-3</v>
      </c>
      <c r="BF169" s="463">
        <f>labcap_calc!L761</f>
        <v>0</v>
      </c>
      <c r="BG169" s="463">
        <f>labcap_calc!L772</f>
        <v>7.6893210705326757E-4</v>
      </c>
      <c r="BH169" s="463">
        <f>labcap_calc!L783</f>
        <v>0</v>
      </c>
      <c r="BI169" s="463">
        <f>labcap_calc!L794</f>
        <v>4.0241289905329379E-3</v>
      </c>
      <c r="BJ169" s="463">
        <f>labcap_calc!L805</f>
        <v>6.4205716135601106E-3</v>
      </c>
      <c r="BK169" s="463">
        <f>labcap_calc!L816</f>
        <v>6.0135764078035354E-3</v>
      </c>
      <c r="BL169" s="463">
        <f>labcap_calc!L827</f>
        <v>1.1008128703043989E-3</v>
      </c>
      <c r="BM169" s="463">
        <f>labcap_calc!L838</f>
        <v>6.9347022160377823E-3</v>
      </c>
      <c r="BN169" s="463">
        <f>labcap_calc!L849</f>
        <v>4.101515645288348E-3</v>
      </c>
      <c r="BO169" s="463">
        <f>labcap_calc!L860</f>
        <v>1.4575777083005528E-2</v>
      </c>
      <c r="BP169" s="245">
        <f>labcap_calc!L145</f>
        <v>4.636193041458082E-3</v>
      </c>
      <c r="BQ169" s="245">
        <f>labcap_calc!L156</f>
        <v>2.5697554033681583E-3</v>
      </c>
      <c r="BR169" s="463">
        <f>labcap_calc!L871</f>
        <v>5.4087317429197162E-3</v>
      </c>
      <c r="BS169" s="463">
        <f>labcap_calc!L882</f>
        <v>7.3889164940432947E-3</v>
      </c>
      <c r="BT169" s="463">
        <f>labcap_calc!L893</f>
        <v>2.6114657204546524E-3</v>
      </c>
      <c r="BU169" s="463">
        <f>labcap_calc!L904</f>
        <v>0</v>
      </c>
      <c r="BV169" s="464">
        <f>labcap_calc!L2</f>
        <v>1.0877083147424404E-3</v>
      </c>
      <c r="BW169" s="464">
        <f>labcap_calc!L13</f>
        <v>6.3939251298932281E-4</v>
      </c>
      <c r="BX169" s="464">
        <f>labcap_calc!L24</f>
        <v>9.9092417415211809E-4</v>
      </c>
      <c r="BY169" s="464">
        <f>labcap_calc!L35</f>
        <v>6.4793607538107866E-4</v>
      </c>
      <c r="BZ169" s="227">
        <f>labcap_calc!L46</f>
        <v>4.4328585580935277E-4</v>
      </c>
      <c r="CA169" s="464">
        <f>labcap_calc!L57</f>
        <v>1.0595185529648232E-3</v>
      </c>
      <c r="CB169" s="464">
        <f>labcap_calc!L68</f>
        <v>3.722667819643591E-4</v>
      </c>
      <c r="CC169" s="227">
        <f>labcap_calc!L79</f>
        <v>2.5107043095620448E-5</v>
      </c>
      <c r="CD169" s="227">
        <f>labcap_calc!L90</f>
        <v>2.3133816339939716E-4</v>
      </c>
      <c r="CE169" s="227">
        <f>labcap_calc!L101</f>
        <v>2.3133816339939789E-4</v>
      </c>
      <c r="CF169" s="464">
        <f>labcap_calc!L112</f>
        <v>9.9851594269155151E-4</v>
      </c>
      <c r="CG169" s="464">
        <f>labcap_calc!L123</f>
        <v>4.9377730541781032E-5</v>
      </c>
      <c r="CH169" s="464">
        <f>labcap_calc!L134</f>
        <v>3.2884885730862998E-6</v>
      </c>
      <c r="CI169" s="464">
        <f>labcap_calc!L915</f>
        <v>6.3542179886524289E-4</v>
      </c>
      <c r="CJ169" s="464">
        <f>labcap_calc!L926</f>
        <v>5.0349846282567189E-4</v>
      </c>
      <c r="CK169" s="464">
        <f>labcap_calc!L937</f>
        <v>6.0236063287998759E-4</v>
      </c>
      <c r="CL169" s="464">
        <f>labcap_calc!L948</f>
        <v>2.1291323544331221E-4</v>
      </c>
      <c r="CM169" s="464">
        <f>labcap_calc!L959</f>
        <v>8.2002202855789358E-4</v>
      </c>
      <c r="CN169" s="464">
        <f>labcap_calc!L970</f>
        <v>4.0105649884297975E-3</v>
      </c>
      <c r="CO169" s="464">
        <f>labcap_calc!L981</f>
        <v>2.787444696322102E-3</v>
      </c>
      <c r="CP169" s="464">
        <f>labcap_calc!L992</f>
        <v>7.6831195430720088E-3</v>
      </c>
    </row>
    <row r="170" spans="1:94" x14ac:dyDescent="0.25">
      <c r="A170" s="38" t="s">
        <v>373</v>
      </c>
      <c r="B170" s="38">
        <v>4</v>
      </c>
      <c r="C170" s="38" t="s">
        <v>379</v>
      </c>
      <c r="D170" s="463">
        <f>labcap_calc!L333</f>
        <v>4.7499028628285575E-2</v>
      </c>
      <c r="E170" s="463">
        <f>labcap_calc!L344</f>
        <v>8.3259377736031898E-2</v>
      </c>
      <c r="F170" s="463">
        <f>labcap_calc!L355</f>
        <v>2.7107428928263712E-2</v>
      </c>
      <c r="G170" s="463">
        <f>labcap_calc!L366</f>
        <v>1.0084103093774817E-2</v>
      </c>
      <c r="H170" s="463">
        <f>labcap_calc!L377</f>
        <v>0.39777204939913824</v>
      </c>
      <c r="I170" s="463">
        <f>labcap_calc!L388</f>
        <v>4.7321948559830046E-2</v>
      </c>
      <c r="J170" s="463">
        <f>labcap_calc!L399</f>
        <v>6.2862050294506228E-2</v>
      </c>
      <c r="K170" s="463">
        <f>labcap_calc!L410</f>
        <v>0.15835516384153139</v>
      </c>
      <c r="L170" s="463">
        <f>labcap_calc!L421</f>
        <v>4.6768865354574855E-2</v>
      </c>
      <c r="M170" s="463">
        <f>labcap_calc!L432</f>
        <v>6.1471563820587612E-2</v>
      </c>
      <c r="N170" s="463">
        <f>labcap_calc!L443</f>
        <v>3.1476072250215661E-2</v>
      </c>
      <c r="O170" s="463">
        <f>labcap_calc!L454</f>
        <v>2.928904952801472E-2</v>
      </c>
      <c r="P170" s="463">
        <f>labcap_calc!L465</f>
        <v>7.1012781683022205E-2</v>
      </c>
      <c r="Q170" s="463">
        <f>labcap_calc!L476</f>
        <v>5.8829296152613425E-2</v>
      </c>
      <c r="R170" s="463">
        <f>labcap_calc!L487</f>
        <v>3.4617142845474104E-2</v>
      </c>
      <c r="S170" s="463">
        <f>labcap_calc!L498</f>
        <v>5.4787960859126308E-2</v>
      </c>
      <c r="T170" s="463">
        <f>labcap_calc!L509</f>
        <v>6.2742585877564511E-2</v>
      </c>
      <c r="U170" s="463">
        <f>labcap_calc!L520</f>
        <v>7.2418482261796938E-2</v>
      </c>
      <c r="V170" s="463">
        <f>labcap_calc!L531</f>
        <v>0.10069867830365824</v>
      </c>
      <c r="W170" s="463">
        <f>labcap_calc!L542</f>
        <v>5.7570786212887776E-2</v>
      </c>
      <c r="X170" s="463">
        <f>labcap_calc!L553</f>
        <v>9.5899791685908439E-2</v>
      </c>
      <c r="Y170" s="463">
        <f>labcap_calc!L564</f>
        <v>2.2641045760682056E-3</v>
      </c>
      <c r="Z170" s="463">
        <f>labcap_calc!L575</f>
        <v>1.1394115380361022E-2</v>
      </c>
      <c r="AA170" s="463">
        <f>labcap_calc!L586</f>
        <v>1.8400207908594778E-2</v>
      </c>
      <c r="AB170" s="245">
        <f>labcap_calc!L168</f>
        <v>1.6824897461642993E-2</v>
      </c>
      <c r="AC170" s="245">
        <f>labcap_calc!L179</f>
        <v>2.5479435641745617E-2</v>
      </c>
      <c r="AD170" s="245">
        <f>labcap_calc!L190</f>
        <v>2.9629938020660895E-2</v>
      </c>
      <c r="AE170" s="227">
        <f>labcap_calc!L201</f>
        <v>7.5113648040875655E-2</v>
      </c>
      <c r="AF170" s="227">
        <f>labcap_calc!L212</f>
        <v>0.12307184325659064</v>
      </c>
      <c r="AG170" s="227">
        <f>labcap_calc!L223</f>
        <v>5.4982814942696016E-2</v>
      </c>
      <c r="AH170" s="227">
        <f>labcap_calc!L234</f>
        <v>4.4112476440183006E-2</v>
      </c>
      <c r="AI170" s="463">
        <f>labcap_calc!L597</f>
        <v>0.12880197741763685</v>
      </c>
      <c r="AJ170" s="463">
        <f>labcap_calc!L608</f>
        <v>4.8405444105675294E-2</v>
      </c>
      <c r="AK170" s="463">
        <f>labcap_calc!L619</f>
        <v>7.4390543880867396E-2</v>
      </c>
      <c r="AL170" s="463">
        <f>labcap_calc!L630</f>
        <v>5.7436942554447902E-2</v>
      </c>
      <c r="AM170" s="463">
        <f>labcap_calc!L641</f>
        <v>0.11520003926927895</v>
      </c>
      <c r="AN170" s="463">
        <f>labcap_calc!L652</f>
        <v>0.12726531048879786</v>
      </c>
      <c r="AO170" s="463">
        <f>labcap_calc!L663</f>
        <v>9.2411592522178926E-2</v>
      </c>
      <c r="AP170" s="227">
        <f>labcap_calc!L245</f>
        <v>9.1011928233132061E-2</v>
      </c>
      <c r="AQ170" s="227">
        <f>labcap_calc!L256</f>
        <v>7.3063548142912146E-2</v>
      </c>
      <c r="AR170" s="227">
        <f>labcap_calc!L267</f>
        <v>8.0489725560359535E-2</v>
      </c>
      <c r="AS170" s="227">
        <f>labcap_calc!L278</f>
        <v>9.0901349712808097E-2</v>
      </c>
      <c r="AT170" s="463">
        <f>labcap_calc!L674</f>
        <v>9.7336960126139793E-2</v>
      </c>
      <c r="AU170" s="227">
        <f>opex_concordance!M607</f>
        <v>4.1017073062728802E-2</v>
      </c>
      <c r="AV170" s="227">
        <f>labcap_calc!L300</f>
        <v>5.021527277528709E-2</v>
      </c>
      <c r="AW170" s="227">
        <f>labcap_calc!L311</f>
        <v>4.1481169471050093E-2</v>
      </c>
      <c r="AX170" s="227">
        <f>labcap_calc!L322</f>
        <v>4.9993117866356233E-2</v>
      </c>
      <c r="AY170" s="463">
        <f>labcap_calc!L685</f>
        <v>2.8678421492050538E-2</v>
      </c>
      <c r="AZ170" s="463">
        <f>labcap_calc!L696</f>
        <v>0</v>
      </c>
      <c r="BA170" s="463">
        <f>labcap_calc!L707</f>
        <v>4.2468333639915715E-2</v>
      </c>
      <c r="BB170" s="463">
        <f>labcap_calc!L718</f>
        <v>4.7016799755710624E-2</v>
      </c>
      <c r="BC170" s="463">
        <f>labcap_calc!L729</f>
        <v>4.8199161570775008E-2</v>
      </c>
      <c r="BD170" s="463">
        <f>labcap_calc!L740</f>
        <v>4.8792779835710419E-2</v>
      </c>
      <c r="BE170" s="463">
        <f>labcap_calc!L751</f>
        <v>4.8649033216800551E-2</v>
      </c>
      <c r="BF170" s="463">
        <f>labcap_calc!L762</f>
        <v>0</v>
      </c>
      <c r="BG170" s="463">
        <f>labcap_calc!L773</f>
        <v>1.126456334976233E-2</v>
      </c>
      <c r="BH170" s="463">
        <f>labcap_calc!L784</f>
        <v>0</v>
      </c>
      <c r="BI170" s="463">
        <f>labcap_calc!L795</f>
        <v>5.8951957085265003E-2</v>
      </c>
      <c r="BJ170" s="463">
        <f>labcap_calc!L806</f>
        <v>8.6891116804692053E-2</v>
      </c>
      <c r="BK170" s="463">
        <f>labcap_calc!L817</f>
        <v>8.0622298219884647E-2</v>
      </c>
      <c r="BL170" s="463">
        <f>labcap_calc!L828</f>
        <v>1.3580889092430654E-2</v>
      </c>
      <c r="BM170" s="463">
        <f>labcap_calc!L839</f>
        <v>7.0426042283976503E-2</v>
      </c>
      <c r="BN170" s="463">
        <f>labcap_calc!L850</f>
        <v>4.0387060966134605E-2</v>
      </c>
      <c r="BO170" s="463">
        <f>labcap_calc!L861</f>
        <v>0.14384214105244988</v>
      </c>
      <c r="BP170" s="245">
        <f>labcap_calc!L146</f>
        <v>5.2252533235524437E-2</v>
      </c>
      <c r="BQ170" s="245">
        <f>labcap_calc!L157</f>
        <v>2.896260540079525E-2</v>
      </c>
      <c r="BR170" s="463">
        <f>labcap_calc!L872</f>
        <v>7.7649476560671032E-2</v>
      </c>
      <c r="BS170" s="463">
        <f>labcap_calc!L883</f>
        <v>7.9708332110670077E-2</v>
      </c>
      <c r="BT170" s="463">
        <f>labcap_calc!L894</f>
        <v>1.5590324839262605E-2</v>
      </c>
      <c r="BU170" s="463">
        <f>labcap_calc!L905</f>
        <v>0</v>
      </c>
      <c r="BV170" s="464">
        <f>labcap_calc!L3</f>
        <v>2.1074754850783691E-2</v>
      </c>
      <c r="BW170" s="464">
        <f>labcap_calc!L14</f>
        <v>1.2388468748496783E-2</v>
      </c>
      <c r="BX170" s="464">
        <f>labcap_calc!L25</f>
        <v>1.9199525978537288E-2</v>
      </c>
      <c r="BY170" s="464">
        <f>labcap_calc!L36</f>
        <v>1.2554003460790322E-2</v>
      </c>
      <c r="BZ170" s="227">
        <f>labcap_calc!L47</f>
        <v>8.5888290209804319E-3</v>
      </c>
      <c r="CA170" s="464">
        <f>labcap_calc!L58</f>
        <v>2.2543914672166293E-2</v>
      </c>
      <c r="CB170" s="464">
        <f>labcap_calc!L69</f>
        <v>7.2128079399989206E-3</v>
      </c>
      <c r="CC170" s="227">
        <f>labcap_calc!L80</f>
        <v>1.2983389415712641E-3</v>
      </c>
      <c r="CD170" s="227">
        <f>labcap_calc!L91</f>
        <v>4.4822633193058068E-3</v>
      </c>
      <c r="CE170" s="227">
        <f>labcap_calc!L102</f>
        <v>4.4822633193058077E-3</v>
      </c>
      <c r="CF170" s="464">
        <f>labcap_calc!L113</f>
        <v>1.1411109450428893E-2</v>
      </c>
      <c r="CG170" s="464">
        <f>labcap_calc!L124</f>
        <v>9.002571212557754E-4</v>
      </c>
      <c r="CH170" s="464">
        <f>labcap_calc!L135</f>
        <v>1.7005478331729221E-4</v>
      </c>
      <c r="CI170" s="464">
        <f>labcap_calc!L916</f>
        <v>1.2311534972771872E-2</v>
      </c>
      <c r="CJ170" s="464">
        <f>labcap_calc!L927</f>
        <v>9.7554729201585842E-3</v>
      </c>
      <c r="CK170" s="464">
        <f>labcap_calc!L938</f>
        <v>1.1670960075937363E-2</v>
      </c>
      <c r="CL170" s="464">
        <f>labcap_calc!L949</f>
        <v>4.125273975675514E-3</v>
      </c>
      <c r="CM170" s="464">
        <f>labcap_calc!L960</f>
        <v>1.5888228998898021E-2</v>
      </c>
      <c r="CN170" s="464">
        <f>labcap_calc!L971</f>
        <v>7.1170190086053436E-2</v>
      </c>
      <c r="CO170" s="464">
        <f>labcap_calc!L982</f>
        <v>6.2451331315411598E-2</v>
      </c>
      <c r="CP170" s="464">
        <f>labcap_calc!L993</f>
        <v>0.17213650655133364</v>
      </c>
    </row>
    <row r="171" spans="1:94" x14ac:dyDescent="0.25">
      <c r="A171" s="38" t="s">
        <v>374</v>
      </c>
      <c r="B171" s="38">
        <v>5</v>
      </c>
      <c r="C171" s="38" t="s">
        <v>379</v>
      </c>
      <c r="D171" s="463">
        <f>labcap_calc!L334</f>
        <v>4.5639843301143131E-2</v>
      </c>
      <c r="E171" s="463">
        <f>labcap_calc!L345</f>
        <v>8.0000477811820556E-2</v>
      </c>
      <c r="F171" s="463">
        <f>labcap_calc!L356</f>
        <v>2.6046402767098287E-2</v>
      </c>
      <c r="G171" s="463">
        <f>labcap_calc!L367</f>
        <v>9.6893956984395718E-3</v>
      </c>
      <c r="H171" s="463">
        <f>labcap_calc!L378</f>
        <v>0.38220263998370463</v>
      </c>
      <c r="I171" s="463">
        <f>labcap_calc!L389</f>
        <v>4.546969392272189E-2</v>
      </c>
      <c r="J171" s="463">
        <f>labcap_calc!L400</f>
        <v>6.04015335894586E-2</v>
      </c>
      <c r="K171" s="463">
        <f>labcap_calc!L411</f>
        <v>0.15215689871439303</v>
      </c>
      <c r="L171" s="463">
        <f>labcap_calc!L422</f>
        <v>4.4938260054851568E-2</v>
      </c>
      <c r="M171" s="463">
        <f>labcap_calc!L433</f>
        <v>5.9065472833724195E-2</v>
      </c>
      <c r="N171" s="463">
        <f>labcap_calc!L444</f>
        <v>3.0244050983221658E-2</v>
      </c>
      <c r="O171" s="463">
        <f>labcap_calc!L455</f>
        <v>2.8361444198025675E-2</v>
      </c>
      <c r="P171" s="463">
        <f>labcap_calc!L466</f>
        <v>6.7867372673608428E-2</v>
      </c>
      <c r="Q171" s="463">
        <f>labcap_calc!L477</f>
        <v>5.5585349918873109E-2</v>
      </c>
      <c r="R171" s="463">
        <f>labcap_calc!L488</f>
        <v>3.3017342960712522E-2</v>
      </c>
      <c r="S171" s="463">
        <f>labcap_calc!L499</f>
        <v>5.3154260315981333E-2</v>
      </c>
      <c r="T171" s="463">
        <f>labcap_calc!L510</f>
        <v>6.0871689560845682E-2</v>
      </c>
      <c r="U171" s="463">
        <f>labcap_calc!L521</f>
        <v>6.9707239326648865E-2</v>
      </c>
      <c r="V171" s="463">
        <f>labcap_calc!L532</f>
        <v>9.6928666646371717E-2</v>
      </c>
      <c r="W171" s="463">
        <f>labcap_calc!L543</f>
        <v>5.5415419771908322E-2</v>
      </c>
      <c r="X171" s="463">
        <f>labcap_calc!L554</f>
        <v>9.2399180783886078E-2</v>
      </c>
      <c r="Y171" s="463">
        <f>labcap_calc!L565</f>
        <v>2.1893315192885281E-3</v>
      </c>
      <c r="Z171" s="463">
        <f>labcap_calc!L576</f>
        <v>1.1017822946074764E-2</v>
      </c>
      <c r="AA171" s="463">
        <f>labcap_calc!L587</f>
        <v>1.7792537154890781E-2</v>
      </c>
      <c r="AB171" s="245">
        <f>labcap_calc!L169</f>
        <v>1.8064197177924162E-2</v>
      </c>
      <c r="AC171" s="245">
        <f>labcap_calc!L180</f>
        <v>2.7356217205128534E-2</v>
      </c>
      <c r="AD171" s="245">
        <f>labcap_calc!L191</f>
        <v>3.1812440105214335E-2</v>
      </c>
      <c r="AE171" s="227">
        <f>labcap_calc!L202</f>
        <v>7.0243911584364882E-2</v>
      </c>
      <c r="AF171" s="227">
        <f>labcap_calc!L213</f>
        <v>0.11489528031253736</v>
      </c>
      <c r="AG171" s="227">
        <f>labcap_calc!L224</f>
        <v>5.1329904290477346E-2</v>
      </c>
      <c r="AH171" s="227">
        <f>labcap_calc!L235</f>
        <v>4.1181761902340026E-2</v>
      </c>
      <c r="AI171" s="463">
        <f>labcap_calc!L598</f>
        <v>0.12454826660405917</v>
      </c>
      <c r="AJ171" s="463">
        <f>labcap_calc!L609</f>
        <v>4.6806845164895E-2</v>
      </c>
      <c r="AK171" s="463">
        <f>labcap_calc!L620</f>
        <v>7.1814097493943893E-2</v>
      </c>
      <c r="AL171" s="463">
        <f>labcap_calc!L631</f>
        <v>5.5532236064551668E-2</v>
      </c>
      <c r="AM171" s="463">
        <f>labcap_calc!L642</f>
        <v>0.11137980910596711</v>
      </c>
      <c r="AN171" s="463">
        <f>labcap_calc!L653</f>
        <v>0.12304497536973363</v>
      </c>
      <c r="AO171" s="463">
        <f>labcap_calc!L664</f>
        <v>8.9347066828811897E-2</v>
      </c>
      <c r="AP171" s="227">
        <f>labcap_calc!L246</f>
        <v>9.2173461794709546E-2</v>
      </c>
      <c r="AQ171" s="227">
        <f>labcap_calc!L257</f>
        <v>7.3996016720860924E-2</v>
      </c>
      <c r="AR171" s="227">
        <f>labcap_calc!L268</f>
        <v>8.151697022394952E-2</v>
      </c>
      <c r="AS171" s="227">
        <f>labcap_calc!L279</f>
        <v>9.2557275933093389E-2</v>
      </c>
      <c r="AT171" s="463">
        <f>labcap_calc!L675</f>
        <v>9.4109100834511614E-2</v>
      </c>
      <c r="AU171" s="227">
        <f>opex_concordance!M608</f>
        <v>3.3474090041934301E-2</v>
      </c>
      <c r="AV171" s="227">
        <f>labcap_calc!L301</f>
        <v>4.8247002919533544E-2</v>
      </c>
      <c r="AW171" s="227">
        <f>labcap_calc!L312</f>
        <v>3.9855247098455664E-2</v>
      </c>
      <c r="AX171" s="227">
        <f>labcap_calc!L323</f>
        <v>4.5939316488401209E-2</v>
      </c>
      <c r="AY171" s="463">
        <f>labcap_calc!L686</f>
        <v>2.7862498944259163E-2</v>
      </c>
      <c r="AZ171" s="463">
        <f>labcap_calc!L697</f>
        <v>0</v>
      </c>
      <c r="BA171" s="463">
        <f>labcap_calc!L708</f>
        <v>4.1260078542159448E-2</v>
      </c>
      <c r="BB171" s="463">
        <f>labcap_calc!L719</f>
        <v>4.5679136840909365E-2</v>
      </c>
      <c r="BC171" s="463">
        <f>labcap_calc!L730</f>
        <v>4.6827860059383108E-2</v>
      </c>
      <c r="BD171" s="463">
        <f>labcap_calc!L741</f>
        <v>4.7404589089923295E-2</v>
      </c>
      <c r="BE171" s="463">
        <f>labcap_calc!L752</f>
        <v>4.7264932744781406E-2</v>
      </c>
      <c r="BF171" s="463">
        <f>labcap_calc!L763</f>
        <v>0</v>
      </c>
      <c r="BG171" s="463">
        <f>labcap_calc!L774</f>
        <v>1.0944078260167179E-2</v>
      </c>
      <c r="BH171" s="463">
        <f>labcap_calc!L785</f>
        <v>0</v>
      </c>
      <c r="BI171" s="463">
        <f>labcap_calc!L796</f>
        <v>5.7274729980003027E-2</v>
      </c>
      <c r="BJ171" s="463">
        <f>labcap_calc!L807</f>
        <v>8.4263395497433835E-2</v>
      </c>
      <c r="BK171" s="463">
        <f>labcap_calc!L818</f>
        <v>7.8166275850341901E-2</v>
      </c>
      <c r="BL171" s="463">
        <f>labcap_calc!L829</f>
        <v>1.313924010959476E-2</v>
      </c>
      <c r="BM171" s="463">
        <f>labcap_calc!L840</f>
        <v>6.7745816617877014E-2</v>
      </c>
      <c r="BN171" s="463">
        <f>labcap_calc!L851</f>
        <v>3.8810384988137263E-2</v>
      </c>
      <c r="BO171" s="463">
        <f>labcap_calc!L862</f>
        <v>0.1382368855843932</v>
      </c>
      <c r="BP171" s="245">
        <f>labcap_calc!L147</f>
        <v>5.7194582820795918E-2</v>
      </c>
      <c r="BQ171" s="245">
        <f>labcap_calc!L158</f>
        <v>3.1701891386494985E-2</v>
      </c>
      <c r="BR171" s="463">
        <f>labcap_calc!L873</f>
        <v>7.5405853996243735E-2</v>
      </c>
      <c r="BS171" s="463">
        <f>labcap_calc!L884</f>
        <v>7.6821073896696485E-2</v>
      </c>
      <c r="BT171" s="463">
        <f>labcap_calc!L895</f>
        <v>1.4654700029742748E-2</v>
      </c>
      <c r="BU171" s="463">
        <f>labcap_calc!L906</f>
        <v>0</v>
      </c>
      <c r="BV171" s="464">
        <f>labcap_calc!L4</f>
        <v>5.5088654515143838E-2</v>
      </c>
      <c r="BW171" s="464">
        <f>labcap_calc!L15</f>
        <v>3.2383013690499306E-2</v>
      </c>
      <c r="BX171" s="464">
        <f>labcap_calc!L26</f>
        <v>5.0186873392944725E-2</v>
      </c>
      <c r="BY171" s="464">
        <f>labcap_calc!L37</f>
        <v>3.2815715500870327E-2</v>
      </c>
      <c r="BZ171" s="227">
        <f>labcap_calc!L48</f>
        <v>2.2450891503886829E-2</v>
      </c>
      <c r="CA171" s="464">
        <f>labcap_calc!L59</f>
        <v>3.8438593853606873E-2</v>
      </c>
      <c r="CB171" s="464">
        <f>labcap_calc!L70</f>
        <v>1.8854021672089705E-2</v>
      </c>
      <c r="CC171" s="227">
        <f>labcap_calc!L81</f>
        <v>1.7323108815792E-3</v>
      </c>
      <c r="CD171" s="227">
        <f>labcap_calc!L92</f>
        <v>1.1716475811503722E-2</v>
      </c>
      <c r="CE171" s="227">
        <f>labcap_calc!L103</f>
        <v>1.1716475811503828E-2</v>
      </c>
      <c r="CF171" s="464">
        <f>labcap_calc!L114</f>
        <v>1.7077539469603963E-2</v>
      </c>
      <c r="CG171" s="464">
        <f>labcap_calc!L125</f>
        <v>2.2797176997370284E-3</v>
      </c>
      <c r="CH171" s="464">
        <f>labcap_calc!L136</f>
        <v>2.2689587608621666E-4</v>
      </c>
      <c r="CI171" s="464">
        <f>labcap_calc!L917</f>
        <v>3.2181912719787382E-2</v>
      </c>
      <c r="CJ171" s="464">
        <f>labcap_calc!L928</f>
        <v>2.5500457338064862E-2</v>
      </c>
      <c r="CK171" s="464">
        <f>labcap_calc!L939</f>
        <v>3.0507472096818776E-2</v>
      </c>
      <c r="CL171" s="464">
        <f>labcap_calc!L950</f>
        <v>1.0783317699018021E-2</v>
      </c>
      <c r="CM171" s="464">
        <f>labcap_calc!L961</f>
        <v>4.1531260183778444E-2</v>
      </c>
      <c r="CN171" s="464">
        <f>labcap_calc!L972</f>
        <v>0.19251967868835895</v>
      </c>
      <c r="CO171" s="464">
        <f>labcap_calc!L983</f>
        <v>4.7871083495535961E-2</v>
      </c>
      <c r="CP171" s="464">
        <f>labcap_calc!L994</f>
        <v>0.13194852492796069</v>
      </c>
    </row>
    <row r="172" spans="1:94" x14ac:dyDescent="0.25">
      <c r="A172" s="43" t="s">
        <v>375</v>
      </c>
      <c r="B172" s="43">
        <v>6</v>
      </c>
      <c r="C172" s="43" t="s">
        <v>379</v>
      </c>
      <c r="D172" s="463">
        <f>labcap_calc!L335</f>
        <v>3.9472310806438697E-2</v>
      </c>
      <c r="E172" s="463">
        <f>labcap_calc!L346</f>
        <v>3.7680689293781419E-2</v>
      </c>
      <c r="F172" s="463">
        <f>labcap_calc!L357</f>
        <v>4.0370717794814603E-2</v>
      </c>
      <c r="G172" s="463">
        <f>labcap_calc!L368</f>
        <v>5.0810322060574606E-2</v>
      </c>
      <c r="H172" s="463">
        <f>labcap_calc!L379</f>
        <v>1.7003087420640443E-2</v>
      </c>
      <c r="I172" s="463">
        <f>labcap_calc!L390</f>
        <v>4.6231042514474588E-2</v>
      </c>
      <c r="J172" s="463">
        <f>labcap_calc!L401</f>
        <v>6.1464998750183929E-2</v>
      </c>
      <c r="K172" s="463">
        <f>labcap_calc!L412</f>
        <v>1.3922472940892983E-2</v>
      </c>
      <c r="L172" s="463">
        <f>labcap_calc!L423</f>
        <v>5.2372348010439405E-2</v>
      </c>
      <c r="M172" s="463">
        <f>labcap_calc!L434</f>
        <v>4.2210893238835145E-2</v>
      </c>
      <c r="N172" s="463">
        <f>labcap_calc!L445</f>
        <v>3.2120312480322766E-2</v>
      </c>
      <c r="O172" s="463">
        <f>labcap_calc!L456</f>
        <v>4.0401295078156166E-2</v>
      </c>
      <c r="P172" s="463">
        <f>labcap_calc!L467</f>
        <v>7.8732151328014699E-2</v>
      </c>
      <c r="Q172" s="463">
        <f>labcap_calc!L478</f>
        <v>3.787292096821842E-2</v>
      </c>
      <c r="R172" s="463">
        <f>labcap_calc!L489</f>
        <v>2.1726990578823421E-2</v>
      </c>
      <c r="S172" s="463">
        <f>labcap_calc!L500</f>
        <v>5.3665396396267787E-2</v>
      </c>
      <c r="T172" s="463">
        <f>labcap_calc!L511</f>
        <v>6.1393605956655495E-2</v>
      </c>
      <c r="U172" s="463">
        <f>labcap_calc!L522</f>
        <v>9.430487556087222E-2</v>
      </c>
      <c r="V172" s="463">
        <f>labcap_calc!L533</f>
        <v>0.13159820717986598</v>
      </c>
      <c r="W172" s="463">
        <f>labcap_calc!L544</f>
        <v>4.9082876721292169E-2</v>
      </c>
      <c r="X172" s="463">
        <f>labcap_calc!L555</f>
        <v>6.9187157856837211E-2</v>
      </c>
      <c r="Y172" s="463">
        <f>labcap_calc!L566</f>
        <v>1.1277728031590791E-2</v>
      </c>
      <c r="Z172" s="463">
        <f>labcap_calc!L577</f>
        <v>2.5821485788825111E-2</v>
      </c>
      <c r="AA172" s="463">
        <f>labcap_calc!L588</f>
        <v>0.23960159139018364</v>
      </c>
      <c r="AB172" s="189">
        <f>labcap_calc!L170</f>
        <v>1.7393273640176246E-2</v>
      </c>
      <c r="AC172" s="189">
        <f>labcap_calc!L181</f>
        <v>2.7028167866758549E-2</v>
      </c>
      <c r="AD172" s="189">
        <f>labcap_calc!L192</f>
        <v>3.4492409227678239E-2</v>
      </c>
      <c r="AE172" s="189">
        <f>labcap_calc!L203</f>
        <v>7.4437200445042012E-2</v>
      </c>
      <c r="AF172" s="189">
        <f>labcap_calc!L214</f>
        <v>0.10188932950258266</v>
      </c>
      <c r="AG172" s="189">
        <f>labcap_calc!L225</f>
        <v>2.2950981280681241E-2</v>
      </c>
      <c r="AH172" s="189">
        <f>labcap_calc!L236</f>
        <v>1.8413473775002204E-2</v>
      </c>
      <c r="AI172" s="463">
        <f>labcap_calc!L599</f>
        <v>0.10827199304668424</v>
      </c>
      <c r="AJ172" s="463">
        <f>labcap_calc!L610</f>
        <v>5.252828938398349E-2</v>
      </c>
      <c r="AK172" s="463">
        <f>labcap_calc!L621</f>
        <v>5.1604452338026373E-2</v>
      </c>
      <c r="AL172" s="463">
        <f>labcap_calc!L632</f>
        <v>7.7858231366416217E-2</v>
      </c>
      <c r="AM172" s="463">
        <f>labcap_calc!L643</f>
        <v>0.15723715988765252</v>
      </c>
      <c r="AN172" s="463">
        <f>labcap_calc!L654</f>
        <v>0.12804045617803436</v>
      </c>
      <c r="AO172" s="463">
        <f>labcap_calc!L665</f>
        <v>9.4996968950020549E-2</v>
      </c>
      <c r="AP172" s="189">
        <f>labcap_calc!L247</f>
        <v>9.3178300080118057E-2</v>
      </c>
      <c r="AQ172" s="189">
        <f>labcap_calc!L258</f>
        <v>9.0872835253936551E-2</v>
      </c>
      <c r="AR172" s="189">
        <f>labcap_calc!L269</f>
        <v>7.3680333089549493E-2</v>
      </c>
      <c r="AS172" s="189">
        <f>labcap_calc!L280</f>
        <v>9.3283251412492038E-2</v>
      </c>
      <c r="AT172" s="463">
        <f>labcap_calc!L676</f>
        <v>8.2901657245937052E-2</v>
      </c>
      <c r="AU172" s="189">
        <f>opex_concordance!M609</f>
        <v>6.4305291228469799E-2</v>
      </c>
      <c r="AV172" s="239">
        <f>labcap_calc!L302</f>
        <v>0.20310359661822239</v>
      </c>
      <c r="AW172" s="239">
        <f>labcap_calc!L313</f>
        <v>0.16035670912236999</v>
      </c>
      <c r="AX172" s="239">
        <f>labcap_calc!L324</f>
        <v>8.7821329298960915E-2</v>
      </c>
      <c r="AY172" s="463">
        <f>labcap_calc!L687</f>
        <v>5.1604563374044281E-2</v>
      </c>
      <c r="AZ172" s="463">
        <f>labcap_calc!L698</f>
        <v>0</v>
      </c>
      <c r="BA172" s="463">
        <f>labcap_calc!L709</f>
        <v>6.9644702928338645E-2</v>
      </c>
      <c r="BB172" s="463">
        <f>labcap_calc!L720</f>
        <v>7.5888087209425983E-2</v>
      </c>
      <c r="BC172" s="463">
        <f>labcap_calc!L731</f>
        <v>7.1348751459240078E-2</v>
      </c>
      <c r="BD172" s="463">
        <f>labcap_calc!L742</f>
        <v>7.1349280005841287E-2</v>
      </c>
      <c r="BE172" s="463">
        <f>labcap_calc!L753</f>
        <v>4.5851648282022962E-2</v>
      </c>
      <c r="BF172" s="463">
        <f>labcap_calc!L764</f>
        <v>0</v>
      </c>
      <c r="BG172" s="463">
        <f>labcap_calc!L775</f>
        <v>1.3482506283017223E-2</v>
      </c>
      <c r="BH172" s="463">
        <f>labcap_calc!L786</f>
        <v>0</v>
      </c>
      <c r="BI172" s="463">
        <f>labcap_calc!L797</f>
        <v>2.8782275944199E-2</v>
      </c>
      <c r="BJ172" s="463">
        <f>labcap_calc!L808</f>
        <v>4.6595140084314E-2</v>
      </c>
      <c r="BK172" s="463">
        <f>labcap_calc!L819</f>
        <v>3.8725289521969936E-2</v>
      </c>
      <c r="BL172" s="463">
        <f>labcap_calc!L830</f>
        <v>5.8317239276701842E-3</v>
      </c>
      <c r="BM172" s="463">
        <f>labcap_calc!L841</f>
        <v>3.07324048821087E-2</v>
      </c>
      <c r="BN172" s="463">
        <f>labcap_calc!L852</f>
        <v>2.0926665400439776E-2</v>
      </c>
      <c r="BO172" s="463">
        <f>labcap_calc!L863</f>
        <v>5.9854311280151347E-2</v>
      </c>
      <c r="BP172" s="189">
        <f>labcap_calc!L148</f>
        <v>3.9420474060273075E-2</v>
      </c>
      <c r="BQ172" s="189">
        <f>labcap_calc!L159</f>
        <v>2.1850034136598827E-2</v>
      </c>
      <c r="BR172" s="463">
        <f>labcap_calc!L874</f>
        <v>2.1769063700165528E-2</v>
      </c>
      <c r="BS172" s="463">
        <f>labcap_calc!L885</f>
        <v>3.5067777498590177E-2</v>
      </c>
      <c r="BT172" s="463">
        <f>labcap_calc!L896</f>
        <v>3.7601964105399978E-3</v>
      </c>
      <c r="BU172" s="463">
        <f>labcap_calc!L907</f>
        <v>0</v>
      </c>
      <c r="BV172" s="464">
        <f>labcap_calc!L5</f>
        <v>8.6328126255740628E-2</v>
      </c>
      <c r="BW172" s="464">
        <f>labcap_calc!L16</f>
        <v>5.8462229195090969E-2</v>
      </c>
      <c r="BX172" s="464">
        <f>labcap_calc!L27</f>
        <v>0.28745834371324575</v>
      </c>
      <c r="BY172" s="464">
        <f>labcap_calc!L38</f>
        <v>0.40284907275040921</v>
      </c>
      <c r="BZ172" s="239">
        <f>labcap_calc!L49</f>
        <v>0.38473320053142335</v>
      </c>
      <c r="CA172" s="464">
        <f>labcap_calc!L60</f>
        <v>0.42367842041524539</v>
      </c>
      <c r="CB172" s="464">
        <f>labcap_calc!L71</f>
        <v>3.391464001993659E-2</v>
      </c>
      <c r="CC172" s="239">
        <f>labcap_calc!L82</f>
        <v>5.5526634499113367E-3</v>
      </c>
      <c r="CD172" s="239">
        <f>labcap_calc!L93</f>
        <v>0.46339837829875935</v>
      </c>
      <c r="CE172" s="239">
        <f>labcap_calc!L104</f>
        <v>0.46339837829876046</v>
      </c>
      <c r="CF172" s="464">
        <f>labcap_calc!L115</f>
        <v>0.50557718637706217</v>
      </c>
      <c r="CG172" s="464">
        <f>labcap_calc!L126</f>
        <v>0.70738014300885832</v>
      </c>
      <c r="CH172" s="464">
        <f>labcap_calc!L137</f>
        <v>0.14989327603199828</v>
      </c>
      <c r="CI172" s="464">
        <f>labcap_calc!L918</f>
        <v>0.19950319650857548</v>
      </c>
      <c r="CJ172" s="464">
        <f>labcap_calc!L929</f>
        <v>0.19386419827895088</v>
      </c>
      <c r="CK172" s="464">
        <f>labcap_calc!L940</f>
        <v>0.19476792819436389</v>
      </c>
      <c r="CL172" s="464">
        <f>labcap_calc!L951</f>
        <v>5.6229350898631533E-3</v>
      </c>
      <c r="CM172" s="464">
        <f>labcap_calc!L962</f>
        <v>3.5698238788765629E-2</v>
      </c>
      <c r="CN172" s="464">
        <f>labcap_calc!L973</f>
        <v>0.17192038223715783</v>
      </c>
      <c r="CO172" s="464">
        <f>labcap_calc!L984</f>
        <v>3.2957961492730337E-2</v>
      </c>
      <c r="CP172" s="464">
        <f>labcap_calc!L995</f>
        <v>5.5077175977633543E-2</v>
      </c>
    </row>
    <row r="173" spans="1:94" x14ac:dyDescent="0.25">
      <c r="A173" s="38" t="s">
        <v>376</v>
      </c>
      <c r="B173" s="38">
        <v>7</v>
      </c>
      <c r="C173" s="38" t="s">
        <v>379</v>
      </c>
      <c r="D173" s="188">
        <f>opex_orig!D173</f>
        <v>0</v>
      </c>
      <c r="E173" s="188">
        <f>opex_orig!E173</f>
        <v>0</v>
      </c>
      <c r="F173" s="188">
        <f>opex_orig!F173</f>
        <v>0</v>
      </c>
      <c r="G173" s="188">
        <f>opex_orig!G173</f>
        <v>0</v>
      </c>
      <c r="H173" s="188">
        <f>opex_orig!H173</f>
        <v>0</v>
      </c>
      <c r="I173" s="188">
        <f>opex_orig!I173</f>
        <v>0</v>
      </c>
      <c r="J173" s="188">
        <f>opex_orig!J173</f>
        <v>0</v>
      </c>
      <c r="K173" s="188">
        <f>opex_orig!K173</f>
        <v>0</v>
      </c>
      <c r="L173" s="188">
        <f>opex_orig!L173</f>
        <v>0</v>
      </c>
      <c r="M173" s="188">
        <f>opex_orig!M173</f>
        <v>0</v>
      </c>
      <c r="N173" s="188">
        <f>opex_orig!N173</f>
        <v>0</v>
      </c>
      <c r="O173" s="188">
        <f>opex_orig!O173</f>
        <v>0</v>
      </c>
      <c r="P173" s="188">
        <f>opex_orig!P173</f>
        <v>0</v>
      </c>
      <c r="Q173" s="188">
        <f>opex_orig!Q173</f>
        <v>0</v>
      </c>
      <c r="R173" s="188">
        <f>opex_orig!R173</f>
        <v>0</v>
      </c>
      <c r="S173" s="188">
        <f>opex_orig!S173</f>
        <v>0</v>
      </c>
      <c r="T173" s="188">
        <f>opex_orig!T173</f>
        <v>0</v>
      </c>
      <c r="U173" s="188">
        <f>opex_orig!U173</f>
        <v>0</v>
      </c>
      <c r="V173" s="188">
        <f>opex_orig!V173</f>
        <v>0</v>
      </c>
      <c r="W173" s="188">
        <f>opex_orig!W173</f>
        <v>0</v>
      </c>
      <c r="X173" s="188">
        <f>opex_orig!X173</f>
        <v>0</v>
      </c>
      <c r="Y173" s="188">
        <f>opex_orig!Y173</f>
        <v>0</v>
      </c>
      <c r="Z173" s="188">
        <f>opex_orig!Z173</f>
        <v>0</v>
      </c>
      <c r="AA173" s="188">
        <f>opex_orig!AA173</f>
        <v>0</v>
      </c>
      <c r="AB173" s="188">
        <f>opex_orig!$AB173</f>
        <v>0</v>
      </c>
      <c r="AC173" s="188">
        <f>opex_orig!$AB173</f>
        <v>0</v>
      </c>
      <c r="AD173" s="188">
        <f>opex_orig!$AB173</f>
        <v>0</v>
      </c>
      <c r="AE173" s="188">
        <f>opex_orig!$AC173</f>
        <v>0</v>
      </c>
      <c r="AF173" s="188">
        <f>opex_orig!$AD173</f>
        <v>0</v>
      </c>
      <c r="AG173" s="188">
        <f>opex_orig!$AD173</f>
        <v>0</v>
      </c>
      <c r="AH173" s="188">
        <f>opex_orig!$AD173</f>
        <v>0</v>
      </c>
      <c r="AI173" s="188">
        <f>opex_orig!AE173</f>
        <v>0</v>
      </c>
      <c r="AJ173" s="188">
        <f>opex_orig!AF173</f>
        <v>0</v>
      </c>
      <c r="AK173" s="188">
        <f>opex_orig!AG173</f>
        <v>0</v>
      </c>
      <c r="AL173" s="188">
        <f>opex_orig!AH173</f>
        <v>0</v>
      </c>
      <c r="AM173" s="188">
        <f>opex_orig!AI173</f>
        <v>0</v>
      </c>
      <c r="AN173" s="188">
        <f>opex_orig!AJ173</f>
        <v>0</v>
      </c>
      <c r="AO173" s="188">
        <f>opex_orig!AK173</f>
        <v>0</v>
      </c>
      <c r="AP173" s="188">
        <f>opex_orig!$AL173</f>
        <v>0</v>
      </c>
      <c r="AQ173" s="188">
        <f>opex_orig!$AL173</f>
        <v>0</v>
      </c>
      <c r="AR173" s="188">
        <f>opex_orig!$AL173</f>
        <v>0</v>
      </c>
      <c r="AS173" s="188">
        <f>opex_orig!$AM173</f>
        <v>0</v>
      </c>
      <c r="AT173" s="188">
        <f>opex_orig!AN173</f>
        <v>0</v>
      </c>
      <c r="AU173" s="188">
        <f>opex_orig!$AO173</f>
        <v>0</v>
      </c>
      <c r="AV173" s="188">
        <f>opex_orig!$AO173</f>
        <v>0</v>
      </c>
      <c r="AW173" s="188">
        <f>opex_orig!$AO173</f>
        <v>0</v>
      </c>
      <c r="AX173" s="188">
        <f>opex_orig!$AP173</f>
        <v>0</v>
      </c>
      <c r="AY173" s="188">
        <f>opex_orig!AQ173</f>
        <v>0</v>
      </c>
      <c r="AZ173" s="188">
        <f>opex_orig!AR173</f>
        <v>0</v>
      </c>
      <c r="BA173" s="188">
        <f>opex_orig!AS173</f>
        <v>0</v>
      </c>
      <c r="BB173" s="188">
        <f>opex_orig!AT173</f>
        <v>0</v>
      </c>
      <c r="BC173" s="188">
        <f>opex_orig!AU173</f>
        <v>0</v>
      </c>
      <c r="BD173" s="188">
        <f>opex_orig!AV173</f>
        <v>0</v>
      </c>
      <c r="BE173" s="188">
        <f>opex_orig!AW173</f>
        <v>0</v>
      </c>
      <c r="BF173" s="188">
        <f>opex_orig!AX173</f>
        <v>0</v>
      </c>
      <c r="BG173" s="188">
        <f>opex_orig!AY173</f>
        <v>0</v>
      </c>
      <c r="BH173" s="188">
        <f>opex_orig!AZ173</f>
        <v>0</v>
      </c>
      <c r="BI173" s="188">
        <f>opex_orig!BA173</f>
        <v>0</v>
      </c>
      <c r="BJ173" s="188">
        <f>opex_orig!BB173</f>
        <v>0</v>
      </c>
      <c r="BK173" s="188">
        <f>opex_orig!BC173</f>
        <v>0</v>
      </c>
      <c r="BL173" s="188">
        <f>opex_orig!BD173</f>
        <v>0</v>
      </c>
      <c r="BM173" s="188">
        <f>opex_orig!BE173</f>
        <v>0</v>
      </c>
      <c r="BN173" s="188">
        <f>opex_orig!BF173</f>
        <v>0</v>
      </c>
      <c r="BO173" s="188">
        <f>opex_orig!BG173</f>
        <v>0</v>
      </c>
      <c r="BP173" s="188">
        <f>opex_orig!$BH173</f>
        <v>0</v>
      </c>
      <c r="BQ173" s="188">
        <f>opex_orig!$BH173</f>
        <v>0</v>
      </c>
      <c r="BR173" s="188">
        <f>opex_orig!BI173</f>
        <v>0</v>
      </c>
      <c r="BS173" s="188">
        <f>opex_orig!BJ173</f>
        <v>0</v>
      </c>
      <c r="BT173" s="188">
        <f>opex_orig!BK173</f>
        <v>0</v>
      </c>
      <c r="BU173" s="188">
        <f>opex_orig!BL173</f>
        <v>0</v>
      </c>
      <c r="BV173" s="27">
        <f>opex_orig!BM173</f>
        <v>0</v>
      </c>
      <c r="BW173" s="27">
        <f>opex_orig!BN173</f>
        <v>0</v>
      </c>
      <c r="BX173" s="27">
        <f>opex_orig!BO173</f>
        <v>0</v>
      </c>
      <c r="BY173" s="27">
        <f>opex_orig!BP173</f>
        <v>0</v>
      </c>
      <c r="BZ173" s="27">
        <f>opex_orig!BQ173</f>
        <v>0</v>
      </c>
      <c r="CA173" s="27">
        <f>opex_orig!BR173</f>
        <v>0</v>
      </c>
      <c r="CB173" s="27">
        <f>opex_orig!BS173</f>
        <v>0</v>
      </c>
      <c r="CC173" s="27">
        <f>opex_orig!BT173</f>
        <v>0</v>
      </c>
      <c r="CD173" s="27">
        <f>opex_orig!BU173</f>
        <v>0</v>
      </c>
      <c r="CE173" s="27">
        <f>opex_orig!BV173</f>
        <v>0</v>
      </c>
      <c r="CF173" s="27">
        <f>opex_orig!BW173</f>
        <v>0</v>
      </c>
      <c r="CG173" s="27">
        <f>opex_orig!BX173</f>
        <v>0</v>
      </c>
      <c r="CH173" s="27">
        <f>opex_orig!BY173</f>
        <v>0</v>
      </c>
      <c r="CI173" s="27">
        <f>opex_orig!BZ173</f>
        <v>0</v>
      </c>
      <c r="CJ173" s="27">
        <f>opex_orig!CA173</f>
        <v>0</v>
      </c>
      <c r="CK173" s="27">
        <f>opex_orig!CB173</f>
        <v>0</v>
      </c>
      <c r="CL173" s="27">
        <f>opex_orig!CC173</f>
        <v>0</v>
      </c>
      <c r="CM173" s="27">
        <f>opex_orig!CD173</f>
        <v>0</v>
      </c>
      <c r="CN173" s="27">
        <f>opex_orig!CE173</f>
        <v>0</v>
      </c>
      <c r="CO173" s="27">
        <f>opex_orig!CF173</f>
        <v>0</v>
      </c>
      <c r="CP173" s="27">
        <f>opex_orig!CG173</f>
        <v>0</v>
      </c>
    </row>
    <row r="174" spans="1:94" x14ac:dyDescent="0.25">
      <c r="A174" s="43" t="s">
        <v>377</v>
      </c>
      <c r="B174" s="43">
        <v>8</v>
      </c>
      <c r="C174" s="43" t="s">
        <v>379</v>
      </c>
      <c r="D174" s="188">
        <f>opex_orig!D174</f>
        <v>0</v>
      </c>
      <c r="E174" s="188">
        <f>opex_orig!E174</f>
        <v>0</v>
      </c>
      <c r="F174" s="188">
        <f>opex_orig!F174</f>
        <v>0</v>
      </c>
      <c r="G174" s="188">
        <f>opex_orig!G174</f>
        <v>0</v>
      </c>
      <c r="H174" s="188">
        <f>opex_orig!H174</f>
        <v>0</v>
      </c>
      <c r="I174" s="188">
        <f>opex_orig!I174</f>
        <v>0</v>
      </c>
      <c r="J174" s="188">
        <f>opex_orig!J174</f>
        <v>0</v>
      </c>
      <c r="K174" s="188">
        <f>opex_orig!K174</f>
        <v>0</v>
      </c>
      <c r="L174" s="188">
        <f>opex_orig!L174</f>
        <v>0</v>
      </c>
      <c r="M174" s="188">
        <f>opex_orig!M174</f>
        <v>0</v>
      </c>
      <c r="N174" s="188">
        <f>opex_orig!N174</f>
        <v>0</v>
      </c>
      <c r="O174" s="188">
        <f>opex_orig!O174</f>
        <v>0</v>
      </c>
      <c r="P174" s="188">
        <f>opex_orig!P174</f>
        <v>0</v>
      </c>
      <c r="Q174" s="188">
        <f>opex_orig!Q174</f>
        <v>0</v>
      </c>
      <c r="R174" s="188">
        <f>opex_orig!R174</f>
        <v>0</v>
      </c>
      <c r="S174" s="188">
        <f>opex_orig!S174</f>
        <v>0</v>
      </c>
      <c r="T174" s="188">
        <f>opex_orig!T174</f>
        <v>0</v>
      </c>
      <c r="U174" s="188">
        <f>opex_orig!U174</f>
        <v>0</v>
      </c>
      <c r="V174" s="188">
        <f>opex_orig!V174</f>
        <v>0</v>
      </c>
      <c r="W174" s="188">
        <f>opex_orig!W174</f>
        <v>0</v>
      </c>
      <c r="X174" s="188">
        <f>opex_orig!X174</f>
        <v>0</v>
      </c>
      <c r="Y174" s="188">
        <f>opex_orig!Y174</f>
        <v>0</v>
      </c>
      <c r="Z174" s="188">
        <f>opex_orig!Z174</f>
        <v>0</v>
      </c>
      <c r="AA174" s="188">
        <f>opex_orig!AA174</f>
        <v>0</v>
      </c>
      <c r="AB174" s="188">
        <f>opex_orig!$AB174</f>
        <v>0</v>
      </c>
      <c r="AC174" s="188">
        <f>opex_orig!$AB174</f>
        <v>0</v>
      </c>
      <c r="AD174" s="188">
        <f>opex_orig!$AB174</f>
        <v>0</v>
      </c>
      <c r="AE174" s="188">
        <f>opex_orig!$AC174</f>
        <v>0</v>
      </c>
      <c r="AF174" s="188">
        <f>opex_orig!$AD174</f>
        <v>0</v>
      </c>
      <c r="AG174" s="188">
        <f>opex_orig!$AD174</f>
        <v>0</v>
      </c>
      <c r="AH174" s="188">
        <f>opex_orig!$AD174</f>
        <v>0</v>
      </c>
      <c r="AI174" s="188">
        <f>opex_orig!AE174</f>
        <v>0</v>
      </c>
      <c r="AJ174" s="188">
        <f>opex_orig!AF174</f>
        <v>0</v>
      </c>
      <c r="AK174" s="188">
        <f>opex_orig!AG174</f>
        <v>0</v>
      </c>
      <c r="AL174" s="188">
        <f>opex_orig!AH174</f>
        <v>0</v>
      </c>
      <c r="AM174" s="188">
        <f>opex_orig!AI174</f>
        <v>0</v>
      </c>
      <c r="AN174" s="188">
        <f>opex_orig!AJ174</f>
        <v>0</v>
      </c>
      <c r="AO174" s="188">
        <f>opex_orig!AK174</f>
        <v>0</v>
      </c>
      <c r="AP174" s="188">
        <f>opex_orig!$AL174</f>
        <v>0</v>
      </c>
      <c r="AQ174" s="188">
        <f>opex_orig!$AL174</f>
        <v>0</v>
      </c>
      <c r="AR174" s="188">
        <f>opex_orig!$AL174</f>
        <v>0</v>
      </c>
      <c r="AS174" s="188">
        <f>opex_orig!$AM174</f>
        <v>0</v>
      </c>
      <c r="AT174" s="188">
        <f>opex_orig!AN174</f>
        <v>0</v>
      </c>
      <c r="AU174" s="188">
        <f>opex_orig!$AO174</f>
        <v>0</v>
      </c>
      <c r="AV174" s="188">
        <f>opex_orig!$AO174</f>
        <v>0</v>
      </c>
      <c r="AW174" s="188">
        <f>opex_orig!$AO174</f>
        <v>0</v>
      </c>
      <c r="AX174" s="188">
        <f>opex_orig!$AP174</f>
        <v>0</v>
      </c>
      <c r="AY174" s="188">
        <f>opex_orig!AQ174</f>
        <v>0</v>
      </c>
      <c r="AZ174" s="188">
        <f>opex_orig!AR174</f>
        <v>0</v>
      </c>
      <c r="BA174" s="188">
        <f>opex_orig!AS174</f>
        <v>0</v>
      </c>
      <c r="BB174" s="188">
        <f>opex_orig!AT174</f>
        <v>0</v>
      </c>
      <c r="BC174" s="188">
        <f>opex_orig!AU174</f>
        <v>0</v>
      </c>
      <c r="BD174" s="188">
        <f>opex_orig!AV174</f>
        <v>0</v>
      </c>
      <c r="BE174" s="188">
        <f>opex_orig!AW174</f>
        <v>0</v>
      </c>
      <c r="BF174" s="188">
        <f>opex_orig!AX174</f>
        <v>0</v>
      </c>
      <c r="BG174" s="188">
        <f>opex_orig!AY174</f>
        <v>0</v>
      </c>
      <c r="BH174" s="188">
        <f>opex_orig!AZ174</f>
        <v>0</v>
      </c>
      <c r="BI174" s="188">
        <f>opex_orig!BA174</f>
        <v>0</v>
      </c>
      <c r="BJ174" s="188">
        <f>opex_orig!BB174</f>
        <v>0</v>
      </c>
      <c r="BK174" s="188">
        <f>opex_orig!BC174</f>
        <v>0</v>
      </c>
      <c r="BL174" s="188">
        <f>opex_orig!BD174</f>
        <v>0</v>
      </c>
      <c r="BM174" s="188">
        <f>opex_orig!BE174</f>
        <v>0</v>
      </c>
      <c r="BN174" s="188">
        <f>opex_orig!BF174</f>
        <v>0</v>
      </c>
      <c r="BO174" s="188">
        <f>opex_orig!BG174</f>
        <v>0</v>
      </c>
      <c r="BP174" s="188">
        <f>opex_orig!$BH174</f>
        <v>0</v>
      </c>
      <c r="BQ174" s="188">
        <f>opex_orig!$BH174</f>
        <v>0</v>
      </c>
      <c r="BR174" s="188">
        <f>opex_orig!BI174</f>
        <v>0</v>
      </c>
      <c r="BS174" s="188">
        <f>opex_orig!BJ174</f>
        <v>0</v>
      </c>
      <c r="BT174" s="188">
        <f>opex_orig!BK174</f>
        <v>0</v>
      </c>
      <c r="BU174" s="188">
        <f>opex_orig!BL174</f>
        <v>0</v>
      </c>
      <c r="BV174" s="27">
        <f>opex_orig!BM174</f>
        <v>0</v>
      </c>
      <c r="BW174" s="27">
        <f>opex_orig!BN174</f>
        <v>0</v>
      </c>
      <c r="BX174" s="27">
        <f>opex_orig!BO174</f>
        <v>0</v>
      </c>
      <c r="BY174" s="27">
        <f>opex_orig!BP174</f>
        <v>0</v>
      </c>
      <c r="BZ174" s="27">
        <f>opex_orig!BQ174</f>
        <v>0</v>
      </c>
      <c r="CA174" s="27">
        <f>opex_orig!BR174</f>
        <v>0</v>
      </c>
      <c r="CB174" s="27">
        <f>opex_orig!BS174</f>
        <v>0</v>
      </c>
      <c r="CC174" s="27">
        <f>opex_orig!BT174</f>
        <v>0</v>
      </c>
      <c r="CD174" s="27">
        <f>opex_orig!BU174</f>
        <v>0</v>
      </c>
      <c r="CE174" s="27">
        <f>opex_orig!BV174</f>
        <v>0</v>
      </c>
      <c r="CF174" s="27">
        <f>opex_orig!BW174</f>
        <v>0</v>
      </c>
      <c r="CG174" s="27">
        <f>opex_orig!BX174</f>
        <v>0</v>
      </c>
      <c r="CH174" s="27">
        <f>opex_orig!BY174</f>
        <v>0</v>
      </c>
      <c r="CI174" s="27">
        <f>opex_orig!BZ174</f>
        <v>0</v>
      </c>
      <c r="CJ174" s="27">
        <f>opex_orig!CA174</f>
        <v>0</v>
      </c>
      <c r="CK174" s="27">
        <f>opex_orig!CB174</f>
        <v>0</v>
      </c>
      <c r="CL174" s="27">
        <f>opex_orig!CC174</f>
        <v>0</v>
      </c>
      <c r="CM174" s="27">
        <f>opex_orig!CD174</f>
        <v>0</v>
      </c>
      <c r="CN174" s="27">
        <f>opex_orig!CE174</f>
        <v>0</v>
      </c>
      <c r="CO174" s="27">
        <f>opex_orig!CF174</f>
        <v>0</v>
      </c>
      <c r="CP174" s="27">
        <f>opex_orig!CG174</f>
        <v>0</v>
      </c>
    </row>
    <row r="175" spans="1:94" x14ac:dyDescent="0.25">
      <c r="A175" s="43" t="s">
        <v>378</v>
      </c>
      <c r="B175" s="43">
        <v>9</v>
      </c>
      <c r="C175" s="43" t="s">
        <v>379</v>
      </c>
      <c r="D175" s="188">
        <f>opex_orig!D175</f>
        <v>3.0952513000000001E-2</v>
      </c>
      <c r="E175" s="188">
        <f>opex_orig!E175</f>
        <v>5.0094341000000001E-2</v>
      </c>
      <c r="F175" s="188">
        <f>opex_orig!F175</f>
        <v>0.38141762899999998</v>
      </c>
      <c r="G175" s="188">
        <f>opex_orig!G175</f>
        <v>0.83545048799999999</v>
      </c>
      <c r="H175" s="188">
        <f>opex_orig!H175</f>
        <v>1.0747684E-2</v>
      </c>
      <c r="I175" s="188">
        <f>opex_orig!I175</f>
        <v>2.5513395000000001E-2</v>
      </c>
      <c r="J175" s="188">
        <f>opex_orig!J175</f>
        <v>5.2844174000000001E-2</v>
      </c>
      <c r="K175" s="188">
        <f>opex_orig!K175</f>
        <v>7.2142815999999998E-2</v>
      </c>
      <c r="L175" s="188">
        <f>opex_orig!L175</f>
        <v>2.7349254E-2</v>
      </c>
      <c r="M175" s="188">
        <f>opex_orig!M175</f>
        <v>3.2233487999999998E-2</v>
      </c>
      <c r="N175" s="188">
        <f>opex_orig!N175</f>
        <v>1.6662318999999998E-2</v>
      </c>
      <c r="O175" s="188">
        <f>opex_orig!O175</f>
        <v>0.13487027200000001</v>
      </c>
      <c r="P175" s="188">
        <f>opex_orig!P175</f>
        <v>5.4126549000000003E-2</v>
      </c>
      <c r="Q175" s="188">
        <f>opex_orig!Q175</f>
        <v>6.0455898000000001E-2</v>
      </c>
      <c r="R175" s="188">
        <f>opex_orig!R175</f>
        <v>3.1493156000000001E-2</v>
      </c>
      <c r="S175" s="188">
        <f>opex_orig!S175</f>
        <v>8.9304930000000005E-2</v>
      </c>
      <c r="T175" s="188">
        <f>opex_orig!T175</f>
        <v>0.102393532</v>
      </c>
      <c r="U175" s="188">
        <f>opex_orig!U175</f>
        <v>3.8400761999999998E-2</v>
      </c>
      <c r="V175" s="188">
        <f>opex_orig!V175</f>
        <v>5.3421637000000001E-2</v>
      </c>
      <c r="W175" s="188">
        <f>opex_orig!W175</f>
        <v>3.0294115999999999E-2</v>
      </c>
      <c r="X175" s="188">
        <f>opex_orig!X175</f>
        <v>0.11061180900000001</v>
      </c>
      <c r="Y175" s="188">
        <f>opex_orig!Y175</f>
        <v>-3.8496114999999997E-2</v>
      </c>
      <c r="Z175" s="188">
        <f>opex_orig!Z175</f>
        <v>-9.9263460000000008E-3</v>
      </c>
      <c r="AA175" s="188">
        <f>opex_orig!AA175</f>
        <v>-2.1740316999999999E-2</v>
      </c>
      <c r="AB175" s="188">
        <f>opex_orig!$AB175</f>
        <v>1.5677574550000201E-2</v>
      </c>
      <c r="AC175" s="188">
        <f>opex_orig!$AB175</f>
        <v>1.5677574550000201E-2</v>
      </c>
      <c r="AD175" s="188">
        <f>opex_orig!$AB175</f>
        <v>1.5677574550000201E-2</v>
      </c>
      <c r="AE175" s="188">
        <f>opex_orig!$AC175</f>
        <v>6.5654605634915E-2</v>
      </c>
      <c r="AF175" s="188">
        <f>opex_orig!$AD175</f>
        <v>0.16308611079326399</v>
      </c>
      <c r="AG175" s="188">
        <f>opex_orig!$AD175</f>
        <v>0.16308611079326399</v>
      </c>
      <c r="AH175" s="188">
        <f>opex_orig!$AD175</f>
        <v>0.16308611079326399</v>
      </c>
      <c r="AI175" s="188">
        <f>opex_orig!AE175</f>
        <v>0.173500398</v>
      </c>
      <c r="AJ175" s="188">
        <f>opex_orig!AF175</f>
        <v>6.8790061E-2</v>
      </c>
      <c r="AK175" s="188">
        <f>opex_orig!AG175</f>
        <v>0.14811727199999999</v>
      </c>
      <c r="AL175" s="188">
        <f>opex_orig!AH175</f>
        <v>6.3215387999999997E-2</v>
      </c>
      <c r="AM175" s="188">
        <f>opex_orig!AI175</f>
        <v>0.12758918499999999</v>
      </c>
      <c r="AN175" s="188">
        <f>opex_orig!AJ175</f>
        <v>4.7831307000000003E-2</v>
      </c>
      <c r="AO175" s="188">
        <f>opex_orig!AK175</f>
        <v>5.4951398999999998E-2</v>
      </c>
      <c r="AP175" s="188">
        <f>opex_orig!$AL175</f>
        <v>6.36384671503607E-2</v>
      </c>
      <c r="AQ175" s="188">
        <f>opex_orig!$AL175</f>
        <v>6.36384671503607E-2</v>
      </c>
      <c r="AR175" s="188">
        <f>opex_orig!$AL175</f>
        <v>6.36384671503607E-2</v>
      </c>
      <c r="AS175" s="188">
        <f>opex_orig!$AM175</f>
        <v>6.3690313630891102E-2</v>
      </c>
      <c r="AT175" s="188">
        <f>opex_orig!AN175</f>
        <v>9.2028012000000006E-2</v>
      </c>
      <c r="AU175" s="188">
        <f>opex_orig!$AO175</f>
        <v>2.64411298464235E-3</v>
      </c>
      <c r="AV175" s="188">
        <f>opex_orig!$AO175</f>
        <v>2.64411298464235E-3</v>
      </c>
      <c r="AW175" s="188">
        <f>opex_orig!$AO175</f>
        <v>2.64411298464235E-3</v>
      </c>
      <c r="AX175" s="188">
        <f>opex_orig!$AP175</f>
        <v>3.4945324240890901E-3</v>
      </c>
      <c r="AY175" s="188">
        <f>opex_orig!AQ175</f>
        <v>7.9759399999999999E-4</v>
      </c>
      <c r="AZ175" s="188">
        <f>opex_orig!AR175</f>
        <v>0</v>
      </c>
      <c r="BA175" s="188">
        <f>opex_orig!AS175</f>
        <v>1.8598600000000001E-3</v>
      </c>
      <c r="BB175" s="188">
        <f>opex_orig!AT175</f>
        <v>2.1140210000000002E-3</v>
      </c>
      <c r="BC175" s="188">
        <f>opex_orig!AU175</f>
        <v>6.1204200000000003E-4</v>
      </c>
      <c r="BD175" s="188">
        <f>opex_orig!AV175</f>
        <v>5.7530600000000004E-4</v>
      </c>
      <c r="BE175" s="188">
        <f>opex_orig!AW175</f>
        <v>1.2907439999999999E-3</v>
      </c>
      <c r="BF175" s="188">
        <f>opex_orig!AX175</f>
        <v>0</v>
      </c>
      <c r="BG175" s="188">
        <f>opex_orig!AY175</f>
        <v>2.5342600000000001E-4</v>
      </c>
      <c r="BH175" s="188">
        <f>opex_orig!AZ175</f>
        <v>0</v>
      </c>
      <c r="BI175" s="188">
        <f>opex_orig!BA175</f>
        <v>3.1777999999999998E-4</v>
      </c>
      <c r="BJ175" s="188">
        <f>opex_orig!BB175</f>
        <v>9.3027401999999995E-2</v>
      </c>
      <c r="BK175" s="188">
        <f>opex_orig!BC175</f>
        <v>7.6691798000000005E-2</v>
      </c>
      <c r="BL175" s="188">
        <f>opex_orig!BD175</f>
        <v>1.372912E-3</v>
      </c>
      <c r="BM175" s="188">
        <f>opex_orig!BE175</f>
        <v>7.7889587999999996E-2</v>
      </c>
      <c r="BN175" s="188">
        <f>opex_orig!BF175</f>
        <v>2.9870790000000001E-2</v>
      </c>
      <c r="BO175" s="188">
        <f>opex_orig!BG175</f>
        <v>0.13532033199999999</v>
      </c>
      <c r="BP175" s="189">
        <f>opex_concordance!M115</f>
        <v>8.5293908050613348E-2</v>
      </c>
      <c r="BQ175" s="189">
        <f>opex_concordance!M158</f>
        <v>7.3121487331764143E-2</v>
      </c>
      <c r="BR175" s="188">
        <f>opex_orig!BI175</f>
        <v>0.15978751199999999</v>
      </c>
      <c r="BS175" s="188">
        <f>opex_orig!BJ175</f>
        <v>0.12379754699999999</v>
      </c>
      <c r="BT175" s="188">
        <f>opex_orig!BK175</f>
        <v>0.119477341</v>
      </c>
      <c r="BU175" s="188">
        <f>opex_orig!BL175</f>
        <v>0</v>
      </c>
      <c r="BV175" s="27">
        <f>opex_orig!BM175</f>
        <v>0.14009712470071001</v>
      </c>
      <c r="BW175" s="27">
        <f>opex_orig!BN175</f>
        <v>0.234836223813777</v>
      </c>
      <c r="BX175" s="27">
        <f>opex_orig!BO175</f>
        <v>0.488338162635226</v>
      </c>
      <c r="BY175" s="27">
        <f>opex_orig!BP175</f>
        <v>0.32230837156694397</v>
      </c>
      <c r="BZ175" s="27">
        <f>opex_orig!BQ175</f>
        <v>0.31460392943249899</v>
      </c>
      <c r="CA175" s="27">
        <f>opex_orig!BR175</f>
        <v>0.297465391113024</v>
      </c>
      <c r="CB175" s="27">
        <f>opex_orig!BS175</f>
        <v>0.13662292856663799</v>
      </c>
      <c r="CC175" s="27">
        <f>opex_orig!BT175</f>
        <v>2.1511488365284302E-2</v>
      </c>
      <c r="CD175" s="27">
        <f>opex_orig!BU175</f>
        <v>0.333059271095485</v>
      </c>
      <c r="CE175" s="27">
        <f>opex_orig!BV175</f>
        <v>0.333059271095486</v>
      </c>
      <c r="CF175" s="27">
        <f>opex_orig!BW175</f>
        <v>6.2830168609727594E-2</v>
      </c>
      <c r="CG175" s="27">
        <f>opex_orig!BX175</f>
        <v>3.7523160432135299E-3</v>
      </c>
      <c r="CH175" s="27">
        <f>opex_orig!BY175</f>
        <v>1.75365994254091E-3</v>
      </c>
      <c r="CI175" s="27">
        <f>opex_orig!BZ175</f>
        <v>0.40122091700000001</v>
      </c>
      <c r="CJ175" s="27">
        <f>opex_orig!CA175</f>
        <v>0.35421503700000001</v>
      </c>
      <c r="CK175" s="27">
        <f>opex_orig!CB175</f>
        <v>0.37755069699999999</v>
      </c>
      <c r="CL175" s="27">
        <f>opex_orig!CC175</f>
        <v>9.7344134999999998E-2</v>
      </c>
      <c r="CM175" s="27">
        <f>opex_orig!CD175</f>
        <v>0.24967217899999999</v>
      </c>
      <c r="CN175" s="27">
        <f>opex_orig!CE175</f>
        <v>8.7914087000000002E-2</v>
      </c>
      <c r="CO175" s="27">
        <f>opex_orig!CF175</f>
        <v>0.13882391199999999</v>
      </c>
      <c r="CP175" s="27">
        <f>opex_orig!CG175</f>
        <v>0.50646185499999996</v>
      </c>
    </row>
    <row r="176" spans="1:94" x14ac:dyDescent="0.25">
      <c r="A176" s="4" t="s">
        <v>1068</v>
      </c>
      <c r="B176" s="355">
        <v>10</v>
      </c>
      <c r="C176" s="1" t="s">
        <v>1074</v>
      </c>
      <c r="D176" s="462">
        <f>labcap_calc!K337</f>
        <v>1.7497744444444448E-4</v>
      </c>
      <c r="E176" s="462">
        <f>labcap_calc!K348</f>
        <v>3.2997455555555557E-4</v>
      </c>
      <c r="F176" s="462">
        <f>labcap_calc!K359</f>
        <v>1.0470677777777779E-4</v>
      </c>
      <c r="G176" s="462">
        <f>labcap_calc!K370</f>
        <v>3.7022222222222224E-5</v>
      </c>
      <c r="H176" s="462">
        <f>labcap_calc!K381</f>
        <v>1.3610255555555559E-3</v>
      </c>
      <c r="I176" s="462">
        <f>labcap_calc!K392</f>
        <v>1.8291777777777781E-4</v>
      </c>
      <c r="J176" s="462">
        <f>labcap_calc!K403</f>
        <v>2.421105555555556E-4</v>
      </c>
      <c r="K176" s="462">
        <f>labcap_calc!K414</f>
        <v>6.7963233333333338E-4</v>
      </c>
      <c r="L176" s="462">
        <f>labcap_calc!K425</f>
        <v>1.8948144444444449E-4</v>
      </c>
      <c r="M176" s="462">
        <f>labcap_calc!K436</f>
        <v>2.2070377777777783E-4</v>
      </c>
      <c r="N176" s="462">
        <f>labcap_calc!K447</f>
        <v>1.3588400000000002E-4</v>
      </c>
      <c r="O176" s="462">
        <f>labcap_calc!K458</f>
        <v>1.2622166666666668E-4</v>
      </c>
      <c r="P176" s="462">
        <f>labcap_calc!K469</f>
        <v>1.9893300000000004E-4</v>
      </c>
      <c r="Q176" s="462">
        <f>labcap_calc!K480</f>
        <v>6.5488888888888894E-5</v>
      </c>
      <c r="R176" s="462">
        <f>labcap_calc!K491</f>
        <v>1.4078944444444446E-4</v>
      </c>
      <c r="S176" s="462">
        <f>labcap_calc!K502</f>
        <v>5.2753944444444462E-4</v>
      </c>
      <c r="T176" s="462">
        <f>labcap_calc!K513</f>
        <v>5.9374544444444459E-4</v>
      </c>
      <c r="U176" s="462">
        <f>labcap_calc!K524</f>
        <v>2.2137966666666668E-4</v>
      </c>
      <c r="V176" s="462">
        <f>labcap_calc!K535</f>
        <v>2.4564944444444448E-4</v>
      </c>
      <c r="W176" s="462">
        <f>labcap_calc!K546</f>
        <v>1.3357166666666669E-4</v>
      </c>
      <c r="X176" s="462">
        <f>labcap_calc!K557</f>
        <v>1.7814455555555559E-4</v>
      </c>
      <c r="Y176" s="462">
        <f>labcap_calc!K568</f>
        <v>6.1600000000000012E-6</v>
      </c>
      <c r="Z176" s="462">
        <f>labcap_calc!K579</f>
        <v>3.5544444444444447E-5</v>
      </c>
      <c r="AA176" s="462">
        <f>labcap_calc!K590</f>
        <v>5.9111111111111126E-5</v>
      </c>
      <c r="AB176" s="370">
        <f>labcap_calc!K172</f>
        <v>4.9256811449705498E-3</v>
      </c>
      <c r="AC176" s="370">
        <f>labcap_calc!K183</f>
        <v>4.9256811449705498E-3</v>
      </c>
      <c r="AD176" s="370">
        <f>labcap_calc!K194</f>
        <v>4.9256811449705498E-3</v>
      </c>
      <c r="AE176" s="370">
        <f>labcap_calc!K205</f>
        <v>5.2635304333096995E-3</v>
      </c>
      <c r="AF176" s="370">
        <f>labcap_calc!K216</f>
        <v>3.145982427001341E-4</v>
      </c>
      <c r="AG176" s="370">
        <f>labcap_calc!K227</f>
        <v>3.145982427001341E-4</v>
      </c>
      <c r="AH176" s="370">
        <f>labcap_calc!K238</f>
        <v>3.145982427001341E-4</v>
      </c>
      <c r="AI176" s="462">
        <f>labcap_calc!K601</f>
        <v>2.4882511111111113E-4</v>
      </c>
      <c r="AJ176" s="462">
        <f>labcap_calc!K612</f>
        <v>1.6990011111111113E-4</v>
      </c>
      <c r="AK176" s="462">
        <f>labcap_calc!K623</f>
        <v>1.9926900000000002E-4</v>
      </c>
      <c r="AL176" s="462">
        <f>labcap_calc!K634</f>
        <v>2.0186522222222228E-4</v>
      </c>
      <c r="AM176" s="462">
        <f>labcap_calc!K645</f>
        <v>4.1085411111111119E-4</v>
      </c>
      <c r="AN176" s="462">
        <f>labcap_calc!K656</f>
        <v>4.4495733333333343E-4</v>
      </c>
      <c r="AO176" s="462">
        <f>labcap_calc!K667</f>
        <v>3.2943788888888895E-4</v>
      </c>
      <c r="AP176" s="370">
        <f>labcap_calc!K249</f>
        <v>5.8953813695574376E-5</v>
      </c>
      <c r="AQ176" s="370">
        <f>labcap_calc!K260</f>
        <v>5.8953813695574376E-5</v>
      </c>
      <c r="AR176" s="370">
        <f>labcap_calc!K271</f>
        <v>5.8953813695574376E-5</v>
      </c>
      <c r="AS176" s="370">
        <f>labcap_calc!K282</f>
        <v>5.8844625516227154E-5</v>
      </c>
      <c r="AT176" s="462">
        <f>labcap_calc!K678</f>
        <v>3.3087366666666672E-4</v>
      </c>
      <c r="AU176" s="370">
        <f>labcap_calc!K293</f>
        <v>2.6473588754011626E-4</v>
      </c>
      <c r="AV176" s="370">
        <f>labcap_calc!K304</f>
        <v>2.6473588754011626E-4</v>
      </c>
      <c r="AW176" s="370">
        <f>labcap_calc!K315</f>
        <v>2.6473588754011626E-4</v>
      </c>
      <c r="AX176" s="370">
        <f>labcap_calc!K326</f>
        <v>2.628113781144491E-4</v>
      </c>
      <c r="AY176" s="462">
        <f>labcap_calc!K689</f>
        <v>1.3609088888888891E-4</v>
      </c>
      <c r="AZ176" s="462">
        <f>labcap_calc!K700</f>
        <v>0</v>
      </c>
      <c r="BA176" s="462">
        <f>labcap_calc!K711</f>
        <v>1.9672644444444448E-4</v>
      </c>
      <c r="BB176" s="462">
        <f>labcap_calc!K722</f>
        <v>2.1652088888888892E-4</v>
      </c>
      <c r="BC176" s="462">
        <f>labcap_calc!K733</f>
        <v>2.3859422222222227E-4</v>
      </c>
      <c r="BD176" s="462">
        <f>labcap_calc!K744</f>
        <v>2.5019555555555559E-4</v>
      </c>
      <c r="BE176" s="462">
        <f>labcap_calc!K755</f>
        <v>2.5068088888888891E-4</v>
      </c>
      <c r="BF176" s="462">
        <f>labcap_calc!K766</f>
        <v>0</v>
      </c>
      <c r="BG176" s="462">
        <f>labcap_calc!K777</f>
        <v>6.7044444444444454E-5</v>
      </c>
      <c r="BH176" s="462">
        <f>labcap_calc!K788</f>
        <v>0</v>
      </c>
      <c r="BI176" s="462">
        <f>labcap_calc!K799</f>
        <v>2.4290311111111116E-4</v>
      </c>
      <c r="BJ176" s="462">
        <f>labcap_calc!K810</f>
        <v>4.433543333333334E-4</v>
      </c>
      <c r="BK176" s="462">
        <f>labcap_calc!K821</f>
        <v>2.4869911111111116E-4</v>
      </c>
      <c r="BL176" s="462">
        <f>labcap_calc!K832</f>
        <v>2.9555555555555563E-5</v>
      </c>
      <c r="BM176" s="462">
        <f>labcap_calc!K843</f>
        <v>1.6336522222222226E-4</v>
      </c>
      <c r="BN176" s="462">
        <f>labcap_calc!K854</f>
        <v>6.0744444444444457E-5</v>
      </c>
      <c r="BO176" s="462">
        <f>labcap_calc!K865</f>
        <v>1.4974088888888891E-4</v>
      </c>
      <c r="BP176" s="370">
        <f>labcap_calc!K150</f>
        <v>1.9856621370436286E-4</v>
      </c>
      <c r="BQ176" s="370">
        <f>labcap_calc!K161</f>
        <v>1.9856621370436286E-4</v>
      </c>
      <c r="BR176" s="462">
        <f>labcap_calc!K876</f>
        <v>3.0960922222222231E-4</v>
      </c>
      <c r="BS176" s="462">
        <f>labcap_calc!K887</f>
        <v>5.8734433333333344E-4</v>
      </c>
      <c r="BT176" s="462">
        <f>labcap_calc!K898</f>
        <v>0</v>
      </c>
      <c r="BU176" s="462">
        <f>labcap_calc!K909</f>
        <v>0</v>
      </c>
      <c r="BV176" s="465">
        <f>labcap_calc!K7</f>
        <v>8.4828130982592677E-6</v>
      </c>
      <c r="BW176" s="465">
        <f>labcap_calc!K18</f>
        <v>3.0058033645477679E-5</v>
      </c>
      <c r="BX176" s="465">
        <f>labcap_calc!K29</f>
        <v>2.9547499625651629E-5</v>
      </c>
      <c r="BY176" s="465">
        <f>labcap_calc!K40</f>
        <v>4.068277504860101E-5</v>
      </c>
      <c r="BZ176" s="371">
        <f>labcap_calc!K51</f>
        <v>8.1742841957627672E-5</v>
      </c>
      <c r="CA176" s="465">
        <f>labcap_calc!K62</f>
        <v>3.6162400207990009E-5</v>
      </c>
      <c r="CB176" s="465">
        <f>labcap_calc!K73</f>
        <v>4.674911568264615E-5</v>
      </c>
      <c r="CC176" s="371">
        <f>labcap_calc!K84</f>
        <v>1.2066499223240157E-5</v>
      </c>
      <c r="CD176" s="371">
        <f>labcap_calc!K95</f>
        <v>2.8036363835085362E-4</v>
      </c>
      <c r="CE176" s="371">
        <f>labcap_calc!K106</f>
        <v>5.9432698319353652E-4</v>
      </c>
      <c r="CF176" s="465">
        <f>labcap_calc!K117</f>
        <v>4.3055913832593519E-4</v>
      </c>
      <c r="CG176" s="465">
        <f>labcap_calc!K128</f>
        <v>2.2246297366202703E-5</v>
      </c>
      <c r="CH176" s="465">
        <f>labcap_calc!K139</f>
        <v>9.8592861430259794E-6</v>
      </c>
      <c r="CI176" s="465">
        <f>labcap_calc!K920</f>
        <v>4.3011111111111121E-5</v>
      </c>
      <c r="CJ176" s="465">
        <f>labcap_calc!K931</f>
        <v>2.2944444444444446E-5</v>
      </c>
      <c r="CK176" s="465">
        <f>labcap_calc!K942</f>
        <v>2.6133333333333336E-5</v>
      </c>
      <c r="CL176" s="465">
        <f>labcap_calc!K953</f>
        <v>1.0111111111111113E-5</v>
      </c>
      <c r="CM176" s="465">
        <f>labcap_calc!K964</f>
        <v>4.3555555555555565E-5</v>
      </c>
      <c r="CN176" s="465">
        <f>labcap_calc!K975</f>
        <v>3.0293822222222228E-4</v>
      </c>
      <c r="CO176" s="465">
        <f>labcap_calc!K986</f>
        <v>4.7500055555555561E-4</v>
      </c>
      <c r="CP176" s="465">
        <f>labcap_calc!K997</f>
        <v>1.4746355555555557E-3</v>
      </c>
    </row>
    <row r="177" spans="1:94" x14ac:dyDescent="0.25">
      <c r="A177" s="4" t="s">
        <v>1069</v>
      </c>
      <c r="B177" s="355">
        <v>11</v>
      </c>
      <c r="C177" s="1" t="s">
        <v>1074</v>
      </c>
      <c r="D177" s="462">
        <f>labcap_calc!K338</f>
        <v>4.3506788888888901E-4</v>
      </c>
      <c r="E177" s="462">
        <f>labcap_calc!K349</f>
        <v>8.0844633333333347E-4</v>
      </c>
      <c r="F177" s="462">
        <f>labcap_calc!K360</f>
        <v>2.6100200000000003E-4</v>
      </c>
      <c r="G177" s="462">
        <f>labcap_calc!K371</f>
        <v>9.1332111111111128E-5</v>
      </c>
      <c r="H177" s="462">
        <f>labcap_calc!K382</f>
        <v>3.1905828888888891E-3</v>
      </c>
      <c r="I177" s="462">
        <f>labcap_calc!K393</f>
        <v>4.4689166666666674E-4</v>
      </c>
      <c r="J177" s="462">
        <f>labcap_calc!K404</f>
        <v>6.0643722222222232E-4</v>
      </c>
      <c r="K177" s="462">
        <f>labcap_calc!K415</f>
        <v>1.6390888888888893E-3</v>
      </c>
      <c r="L177" s="462">
        <f>labcap_calc!K426</f>
        <v>4.6708666666666672E-4</v>
      </c>
      <c r="M177" s="462">
        <f>labcap_calc!K437</f>
        <v>5.4377166666666683E-4</v>
      </c>
      <c r="N177" s="462">
        <f>labcap_calc!K448</f>
        <v>3.3066366666666672E-4</v>
      </c>
      <c r="O177" s="462">
        <f>labcap_calc!K459</f>
        <v>9.2890777777777798E-5</v>
      </c>
      <c r="P177" s="462">
        <f>labcap_calc!K470</f>
        <v>1.0601391111111113E-3</v>
      </c>
      <c r="Q177" s="462">
        <f>labcap_calc!K481</f>
        <v>1.4836437777777779E-3</v>
      </c>
      <c r="R177" s="462">
        <f>labcap_calc!K492</f>
        <v>7.9760800000000021E-4</v>
      </c>
      <c r="S177" s="462">
        <f>labcap_calc!K503</f>
        <v>3.4542588888888893E-4</v>
      </c>
      <c r="T177" s="462">
        <f>labcap_calc!K514</f>
        <v>4.4416088888888901E-4</v>
      </c>
      <c r="U177" s="462">
        <f>labcap_calc!K525</f>
        <v>4.1148800000000006E-4</v>
      </c>
      <c r="V177" s="462">
        <f>labcap_calc!K536</f>
        <v>5.1676100000000013E-4</v>
      </c>
      <c r="W177" s="462">
        <f>labcap_calc!K547</f>
        <v>2.7917400000000003E-4</v>
      </c>
      <c r="X177" s="462">
        <f>labcap_calc!K558</f>
        <v>2.8295633333333338E-4</v>
      </c>
      <c r="Y177" s="462">
        <f>labcap_calc!K569</f>
        <v>5.3977777777777782E-6</v>
      </c>
      <c r="Z177" s="462">
        <f>labcap_calc!K580</f>
        <v>3.6555555555555557E-5</v>
      </c>
      <c r="AA177" s="462">
        <f>labcap_calc!K591</f>
        <v>7.1322222222222238E-5</v>
      </c>
      <c r="AB177" s="370">
        <f>labcap_calc!K173</f>
        <v>7.0617143248203652E-3</v>
      </c>
      <c r="AC177" s="370">
        <f>labcap_calc!K184</f>
        <v>7.0617143248203652E-3</v>
      </c>
      <c r="AD177" s="370">
        <f>labcap_calc!K195</f>
        <v>7.0617143248203652E-3</v>
      </c>
      <c r="AE177" s="370">
        <f>labcap_calc!K206</f>
        <v>6.7238650277940785E-3</v>
      </c>
      <c r="AF177" s="370">
        <f>labcap_calc!K217</f>
        <v>3.4194920231541917E-4</v>
      </c>
      <c r="AG177" s="370">
        <f>labcap_calc!K228</f>
        <v>3.4194920231541917E-4</v>
      </c>
      <c r="AH177" s="370">
        <f>labcap_calc!K239</f>
        <v>3.4194920231541917E-4</v>
      </c>
      <c r="AI177" s="462">
        <f>labcap_calc!K602</f>
        <v>3.0193566666666672E-4</v>
      </c>
      <c r="AJ177" s="462">
        <f>labcap_calc!K613</f>
        <v>1.7932444444444446E-4</v>
      </c>
      <c r="AK177" s="462">
        <f>labcap_calc!K624</f>
        <v>3.2223566666666668E-4</v>
      </c>
      <c r="AL177" s="462">
        <f>labcap_calc!K635</f>
        <v>2.8442944444444446E-4</v>
      </c>
      <c r="AM177" s="462">
        <f>labcap_calc!K646</f>
        <v>5.323126666666667E-4</v>
      </c>
      <c r="AN177" s="462">
        <f>labcap_calc!K657</f>
        <v>5.9020733333333341E-4</v>
      </c>
      <c r="AO177" s="462">
        <f>labcap_calc!K668</f>
        <v>4.4370277777777781E-4</v>
      </c>
      <c r="AP177" s="370">
        <f>labcap_calc!K250</f>
        <v>7.472229736117699E-5</v>
      </c>
      <c r="AQ177" s="370">
        <f>labcap_calc!K261</f>
        <v>7.472229736117699E-5</v>
      </c>
      <c r="AR177" s="370">
        <f>labcap_calc!K272</f>
        <v>7.472229736117699E-5</v>
      </c>
      <c r="AS177" s="370">
        <f>labcap_calc!K283</f>
        <v>7.4831485220938843E-5</v>
      </c>
      <c r="AT177" s="462">
        <f>labcap_calc!K679</f>
        <v>4.3151188888888891E-4</v>
      </c>
      <c r="AU177" s="370">
        <f>labcap_calc!K294</f>
        <v>1.312796255068188E-4</v>
      </c>
      <c r="AV177" s="370">
        <f>labcap_calc!K305</f>
        <v>1.312796255068188E-4</v>
      </c>
      <c r="AW177" s="370">
        <f>labcap_calc!K316</f>
        <v>1.312796255068188E-4</v>
      </c>
      <c r="AX177" s="370">
        <f>labcap_calc!K327</f>
        <v>1.3320413380148936E-4</v>
      </c>
      <c r="AY177" s="462">
        <f>labcap_calc!K690</f>
        <v>6.7355555555555574E-5</v>
      </c>
      <c r="AZ177" s="462">
        <f>labcap_calc!K701</f>
        <v>0</v>
      </c>
      <c r="BA177" s="462">
        <f>labcap_calc!K712</f>
        <v>8.5164333333333347E-5</v>
      </c>
      <c r="BB177" s="462">
        <f>labcap_calc!K723</f>
        <v>9.5872777777777804E-5</v>
      </c>
      <c r="BC177" s="462">
        <f>labcap_calc!K734</f>
        <v>1.333188888888889E-4</v>
      </c>
      <c r="BD177" s="462">
        <f>labcap_calc!K745</f>
        <v>1.3858755555555557E-4</v>
      </c>
      <c r="BE177" s="462">
        <f>labcap_calc!K756</f>
        <v>1.1175111111111114E-4</v>
      </c>
      <c r="BF177" s="462">
        <f>labcap_calc!K767</f>
        <v>0</v>
      </c>
      <c r="BG177" s="462">
        <f>labcap_calc!K778</f>
        <v>2.986666666666667E-5</v>
      </c>
      <c r="BH177" s="462">
        <f>labcap_calc!K789</f>
        <v>0</v>
      </c>
      <c r="BI177" s="462">
        <f>labcap_calc!K800</f>
        <v>1.2861877777777781E-4</v>
      </c>
      <c r="BJ177" s="462">
        <f>labcap_calc!K811</f>
        <v>2.8543200000000007E-4</v>
      </c>
      <c r="BK177" s="462">
        <f>labcap_calc!K822</f>
        <v>2.2910300000000003E-4</v>
      </c>
      <c r="BL177" s="462">
        <f>labcap_calc!K833</f>
        <v>3.0877777777777787E-5</v>
      </c>
      <c r="BM177" s="462">
        <f>labcap_calc!K844</f>
        <v>4.2893744444444452E-4</v>
      </c>
      <c r="BN177" s="462">
        <f>labcap_calc!K855</f>
        <v>1.5149322222222225E-4</v>
      </c>
      <c r="BO177" s="462">
        <f>labcap_calc!K866</f>
        <v>4.6445388888888901E-4</v>
      </c>
      <c r="BP177" s="370">
        <f>labcap_calc!K151</f>
        <v>2.5049878046911977E-4</v>
      </c>
      <c r="BQ177" s="370">
        <f>labcap_calc!K162</f>
        <v>2.5049878046911977E-4</v>
      </c>
      <c r="BR177" s="462">
        <f>labcap_calc!K877</f>
        <v>1.8769722222222225E-4</v>
      </c>
      <c r="BS177" s="462">
        <f>labcap_calc!K888</f>
        <v>9.9319422222222237E-4</v>
      </c>
      <c r="BT177" s="462">
        <f>labcap_calc!K899</f>
        <v>6.3920733333333341E-4</v>
      </c>
      <c r="BU177" s="462">
        <f>labcap_calc!K910</f>
        <v>0</v>
      </c>
      <c r="BV177" s="465">
        <f>labcap_calc!K8</f>
        <v>6.3734950696291319E-6</v>
      </c>
      <c r="BW177" s="465">
        <f>labcap_calc!K19</f>
        <v>2.2210000879427359E-5</v>
      </c>
      <c r="BX177" s="465">
        <f>labcap_calc!K30</f>
        <v>1.8534936015736235E-5</v>
      </c>
      <c r="BY177" s="465">
        <f>labcap_calc!K41</f>
        <v>2.8273417590249542E-5</v>
      </c>
      <c r="BZ177" s="371">
        <f>labcap_calc!K52</f>
        <v>4.7916954894229565E-5</v>
      </c>
      <c r="CA177" s="465">
        <f>labcap_calc!K63</f>
        <v>3.5310722577709214E-5</v>
      </c>
      <c r="CB177" s="465">
        <f>labcap_calc!K74</f>
        <v>2.874735094512859E-5</v>
      </c>
      <c r="CC177" s="371">
        <f>labcap_calc!K85</f>
        <v>3.0177384922205811E-6</v>
      </c>
      <c r="CD177" s="371">
        <f>labcap_calc!K96</f>
        <v>1.6764360316627391E-4</v>
      </c>
      <c r="CE177" s="371">
        <f>labcap_calc!K107</f>
        <v>3.5537817067711399E-4</v>
      </c>
      <c r="CF177" s="465">
        <f>labcap_calc!K118</f>
        <v>1.459053343109048E-4</v>
      </c>
      <c r="CG177" s="465">
        <f>labcap_calc!K129</f>
        <v>8.7778438176180902E-6</v>
      </c>
      <c r="CH177" s="465">
        <f>labcap_calc!K140</f>
        <v>2.4657315058180159E-6</v>
      </c>
      <c r="CI177" s="465">
        <f>labcap_calc!K921</f>
        <v>2.9088888888888893E-5</v>
      </c>
      <c r="CJ177" s="465">
        <f>labcap_calc!K932</f>
        <v>1.6411111111111115E-5</v>
      </c>
      <c r="CK177" s="465">
        <f>labcap_calc!K943</f>
        <v>1.8588888888888892E-5</v>
      </c>
      <c r="CL177" s="465">
        <f>labcap_calc!K954</f>
        <v>5.5688888888888896E-6</v>
      </c>
      <c r="CM177" s="465">
        <f>labcap_calc!K965</f>
        <v>3.2200000000000003E-5</v>
      </c>
      <c r="CN177" s="465">
        <f>labcap_calc!K976</f>
        <v>2.7224011111111112E-4</v>
      </c>
      <c r="CO177" s="465">
        <f>labcap_calc!K987</f>
        <v>3.9511111111111118E-5</v>
      </c>
      <c r="CP177" s="465">
        <f>labcap_calc!K998</f>
        <v>9.2705666666666683E-5</v>
      </c>
    </row>
    <row r="178" spans="1:94" x14ac:dyDescent="0.25">
      <c r="A178" s="4" t="s">
        <v>1070</v>
      </c>
      <c r="B178" s="355">
        <v>12</v>
      </c>
      <c r="C178" s="1" t="s">
        <v>1074</v>
      </c>
      <c r="D178" s="462">
        <f>labcap_calc!K339</f>
        <v>2.6022915692307694E-3</v>
      </c>
      <c r="E178" s="462">
        <f>labcap_calc!K350</f>
        <v>5.0105344153846161E-3</v>
      </c>
      <c r="F178" s="462">
        <f>labcap_calc!K361</f>
        <v>1.5668904461538461E-3</v>
      </c>
      <c r="G178" s="462">
        <f>labcap_calc!K372</f>
        <v>5.6286429230769232E-4</v>
      </c>
      <c r="H178" s="462">
        <f>labcap_calc!K383</f>
        <v>2.0966255584615383E-2</v>
      </c>
      <c r="I178" s="462">
        <f>labcap_calc!K394</f>
        <v>2.7688151076923078E-3</v>
      </c>
      <c r="J178" s="462">
        <f>labcap_calc!K405</f>
        <v>3.6749974153846153E-3</v>
      </c>
      <c r="K178" s="462">
        <f>labcap_calc!K416</f>
        <v>1.0298082738461539E-2</v>
      </c>
      <c r="L178" s="462">
        <f>labcap_calc!K427</f>
        <v>2.8335442153846154E-3</v>
      </c>
      <c r="M178" s="462">
        <f>labcap_calc!K438</f>
        <v>3.4023692769230766E-3</v>
      </c>
      <c r="N178" s="462">
        <f>labcap_calc!K449</f>
        <v>2.0291805692307691E-3</v>
      </c>
      <c r="O178" s="462">
        <f>labcap_calc!K460</f>
        <v>1.9012644000000001E-3</v>
      </c>
      <c r="P178" s="462">
        <f>labcap_calc!K471</f>
        <v>3.1252807384615383E-3</v>
      </c>
      <c r="Q178" s="462">
        <f>labcap_calc!K482</f>
        <v>9.6402406153846157E-4</v>
      </c>
      <c r="R178" s="462">
        <f>labcap_calc!K493</f>
        <v>2.0730382615384616E-3</v>
      </c>
      <c r="S178" s="462">
        <f>labcap_calc!K504</f>
        <v>8.0279543076923077E-3</v>
      </c>
      <c r="T178" s="462">
        <f>labcap_calc!K515</f>
        <v>9.2363524615384617E-3</v>
      </c>
      <c r="U178" s="462">
        <f>labcap_calc!K526</f>
        <v>2.5034387538461541E-3</v>
      </c>
      <c r="V178" s="462">
        <f>labcap_calc!K537</f>
        <v>3.9259041230769237E-3</v>
      </c>
      <c r="W178" s="462">
        <f>labcap_calc!K548</f>
        <v>2.0898970615384617E-3</v>
      </c>
      <c r="X178" s="462">
        <f>labcap_calc!K559</f>
        <v>2.702128153846154E-3</v>
      </c>
      <c r="Y178" s="462">
        <f>labcap_calc!K570</f>
        <v>9.0719999999999999E-5</v>
      </c>
      <c r="Z178" s="462">
        <f>labcap_calc!K581</f>
        <v>4.7367664615384616E-4</v>
      </c>
      <c r="AA178" s="462">
        <f>labcap_calc!K592</f>
        <v>8.8206106153846157E-4</v>
      </c>
      <c r="AB178" s="370">
        <f>labcap_calc!K174</f>
        <v>6.910466727369205E-2</v>
      </c>
      <c r="AC178" s="370">
        <f>labcap_calc!K185</f>
        <v>6.910466727369205E-2</v>
      </c>
      <c r="AD178" s="370">
        <f>labcap_calc!K196</f>
        <v>6.910466727369205E-2</v>
      </c>
      <c r="AE178" s="370">
        <f>labcap_calc!K207</f>
        <v>7.3872728329799894E-2</v>
      </c>
      <c r="AF178" s="370">
        <f>labcap_calc!K218</f>
        <v>3.9899862674207158E-3</v>
      </c>
      <c r="AG178" s="370">
        <f>labcap_calc!K229</f>
        <v>3.9899862674207158E-3</v>
      </c>
      <c r="AH178" s="370">
        <f>labcap_calc!K240</f>
        <v>3.9899862674207158E-3</v>
      </c>
      <c r="AI178" s="462">
        <f>labcap_calc!K603</f>
        <v>3.4887984923076924E-3</v>
      </c>
      <c r="AJ178" s="462">
        <f>labcap_calc!K614</f>
        <v>2.0973998769230769E-3</v>
      </c>
      <c r="AK178" s="462">
        <f>labcap_calc!K625</f>
        <v>3.1667919230769235E-3</v>
      </c>
      <c r="AL178" s="462">
        <f>labcap_calc!K636</f>
        <v>3.227039307692308E-3</v>
      </c>
      <c r="AM178" s="462">
        <f>labcap_calc!K647</f>
        <v>6.3328036153846154E-3</v>
      </c>
      <c r="AN178" s="462">
        <f>labcap_calc!K658</f>
        <v>6.9505050461538456E-3</v>
      </c>
      <c r="AO178" s="462">
        <f>labcap_calc!K669</f>
        <v>5.1583382307692303E-3</v>
      </c>
      <c r="AP178" s="370">
        <f>labcap_calc!K251</f>
        <v>8.4262033722067758E-4</v>
      </c>
      <c r="AQ178" s="370">
        <f>labcap_calc!K262</f>
        <v>8.4262033722067758E-4</v>
      </c>
      <c r="AR178" s="370">
        <f>labcap_calc!K273</f>
        <v>8.4262033722067758E-4</v>
      </c>
      <c r="AS178" s="370">
        <f>labcap_calc!K284</f>
        <v>8.4217024941075328E-4</v>
      </c>
      <c r="AT178" s="462">
        <f>labcap_calc!K680</f>
        <v>5.1238752923076928E-3</v>
      </c>
      <c r="AU178" s="370">
        <f>labcap_calc!K295</f>
        <v>4.4605987440180178E-3</v>
      </c>
      <c r="AV178" s="370">
        <f>labcap_calc!K306</f>
        <v>4.4605987440180178E-3</v>
      </c>
      <c r="AW178" s="370">
        <f>labcap_calc!K317</f>
        <v>4.4605987440180178E-3</v>
      </c>
      <c r="AX178" s="370">
        <f>labcap_calc!K328</f>
        <v>4.515062765266282E-3</v>
      </c>
      <c r="AY178" s="462">
        <f>labcap_calc!K691</f>
        <v>2.047819846153846E-3</v>
      </c>
      <c r="AZ178" s="462">
        <f>labcap_calc!K702</f>
        <v>0</v>
      </c>
      <c r="BA178" s="462">
        <f>labcap_calc!K713</f>
        <v>2.9991954461538461E-3</v>
      </c>
      <c r="BB178" s="462">
        <f>labcap_calc!K724</f>
        <v>3.3173338153846153E-3</v>
      </c>
      <c r="BC178" s="462">
        <f>labcap_calc!K735</f>
        <v>3.8375858769230764E-3</v>
      </c>
      <c r="BD178" s="462">
        <f>labcap_calc!K746</f>
        <v>3.9867941076923074E-3</v>
      </c>
      <c r="BE178" s="462">
        <f>labcap_calc!K757</f>
        <v>2.7873836307692307E-3</v>
      </c>
      <c r="BF178" s="462">
        <f>labcap_calc!K768</f>
        <v>0</v>
      </c>
      <c r="BG178" s="462">
        <f>labcap_calc!K779</f>
        <v>8.9078219999999997E-4</v>
      </c>
      <c r="BH178" s="462">
        <f>labcap_calc!K790</f>
        <v>0</v>
      </c>
      <c r="BI178" s="462">
        <f>labcap_calc!K801</f>
        <v>3.7420962923076923E-3</v>
      </c>
      <c r="BJ178" s="462">
        <f>labcap_calc!K812</f>
        <v>6.8594399999999996E-3</v>
      </c>
      <c r="BK178" s="462">
        <f>labcap_calc!K823</f>
        <v>4.0136854153846151E-3</v>
      </c>
      <c r="BL178" s="462">
        <f>labcap_calc!K834</f>
        <v>4.3497138461538466E-4</v>
      </c>
      <c r="BM178" s="462">
        <f>labcap_calc!K845</f>
        <v>2.5769839846153846E-3</v>
      </c>
      <c r="BN178" s="462">
        <f>labcap_calc!K856</f>
        <v>8.9486750769230772E-4</v>
      </c>
      <c r="BO178" s="462">
        <f>labcap_calc!K867</f>
        <v>2.2949455846153848E-3</v>
      </c>
      <c r="BP178" s="370">
        <f>labcap_calc!K152</f>
        <v>2.7971268035866638E-3</v>
      </c>
      <c r="BQ178" s="370">
        <f>labcap_calc!K163</f>
        <v>2.7971268035866638E-3</v>
      </c>
      <c r="BR178" s="462">
        <f>labcap_calc!K878</f>
        <v>4.9027355999999994E-3</v>
      </c>
      <c r="BS178" s="462">
        <f>labcap_calc!K889</f>
        <v>9.2387009076923092E-3</v>
      </c>
      <c r="BT178" s="462">
        <f>labcap_calc!K900</f>
        <v>0</v>
      </c>
      <c r="BU178" s="462">
        <f>labcap_calc!K911</f>
        <v>0</v>
      </c>
      <c r="BV178" s="465">
        <f>labcap_calc!K9</f>
        <v>1.9081793726746671E-4</v>
      </c>
      <c r="BW178" s="465">
        <f>labcap_calc!K20</f>
        <v>6.6384793872771998E-4</v>
      </c>
      <c r="BX178" s="465">
        <f>labcap_calc!K31</f>
        <v>5.2083527926013833E-4</v>
      </c>
      <c r="BY178" s="465">
        <f>labcap_calc!K42</f>
        <v>7.2579086094034509E-4</v>
      </c>
      <c r="BZ178" s="371">
        <f>labcap_calc!K53</f>
        <v>1.6072801331973798E-3</v>
      </c>
      <c r="CA178" s="465">
        <f>labcap_calc!K64</f>
        <v>6.9435389326026392E-4</v>
      </c>
      <c r="CB178" s="465">
        <f>labcap_calc!K75</f>
        <v>9.5356839932181988E-4</v>
      </c>
      <c r="CC178" s="371">
        <f>labcap_calc!K86</f>
        <v>2.4088786638999923E-4</v>
      </c>
      <c r="CD178" s="371">
        <f>labcap_calc!K97</f>
        <v>5.7187371770773699E-3</v>
      </c>
      <c r="CE178" s="371">
        <f>labcap_calc!K108</f>
        <v>1.212282674786736E-2</v>
      </c>
      <c r="CF178" s="465">
        <f>labcap_calc!K119</f>
        <v>4.8767919544063544E-3</v>
      </c>
      <c r="CG178" s="465">
        <f>labcap_calc!K130</f>
        <v>3.7244319516844989E-4</v>
      </c>
      <c r="CH178" s="465">
        <f>labcap_calc!K141</f>
        <v>2.5063822188763708E-4</v>
      </c>
      <c r="CI178" s="465">
        <f>labcap_calc!K922</f>
        <v>8.0546856923076923E-4</v>
      </c>
      <c r="CJ178" s="465">
        <f>labcap_calc!K933</f>
        <v>4.2336775384615386E-4</v>
      </c>
      <c r="CK178" s="465">
        <f>labcap_calc!K944</f>
        <v>4.7226253846153847E-4</v>
      </c>
      <c r="CL178" s="465">
        <f>labcap_calc!K955</f>
        <v>1.9855564615384614E-4</v>
      </c>
      <c r="CM178" s="465">
        <f>labcap_calc!K966</f>
        <v>1.0676929846153845E-3</v>
      </c>
      <c r="CN178" s="465">
        <f>labcap_calc!K977</f>
        <v>6.2797256307692301E-3</v>
      </c>
      <c r="CO178" s="465">
        <f>labcap_calc!K988</f>
        <v>9.304284876923077E-3</v>
      </c>
      <c r="CP178" s="465">
        <f>labcap_calc!K999</f>
        <v>2.9451687784615384E-2</v>
      </c>
    </row>
    <row r="179" spans="1:94" x14ac:dyDescent="0.25">
      <c r="A179" s="4" t="s">
        <v>1071</v>
      </c>
      <c r="B179" s="355">
        <v>13</v>
      </c>
      <c r="C179" s="1" t="s">
        <v>1074</v>
      </c>
      <c r="D179" s="462">
        <f>labcap_calc!K340</f>
        <v>2.2819772769230771E-3</v>
      </c>
      <c r="E179" s="462">
        <f>labcap_calc!K351</f>
        <v>4.3024386461538461E-3</v>
      </c>
      <c r="F179" s="462">
        <f>labcap_calc!K362</f>
        <v>1.3748664461538461E-3</v>
      </c>
      <c r="G179" s="462">
        <f>labcap_calc!K373</f>
        <v>4.9131567692307693E-4</v>
      </c>
      <c r="H179" s="462">
        <f>labcap_calc!K384</f>
        <v>1.7514188030769231E-2</v>
      </c>
      <c r="I179" s="462">
        <f>labcap_calc!K395</f>
        <v>2.4073763538461539E-3</v>
      </c>
      <c r="J179" s="462">
        <f>labcap_calc!K406</f>
        <v>3.2097007384615382E-3</v>
      </c>
      <c r="K179" s="462">
        <f>labcap_calc!K417</f>
        <v>8.6909769692307681E-3</v>
      </c>
      <c r="L179" s="462">
        <f>labcap_calc!K428</f>
        <v>2.4763216153846153E-3</v>
      </c>
      <c r="M179" s="462">
        <f>labcap_calc!K439</f>
        <v>2.9441741538461536E-3</v>
      </c>
      <c r="N179" s="462">
        <f>labcap_calc!K450</f>
        <v>1.7618841692307692E-3</v>
      </c>
      <c r="O179" s="462">
        <f>labcap_calc!K461</f>
        <v>5.0975723076923077E-4</v>
      </c>
      <c r="P179" s="462">
        <f>labcap_calc!K472</f>
        <v>5.5051212461538455E-3</v>
      </c>
      <c r="Q179" s="462">
        <f>labcap_calc!K483</f>
        <v>7.7043107076923082E-3</v>
      </c>
      <c r="R179" s="462">
        <f>labcap_calc!K494</f>
        <v>4.1418409846153848E-3</v>
      </c>
      <c r="S179" s="462">
        <f>labcap_calc!K505</f>
        <v>1.5501983538461538E-3</v>
      </c>
      <c r="T179" s="462">
        <f>labcap_calc!K516</f>
        <v>1.7853017538461539E-3</v>
      </c>
      <c r="U179" s="462">
        <f>labcap_calc!K527</f>
        <v>1.8106568307692309E-3</v>
      </c>
      <c r="V179" s="462">
        <f>labcap_calc!K538</f>
        <v>2.8406389846153844E-3</v>
      </c>
      <c r="W179" s="462">
        <f>labcap_calc!K549</f>
        <v>1.5364430307692307E-3</v>
      </c>
      <c r="X179" s="462">
        <f>labcap_calc!K560</f>
        <v>1.3804346769230771E-3</v>
      </c>
      <c r="Y179" s="462">
        <f>labcap_calc!K571</f>
        <v>2.8592307692307692E-5</v>
      </c>
      <c r="Z179" s="462">
        <f>labcap_calc!K582</f>
        <v>1.8981318461538463E-4</v>
      </c>
      <c r="AA179" s="462">
        <f>labcap_calc!K593</f>
        <v>3.763358307692308E-4</v>
      </c>
      <c r="AB179" s="370">
        <f>labcap_calc!K175</f>
        <v>3.878189533981391E-2</v>
      </c>
      <c r="AC179" s="370">
        <f>labcap_calc!K186</f>
        <v>3.878189533981391E-2</v>
      </c>
      <c r="AD179" s="370">
        <f>labcap_calc!K197</f>
        <v>3.878189533981391E-2</v>
      </c>
      <c r="AE179" s="370">
        <f>labcap_calc!K208</f>
        <v>3.401383540296244E-2</v>
      </c>
      <c r="AF179" s="370">
        <f>labcap_calc!K219</f>
        <v>1.9189407423321158E-3</v>
      </c>
      <c r="AG179" s="370">
        <f>labcap_calc!K230</f>
        <v>1.9189407423321158E-3</v>
      </c>
      <c r="AH179" s="370">
        <f>labcap_calc!K241</f>
        <v>1.9189407423321158E-3</v>
      </c>
      <c r="AI179" s="462">
        <f>labcap_calc!K604</f>
        <v>1.6325228769230769E-3</v>
      </c>
      <c r="AJ179" s="462">
        <f>labcap_calc!K615</f>
        <v>9.8347070769230771E-4</v>
      </c>
      <c r="AK179" s="462">
        <f>labcap_calc!K626</f>
        <v>1.4710664769230768E-3</v>
      </c>
      <c r="AL179" s="462">
        <f>labcap_calc!K637</f>
        <v>1.4769933230769231E-3</v>
      </c>
      <c r="AM179" s="462">
        <f>labcap_calc!K648</f>
        <v>2.764208353846154E-3</v>
      </c>
      <c r="AN179" s="462">
        <f>labcap_calc!K659</f>
        <v>3.0648462923076924E-3</v>
      </c>
      <c r="AO179" s="462">
        <f>labcap_calc!K670</f>
        <v>2.3040728307692306E-3</v>
      </c>
      <c r="AP179" s="370">
        <f>labcap_calc!K252</f>
        <v>3.6046466272013974E-4</v>
      </c>
      <c r="AQ179" s="370">
        <f>labcap_calc!K263</f>
        <v>3.6046466272013974E-4</v>
      </c>
      <c r="AR179" s="370">
        <f>labcap_calc!K274</f>
        <v>3.6046466272013974E-4</v>
      </c>
      <c r="AS179" s="370">
        <f>labcap_calc!K285</f>
        <v>3.6091475125687804E-4</v>
      </c>
      <c r="AT179" s="462">
        <f>labcap_calc!K681</f>
        <v>2.2407665538461538E-3</v>
      </c>
      <c r="AU179" s="370">
        <f>labcap_calc!K296</f>
        <v>6.87602926344785E-4</v>
      </c>
      <c r="AV179" s="370">
        <f>labcap_calc!K307</f>
        <v>6.87602926344785E-4</v>
      </c>
      <c r="AW179" s="370">
        <f>labcap_calc!K318</f>
        <v>6.87602926344785E-4</v>
      </c>
      <c r="AX179" s="370">
        <f>labcap_calc!K329</f>
        <v>6.3313890681585602E-4</v>
      </c>
      <c r="AY179" s="462">
        <f>labcap_calc!K692</f>
        <v>3.4989424615384617E-4</v>
      </c>
      <c r="AZ179" s="462">
        <f>labcap_calc!K703</f>
        <v>0</v>
      </c>
      <c r="BA179" s="462">
        <f>labcap_calc!K714</f>
        <v>3.8726100000000002E-4</v>
      </c>
      <c r="BB179" s="462">
        <f>labcap_calc!K725</f>
        <v>4.1625941538461536E-4</v>
      </c>
      <c r="BC179" s="462">
        <f>labcap_calc!K736</f>
        <v>6.9230215384615381E-4</v>
      </c>
      <c r="BD179" s="462">
        <f>labcap_calc!K747</f>
        <v>7.196606307692308E-4</v>
      </c>
      <c r="BE179" s="462">
        <f>labcap_calc!K758</f>
        <v>5.803036615384616E-4</v>
      </c>
      <c r="BF179" s="462">
        <f>labcap_calc!K769</f>
        <v>0</v>
      </c>
      <c r="BG179" s="462">
        <f>labcap_calc!K780</f>
        <v>1.5527367692307693E-4</v>
      </c>
      <c r="BH179" s="462">
        <f>labcap_calc!K791</f>
        <v>0</v>
      </c>
      <c r="BI179" s="462">
        <f>labcap_calc!K802</f>
        <v>6.6789595384615381E-4</v>
      </c>
      <c r="BJ179" s="462">
        <f>labcap_calc!K813</f>
        <v>1.5379676307692308E-3</v>
      </c>
      <c r="BK179" s="462">
        <f>labcap_calc!K824</f>
        <v>1.0732544307692309E-3</v>
      </c>
      <c r="BL179" s="462">
        <f>labcap_calc!K835</f>
        <v>1.6044064615384617E-4</v>
      </c>
      <c r="BM179" s="462">
        <f>labcap_calc!K846</f>
        <v>1.8776074153846155E-3</v>
      </c>
      <c r="BN179" s="462">
        <f>labcap_calc!K857</f>
        <v>7.8667906153846148E-4</v>
      </c>
      <c r="BO179" s="462">
        <f>labcap_calc!K868</f>
        <v>1.8245110153846155E-3</v>
      </c>
      <c r="BP179" s="370">
        <f>labcap_calc!K153</f>
        <v>1.2444581441207081E-3</v>
      </c>
      <c r="BQ179" s="370">
        <f>labcap_calc!K164</f>
        <v>1.2444581441207081E-3</v>
      </c>
      <c r="BR179" s="462">
        <f>labcap_calc!K879</f>
        <v>9.7468172307692313E-4</v>
      </c>
      <c r="BS179" s="462">
        <f>labcap_calc!K890</f>
        <v>5.4626398615384613E-3</v>
      </c>
      <c r="BT179" s="462">
        <f>labcap_calc!K901</f>
        <v>3.3192955384615383E-3</v>
      </c>
      <c r="BU179" s="462">
        <f>labcap_calc!K912</f>
        <v>0</v>
      </c>
      <c r="BV179" s="465">
        <f>labcap_calc!K10</f>
        <v>1.8687895045750009E-5</v>
      </c>
      <c r="BW179" s="465">
        <f>labcap_calc!K21</f>
        <v>6.5122536515169224E-5</v>
      </c>
      <c r="BX179" s="465">
        <f>labcap_calc!K32</f>
        <v>5.434678071582393E-5</v>
      </c>
      <c r="BY179" s="465">
        <f>labcap_calc!K43</f>
        <v>8.2901242526594562E-5</v>
      </c>
      <c r="BZ179" s="371">
        <f>labcap_calc!K54</f>
        <v>1.4049858267596533E-4</v>
      </c>
      <c r="CA179" s="465">
        <f>labcap_calc!K65</f>
        <v>2.3626766695334332E-4</v>
      </c>
      <c r="CB179" s="465">
        <f>labcap_calc!K76</f>
        <v>8.4290875169478914E-5</v>
      </c>
      <c r="CC179" s="371">
        <f>labcap_calc!K87</f>
        <v>1.0798059852130902E-4</v>
      </c>
      <c r="CD179" s="371">
        <f>labcap_calc!K98</f>
        <v>4.915522843986171E-4</v>
      </c>
      <c r="CE179" s="371">
        <f>labcap_calc!K109</f>
        <v>1.042013821717231E-3</v>
      </c>
      <c r="CF179" s="465">
        <f>labcap_calc!K120</f>
        <v>8.9773868678525738E-4</v>
      </c>
      <c r="CG179" s="465">
        <f>labcap_calc!K131</f>
        <v>1.3735564083196006E-4</v>
      </c>
      <c r="CH179" s="465">
        <f>labcap_calc!K142</f>
        <v>8.2425255387960343E-5</v>
      </c>
      <c r="CI179" s="465">
        <f>labcap_calc!K923</f>
        <v>8.5292307692307691E-5</v>
      </c>
      <c r="CJ179" s="465">
        <f>labcap_calc!K934</f>
        <v>4.8170769230769232E-5</v>
      </c>
      <c r="CK179" s="465">
        <f>labcap_calc!K945</f>
        <v>5.4567692307692308E-5</v>
      </c>
      <c r="CL179" s="465">
        <f>labcap_calc!K956</f>
        <v>1.9772307692307695E-5</v>
      </c>
      <c r="CM179" s="465">
        <f>labcap_calc!K967</f>
        <v>9.4403076923076914E-5</v>
      </c>
      <c r="CN179" s="465">
        <f>labcap_calc!K978</f>
        <v>7.523702307692308E-4</v>
      </c>
      <c r="CO179" s="465">
        <f>labcap_calc!K989</f>
        <v>3.1420813846153847E-4</v>
      </c>
      <c r="CP179" s="465">
        <f>labcap_calc!K1000</f>
        <v>1.0095885692307691E-3</v>
      </c>
    </row>
    <row r="180" spans="1:94" x14ac:dyDescent="0.25">
      <c r="A180" s="4" t="s">
        <v>1072</v>
      </c>
      <c r="B180" s="355">
        <v>14</v>
      </c>
      <c r="C180" s="1" t="s">
        <v>1074</v>
      </c>
      <c r="D180" s="462">
        <f>labcap_calc!K341</f>
        <v>1.2037453846153847E-3</v>
      </c>
      <c r="E180" s="462">
        <f>labcap_calc!K352</f>
        <v>2.3425211538461535E-3</v>
      </c>
      <c r="F180" s="462">
        <f>labcap_calc!K363</f>
        <v>7.3154076923076918E-4</v>
      </c>
      <c r="G180" s="462">
        <f>labcap_calc!K374</f>
        <v>2.6126192307692305E-4</v>
      </c>
      <c r="H180" s="462">
        <f>labcap_calc!K385</f>
        <v>9.865247307692308E-3</v>
      </c>
      <c r="I180" s="462">
        <f>labcap_calc!K396</f>
        <v>1.3014588461538461E-3</v>
      </c>
      <c r="J180" s="462">
        <f>labcap_calc!K407</f>
        <v>1.7379299999999997E-3</v>
      </c>
      <c r="K180" s="462">
        <f>labcap_calc!K418</f>
        <v>4.9080138461538459E-3</v>
      </c>
      <c r="L180" s="462">
        <f>labcap_calc!K429</f>
        <v>1.3222961538461536E-3</v>
      </c>
      <c r="M180" s="462">
        <f>labcap_calc!K440</f>
        <v>1.62192E-3</v>
      </c>
      <c r="N180" s="462">
        <f>labcap_calc!K451</f>
        <v>9.5144076923076915E-4</v>
      </c>
      <c r="O180" s="462">
        <f>labcap_calc!K462</f>
        <v>8.9492076923076915E-4</v>
      </c>
      <c r="P180" s="462">
        <f>labcap_calc!K473</f>
        <v>1.4583392307692307E-3</v>
      </c>
      <c r="Q180" s="462">
        <f>labcap_calc!K484</f>
        <v>3.3771576923076924E-4</v>
      </c>
      <c r="R180" s="462">
        <f>labcap_calc!K495</f>
        <v>9.589280769230768E-4</v>
      </c>
      <c r="S180" s="462">
        <f>labcap_calc!K506</f>
        <v>3.9117980769230766E-3</v>
      </c>
      <c r="T180" s="462">
        <f>labcap_calc!K517</f>
        <v>4.4678446153846151E-3</v>
      </c>
      <c r="U180" s="462">
        <f>labcap_calc!K528</f>
        <v>1.2233619230769231E-3</v>
      </c>
      <c r="V180" s="462">
        <f>labcap_calc!K539</f>
        <v>1.8558207692307689E-3</v>
      </c>
      <c r="W180" s="462">
        <f>labcap_calc!K550</f>
        <v>1.0123142307692306E-3</v>
      </c>
      <c r="X180" s="462">
        <f>labcap_calc!K561</f>
        <v>1.2723923076923076E-3</v>
      </c>
      <c r="Y180" s="462">
        <f>labcap_calc!K572</f>
        <v>4.1999999999999991E-5</v>
      </c>
      <c r="Z180" s="462">
        <f>labcap_calc!K583</f>
        <v>2.1950884615384614E-4</v>
      </c>
      <c r="AA180" s="462">
        <f>labcap_calc!K594</f>
        <v>4.1588076923076923E-4</v>
      </c>
      <c r="AB180" s="370">
        <f>labcap_calc!K176</f>
        <v>3.5746837875604766E-2</v>
      </c>
      <c r="AC180" s="370">
        <f>labcap_calc!K187</f>
        <v>3.5746837875604766E-2</v>
      </c>
      <c r="AD180" s="370">
        <f>labcap_calc!K198</f>
        <v>3.5746837875604766E-2</v>
      </c>
      <c r="AE180" s="370">
        <f>labcap_calc!K209</f>
        <v>3.3692977910115447E-2</v>
      </c>
      <c r="AF180" s="370">
        <f>labcap_calc!K220</f>
        <v>1.8310911597994642E-3</v>
      </c>
      <c r="AG180" s="370">
        <f>labcap_calc!K231</f>
        <v>1.8310911597994642E-3</v>
      </c>
      <c r="AH180" s="370">
        <f>labcap_calc!K242</f>
        <v>1.8310911597994642E-3</v>
      </c>
      <c r="AI180" s="462">
        <f>labcap_calc!K605</f>
        <v>1.6523665384615383E-3</v>
      </c>
      <c r="AJ180" s="462">
        <f>labcap_calc!K616</f>
        <v>1.0310746153846153E-3</v>
      </c>
      <c r="AK180" s="462">
        <f>labcap_calc!K627</f>
        <v>1.5091811538461538E-3</v>
      </c>
      <c r="AL180" s="462">
        <f>labcap_calc!K638</f>
        <v>1.505623846153846E-3</v>
      </c>
      <c r="AM180" s="462">
        <f>labcap_calc!K649</f>
        <v>2.9408630769230766E-3</v>
      </c>
      <c r="AN180" s="462">
        <f>labcap_calc!K660</f>
        <v>3.240754615384615E-3</v>
      </c>
      <c r="AO180" s="462">
        <f>labcap_calc!K671</f>
        <v>2.4291207692307693E-3</v>
      </c>
      <c r="AP180" s="370">
        <f>labcap_calc!K253</f>
        <v>4.0981376740069646E-4</v>
      </c>
      <c r="AQ180" s="370">
        <f>labcap_calc!K264</f>
        <v>4.0981376740069646E-4</v>
      </c>
      <c r="AR180" s="370">
        <f>labcap_calc!K275</f>
        <v>4.0981376740069646E-4</v>
      </c>
      <c r="AS180" s="370">
        <f>labcap_calc!K286</f>
        <v>4.1181136453374509E-4</v>
      </c>
      <c r="AT180" s="462">
        <f>labcap_calc!K682</f>
        <v>2.3797592307692305E-3</v>
      </c>
      <c r="AU180" s="370">
        <f>labcap_calc!K297</f>
        <v>2.0599096214789017E-3</v>
      </c>
      <c r="AV180" s="370">
        <f>labcap_calc!K308</f>
        <v>2.0599096214789017E-3</v>
      </c>
      <c r="AW180" s="370">
        <f>labcap_calc!K319</f>
        <v>2.0599096214789017E-3</v>
      </c>
      <c r="AX180" s="370">
        <f>labcap_calc!K330</f>
        <v>2.0605161714675481E-3</v>
      </c>
      <c r="AY180" s="462">
        <f>labcap_calc!K693</f>
        <v>9.6980423076923076E-4</v>
      </c>
      <c r="AZ180" s="462">
        <f>labcap_calc!K704</f>
        <v>0</v>
      </c>
      <c r="BA180" s="462">
        <f>labcap_calc!K715</f>
        <v>1.4101269230769229E-3</v>
      </c>
      <c r="BB180" s="462">
        <f>labcap_calc!K726</f>
        <v>1.5602284615384614E-3</v>
      </c>
      <c r="BC180" s="462">
        <f>labcap_calc!K737</f>
        <v>1.8126011538461538E-3</v>
      </c>
      <c r="BD180" s="462">
        <f>labcap_calc!K748</f>
        <v>1.8991142307692305E-3</v>
      </c>
      <c r="BE180" s="462">
        <f>labcap_calc!K759</f>
        <v>1.3723546153846153E-3</v>
      </c>
      <c r="BF180" s="462">
        <f>labcap_calc!K770</f>
        <v>0</v>
      </c>
      <c r="BG180" s="462">
        <f>labcap_calc!K781</f>
        <v>4.1376230769230764E-4</v>
      </c>
      <c r="BH180" s="462">
        <f>labcap_calc!K792</f>
        <v>0</v>
      </c>
      <c r="BI180" s="462">
        <f>labcap_calc!K803</f>
        <v>1.784465769230769E-3</v>
      </c>
      <c r="BJ180" s="462">
        <f>labcap_calc!K814</f>
        <v>3.2593684615384614E-3</v>
      </c>
      <c r="BK180" s="462">
        <f>labcap_calc!K825</f>
        <v>1.8744138461538459E-3</v>
      </c>
      <c r="BL180" s="462">
        <f>labcap_calc!K836</f>
        <v>2.0120538461538458E-4</v>
      </c>
      <c r="BM180" s="462">
        <f>labcap_calc!K847</f>
        <v>1.2522796153846152E-3</v>
      </c>
      <c r="BN180" s="462">
        <f>labcap_calc!K858</f>
        <v>4.1393999999999996E-4</v>
      </c>
      <c r="BO180" s="462">
        <f>labcap_calc!K869</f>
        <v>1.1071153846153846E-3</v>
      </c>
      <c r="BP180" s="370">
        <f>labcap_calc!K154</f>
        <v>1.322706026803365E-3</v>
      </c>
      <c r="BQ180" s="370">
        <f>labcap_calc!K165</f>
        <v>1.322706026803365E-3</v>
      </c>
      <c r="BR180" s="462">
        <f>labcap_calc!K880</f>
        <v>2.3414665384615383E-3</v>
      </c>
      <c r="BS180" s="462">
        <f>labcap_calc!K891</f>
        <v>4.4337761538461532E-3</v>
      </c>
      <c r="BT180" s="462">
        <f>labcap_calc!K902</f>
        <v>0</v>
      </c>
      <c r="BU180" s="462">
        <f>labcap_calc!K913</f>
        <v>0</v>
      </c>
      <c r="BV180" s="465">
        <f>labcap_calc!K11</f>
        <v>2.1974575997436692E-4</v>
      </c>
      <c r="BW180" s="465">
        <f>labcap_calc!K22</f>
        <v>7.3835401470092991E-4</v>
      </c>
      <c r="BX180" s="465">
        <f>labcap_calc!K33</f>
        <v>6.8390392548250609E-4</v>
      </c>
      <c r="BY180" s="465">
        <f>labcap_calc!K44</f>
        <v>1.0007519926368981E-3</v>
      </c>
      <c r="BZ180" s="371">
        <f>labcap_calc!K55</f>
        <v>1.789084123859215E-3</v>
      </c>
      <c r="CA180" s="465">
        <f>labcap_calc!K66</f>
        <v>8.1031569094927721E-4</v>
      </c>
      <c r="CB180" s="465">
        <f>labcap_calc!K77</f>
        <v>1.0293457686745729E-3</v>
      </c>
      <c r="CC180" s="371">
        <f>labcap_calc!K88</f>
        <v>3.6446431567350573E-4</v>
      </c>
      <c r="CD180" s="371">
        <f>labcap_calc!K99</f>
        <v>6.1731889600929917E-3</v>
      </c>
      <c r="CE180" s="371">
        <f>labcap_calc!K110</f>
        <v>1.3086193319921075E-2</v>
      </c>
      <c r="CF180" s="465">
        <f>labcap_calc!K121</f>
        <v>4.094789764316065E-3</v>
      </c>
      <c r="CG180" s="465">
        <f>labcap_calc!K132</f>
        <v>6.3422673857827265E-4</v>
      </c>
      <c r="CH180" s="465">
        <f>labcap_calc!K143</f>
        <v>3.0422940098531303E-4</v>
      </c>
      <c r="CI180" s="465">
        <f>labcap_calc!K924</f>
        <v>1.047546923076923E-3</v>
      </c>
      <c r="CJ180" s="465">
        <f>labcap_calc!K935</f>
        <v>5.5797115384615379E-4</v>
      </c>
      <c r="CK180" s="465">
        <f>labcap_calc!K946</f>
        <v>6.2395961538461533E-4</v>
      </c>
      <c r="CL180" s="465">
        <f>labcap_calc!K957</f>
        <v>2.4935653846153844E-4</v>
      </c>
      <c r="CM180" s="465">
        <f>labcap_calc!K968</f>
        <v>1.0810534615384615E-3</v>
      </c>
      <c r="CN180" s="465">
        <f>labcap_calc!K979</f>
        <v>7.5337569230769222E-3</v>
      </c>
      <c r="CO180" s="465">
        <f>labcap_calc!K990</f>
        <v>3.3607453846153843E-3</v>
      </c>
      <c r="CP180" s="465">
        <f>labcap_calc!K1001</f>
        <v>1.0420458461538461E-2</v>
      </c>
    </row>
    <row r="181" spans="1:94" x14ac:dyDescent="0.25">
      <c r="A181" s="4" t="s">
        <v>1073</v>
      </c>
      <c r="B181" s="355">
        <v>15</v>
      </c>
      <c r="C181" s="1" t="s">
        <v>1074</v>
      </c>
      <c r="D181" s="462">
        <f>labcap_calc!K342</f>
        <v>1.155283846153846E-3</v>
      </c>
      <c r="E181" s="462">
        <f>labcap_calc!K353</f>
        <v>2.2289526923076918E-3</v>
      </c>
      <c r="F181" s="462">
        <f>labcap_calc!K364</f>
        <v>6.9529730769230761E-4</v>
      </c>
      <c r="G181" s="462">
        <f>labcap_calc!K375</f>
        <v>2.5288961538461535E-4</v>
      </c>
      <c r="H181" s="462">
        <f>labcap_calc!K386</f>
        <v>9.4419138461538446E-3</v>
      </c>
      <c r="I181" s="462">
        <f>labcap_calc!K397</f>
        <v>1.227726923076923E-3</v>
      </c>
      <c r="J181" s="462">
        <f>labcap_calc!K408</f>
        <v>1.6414442307692307E-3</v>
      </c>
      <c r="K181" s="462">
        <f>labcap_calc!K419</f>
        <v>4.6088538461538453E-3</v>
      </c>
      <c r="L181" s="462">
        <f>labcap_calc!K430</f>
        <v>1.2794711538461538E-3</v>
      </c>
      <c r="M181" s="462">
        <f>labcap_calc!K441</f>
        <v>1.5413792307692306E-3</v>
      </c>
      <c r="N181" s="462">
        <f>labcap_calc!K452</f>
        <v>9.0343038461538445E-4</v>
      </c>
      <c r="O181" s="462">
        <f>labcap_calc!K463</f>
        <v>2.8693038461538459E-4</v>
      </c>
      <c r="P181" s="462">
        <f>labcap_calc!K474</f>
        <v>2.2336442307692305E-3</v>
      </c>
      <c r="Q181" s="462">
        <f>labcap_calc!K485</f>
        <v>2.8190999999999997E-3</v>
      </c>
      <c r="R181" s="462">
        <f>labcap_calc!K496</f>
        <v>1.9904411538461536E-3</v>
      </c>
      <c r="S181" s="462">
        <f>labcap_calc!K507</f>
        <v>9.031776923076922E-4</v>
      </c>
      <c r="T181" s="462">
        <f>labcap_calc!K518</f>
        <v>1.0469157692307692E-3</v>
      </c>
      <c r="U181" s="462">
        <f>labcap_calc!K529</f>
        <v>1.0785057692307691E-3</v>
      </c>
      <c r="V181" s="462">
        <f>labcap_calc!K540</f>
        <v>1.5749757692307693E-3</v>
      </c>
      <c r="W181" s="462">
        <f>labcap_calc!K551</f>
        <v>8.5215346153846145E-4</v>
      </c>
      <c r="X181" s="462">
        <f>labcap_calc!K562</f>
        <v>7.9794346153846149E-4</v>
      </c>
      <c r="Y181" s="462">
        <f>labcap_calc!K573</f>
        <v>1.5461538461538459E-5</v>
      </c>
      <c r="Z181" s="462">
        <f>labcap_calc!K584</f>
        <v>8.099999999999999E-5</v>
      </c>
      <c r="AA181" s="462">
        <f>labcap_calc!K595</f>
        <v>1.9442884615384614E-4</v>
      </c>
      <c r="AB181" s="370">
        <f>labcap_calc!K177</f>
        <v>1.562771765656527E-2</v>
      </c>
      <c r="AC181" s="370">
        <f>labcap_calc!K188</f>
        <v>1.562771765656527E-2</v>
      </c>
      <c r="AD181" s="370">
        <f>labcap_calc!K199</f>
        <v>1.562771765656527E-2</v>
      </c>
      <c r="AE181" s="370">
        <f>labcap_calc!K210</f>
        <v>1.7681576017274669E-2</v>
      </c>
      <c r="AF181" s="370">
        <f>labcap_calc!K221</f>
        <v>9.8268360668149262E-4</v>
      </c>
      <c r="AG181" s="370">
        <f>labcap_calc!K232</f>
        <v>9.8268360668149262E-4</v>
      </c>
      <c r="AH181" s="370">
        <f>labcap_calc!K243</f>
        <v>9.8268360668149262E-4</v>
      </c>
      <c r="AI181" s="462">
        <f>labcap_calc!K606</f>
        <v>8.5994423076923073E-4</v>
      </c>
      <c r="AJ181" s="462">
        <f>labcap_calc!K617</f>
        <v>5.2411961538461531E-4</v>
      </c>
      <c r="AK181" s="462">
        <f>labcap_calc!K628</f>
        <v>8.1865038461538455E-4</v>
      </c>
      <c r="AL181" s="462">
        <f>labcap_calc!K639</f>
        <v>5.5781307692307684E-4</v>
      </c>
      <c r="AM181" s="462">
        <f>labcap_calc!K650</f>
        <v>1.159700769230769E-3</v>
      </c>
      <c r="AN181" s="462">
        <f>labcap_calc!K661</f>
        <v>1.244903076923077E-3</v>
      </c>
      <c r="AO181" s="462">
        <f>labcap_calc!K672</f>
        <v>9.2753076923076912E-4</v>
      </c>
      <c r="AP181" s="370">
        <f>labcap_calc!K254</f>
        <v>1.6308385178964317E-4</v>
      </c>
      <c r="AQ181" s="370">
        <f>labcap_calc!K265</f>
        <v>1.6308385178964317E-4</v>
      </c>
      <c r="AR181" s="370">
        <f>labcap_calc!K276</f>
        <v>1.6308385178964317E-4</v>
      </c>
      <c r="AS181" s="370">
        <f>labcap_calc!K287</f>
        <v>1.6108625397401042E-4</v>
      </c>
      <c r="AT181" s="462">
        <f>labcap_calc!K683</f>
        <v>9.2781115384615376E-4</v>
      </c>
      <c r="AU181" s="370">
        <f>labcap_calc!K298</f>
        <v>3.1618345723746083E-4</v>
      </c>
      <c r="AV181" s="370">
        <f>labcap_calc!K309</f>
        <v>3.1618345723746083E-4</v>
      </c>
      <c r="AW181" s="370">
        <f>labcap_calc!K320</f>
        <v>3.1618345723746083E-4</v>
      </c>
      <c r="AX181" s="370">
        <f>labcap_calc!K331</f>
        <v>3.1557690650213359E-4</v>
      </c>
      <c r="AY181" s="462">
        <f>labcap_calc!K694</f>
        <v>1.4510307692307693E-4</v>
      </c>
      <c r="AZ181" s="462">
        <f>labcap_calc!K705</f>
        <v>0</v>
      </c>
      <c r="BA181" s="462">
        <f>labcap_calc!K716</f>
        <v>2.171734615384615E-4</v>
      </c>
      <c r="BB181" s="462">
        <f>labcap_calc!K727</f>
        <v>2.3714999999999996E-4</v>
      </c>
      <c r="BC181" s="462">
        <f>labcap_calc!K738</f>
        <v>2.7404538461538462E-4</v>
      </c>
      <c r="BD181" s="462">
        <f>labcap_calc!K749</f>
        <v>2.8887576923076921E-4</v>
      </c>
      <c r="BE181" s="462">
        <f>labcap_calc!K760</f>
        <v>2.5301076923076922E-4</v>
      </c>
      <c r="BF181" s="462">
        <f>labcap_calc!K771</f>
        <v>0</v>
      </c>
      <c r="BG181" s="462">
        <f>labcap_calc!K782</f>
        <v>7.4653846153846146E-5</v>
      </c>
      <c r="BH181" s="462">
        <f>labcap_calc!K793</f>
        <v>0</v>
      </c>
      <c r="BI181" s="462">
        <f>labcap_calc!K804</f>
        <v>2.6673230769230766E-4</v>
      </c>
      <c r="BJ181" s="462">
        <f>labcap_calc!K815</f>
        <v>8.6567538461538446E-4</v>
      </c>
      <c r="BK181" s="462">
        <f>labcap_calc!K826</f>
        <v>5.054111538461538E-4</v>
      </c>
      <c r="BL181" s="462">
        <f>labcap_calc!K837</f>
        <v>7.7076923076923063E-5</v>
      </c>
      <c r="BM181" s="462">
        <f>labcap_calc!K848</f>
        <v>1.079151923076923E-3</v>
      </c>
      <c r="BN181" s="462">
        <f>labcap_calc!K859</f>
        <v>3.780530769230769E-4</v>
      </c>
      <c r="BO181" s="462">
        <f>labcap_calc!K870</f>
        <v>1.0253515384615382E-3</v>
      </c>
      <c r="BP181" s="370">
        <f>labcap_calc!K155</f>
        <v>6.0185823368027742E-4</v>
      </c>
      <c r="BQ181" s="370">
        <f>labcap_calc!K166</f>
        <v>6.0185823368027742E-4</v>
      </c>
      <c r="BR181" s="462">
        <f>labcap_calc!K881</f>
        <v>3.9567115384615381E-4</v>
      </c>
      <c r="BS181" s="462">
        <f>labcap_calc!K892</f>
        <v>3.1299242307692302E-3</v>
      </c>
      <c r="BT181" s="462">
        <f>labcap_calc!K903</f>
        <v>1.7418173076923075E-3</v>
      </c>
      <c r="BU181" s="462">
        <f>labcap_calc!K914</f>
        <v>0</v>
      </c>
      <c r="BV181" s="465">
        <f>labcap_calc!K12</f>
        <v>5.4635172596874111E-5</v>
      </c>
      <c r="BW181" s="465">
        <f>labcap_calc!K23</f>
        <v>2.3064231682473345E-4</v>
      </c>
      <c r="BX181" s="465">
        <f>labcap_calc!K34</f>
        <v>1.8585741327041192E-4</v>
      </c>
      <c r="BY181" s="465">
        <f>labcap_calc!K45</f>
        <v>2.4048735428893961E-4</v>
      </c>
      <c r="BZ181" s="371">
        <f>labcap_calc!K56</f>
        <v>5.0779155862757535E-4</v>
      </c>
      <c r="CA181" s="465">
        <f>labcap_calc!K67</f>
        <v>2.480893960760977E-4</v>
      </c>
      <c r="CB181" s="465">
        <f>labcap_calc!K78</f>
        <v>2.9853018289154536E-4</v>
      </c>
      <c r="CC181" s="371">
        <f>labcap_calc!K89</f>
        <v>7.759573653820741E-5</v>
      </c>
      <c r="CD181" s="371">
        <f>labcap_calc!K100</f>
        <v>1.7409143405829343E-3</v>
      </c>
      <c r="CE181" s="371">
        <f>labcap_calc!K111</f>
        <v>3.6904656185914033E-3</v>
      </c>
      <c r="CF181" s="465">
        <f>labcap_calc!K122</f>
        <v>2.0021899584653077E-3</v>
      </c>
      <c r="CG181" s="465">
        <f>labcap_calc!K133</f>
        <v>1.7927055686497268E-4</v>
      </c>
      <c r="CH181" s="465">
        <f>labcap_calc!K144</f>
        <v>5.7556389048875414E-5</v>
      </c>
      <c r="CI181" s="465">
        <f>labcap_calc!K925</f>
        <v>2.5066499999999996E-4</v>
      </c>
      <c r="CJ181" s="465">
        <f>labcap_calc!K936</f>
        <v>1.3990153846153846E-4</v>
      </c>
      <c r="CK181" s="465">
        <f>labcap_calc!K947</f>
        <v>1.5905653846153844E-4</v>
      </c>
      <c r="CL181" s="465">
        <f>labcap_calc!K958</f>
        <v>5.896153846153846E-5</v>
      </c>
      <c r="CM181" s="465">
        <f>labcap_calc!K969</f>
        <v>3.3425884615384614E-4</v>
      </c>
      <c r="CN181" s="465">
        <f>labcap_calc!K980</f>
        <v>3.1620588461538459E-3</v>
      </c>
      <c r="CO181" s="465">
        <f>labcap_calc!K991</f>
        <v>8.6042538461538452E-4</v>
      </c>
      <c r="CP181" s="465">
        <f>labcap_calc!K1002</f>
        <v>2.7099115384615381E-3</v>
      </c>
    </row>
  </sheetData>
  <conditionalFormatting sqref="BV1">
    <cfRule type="colorScale" priority="15">
      <colorScale>
        <cfvo type="min"/>
        <cfvo type="max"/>
        <color rgb="FFFCFCFF"/>
        <color rgb="FF63BE7B"/>
      </colorScale>
    </cfRule>
  </conditionalFormatting>
  <conditionalFormatting sqref="BW1">
    <cfRule type="colorScale" priority="14">
      <colorScale>
        <cfvo type="min"/>
        <cfvo type="max"/>
        <color rgb="FFFCFCFF"/>
        <color rgb="FF63BE7B"/>
      </colorScale>
    </cfRule>
  </conditionalFormatting>
  <conditionalFormatting sqref="BX1">
    <cfRule type="colorScale" priority="13">
      <colorScale>
        <cfvo type="min"/>
        <cfvo type="max"/>
        <color rgb="FFFCFCFF"/>
        <color rgb="FF63BE7B"/>
      </colorScale>
    </cfRule>
  </conditionalFormatting>
  <conditionalFormatting sqref="BY1">
    <cfRule type="colorScale" priority="12">
      <colorScale>
        <cfvo type="min"/>
        <cfvo type="max"/>
        <color rgb="FFFCFCFF"/>
        <color rgb="FF63BE7B"/>
      </colorScale>
    </cfRule>
  </conditionalFormatting>
  <conditionalFormatting sqref="BZ1">
    <cfRule type="colorScale" priority="11">
      <colorScale>
        <cfvo type="min"/>
        <cfvo type="max"/>
        <color rgb="FFFCFCFF"/>
        <color rgb="FF63BE7B"/>
      </colorScale>
    </cfRule>
  </conditionalFormatting>
  <conditionalFormatting sqref="CA1">
    <cfRule type="colorScale" priority="10">
      <colorScale>
        <cfvo type="min"/>
        <cfvo type="max"/>
        <color rgb="FFFCFCFF"/>
        <color rgb="FF63BE7B"/>
      </colorScale>
    </cfRule>
  </conditionalFormatting>
  <conditionalFormatting sqref="CB1">
    <cfRule type="colorScale" priority="9">
      <colorScale>
        <cfvo type="min"/>
        <cfvo type="max"/>
        <color rgb="FFFCFCFF"/>
        <color rgb="FF63BE7B"/>
      </colorScale>
    </cfRule>
  </conditionalFormatting>
  <conditionalFormatting sqref="CC1">
    <cfRule type="colorScale" priority="8">
      <colorScale>
        <cfvo type="min"/>
        <cfvo type="max"/>
        <color rgb="FFFCFCFF"/>
        <color rgb="FF63BE7B"/>
      </colorScale>
    </cfRule>
  </conditionalFormatting>
  <conditionalFormatting sqref="CE1">
    <cfRule type="colorScale" priority="7">
      <colorScale>
        <cfvo type="min"/>
        <cfvo type="max"/>
        <color rgb="FFFCFCFF"/>
        <color rgb="FF63BE7B"/>
      </colorScale>
    </cfRule>
  </conditionalFormatting>
  <conditionalFormatting sqref="CF1">
    <cfRule type="colorScale" priority="6">
      <colorScale>
        <cfvo type="min"/>
        <cfvo type="max"/>
        <color rgb="FFFCFCFF"/>
        <color rgb="FF63BE7B"/>
      </colorScale>
    </cfRule>
  </conditionalFormatting>
  <conditionalFormatting sqref="CG1">
    <cfRule type="colorScale" priority="5">
      <colorScale>
        <cfvo type="min"/>
        <cfvo type="max"/>
        <color rgb="FFFCFCFF"/>
        <color rgb="FF63BE7B"/>
      </colorScale>
    </cfRule>
  </conditionalFormatting>
  <conditionalFormatting sqref="CH1">
    <cfRule type="colorScale" priority="4">
      <colorScale>
        <cfvo type="min"/>
        <cfvo type="max"/>
        <color rgb="FFFCFCFF"/>
        <color rgb="FF63BE7B"/>
      </colorScale>
    </cfRule>
  </conditionalFormatting>
  <conditionalFormatting sqref="BV1:CH1 BV182:CH1048576">
    <cfRule type="colorScale" priority="3">
      <colorScale>
        <cfvo type="min"/>
        <cfvo type="max"/>
        <color rgb="FFFCFCFF"/>
        <color rgb="FF63BE7B"/>
      </colorScale>
    </cfRule>
  </conditionalFormatting>
  <conditionalFormatting sqref="CI1:CP1">
    <cfRule type="colorScale" priority="2">
      <colorScale>
        <cfvo type="min"/>
        <cfvo type="max"/>
        <color rgb="FFFCFCFF"/>
        <color rgb="FF63BE7B"/>
      </colorScale>
    </cfRule>
  </conditionalFormatting>
  <conditionalFormatting sqref="CI1:CP1 CI182:CP1048576">
    <cfRule type="colorScale" priority="1">
      <colorScale>
        <cfvo type="min"/>
        <cfvo type="max"/>
        <color rgb="FFFCFCFF"/>
        <color rgb="FF63BE7B"/>
      </colorScale>
    </cfRule>
  </conditionalFormatting>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81"/>
  <sheetViews>
    <sheetView zoomScale="75" zoomScaleNormal="75" workbookViewId="0">
      <pane xSplit="3" ySplit="1" topLeftCell="D134" activePane="bottomRight" state="frozen"/>
      <selection activeCell="D2" sqref="D2"/>
      <selection pane="topRight" activeCell="D2" sqref="D2"/>
      <selection pane="bottomLeft" activeCell="D2" sqref="D2"/>
      <selection pane="bottomRight" activeCell="D169" sqref="D169"/>
    </sheetView>
  </sheetViews>
  <sheetFormatPr defaultColWidth="8.75" defaultRowHeight="15" x14ac:dyDescent="0.25"/>
  <cols>
    <col min="1" max="1" width="45.75" style="4" customWidth="1"/>
    <col min="2" max="2" width="12.375" style="4" customWidth="1"/>
    <col min="3" max="3" width="25" style="1" bestFit="1" customWidth="1"/>
    <col min="4" max="67" width="9.625" style="1" customWidth="1"/>
    <col min="68" max="73" width="9.625" style="188" customWidth="1"/>
    <col min="74" max="86" width="9.625" style="25" customWidth="1"/>
    <col min="87" max="94" width="9.625" style="86" customWidth="1"/>
    <col min="95" max="16384" width="8.75" style="4"/>
  </cols>
  <sheetData>
    <row r="1" spans="1:94" ht="15" customHeight="1" x14ac:dyDescent="0.25">
      <c r="A1" s="3" t="s">
        <v>0</v>
      </c>
      <c r="B1" s="3" t="s">
        <v>1</v>
      </c>
      <c r="C1" s="10" t="s">
        <v>324</v>
      </c>
      <c r="D1" s="10" t="s">
        <v>90</v>
      </c>
      <c r="E1" s="10" t="s">
        <v>92</v>
      </c>
      <c r="F1" s="10" t="s">
        <v>94</v>
      </c>
      <c r="G1" s="10" t="s">
        <v>96</v>
      </c>
      <c r="H1" s="10" t="s">
        <v>98</v>
      </c>
      <c r="I1" s="10" t="s">
        <v>100</v>
      </c>
      <c r="J1" s="10" t="s">
        <v>102</v>
      </c>
      <c r="K1" s="10" t="s">
        <v>104</v>
      </c>
      <c r="L1" s="10" t="s">
        <v>106</v>
      </c>
      <c r="M1" s="10" t="s">
        <v>108</v>
      </c>
      <c r="N1" s="10" t="s">
        <v>110</v>
      </c>
      <c r="O1" s="10" t="s">
        <v>112</v>
      </c>
      <c r="P1" s="10" t="s">
        <v>114</v>
      </c>
      <c r="Q1" s="10" t="s">
        <v>116</v>
      </c>
      <c r="R1" s="10" t="s">
        <v>118</v>
      </c>
      <c r="S1" s="10" t="s">
        <v>120</v>
      </c>
      <c r="T1" s="10" t="s">
        <v>122</v>
      </c>
      <c r="U1" s="10" t="s">
        <v>124</v>
      </c>
      <c r="V1" s="10" t="s">
        <v>126</v>
      </c>
      <c r="W1" s="10" t="s">
        <v>128</v>
      </c>
      <c r="X1" s="10" t="s">
        <v>130</v>
      </c>
      <c r="Y1" s="10" t="s">
        <v>132</v>
      </c>
      <c r="Z1" s="10" t="s">
        <v>134</v>
      </c>
      <c r="AA1" s="10" t="s">
        <v>136</v>
      </c>
      <c r="AB1" s="24" t="s">
        <v>737</v>
      </c>
      <c r="AC1" s="24" t="s">
        <v>738</v>
      </c>
      <c r="AD1" s="24" t="s">
        <v>748</v>
      </c>
      <c r="AE1" s="24" t="s">
        <v>140</v>
      </c>
      <c r="AF1" s="24" t="s">
        <v>739</v>
      </c>
      <c r="AG1" s="24" t="s">
        <v>740</v>
      </c>
      <c r="AH1" s="24" t="s">
        <v>926</v>
      </c>
      <c r="AI1" s="26" t="s">
        <v>144</v>
      </c>
      <c r="AJ1" s="26" t="s">
        <v>146</v>
      </c>
      <c r="AK1" s="26" t="s">
        <v>148</v>
      </c>
      <c r="AL1" s="26" t="s">
        <v>150</v>
      </c>
      <c r="AM1" s="26" t="s">
        <v>152</v>
      </c>
      <c r="AN1" s="26" t="s">
        <v>154</v>
      </c>
      <c r="AO1" s="26" t="s">
        <v>156</v>
      </c>
      <c r="AP1" s="24" t="s">
        <v>735</v>
      </c>
      <c r="AQ1" s="24" t="s">
        <v>736</v>
      </c>
      <c r="AR1" s="24" t="s">
        <v>744</v>
      </c>
      <c r="AS1" s="24" t="s">
        <v>160</v>
      </c>
      <c r="AT1" s="26" t="s">
        <v>162</v>
      </c>
      <c r="AU1" s="24" t="s">
        <v>730</v>
      </c>
      <c r="AV1" s="24" t="s">
        <v>731</v>
      </c>
      <c r="AW1" s="24" t="s">
        <v>746</v>
      </c>
      <c r="AX1" s="24" t="s">
        <v>166</v>
      </c>
      <c r="AY1" s="26" t="s">
        <v>168</v>
      </c>
      <c r="AZ1" s="26" t="s">
        <v>170</v>
      </c>
      <c r="BA1" s="26" t="s">
        <v>172</v>
      </c>
      <c r="BB1" s="26" t="s">
        <v>174</v>
      </c>
      <c r="BC1" s="26" t="s">
        <v>176</v>
      </c>
      <c r="BD1" s="26" t="s">
        <v>178</v>
      </c>
      <c r="BE1" s="26" t="s">
        <v>180</v>
      </c>
      <c r="BF1" s="26" t="s">
        <v>182</v>
      </c>
      <c r="BG1" s="26" t="s">
        <v>184</v>
      </c>
      <c r="BH1" s="26" t="s">
        <v>186</v>
      </c>
      <c r="BI1" s="26" t="s">
        <v>188</v>
      </c>
      <c r="BJ1" s="26" t="s">
        <v>190</v>
      </c>
      <c r="BK1" s="26" t="s">
        <v>192</v>
      </c>
      <c r="BL1" s="26" t="s">
        <v>194</v>
      </c>
      <c r="BM1" s="26" t="s">
        <v>196</v>
      </c>
      <c r="BN1" s="26" t="s">
        <v>198</v>
      </c>
      <c r="BO1" s="26" t="s">
        <v>200</v>
      </c>
      <c r="BP1" s="190" t="s">
        <v>733</v>
      </c>
      <c r="BQ1" s="190" t="s">
        <v>734</v>
      </c>
      <c r="BR1" s="26" t="s">
        <v>204</v>
      </c>
      <c r="BS1" s="26" t="s">
        <v>206</v>
      </c>
      <c r="BT1" s="26" t="s">
        <v>208</v>
      </c>
      <c r="BU1" s="26" t="s">
        <v>210</v>
      </c>
      <c r="BV1" s="26" t="s">
        <v>3</v>
      </c>
      <c r="BW1" s="26" t="s">
        <v>5</v>
      </c>
      <c r="BX1" s="26" t="s">
        <v>7</v>
      </c>
      <c r="BY1" s="26" t="s">
        <v>9</v>
      </c>
      <c r="BZ1" s="26" t="s">
        <v>336</v>
      </c>
      <c r="CA1" s="26" t="s">
        <v>337</v>
      </c>
      <c r="CB1" s="26" t="s">
        <v>11</v>
      </c>
      <c r="CC1" s="26" t="s">
        <v>13</v>
      </c>
      <c r="CD1" s="28" t="s">
        <v>338</v>
      </c>
      <c r="CE1" s="26" t="s">
        <v>339</v>
      </c>
      <c r="CF1" s="26" t="s">
        <v>15</v>
      </c>
      <c r="CG1" s="26" t="s">
        <v>17</v>
      </c>
      <c r="CH1" s="26" t="s">
        <v>19</v>
      </c>
      <c r="CI1" s="26" t="s">
        <v>21</v>
      </c>
      <c r="CJ1" s="26" t="s">
        <v>212</v>
      </c>
      <c r="CK1" s="26" t="s">
        <v>214</v>
      </c>
      <c r="CL1" s="26" t="s">
        <v>216</v>
      </c>
      <c r="CM1" s="26" t="s">
        <v>218</v>
      </c>
      <c r="CN1" s="26" t="s">
        <v>220</v>
      </c>
      <c r="CO1" s="26" t="s">
        <v>222</v>
      </c>
      <c r="CP1" s="26" t="s">
        <v>224</v>
      </c>
    </row>
    <row r="2" spans="1:94" x14ac:dyDescent="0.25">
      <c r="A2" s="5" t="s">
        <v>23</v>
      </c>
      <c r="B2" s="2" t="s">
        <v>22</v>
      </c>
      <c r="C2" s="1" t="s">
        <v>325</v>
      </c>
      <c r="D2" s="188">
        <f>opex_orig!D2</f>
        <v>4.7099999999999998E-6</v>
      </c>
      <c r="E2" s="188">
        <f>opex_orig!E2</f>
        <v>5.4500000000000003E-6</v>
      </c>
      <c r="F2" s="188">
        <f>opex_orig!F2</f>
        <v>2.41E-5</v>
      </c>
      <c r="G2" s="188">
        <f>opex_orig!G2</f>
        <v>1.19E-6</v>
      </c>
      <c r="H2" s="188">
        <f>opex_orig!H2</f>
        <v>1.35E-6</v>
      </c>
      <c r="I2" s="188">
        <f>opex_orig!I2</f>
        <v>3.3900000000000002E-6</v>
      </c>
      <c r="J2" s="188">
        <f>opex_orig!J2</f>
        <v>1.7001830000000001E-3</v>
      </c>
      <c r="K2" s="188">
        <f>opex_orig!K2</f>
        <v>1.27E-5</v>
      </c>
      <c r="L2" s="188">
        <f>opex_orig!L2</f>
        <v>4.1969700000000002E-4</v>
      </c>
      <c r="M2" s="188">
        <f>opex_orig!M2</f>
        <v>4.0421899999999999E-4</v>
      </c>
      <c r="N2" s="188">
        <f>opex_orig!N2</f>
        <v>1.052297E-3</v>
      </c>
      <c r="O2" s="188">
        <f>opex_orig!O2</f>
        <v>1.0026785E-2</v>
      </c>
      <c r="P2" s="188">
        <f>opex_orig!P2</f>
        <v>1.4309069999999999E-3</v>
      </c>
      <c r="Q2" s="188">
        <f>opex_orig!Q2</f>
        <v>2.7500000000000001E-5</v>
      </c>
      <c r="R2" s="188">
        <f>opex_orig!R2</f>
        <v>1.24E-5</v>
      </c>
      <c r="S2" s="188">
        <f>opex_orig!S2</f>
        <v>2.3599999999999999E-6</v>
      </c>
      <c r="T2" s="188">
        <f>opex_orig!T2</f>
        <v>3.0900000000000001E-6</v>
      </c>
      <c r="U2" s="188">
        <f>opex_orig!U2</f>
        <v>2.5299999999999999E-6</v>
      </c>
      <c r="V2" s="188">
        <f>opex_orig!V2</f>
        <v>4.1699999999999999E-6</v>
      </c>
      <c r="W2" s="188">
        <f>opex_orig!W2</f>
        <v>2.7700000000000002E-6</v>
      </c>
      <c r="X2" s="188">
        <f>opex_orig!X2</f>
        <v>1.13E-5</v>
      </c>
      <c r="Y2" s="188">
        <f>opex_orig!Y2</f>
        <v>9.7300000000000004E-7</v>
      </c>
      <c r="Z2" s="188">
        <f>opex_orig!Z2</f>
        <v>1.0100000000000001E-6</v>
      </c>
      <c r="AA2" s="188">
        <f>opex_orig!AA2</f>
        <v>7.1799999999999999E-6</v>
      </c>
      <c r="AB2" s="188">
        <f>opex_orig!$AB2</f>
        <v>2.5635095410803999E-4</v>
      </c>
      <c r="AC2" s="188">
        <f>opex_orig!$AB2</f>
        <v>2.5635095410803999E-4</v>
      </c>
      <c r="AD2" s="188">
        <f>opex_orig!$AB2</f>
        <v>2.5635095410803999E-4</v>
      </c>
      <c r="AE2" s="188">
        <f>opex_orig!$AC2</f>
        <v>8.8072851094694998E-5</v>
      </c>
      <c r="AF2" s="188">
        <f>opex_orig!$AD2</f>
        <v>6.2079689877585098E-5</v>
      </c>
      <c r="AG2" s="188">
        <f>opex_orig!$AD2</f>
        <v>6.2079689877585098E-5</v>
      </c>
      <c r="AH2" s="188">
        <f>opex_orig!$AD2</f>
        <v>6.2079689877585098E-5</v>
      </c>
      <c r="AI2" s="188">
        <f>opex_orig!AE2</f>
        <v>5.0300000000000003E-5</v>
      </c>
      <c r="AJ2" s="188">
        <f>opex_orig!AF2</f>
        <v>6.3399999999999996E-5</v>
      </c>
      <c r="AK2" s="188">
        <f>opex_orig!AG2</f>
        <v>1.95E-6</v>
      </c>
      <c r="AL2" s="188">
        <f>opex_orig!AH2</f>
        <v>8.4399999999999999E-7</v>
      </c>
      <c r="AM2" s="188">
        <f>opex_orig!AI2</f>
        <v>2.83E-6</v>
      </c>
      <c r="AN2" s="188">
        <f>opex_orig!AJ2</f>
        <v>5.4899999999999995E-7</v>
      </c>
      <c r="AO2" s="188">
        <f>opex_orig!AK2</f>
        <v>3.4300000000000002E-6</v>
      </c>
      <c r="AP2" s="188">
        <f>opex_orig!$AL2</f>
        <v>1.32070289340045E-6</v>
      </c>
      <c r="AQ2" s="188">
        <f>opex_orig!$AL2</f>
        <v>1.32070289340045E-6</v>
      </c>
      <c r="AR2" s="188">
        <f>opex_orig!$AL2</f>
        <v>1.32070289340045E-6</v>
      </c>
      <c r="AS2" s="188">
        <f>opex_orig!$AM2</f>
        <v>2.2462385770093401E-6</v>
      </c>
      <c r="AT2" s="188">
        <f>opex_orig!AN2</f>
        <v>5.3600000000000004E-6</v>
      </c>
      <c r="AU2" s="188">
        <f>opex_orig!$AO2</f>
        <v>6.0340918307895499E-7</v>
      </c>
      <c r="AV2" s="188">
        <f>opex_orig!$AO2</f>
        <v>6.0340918307895499E-7</v>
      </c>
      <c r="AW2" s="188">
        <f>opex_orig!$AO2</f>
        <v>6.0340918307895499E-7</v>
      </c>
      <c r="AX2" s="188">
        <f>opex_orig!$AP2</f>
        <v>9.4895279719534805E-7</v>
      </c>
      <c r="AY2" s="188">
        <f>opex_orig!AQ2</f>
        <v>1.2699999999999999E-6</v>
      </c>
      <c r="AZ2" s="188">
        <f>opex_orig!AR2</f>
        <v>0</v>
      </c>
      <c r="BA2" s="188">
        <f>opex_orig!AS2</f>
        <v>9.8599999999999996E-7</v>
      </c>
      <c r="BB2" s="188">
        <f>opex_orig!AT2</f>
        <v>5.8899999999999999E-7</v>
      </c>
      <c r="BC2" s="188">
        <f>opex_orig!AU2</f>
        <v>1.3400000000000001E-6</v>
      </c>
      <c r="BD2" s="188">
        <f>opex_orig!AV2</f>
        <v>1.3200000000000001E-6</v>
      </c>
      <c r="BE2" s="188">
        <f>opex_orig!AW2</f>
        <v>9.0100000000000003E-7</v>
      </c>
      <c r="BF2" s="188">
        <f>opex_orig!AX2</f>
        <v>0</v>
      </c>
      <c r="BG2" s="188">
        <f>opex_orig!AY2</f>
        <v>5.9000000000000003E-6</v>
      </c>
      <c r="BH2" s="188">
        <f>opex_orig!AZ2</f>
        <v>0</v>
      </c>
      <c r="BI2" s="188">
        <f>opex_orig!BA2</f>
        <v>5.5400000000000001E-7</v>
      </c>
      <c r="BJ2" s="188">
        <f>opex_orig!BB2</f>
        <v>4.15E-7</v>
      </c>
      <c r="BK2" s="188">
        <f>opex_orig!BC2</f>
        <v>7.7899999999999997E-7</v>
      </c>
      <c r="BL2" s="188">
        <f>opex_orig!BD2</f>
        <v>2.5800000000000001E-7</v>
      </c>
      <c r="BM2" s="188">
        <f>opex_orig!BE2</f>
        <v>1.29E-5</v>
      </c>
      <c r="BN2" s="188">
        <f>opex_orig!BF2</f>
        <v>6.5000000000000002E-7</v>
      </c>
      <c r="BO2" s="188">
        <f>opex_orig!BG2</f>
        <v>3.3899999999999997E-5</v>
      </c>
      <c r="BP2" s="188">
        <f>opex_orig!$BH2</f>
        <v>9.2354873016701E-7</v>
      </c>
      <c r="BQ2" s="188">
        <f>opex_orig!$BH2</f>
        <v>9.2354873016701E-7</v>
      </c>
      <c r="BR2" s="188">
        <f>opex_orig!BI2</f>
        <v>6.92E-7</v>
      </c>
      <c r="BS2" s="188">
        <f>opex_orig!BJ2</f>
        <v>1.48E-6</v>
      </c>
      <c r="BT2" s="188">
        <f>opex_orig!BK2</f>
        <v>2.8524300000000002E-4</v>
      </c>
      <c r="BU2" s="188">
        <f>opex_orig!BL2</f>
        <v>0</v>
      </c>
      <c r="BV2" s="27">
        <f>opex_orig!BM2</f>
        <v>4.0059935488491897E-6</v>
      </c>
      <c r="BW2" s="27">
        <f>opex_orig!BN2</f>
        <v>2.3666686553420099E-5</v>
      </c>
      <c r="BX2" s="27">
        <f>opex_orig!BO2</f>
        <v>6.2480255108572701E-7</v>
      </c>
      <c r="BY2" s="27">
        <f>opex_orig!BP2</f>
        <v>2.5199845595808698E-6</v>
      </c>
      <c r="BZ2" s="27">
        <f>opex_orig!BQ2</f>
        <v>8.0720609694100406E-6</v>
      </c>
      <c r="CA2" s="27">
        <f>opex_orig!BR2</f>
        <v>1.70104992858016E-7</v>
      </c>
      <c r="CB2" s="27">
        <f>opex_orig!BS2</f>
        <v>3.14424888827703E-5</v>
      </c>
      <c r="CC2" s="27">
        <f>opex_orig!BT2</f>
        <v>4.2065437282019902E-7</v>
      </c>
      <c r="CD2" s="27">
        <f>opex_orig!BU2</f>
        <v>3.0333085193102798E-7</v>
      </c>
      <c r="CE2" s="27">
        <f>opex_orig!BV2</f>
        <v>3.0333085193102899E-7</v>
      </c>
      <c r="CF2" s="27">
        <f>opex_orig!BW2</f>
        <v>1.51719488873251E-6</v>
      </c>
      <c r="CG2" s="27">
        <f>opex_orig!BX2</f>
        <v>3.8051596501042501E-7</v>
      </c>
      <c r="CH2" s="27">
        <f>opex_orig!BY2</f>
        <v>3.9724160144309002E-5</v>
      </c>
      <c r="CI2" s="27">
        <f>opex_orig!Y2</f>
        <v>9.7300000000000004E-7</v>
      </c>
      <c r="CJ2" s="27">
        <f>opex_orig!Z2</f>
        <v>1.0100000000000001E-6</v>
      </c>
      <c r="CK2" s="27">
        <f>opex_orig!AA2</f>
        <v>7.1799999999999999E-6</v>
      </c>
      <c r="CL2" s="27">
        <f>opex_orig!AB2</f>
        <v>2.5635095410803999E-4</v>
      </c>
      <c r="CM2" s="27">
        <f>opex_orig!AC2</f>
        <v>8.8072851094694998E-5</v>
      </c>
      <c r="CN2" s="27">
        <f>opex_orig!AD2</f>
        <v>6.2079689877585098E-5</v>
      </c>
      <c r="CO2" s="27">
        <f>opex_orig!AE2</f>
        <v>5.0300000000000003E-5</v>
      </c>
      <c r="CP2" s="27">
        <f>opex_orig!AF2</f>
        <v>6.3399999999999996E-5</v>
      </c>
    </row>
    <row r="3" spans="1:94" x14ac:dyDescent="0.25">
      <c r="A3" s="5" t="s">
        <v>25</v>
      </c>
      <c r="B3" s="2" t="s">
        <v>24</v>
      </c>
      <c r="C3" s="1" t="s">
        <v>325</v>
      </c>
      <c r="D3" s="188">
        <f>opex_orig!D3</f>
        <v>4.5700000000000003E-6</v>
      </c>
      <c r="E3" s="188">
        <f>opex_orig!E3</f>
        <v>6.7900000000000002E-6</v>
      </c>
      <c r="F3" s="188">
        <f>opex_orig!F3</f>
        <v>2.3300000000000001E-5</v>
      </c>
      <c r="G3" s="188">
        <f>opex_orig!G3</f>
        <v>6.6400000000000002E-7</v>
      </c>
      <c r="H3" s="188">
        <f>opex_orig!H3</f>
        <v>6.75E-7</v>
      </c>
      <c r="I3" s="188">
        <f>opex_orig!I3</f>
        <v>3.6200000000000001E-6</v>
      </c>
      <c r="J3" s="188">
        <f>opex_orig!J3</f>
        <v>1.8099999999999999E-5</v>
      </c>
      <c r="K3" s="188">
        <f>opex_orig!K3</f>
        <v>2.0700000000000001E-6</v>
      </c>
      <c r="L3" s="188">
        <f>opex_orig!L3</f>
        <v>3.0303534999999999E-2</v>
      </c>
      <c r="M3" s="188">
        <f>opex_orig!M3</f>
        <v>3.5543452000000003E-2</v>
      </c>
      <c r="N3" s="188">
        <f>opex_orig!N3</f>
        <v>3.2944673000000001E-2</v>
      </c>
      <c r="O3" s="188">
        <f>opex_orig!O3</f>
        <v>1.2748373E-2</v>
      </c>
      <c r="P3" s="188">
        <f>opex_orig!P3</f>
        <v>2.451342E-3</v>
      </c>
      <c r="Q3" s="188">
        <f>opex_orig!Q3</f>
        <v>9.9500000000000006E-5</v>
      </c>
      <c r="R3" s="188">
        <f>opex_orig!R3</f>
        <v>1.8499999999999999E-5</v>
      </c>
      <c r="S3" s="188">
        <f>opex_orig!S3</f>
        <v>2.8799999999999999E-5</v>
      </c>
      <c r="T3" s="188">
        <f>opex_orig!T3</f>
        <v>2.6299999999999999E-5</v>
      </c>
      <c r="U3" s="188">
        <f>opex_orig!U3</f>
        <v>4.7099999999999998E-6</v>
      </c>
      <c r="V3" s="188">
        <f>opex_orig!V3</f>
        <v>4.9400000000000001E-6</v>
      </c>
      <c r="W3" s="188">
        <f>opex_orig!W3</f>
        <v>2.9500000000000001E-6</v>
      </c>
      <c r="X3" s="188">
        <f>opex_orig!X3</f>
        <v>5.2800000000000003E-6</v>
      </c>
      <c r="Y3" s="188">
        <f>opex_orig!Y3</f>
        <v>8.6400000000000001E-7</v>
      </c>
      <c r="Z3" s="188">
        <f>opex_orig!Z3</f>
        <v>4.2872899999999998E-4</v>
      </c>
      <c r="AA3" s="188">
        <f>opex_orig!AA3</f>
        <v>3.7000000000000002E-6</v>
      </c>
      <c r="AB3" s="188">
        <f>opex_orig!$AB3</f>
        <v>6.9137020226511402E-4</v>
      </c>
      <c r="AC3" s="188">
        <f>opex_orig!$AB3</f>
        <v>6.9137020226511402E-4</v>
      </c>
      <c r="AD3" s="188">
        <f>opex_orig!$AB3</f>
        <v>6.9137020226511402E-4</v>
      </c>
      <c r="AE3" s="188">
        <f>opex_orig!$AC3</f>
        <v>1.08333817586238E-2</v>
      </c>
      <c r="AF3" s="188">
        <f>opex_orig!$AD3</f>
        <v>5.3969859103065601E-3</v>
      </c>
      <c r="AG3" s="188">
        <f>opex_orig!$AD3</f>
        <v>5.3969859103065601E-3</v>
      </c>
      <c r="AH3" s="188">
        <f>opex_orig!$AD3</f>
        <v>5.3969859103065601E-3</v>
      </c>
      <c r="AI3" s="188">
        <f>opex_orig!AE3</f>
        <v>5.3668919999999998E-3</v>
      </c>
      <c r="AJ3" s="188">
        <f>opex_orig!AF3</f>
        <v>4.5390669999999999E-3</v>
      </c>
      <c r="AK3" s="188">
        <f>opex_orig!AG3</f>
        <v>1.6099999999999998E-5</v>
      </c>
      <c r="AL3" s="188">
        <f>opex_orig!AH3</f>
        <v>1.1800000000000001E-5</v>
      </c>
      <c r="AM3" s="188">
        <f>opex_orig!AI3</f>
        <v>4.6399999999999996E-6</v>
      </c>
      <c r="AN3" s="188">
        <f>opex_orig!AJ3</f>
        <v>3.1700000000000001E-6</v>
      </c>
      <c r="AO3" s="188">
        <f>opex_orig!AK3</f>
        <v>5.4999999999999999E-6</v>
      </c>
      <c r="AP3" s="188">
        <f>opex_orig!$AL3</f>
        <v>3.6502467033151902E-6</v>
      </c>
      <c r="AQ3" s="188">
        <f>opex_orig!$AL3</f>
        <v>3.6502467033151902E-6</v>
      </c>
      <c r="AR3" s="188">
        <f>opex_orig!$AL3</f>
        <v>3.6502467033151902E-6</v>
      </c>
      <c r="AS3" s="188">
        <f>opex_orig!$AM3</f>
        <v>3.14474142906157E-6</v>
      </c>
      <c r="AT3" s="188">
        <f>opex_orig!AN3</f>
        <v>1.1199999999999999E-5</v>
      </c>
      <c r="AU3" s="188">
        <f>opex_orig!$AO3</f>
        <v>1.75393432855517E-6</v>
      </c>
      <c r="AV3" s="188">
        <f>opex_orig!$AO3</f>
        <v>1.75393432855517E-6</v>
      </c>
      <c r="AW3" s="188">
        <f>opex_orig!$AO3</f>
        <v>1.75393432855517E-6</v>
      </c>
      <c r="AX3" s="188">
        <f>opex_orig!$AP3</f>
        <v>2.0158827936232199E-6</v>
      </c>
      <c r="AY3" s="188">
        <f>opex_orig!AQ3</f>
        <v>3.0800000000000002E-6</v>
      </c>
      <c r="AZ3" s="188">
        <f>opex_orig!AR3</f>
        <v>0</v>
      </c>
      <c r="BA3" s="188">
        <f>opex_orig!AS3</f>
        <v>5.5799999999999999E-6</v>
      </c>
      <c r="BB3" s="188">
        <f>opex_orig!AT3</f>
        <v>4.7199999999999997E-6</v>
      </c>
      <c r="BC3" s="188">
        <f>opex_orig!AU3</f>
        <v>1.5E-6</v>
      </c>
      <c r="BD3" s="188">
        <f>opex_orig!AV3</f>
        <v>5.3499999999999996E-7</v>
      </c>
      <c r="BE3" s="188">
        <f>opex_orig!AW3</f>
        <v>1.5600000000000001E-6</v>
      </c>
      <c r="BF3" s="188">
        <f>opex_orig!AX3</f>
        <v>0</v>
      </c>
      <c r="BG3" s="188">
        <f>opex_orig!AY3</f>
        <v>2.7199999999999998E-6</v>
      </c>
      <c r="BH3" s="188">
        <f>opex_orig!AZ3</f>
        <v>0</v>
      </c>
      <c r="BI3" s="188">
        <f>opex_orig!BA3</f>
        <v>1.22E-6</v>
      </c>
      <c r="BJ3" s="188">
        <f>opex_orig!BB3</f>
        <v>1.2100000000000001E-6</v>
      </c>
      <c r="BK3" s="188">
        <f>opex_orig!BC3</f>
        <v>2.3800000000000001E-6</v>
      </c>
      <c r="BL3" s="188">
        <f>opex_orig!BD3</f>
        <v>3.7400000000000002E-6</v>
      </c>
      <c r="BM3" s="188">
        <f>opex_orig!BE3</f>
        <v>4.3699999999999997E-6</v>
      </c>
      <c r="BN3" s="188">
        <f>opex_orig!BF3</f>
        <v>1.66E-6</v>
      </c>
      <c r="BO3" s="188">
        <f>opex_orig!BG3</f>
        <v>1.4399999999999999E-5</v>
      </c>
      <c r="BP3" s="188">
        <f>opex_orig!$BH3</f>
        <v>1.3095730095945599E-6</v>
      </c>
      <c r="BQ3" s="188">
        <f>opex_orig!$BH3</f>
        <v>1.3095730095945599E-6</v>
      </c>
      <c r="BR3" s="188">
        <f>opex_orig!BI3</f>
        <v>2.4499999999999998E-6</v>
      </c>
      <c r="BS3" s="188">
        <f>opex_orig!BJ3</f>
        <v>1.24249E-4</v>
      </c>
      <c r="BT3" s="188">
        <f>opex_orig!BK3</f>
        <v>7.7799999999999994E-5</v>
      </c>
      <c r="BU3" s="188">
        <f>opex_orig!BL3</f>
        <v>0</v>
      </c>
      <c r="BV3" s="27">
        <f>opex_orig!BM3</f>
        <v>8.1506668659692803E-6</v>
      </c>
      <c r="BW3" s="27">
        <f>opex_orig!BN3</f>
        <v>3.81311848483976E-5</v>
      </c>
      <c r="BX3" s="27">
        <f>opex_orig!BO3</f>
        <v>1.9405806420825001E-6</v>
      </c>
      <c r="BY3" s="27">
        <f>opex_orig!BP3</f>
        <v>5.9106631693904599E-6</v>
      </c>
      <c r="BZ3" s="27">
        <f>opex_orig!BQ3</f>
        <v>3.5311531227553401E-6</v>
      </c>
      <c r="CA3" s="27">
        <f>opex_orig!BR3</f>
        <v>1.0981743401556701E-7</v>
      </c>
      <c r="CB3" s="27">
        <f>opex_orig!BS3</f>
        <v>2.0882865983200501E-5</v>
      </c>
      <c r="CC3" s="27">
        <f>opex_orig!BT3</f>
        <v>5.8279733294884198E-7</v>
      </c>
      <c r="CD3" s="27">
        <f>opex_orig!BU3</f>
        <v>7.4809859392345E-7</v>
      </c>
      <c r="CE3" s="27">
        <f>opex_orig!BV3</f>
        <v>7.4809859392345095E-7</v>
      </c>
      <c r="CF3" s="27">
        <f>opex_orig!BW3</f>
        <v>7.4116903318488501E-6</v>
      </c>
      <c r="CG3" s="27">
        <f>opex_orig!BX3</f>
        <v>4.88461904935668E-7</v>
      </c>
      <c r="CH3" s="27">
        <f>opex_orig!BY3</f>
        <v>3.4349817764955398E-6</v>
      </c>
      <c r="CI3" s="27">
        <f>opex_orig!Y3</f>
        <v>8.6400000000000001E-7</v>
      </c>
      <c r="CJ3" s="27">
        <f>opex_orig!Z3</f>
        <v>4.2872899999999998E-4</v>
      </c>
      <c r="CK3" s="27">
        <f>opex_orig!AA3</f>
        <v>3.7000000000000002E-6</v>
      </c>
      <c r="CL3" s="27">
        <f>opex_orig!AB3</f>
        <v>6.9137020226511402E-4</v>
      </c>
      <c r="CM3" s="27">
        <f>opex_orig!AC3</f>
        <v>1.08333817586238E-2</v>
      </c>
      <c r="CN3" s="27">
        <f>opex_orig!AD3</f>
        <v>5.3969859103065601E-3</v>
      </c>
      <c r="CO3" s="27">
        <f>opex_orig!AE3</f>
        <v>5.3668919999999998E-3</v>
      </c>
      <c r="CP3" s="27">
        <f>opex_orig!AF3</f>
        <v>4.5390669999999999E-3</v>
      </c>
    </row>
    <row r="4" spans="1:94" x14ac:dyDescent="0.25">
      <c r="A4" s="5" t="s">
        <v>27</v>
      </c>
      <c r="B4" s="2" t="s">
        <v>26</v>
      </c>
      <c r="C4" s="1" t="s">
        <v>325</v>
      </c>
      <c r="D4" s="188">
        <f>opex_orig!D4</f>
        <v>5.6400000000000002E-6</v>
      </c>
      <c r="E4" s="188">
        <f>opex_orig!E4</f>
        <v>5.4299999999999997E-6</v>
      </c>
      <c r="F4" s="188">
        <f>opex_orig!F4</f>
        <v>1.4800000000000001E-5</v>
      </c>
      <c r="G4" s="188">
        <f>opex_orig!G4</f>
        <v>1.0899999999999999E-6</v>
      </c>
      <c r="H4" s="188">
        <f>opex_orig!H4</f>
        <v>1.22E-6</v>
      </c>
      <c r="I4" s="188">
        <f>opex_orig!I4</f>
        <v>4.7199999999999997E-6</v>
      </c>
      <c r="J4" s="188">
        <f>opex_orig!J4</f>
        <v>1.5800000000000001E-5</v>
      </c>
      <c r="K4" s="188">
        <f>opex_orig!K4</f>
        <v>2.7800000000000001E-6</v>
      </c>
      <c r="L4" s="188">
        <f>opex_orig!L4</f>
        <v>4.4177942999999997E-2</v>
      </c>
      <c r="M4" s="188">
        <f>opex_orig!M4</f>
        <v>5.2844980999999999E-2</v>
      </c>
      <c r="N4" s="188">
        <f>opex_orig!N4</f>
        <v>5.5589567999999999E-2</v>
      </c>
      <c r="O4" s="188">
        <f>opex_orig!O4</f>
        <v>9.8015359999999996E-3</v>
      </c>
      <c r="P4" s="188">
        <f>opex_orig!P4</f>
        <v>1.7074950000000001E-3</v>
      </c>
      <c r="Q4" s="188">
        <f>opex_orig!Q4</f>
        <v>1.21818E-4</v>
      </c>
      <c r="R4" s="188">
        <f>opex_orig!R4</f>
        <v>3.3599999999999997E-5</v>
      </c>
      <c r="S4" s="188">
        <f>opex_orig!S4</f>
        <v>2.4300000000000001E-5</v>
      </c>
      <c r="T4" s="188">
        <f>opex_orig!T4</f>
        <v>2.34E-5</v>
      </c>
      <c r="U4" s="188">
        <f>opex_orig!U4</f>
        <v>1.0699999999999999E-5</v>
      </c>
      <c r="V4" s="188">
        <f>opex_orig!V4</f>
        <v>1.3200000000000001E-5</v>
      </c>
      <c r="W4" s="188">
        <f>opex_orig!W4</f>
        <v>3.2200000000000001E-6</v>
      </c>
      <c r="X4" s="188">
        <f>opex_orig!X4</f>
        <v>3.3500000000000001E-6</v>
      </c>
      <c r="Y4" s="188">
        <f>opex_orig!Y4</f>
        <v>1.7099999999999999E-6</v>
      </c>
      <c r="Z4" s="188">
        <f>opex_orig!Z4</f>
        <v>1.8328299999999999E-4</v>
      </c>
      <c r="AA4" s="188">
        <f>opex_orig!AA4</f>
        <v>1.03E-5</v>
      </c>
      <c r="AB4" s="188">
        <f>opex_orig!$AB4</f>
        <v>3.9091818214950498E-4</v>
      </c>
      <c r="AC4" s="188">
        <f>opex_orig!$AB4</f>
        <v>3.9091818214950498E-4</v>
      </c>
      <c r="AD4" s="188">
        <f>opex_orig!$AB4</f>
        <v>3.9091818214950498E-4</v>
      </c>
      <c r="AE4" s="188">
        <f>opex_orig!$AC4</f>
        <v>7.6306391172149398E-3</v>
      </c>
      <c r="AF4" s="188">
        <f>opex_orig!$AD4</f>
        <v>3.9053434058628502E-3</v>
      </c>
      <c r="AG4" s="188">
        <f>opex_orig!$AD4</f>
        <v>3.9053434058628502E-3</v>
      </c>
      <c r="AH4" s="188">
        <f>opex_orig!$AD4</f>
        <v>3.9053434058628502E-3</v>
      </c>
      <c r="AI4" s="188">
        <f>opex_orig!AE4</f>
        <v>3.8017530000000002E-3</v>
      </c>
      <c r="AJ4" s="188">
        <f>opex_orig!AF4</f>
        <v>3.569301E-3</v>
      </c>
      <c r="AK4" s="188">
        <f>opex_orig!AG4</f>
        <v>5.9800000000000003E-6</v>
      </c>
      <c r="AL4" s="188">
        <f>opex_orig!AH4</f>
        <v>4.0799999999999999E-6</v>
      </c>
      <c r="AM4" s="188">
        <f>opex_orig!AI4</f>
        <v>4.16E-6</v>
      </c>
      <c r="AN4" s="188">
        <f>opex_orig!AJ4</f>
        <v>2.17E-6</v>
      </c>
      <c r="AO4" s="188">
        <f>opex_orig!AK4</f>
        <v>5.1599999999999997E-6</v>
      </c>
      <c r="AP4" s="188">
        <f>opex_orig!$AL4</f>
        <v>2.8878020605785502E-6</v>
      </c>
      <c r="AQ4" s="188">
        <f>opex_orig!$AL4</f>
        <v>2.8878020605785502E-6</v>
      </c>
      <c r="AR4" s="188">
        <f>opex_orig!$AL4</f>
        <v>2.8878020605785502E-6</v>
      </c>
      <c r="AS4" s="188">
        <f>opex_orig!$AM4</f>
        <v>3.4022056056284901E-6</v>
      </c>
      <c r="AT4" s="188">
        <f>opex_orig!AN4</f>
        <v>7.8900000000000007E-6</v>
      </c>
      <c r="AU4" s="188">
        <f>opex_orig!$AO4</f>
        <v>1.54396575275685E-6</v>
      </c>
      <c r="AV4" s="188">
        <f>opex_orig!$AO4</f>
        <v>1.54396575275685E-6</v>
      </c>
      <c r="AW4" s="188">
        <f>opex_orig!$AO4</f>
        <v>1.54396575275685E-6</v>
      </c>
      <c r="AX4" s="188">
        <f>opex_orig!$AP4</f>
        <v>2.0200053433418101E-6</v>
      </c>
      <c r="AY4" s="188">
        <f>opex_orig!AQ4</f>
        <v>2.8700000000000001E-6</v>
      </c>
      <c r="AZ4" s="188">
        <f>opex_orig!AR4</f>
        <v>0</v>
      </c>
      <c r="BA4" s="188">
        <f>opex_orig!AS4</f>
        <v>3.23E-6</v>
      </c>
      <c r="BB4" s="188">
        <f>opex_orig!AT4</f>
        <v>2.6199999999999999E-6</v>
      </c>
      <c r="BC4" s="188">
        <f>opex_orig!AU4</f>
        <v>1.8700000000000001E-6</v>
      </c>
      <c r="BD4" s="188">
        <f>opex_orig!AV4</f>
        <v>1.5999999999999999E-6</v>
      </c>
      <c r="BE4" s="188">
        <f>opex_orig!AW4</f>
        <v>1.79E-6</v>
      </c>
      <c r="BF4" s="188">
        <f>opex_orig!AX4</f>
        <v>0</v>
      </c>
      <c r="BG4" s="188">
        <f>opex_orig!AY4</f>
        <v>5.7899999999999996E-6</v>
      </c>
      <c r="BH4" s="188">
        <f>opex_orig!AZ4</f>
        <v>0</v>
      </c>
      <c r="BI4" s="188">
        <f>opex_orig!BA4</f>
        <v>1.4899999999999999E-6</v>
      </c>
      <c r="BJ4" s="188">
        <f>opex_orig!BB4</f>
        <v>8.6099999999999999E-7</v>
      </c>
      <c r="BK4" s="188">
        <f>opex_orig!BC4</f>
        <v>2.6299999999999998E-6</v>
      </c>
      <c r="BL4" s="188">
        <f>opex_orig!BD4</f>
        <v>3.2600000000000001E-6</v>
      </c>
      <c r="BM4" s="188">
        <f>opex_orig!BE4</f>
        <v>3.9500000000000003E-6</v>
      </c>
      <c r="BN4" s="188">
        <f>opex_orig!BF4</f>
        <v>1.6899999999999999E-6</v>
      </c>
      <c r="BO4" s="188">
        <f>opex_orig!BG4</f>
        <v>8.0600000000000008E-6</v>
      </c>
      <c r="BP4" s="188">
        <f>opex_orig!$BH4</f>
        <v>2.7738992921792502E-6</v>
      </c>
      <c r="BQ4" s="188">
        <f>opex_orig!$BH4</f>
        <v>2.7738992921792502E-6</v>
      </c>
      <c r="BR4" s="188">
        <f>opex_orig!BI4</f>
        <v>2.0600000000000002E-6</v>
      </c>
      <c r="BS4" s="188">
        <f>opex_orig!BJ4</f>
        <v>5.6400000000000002E-5</v>
      </c>
      <c r="BT4" s="188">
        <f>opex_orig!BK4</f>
        <v>4.6499999999999999E-5</v>
      </c>
      <c r="BU4" s="188">
        <f>opex_orig!BL4</f>
        <v>0</v>
      </c>
      <c r="BV4" s="27">
        <f>opex_orig!BM4</f>
        <v>9.2554371606333499E-6</v>
      </c>
      <c r="BW4" s="27">
        <f>opex_orig!BN4</f>
        <v>3.0004397944589501E-5</v>
      </c>
      <c r="BX4" s="27">
        <f>opex_orig!BO4</f>
        <v>2.71744830176484E-6</v>
      </c>
      <c r="BY4" s="27">
        <f>opex_orig!BP4</f>
        <v>6.7608806709892103E-6</v>
      </c>
      <c r="BZ4" s="27">
        <f>opex_orig!BQ4</f>
        <v>9.0764697549774002E-6</v>
      </c>
      <c r="CA4" s="27">
        <f>opex_orig!BR4</f>
        <v>2.54580738085961E-7</v>
      </c>
      <c r="CB4" s="27">
        <f>opex_orig!BS4</f>
        <v>2.8600295128253999E-5</v>
      </c>
      <c r="CC4" s="27">
        <f>opex_orig!BT4</f>
        <v>9.4552827812069497E-7</v>
      </c>
      <c r="CD4" s="27">
        <f>opex_orig!BU4</f>
        <v>3.0021769808777601E-6</v>
      </c>
      <c r="CE4" s="27">
        <f>opex_orig!BV4</f>
        <v>3.0021769808777601E-6</v>
      </c>
      <c r="CF4" s="27">
        <f>opex_orig!BW4</f>
        <v>8.6419249570513802E-6</v>
      </c>
      <c r="CG4" s="27">
        <f>opex_orig!BX4</f>
        <v>1.01706811526365E-6</v>
      </c>
      <c r="CH4" s="27">
        <f>opex_orig!BY4</f>
        <v>1.48411691079235E-5</v>
      </c>
      <c r="CI4" s="27">
        <f>opex_orig!Y4</f>
        <v>1.7099999999999999E-6</v>
      </c>
      <c r="CJ4" s="27">
        <f>opex_orig!Z4</f>
        <v>1.8328299999999999E-4</v>
      </c>
      <c r="CK4" s="27">
        <f>opex_orig!AA4</f>
        <v>1.03E-5</v>
      </c>
      <c r="CL4" s="27">
        <f>opex_orig!AB4</f>
        <v>3.9091818214950498E-4</v>
      </c>
      <c r="CM4" s="27">
        <f>opex_orig!AC4</f>
        <v>7.6306391172149398E-3</v>
      </c>
      <c r="CN4" s="27">
        <f>opex_orig!AD4</f>
        <v>3.9053434058628502E-3</v>
      </c>
      <c r="CO4" s="27">
        <f>opex_orig!AE4</f>
        <v>3.8017530000000002E-3</v>
      </c>
      <c r="CP4" s="27">
        <f>opex_orig!AF4</f>
        <v>3.569301E-3</v>
      </c>
    </row>
    <row r="5" spans="1:94" x14ac:dyDescent="0.25">
      <c r="A5" s="5" t="s">
        <v>29</v>
      </c>
      <c r="B5" s="2" t="s">
        <v>28</v>
      </c>
      <c r="C5" s="1" t="s">
        <v>325</v>
      </c>
      <c r="D5" s="188">
        <f>opex_orig!D5</f>
        <v>2.3799999999999999E-5</v>
      </c>
      <c r="E5" s="188">
        <f>opex_orig!E5</f>
        <v>3.9799999999999998E-5</v>
      </c>
      <c r="F5" s="188">
        <f>opex_orig!F5</f>
        <v>1.05468E-4</v>
      </c>
      <c r="G5" s="188">
        <f>opex_orig!G5</f>
        <v>3.8999999999999999E-6</v>
      </c>
      <c r="H5" s="188">
        <f>opex_orig!H5</f>
        <v>3.19E-6</v>
      </c>
      <c r="I5" s="188">
        <f>opex_orig!I5</f>
        <v>2.37E-5</v>
      </c>
      <c r="J5" s="188">
        <f>opex_orig!J5</f>
        <v>3.1600000000000002E-5</v>
      </c>
      <c r="K5" s="188">
        <f>opex_orig!K5</f>
        <v>7.1600000000000001E-6</v>
      </c>
      <c r="L5" s="188">
        <f>opex_orig!L5</f>
        <v>4.8133914E-2</v>
      </c>
      <c r="M5" s="188">
        <f>opex_orig!M5</f>
        <v>4.5783371000000003E-2</v>
      </c>
      <c r="N5" s="188">
        <f>opex_orig!N5</f>
        <v>3.9651406E-2</v>
      </c>
      <c r="O5" s="188">
        <f>opex_orig!O5</f>
        <v>2.917003E-3</v>
      </c>
      <c r="P5" s="188">
        <f>opex_orig!P5</f>
        <v>4.58932E-4</v>
      </c>
      <c r="Q5" s="188">
        <f>opex_orig!Q5</f>
        <v>2.2037900000000001E-4</v>
      </c>
      <c r="R5" s="188">
        <f>opex_orig!R5</f>
        <v>5.52E-5</v>
      </c>
      <c r="S5" s="188">
        <f>opex_orig!S5</f>
        <v>1.9400000000000001E-5</v>
      </c>
      <c r="T5" s="188">
        <f>opex_orig!T5</f>
        <v>2.55E-5</v>
      </c>
      <c r="U5" s="188">
        <f>opex_orig!U5</f>
        <v>5.0099999999999998E-5</v>
      </c>
      <c r="V5" s="188">
        <f>opex_orig!V5</f>
        <v>8.5000000000000006E-5</v>
      </c>
      <c r="W5" s="188">
        <f>opex_orig!W5</f>
        <v>1.73E-5</v>
      </c>
      <c r="X5" s="188">
        <f>opex_orig!X5</f>
        <v>1.33E-5</v>
      </c>
      <c r="Y5" s="188">
        <f>opex_orig!Y5</f>
        <v>6.7499999999999997E-6</v>
      </c>
      <c r="Z5" s="188">
        <f>opex_orig!Z5</f>
        <v>4.3512999999999999E-4</v>
      </c>
      <c r="AA5" s="188">
        <f>opex_orig!AA5</f>
        <v>3.0700000000000001E-5</v>
      </c>
      <c r="AB5" s="188">
        <f>opex_orig!$AB5</f>
        <v>2.6398995416881997E-4</v>
      </c>
      <c r="AC5" s="188">
        <f>opex_orig!$AB5</f>
        <v>2.6398995416881997E-4</v>
      </c>
      <c r="AD5" s="188">
        <f>opex_orig!$AB5</f>
        <v>2.6398995416881997E-4</v>
      </c>
      <c r="AE5" s="188">
        <f>opex_orig!$AC5</f>
        <v>2.6223217922986901E-3</v>
      </c>
      <c r="AF5" s="188">
        <f>opex_orig!$AD5</f>
        <v>1.47731003015292E-3</v>
      </c>
      <c r="AG5" s="188">
        <f>opex_orig!$AD5</f>
        <v>1.47731003015292E-3</v>
      </c>
      <c r="AH5" s="188">
        <f>opex_orig!$AD5</f>
        <v>1.47731003015292E-3</v>
      </c>
      <c r="AI5" s="188">
        <f>opex_orig!AE5</f>
        <v>1.492461E-3</v>
      </c>
      <c r="AJ5" s="188">
        <f>opex_orig!AF5</f>
        <v>1.382805E-3</v>
      </c>
      <c r="AK5" s="188">
        <f>opex_orig!AG5</f>
        <v>5.2099999999999999E-5</v>
      </c>
      <c r="AL5" s="188">
        <f>opex_orig!AH5</f>
        <v>4.1699999999999997E-5</v>
      </c>
      <c r="AM5" s="188">
        <f>opex_orig!AI5</f>
        <v>1.52E-5</v>
      </c>
      <c r="AN5" s="188">
        <f>opex_orig!AJ5</f>
        <v>2.58E-5</v>
      </c>
      <c r="AO5" s="188">
        <f>opex_orig!AK5</f>
        <v>3.26E-5</v>
      </c>
      <c r="AP5" s="188">
        <f>opex_orig!$AL5</f>
        <v>2.13902961806828E-5</v>
      </c>
      <c r="AQ5" s="188">
        <f>opex_orig!$AL5</f>
        <v>2.13902961806828E-5</v>
      </c>
      <c r="AR5" s="188">
        <f>opex_orig!$AL5</f>
        <v>2.13902961806828E-5</v>
      </c>
      <c r="AS5" s="188">
        <f>opex_orig!$AM5</f>
        <v>2.0163970879711499E-5</v>
      </c>
      <c r="AT5" s="188">
        <f>opex_orig!AN5</f>
        <v>2.9799999999999999E-5</v>
      </c>
      <c r="AU5" s="188">
        <f>opex_orig!$AO5</f>
        <v>1.1329822884584199E-5</v>
      </c>
      <c r="AV5" s="188">
        <f>opex_orig!$AO5</f>
        <v>1.1329822884584199E-5</v>
      </c>
      <c r="AW5" s="188">
        <f>opex_orig!$AO5</f>
        <v>1.1329822884584199E-5</v>
      </c>
      <c r="AX5" s="188">
        <f>opex_orig!$AP5</f>
        <v>2.4637383657795899E-5</v>
      </c>
      <c r="AY5" s="188">
        <f>opex_orig!AQ5</f>
        <v>3.3899999999999997E-5</v>
      </c>
      <c r="AZ5" s="188">
        <f>opex_orig!AR5</f>
        <v>0</v>
      </c>
      <c r="BA5" s="188">
        <f>opex_orig!AS5</f>
        <v>3.4600000000000001E-5</v>
      </c>
      <c r="BB5" s="188">
        <f>opex_orig!AT5</f>
        <v>2.4000000000000001E-5</v>
      </c>
      <c r="BC5" s="188">
        <f>opex_orig!AU5</f>
        <v>2.6699999999999998E-5</v>
      </c>
      <c r="BD5" s="188">
        <f>opex_orig!AV5</f>
        <v>1.1600000000000001E-5</v>
      </c>
      <c r="BE5" s="188">
        <f>opex_orig!AW5</f>
        <v>2.41E-5</v>
      </c>
      <c r="BF5" s="188">
        <f>opex_orig!AX5</f>
        <v>0</v>
      </c>
      <c r="BG5" s="188">
        <f>opex_orig!AY5</f>
        <v>2.1399999999999998E-5</v>
      </c>
      <c r="BH5" s="188">
        <f>opex_orig!AZ5</f>
        <v>0</v>
      </c>
      <c r="BI5" s="188">
        <f>opex_orig!BA5</f>
        <v>1.01E-5</v>
      </c>
      <c r="BJ5" s="188">
        <f>opex_orig!BB5</f>
        <v>1.3200000000000001E-5</v>
      </c>
      <c r="BK5" s="188">
        <f>opex_orig!BC5</f>
        <v>1.31E-5</v>
      </c>
      <c r="BL5" s="188">
        <f>opex_orig!BD5</f>
        <v>1.2300000000000001E-5</v>
      </c>
      <c r="BM5" s="188">
        <f>opex_orig!BE5</f>
        <v>1.34E-5</v>
      </c>
      <c r="BN5" s="188">
        <f>opex_orig!BF5</f>
        <v>3.0899999999999999E-5</v>
      </c>
      <c r="BO5" s="188">
        <f>opex_orig!BG5</f>
        <v>3.6300000000000001E-5</v>
      </c>
      <c r="BP5" s="188">
        <f>opex_orig!$BH5</f>
        <v>1.4437854679112399E-5</v>
      </c>
      <c r="BQ5" s="188">
        <f>opex_orig!$BH5</f>
        <v>1.4437854679112399E-5</v>
      </c>
      <c r="BR5" s="188">
        <f>opex_orig!BI5</f>
        <v>1.2999999999999999E-5</v>
      </c>
      <c r="BS5" s="188">
        <f>opex_orig!BJ5</f>
        <v>1.83454E-4</v>
      </c>
      <c r="BT5" s="188">
        <f>opex_orig!BK5</f>
        <v>1.6259E-4</v>
      </c>
      <c r="BU5" s="188">
        <f>opex_orig!BL5</f>
        <v>0</v>
      </c>
      <c r="BV5" s="27">
        <f>opex_orig!BM5</f>
        <v>2.7029491260443198E-5</v>
      </c>
      <c r="BW5" s="27">
        <f>opex_orig!BN5</f>
        <v>1.34404858140836E-4</v>
      </c>
      <c r="BX5" s="27">
        <f>opex_orig!BO5</f>
        <v>1.7514496997939899E-5</v>
      </c>
      <c r="BY5" s="27">
        <f>opex_orig!BP5</f>
        <v>1.07024393829226E-4</v>
      </c>
      <c r="BZ5" s="27">
        <f>opex_orig!BQ5</f>
        <v>3.2927106211466703E-5</v>
      </c>
      <c r="CA5" s="27">
        <f>opex_orig!BR5</f>
        <v>1.1145424608715299E-6</v>
      </c>
      <c r="CB5" s="27">
        <f>opex_orig!BS5</f>
        <v>7.52960943890219E-5</v>
      </c>
      <c r="CC5" s="27">
        <f>opex_orig!BT5</f>
        <v>3.0969534561804899E-6</v>
      </c>
      <c r="CD5" s="27">
        <f>opex_orig!BU5</f>
        <v>9.4255485452580808E-6</v>
      </c>
      <c r="CE5" s="27">
        <f>opex_orig!BV5</f>
        <v>9.4255485452581096E-6</v>
      </c>
      <c r="CF5" s="27">
        <f>opex_orig!BW5</f>
        <v>2.4014948795505301E-5</v>
      </c>
      <c r="CG5" s="27">
        <f>opex_orig!BX5</f>
        <v>5.6662083579293398E-6</v>
      </c>
      <c r="CH5" s="27">
        <f>opex_orig!BY5</f>
        <v>4.9506988337283403E-5</v>
      </c>
      <c r="CI5" s="27">
        <f>opex_orig!Y5</f>
        <v>6.7499999999999997E-6</v>
      </c>
      <c r="CJ5" s="27">
        <f>opex_orig!Z5</f>
        <v>4.3512999999999999E-4</v>
      </c>
      <c r="CK5" s="27">
        <f>opex_orig!AA5</f>
        <v>3.0700000000000001E-5</v>
      </c>
      <c r="CL5" s="27">
        <f>opex_orig!AB5</f>
        <v>2.6398995416881997E-4</v>
      </c>
      <c r="CM5" s="27">
        <f>opex_orig!AC5</f>
        <v>2.6223217922986901E-3</v>
      </c>
      <c r="CN5" s="27">
        <f>opex_orig!AD5</f>
        <v>1.47731003015292E-3</v>
      </c>
      <c r="CO5" s="27">
        <f>opex_orig!AE5</f>
        <v>1.492461E-3</v>
      </c>
      <c r="CP5" s="27">
        <f>opex_orig!AF5</f>
        <v>1.382805E-3</v>
      </c>
    </row>
    <row r="6" spans="1:94" x14ac:dyDescent="0.25">
      <c r="A6" s="5" t="s">
        <v>31</v>
      </c>
      <c r="B6" s="2" t="s">
        <v>30</v>
      </c>
      <c r="C6" s="1" t="s">
        <v>325</v>
      </c>
      <c r="D6" s="188">
        <f>opex_orig!D6</f>
        <v>5.3900000000000001E-6</v>
      </c>
      <c r="E6" s="188">
        <f>opex_orig!E6</f>
        <v>6.6000000000000003E-6</v>
      </c>
      <c r="F6" s="188">
        <f>opex_orig!F6</f>
        <v>2.2799999999999999E-5</v>
      </c>
      <c r="G6" s="188">
        <f>opex_orig!G6</f>
        <v>7.2900000000000003E-7</v>
      </c>
      <c r="H6" s="188">
        <f>opex_orig!H6</f>
        <v>8.7167596999999999E-2</v>
      </c>
      <c r="I6" s="188">
        <f>opex_orig!I6</f>
        <v>5.5999999999999997E-6</v>
      </c>
      <c r="J6" s="188">
        <f>opex_orig!J6</f>
        <v>5.8999999999999998E-5</v>
      </c>
      <c r="K6" s="188">
        <f>opex_orig!K6</f>
        <v>1.37E-6</v>
      </c>
      <c r="L6" s="188">
        <f>opex_orig!L6</f>
        <v>4.2637011000000002E-2</v>
      </c>
      <c r="M6" s="188">
        <f>opex_orig!M6</f>
        <v>1.3523300000000001E-4</v>
      </c>
      <c r="N6" s="188">
        <f>opex_orig!N6</f>
        <v>4.7779838999999998E-2</v>
      </c>
      <c r="O6" s="188">
        <f>opex_orig!O6</f>
        <v>5.2529499999999995E-4</v>
      </c>
      <c r="P6" s="188">
        <f>opex_orig!P6</f>
        <v>8.2000000000000001E-5</v>
      </c>
      <c r="Q6" s="188">
        <f>opex_orig!Q6</f>
        <v>1.1746700000000001E-4</v>
      </c>
      <c r="R6" s="188">
        <f>opex_orig!R6</f>
        <v>1.52E-5</v>
      </c>
      <c r="S6" s="188">
        <f>opex_orig!S6</f>
        <v>1.1800000000000001E-5</v>
      </c>
      <c r="T6" s="188">
        <f>opex_orig!T6</f>
        <v>7.3799999999999996E-6</v>
      </c>
      <c r="U6" s="188">
        <f>opex_orig!U6</f>
        <v>1.6500000000000001E-5</v>
      </c>
      <c r="V6" s="188">
        <f>opex_orig!V6</f>
        <v>1.42E-5</v>
      </c>
      <c r="W6" s="188">
        <f>opex_orig!W6</f>
        <v>5.5799999999999999E-6</v>
      </c>
      <c r="X6" s="188">
        <f>opex_orig!X6</f>
        <v>7.9400000000000002E-6</v>
      </c>
      <c r="Y6" s="188">
        <f>opex_orig!Y6</f>
        <v>1.4699999999999999E-6</v>
      </c>
      <c r="Z6" s="188">
        <f>opex_orig!Z6</f>
        <v>6.0136100000000002E-4</v>
      </c>
      <c r="AA6" s="188">
        <f>opex_orig!AA6</f>
        <v>6.9299999999999997E-6</v>
      </c>
      <c r="AB6" s="188">
        <f>opex_orig!$AB6</f>
        <v>1.9295825082987501E-3</v>
      </c>
      <c r="AC6" s="188">
        <f>opex_orig!$AB6</f>
        <v>1.9295825082987501E-3</v>
      </c>
      <c r="AD6" s="188">
        <f>opex_orig!$AB6</f>
        <v>1.9295825082987501E-3</v>
      </c>
      <c r="AE6" s="188">
        <f>opex_orig!$AC6</f>
        <v>1.03276120516338E-2</v>
      </c>
      <c r="AF6" s="188">
        <f>opex_orig!$AD6</f>
        <v>5.4057003692516903E-3</v>
      </c>
      <c r="AG6" s="188">
        <f>opex_orig!$AD6</f>
        <v>5.4057003692516903E-3</v>
      </c>
      <c r="AH6" s="188">
        <f>opex_orig!$AD6</f>
        <v>5.4057003692516903E-3</v>
      </c>
      <c r="AI6" s="188">
        <f>opex_orig!AE6</f>
        <v>5.6725090000000001E-3</v>
      </c>
      <c r="AJ6" s="188">
        <f>opex_orig!AF6</f>
        <v>3.9565829999999996E-3</v>
      </c>
      <c r="AK6" s="188">
        <f>opex_orig!AG6</f>
        <v>9.1400000000000006E-6</v>
      </c>
      <c r="AL6" s="188">
        <f>opex_orig!AH6</f>
        <v>1.1000000000000001E-6</v>
      </c>
      <c r="AM6" s="188">
        <f>opex_orig!AI6</f>
        <v>1.55E-6</v>
      </c>
      <c r="AN6" s="188">
        <f>opex_orig!AJ6</f>
        <v>1.7E-6</v>
      </c>
      <c r="AO6" s="188">
        <f>opex_orig!AK6</f>
        <v>2.08E-6</v>
      </c>
      <c r="AP6" s="188">
        <f>opex_orig!$AL6</f>
        <v>1.87170251141367E-6</v>
      </c>
      <c r="AQ6" s="188">
        <f>opex_orig!$AL6</f>
        <v>1.87170251141367E-6</v>
      </c>
      <c r="AR6" s="188">
        <f>opex_orig!$AL6</f>
        <v>1.87170251141367E-6</v>
      </c>
      <c r="AS6" s="188">
        <f>opex_orig!$AM6</f>
        <v>1.6159411099682499E-6</v>
      </c>
      <c r="AT6" s="188">
        <f>opex_orig!AN6</f>
        <v>1.9800000000000001E-6</v>
      </c>
      <c r="AU6" s="188">
        <f>opex_orig!$AO6</f>
        <v>1.9999439975512799E-6</v>
      </c>
      <c r="AV6" s="188">
        <f>opex_orig!$AO6</f>
        <v>1.9999439975512799E-6</v>
      </c>
      <c r="AW6" s="188">
        <f>opex_orig!$AO6</f>
        <v>1.9999439975512799E-6</v>
      </c>
      <c r="AX6" s="188">
        <f>opex_orig!$AP6</f>
        <v>2.4471023060981198E-6</v>
      </c>
      <c r="AY6" s="188">
        <f>opex_orig!AQ6</f>
        <v>3.5599999999999998E-6</v>
      </c>
      <c r="AZ6" s="188">
        <f>opex_orig!AR6</f>
        <v>0</v>
      </c>
      <c r="BA6" s="188">
        <f>opex_orig!AS6</f>
        <v>3.9500000000000003E-6</v>
      </c>
      <c r="BB6" s="188">
        <f>opex_orig!AT6</f>
        <v>3.1300000000000001E-6</v>
      </c>
      <c r="BC6" s="188">
        <f>opex_orig!AU6</f>
        <v>2.1299999999999999E-6</v>
      </c>
      <c r="BD6" s="188">
        <f>opex_orig!AV6</f>
        <v>1.1400000000000001E-6</v>
      </c>
      <c r="BE6" s="188">
        <f>opex_orig!AW6</f>
        <v>2.1399999999999998E-6</v>
      </c>
      <c r="BF6" s="188">
        <f>opex_orig!AX6</f>
        <v>0</v>
      </c>
      <c r="BG6" s="188">
        <f>opex_orig!AY6</f>
        <v>4.1899999999999997E-6</v>
      </c>
      <c r="BH6" s="188">
        <f>opex_orig!AZ6</f>
        <v>0</v>
      </c>
      <c r="BI6" s="188">
        <f>opex_orig!BA6</f>
        <v>2.0999999999999998E-6</v>
      </c>
      <c r="BJ6" s="188">
        <f>opex_orig!BB6</f>
        <v>8.78E-7</v>
      </c>
      <c r="BK6" s="188">
        <f>opex_orig!BC6</f>
        <v>2.6800000000000002E-6</v>
      </c>
      <c r="BL6" s="188">
        <f>opex_orig!BD6</f>
        <v>3.6899999999999998E-6</v>
      </c>
      <c r="BM6" s="188">
        <f>opex_orig!BE6</f>
        <v>2.0800000000000001E-5</v>
      </c>
      <c r="BN6" s="188">
        <f>opex_orig!BF6</f>
        <v>7.7000000000000008E-6</v>
      </c>
      <c r="BO6" s="188">
        <f>opex_orig!BG6</f>
        <v>5.3300000000000001E-5</v>
      </c>
      <c r="BP6" s="188">
        <f>opex_orig!$BH6</f>
        <v>2.6870260228513101E-6</v>
      </c>
      <c r="BQ6" s="188">
        <f>opex_orig!$BH6</f>
        <v>2.6870260228513101E-6</v>
      </c>
      <c r="BR6" s="188">
        <f>opex_orig!BI6</f>
        <v>2.7300000000000001E-6</v>
      </c>
      <c r="BS6" s="188">
        <f>opex_orig!BJ6</f>
        <v>1.9512800000000001E-4</v>
      </c>
      <c r="BT6" s="188">
        <f>opex_orig!BK6</f>
        <v>4.3272699999999999E-4</v>
      </c>
      <c r="BU6" s="188">
        <f>opex_orig!BL6</f>
        <v>0</v>
      </c>
      <c r="BV6" s="27">
        <f>opex_orig!BM6</f>
        <v>4.9947610782088204E-6</v>
      </c>
      <c r="BW6" s="27">
        <f>opex_orig!BN6</f>
        <v>1.0544534882370699E-5</v>
      </c>
      <c r="BX6" s="27">
        <f>opex_orig!BO6</f>
        <v>1.95910026709198E-6</v>
      </c>
      <c r="BY6" s="27">
        <f>opex_orig!BP6</f>
        <v>7.4302451879980997E-6</v>
      </c>
      <c r="BZ6" s="27">
        <f>opex_orig!BQ6</f>
        <v>5.7747763410687196E-6</v>
      </c>
      <c r="CA6" s="27">
        <f>opex_orig!BR6</f>
        <v>1.6831819767579501E-7</v>
      </c>
      <c r="CB6" s="27">
        <f>opex_orig!BS6</f>
        <v>1.10339496318347E-5</v>
      </c>
      <c r="CC6" s="27">
        <f>opex_orig!BT6</f>
        <v>8.52288166039791E-7</v>
      </c>
      <c r="CD6" s="27">
        <f>opex_orig!BU6</f>
        <v>2.6148531584017501E-6</v>
      </c>
      <c r="CE6" s="27">
        <f>opex_orig!BV6</f>
        <v>2.6148531584017599E-6</v>
      </c>
      <c r="CF6" s="27">
        <f>opex_orig!BW6</f>
        <v>1.3867375652559399E-6</v>
      </c>
      <c r="CG6" s="27">
        <f>opex_orig!BX6</f>
        <v>3.0910267754775402E-6</v>
      </c>
      <c r="CH6" s="27">
        <f>opex_orig!BY6</f>
        <v>4.8163447629127004E-6</v>
      </c>
      <c r="CI6" s="27">
        <f>opex_orig!Y6</f>
        <v>1.4699999999999999E-6</v>
      </c>
      <c r="CJ6" s="27">
        <f>opex_orig!Z6</f>
        <v>6.0136100000000002E-4</v>
      </c>
      <c r="CK6" s="27">
        <f>opex_orig!AA6</f>
        <v>6.9299999999999997E-6</v>
      </c>
      <c r="CL6" s="27">
        <f>opex_orig!AB6</f>
        <v>1.9295825082987501E-3</v>
      </c>
      <c r="CM6" s="27">
        <f>opex_orig!AC6</f>
        <v>1.03276120516338E-2</v>
      </c>
      <c r="CN6" s="27">
        <f>opex_orig!AD6</f>
        <v>5.4057003692516903E-3</v>
      </c>
      <c r="CO6" s="27">
        <f>opex_orig!AE6</f>
        <v>5.6725090000000001E-3</v>
      </c>
      <c r="CP6" s="27">
        <f>opex_orig!AF6</f>
        <v>3.9565829999999996E-3</v>
      </c>
    </row>
    <row r="7" spans="1:94" x14ac:dyDescent="0.25">
      <c r="A7" s="5" t="s">
        <v>33</v>
      </c>
      <c r="B7" s="2" t="s">
        <v>32</v>
      </c>
      <c r="C7" s="1" t="s">
        <v>325</v>
      </c>
      <c r="D7" s="188">
        <f>opex_orig!D7</f>
        <v>2.6100000000000001E-5</v>
      </c>
      <c r="E7" s="188">
        <f>opex_orig!E7</f>
        <v>9.6900000000000004E-6</v>
      </c>
      <c r="F7" s="188">
        <f>opex_orig!F7</f>
        <v>2.05E-5</v>
      </c>
      <c r="G7" s="188">
        <f>opex_orig!G7</f>
        <v>8.8000000000000004E-7</v>
      </c>
      <c r="H7" s="188">
        <f>opex_orig!H7</f>
        <v>1.06E-6</v>
      </c>
      <c r="I7" s="188">
        <f>opex_orig!I7</f>
        <v>9.7599999999999997E-6</v>
      </c>
      <c r="J7" s="188">
        <f>opex_orig!J7</f>
        <v>4.9499999999999997E-5</v>
      </c>
      <c r="K7" s="188">
        <f>opex_orig!K7</f>
        <v>0.459987743</v>
      </c>
      <c r="L7" s="188">
        <f>opex_orig!L7</f>
        <v>5.4299999999999998E-5</v>
      </c>
      <c r="M7" s="188">
        <f>opex_orig!M7</f>
        <v>3.6999999999999998E-5</v>
      </c>
      <c r="N7" s="188">
        <f>opex_orig!N7</f>
        <v>1.059606E-3</v>
      </c>
      <c r="O7" s="188">
        <f>opex_orig!O7</f>
        <v>6.02E-5</v>
      </c>
      <c r="P7" s="188">
        <f>opex_orig!P7</f>
        <v>1.3699999999999999E-5</v>
      </c>
      <c r="Q7" s="188">
        <f>opex_orig!Q7</f>
        <v>3.3899999999999997E-5</v>
      </c>
      <c r="R7" s="188">
        <f>opex_orig!R7</f>
        <v>3.5200000000000002E-6</v>
      </c>
      <c r="S7" s="188">
        <f>opex_orig!S7</f>
        <v>5.7899999999999996E-6</v>
      </c>
      <c r="T7" s="188">
        <f>opex_orig!T7</f>
        <v>5.6099999999999997E-6</v>
      </c>
      <c r="U7" s="188">
        <f>opex_orig!U7</f>
        <v>1.19E-5</v>
      </c>
      <c r="V7" s="188">
        <f>opex_orig!V7</f>
        <v>1.326303E-3</v>
      </c>
      <c r="W7" s="188">
        <f>opex_orig!W7</f>
        <v>1.42473E-4</v>
      </c>
      <c r="X7" s="188">
        <f>opex_orig!X7</f>
        <v>5.2100000000000001E-6</v>
      </c>
      <c r="Y7" s="188">
        <f>opex_orig!Y7</f>
        <v>9.3600000000000002E-7</v>
      </c>
      <c r="Z7" s="188">
        <f>opex_orig!Z7</f>
        <v>1.4023599999999999E-4</v>
      </c>
      <c r="AA7" s="188">
        <f>opex_orig!AA7</f>
        <v>4.6199999999999998E-6</v>
      </c>
      <c r="AB7" s="188">
        <f>opex_orig!$AB7</f>
        <v>5.4961139789089296E-4</v>
      </c>
      <c r="AC7" s="188">
        <f>opex_orig!$AB7</f>
        <v>5.4961139789089296E-4</v>
      </c>
      <c r="AD7" s="188">
        <f>opex_orig!$AB7</f>
        <v>5.4961139789089296E-4</v>
      </c>
      <c r="AE7" s="188">
        <f>opex_orig!$AC7</f>
        <v>1.54751358076817E-5</v>
      </c>
      <c r="AF7" s="188">
        <f>opex_orig!$AD7</f>
        <v>1.05746440436805E-4</v>
      </c>
      <c r="AG7" s="188">
        <f>opex_orig!$AD7</f>
        <v>1.05746440436805E-4</v>
      </c>
      <c r="AH7" s="188">
        <f>opex_orig!$AD7</f>
        <v>1.05746440436805E-4</v>
      </c>
      <c r="AI7" s="188">
        <f>opex_orig!AE7</f>
        <v>1.1459E-4</v>
      </c>
      <c r="AJ7" s="188">
        <f>opex_orig!AF7</f>
        <v>8.3399999999999994E-5</v>
      </c>
      <c r="AK7" s="188">
        <f>opex_orig!AG7</f>
        <v>1.03E-5</v>
      </c>
      <c r="AL7" s="188">
        <f>opex_orig!AH7</f>
        <v>5.6899999999999997E-6</v>
      </c>
      <c r="AM7" s="188">
        <f>opex_orig!AI7</f>
        <v>3.0400000000000001E-6</v>
      </c>
      <c r="AN7" s="188">
        <f>opex_orig!AJ7</f>
        <v>2.96E-6</v>
      </c>
      <c r="AO7" s="188">
        <f>opex_orig!AK7</f>
        <v>3.2600000000000001E-6</v>
      </c>
      <c r="AP7" s="188">
        <f>opex_orig!$AL7</f>
        <v>3.7196890334302801E-6</v>
      </c>
      <c r="AQ7" s="188">
        <f>opex_orig!$AL7</f>
        <v>3.7196890334302801E-6</v>
      </c>
      <c r="AR7" s="188">
        <f>opex_orig!$AL7</f>
        <v>3.7196890334302801E-6</v>
      </c>
      <c r="AS7" s="188">
        <f>opex_orig!$AM7</f>
        <v>2.6377320507412798E-6</v>
      </c>
      <c r="AT7" s="188">
        <f>opex_orig!AN7</f>
        <v>3.6500000000000002E-6</v>
      </c>
      <c r="AU7" s="188">
        <f>opex_orig!$AO7</f>
        <v>1.43266590334269E-6</v>
      </c>
      <c r="AV7" s="188">
        <f>opex_orig!$AO7</f>
        <v>1.43266590334269E-6</v>
      </c>
      <c r="AW7" s="188">
        <f>opex_orig!$AO7</f>
        <v>1.43266590334269E-6</v>
      </c>
      <c r="AX7" s="188">
        <f>opex_orig!$AP7</f>
        <v>1.9078844683532999E-6</v>
      </c>
      <c r="AY7" s="188">
        <f>opex_orig!AQ7</f>
        <v>2.7999999999999999E-6</v>
      </c>
      <c r="AZ7" s="188">
        <f>opex_orig!AR7</f>
        <v>0</v>
      </c>
      <c r="BA7" s="188">
        <f>opex_orig!AS7</f>
        <v>3.98E-6</v>
      </c>
      <c r="BB7" s="188">
        <f>opex_orig!AT7</f>
        <v>3.1700000000000001E-6</v>
      </c>
      <c r="BC7" s="188">
        <f>opex_orig!AU7</f>
        <v>1.3599999999999999E-6</v>
      </c>
      <c r="BD7" s="188">
        <f>opex_orig!AV7</f>
        <v>6.61E-7</v>
      </c>
      <c r="BE7" s="188">
        <f>opex_orig!AW7</f>
        <v>1.61E-6</v>
      </c>
      <c r="BF7" s="188">
        <f>opex_orig!AX7</f>
        <v>0</v>
      </c>
      <c r="BG7" s="188">
        <f>opex_orig!AY7</f>
        <v>3.5599999999999998E-6</v>
      </c>
      <c r="BH7" s="188">
        <f>opex_orig!AZ7</f>
        <v>0</v>
      </c>
      <c r="BI7" s="188">
        <f>opex_orig!BA7</f>
        <v>1.7099999999999999E-6</v>
      </c>
      <c r="BJ7" s="188">
        <f>opex_orig!BB7</f>
        <v>2.65E-6</v>
      </c>
      <c r="BK7" s="188">
        <f>opex_orig!BC7</f>
        <v>4.1200000000000004E-6</v>
      </c>
      <c r="BL7" s="188">
        <f>opex_orig!BD7</f>
        <v>1.4699999999999999E-6</v>
      </c>
      <c r="BM7" s="188">
        <f>opex_orig!BE7</f>
        <v>3.7799999999999997E-5</v>
      </c>
      <c r="BN7" s="188">
        <f>opex_orig!BF7</f>
        <v>4.8600000000000002E-5</v>
      </c>
      <c r="BO7" s="188">
        <f>opex_orig!BG7</f>
        <v>9.8800000000000003E-5</v>
      </c>
      <c r="BP7" s="188">
        <f>opex_orig!$BH7</f>
        <v>2.20630357283205E-6</v>
      </c>
      <c r="BQ7" s="188">
        <f>opex_orig!$BH7</f>
        <v>2.20630357283205E-6</v>
      </c>
      <c r="BR7" s="188">
        <f>opex_orig!BI7</f>
        <v>2.4600000000000002E-6</v>
      </c>
      <c r="BS7" s="188">
        <f>opex_orig!BJ7</f>
        <v>5.8699999999999997E-5</v>
      </c>
      <c r="BT7" s="188">
        <f>opex_orig!BK7</f>
        <v>8.1945900000000003E-4</v>
      </c>
      <c r="BU7" s="188">
        <f>opex_orig!BL7</f>
        <v>0</v>
      </c>
      <c r="BV7" s="27">
        <f>opex_orig!BM7</f>
        <v>3.0062628985074001E-6</v>
      </c>
      <c r="BW7" s="27">
        <f>opex_orig!BN7</f>
        <v>8.4958291046238802E-6</v>
      </c>
      <c r="BX7" s="27">
        <f>opex_orig!BO7</f>
        <v>1.5028367101685401E-6</v>
      </c>
      <c r="BY7" s="27">
        <f>opex_orig!BP7</f>
        <v>6.0015416432402698E-6</v>
      </c>
      <c r="BZ7" s="27">
        <f>opex_orig!BQ7</f>
        <v>4.29964705279371E-6</v>
      </c>
      <c r="CA7" s="27">
        <f>opex_orig!BR7</f>
        <v>1.91207364275816E-7</v>
      </c>
      <c r="CB7" s="27">
        <f>opex_orig!BS7</f>
        <v>1.00610884072258E-5</v>
      </c>
      <c r="CC7" s="27">
        <f>opex_orig!BT7</f>
        <v>3.7374336664819197E-5</v>
      </c>
      <c r="CD7" s="27">
        <f>opex_orig!BU7</f>
        <v>1.6894299205273301E-6</v>
      </c>
      <c r="CE7" s="27">
        <f>opex_orig!BV7</f>
        <v>1.68942992052734E-6</v>
      </c>
      <c r="CF7" s="27">
        <f>opex_orig!BW7</f>
        <v>2.5534183777905799E-6</v>
      </c>
      <c r="CG7" s="27">
        <f>opex_orig!BX7</f>
        <v>4.9346653140120699E-6</v>
      </c>
      <c r="CH7" s="27">
        <f>opex_orig!BY7</f>
        <v>2.49407832468011E-6</v>
      </c>
      <c r="CI7" s="27">
        <f>opex_orig!Y7</f>
        <v>9.3600000000000002E-7</v>
      </c>
      <c r="CJ7" s="27">
        <f>opex_orig!Z7</f>
        <v>1.4023599999999999E-4</v>
      </c>
      <c r="CK7" s="27">
        <f>opex_orig!AA7</f>
        <v>4.6199999999999998E-6</v>
      </c>
      <c r="CL7" s="27">
        <f>opex_orig!AB7</f>
        <v>5.4961139789089296E-4</v>
      </c>
      <c r="CM7" s="27">
        <f>opex_orig!AC7</f>
        <v>1.54751358076817E-5</v>
      </c>
      <c r="CN7" s="27">
        <f>opex_orig!AD7</f>
        <v>1.05746440436805E-4</v>
      </c>
      <c r="CO7" s="27">
        <f>opex_orig!AE7</f>
        <v>1.1459E-4</v>
      </c>
      <c r="CP7" s="27">
        <f>opex_orig!AF7</f>
        <v>8.3399999999999994E-5</v>
      </c>
    </row>
    <row r="8" spans="1:94" x14ac:dyDescent="0.25">
      <c r="A8" s="5" t="s">
        <v>35</v>
      </c>
      <c r="B8" s="2" t="s">
        <v>34</v>
      </c>
      <c r="C8" s="1" t="s">
        <v>325</v>
      </c>
      <c r="D8" s="188">
        <f>opex_orig!D8</f>
        <v>8.6700000000000002E-7</v>
      </c>
      <c r="E8" s="188">
        <f>opex_orig!E8</f>
        <v>1.53E-6</v>
      </c>
      <c r="F8" s="188">
        <f>opex_orig!F8</f>
        <v>7.0099999999999998E-6</v>
      </c>
      <c r="G8" s="188">
        <f>opex_orig!G8</f>
        <v>4.3799999999999998E-7</v>
      </c>
      <c r="H8" s="188">
        <f>opex_orig!H8</f>
        <v>6.9299999999999997E-6</v>
      </c>
      <c r="I8" s="188">
        <f>opex_orig!I8</f>
        <v>9.1200000000000001E-7</v>
      </c>
      <c r="J8" s="188">
        <f>opex_orig!J8</f>
        <v>8.2400000000000007E-6</v>
      </c>
      <c r="K8" s="188">
        <f>opex_orig!K8</f>
        <v>2.62E-8</v>
      </c>
      <c r="L8" s="188">
        <f>opex_orig!L8</f>
        <v>1.5061E-4</v>
      </c>
      <c r="M8" s="188">
        <f>opex_orig!M8</f>
        <v>5.2499999999999997E-6</v>
      </c>
      <c r="N8" s="188">
        <f>opex_orig!N8</f>
        <v>2.5597E-4</v>
      </c>
      <c r="O8" s="188">
        <f>opex_orig!O8</f>
        <v>8.7100000000000003E-5</v>
      </c>
      <c r="P8" s="188">
        <f>opex_orig!P8</f>
        <v>7.2260900000000003E-4</v>
      </c>
      <c r="Q8" s="188">
        <f>opex_orig!Q8</f>
        <v>2.6900000000000001E-6</v>
      </c>
      <c r="R8" s="188">
        <f>opex_orig!R8</f>
        <v>2.1E-7</v>
      </c>
      <c r="S8" s="188">
        <f>opex_orig!S8</f>
        <v>4.2800000000000002E-7</v>
      </c>
      <c r="T8" s="188">
        <f>opex_orig!T8</f>
        <v>3.1699999999999999E-7</v>
      </c>
      <c r="U8" s="188">
        <f>opex_orig!U8</f>
        <v>2.1299999999999999E-7</v>
      </c>
      <c r="V8" s="188">
        <f>opex_orig!V8</f>
        <v>2.5699999999999999E-7</v>
      </c>
      <c r="W8" s="188">
        <f>opex_orig!W8</f>
        <v>2.3900000000000001E-7</v>
      </c>
      <c r="X8" s="188">
        <f>opex_orig!X8</f>
        <v>9.3299999999999995E-8</v>
      </c>
      <c r="Y8" s="188">
        <f>opex_orig!Y8</f>
        <v>2.1500000000000001E-8</v>
      </c>
      <c r="Z8" s="188">
        <f>opex_orig!Z8</f>
        <v>7.0500000000000003E-8</v>
      </c>
      <c r="AA8" s="188">
        <f>opex_orig!AA8</f>
        <v>1.4000000000000001E-7</v>
      </c>
      <c r="AB8" s="188">
        <f>opex_orig!$AB8</f>
        <v>1.75606128250703E-5</v>
      </c>
      <c r="AC8" s="188">
        <f>opex_orig!$AB8</f>
        <v>1.75606128250703E-5</v>
      </c>
      <c r="AD8" s="188">
        <f>opex_orig!$AB8</f>
        <v>1.75606128250703E-5</v>
      </c>
      <c r="AE8" s="188">
        <f>opex_orig!$AC8</f>
        <v>2.5198025670741999E-5</v>
      </c>
      <c r="AF8" s="188">
        <f>opex_orig!$AD8</f>
        <v>1.2237764747378399E-5</v>
      </c>
      <c r="AG8" s="188">
        <f>opex_orig!$AD8</f>
        <v>1.2237764747378399E-5</v>
      </c>
      <c r="AH8" s="188">
        <f>opex_orig!$AD8</f>
        <v>1.2237764747378399E-5</v>
      </c>
      <c r="AI8" s="188">
        <f>opex_orig!AE8</f>
        <v>1.1800000000000001E-5</v>
      </c>
      <c r="AJ8" s="188">
        <f>opex_orig!AF8</f>
        <v>1.15E-5</v>
      </c>
      <c r="AK8" s="188">
        <f>opex_orig!AG8</f>
        <v>9.1100000000000004E-7</v>
      </c>
      <c r="AL8" s="188">
        <f>opex_orig!AH8</f>
        <v>3.3599999999999999E-7</v>
      </c>
      <c r="AM8" s="188">
        <f>opex_orig!AI8</f>
        <v>5.4899999999999995E-7</v>
      </c>
      <c r="AN8" s="188">
        <f>opex_orig!AJ8</f>
        <v>1.2700000000000001E-7</v>
      </c>
      <c r="AO8" s="188">
        <f>opex_orig!AK8</f>
        <v>5.3300000000000002E-7</v>
      </c>
      <c r="AP8" s="188">
        <f>opex_orig!$AL8</f>
        <v>3.4898193225122803E-7</v>
      </c>
      <c r="AQ8" s="188">
        <f>opex_orig!$AL8</f>
        <v>3.4898193225122803E-7</v>
      </c>
      <c r="AR8" s="188">
        <f>opex_orig!$AL8</f>
        <v>3.4898193225122803E-7</v>
      </c>
      <c r="AS8" s="188">
        <f>opex_orig!$AM8</f>
        <v>4.0234554027215903E-8</v>
      </c>
      <c r="AT8" s="188">
        <f>opex_orig!AN8</f>
        <v>1.33E-6</v>
      </c>
      <c r="AU8" s="188">
        <f>opex_orig!$AO8</f>
        <v>7.3040998371177704E-8</v>
      </c>
      <c r="AV8" s="188">
        <f>opex_orig!$AO8</f>
        <v>7.3040998371177704E-8</v>
      </c>
      <c r="AW8" s="188">
        <f>opex_orig!$AO8</f>
        <v>7.3040998371177704E-8</v>
      </c>
      <c r="AX8" s="188">
        <f>opex_orig!$AP8</f>
        <v>7.5418212669092298E-8</v>
      </c>
      <c r="AY8" s="188">
        <f>opex_orig!AQ8</f>
        <v>1.3899999999999999E-7</v>
      </c>
      <c r="AZ8" s="188">
        <f>opex_orig!AR8</f>
        <v>0</v>
      </c>
      <c r="BA8" s="188">
        <f>opex_orig!AS8</f>
        <v>2.11E-7</v>
      </c>
      <c r="BB8" s="188">
        <f>opex_orig!AT8</f>
        <v>1.8199999999999999E-7</v>
      </c>
      <c r="BC8" s="188">
        <f>opex_orig!AU8</f>
        <v>1.89E-8</v>
      </c>
      <c r="BD8" s="188">
        <f>opex_orig!AV8</f>
        <v>1.59E-8</v>
      </c>
      <c r="BE8" s="188">
        <f>opex_orig!AW8</f>
        <v>5.2299999999999998E-8</v>
      </c>
      <c r="BF8" s="188">
        <f>opex_orig!AX8</f>
        <v>0</v>
      </c>
      <c r="BG8" s="188">
        <f>opex_orig!AY8</f>
        <v>1.61E-7</v>
      </c>
      <c r="BH8" s="188">
        <f>opex_orig!AZ8</f>
        <v>0</v>
      </c>
      <c r="BI8" s="188">
        <f>opex_orig!BA8</f>
        <v>9.1300000000000004E-8</v>
      </c>
      <c r="BJ8" s="188">
        <f>opex_orig!BB8</f>
        <v>4.14E-8</v>
      </c>
      <c r="BK8" s="188">
        <f>opex_orig!BC8</f>
        <v>1.1600000000000001E-7</v>
      </c>
      <c r="BL8" s="188">
        <f>opex_orig!BD8</f>
        <v>1.24E-7</v>
      </c>
      <c r="BM8" s="188">
        <f>opex_orig!BE8</f>
        <v>9.2699999999999998E-7</v>
      </c>
      <c r="BN8" s="188">
        <f>opex_orig!BF8</f>
        <v>9.7800000000000002E-8</v>
      </c>
      <c r="BO8" s="188">
        <f>opex_orig!BG8</f>
        <v>2.6400000000000001E-6</v>
      </c>
      <c r="BP8" s="188">
        <f>opex_orig!$BH8</f>
        <v>7.7032511048254499E-8</v>
      </c>
      <c r="BQ8" s="188">
        <f>opex_orig!$BH8</f>
        <v>7.7032511048254499E-8</v>
      </c>
      <c r="BR8" s="188">
        <f>opex_orig!BI8</f>
        <v>9.2399999999999994E-8</v>
      </c>
      <c r="BS8" s="188">
        <f>opex_orig!BJ8</f>
        <v>3.0499999999999999E-7</v>
      </c>
      <c r="BT8" s="188">
        <f>opex_orig!BK8</f>
        <v>2.0299999999999999E-5</v>
      </c>
      <c r="BU8" s="188">
        <f>opex_orig!BL8</f>
        <v>0</v>
      </c>
      <c r="BV8" s="27">
        <f>opex_orig!BM8</f>
        <v>1.0555221273605E-7</v>
      </c>
      <c r="BW8" s="27">
        <f>opex_orig!BN8</f>
        <v>3.6737280402816802E-7</v>
      </c>
      <c r="BX8" s="27">
        <f>opex_orig!BO8</f>
        <v>3.2161222639475197E-8</v>
      </c>
      <c r="BY8" s="27">
        <f>opex_orig!BP8</f>
        <v>8.5694378812688495E-8</v>
      </c>
      <c r="BZ8" s="27">
        <f>opex_orig!BQ8</f>
        <v>9.1905614577162498E-8</v>
      </c>
      <c r="CA8" s="27">
        <f>opex_orig!BR8</f>
        <v>4.0688750127938799E-9</v>
      </c>
      <c r="CB8" s="27">
        <f>opex_orig!BS8</f>
        <v>3.7461556278706799E-7</v>
      </c>
      <c r="CC8" s="27">
        <f>opex_orig!BT8</f>
        <v>2.30770657486689E-8</v>
      </c>
      <c r="CD8" s="27">
        <f>opex_orig!BU8</f>
        <v>3.3939728049769503E-8</v>
      </c>
      <c r="CE8" s="27">
        <f>opex_orig!BV8</f>
        <v>3.3939728049769602E-8</v>
      </c>
      <c r="CF8" s="27">
        <f>opex_orig!BW8</f>
        <v>8.8459240977324305E-8</v>
      </c>
      <c r="CG8" s="27">
        <f>opex_orig!BX8</f>
        <v>1.55624417851064E-7</v>
      </c>
      <c r="CH8" s="27">
        <f>opex_orig!BY8</f>
        <v>1.52892156164356E-8</v>
      </c>
      <c r="CI8" s="27">
        <f>opex_orig!Y8</f>
        <v>2.1500000000000001E-8</v>
      </c>
      <c r="CJ8" s="27">
        <f>opex_orig!Z8</f>
        <v>7.0500000000000003E-8</v>
      </c>
      <c r="CK8" s="27">
        <f>opex_orig!AA8</f>
        <v>1.4000000000000001E-7</v>
      </c>
      <c r="CL8" s="27">
        <f>opex_orig!AB8</f>
        <v>1.75606128250703E-5</v>
      </c>
      <c r="CM8" s="27">
        <f>opex_orig!AC8</f>
        <v>2.5198025670741999E-5</v>
      </c>
      <c r="CN8" s="27">
        <f>opex_orig!AD8</f>
        <v>1.2237764747378399E-5</v>
      </c>
      <c r="CO8" s="27">
        <f>opex_orig!AE8</f>
        <v>1.1800000000000001E-5</v>
      </c>
      <c r="CP8" s="27">
        <f>opex_orig!AF8</f>
        <v>1.15E-5</v>
      </c>
    </row>
    <row r="9" spans="1:94" x14ac:dyDescent="0.25">
      <c r="A9" s="5" t="s">
        <v>37</v>
      </c>
      <c r="B9" s="2" t="s">
        <v>36</v>
      </c>
      <c r="C9" s="1" t="s">
        <v>325</v>
      </c>
      <c r="D9" s="188">
        <f>opex_orig!D9</f>
        <v>1.7099999999999999E-5</v>
      </c>
      <c r="E9" s="188">
        <f>opex_orig!E9</f>
        <v>2.19E-5</v>
      </c>
      <c r="F9" s="188">
        <f>opex_orig!F9</f>
        <v>5.02E-5</v>
      </c>
      <c r="G9" s="188">
        <f>opex_orig!G9</f>
        <v>5.48E-6</v>
      </c>
      <c r="H9" s="188">
        <f>opex_orig!H9</f>
        <v>1.5500000000000001E-5</v>
      </c>
      <c r="I9" s="188">
        <f>opex_orig!I9</f>
        <v>2.2399999999999999E-5</v>
      </c>
      <c r="J9" s="188">
        <f>opex_orig!J9</f>
        <v>5.41E-5</v>
      </c>
      <c r="K9" s="188">
        <f>opex_orig!K9</f>
        <v>1.6799999999999998E-5</v>
      </c>
      <c r="L9" s="188">
        <f>opex_orig!L9</f>
        <v>3.4660429999999998E-3</v>
      </c>
      <c r="M9" s="188">
        <f>opex_orig!M9</f>
        <v>3.5306619999999999E-3</v>
      </c>
      <c r="N9" s="188">
        <f>opex_orig!N9</f>
        <v>5.7242170000000002E-3</v>
      </c>
      <c r="O9" s="188">
        <f>opex_orig!O9</f>
        <v>7.9365669999999999E-2</v>
      </c>
      <c r="P9" s="188">
        <f>opex_orig!P9</f>
        <v>1.2195546E-2</v>
      </c>
      <c r="Q9" s="188">
        <f>opex_orig!Q9</f>
        <v>1.9171100000000001E-4</v>
      </c>
      <c r="R9" s="188">
        <f>opex_orig!R9</f>
        <v>1.2836299999999999E-4</v>
      </c>
      <c r="S9" s="188">
        <f>opex_orig!S9</f>
        <v>8.53E-5</v>
      </c>
      <c r="T9" s="188">
        <f>opex_orig!T9</f>
        <v>3.3699999999999999E-5</v>
      </c>
      <c r="U9" s="188">
        <f>opex_orig!U9</f>
        <v>4.6900000000000002E-5</v>
      </c>
      <c r="V9" s="188">
        <f>opex_orig!V9</f>
        <v>2.7800000000000001E-5</v>
      </c>
      <c r="W9" s="188">
        <f>opex_orig!W9</f>
        <v>2.3200000000000001E-5</v>
      </c>
      <c r="X9" s="188">
        <f>opex_orig!X9</f>
        <v>1.9599999999999999E-5</v>
      </c>
      <c r="Y9" s="188">
        <f>opex_orig!Y9</f>
        <v>1.6399999999999999E-5</v>
      </c>
      <c r="Z9" s="188">
        <f>opex_orig!Z9</f>
        <v>1.6399999999999999E-5</v>
      </c>
      <c r="AA9" s="188">
        <f>opex_orig!AA9</f>
        <v>5.91E-5</v>
      </c>
      <c r="AB9" s="188">
        <f>opex_orig!$AB9</f>
        <v>6.8300018472459002E-5</v>
      </c>
      <c r="AC9" s="188">
        <f>opex_orig!$AB9</f>
        <v>6.8300018472459002E-5</v>
      </c>
      <c r="AD9" s="188">
        <f>opex_orig!$AB9</f>
        <v>6.8300018472459002E-5</v>
      </c>
      <c r="AE9" s="188">
        <f>opex_orig!$AC9</f>
        <v>7.9347477517161804E-4</v>
      </c>
      <c r="AF9" s="188">
        <f>opex_orig!$AD9</f>
        <v>2.6895197862001301E-4</v>
      </c>
      <c r="AG9" s="188">
        <f>opex_orig!$AD9</f>
        <v>2.6895197862001301E-4</v>
      </c>
      <c r="AH9" s="188">
        <f>opex_orig!$AD9</f>
        <v>2.6895197862001301E-4</v>
      </c>
      <c r="AI9" s="188">
        <f>opex_orig!AE9</f>
        <v>1.5848500000000001E-4</v>
      </c>
      <c r="AJ9" s="188">
        <f>opex_orig!AF9</f>
        <v>3.86785E-4</v>
      </c>
      <c r="AK9" s="188">
        <f>opex_orig!AG9</f>
        <v>1.8700000000000001E-5</v>
      </c>
      <c r="AL9" s="188">
        <f>opex_orig!AH9</f>
        <v>2.0800000000000001E-5</v>
      </c>
      <c r="AM9" s="188">
        <f>opex_orig!AI9</f>
        <v>3.3300000000000003E-5</v>
      </c>
      <c r="AN9" s="188">
        <f>opex_orig!AJ9</f>
        <v>1.4800000000000001E-5</v>
      </c>
      <c r="AO9" s="188">
        <f>opex_orig!AK9</f>
        <v>3.7599999999999999E-5</v>
      </c>
      <c r="AP9" s="188">
        <f>opex_orig!$AL9</f>
        <v>2.1780617985482599E-5</v>
      </c>
      <c r="AQ9" s="188">
        <f>opex_orig!$AL9</f>
        <v>2.1780617985482599E-5</v>
      </c>
      <c r="AR9" s="188">
        <f>opex_orig!$AL9</f>
        <v>2.1780617985482599E-5</v>
      </c>
      <c r="AS9" s="188">
        <f>opex_orig!$AM9</f>
        <v>2.77916238542939E-5</v>
      </c>
      <c r="AT9" s="188">
        <f>opex_orig!AN9</f>
        <v>5.8600000000000001E-5</v>
      </c>
      <c r="AU9" s="188">
        <f>opex_orig!$AO9</f>
        <v>1.31731680429376E-5</v>
      </c>
      <c r="AV9" s="188">
        <f>opex_orig!$AO9</f>
        <v>1.31731680429376E-5</v>
      </c>
      <c r="AW9" s="188">
        <f>opex_orig!$AO9</f>
        <v>1.31731680429376E-5</v>
      </c>
      <c r="AX9" s="188">
        <f>opex_orig!$AP9</f>
        <v>2.08574421188413E-5</v>
      </c>
      <c r="AY9" s="188">
        <f>opex_orig!AQ9</f>
        <v>2.6999999999999999E-5</v>
      </c>
      <c r="AZ9" s="188">
        <f>opex_orig!AR9</f>
        <v>0</v>
      </c>
      <c r="BA9" s="188">
        <f>opex_orig!AS9</f>
        <v>2.1399999999999998E-5</v>
      </c>
      <c r="BB9" s="188">
        <f>opex_orig!AT9</f>
        <v>1.6799999999999998E-5</v>
      </c>
      <c r="BC9" s="188">
        <f>opex_orig!AU9</f>
        <v>1.2799999999999999E-5</v>
      </c>
      <c r="BD9" s="188">
        <f>opex_orig!AV9</f>
        <v>9.9499999999999996E-6</v>
      </c>
      <c r="BE9" s="188">
        <f>opex_orig!AW9</f>
        <v>1.8700000000000001E-5</v>
      </c>
      <c r="BF9" s="188">
        <f>opex_orig!AX9</f>
        <v>0</v>
      </c>
      <c r="BG9" s="188">
        <f>opex_orig!AY9</f>
        <v>5.3999999999999998E-5</v>
      </c>
      <c r="BH9" s="188">
        <f>opex_orig!AZ9</f>
        <v>0</v>
      </c>
      <c r="BI9" s="188">
        <f>opex_orig!BA9</f>
        <v>1.5800000000000001E-5</v>
      </c>
      <c r="BJ9" s="188">
        <f>opex_orig!BB9</f>
        <v>1.5099999999999999E-5</v>
      </c>
      <c r="BK9" s="188">
        <f>opex_orig!BC9</f>
        <v>1.5500000000000001E-5</v>
      </c>
      <c r="BL9" s="188">
        <f>opex_orig!BD9</f>
        <v>1.66E-5</v>
      </c>
      <c r="BM9" s="188">
        <f>opex_orig!BE9</f>
        <v>1.22E-5</v>
      </c>
      <c r="BN9" s="188">
        <f>opex_orig!BF9</f>
        <v>1.5400000000000002E-5</v>
      </c>
      <c r="BO9" s="188">
        <f>opex_orig!BG9</f>
        <v>2.2399999999999999E-5</v>
      </c>
      <c r="BP9" s="188">
        <f>opex_orig!$BH9</f>
        <v>1.5694151735061099E-5</v>
      </c>
      <c r="BQ9" s="188">
        <f>opex_orig!$BH9</f>
        <v>1.5694151735061099E-5</v>
      </c>
      <c r="BR9" s="188">
        <f>opex_orig!BI9</f>
        <v>9.9000000000000001E-6</v>
      </c>
      <c r="BS9" s="188">
        <f>opex_orig!BJ9</f>
        <v>9.8700000000000004E-6</v>
      </c>
      <c r="BT9" s="188">
        <f>opex_orig!BK9</f>
        <v>3.7499999999999997E-5</v>
      </c>
      <c r="BU9" s="188">
        <f>opex_orig!BL9</f>
        <v>0</v>
      </c>
      <c r="BV9" s="27">
        <f>opex_orig!BM9</f>
        <v>4.0475561448742303E-5</v>
      </c>
      <c r="BW9" s="27">
        <f>opex_orig!BN9</f>
        <v>1.99757728456767E-4</v>
      </c>
      <c r="BX9" s="27">
        <f>opex_orig!BO9</f>
        <v>7.9562447175385305E-6</v>
      </c>
      <c r="BY9" s="27">
        <f>opex_orig!BP9</f>
        <v>2.5729757899980798E-5</v>
      </c>
      <c r="BZ9" s="27">
        <f>opex_orig!BQ9</f>
        <v>1.7798462658515301E-5</v>
      </c>
      <c r="CA9" s="27">
        <f>opex_orig!BR9</f>
        <v>9.8027025201533409E-7</v>
      </c>
      <c r="CB9" s="27">
        <f>opex_orig!BS9</f>
        <v>1.21667092573394E-4</v>
      </c>
      <c r="CC9" s="27">
        <f>opex_orig!BT9</f>
        <v>6.8333262620606603E-6</v>
      </c>
      <c r="CD9" s="27">
        <f>opex_orig!BU9</f>
        <v>7.7966844605378704E-6</v>
      </c>
      <c r="CE9" s="27">
        <f>opex_orig!BV9</f>
        <v>7.7966844605378805E-6</v>
      </c>
      <c r="CF9" s="27">
        <f>opex_orig!BW9</f>
        <v>5.0074867288667003E-6</v>
      </c>
      <c r="CG9" s="27">
        <f>opex_orig!BX9</f>
        <v>4.2602464618092303E-7</v>
      </c>
      <c r="CH9" s="27">
        <f>opex_orig!BY9</f>
        <v>2.1268313759980102E-5</v>
      </c>
      <c r="CI9" s="27">
        <f>opex_orig!Y9</f>
        <v>1.6399999999999999E-5</v>
      </c>
      <c r="CJ9" s="27">
        <f>opex_orig!Z9</f>
        <v>1.6399999999999999E-5</v>
      </c>
      <c r="CK9" s="27">
        <f>opex_orig!AA9</f>
        <v>5.91E-5</v>
      </c>
      <c r="CL9" s="27">
        <f>opex_orig!AB9</f>
        <v>6.8300018472459002E-5</v>
      </c>
      <c r="CM9" s="27">
        <f>opex_orig!AC9</f>
        <v>7.9347477517161804E-4</v>
      </c>
      <c r="CN9" s="27">
        <f>opex_orig!AD9</f>
        <v>2.6895197862001301E-4</v>
      </c>
      <c r="CO9" s="27">
        <f>opex_orig!AE9</f>
        <v>1.5848500000000001E-4</v>
      </c>
      <c r="CP9" s="27">
        <f>opex_orig!AF9</f>
        <v>3.86785E-4</v>
      </c>
    </row>
    <row r="10" spans="1:94" x14ac:dyDescent="0.25">
      <c r="A10" s="5" t="s">
        <v>39</v>
      </c>
      <c r="B10" s="2" t="s">
        <v>38</v>
      </c>
      <c r="C10" s="1" t="s">
        <v>325</v>
      </c>
      <c r="D10" s="188">
        <f>opex_orig!D10</f>
        <v>0.30680001499999998</v>
      </c>
      <c r="E10" s="188">
        <f>opex_orig!E10</f>
        <v>1.8700000000000001E-5</v>
      </c>
      <c r="F10" s="188">
        <f>opex_orig!F10</f>
        <v>4.57E-5</v>
      </c>
      <c r="G10" s="188">
        <f>opex_orig!G10</f>
        <v>5.804877E-3</v>
      </c>
      <c r="H10" s="188">
        <f>opex_orig!H10</f>
        <v>1.1999999999999999E-6</v>
      </c>
      <c r="I10" s="188">
        <f>opex_orig!I10</f>
        <v>1.7759949000000001E-2</v>
      </c>
      <c r="J10" s="188">
        <f>opex_orig!J10</f>
        <v>2.5000000000000001E-5</v>
      </c>
      <c r="K10" s="188">
        <f>opex_orig!K10</f>
        <v>1.22E-6</v>
      </c>
      <c r="L10" s="188">
        <f>opex_orig!L10</f>
        <v>1.3591231E-2</v>
      </c>
      <c r="M10" s="188">
        <f>opex_orig!M10</f>
        <v>5.4345499999999998E-4</v>
      </c>
      <c r="N10" s="188">
        <f>opex_orig!N10</f>
        <v>1.8597507999999999E-2</v>
      </c>
      <c r="O10" s="188">
        <f>opex_orig!O10</f>
        <v>1.381712E-3</v>
      </c>
      <c r="P10" s="188">
        <f>opex_orig!P10</f>
        <v>2.0892799999999999E-4</v>
      </c>
      <c r="Q10" s="188">
        <f>opex_orig!Q10</f>
        <v>8.1899999999999999E-5</v>
      </c>
      <c r="R10" s="188">
        <f>opex_orig!R10</f>
        <v>6.3488709999999999E-3</v>
      </c>
      <c r="S10" s="188">
        <f>opex_orig!S10</f>
        <v>1.15E-5</v>
      </c>
      <c r="T10" s="188">
        <f>opex_orig!T10</f>
        <v>9.38E-6</v>
      </c>
      <c r="U10" s="188">
        <f>opex_orig!U10</f>
        <v>1.08E-5</v>
      </c>
      <c r="V10" s="188">
        <f>opex_orig!V10</f>
        <v>1.2E-5</v>
      </c>
      <c r="W10" s="188">
        <f>opex_orig!W10</f>
        <v>5.0699999999999997E-6</v>
      </c>
      <c r="X10" s="188">
        <f>opex_orig!X10</f>
        <v>1.3900000000000001E-5</v>
      </c>
      <c r="Y10" s="188">
        <f>opex_orig!Y10</f>
        <v>2.2400000000000002E-6</v>
      </c>
      <c r="Z10" s="188">
        <f>opex_orig!Z10</f>
        <v>3.6814600000000002E-4</v>
      </c>
      <c r="AA10" s="188">
        <f>opex_orig!AA10</f>
        <v>6.4699999999999999E-6</v>
      </c>
      <c r="AB10" s="188">
        <f>opex_orig!$AB10</f>
        <v>1.5051218643121999E-4</v>
      </c>
      <c r="AC10" s="188">
        <f>opex_orig!$AB10</f>
        <v>1.5051218643121999E-4</v>
      </c>
      <c r="AD10" s="188">
        <f>opex_orig!$AB10</f>
        <v>1.5051218643121999E-4</v>
      </c>
      <c r="AE10" s="188">
        <f>opex_orig!$AC10</f>
        <v>2.9685817651921899E-5</v>
      </c>
      <c r="AF10" s="188">
        <f>opex_orig!$AD10</f>
        <v>3.9248443445086702E-5</v>
      </c>
      <c r="AG10" s="188">
        <f>opex_orig!$AD10</f>
        <v>3.9248443445086702E-5</v>
      </c>
      <c r="AH10" s="188">
        <f>opex_orig!$AD10</f>
        <v>3.9248443445086702E-5</v>
      </c>
      <c r="AI10" s="188">
        <f>opex_orig!AE10</f>
        <v>3.8999999999999999E-5</v>
      </c>
      <c r="AJ10" s="188">
        <f>opex_orig!AF10</f>
        <v>4.2500000000000003E-5</v>
      </c>
      <c r="AK10" s="188">
        <f>opex_orig!AG10</f>
        <v>7.5700000000000004E-6</v>
      </c>
      <c r="AL10" s="188">
        <f>opex_orig!AH10</f>
        <v>2.76E-5</v>
      </c>
      <c r="AM10" s="188">
        <f>opex_orig!AI10</f>
        <v>6.6000000000000003E-6</v>
      </c>
      <c r="AN10" s="188">
        <f>opex_orig!AJ10</f>
        <v>1.01E-5</v>
      </c>
      <c r="AO10" s="188">
        <f>opex_orig!AK10</f>
        <v>1.26E-5</v>
      </c>
      <c r="AP10" s="188">
        <f>opex_orig!$AL10</f>
        <v>6.5707614208099398E-6</v>
      </c>
      <c r="AQ10" s="188">
        <f>opex_orig!$AL10</f>
        <v>6.5707614208099398E-6</v>
      </c>
      <c r="AR10" s="188">
        <f>opex_orig!$AL10</f>
        <v>6.5707614208099398E-6</v>
      </c>
      <c r="AS10" s="188">
        <f>opex_orig!$AM10</f>
        <v>5.7284523888278197E-6</v>
      </c>
      <c r="AT10" s="188">
        <f>opex_orig!AN10</f>
        <v>1.15E-5</v>
      </c>
      <c r="AU10" s="188">
        <f>opex_orig!$AO10</f>
        <v>2.5104817050889702E-6</v>
      </c>
      <c r="AV10" s="188">
        <f>opex_orig!$AO10</f>
        <v>2.5104817050889702E-6</v>
      </c>
      <c r="AW10" s="188">
        <f>opex_orig!$AO10</f>
        <v>2.5104817050889702E-6</v>
      </c>
      <c r="AX10" s="188">
        <f>opex_orig!$AP10</f>
        <v>3.0537104704655202E-6</v>
      </c>
      <c r="AY10" s="188">
        <f>opex_orig!AQ10</f>
        <v>3.9500000000000003E-6</v>
      </c>
      <c r="AZ10" s="188">
        <f>opex_orig!AR10</f>
        <v>0</v>
      </c>
      <c r="BA10" s="188">
        <f>opex_orig!AS10</f>
        <v>4.8099999999999997E-6</v>
      </c>
      <c r="BB10" s="188">
        <f>opex_orig!AT10</f>
        <v>4.3000000000000003E-6</v>
      </c>
      <c r="BC10" s="188">
        <f>opex_orig!AU10</f>
        <v>2.1500000000000002E-6</v>
      </c>
      <c r="BD10" s="188">
        <f>opex_orig!AV10</f>
        <v>1.0499999999999999E-6</v>
      </c>
      <c r="BE10" s="188">
        <f>opex_orig!AW10</f>
        <v>2.3199999999999998E-6</v>
      </c>
      <c r="BF10" s="188">
        <f>opex_orig!AX10</f>
        <v>0</v>
      </c>
      <c r="BG10" s="188">
        <f>opex_orig!AY10</f>
        <v>4.0600000000000001E-6</v>
      </c>
      <c r="BH10" s="188">
        <f>opex_orig!AZ10</f>
        <v>0</v>
      </c>
      <c r="BI10" s="188">
        <f>opex_orig!BA10</f>
        <v>3.2600000000000001E-6</v>
      </c>
      <c r="BJ10" s="188">
        <f>opex_orig!BB10</f>
        <v>4.3599999999999998E-6</v>
      </c>
      <c r="BK10" s="188">
        <f>opex_orig!BC10</f>
        <v>4.5199999999999999E-6</v>
      </c>
      <c r="BL10" s="188">
        <f>opex_orig!BD10</f>
        <v>3.0599999999999999E-6</v>
      </c>
      <c r="BM10" s="188">
        <f>opex_orig!BE10</f>
        <v>1.1800000000000001E-5</v>
      </c>
      <c r="BN10" s="188">
        <f>opex_orig!BF10</f>
        <v>3.0199999999999999E-6</v>
      </c>
      <c r="BO10" s="188">
        <f>opex_orig!BG10</f>
        <v>2.62E-5</v>
      </c>
      <c r="BP10" s="188">
        <f>opex_orig!$BH10</f>
        <v>2.8237569616865799E-6</v>
      </c>
      <c r="BQ10" s="188">
        <f>opex_orig!$BH10</f>
        <v>2.8237569616865799E-6</v>
      </c>
      <c r="BR10" s="188">
        <f>opex_orig!BI10</f>
        <v>4.6199999999999998E-6</v>
      </c>
      <c r="BS10" s="188">
        <f>opex_orig!BJ10</f>
        <v>1.2291599999999999E-4</v>
      </c>
      <c r="BT10" s="188">
        <f>opex_orig!BK10</f>
        <v>1.9084399999999999E-4</v>
      </c>
      <c r="BU10" s="188">
        <f>opex_orig!BL10</f>
        <v>0</v>
      </c>
      <c r="BV10" s="27">
        <f>opex_orig!BM10</f>
        <v>5.7486924260052897E-6</v>
      </c>
      <c r="BW10" s="27">
        <f>opex_orig!BN10</f>
        <v>1.1281052135699199E-5</v>
      </c>
      <c r="BX10" s="27">
        <f>opex_orig!BO10</f>
        <v>2.52563232342309E-6</v>
      </c>
      <c r="BY10" s="27">
        <f>opex_orig!BP10</f>
        <v>6.8244168730467096E-6</v>
      </c>
      <c r="BZ10" s="27">
        <f>opex_orig!BQ10</f>
        <v>4.5174781901651801E-6</v>
      </c>
      <c r="CA10" s="27">
        <f>opex_orig!BR10</f>
        <v>2.4691803696459298E-7</v>
      </c>
      <c r="CB10" s="27">
        <f>opex_orig!BS10</f>
        <v>9.8477740930591592E-6</v>
      </c>
      <c r="CC10" s="27">
        <f>opex_orig!BT10</f>
        <v>9.8489023406946605E-7</v>
      </c>
      <c r="CD10" s="27">
        <f>opex_orig!BU10</f>
        <v>2.6130358624211E-6</v>
      </c>
      <c r="CE10" s="27">
        <f>opex_orig!BV10</f>
        <v>2.6130358624211E-6</v>
      </c>
      <c r="CF10" s="27">
        <f>opex_orig!BW10</f>
        <v>5.90891427211575E-6</v>
      </c>
      <c r="CG10" s="27">
        <f>opex_orig!BX10</f>
        <v>1.7841140580640401E-6</v>
      </c>
      <c r="CH10" s="27">
        <f>opex_orig!BY10</f>
        <v>6.8634367760156597E-6</v>
      </c>
      <c r="CI10" s="27">
        <f>opex_orig!Y10</f>
        <v>2.2400000000000002E-6</v>
      </c>
      <c r="CJ10" s="27">
        <f>opex_orig!Z10</f>
        <v>3.6814600000000002E-4</v>
      </c>
      <c r="CK10" s="27">
        <f>opex_orig!AA10</f>
        <v>6.4699999999999999E-6</v>
      </c>
      <c r="CL10" s="27">
        <f>opex_orig!AB10</f>
        <v>1.5051218643121999E-4</v>
      </c>
      <c r="CM10" s="27">
        <f>opex_orig!AC10</f>
        <v>2.9685817651921899E-5</v>
      </c>
      <c r="CN10" s="27">
        <f>opex_orig!AD10</f>
        <v>3.9248443445086702E-5</v>
      </c>
      <c r="CO10" s="27">
        <f>opex_orig!AE10</f>
        <v>3.8999999999999999E-5</v>
      </c>
      <c r="CP10" s="27">
        <f>opex_orig!AF10</f>
        <v>4.2500000000000003E-5</v>
      </c>
    </row>
    <row r="11" spans="1:94" x14ac:dyDescent="0.25">
      <c r="A11" s="5" t="s">
        <v>41</v>
      </c>
      <c r="B11" s="2" t="s">
        <v>40</v>
      </c>
      <c r="C11" s="1" t="s">
        <v>325</v>
      </c>
      <c r="D11" s="188">
        <f>opex_orig!D11</f>
        <v>1.8199999999999999E-5</v>
      </c>
      <c r="E11" s="188">
        <f>opex_orig!E11</f>
        <v>0.49671729399999998</v>
      </c>
      <c r="F11" s="188">
        <f>opex_orig!F11</f>
        <v>3.54E-5</v>
      </c>
      <c r="G11" s="188">
        <f>opex_orig!G11</f>
        <v>9.2122600000000003E-4</v>
      </c>
      <c r="H11" s="188">
        <f>opex_orig!H11</f>
        <v>2.83E-6</v>
      </c>
      <c r="I11" s="188">
        <f>opex_orig!I11</f>
        <v>1.31E-5</v>
      </c>
      <c r="J11" s="188">
        <f>opex_orig!J11</f>
        <v>1.0700399999999999E-4</v>
      </c>
      <c r="K11" s="188">
        <f>opex_orig!K11</f>
        <v>5.2599999999999996E-6</v>
      </c>
      <c r="L11" s="188">
        <f>opex_orig!L11</f>
        <v>1.2561263E-2</v>
      </c>
      <c r="M11" s="188">
        <f>opex_orig!M11</f>
        <v>1.03669E-4</v>
      </c>
      <c r="N11" s="188">
        <f>opex_orig!N11</f>
        <v>1.7294224E-2</v>
      </c>
      <c r="O11" s="188">
        <f>opex_orig!O11</f>
        <v>2.0646140000000002E-3</v>
      </c>
      <c r="P11" s="188">
        <f>opex_orig!P11</f>
        <v>3.0454599999999999E-4</v>
      </c>
      <c r="Q11" s="188">
        <f>opex_orig!Q11</f>
        <v>8.9699999999999998E-5</v>
      </c>
      <c r="R11" s="188">
        <f>opex_orig!R11</f>
        <v>8.0866200000000003E-4</v>
      </c>
      <c r="S11" s="188">
        <f>opex_orig!S11</f>
        <v>1.84E-5</v>
      </c>
      <c r="T11" s="188">
        <f>opex_orig!T11</f>
        <v>1.88E-5</v>
      </c>
      <c r="U11" s="188">
        <f>opex_orig!U11</f>
        <v>3.3300000000000003E-5</v>
      </c>
      <c r="V11" s="188">
        <f>opex_orig!V11</f>
        <v>7.8899999999999993E-5</v>
      </c>
      <c r="W11" s="188">
        <f>opex_orig!W11</f>
        <v>3.8500000000000001E-5</v>
      </c>
      <c r="X11" s="188">
        <f>opex_orig!X11</f>
        <v>4.5300000000000003E-5</v>
      </c>
      <c r="Y11" s="188">
        <f>opex_orig!Y11</f>
        <v>9.5999999999999996E-6</v>
      </c>
      <c r="Z11" s="188">
        <f>opex_orig!Z11</f>
        <v>1.2495760000000001E-3</v>
      </c>
      <c r="AA11" s="188">
        <f>opex_orig!AA11</f>
        <v>1.4800000000000001E-5</v>
      </c>
      <c r="AB11" s="188">
        <f>opex_orig!$AB11</f>
        <v>7.7945012262194705E-5</v>
      </c>
      <c r="AC11" s="188">
        <f>opex_orig!$AB11</f>
        <v>7.7945012262194705E-5</v>
      </c>
      <c r="AD11" s="188">
        <f>opex_orig!$AB11</f>
        <v>7.7945012262194705E-5</v>
      </c>
      <c r="AE11" s="188">
        <f>opex_orig!$AC11</f>
        <v>3.4568210543324898E-4</v>
      </c>
      <c r="AF11" s="188">
        <f>opex_orig!$AD11</f>
        <v>1.2886983380055501E-4</v>
      </c>
      <c r="AG11" s="188">
        <f>opex_orig!$AD11</f>
        <v>1.2886983380055501E-4</v>
      </c>
      <c r="AH11" s="188">
        <f>opex_orig!$AD11</f>
        <v>1.2886983380055501E-4</v>
      </c>
      <c r="AI11" s="188">
        <f>opex_orig!AE11</f>
        <v>1.15443E-4</v>
      </c>
      <c r="AJ11" s="188">
        <f>opex_orig!AF11</f>
        <v>2.8099999999999999E-5</v>
      </c>
      <c r="AK11" s="188">
        <f>opex_orig!AG11</f>
        <v>5.3700000000000003E-6</v>
      </c>
      <c r="AL11" s="188">
        <f>opex_orig!AH11</f>
        <v>1.9476500000000001E-4</v>
      </c>
      <c r="AM11" s="188">
        <f>opex_orig!AI11</f>
        <v>3.4600000000000001E-5</v>
      </c>
      <c r="AN11" s="188">
        <f>opex_orig!AJ11</f>
        <v>7.5900000000000002E-5</v>
      </c>
      <c r="AO11" s="188">
        <f>opex_orig!AK11</f>
        <v>8.6000000000000003E-5</v>
      </c>
      <c r="AP11" s="188">
        <f>opex_orig!$AL11</f>
        <v>4.16584815545092E-5</v>
      </c>
      <c r="AQ11" s="188">
        <f>opex_orig!$AL11</f>
        <v>4.16584815545092E-5</v>
      </c>
      <c r="AR11" s="188">
        <f>opex_orig!$AL11</f>
        <v>4.16584815545092E-5</v>
      </c>
      <c r="AS11" s="188">
        <f>opex_orig!$AM11</f>
        <v>3.6137758667588702E-5</v>
      </c>
      <c r="AT11" s="188">
        <f>opex_orig!AN11</f>
        <v>7.4400000000000006E-5</v>
      </c>
      <c r="AU11" s="188">
        <f>opex_orig!$AO11</f>
        <v>8.9161567717198893E-6</v>
      </c>
      <c r="AV11" s="188">
        <f>opex_orig!$AO11</f>
        <v>8.9161567717198893E-6</v>
      </c>
      <c r="AW11" s="188">
        <f>opex_orig!$AO11</f>
        <v>8.9161567717198893E-6</v>
      </c>
      <c r="AX11" s="188">
        <f>opex_orig!$AP11</f>
        <v>2.0262286038513401E-5</v>
      </c>
      <c r="AY11" s="188">
        <f>opex_orig!AQ11</f>
        <v>2.5299999999999998E-5</v>
      </c>
      <c r="AZ11" s="188">
        <f>opex_orig!AR11</f>
        <v>0</v>
      </c>
      <c r="BA11" s="188">
        <f>opex_orig!AS11</f>
        <v>2.55E-5</v>
      </c>
      <c r="BB11" s="188">
        <f>opex_orig!AT11</f>
        <v>1.91E-5</v>
      </c>
      <c r="BC11" s="188">
        <f>opex_orig!AU11</f>
        <v>2.0299999999999999E-5</v>
      </c>
      <c r="BD11" s="188">
        <f>opex_orig!AV11</f>
        <v>7.2300000000000002E-6</v>
      </c>
      <c r="BE11" s="188">
        <f>opex_orig!AW11</f>
        <v>1.9300000000000002E-5</v>
      </c>
      <c r="BF11" s="188">
        <f>opex_orig!AX11</f>
        <v>0</v>
      </c>
      <c r="BG11" s="188">
        <f>opex_orig!AY11</f>
        <v>8.7800000000000006E-6</v>
      </c>
      <c r="BH11" s="188">
        <f>opex_orig!AZ11</f>
        <v>0</v>
      </c>
      <c r="BI11" s="188">
        <f>opex_orig!BA11</f>
        <v>1.15E-5</v>
      </c>
      <c r="BJ11" s="188">
        <f>opex_orig!BB11</f>
        <v>1.6500000000000001E-5</v>
      </c>
      <c r="BK11" s="188">
        <f>opex_orig!BC11</f>
        <v>1.3699999999999999E-5</v>
      </c>
      <c r="BL11" s="188">
        <f>opex_orig!BD11</f>
        <v>7.6699999999999994E-6</v>
      </c>
      <c r="BM11" s="188">
        <f>opex_orig!BE11</f>
        <v>1.1199999999999999E-5</v>
      </c>
      <c r="BN11" s="188">
        <f>opex_orig!BF11</f>
        <v>1.45E-5</v>
      </c>
      <c r="BO11" s="188">
        <f>opex_orig!BG11</f>
        <v>1.04E-5</v>
      </c>
      <c r="BP11" s="188">
        <f>opex_orig!$BH11</f>
        <v>5.0951967360878102E-6</v>
      </c>
      <c r="BQ11" s="188">
        <f>opex_orig!$BH11</f>
        <v>5.0951967360878102E-6</v>
      </c>
      <c r="BR11" s="188">
        <f>opex_orig!BI11</f>
        <v>1.5699999999999999E-5</v>
      </c>
      <c r="BS11" s="188">
        <f>opex_orig!BJ11</f>
        <v>1.50815E-4</v>
      </c>
      <c r="BT11" s="188">
        <f>opex_orig!BK11</f>
        <v>9.4499999999999993E-6</v>
      </c>
      <c r="BU11" s="188">
        <f>opex_orig!BL11</f>
        <v>0</v>
      </c>
      <c r="BV11" s="27">
        <f>opex_orig!BM11</f>
        <v>1.35945836774948E-5</v>
      </c>
      <c r="BW11" s="27">
        <f>opex_orig!BN11</f>
        <v>9.7459627490837695E-5</v>
      </c>
      <c r="BX11" s="27">
        <f>opex_orig!BO11</f>
        <v>1.09427694524679E-5</v>
      </c>
      <c r="BY11" s="27">
        <f>opex_orig!BP11</f>
        <v>8.6423362833220902E-5</v>
      </c>
      <c r="BZ11" s="27">
        <f>opex_orig!BQ11</f>
        <v>1.7201854165105302E-5</v>
      </c>
      <c r="CA11" s="27">
        <f>opex_orig!BR11</f>
        <v>1.1906531688928001E-6</v>
      </c>
      <c r="CB11" s="27">
        <f>opex_orig!BS11</f>
        <v>2.6906909862313001E-5</v>
      </c>
      <c r="CC11" s="27">
        <f>opex_orig!BT11</f>
        <v>3.0843566856520298E-6</v>
      </c>
      <c r="CD11" s="27">
        <f>opex_orig!BU11</f>
        <v>4.4573768899576904E-6</v>
      </c>
      <c r="CE11" s="27">
        <f>opex_orig!BV11</f>
        <v>4.4573768899577099E-6</v>
      </c>
      <c r="CF11" s="27">
        <f>opex_orig!BW11</f>
        <v>2.25390338206324E-5</v>
      </c>
      <c r="CG11" s="27">
        <f>opex_orig!BX11</f>
        <v>2.1681588641072298E-6</v>
      </c>
      <c r="CH11" s="27">
        <f>opex_orig!BY11</f>
        <v>5.9305368938858399E-6</v>
      </c>
      <c r="CI11" s="27">
        <f>opex_orig!Y11</f>
        <v>9.5999999999999996E-6</v>
      </c>
      <c r="CJ11" s="27">
        <f>opex_orig!Z11</f>
        <v>1.2495760000000001E-3</v>
      </c>
      <c r="CK11" s="27">
        <f>opex_orig!AA11</f>
        <v>1.4800000000000001E-5</v>
      </c>
      <c r="CL11" s="27">
        <f>opex_orig!AB11</f>
        <v>7.7945012262194705E-5</v>
      </c>
      <c r="CM11" s="27">
        <f>opex_orig!AC11</f>
        <v>3.4568210543324898E-4</v>
      </c>
      <c r="CN11" s="27">
        <f>opex_orig!AD11</f>
        <v>1.2886983380055501E-4</v>
      </c>
      <c r="CO11" s="27">
        <f>opex_orig!AE11</f>
        <v>1.15443E-4</v>
      </c>
      <c r="CP11" s="27">
        <f>opex_orig!AF11</f>
        <v>2.8099999999999999E-5</v>
      </c>
    </row>
    <row r="12" spans="1:94" x14ac:dyDescent="0.25">
      <c r="A12" s="5" t="s">
        <v>43</v>
      </c>
      <c r="B12" s="2" t="s">
        <v>42</v>
      </c>
      <c r="C12" s="1" t="s">
        <v>325</v>
      </c>
      <c r="D12" s="188">
        <f>opex_orig!D12</f>
        <v>1.38E-5</v>
      </c>
      <c r="E12" s="188">
        <f>opex_orig!E12</f>
        <v>3.2700000000000002E-5</v>
      </c>
      <c r="F12" s="188">
        <f>opex_orig!F12</f>
        <v>0.16682038900000001</v>
      </c>
      <c r="G12" s="188">
        <f>opex_orig!G12</f>
        <v>3.9579539999999996E-3</v>
      </c>
      <c r="H12" s="188">
        <f>opex_orig!H12</f>
        <v>1.4699999999999999E-6</v>
      </c>
      <c r="I12" s="188">
        <f>opex_orig!I12</f>
        <v>1.6699999999999999E-5</v>
      </c>
      <c r="J12" s="188">
        <f>opex_orig!J12</f>
        <v>2.3200000000000001E-5</v>
      </c>
      <c r="K12" s="188">
        <f>opex_orig!K12</f>
        <v>1.15E-6</v>
      </c>
      <c r="L12" s="188">
        <f>opex_orig!L12</f>
        <v>2.5642205000000001E-2</v>
      </c>
      <c r="M12" s="188">
        <f>opex_orig!M12</f>
        <v>3.1608682999999999E-2</v>
      </c>
      <c r="N12" s="188">
        <f>opex_orig!N12</f>
        <v>3.2791763000000002E-2</v>
      </c>
      <c r="O12" s="188">
        <f>opex_orig!O12</f>
        <v>5.38416E-4</v>
      </c>
      <c r="P12" s="188">
        <f>opex_orig!P12</f>
        <v>1.05945E-4</v>
      </c>
      <c r="Q12" s="188">
        <f>opex_orig!Q12</f>
        <v>1.14275E-4</v>
      </c>
      <c r="R12" s="188">
        <f>opex_orig!R12</f>
        <v>5.1980400000000001E-4</v>
      </c>
      <c r="S12" s="188">
        <f>opex_orig!S12</f>
        <v>2.7699999999999999E-5</v>
      </c>
      <c r="T12" s="188">
        <f>opex_orig!T12</f>
        <v>2.6400000000000001E-5</v>
      </c>
      <c r="U12" s="188">
        <f>opex_orig!U12</f>
        <v>1.7200000000000001E-5</v>
      </c>
      <c r="V12" s="188">
        <f>opex_orig!V12</f>
        <v>1.3200000000000001E-5</v>
      </c>
      <c r="W12" s="188">
        <f>opex_orig!W12</f>
        <v>8.2600000000000005E-6</v>
      </c>
      <c r="X12" s="188">
        <f>opex_orig!X12</f>
        <v>7.8299999999999996E-6</v>
      </c>
      <c r="Y12" s="188">
        <f>opex_orig!Y12</f>
        <v>2.7300000000000001E-6</v>
      </c>
      <c r="Z12" s="188">
        <f>opex_orig!Z12</f>
        <v>4.72404E-4</v>
      </c>
      <c r="AA12" s="188">
        <f>opex_orig!AA12</f>
        <v>1.0000000000000001E-5</v>
      </c>
      <c r="AB12" s="188">
        <f>opex_orig!$AB12</f>
        <v>6.3587340005322101E-5</v>
      </c>
      <c r="AC12" s="188">
        <f>opex_orig!$AB12</f>
        <v>6.3587340005322101E-5</v>
      </c>
      <c r="AD12" s="188">
        <f>opex_orig!$AB12</f>
        <v>6.3587340005322101E-5</v>
      </c>
      <c r="AE12" s="188">
        <f>opex_orig!$AC12</f>
        <v>4.5550212098428897E-5</v>
      </c>
      <c r="AF12" s="188">
        <f>opex_orig!$AD12</f>
        <v>2.8995459319350501E-5</v>
      </c>
      <c r="AG12" s="188">
        <f>opex_orig!$AD12</f>
        <v>2.8995459319350501E-5</v>
      </c>
      <c r="AH12" s="188">
        <f>opex_orig!$AD12</f>
        <v>2.8995459319350501E-5</v>
      </c>
      <c r="AI12" s="188">
        <f>opex_orig!AE12</f>
        <v>2.9200000000000002E-5</v>
      </c>
      <c r="AJ12" s="188">
        <f>opex_orig!AF12</f>
        <v>1.1750400000000001E-4</v>
      </c>
      <c r="AK12" s="188">
        <f>opex_orig!AG12</f>
        <v>3.0599999999999998E-5</v>
      </c>
      <c r="AL12" s="188">
        <f>opex_orig!AH12</f>
        <v>3.2199999999999997E-5</v>
      </c>
      <c r="AM12" s="188">
        <f>opex_orig!AI12</f>
        <v>7.6399999999999997E-6</v>
      </c>
      <c r="AN12" s="188">
        <f>opex_orig!AJ12</f>
        <v>1.2500000000000001E-5</v>
      </c>
      <c r="AO12" s="188">
        <f>opex_orig!AK12</f>
        <v>1.49E-5</v>
      </c>
      <c r="AP12" s="188">
        <f>opex_orig!$AL12</f>
        <v>8.2384688723707604E-6</v>
      </c>
      <c r="AQ12" s="188">
        <f>opex_orig!$AL12</f>
        <v>8.2384688723707604E-6</v>
      </c>
      <c r="AR12" s="188">
        <f>opex_orig!$AL12</f>
        <v>8.2384688723707604E-6</v>
      </c>
      <c r="AS12" s="188">
        <f>opex_orig!$AM12</f>
        <v>6.3378684464660198E-6</v>
      </c>
      <c r="AT12" s="188">
        <f>opex_orig!AN12</f>
        <v>1.33E-5</v>
      </c>
      <c r="AU12" s="188">
        <f>opex_orig!$AO12</f>
        <v>7.9638240677743898E-6</v>
      </c>
      <c r="AV12" s="188">
        <f>opex_orig!$AO12</f>
        <v>7.9638240677743898E-6</v>
      </c>
      <c r="AW12" s="188">
        <f>opex_orig!$AO12</f>
        <v>7.9638240677743898E-6</v>
      </c>
      <c r="AX12" s="188">
        <f>opex_orig!$AP12</f>
        <v>8.0277025505255606E-6</v>
      </c>
      <c r="AY12" s="188">
        <f>opex_orig!AQ12</f>
        <v>1.2E-5</v>
      </c>
      <c r="AZ12" s="188">
        <f>opex_orig!AR12</f>
        <v>0</v>
      </c>
      <c r="BA12" s="188">
        <f>opex_orig!AS12</f>
        <v>1.4600000000000001E-5</v>
      </c>
      <c r="BB12" s="188">
        <f>opex_orig!AT12</f>
        <v>1.29E-5</v>
      </c>
      <c r="BC12" s="188">
        <f>opex_orig!AU12</f>
        <v>4.1200000000000004E-6</v>
      </c>
      <c r="BD12" s="188">
        <f>opex_orig!AV12</f>
        <v>1.6199999999999999E-6</v>
      </c>
      <c r="BE12" s="188">
        <f>opex_orig!AW12</f>
        <v>5.8200000000000002E-6</v>
      </c>
      <c r="BF12" s="188">
        <f>opex_orig!AX12</f>
        <v>0</v>
      </c>
      <c r="BG12" s="188">
        <f>opex_orig!AY12</f>
        <v>1.01E-5</v>
      </c>
      <c r="BH12" s="188">
        <f>opex_orig!AZ12</f>
        <v>0</v>
      </c>
      <c r="BI12" s="188">
        <f>opex_orig!BA12</f>
        <v>8.4300000000000006E-6</v>
      </c>
      <c r="BJ12" s="188">
        <f>opex_orig!BB12</f>
        <v>5.75E-6</v>
      </c>
      <c r="BK12" s="188">
        <f>opex_orig!BC12</f>
        <v>6.8399999999999997E-6</v>
      </c>
      <c r="BL12" s="188">
        <f>opex_orig!BD12</f>
        <v>4.5600000000000004E-6</v>
      </c>
      <c r="BM12" s="188">
        <f>opex_orig!BE12</f>
        <v>3.3500000000000001E-6</v>
      </c>
      <c r="BN12" s="188">
        <f>opex_orig!BF12</f>
        <v>1.8700000000000001E-6</v>
      </c>
      <c r="BO12" s="188">
        <f>opex_orig!BG12</f>
        <v>1.1399999999999999E-5</v>
      </c>
      <c r="BP12" s="188">
        <f>opex_orig!$BH12</f>
        <v>4.2967988923090602E-6</v>
      </c>
      <c r="BQ12" s="188">
        <f>opex_orig!$BH12</f>
        <v>4.2967988923090602E-6</v>
      </c>
      <c r="BR12" s="188">
        <f>opex_orig!BI12</f>
        <v>7.8199999999999997E-6</v>
      </c>
      <c r="BS12" s="188">
        <f>opex_orig!BJ12</f>
        <v>1.7311E-4</v>
      </c>
      <c r="BT12" s="188">
        <f>opex_orig!BK12</f>
        <v>3.8399999999999997E-6</v>
      </c>
      <c r="BU12" s="188">
        <f>opex_orig!BL12</f>
        <v>0</v>
      </c>
      <c r="BV12" s="27">
        <f>opex_orig!BM12</f>
        <v>6.69657766286421E-6</v>
      </c>
      <c r="BW12" s="27">
        <f>opex_orig!BN12</f>
        <v>1.8908780649113599E-5</v>
      </c>
      <c r="BX12" s="27">
        <f>opex_orig!BO12</f>
        <v>2.6578816196440101E-6</v>
      </c>
      <c r="BY12" s="27">
        <f>opex_orig!BP12</f>
        <v>1.15383009240367E-5</v>
      </c>
      <c r="BZ12" s="27">
        <f>opex_orig!BQ12</f>
        <v>4.9018960117277204E-6</v>
      </c>
      <c r="CA12" s="27">
        <f>opex_orig!BR12</f>
        <v>2.17444103891164E-7</v>
      </c>
      <c r="CB12" s="27">
        <f>opex_orig!BS12</f>
        <v>1.2339696014075899E-5</v>
      </c>
      <c r="CC12" s="27">
        <f>opex_orig!BT12</f>
        <v>9.3326752528708198E-7</v>
      </c>
      <c r="CD12" s="27">
        <f>opex_orig!BU12</f>
        <v>2.37899400350489E-6</v>
      </c>
      <c r="CE12" s="27">
        <f>opex_orig!BV12</f>
        <v>2.3789940035049002E-6</v>
      </c>
      <c r="CF12" s="27">
        <f>opex_orig!BW12</f>
        <v>4.1476410596135304E-6</v>
      </c>
      <c r="CG12" s="27">
        <f>opex_orig!BX12</f>
        <v>1.88491280804234E-6</v>
      </c>
      <c r="CH12" s="27">
        <f>opex_orig!BY12</f>
        <v>8.9963376128656205E-6</v>
      </c>
      <c r="CI12" s="27">
        <f>opex_orig!Y12</f>
        <v>2.7300000000000001E-6</v>
      </c>
      <c r="CJ12" s="27">
        <f>opex_orig!Z12</f>
        <v>4.72404E-4</v>
      </c>
      <c r="CK12" s="27">
        <f>opex_orig!AA12</f>
        <v>1.0000000000000001E-5</v>
      </c>
      <c r="CL12" s="27">
        <f>opex_orig!AB12</f>
        <v>6.3587340005322101E-5</v>
      </c>
      <c r="CM12" s="27">
        <f>opex_orig!AC12</f>
        <v>4.5550212098428897E-5</v>
      </c>
      <c r="CN12" s="27">
        <f>opex_orig!AD12</f>
        <v>2.8995459319350501E-5</v>
      </c>
      <c r="CO12" s="27">
        <f>opex_orig!AE12</f>
        <v>2.9200000000000002E-5</v>
      </c>
      <c r="CP12" s="27">
        <f>opex_orig!AF12</f>
        <v>1.1750400000000001E-4</v>
      </c>
    </row>
    <row r="13" spans="1:94" x14ac:dyDescent="0.25">
      <c r="A13" s="5" t="s">
        <v>45</v>
      </c>
      <c r="B13" s="2" t="s">
        <v>44</v>
      </c>
      <c r="C13" s="1" t="s">
        <v>325</v>
      </c>
      <c r="D13" s="188">
        <f>opex_orig!D13</f>
        <v>1.2251440000000001E-3</v>
      </c>
      <c r="E13" s="188">
        <f>opex_orig!E13</f>
        <v>2.7980253E-2</v>
      </c>
      <c r="F13" s="188">
        <f>opex_orig!F13</f>
        <v>2.3871470000000001E-3</v>
      </c>
      <c r="G13" s="188">
        <f>opex_orig!G13</f>
        <v>1.1947401E-2</v>
      </c>
      <c r="H13" s="188">
        <f>opex_orig!H13</f>
        <v>1.8300000000000001E-5</v>
      </c>
      <c r="I13" s="188">
        <f>opex_orig!I13</f>
        <v>9.8180360000000005E-3</v>
      </c>
      <c r="J13" s="188">
        <f>opex_orig!J13</f>
        <v>3.03166E-4</v>
      </c>
      <c r="K13" s="188">
        <f>opex_orig!K13</f>
        <v>3.6300000000000001E-5</v>
      </c>
      <c r="L13" s="188">
        <f>opex_orig!L13</f>
        <v>4.9153620000000004E-3</v>
      </c>
      <c r="M13" s="188">
        <f>opex_orig!M13</f>
        <v>8.4320399999999996E-4</v>
      </c>
      <c r="N13" s="188">
        <f>opex_orig!N13</f>
        <v>5.9541300000000002E-3</v>
      </c>
      <c r="O13" s="188">
        <f>opex_orig!O13</f>
        <v>6.1522699999999998E-4</v>
      </c>
      <c r="P13" s="188">
        <f>opex_orig!P13</f>
        <v>3.00921E-4</v>
      </c>
      <c r="Q13" s="188">
        <f>opex_orig!Q13</f>
        <v>2.24415E-4</v>
      </c>
      <c r="R13" s="188">
        <f>opex_orig!R13</f>
        <v>2.76741E-4</v>
      </c>
      <c r="S13" s="188">
        <f>opex_orig!S13</f>
        <v>1.0256599999999999E-4</v>
      </c>
      <c r="T13" s="188">
        <f>opex_orig!T13</f>
        <v>1.13539E-4</v>
      </c>
      <c r="U13" s="188">
        <f>opex_orig!U13</f>
        <v>2.7725500000000001E-4</v>
      </c>
      <c r="V13" s="188">
        <f>opex_orig!V13</f>
        <v>5.1504399999999998E-4</v>
      </c>
      <c r="W13" s="188">
        <f>opex_orig!W13</f>
        <v>1.2682500000000001E-4</v>
      </c>
      <c r="X13" s="188">
        <f>opex_orig!X13</f>
        <v>1.44516E-4</v>
      </c>
      <c r="Y13" s="188">
        <f>opex_orig!Y13</f>
        <v>4.49E-5</v>
      </c>
      <c r="Z13" s="188">
        <f>opex_orig!Z13</f>
        <v>7.4085199999999996E-4</v>
      </c>
      <c r="AA13" s="188">
        <f>opex_orig!AA13</f>
        <v>1.6386600000000001E-4</v>
      </c>
      <c r="AB13" s="188">
        <f>opex_orig!$AB13</f>
        <v>5.9862125154225699E-4</v>
      </c>
      <c r="AC13" s="188">
        <f>opex_orig!$AB13</f>
        <v>5.9862125154225699E-4</v>
      </c>
      <c r="AD13" s="188">
        <f>opex_orig!$AB13</f>
        <v>5.9862125154225699E-4</v>
      </c>
      <c r="AE13" s="188">
        <f>opex_orig!$AC13</f>
        <v>2.03200183827213E-3</v>
      </c>
      <c r="AF13" s="188">
        <f>opex_orig!$AD13</f>
        <v>6.02849990165906E-4</v>
      </c>
      <c r="AG13" s="188">
        <f>opex_orig!$AD13</f>
        <v>6.02849990165906E-4</v>
      </c>
      <c r="AH13" s="188">
        <f>opex_orig!$AD13</f>
        <v>6.02849990165906E-4</v>
      </c>
      <c r="AI13" s="188">
        <f>opex_orig!AE13</f>
        <v>4.0793900000000001E-4</v>
      </c>
      <c r="AJ13" s="188">
        <f>opex_orig!AF13</f>
        <v>2.0705499999999999E-4</v>
      </c>
      <c r="AK13" s="188">
        <f>opex_orig!AG13</f>
        <v>7.4099999999999999E-5</v>
      </c>
      <c r="AL13" s="188">
        <f>opex_orig!AH13</f>
        <v>4.1174499999999998E-4</v>
      </c>
      <c r="AM13" s="188">
        <f>opex_orig!AI13</f>
        <v>1.02434E-4</v>
      </c>
      <c r="AN13" s="188">
        <f>opex_orig!AJ13</f>
        <v>2.9339900000000001E-4</v>
      </c>
      <c r="AO13" s="188">
        <f>opex_orig!AK13</f>
        <v>1.9161199999999999E-4</v>
      </c>
      <c r="AP13" s="188">
        <f>opex_orig!$AL13</f>
        <v>1.6725877606595601E-4</v>
      </c>
      <c r="AQ13" s="188">
        <f>opex_orig!$AL13</f>
        <v>1.6725877606595601E-4</v>
      </c>
      <c r="AR13" s="188">
        <f>opex_orig!$AL13</f>
        <v>1.6725877606595601E-4</v>
      </c>
      <c r="AS13" s="188">
        <f>opex_orig!$AM13</f>
        <v>1.02432135031415E-4</v>
      </c>
      <c r="AT13" s="188">
        <f>opex_orig!AN13</f>
        <v>2.1703200000000001E-4</v>
      </c>
      <c r="AU13" s="188">
        <f>opex_orig!$AO13</f>
        <v>9.8723033692773503E-5</v>
      </c>
      <c r="AV13" s="188">
        <f>opex_orig!$AO13</f>
        <v>9.8723033692773503E-5</v>
      </c>
      <c r="AW13" s="188">
        <f>opex_orig!$AO13</f>
        <v>9.8723033692773503E-5</v>
      </c>
      <c r="AX13" s="188">
        <f>opex_orig!$AP13</f>
        <v>2.0647885871765E-4</v>
      </c>
      <c r="AY13" s="188">
        <f>opex_orig!AQ13</f>
        <v>2.82532E-4</v>
      </c>
      <c r="AZ13" s="188">
        <f>opex_orig!AR13</f>
        <v>0</v>
      </c>
      <c r="BA13" s="188">
        <f>opex_orig!AS13</f>
        <v>2.5874699999999998E-4</v>
      </c>
      <c r="BB13" s="188">
        <f>opex_orig!AT13</f>
        <v>1.98736E-4</v>
      </c>
      <c r="BC13" s="188">
        <f>opex_orig!AU13</f>
        <v>1.85947E-4</v>
      </c>
      <c r="BD13" s="188">
        <f>opex_orig!AV13</f>
        <v>4.5300000000000003E-5</v>
      </c>
      <c r="BE13" s="188">
        <f>opex_orig!AW13</f>
        <v>3.4925400000000001E-4</v>
      </c>
      <c r="BF13" s="188">
        <f>opex_orig!AX13</f>
        <v>0</v>
      </c>
      <c r="BG13" s="188">
        <f>opex_orig!AY13</f>
        <v>1.2864699999999999E-4</v>
      </c>
      <c r="BH13" s="188">
        <f>opex_orig!AZ13</f>
        <v>0</v>
      </c>
      <c r="BI13" s="188">
        <f>opex_orig!BA13</f>
        <v>1.3606299999999999E-4</v>
      </c>
      <c r="BJ13" s="188">
        <f>opex_orig!BB13</f>
        <v>9.2399999999999996E-5</v>
      </c>
      <c r="BK13" s="188">
        <f>opex_orig!BC13</f>
        <v>1.16876E-4</v>
      </c>
      <c r="BL13" s="188">
        <f>opex_orig!BD13</f>
        <v>1.27529E-4</v>
      </c>
      <c r="BM13" s="188">
        <f>opex_orig!BE13</f>
        <v>1.08952E-4</v>
      </c>
      <c r="BN13" s="188">
        <f>opex_orig!BF13</f>
        <v>1.3937500000000001E-4</v>
      </c>
      <c r="BO13" s="188">
        <f>opex_orig!BG13</f>
        <v>1.08554E-4</v>
      </c>
      <c r="BP13" s="188">
        <f>opex_orig!$BH13</f>
        <v>1.05049162046147E-4</v>
      </c>
      <c r="BQ13" s="188">
        <f>opex_orig!$BH13</f>
        <v>1.05049162046147E-4</v>
      </c>
      <c r="BR13" s="188">
        <f>opex_orig!BI13</f>
        <v>9.8200000000000002E-5</v>
      </c>
      <c r="BS13" s="188">
        <f>opex_orig!BJ13</f>
        <v>1.1018099999999999E-4</v>
      </c>
      <c r="BT13" s="188">
        <f>opex_orig!BK13</f>
        <v>1.6132399999999999E-4</v>
      </c>
      <c r="BU13" s="188">
        <f>opex_orig!BL13</f>
        <v>0</v>
      </c>
      <c r="BV13" s="27">
        <f>opex_orig!BM13</f>
        <v>1.13775652616053E-4</v>
      </c>
      <c r="BW13" s="27">
        <f>opex_orig!BN13</f>
        <v>8.6590994480378197E-4</v>
      </c>
      <c r="BX13" s="27">
        <f>opex_orig!BO13</f>
        <v>8.6357232148240003E-5</v>
      </c>
      <c r="BY13" s="27">
        <f>opex_orig!BP13</f>
        <v>7.7691296612167099E-4</v>
      </c>
      <c r="BZ13" s="27">
        <f>opex_orig!BQ13</f>
        <v>1.2256470862852001E-4</v>
      </c>
      <c r="CA13" s="27">
        <f>opex_orig!BR13</f>
        <v>2.3110012343302599E-5</v>
      </c>
      <c r="CB13" s="27">
        <f>opex_orig!BS13</f>
        <v>2.3350818995089001E-4</v>
      </c>
      <c r="CC13" s="27">
        <f>opex_orig!BT13</f>
        <v>3.0394576239496001E-5</v>
      </c>
      <c r="CD13" s="27">
        <f>opex_orig!BU13</f>
        <v>5.32550584164694E-5</v>
      </c>
      <c r="CE13" s="27">
        <f>opex_orig!BV13</f>
        <v>5.3255058416469501E-5</v>
      </c>
      <c r="CF13" s="27">
        <f>opex_orig!BW13</f>
        <v>1.1701265118850301E-4</v>
      </c>
      <c r="CG13" s="27">
        <f>opex_orig!BX13</f>
        <v>2.10816740454389E-5</v>
      </c>
      <c r="CH13" s="27">
        <f>opex_orig!BY13</f>
        <v>3.6380746754708997E-4</v>
      </c>
      <c r="CI13" s="27">
        <f>opex_orig!Y13</f>
        <v>4.49E-5</v>
      </c>
      <c r="CJ13" s="27">
        <f>opex_orig!Z13</f>
        <v>7.4085199999999996E-4</v>
      </c>
      <c r="CK13" s="27">
        <f>opex_orig!AA13</f>
        <v>1.6386600000000001E-4</v>
      </c>
      <c r="CL13" s="27">
        <f>opex_orig!AB13</f>
        <v>5.9862125154225699E-4</v>
      </c>
      <c r="CM13" s="27">
        <f>opex_orig!AC13</f>
        <v>2.03200183827213E-3</v>
      </c>
      <c r="CN13" s="27">
        <f>opex_orig!AD13</f>
        <v>6.02849990165906E-4</v>
      </c>
      <c r="CO13" s="27">
        <f>opex_orig!AE13</f>
        <v>4.0793900000000001E-4</v>
      </c>
      <c r="CP13" s="27">
        <f>opex_orig!AF13</f>
        <v>2.0705499999999999E-4</v>
      </c>
    </row>
    <row r="14" spans="1:94" x14ac:dyDescent="0.25">
      <c r="A14" s="5" t="s">
        <v>47</v>
      </c>
      <c r="B14" s="2" t="s">
        <v>46</v>
      </c>
      <c r="C14" s="1" t="s">
        <v>325</v>
      </c>
      <c r="D14" s="188">
        <f>opex_orig!D14</f>
        <v>3.1496999999999997E-4</v>
      </c>
      <c r="E14" s="188">
        <f>opex_orig!E14</f>
        <v>6.5200850000000001E-3</v>
      </c>
      <c r="F14" s="188">
        <f>opex_orig!F14</f>
        <v>4.9657E-4</v>
      </c>
      <c r="G14" s="188">
        <f>opex_orig!G14</f>
        <v>1.37396E-3</v>
      </c>
      <c r="H14" s="188">
        <f>opex_orig!H14</f>
        <v>8.4800000000000001E-6</v>
      </c>
      <c r="I14" s="188">
        <f>opex_orig!I14</f>
        <v>2.2704359999999998E-3</v>
      </c>
      <c r="J14" s="188">
        <f>opex_orig!J14</f>
        <v>5.5500000000000001E-5</v>
      </c>
      <c r="K14" s="188">
        <f>opex_orig!K14</f>
        <v>1.9000000000000001E-5</v>
      </c>
      <c r="L14" s="188">
        <f>opex_orig!L14</f>
        <v>7.6957600000000001E-4</v>
      </c>
      <c r="M14" s="188">
        <f>opex_orig!M14</f>
        <v>2.2602899999999999E-4</v>
      </c>
      <c r="N14" s="188">
        <f>opex_orig!N14</f>
        <v>9.4909200000000001E-4</v>
      </c>
      <c r="O14" s="188">
        <f>opex_orig!O14</f>
        <v>4.1100000000000003E-5</v>
      </c>
      <c r="P14" s="188">
        <f>opex_orig!P14</f>
        <v>1.9599999999999999E-5</v>
      </c>
      <c r="Q14" s="188">
        <f>opex_orig!Q14</f>
        <v>3.29E-5</v>
      </c>
      <c r="R14" s="188">
        <f>opex_orig!R14</f>
        <v>6.5500000000000006E-5</v>
      </c>
      <c r="S14" s="188">
        <f>opex_orig!S14</f>
        <v>1.6200000000000001E-5</v>
      </c>
      <c r="T14" s="188">
        <f>opex_orig!T14</f>
        <v>3.65E-5</v>
      </c>
      <c r="U14" s="188">
        <f>opex_orig!U14</f>
        <v>1.8600000000000001E-5</v>
      </c>
      <c r="V14" s="188">
        <f>opex_orig!V14</f>
        <v>2.26E-5</v>
      </c>
      <c r="W14" s="188">
        <f>opex_orig!W14</f>
        <v>1.33E-5</v>
      </c>
      <c r="X14" s="188">
        <f>opex_orig!X14</f>
        <v>2.0100000000000001E-5</v>
      </c>
      <c r="Y14" s="188">
        <f>opex_orig!Y14</f>
        <v>1.8E-5</v>
      </c>
      <c r="Z14" s="188">
        <f>opex_orig!Z14</f>
        <v>8.1000000000000004E-6</v>
      </c>
      <c r="AA14" s="188">
        <f>opex_orig!AA14</f>
        <v>5.7000000000000003E-5</v>
      </c>
      <c r="AB14" s="188">
        <f>opex_orig!$AB14</f>
        <v>4.9308516102304498E-5</v>
      </c>
      <c r="AC14" s="188">
        <f>opex_orig!$AB14</f>
        <v>4.9308516102304498E-5</v>
      </c>
      <c r="AD14" s="188">
        <f>opex_orig!$AB14</f>
        <v>4.9308516102304498E-5</v>
      </c>
      <c r="AE14" s="188">
        <f>opex_orig!$AC14</f>
        <v>6.8756552819594603E-5</v>
      </c>
      <c r="AF14" s="188">
        <f>opex_orig!$AD14</f>
        <v>2.17060825538901E-5</v>
      </c>
      <c r="AG14" s="188">
        <f>opex_orig!$AD14</f>
        <v>2.17060825538901E-5</v>
      </c>
      <c r="AH14" s="188">
        <f>opex_orig!$AD14</f>
        <v>2.17060825538901E-5</v>
      </c>
      <c r="AI14" s="188">
        <f>opex_orig!AE14</f>
        <v>1.6099999999999998E-5</v>
      </c>
      <c r="AJ14" s="188">
        <f>opex_orig!AF14</f>
        <v>3.0199999999999999E-5</v>
      </c>
      <c r="AK14" s="188">
        <f>opex_orig!AG14</f>
        <v>2.16E-5</v>
      </c>
      <c r="AL14" s="188">
        <f>opex_orig!AH14</f>
        <v>1.17E-5</v>
      </c>
      <c r="AM14" s="188">
        <f>opex_orig!AI14</f>
        <v>2.4000000000000001E-5</v>
      </c>
      <c r="AN14" s="188">
        <f>opex_orig!AJ14</f>
        <v>1.43E-5</v>
      </c>
      <c r="AO14" s="188">
        <f>opex_orig!AK14</f>
        <v>3.0499999999999999E-5</v>
      </c>
      <c r="AP14" s="188">
        <f>opex_orig!$AL14</f>
        <v>1.52380921851642E-5</v>
      </c>
      <c r="AQ14" s="188">
        <f>opex_orig!$AL14</f>
        <v>1.52380921851642E-5</v>
      </c>
      <c r="AR14" s="188">
        <f>opex_orig!$AL14</f>
        <v>1.52380921851642E-5</v>
      </c>
      <c r="AS14" s="188">
        <f>opex_orig!$AM14</f>
        <v>2.48794865472445E-5</v>
      </c>
      <c r="AT14" s="188">
        <f>opex_orig!AN14</f>
        <v>1.7099999999999999E-5</v>
      </c>
      <c r="AU14" s="188">
        <f>opex_orig!$AO14</f>
        <v>1.51973948154517E-5</v>
      </c>
      <c r="AV14" s="188">
        <f>opex_orig!$AO14</f>
        <v>1.51973948154517E-5</v>
      </c>
      <c r="AW14" s="188">
        <f>opex_orig!$AO14</f>
        <v>1.51973948154517E-5</v>
      </c>
      <c r="AX14" s="188">
        <f>opex_orig!$AP14</f>
        <v>2.2665363203160399E-5</v>
      </c>
      <c r="AY14" s="188">
        <f>opex_orig!AQ14</f>
        <v>2.9899999999999998E-5</v>
      </c>
      <c r="AZ14" s="188">
        <f>opex_orig!AR14</f>
        <v>0</v>
      </c>
      <c r="BA14" s="188">
        <f>opex_orig!AS14</f>
        <v>2.3600000000000001E-5</v>
      </c>
      <c r="BB14" s="188">
        <f>opex_orig!AT14</f>
        <v>1.98E-5</v>
      </c>
      <c r="BC14" s="188">
        <f>opex_orig!AU14</f>
        <v>1.1600000000000001E-5</v>
      </c>
      <c r="BD14" s="188">
        <f>opex_orig!AV14</f>
        <v>1.11E-5</v>
      </c>
      <c r="BE14" s="188">
        <f>opex_orig!AW14</f>
        <v>1.8099999999999999E-5</v>
      </c>
      <c r="BF14" s="188">
        <f>opex_orig!AX14</f>
        <v>0</v>
      </c>
      <c r="BG14" s="188">
        <f>opex_orig!AY14</f>
        <v>5.9599999999999999E-5</v>
      </c>
      <c r="BH14" s="188">
        <f>opex_orig!AZ14</f>
        <v>0</v>
      </c>
      <c r="BI14" s="188">
        <f>opex_orig!BA14</f>
        <v>1.8600000000000001E-5</v>
      </c>
      <c r="BJ14" s="188">
        <f>opex_orig!BB14</f>
        <v>1.47E-5</v>
      </c>
      <c r="BK14" s="188">
        <f>opex_orig!BC14</f>
        <v>1.5699999999999999E-5</v>
      </c>
      <c r="BL14" s="188">
        <f>opex_orig!BD14</f>
        <v>1.1600000000000001E-5</v>
      </c>
      <c r="BM14" s="188">
        <f>opex_orig!BE14</f>
        <v>9.1900000000000001E-6</v>
      </c>
      <c r="BN14" s="188">
        <f>opex_orig!BF14</f>
        <v>1.24E-5</v>
      </c>
      <c r="BO14" s="188">
        <f>opex_orig!BG14</f>
        <v>2.37E-5</v>
      </c>
      <c r="BP14" s="188">
        <f>opex_orig!$BH14</f>
        <v>2.02263696121965E-5</v>
      </c>
      <c r="BQ14" s="188">
        <f>opex_orig!$BH14</f>
        <v>2.02263696121965E-5</v>
      </c>
      <c r="BR14" s="188">
        <f>opex_orig!BI14</f>
        <v>1.03E-5</v>
      </c>
      <c r="BS14" s="188">
        <f>opex_orig!BJ14</f>
        <v>1.0499999999999999E-5</v>
      </c>
      <c r="BT14" s="188">
        <f>opex_orig!BK14</f>
        <v>2.5000000000000001E-5</v>
      </c>
      <c r="BU14" s="188">
        <f>opex_orig!BL14</f>
        <v>0</v>
      </c>
      <c r="BV14" s="27">
        <f>opex_orig!BM14</f>
        <v>9.48582179931853E-6</v>
      </c>
      <c r="BW14" s="27">
        <f>opex_orig!BN14</f>
        <v>2.3921215976045699E-5</v>
      </c>
      <c r="BX14" s="27">
        <f>opex_orig!BO14</f>
        <v>3.3633318161821098E-6</v>
      </c>
      <c r="BY14" s="27">
        <f>opex_orig!BP14</f>
        <v>1.14510312256993E-5</v>
      </c>
      <c r="BZ14" s="27">
        <f>opex_orig!BQ14</f>
        <v>1.7338088346896499E-5</v>
      </c>
      <c r="CA14" s="27">
        <f>opex_orig!BR14</f>
        <v>1.3561729073329599E-5</v>
      </c>
      <c r="CB14" s="27">
        <f>opex_orig!BS14</f>
        <v>6.5957562521505104E-5</v>
      </c>
      <c r="CC14" s="27">
        <f>opex_orig!BT14</f>
        <v>4.09161192952233E-6</v>
      </c>
      <c r="CD14" s="27">
        <f>opex_orig!BU14</f>
        <v>7.0749000051864003E-6</v>
      </c>
      <c r="CE14" s="27">
        <f>opex_orig!BV14</f>
        <v>7.0749000051864096E-6</v>
      </c>
      <c r="CF14" s="27">
        <f>opex_orig!BW14</f>
        <v>6.6493854841455597E-6</v>
      </c>
      <c r="CG14" s="27">
        <f>opex_orig!BX14</f>
        <v>1.89599648389596E-7</v>
      </c>
      <c r="CH14" s="27">
        <f>opex_orig!BY14</f>
        <v>8.7213870526461499E-7</v>
      </c>
      <c r="CI14" s="27">
        <f>opex_orig!Y14</f>
        <v>1.8E-5</v>
      </c>
      <c r="CJ14" s="27">
        <f>opex_orig!Z14</f>
        <v>8.1000000000000004E-6</v>
      </c>
      <c r="CK14" s="27">
        <f>opex_orig!AA14</f>
        <v>5.7000000000000003E-5</v>
      </c>
      <c r="CL14" s="27">
        <f>opex_orig!AB14</f>
        <v>4.9308516102304498E-5</v>
      </c>
      <c r="CM14" s="27">
        <f>opex_orig!AC14</f>
        <v>6.8756552819594603E-5</v>
      </c>
      <c r="CN14" s="27">
        <f>opex_orig!AD14</f>
        <v>2.17060825538901E-5</v>
      </c>
      <c r="CO14" s="27">
        <f>opex_orig!AE14</f>
        <v>1.6099999999999998E-5</v>
      </c>
      <c r="CP14" s="27">
        <f>opex_orig!AF14</f>
        <v>3.0199999999999999E-5</v>
      </c>
    </row>
    <row r="15" spans="1:94" x14ac:dyDescent="0.25">
      <c r="A15" s="5" t="s">
        <v>49</v>
      </c>
      <c r="B15" s="2" t="s">
        <v>48</v>
      </c>
      <c r="C15" s="1" t="s">
        <v>325</v>
      </c>
      <c r="D15" s="188">
        <f>opex_orig!D15</f>
        <v>1.9603060000000002E-3</v>
      </c>
      <c r="E15" s="188">
        <f>opex_orig!E15</f>
        <v>1.36E-5</v>
      </c>
      <c r="F15" s="188">
        <f>opex_orig!F15</f>
        <v>2.9099999999999999E-5</v>
      </c>
      <c r="G15" s="188">
        <f>opex_orig!G15</f>
        <v>7.6639120000000002E-3</v>
      </c>
      <c r="H15" s="188">
        <f>opex_orig!H15</f>
        <v>9.850000000000001E-7</v>
      </c>
      <c r="I15" s="188">
        <f>opex_orig!I15</f>
        <v>0.33535817200000001</v>
      </c>
      <c r="J15" s="188">
        <f>opex_orig!J15</f>
        <v>1.8899999999999999E-5</v>
      </c>
      <c r="K15" s="188">
        <f>opex_orig!K15</f>
        <v>1.3799999999999999E-6</v>
      </c>
      <c r="L15" s="188">
        <f>opex_orig!L15</f>
        <v>3.045376E-2</v>
      </c>
      <c r="M15" s="188">
        <f>opex_orig!M15</f>
        <v>8.9630049999999996E-3</v>
      </c>
      <c r="N15" s="188">
        <f>opex_orig!N15</f>
        <v>3.3670537E-2</v>
      </c>
      <c r="O15" s="188">
        <f>opex_orig!O15</f>
        <v>5.3335199999999996E-4</v>
      </c>
      <c r="P15" s="188">
        <f>opex_orig!P15</f>
        <v>8.92E-5</v>
      </c>
      <c r="Q15" s="188">
        <f>opex_orig!Q15</f>
        <v>2.0440899999999999E-4</v>
      </c>
      <c r="R15" s="188">
        <f>opex_orig!R15</f>
        <v>8.6899999999999998E-5</v>
      </c>
      <c r="S15" s="188">
        <f>opex_orig!S15</f>
        <v>1.15E-5</v>
      </c>
      <c r="T15" s="188">
        <f>opex_orig!T15</f>
        <v>6.5599999999999999E-6</v>
      </c>
      <c r="U15" s="188">
        <f>opex_orig!U15</f>
        <v>9.6800000000000005E-6</v>
      </c>
      <c r="V15" s="188">
        <f>opex_orig!V15</f>
        <v>1.3200000000000001E-5</v>
      </c>
      <c r="W15" s="188">
        <f>opex_orig!W15</f>
        <v>4.6E-6</v>
      </c>
      <c r="X15" s="188">
        <f>opex_orig!X15</f>
        <v>9.3100000000000006E-6</v>
      </c>
      <c r="Y15" s="188">
        <f>opex_orig!Y15</f>
        <v>1.9700000000000002E-6</v>
      </c>
      <c r="Z15" s="188">
        <f>opex_orig!Z15</f>
        <v>1.014966E-3</v>
      </c>
      <c r="AA15" s="188">
        <f>opex_orig!AA15</f>
        <v>6.3500000000000002E-6</v>
      </c>
      <c r="AB15" s="188">
        <f>opex_orig!$AB15</f>
        <v>1.07657519302187E-4</v>
      </c>
      <c r="AC15" s="188">
        <f>opex_orig!$AB15</f>
        <v>1.07657519302187E-4</v>
      </c>
      <c r="AD15" s="188">
        <f>opex_orig!$AB15</f>
        <v>1.07657519302187E-4</v>
      </c>
      <c r="AE15" s="188">
        <f>opex_orig!$AC15</f>
        <v>5.8585800164570801E-5</v>
      </c>
      <c r="AF15" s="188">
        <f>opex_orig!$AD15</f>
        <v>4.9656906127345398E-5</v>
      </c>
      <c r="AG15" s="188">
        <f>opex_orig!$AD15</f>
        <v>4.9656906127345398E-5</v>
      </c>
      <c r="AH15" s="188">
        <f>opex_orig!$AD15</f>
        <v>4.9656906127345398E-5</v>
      </c>
      <c r="AI15" s="188">
        <f>opex_orig!AE15</f>
        <v>5.0899999999999997E-5</v>
      </c>
      <c r="AJ15" s="188">
        <f>opex_orig!AF15</f>
        <v>3.2299999999999999E-5</v>
      </c>
      <c r="AK15" s="188">
        <f>opex_orig!AG15</f>
        <v>6.1299999999999998E-6</v>
      </c>
      <c r="AL15" s="188">
        <f>opex_orig!AH15</f>
        <v>2.2799999999999999E-5</v>
      </c>
      <c r="AM15" s="188">
        <f>opex_orig!AI15</f>
        <v>4.8199999999999996E-6</v>
      </c>
      <c r="AN15" s="188">
        <f>opex_orig!AJ15</f>
        <v>7.9899999999999997E-6</v>
      </c>
      <c r="AO15" s="188">
        <f>opex_orig!AK15</f>
        <v>9.0699999999999996E-6</v>
      </c>
      <c r="AP15" s="188">
        <f>opex_orig!$AL15</f>
        <v>5.6594203690750201E-6</v>
      </c>
      <c r="AQ15" s="188">
        <f>opex_orig!$AL15</f>
        <v>5.6594203690750201E-6</v>
      </c>
      <c r="AR15" s="188">
        <f>opex_orig!$AL15</f>
        <v>5.6594203690750201E-6</v>
      </c>
      <c r="AS15" s="188">
        <f>opex_orig!$AM15</f>
        <v>4.34858867431015E-6</v>
      </c>
      <c r="AT15" s="188">
        <f>opex_orig!AN15</f>
        <v>8.8000000000000004E-6</v>
      </c>
      <c r="AU15" s="188">
        <f>opex_orig!$AO15</f>
        <v>2.9500354567151198E-6</v>
      </c>
      <c r="AV15" s="188">
        <f>opex_orig!$AO15</f>
        <v>2.9500354567151198E-6</v>
      </c>
      <c r="AW15" s="188">
        <f>opex_orig!$AO15</f>
        <v>2.9500354567151198E-6</v>
      </c>
      <c r="AX15" s="188">
        <f>opex_orig!$AP15</f>
        <v>4.3238104465157202E-6</v>
      </c>
      <c r="AY15" s="188">
        <f>opex_orig!AQ15</f>
        <v>5.4399999999999996E-6</v>
      </c>
      <c r="AZ15" s="188">
        <f>opex_orig!AR15</f>
        <v>0</v>
      </c>
      <c r="BA15" s="188">
        <f>opex_orig!AS15</f>
        <v>5.5799999999999999E-6</v>
      </c>
      <c r="BB15" s="188">
        <f>opex_orig!AT15</f>
        <v>4.3000000000000003E-6</v>
      </c>
      <c r="BC15" s="188">
        <f>opex_orig!AU15</f>
        <v>4.4100000000000001E-6</v>
      </c>
      <c r="BD15" s="188">
        <f>opex_orig!AV15</f>
        <v>1.1200000000000001E-6</v>
      </c>
      <c r="BE15" s="188">
        <f>opex_orig!AW15</f>
        <v>3.7500000000000001E-6</v>
      </c>
      <c r="BF15" s="188">
        <f>opex_orig!AX15</f>
        <v>0</v>
      </c>
      <c r="BG15" s="188">
        <f>opex_orig!AY15</f>
        <v>3.9299999999999996E-6</v>
      </c>
      <c r="BH15" s="188">
        <f>opex_orig!AZ15</f>
        <v>0</v>
      </c>
      <c r="BI15" s="188">
        <f>opex_orig!BA15</f>
        <v>3.36E-6</v>
      </c>
      <c r="BJ15" s="188">
        <f>opex_orig!BB15</f>
        <v>4.9699999999999998E-6</v>
      </c>
      <c r="BK15" s="188">
        <f>opex_orig!BC15</f>
        <v>4.42E-6</v>
      </c>
      <c r="BL15" s="188">
        <f>opex_orig!BD15</f>
        <v>3.49E-6</v>
      </c>
      <c r="BM15" s="188">
        <f>opex_orig!BE15</f>
        <v>7.8800000000000008E-6</v>
      </c>
      <c r="BN15" s="188">
        <f>opex_orig!BF15</f>
        <v>2.51E-5</v>
      </c>
      <c r="BO15" s="188">
        <f>opex_orig!BG15</f>
        <v>1.6200000000000001E-5</v>
      </c>
      <c r="BP15" s="188">
        <f>opex_orig!$BH15</f>
        <v>3.0340668660825402E-6</v>
      </c>
      <c r="BQ15" s="188">
        <f>opex_orig!$BH15</f>
        <v>3.0340668660825402E-6</v>
      </c>
      <c r="BR15" s="188">
        <f>opex_orig!BI15</f>
        <v>3.8399999999999997E-6</v>
      </c>
      <c r="BS15" s="188">
        <f>opex_orig!BJ15</f>
        <v>3.1381399999999999E-4</v>
      </c>
      <c r="BT15" s="188">
        <f>opex_orig!BK15</f>
        <v>1.09412E-4</v>
      </c>
      <c r="BU15" s="188">
        <f>opex_orig!BL15</f>
        <v>0</v>
      </c>
      <c r="BV15" s="27">
        <f>opex_orig!BM15</f>
        <v>4.67258516452962E-6</v>
      </c>
      <c r="BW15" s="27">
        <f>opex_orig!BN15</f>
        <v>1.7232094584709599E-5</v>
      </c>
      <c r="BX15" s="27">
        <f>opex_orig!BO15</f>
        <v>2.4273660630615599E-6</v>
      </c>
      <c r="BY15" s="27">
        <f>opex_orig!BP15</f>
        <v>1.41749446190871E-5</v>
      </c>
      <c r="BZ15" s="27">
        <f>opex_orig!BQ15</f>
        <v>5.59192666834081E-6</v>
      </c>
      <c r="CA15" s="27">
        <f>opex_orig!BR15</f>
        <v>2.2172558711310999E-7</v>
      </c>
      <c r="CB15" s="27">
        <f>opex_orig!BS15</f>
        <v>1.1588758844039099E-5</v>
      </c>
      <c r="CC15" s="27">
        <f>opex_orig!BT15</f>
        <v>7.6399962066904095E-7</v>
      </c>
      <c r="CD15" s="27">
        <f>opex_orig!BU15</f>
        <v>1.9560697756414E-6</v>
      </c>
      <c r="CE15" s="27">
        <f>opex_orig!BV15</f>
        <v>1.9560697756414E-6</v>
      </c>
      <c r="CF15" s="27">
        <f>opex_orig!BW15</f>
        <v>1.02981651211895E-5</v>
      </c>
      <c r="CG15" s="27">
        <f>opex_orig!BX15</f>
        <v>1.0202442963802199E-6</v>
      </c>
      <c r="CH15" s="27">
        <f>opex_orig!BY15</f>
        <v>4.6902846262415303E-6</v>
      </c>
      <c r="CI15" s="27">
        <f>opex_orig!Y15</f>
        <v>1.9700000000000002E-6</v>
      </c>
      <c r="CJ15" s="27">
        <f>opex_orig!Z15</f>
        <v>1.014966E-3</v>
      </c>
      <c r="CK15" s="27">
        <f>opex_orig!AA15</f>
        <v>6.3500000000000002E-6</v>
      </c>
      <c r="CL15" s="27">
        <f>opex_orig!AB15</f>
        <v>1.07657519302187E-4</v>
      </c>
      <c r="CM15" s="27">
        <f>opex_orig!AC15</f>
        <v>5.8585800164570801E-5</v>
      </c>
      <c r="CN15" s="27">
        <f>opex_orig!AD15</f>
        <v>4.9656906127345398E-5</v>
      </c>
      <c r="CO15" s="27">
        <f>opex_orig!AE15</f>
        <v>5.0899999999999997E-5</v>
      </c>
      <c r="CP15" s="27">
        <f>opex_orig!AF15</f>
        <v>3.2299999999999999E-5</v>
      </c>
    </row>
    <row r="16" spans="1:94" x14ac:dyDescent="0.25">
      <c r="A16" s="5" t="s">
        <v>51</v>
      </c>
      <c r="B16" s="2" t="s">
        <v>50</v>
      </c>
      <c r="C16" s="1" t="s">
        <v>325</v>
      </c>
      <c r="D16" s="188">
        <f>opex_orig!D16</f>
        <v>5.8699999999999995E-7</v>
      </c>
      <c r="E16" s="188">
        <f>opex_orig!E16</f>
        <v>6.3799999999999997E-7</v>
      </c>
      <c r="F16" s="188">
        <f>opex_orig!F16</f>
        <v>9.1999999999999998E-7</v>
      </c>
      <c r="G16" s="188">
        <f>opex_orig!G16</f>
        <v>1.04E-7</v>
      </c>
      <c r="H16" s="188">
        <f>opex_orig!H16</f>
        <v>6.73E-8</v>
      </c>
      <c r="I16" s="188">
        <f>opex_orig!I16</f>
        <v>5.8100000000000003E-6</v>
      </c>
      <c r="J16" s="188">
        <f>opex_orig!J16</f>
        <v>1.15E-6</v>
      </c>
      <c r="K16" s="188">
        <f>opex_orig!K16</f>
        <v>7.4200000000000003E-8</v>
      </c>
      <c r="L16" s="188">
        <f>opex_orig!L16</f>
        <v>6.3099999999999997E-6</v>
      </c>
      <c r="M16" s="188">
        <f>opex_orig!M16</f>
        <v>1.17E-5</v>
      </c>
      <c r="N16" s="188">
        <f>opex_orig!N16</f>
        <v>1.9020714000000001E-2</v>
      </c>
      <c r="O16" s="188">
        <f>opex_orig!O16</f>
        <v>1.4500000000000001E-6</v>
      </c>
      <c r="P16" s="188">
        <f>opex_orig!P16</f>
        <v>2.0699999999999998E-5</v>
      </c>
      <c r="Q16" s="188">
        <f>opex_orig!Q16</f>
        <v>6.0800000000000002E-8</v>
      </c>
      <c r="R16" s="188">
        <f>opex_orig!R16</f>
        <v>7.8600000000000002E-8</v>
      </c>
      <c r="S16" s="188">
        <f>opex_orig!S16</f>
        <v>1.0699999999999999E-6</v>
      </c>
      <c r="T16" s="188">
        <f>opex_orig!T16</f>
        <v>1.6899999999999999E-7</v>
      </c>
      <c r="U16" s="188">
        <f>opex_orig!U16</f>
        <v>8.4900000000000005E-7</v>
      </c>
      <c r="V16" s="188">
        <f>opex_orig!V16</f>
        <v>6.3499999999999996E-7</v>
      </c>
      <c r="W16" s="188">
        <f>opex_orig!W16</f>
        <v>2.4999999999999999E-7</v>
      </c>
      <c r="X16" s="188">
        <f>opex_orig!X16</f>
        <v>1.54E-7</v>
      </c>
      <c r="Y16" s="188">
        <f>opex_orig!Y16</f>
        <v>6.7099999999999999E-8</v>
      </c>
      <c r="Z16" s="188">
        <f>opex_orig!Z16</f>
        <v>1.9599999999999999E-6</v>
      </c>
      <c r="AA16" s="188">
        <f>opex_orig!AA16</f>
        <v>2.96E-7</v>
      </c>
      <c r="AB16" s="188">
        <f>opex_orig!$AB16</f>
        <v>8.9654649341802794E-3</v>
      </c>
      <c r="AC16" s="188">
        <f>opex_orig!$AB16</f>
        <v>8.9654649341802794E-3</v>
      </c>
      <c r="AD16" s="188">
        <f>opex_orig!$AB16</f>
        <v>8.9654649341802794E-3</v>
      </c>
      <c r="AE16" s="188">
        <f>opex_orig!$AC16</f>
        <v>3.71038346291847E-7</v>
      </c>
      <c r="AF16" s="188">
        <f>opex_orig!$AD16</f>
        <v>1.81683672834203E-3</v>
      </c>
      <c r="AG16" s="188">
        <f>opex_orig!$AD16</f>
        <v>1.81683672834203E-3</v>
      </c>
      <c r="AH16" s="188">
        <f>opex_orig!$AD16</f>
        <v>1.81683672834203E-3</v>
      </c>
      <c r="AI16" s="188">
        <f>opex_orig!AE16</f>
        <v>2.0014350000000002E-3</v>
      </c>
      <c r="AJ16" s="188">
        <f>opex_orig!AF16</f>
        <v>8.9146099999999997E-4</v>
      </c>
      <c r="AK16" s="188">
        <f>opex_orig!AG16</f>
        <v>1.6500000000000001E-7</v>
      </c>
      <c r="AL16" s="188">
        <f>opex_orig!AH16</f>
        <v>3.4100000000000001E-8</v>
      </c>
      <c r="AM16" s="188">
        <f>opex_orig!AI16</f>
        <v>7.3900000000000007E-8</v>
      </c>
      <c r="AN16" s="188">
        <f>opex_orig!AJ16</f>
        <v>6.6899999999999997E-8</v>
      </c>
      <c r="AO16" s="188">
        <f>opex_orig!AK16</f>
        <v>8.9000000000000003E-8</v>
      </c>
      <c r="AP16" s="188">
        <f>opex_orig!$AL16</f>
        <v>7.5242867691451605E-8</v>
      </c>
      <c r="AQ16" s="188">
        <f>opex_orig!$AL16</f>
        <v>7.5242867691451605E-8</v>
      </c>
      <c r="AR16" s="188">
        <f>opex_orig!$AL16</f>
        <v>7.5242867691451605E-8</v>
      </c>
      <c r="AS16" s="188">
        <f>opex_orig!$AM16</f>
        <v>8.3601813747779195E-8</v>
      </c>
      <c r="AT16" s="188">
        <f>opex_orig!AN16</f>
        <v>1.03E-7</v>
      </c>
      <c r="AU16" s="188">
        <f>opex_orig!$AO16</f>
        <v>4.4885538010246002E-8</v>
      </c>
      <c r="AV16" s="188">
        <f>opex_orig!$AO16</f>
        <v>4.4885538010246002E-8</v>
      </c>
      <c r="AW16" s="188">
        <f>opex_orig!$AO16</f>
        <v>4.4885538010246002E-8</v>
      </c>
      <c r="AX16" s="188">
        <f>opex_orig!$AP16</f>
        <v>5.4115545258125003E-8</v>
      </c>
      <c r="AY16" s="188">
        <f>opex_orig!AQ16</f>
        <v>7.24E-8</v>
      </c>
      <c r="AZ16" s="188">
        <f>opex_orig!AR16</f>
        <v>0</v>
      </c>
      <c r="BA16" s="188">
        <f>opex_orig!AS16</f>
        <v>8.5500000000000005E-8</v>
      </c>
      <c r="BB16" s="188">
        <f>opex_orig!AT16</f>
        <v>7.2100000000000004E-8</v>
      </c>
      <c r="BC16" s="188">
        <f>opex_orig!AU16</f>
        <v>4.1799999999999997E-8</v>
      </c>
      <c r="BD16" s="188">
        <f>opex_orig!AV16</f>
        <v>3.7300000000000003E-8</v>
      </c>
      <c r="BE16" s="188">
        <f>opex_orig!AW16</f>
        <v>4.6900000000000003E-8</v>
      </c>
      <c r="BF16" s="188">
        <f>opex_orig!AX16</f>
        <v>0</v>
      </c>
      <c r="BG16" s="188">
        <f>opex_orig!AY16</f>
        <v>1.8199999999999999E-7</v>
      </c>
      <c r="BH16" s="188">
        <f>opex_orig!AZ16</f>
        <v>0</v>
      </c>
      <c r="BI16" s="188">
        <f>opex_orig!BA16</f>
        <v>3.6300000000000001E-8</v>
      </c>
      <c r="BJ16" s="188">
        <f>opex_orig!BB16</f>
        <v>5.4499999999999998E-8</v>
      </c>
      <c r="BK16" s="188">
        <f>opex_orig!BC16</f>
        <v>2.23E-7</v>
      </c>
      <c r="BL16" s="188">
        <f>opex_orig!BD16</f>
        <v>2.9499999999999998E-7</v>
      </c>
      <c r="BM16" s="188">
        <f>opex_orig!BE16</f>
        <v>6.68222E-4</v>
      </c>
      <c r="BN16" s="188">
        <f>opex_orig!BF16</f>
        <v>6.5999999999999995E-8</v>
      </c>
      <c r="BO16" s="188">
        <f>opex_orig!BG16</f>
        <v>1.7362689999999999E-3</v>
      </c>
      <c r="BP16" s="188">
        <f>opex_orig!$BH16</f>
        <v>2.2320383265746601E-7</v>
      </c>
      <c r="BQ16" s="188">
        <f>opex_orig!$BH16</f>
        <v>2.2320383265746601E-7</v>
      </c>
      <c r="BR16" s="188">
        <f>opex_orig!BI16</f>
        <v>5.02E-8</v>
      </c>
      <c r="BS16" s="188">
        <f>opex_orig!BJ16</f>
        <v>1.5200000000000001E-7</v>
      </c>
      <c r="BT16" s="188">
        <f>opex_orig!BK16</f>
        <v>1.5077165E-2</v>
      </c>
      <c r="BU16" s="188">
        <f>opex_orig!BL16</f>
        <v>0</v>
      </c>
      <c r="BV16" s="27">
        <f>opex_orig!BM16</f>
        <v>2.6485428201044202E-7</v>
      </c>
      <c r="BW16" s="27">
        <f>opex_orig!BN16</f>
        <v>3.0915730962423102E-7</v>
      </c>
      <c r="BX16" s="27">
        <f>opex_orig!BO16</f>
        <v>1.0718678750979199E-7</v>
      </c>
      <c r="BY16" s="27">
        <f>opex_orig!BP16</f>
        <v>1.8501068362486399E-7</v>
      </c>
      <c r="BZ16" s="27">
        <f>opex_orig!BQ16</f>
        <v>2.0637923133594001E-7</v>
      </c>
      <c r="CA16" s="27">
        <f>opex_orig!BR16</f>
        <v>2.4577290246118101E-8</v>
      </c>
      <c r="CB16" s="27">
        <f>opex_orig!BS16</f>
        <v>4.6585109773163002E-7</v>
      </c>
      <c r="CC16" s="27">
        <f>opex_orig!BT16</f>
        <v>1.78244045380164E-7</v>
      </c>
      <c r="CD16" s="27">
        <f>opex_orig!BU16</f>
        <v>1.71043557286977E-7</v>
      </c>
      <c r="CE16" s="27">
        <f>opex_orig!BV16</f>
        <v>1.7104355728697801E-7</v>
      </c>
      <c r="CF16" s="27">
        <f>opex_orig!BW16</f>
        <v>1.2128038684720101E-6</v>
      </c>
      <c r="CG16" s="27">
        <f>opex_orig!BX16</f>
        <v>4.8952177857585999E-8</v>
      </c>
      <c r="CH16" s="27">
        <f>opex_orig!BY16</f>
        <v>2.7977296955742199E-8</v>
      </c>
      <c r="CI16" s="27">
        <f>opex_orig!Y16</f>
        <v>6.7099999999999999E-8</v>
      </c>
      <c r="CJ16" s="27">
        <f>opex_orig!Z16</f>
        <v>1.9599999999999999E-6</v>
      </c>
      <c r="CK16" s="27">
        <f>opex_orig!AA16</f>
        <v>2.96E-7</v>
      </c>
      <c r="CL16" s="27">
        <f>opex_orig!AB16</f>
        <v>8.9654649341802794E-3</v>
      </c>
      <c r="CM16" s="27">
        <f>opex_orig!AC16</f>
        <v>3.71038346291847E-7</v>
      </c>
      <c r="CN16" s="27">
        <f>opex_orig!AD16</f>
        <v>1.81683672834203E-3</v>
      </c>
      <c r="CO16" s="27">
        <f>opex_orig!AE16</f>
        <v>2.0014350000000002E-3</v>
      </c>
      <c r="CP16" s="27">
        <f>opex_orig!AF16</f>
        <v>8.9146099999999997E-4</v>
      </c>
    </row>
    <row r="17" spans="1:94" x14ac:dyDescent="0.25">
      <c r="A17" s="5" t="s">
        <v>53</v>
      </c>
      <c r="B17" s="2" t="s">
        <v>52</v>
      </c>
      <c r="C17" s="1" t="s">
        <v>325</v>
      </c>
      <c r="D17" s="188">
        <f>opex_orig!D17</f>
        <v>0</v>
      </c>
      <c r="E17" s="188">
        <f>opex_orig!E17</f>
        <v>0</v>
      </c>
      <c r="F17" s="188">
        <f>opex_orig!F17</f>
        <v>0</v>
      </c>
      <c r="G17" s="188">
        <f>opex_orig!G17</f>
        <v>0</v>
      </c>
      <c r="H17" s="188">
        <f>opex_orig!H17</f>
        <v>0</v>
      </c>
      <c r="I17" s="188">
        <f>opex_orig!I17</f>
        <v>0</v>
      </c>
      <c r="J17" s="188">
        <f>opex_orig!J17</f>
        <v>0</v>
      </c>
      <c r="K17" s="188">
        <f>opex_orig!K17</f>
        <v>0</v>
      </c>
      <c r="L17" s="188">
        <f>opex_orig!L17</f>
        <v>0</v>
      </c>
      <c r="M17" s="188">
        <f>opex_orig!M17</f>
        <v>0</v>
      </c>
      <c r="N17" s="188">
        <f>opex_orig!N17</f>
        <v>0</v>
      </c>
      <c r="O17" s="188">
        <f>opex_orig!O17</f>
        <v>0</v>
      </c>
      <c r="P17" s="188">
        <f>opex_orig!P17</f>
        <v>0</v>
      </c>
      <c r="Q17" s="188">
        <f>opex_orig!Q17</f>
        <v>0</v>
      </c>
      <c r="R17" s="188">
        <f>opex_orig!R17</f>
        <v>0</v>
      </c>
      <c r="S17" s="188">
        <f>opex_orig!S17</f>
        <v>0</v>
      </c>
      <c r="T17" s="188">
        <f>opex_orig!T17</f>
        <v>0</v>
      </c>
      <c r="U17" s="188">
        <f>opex_orig!U17</f>
        <v>0</v>
      </c>
      <c r="V17" s="188">
        <f>opex_orig!V17</f>
        <v>0</v>
      </c>
      <c r="W17" s="188">
        <f>opex_orig!W17</f>
        <v>0</v>
      </c>
      <c r="X17" s="188">
        <f>opex_orig!X17</f>
        <v>0</v>
      </c>
      <c r="Y17" s="188">
        <f>opex_orig!Y17</f>
        <v>0</v>
      </c>
      <c r="Z17" s="188">
        <f>opex_orig!Z17</f>
        <v>0</v>
      </c>
      <c r="AA17" s="188">
        <f>opex_orig!AA17</f>
        <v>0</v>
      </c>
      <c r="AB17" s="224">
        <f>opex_concordance!M183</f>
        <v>0</v>
      </c>
      <c r="AC17" s="224">
        <f>opex_concordance!M228</f>
        <v>0</v>
      </c>
      <c r="AD17" s="224">
        <f>opex_concordance!M273</f>
        <v>7.4813005906688212E-2</v>
      </c>
      <c r="AE17" s="188">
        <f>opex_orig!$AC17</f>
        <v>0</v>
      </c>
      <c r="AF17" s="188">
        <f>opex_orig!$AD17</f>
        <v>0</v>
      </c>
      <c r="AG17" s="188">
        <f>opex_orig!$AD17</f>
        <v>0</v>
      </c>
      <c r="AH17" s="188">
        <f>opex_orig!$AD17</f>
        <v>0</v>
      </c>
      <c r="AI17" s="188">
        <f>opex_orig!AE17</f>
        <v>0</v>
      </c>
      <c r="AJ17" s="188">
        <f>opex_orig!AF17</f>
        <v>0</v>
      </c>
      <c r="AK17" s="188">
        <f>opex_orig!AG17</f>
        <v>0</v>
      </c>
      <c r="AL17" s="188">
        <f>opex_orig!AH17</f>
        <v>0</v>
      </c>
      <c r="AM17" s="188">
        <f>opex_orig!AI17</f>
        <v>0</v>
      </c>
      <c r="AN17" s="188">
        <f>opex_orig!AJ17</f>
        <v>0</v>
      </c>
      <c r="AO17" s="188">
        <f>opex_orig!AK17</f>
        <v>0</v>
      </c>
      <c r="AP17" s="188">
        <f>opex_orig!$AL17</f>
        <v>0</v>
      </c>
      <c r="AQ17" s="188">
        <f>opex_orig!$AL17</f>
        <v>0</v>
      </c>
      <c r="AR17" s="188">
        <f>opex_orig!$AL17</f>
        <v>0</v>
      </c>
      <c r="AS17" s="188">
        <f>opex_orig!$AM17</f>
        <v>0</v>
      </c>
      <c r="AT17" s="188">
        <f>opex_orig!AN17</f>
        <v>0</v>
      </c>
      <c r="AU17" s="188">
        <f>opex_orig!$AO17</f>
        <v>0</v>
      </c>
      <c r="AV17" s="188">
        <f>opex_orig!$AO17</f>
        <v>0</v>
      </c>
      <c r="AW17" s="188">
        <f>opex_orig!$AO17</f>
        <v>0</v>
      </c>
      <c r="AX17" s="188">
        <f>opex_orig!$AP17</f>
        <v>0</v>
      </c>
      <c r="AY17" s="188">
        <f>opex_orig!AQ17</f>
        <v>0</v>
      </c>
      <c r="AZ17" s="188">
        <f>opex_orig!AR17</f>
        <v>0</v>
      </c>
      <c r="BA17" s="188">
        <f>opex_orig!AS17</f>
        <v>0</v>
      </c>
      <c r="BB17" s="188">
        <f>opex_orig!AT17</f>
        <v>0</v>
      </c>
      <c r="BC17" s="188">
        <f>opex_orig!AU17</f>
        <v>0</v>
      </c>
      <c r="BD17" s="188">
        <f>opex_orig!AV17</f>
        <v>0</v>
      </c>
      <c r="BE17" s="188">
        <f>opex_orig!AW17</f>
        <v>0</v>
      </c>
      <c r="BF17" s="188">
        <f>opex_orig!AX17</f>
        <v>0</v>
      </c>
      <c r="BG17" s="188">
        <f>opex_orig!AY17</f>
        <v>0</v>
      </c>
      <c r="BH17" s="188">
        <f>opex_orig!AZ17</f>
        <v>0</v>
      </c>
      <c r="BI17" s="188">
        <f>opex_orig!BA17</f>
        <v>0</v>
      </c>
      <c r="BJ17" s="188">
        <f>opex_orig!BB17</f>
        <v>0</v>
      </c>
      <c r="BK17" s="188">
        <f>opex_orig!BC17</f>
        <v>0</v>
      </c>
      <c r="BL17" s="188">
        <f>opex_orig!BD17</f>
        <v>0</v>
      </c>
      <c r="BM17" s="188">
        <f>opex_orig!BE17</f>
        <v>0</v>
      </c>
      <c r="BN17" s="188">
        <f>opex_orig!BF17</f>
        <v>0</v>
      </c>
      <c r="BO17" s="188">
        <f>opex_orig!BG17</f>
        <v>0</v>
      </c>
      <c r="BP17" s="188">
        <f>opex_orig!$BH17</f>
        <v>0</v>
      </c>
      <c r="BQ17" s="188">
        <f>opex_orig!$BH17</f>
        <v>0</v>
      </c>
      <c r="BR17" s="188">
        <f>opex_orig!BI17</f>
        <v>0</v>
      </c>
      <c r="BS17" s="188">
        <f>opex_orig!BJ17</f>
        <v>0</v>
      </c>
      <c r="BT17" s="188">
        <f>opex_orig!BK17</f>
        <v>0</v>
      </c>
      <c r="BU17" s="188">
        <f>opex_orig!BL17</f>
        <v>0</v>
      </c>
      <c r="BV17" s="27">
        <f>opex_orig!BM17</f>
        <v>0</v>
      </c>
      <c r="BW17" s="27">
        <f>opex_orig!BN17</f>
        <v>0</v>
      </c>
      <c r="BX17" s="27">
        <f>opex_orig!BO17</f>
        <v>0</v>
      </c>
      <c r="BY17" s="27">
        <f>opex_orig!BP17</f>
        <v>0</v>
      </c>
      <c r="BZ17" s="27">
        <f>opex_orig!BQ17</f>
        <v>0</v>
      </c>
      <c r="CA17" s="27">
        <f>opex_orig!BR17</f>
        <v>0</v>
      </c>
      <c r="CB17" s="27">
        <f>opex_orig!BS17</f>
        <v>0</v>
      </c>
      <c r="CC17" s="27">
        <f>opex_orig!BT17</f>
        <v>0</v>
      </c>
      <c r="CD17" s="27">
        <f>opex_orig!BU17</f>
        <v>0</v>
      </c>
      <c r="CE17" s="27">
        <f>opex_orig!BV17</f>
        <v>0</v>
      </c>
      <c r="CF17" s="27">
        <f>opex_orig!BW17</f>
        <v>0</v>
      </c>
      <c r="CG17" s="27">
        <f>opex_orig!BX17</f>
        <v>0</v>
      </c>
      <c r="CH17" s="27">
        <f>opex_orig!BY17</f>
        <v>0</v>
      </c>
      <c r="CI17" s="27">
        <f>opex_orig!Y17</f>
        <v>0</v>
      </c>
      <c r="CJ17" s="27">
        <f>opex_orig!Z17</f>
        <v>0</v>
      </c>
      <c r="CK17" s="27">
        <f>opex_orig!AA17</f>
        <v>0</v>
      </c>
      <c r="CL17" s="27">
        <f>opex_orig!AB17</f>
        <v>0</v>
      </c>
      <c r="CM17" s="27">
        <f>opex_orig!AC17</f>
        <v>0</v>
      </c>
      <c r="CN17" s="27">
        <f>opex_orig!AD17</f>
        <v>0</v>
      </c>
      <c r="CO17" s="27">
        <f>opex_orig!AE17</f>
        <v>0</v>
      </c>
      <c r="CP17" s="27">
        <f>opex_orig!AF17</f>
        <v>0</v>
      </c>
    </row>
    <row r="18" spans="1:94" x14ac:dyDescent="0.25">
      <c r="A18" s="5" t="s">
        <v>55</v>
      </c>
      <c r="B18" s="2" t="s">
        <v>54</v>
      </c>
      <c r="C18" s="1" t="s">
        <v>325</v>
      </c>
      <c r="D18" s="188">
        <f>opex_orig!D18</f>
        <v>0</v>
      </c>
      <c r="E18" s="188">
        <f>opex_orig!E18</f>
        <v>0</v>
      </c>
      <c r="F18" s="188">
        <f>opex_orig!F18</f>
        <v>0</v>
      </c>
      <c r="G18" s="188">
        <f>opex_orig!G18</f>
        <v>0</v>
      </c>
      <c r="H18" s="188">
        <f>opex_orig!H18</f>
        <v>0</v>
      </c>
      <c r="I18" s="188">
        <f>opex_orig!I18</f>
        <v>0</v>
      </c>
      <c r="J18" s="188">
        <f>opex_orig!J18</f>
        <v>0</v>
      </c>
      <c r="K18" s="188">
        <f>opex_orig!K18</f>
        <v>0</v>
      </c>
      <c r="L18" s="188">
        <f>opex_orig!L18</f>
        <v>0</v>
      </c>
      <c r="M18" s="188">
        <f>opex_orig!M18</f>
        <v>0</v>
      </c>
      <c r="N18" s="188">
        <f>opex_orig!N18</f>
        <v>0</v>
      </c>
      <c r="O18" s="188">
        <f>opex_orig!O18</f>
        <v>0</v>
      </c>
      <c r="P18" s="188">
        <f>opex_orig!P18</f>
        <v>0</v>
      </c>
      <c r="Q18" s="188">
        <f>opex_orig!Q18</f>
        <v>0</v>
      </c>
      <c r="R18" s="188">
        <f>opex_orig!R18</f>
        <v>0</v>
      </c>
      <c r="S18" s="188">
        <f>opex_orig!S18</f>
        <v>0</v>
      </c>
      <c r="T18" s="188">
        <f>opex_orig!T18</f>
        <v>0</v>
      </c>
      <c r="U18" s="188">
        <f>opex_orig!U18</f>
        <v>0</v>
      </c>
      <c r="V18" s="188">
        <f>opex_orig!V18</f>
        <v>0</v>
      </c>
      <c r="W18" s="188">
        <f>opex_orig!W18</f>
        <v>0</v>
      </c>
      <c r="X18" s="188">
        <f>opex_orig!X18</f>
        <v>0</v>
      </c>
      <c r="Y18" s="188">
        <f>opex_orig!Y18</f>
        <v>0</v>
      </c>
      <c r="Z18" s="188">
        <f>opex_orig!Z18</f>
        <v>0</v>
      </c>
      <c r="AA18" s="188">
        <f>opex_orig!AA18</f>
        <v>0</v>
      </c>
      <c r="AB18" s="234">
        <f>opex_concordance!M184</f>
        <v>0</v>
      </c>
      <c r="AC18" s="234">
        <f>opex_concordance!M229</f>
        <v>0</v>
      </c>
      <c r="AD18" s="234">
        <f>opex_concordance!M274</f>
        <v>7.4813005906688212E-2</v>
      </c>
      <c r="AE18" s="188">
        <f>opex_orig!$AC18</f>
        <v>0</v>
      </c>
      <c r="AF18" s="188">
        <f>opex_orig!$AD18</f>
        <v>0</v>
      </c>
      <c r="AG18" s="188">
        <f>opex_orig!$AD18</f>
        <v>0</v>
      </c>
      <c r="AH18" s="188">
        <f>opex_orig!$AD18</f>
        <v>0</v>
      </c>
      <c r="AI18" s="188">
        <f>opex_orig!AE18</f>
        <v>0</v>
      </c>
      <c r="AJ18" s="188">
        <f>opex_orig!AF18</f>
        <v>0</v>
      </c>
      <c r="AK18" s="188">
        <f>opex_orig!AG18</f>
        <v>0</v>
      </c>
      <c r="AL18" s="188">
        <f>opex_orig!AH18</f>
        <v>0</v>
      </c>
      <c r="AM18" s="188">
        <f>opex_orig!AI18</f>
        <v>0</v>
      </c>
      <c r="AN18" s="188">
        <f>opex_orig!AJ18</f>
        <v>0</v>
      </c>
      <c r="AO18" s="188">
        <f>opex_orig!AK18</f>
        <v>0</v>
      </c>
      <c r="AP18" s="188">
        <f>opex_orig!$AL18</f>
        <v>0</v>
      </c>
      <c r="AQ18" s="188">
        <f>opex_orig!$AL18</f>
        <v>0</v>
      </c>
      <c r="AR18" s="188">
        <f>opex_orig!$AL18</f>
        <v>0</v>
      </c>
      <c r="AS18" s="188">
        <f>opex_orig!$AM18</f>
        <v>0</v>
      </c>
      <c r="AT18" s="188">
        <f>opex_orig!AN18</f>
        <v>0</v>
      </c>
      <c r="AU18" s="188">
        <f>opex_orig!$AO18</f>
        <v>0</v>
      </c>
      <c r="AV18" s="188">
        <f>opex_orig!$AO18</f>
        <v>0</v>
      </c>
      <c r="AW18" s="188">
        <f>opex_orig!$AO18</f>
        <v>0</v>
      </c>
      <c r="AX18" s="188">
        <f>opex_orig!$AP18</f>
        <v>0</v>
      </c>
      <c r="AY18" s="188">
        <f>opex_orig!AQ18</f>
        <v>0</v>
      </c>
      <c r="AZ18" s="188">
        <f>opex_orig!AR18</f>
        <v>0</v>
      </c>
      <c r="BA18" s="188">
        <f>opex_orig!AS18</f>
        <v>0</v>
      </c>
      <c r="BB18" s="188">
        <f>opex_orig!AT18</f>
        <v>0</v>
      </c>
      <c r="BC18" s="188">
        <f>opex_orig!AU18</f>
        <v>0</v>
      </c>
      <c r="BD18" s="188">
        <f>opex_orig!AV18</f>
        <v>0</v>
      </c>
      <c r="BE18" s="188">
        <f>opex_orig!AW18</f>
        <v>0</v>
      </c>
      <c r="BF18" s="188">
        <f>opex_orig!AX18</f>
        <v>0</v>
      </c>
      <c r="BG18" s="188">
        <f>opex_orig!AY18</f>
        <v>0</v>
      </c>
      <c r="BH18" s="188">
        <f>opex_orig!AZ18</f>
        <v>0</v>
      </c>
      <c r="BI18" s="188">
        <f>opex_orig!BA18</f>
        <v>0</v>
      </c>
      <c r="BJ18" s="188">
        <f>opex_orig!BB18</f>
        <v>0</v>
      </c>
      <c r="BK18" s="188">
        <f>opex_orig!BC18</f>
        <v>0</v>
      </c>
      <c r="BL18" s="188">
        <f>opex_orig!BD18</f>
        <v>0</v>
      </c>
      <c r="BM18" s="188">
        <f>opex_orig!BE18</f>
        <v>0</v>
      </c>
      <c r="BN18" s="188">
        <f>opex_orig!BF18</f>
        <v>0</v>
      </c>
      <c r="BO18" s="188">
        <f>opex_orig!BG18</f>
        <v>0</v>
      </c>
      <c r="BP18" s="188">
        <f>opex_orig!$BH18</f>
        <v>0</v>
      </c>
      <c r="BQ18" s="188">
        <f>opex_orig!$BH18</f>
        <v>0</v>
      </c>
      <c r="BR18" s="188">
        <f>opex_orig!BI18</f>
        <v>0</v>
      </c>
      <c r="BS18" s="188">
        <f>opex_orig!BJ18</f>
        <v>0</v>
      </c>
      <c r="BT18" s="188">
        <f>opex_orig!BK18</f>
        <v>0</v>
      </c>
      <c r="BU18" s="188">
        <f>opex_orig!BL18</f>
        <v>0</v>
      </c>
      <c r="BV18" s="27">
        <f>opex_orig!BM18</f>
        <v>0</v>
      </c>
      <c r="BW18" s="27">
        <f>opex_orig!BN18</f>
        <v>0</v>
      </c>
      <c r="BX18" s="27">
        <f>opex_orig!BO18</f>
        <v>0</v>
      </c>
      <c r="BY18" s="27">
        <f>opex_orig!BP18</f>
        <v>0</v>
      </c>
      <c r="BZ18" s="27">
        <f>opex_orig!BQ18</f>
        <v>0</v>
      </c>
      <c r="CA18" s="27">
        <f>opex_orig!BR18</f>
        <v>0</v>
      </c>
      <c r="CB18" s="27">
        <f>opex_orig!BS18</f>
        <v>0</v>
      </c>
      <c r="CC18" s="27">
        <f>opex_orig!BT18</f>
        <v>0</v>
      </c>
      <c r="CD18" s="27">
        <f>opex_orig!BU18</f>
        <v>0</v>
      </c>
      <c r="CE18" s="27">
        <f>opex_orig!BV18</f>
        <v>0</v>
      </c>
      <c r="CF18" s="27">
        <f>opex_orig!BW18</f>
        <v>0</v>
      </c>
      <c r="CG18" s="27">
        <f>opex_orig!BX18</f>
        <v>0</v>
      </c>
      <c r="CH18" s="27">
        <f>opex_orig!BY18</f>
        <v>0</v>
      </c>
      <c r="CI18" s="27">
        <f>opex_orig!Y18</f>
        <v>0</v>
      </c>
      <c r="CJ18" s="27">
        <f>opex_orig!Z18</f>
        <v>0</v>
      </c>
      <c r="CK18" s="27">
        <f>opex_orig!AA18</f>
        <v>0</v>
      </c>
      <c r="CL18" s="27">
        <f>opex_orig!AB18</f>
        <v>0</v>
      </c>
      <c r="CM18" s="27">
        <f>opex_orig!AC18</f>
        <v>0</v>
      </c>
      <c r="CN18" s="27">
        <f>opex_orig!AD18</f>
        <v>0</v>
      </c>
      <c r="CO18" s="27">
        <f>opex_orig!AE18</f>
        <v>0</v>
      </c>
      <c r="CP18" s="27">
        <f>opex_orig!AF18</f>
        <v>0</v>
      </c>
    </row>
    <row r="19" spans="1:94" x14ac:dyDescent="0.25">
      <c r="A19" s="5" t="s">
        <v>57</v>
      </c>
      <c r="B19" s="2" t="s">
        <v>56</v>
      </c>
      <c r="C19" s="1" t="s">
        <v>325</v>
      </c>
      <c r="D19" s="188">
        <f>opex_orig!D19</f>
        <v>4.6561399999999999E-4</v>
      </c>
      <c r="E19" s="188">
        <f>opex_orig!E19</f>
        <v>2.49025E-4</v>
      </c>
      <c r="F19" s="188">
        <f>opex_orig!F19</f>
        <v>1.67646E-4</v>
      </c>
      <c r="G19" s="188">
        <f>opex_orig!G19</f>
        <v>3.7200000000000003E-5</v>
      </c>
      <c r="H19" s="188">
        <f>opex_orig!H19</f>
        <v>4.5599999999999997E-5</v>
      </c>
      <c r="I19" s="188">
        <f>opex_orig!I19</f>
        <v>4.71309E-4</v>
      </c>
      <c r="J19" s="188">
        <f>opex_orig!J19</f>
        <v>3.7603400000000003E-4</v>
      </c>
      <c r="K19" s="188">
        <f>opex_orig!K19</f>
        <v>1.11092E-4</v>
      </c>
      <c r="L19" s="188">
        <f>opex_orig!L19</f>
        <v>6.7024770000000001E-3</v>
      </c>
      <c r="M19" s="188">
        <f>opex_orig!M19</f>
        <v>7.7543070000000002E-3</v>
      </c>
      <c r="N19" s="188">
        <f>opex_orig!N19</f>
        <v>8.710476E-3</v>
      </c>
      <c r="O19" s="188">
        <f>opex_orig!O19</f>
        <v>8.6841167999999996E-2</v>
      </c>
      <c r="P19" s="188">
        <f>opex_orig!P19</f>
        <v>1.9023878000000001E-2</v>
      </c>
      <c r="Q19" s="188">
        <f>opex_orig!Q19</f>
        <v>3.2443800000000003E-4</v>
      </c>
      <c r="R19" s="188">
        <f>opex_orig!R19</f>
        <v>2.31096E-4</v>
      </c>
      <c r="S19" s="188">
        <f>opex_orig!S19</f>
        <v>0.24746127000000001</v>
      </c>
      <c r="T19" s="188">
        <f>opex_orig!T19</f>
        <v>5.1552849999999999E-3</v>
      </c>
      <c r="U19" s="188">
        <f>opex_orig!U19</f>
        <v>9.0172163999999999E-2</v>
      </c>
      <c r="V19" s="188">
        <f>opex_orig!V19</f>
        <v>4.2904199999999998E-4</v>
      </c>
      <c r="W19" s="188">
        <f>opex_orig!W19</f>
        <v>3.7532677E-2</v>
      </c>
      <c r="X19" s="188">
        <f>opex_orig!X19</f>
        <v>1.00865E-4</v>
      </c>
      <c r="Y19" s="188">
        <f>opex_orig!Y19</f>
        <v>8.3954199999999998E-4</v>
      </c>
      <c r="Z19" s="188">
        <f>opex_orig!Z19</f>
        <v>3.1935399999999999E-4</v>
      </c>
      <c r="AA19" s="188">
        <f>opex_orig!AA19</f>
        <v>4.1841900000000001E-4</v>
      </c>
      <c r="AB19" s="284">
        <f>opex_concordance!M185</f>
        <v>1.7549611960191201E-4</v>
      </c>
      <c r="AC19" s="284">
        <f>opex_concordance!M230</f>
        <v>2.2111873259401461E-4</v>
      </c>
      <c r="AD19" s="284">
        <f>opex_concordance!M275</f>
        <v>7.5015607405401863E-2</v>
      </c>
      <c r="AE19" s="188">
        <f>opex_orig!$AC19</f>
        <v>1.4250602959395701E-3</v>
      </c>
      <c r="AF19" s="188">
        <f>opex_orig!$AD19</f>
        <v>6.7032224155254402E-4</v>
      </c>
      <c r="AG19" s="188">
        <f>opex_orig!$AD19</f>
        <v>6.7032224155254402E-4</v>
      </c>
      <c r="AH19" s="188">
        <f>opex_orig!$AD19</f>
        <v>6.7032224155254402E-4</v>
      </c>
      <c r="AI19" s="188">
        <f>opex_orig!AE19</f>
        <v>5.9234999999999995E-4</v>
      </c>
      <c r="AJ19" s="188">
        <f>opex_orig!AF19</f>
        <v>8.0176200000000003E-4</v>
      </c>
      <c r="AK19" s="188">
        <f>opex_orig!AG19</f>
        <v>2.28648E-4</v>
      </c>
      <c r="AL19" s="188">
        <f>opex_orig!AH19</f>
        <v>2.9703999999999999E-4</v>
      </c>
      <c r="AM19" s="188">
        <f>opex_orig!AI19</f>
        <v>3.8532099999999999E-4</v>
      </c>
      <c r="AN19" s="188">
        <f>opex_orig!AJ19</f>
        <v>5.3403100000000002E-4</v>
      </c>
      <c r="AO19" s="188">
        <f>opex_orig!AK19</f>
        <v>4.4494499999999998E-4</v>
      </c>
      <c r="AP19" s="188">
        <f>opex_orig!$AL19</f>
        <v>4.2813913786746502E-4</v>
      </c>
      <c r="AQ19" s="188">
        <f>opex_orig!$AL19</f>
        <v>4.2813913786746502E-4</v>
      </c>
      <c r="AR19" s="188">
        <f>opex_orig!$AL19</f>
        <v>4.2813913786746502E-4</v>
      </c>
      <c r="AS19" s="188">
        <f>opex_orig!$AM19</f>
        <v>4.4223446280562499E-4</v>
      </c>
      <c r="AT19" s="188">
        <f>opex_orig!AN19</f>
        <v>3.1315800000000001E-4</v>
      </c>
      <c r="AU19" s="188">
        <f>opex_orig!$AO19</f>
        <v>6.7085912738136402E-4</v>
      </c>
      <c r="AV19" s="188">
        <f>opex_orig!$AO19</f>
        <v>6.7085912738136402E-4</v>
      </c>
      <c r="AW19" s="188">
        <f>opex_orig!$AO19</f>
        <v>6.7085912738136402E-4</v>
      </c>
      <c r="AX19" s="188">
        <f>opex_orig!$AP19</f>
        <v>6.9130115227240504E-4</v>
      </c>
      <c r="AY19" s="188">
        <f>opex_orig!AQ19</f>
        <v>1.3127289999999999E-3</v>
      </c>
      <c r="AZ19" s="188">
        <f>opex_orig!AR19</f>
        <v>0</v>
      </c>
      <c r="BA19" s="188">
        <f>opex_orig!AS19</f>
        <v>7.4404199999999999E-4</v>
      </c>
      <c r="BB19" s="188">
        <f>opex_orig!AT19</f>
        <v>7.2008800000000002E-4</v>
      </c>
      <c r="BC19" s="188">
        <f>opex_orig!AU19</f>
        <v>1.69653E-4</v>
      </c>
      <c r="BD19" s="188">
        <f>opex_orig!AV19</f>
        <v>1.33206E-4</v>
      </c>
      <c r="BE19" s="188">
        <f>opex_orig!AW19</f>
        <v>4.8679600000000001E-4</v>
      </c>
      <c r="BF19" s="188">
        <f>opex_orig!AX19</f>
        <v>0</v>
      </c>
      <c r="BG19" s="188">
        <f>opex_orig!AY19</f>
        <v>1.041099E-3</v>
      </c>
      <c r="BH19" s="188">
        <f>opex_orig!AZ19</f>
        <v>0</v>
      </c>
      <c r="BI19" s="188">
        <f>opex_orig!BA19</f>
        <v>1.1355989999999999E-3</v>
      </c>
      <c r="BJ19" s="188">
        <f>opex_orig!BB19</f>
        <v>7.7299999999999995E-5</v>
      </c>
      <c r="BK19" s="188">
        <f>opex_orig!BC19</f>
        <v>1.6690100000000001E-4</v>
      </c>
      <c r="BL19" s="188">
        <f>opex_orig!BD19</f>
        <v>2.76E-5</v>
      </c>
      <c r="BM19" s="188">
        <f>opex_orig!BE19</f>
        <v>1.1511E-4</v>
      </c>
      <c r="BN19" s="188">
        <f>opex_orig!BF19</f>
        <v>6.5099999999999997E-5</v>
      </c>
      <c r="BO19" s="188">
        <f>opex_orig!BG19</f>
        <v>1.6452900000000001E-4</v>
      </c>
      <c r="BP19" s="188">
        <f>opex_orig!$BH19</f>
        <v>3.9651344089566202E-4</v>
      </c>
      <c r="BQ19" s="188">
        <f>opex_orig!$BH19</f>
        <v>3.9651344089566202E-4</v>
      </c>
      <c r="BR19" s="188">
        <f>opex_orig!BI19</f>
        <v>1.06993E-4</v>
      </c>
      <c r="BS19" s="188">
        <f>opex_orig!BJ19</f>
        <v>1.5136819999999999E-3</v>
      </c>
      <c r="BT19" s="188">
        <f>opex_orig!BK19</f>
        <v>1.46773E-4</v>
      </c>
      <c r="BU19" s="188">
        <f>opex_orig!BL19</f>
        <v>0</v>
      </c>
      <c r="BV19" s="27">
        <f>opex_orig!BM19</f>
        <v>5.0507675663744099E-4</v>
      </c>
      <c r="BW19" s="27">
        <f>opex_orig!BN19</f>
        <v>6.1548312352514704E-4</v>
      </c>
      <c r="BX19" s="27">
        <f>opex_orig!BO19</f>
        <v>9.5120772548679499E-5</v>
      </c>
      <c r="BY19" s="27">
        <f>opex_orig!BP19</f>
        <v>1.4704930705303299E-4</v>
      </c>
      <c r="BZ19" s="27">
        <f>opex_orig!BQ19</f>
        <v>2.0290411604863601E-4</v>
      </c>
      <c r="CA19" s="27">
        <f>opex_orig!BR19</f>
        <v>1.2697500778590599E-6</v>
      </c>
      <c r="CB19" s="27">
        <f>opex_orig!BS19</f>
        <v>7.3312490790736098E-4</v>
      </c>
      <c r="CC19" s="27">
        <f>opex_orig!BT19</f>
        <v>4.8827758569412301E-2</v>
      </c>
      <c r="CD19" s="27">
        <f>opex_orig!BU19</f>
        <v>1.12252453274693E-4</v>
      </c>
      <c r="CE19" s="27">
        <f>opex_orig!BV19</f>
        <v>1.12252453274693E-4</v>
      </c>
      <c r="CF19" s="27">
        <f>opex_orig!BW19</f>
        <v>1.00161804171293E-6</v>
      </c>
      <c r="CG19" s="27">
        <f>opex_orig!BX19</f>
        <v>7.2637337954216603E-7</v>
      </c>
      <c r="CH19" s="27">
        <f>opex_orig!BY19</f>
        <v>1.45073822464957E-5</v>
      </c>
      <c r="CI19" s="27">
        <f>opex_orig!Y19</f>
        <v>8.3954199999999998E-4</v>
      </c>
      <c r="CJ19" s="27">
        <f>opex_orig!Z19</f>
        <v>3.1935399999999999E-4</v>
      </c>
      <c r="CK19" s="27">
        <f>opex_orig!AA19</f>
        <v>4.1841900000000001E-4</v>
      </c>
      <c r="CL19" s="27">
        <f>opex_orig!AB19</f>
        <v>1.7549611960191201E-4</v>
      </c>
      <c r="CM19" s="27">
        <f>opex_orig!AC19</f>
        <v>1.4250602959395701E-3</v>
      </c>
      <c r="CN19" s="27">
        <f>opex_orig!AD19</f>
        <v>6.7032224155254402E-4</v>
      </c>
      <c r="CO19" s="27">
        <f>opex_orig!AE19</f>
        <v>5.9234999999999995E-4</v>
      </c>
      <c r="CP19" s="27">
        <f>opex_orig!AF19</f>
        <v>8.0176200000000003E-4</v>
      </c>
    </row>
    <row r="20" spans="1:94" x14ac:dyDescent="0.25">
      <c r="A20" s="5" t="s">
        <v>59</v>
      </c>
      <c r="B20" s="2" t="s">
        <v>58</v>
      </c>
      <c r="C20" s="1" t="s">
        <v>325</v>
      </c>
      <c r="D20" s="188">
        <f>opex_orig!D20</f>
        <v>5.7839299999999996E-4</v>
      </c>
      <c r="E20" s="188">
        <f>opex_orig!E20</f>
        <v>1.18088E-3</v>
      </c>
      <c r="F20" s="188">
        <f>opex_orig!F20</f>
        <v>4.5255099999999998E-4</v>
      </c>
      <c r="G20" s="188">
        <f>opex_orig!G20</f>
        <v>1.7189500000000001E-4</v>
      </c>
      <c r="H20" s="188">
        <f>opex_orig!H20</f>
        <v>1.7523699999999999E-4</v>
      </c>
      <c r="I20" s="188">
        <f>opex_orig!I20</f>
        <v>2.7258040000000001E-3</v>
      </c>
      <c r="J20" s="188">
        <f>opex_orig!J20</f>
        <v>1.21103E-4</v>
      </c>
      <c r="K20" s="188">
        <f>opex_orig!K20</f>
        <v>2.6762500000000001E-4</v>
      </c>
      <c r="L20" s="188">
        <f>opex_orig!L20</f>
        <v>4.7003899999999996E-3</v>
      </c>
      <c r="M20" s="188">
        <f>opex_orig!M20</f>
        <v>1.3217378E-2</v>
      </c>
      <c r="N20" s="188">
        <f>opex_orig!N20</f>
        <v>5.8931820000000003E-3</v>
      </c>
      <c r="O20" s="188">
        <f>opex_orig!O20</f>
        <v>4.8172550000000003E-3</v>
      </c>
      <c r="P20" s="188">
        <f>opex_orig!P20</f>
        <v>1.0243769999999999E-3</v>
      </c>
      <c r="Q20" s="188">
        <f>opex_orig!Q20</f>
        <v>1.3200000000000001E-5</v>
      </c>
      <c r="R20" s="188">
        <f>opex_orig!R20</f>
        <v>1.36E-5</v>
      </c>
      <c r="S20" s="188">
        <f>opex_orig!S20</f>
        <v>5.58819E-4</v>
      </c>
      <c r="T20" s="188">
        <f>opex_orig!T20</f>
        <v>8.4600000000000003E-6</v>
      </c>
      <c r="U20" s="188">
        <f>opex_orig!U20</f>
        <v>2.0222400000000001E-4</v>
      </c>
      <c r="V20" s="188">
        <f>opex_orig!V20</f>
        <v>7.2599999999999999E-6</v>
      </c>
      <c r="W20" s="188">
        <f>opex_orig!W20</f>
        <v>8.8399999999999994E-5</v>
      </c>
      <c r="X20" s="188">
        <f>opex_orig!X20</f>
        <v>6.3199999999999996E-6</v>
      </c>
      <c r="Y20" s="188">
        <f>opex_orig!Y20</f>
        <v>2.6800000000000002E-6</v>
      </c>
      <c r="Z20" s="188">
        <f>opex_orig!Z20</f>
        <v>4.6099999999999999E-6</v>
      </c>
      <c r="AA20" s="188">
        <f>opex_orig!AA20</f>
        <v>7.7200000000000006E-6</v>
      </c>
      <c r="AB20" s="188">
        <f>opex_orig!$AB20</f>
        <v>7.1600679228081903E-6</v>
      </c>
      <c r="AC20" s="188">
        <f>opex_orig!$AB20</f>
        <v>7.1600679228081903E-6</v>
      </c>
      <c r="AD20" s="188">
        <f>opex_orig!$AB20</f>
        <v>7.1600679228081903E-6</v>
      </c>
      <c r="AE20" s="188">
        <f>opex_orig!$AC20</f>
        <v>7.5975921821049198E-5</v>
      </c>
      <c r="AF20" s="188">
        <f>opex_orig!$AD20</f>
        <v>3.4627153017206103E-5</v>
      </c>
      <c r="AG20" s="188">
        <f>opex_orig!$AD20</f>
        <v>3.4627153017206103E-5</v>
      </c>
      <c r="AH20" s="188">
        <f>opex_orig!$AD20</f>
        <v>3.4627153017206103E-5</v>
      </c>
      <c r="AI20" s="188">
        <f>opex_orig!AE20</f>
        <v>3.0899999999999999E-5</v>
      </c>
      <c r="AJ20" s="188">
        <f>opex_orig!AF20</f>
        <v>4.7899999999999999E-5</v>
      </c>
      <c r="AK20" s="188">
        <f>opex_orig!AG20</f>
        <v>5.5899999999999998E-6</v>
      </c>
      <c r="AL20" s="188">
        <f>opex_orig!AH20</f>
        <v>4.6500000000000004E-6</v>
      </c>
      <c r="AM20" s="188">
        <f>opex_orig!AI20</f>
        <v>9.3600000000000002E-6</v>
      </c>
      <c r="AN20" s="188">
        <f>opex_orig!AJ20</f>
        <v>3.4300000000000002E-6</v>
      </c>
      <c r="AO20" s="188">
        <f>opex_orig!AK20</f>
        <v>7.3200000000000002E-6</v>
      </c>
      <c r="AP20" s="188">
        <f>opex_orig!$AL20</f>
        <v>6.0452200706155197E-6</v>
      </c>
      <c r="AQ20" s="188">
        <f>opex_orig!$AL20</f>
        <v>6.0452200706155197E-6</v>
      </c>
      <c r="AR20" s="188">
        <f>opex_orig!$AL20</f>
        <v>6.0452200706155197E-6</v>
      </c>
      <c r="AS20" s="188">
        <f>opex_orig!$AM20</f>
        <v>6.6625534867270503E-6</v>
      </c>
      <c r="AT20" s="188">
        <f>opex_orig!AN20</f>
        <v>1.06E-5</v>
      </c>
      <c r="AU20" s="188">
        <f>opex_orig!$AO20</f>
        <v>1.7166881729968899E-6</v>
      </c>
      <c r="AV20" s="188">
        <f>opex_orig!$AO20</f>
        <v>1.7166881729968899E-6</v>
      </c>
      <c r="AW20" s="188">
        <f>opex_orig!$AO20</f>
        <v>1.7166881729968899E-6</v>
      </c>
      <c r="AX20" s="188">
        <f>opex_orig!$AP20</f>
        <v>2.69388690246048E-6</v>
      </c>
      <c r="AY20" s="188">
        <f>opex_orig!AQ20</f>
        <v>3.6899999999999998E-6</v>
      </c>
      <c r="AZ20" s="188">
        <f>opex_orig!AR20</f>
        <v>0</v>
      </c>
      <c r="BA20" s="188">
        <f>opex_orig!AS20</f>
        <v>3.2600000000000001E-6</v>
      </c>
      <c r="BB20" s="188">
        <f>opex_orig!AT20</f>
        <v>2.6400000000000001E-6</v>
      </c>
      <c r="BC20" s="188">
        <f>opex_orig!AU20</f>
        <v>1.4500000000000001E-6</v>
      </c>
      <c r="BD20" s="188">
        <f>opex_orig!AV20</f>
        <v>1.39E-6</v>
      </c>
      <c r="BE20" s="188">
        <f>opex_orig!AW20</f>
        <v>2.2199999999999999E-6</v>
      </c>
      <c r="BF20" s="188">
        <f>opex_orig!AX20</f>
        <v>0</v>
      </c>
      <c r="BG20" s="188">
        <f>opex_orig!AY20</f>
        <v>6.9399999999999996E-6</v>
      </c>
      <c r="BH20" s="188">
        <f>opex_orig!AZ20</f>
        <v>0</v>
      </c>
      <c r="BI20" s="188">
        <f>opex_orig!BA20</f>
        <v>1.9599999999999999E-6</v>
      </c>
      <c r="BJ20" s="188">
        <f>opex_orig!BB20</f>
        <v>5.4299999999999997E-6</v>
      </c>
      <c r="BK20" s="188">
        <f>opex_orig!BC20</f>
        <v>6.1800000000000001E-6</v>
      </c>
      <c r="BL20" s="188">
        <f>opex_orig!BD20</f>
        <v>4.0300000000000004E-6</v>
      </c>
      <c r="BM20" s="188">
        <f>opex_orig!BE20</f>
        <v>2.87E-5</v>
      </c>
      <c r="BN20" s="188">
        <f>opex_orig!BF20</f>
        <v>2.65E-6</v>
      </c>
      <c r="BO20" s="188">
        <f>opex_orig!BG20</f>
        <v>9.8400000000000007E-6</v>
      </c>
      <c r="BP20" s="188">
        <f>opex_orig!$BH20</f>
        <v>4.8903273210541702E-6</v>
      </c>
      <c r="BQ20" s="188">
        <f>opex_orig!$BH20</f>
        <v>4.8903273210541702E-6</v>
      </c>
      <c r="BR20" s="188">
        <f>opex_orig!BI20</f>
        <v>5.93E-6</v>
      </c>
      <c r="BS20" s="188">
        <f>opex_orig!BJ20</f>
        <v>7.4399999999999999E-6</v>
      </c>
      <c r="BT20" s="188">
        <f>opex_orig!BK20</f>
        <v>1.88E-5</v>
      </c>
      <c r="BU20" s="188">
        <f>opex_orig!BL20</f>
        <v>0</v>
      </c>
      <c r="BV20" s="27">
        <f>opex_orig!BM20</f>
        <v>9.4746081205695794E-6</v>
      </c>
      <c r="BW20" s="27">
        <f>opex_orig!BN20</f>
        <v>1.9972045732100901E-5</v>
      </c>
      <c r="BX20" s="27">
        <f>opex_orig!BO20</f>
        <v>3.85771627470666E-6</v>
      </c>
      <c r="BY20" s="27">
        <f>opex_orig!BP20</f>
        <v>3.8128463710641402E-6</v>
      </c>
      <c r="BZ20" s="27">
        <f>opex_orig!BQ20</f>
        <v>3.9714738943353602E-6</v>
      </c>
      <c r="CA20" s="27">
        <f>opex_orig!BR20</f>
        <v>2.24226677237464E-8</v>
      </c>
      <c r="CB20" s="27">
        <f>opex_orig!BS20</f>
        <v>1.5027876289866099E-5</v>
      </c>
      <c r="CC20" s="27">
        <f>opex_orig!BT20</f>
        <v>1.06320272710343E-5</v>
      </c>
      <c r="CD20" s="27">
        <f>opex_orig!BU20</f>
        <v>2.8366259606008799E-6</v>
      </c>
      <c r="CE20" s="27">
        <f>opex_orig!BV20</f>
        <v>2.8366259606008799E-6</v>
      </c>
      <c r="CF20" s="27">
        <f>opex_orig!BW20</f>
        <v>1.9754376532101099E-7</v>
      </c>
      <c r="CG20" s="27">
        <f>opex_orig!BX20</f>
        <v>9.6151655691459309E-7</v>
      </c>
      <c r="CH20" s="27">
        <f>opex_orig!BY20</f>
        <v>1.5034340374470801E-6</v>
      </c>
      <c r="CI20" s="27">
        <f>opex_orig!Y20</f>
        <v>2.6800000000000002E-6</v>
      </c>
      <c r="CJ20" s="27">
        <f>opex_orig!Z20</f>
        <v>4.6099999999999999E-6</v>
      </c>
      <c r="CK20" s="27">
        <f>opex_orig!AA20</f>
        <v>7.7200000000000006E-6</v>
      </c>
      <c r="CL20" s="27">
        <f>opex_orig!AB20</f>
        <v>7.1600679228081903E-6</v>
      </c>
      <c r="CM20" s="27">
        <f>opex_orig!AC20</f>
        <v>7.5975921821049198E-5</v>
      </c>
      <c r="CN20" s="27">
        <f>opex_orig!AD20</f>
        <v>3.4627153017206103E-5</v>
      </c>
      <c r="CO20" s="27">
        <f>opex_orig!AE20</f>
        <v>3.0899999999999999E-5</v>
      </c>
      <c r="CP20" s="27">
        <f>opex_orig!AF20</f>
        <v>4.7899999999999999E-5</v>
      </c>
    </row>
    <row r="21" spans="1:94" x14ac:dyDescent="0.25">
      <c r="A21" s="5" t="s">
        <v>61</v>
      </c>
      <c r="B21" s="2" t="s">
        <v>60</v>
      </c>
      <c r="C21" s="1" t="s">
        <v>326</v>
      </c>
      <c r="D21" s="188">
        <f>opex_orig!D21</f>
        <v>1.11265E-4</v>
      </c>
      <c r="E21" s="188">
        <f>opex_orig!E21</f>
        <v>1.98865E-4</v>
      </c>
      <c r="F21" s="188">
        <f>opex_orig!F21</f>
        <v>1.8306600000000001E-4</v>
      </c>
      <c r="G21" s="188">
        <f>opex_orig!G21</f>
        <v>4.6E-5</v>
      </c>
      <c r="H21" s="188">
        <f>opex_orig!H21</f>
        <v>1.3786899999999999E-4</v>
      </c>
      <c r="I21" s="188">
        <f>opex_orig!I21</f>
        <v>5.0590900000000002E-4</v>
      </c>
      <c r="J21" s="188">
        <f>opex_orig!J21</f>
        <v>2.6846919999999998E-3</v>
      </c>
      <c r="K21" s="188">
        <f>opex_orig!K21</f>
        <v>1.0641099999999999E-4</v>
      </c>
      <c r="L21" s="188">
        <f>opex_orig!L21</f>
        <v>4.4276299999999999E-4</v>
      </c>
      <c r="M21" s="188">
        <f>opex_orig!M21</f>
        <v>9.7793899999999994E-4</v>
      </c>
      <c r="N21" s="188">
        <f>opex_orig!N21</f>
        <v>1.1900089999999999E-3</v>
      </c>
      <c r="O21" s="188">
        <f>opex_orig!O21</f>
        <v>1.1699849999999999E-3</v>
      </c>
      <c r="P21" s="188">
        <f>opex_orig!P21</f>
        <v>1.4826590000000001E-3</v>
      </c>
      <c r="Q21" s="188">
        <f>opex_orig!Q21</f>
        <v>1.1966380000000001E-3</v>
      </c>
      <c r="R21" s="188">
        <f>opex_orig!R21</f>
        <v>2.4142599999999999E-4</v>
      </c>
      <c r="S21" s="188">
        <f>opex_orig!S21</f>
        <v>7.5180199999999998E-4</v>
      </c>
      <c r="T21" s="188">
        <f>opex_orig!T21</f>
        <v>1.0777670000000001E-3</v>
      </c>
      <c r="U21" s="188">
        <f>opex_orig!U21</f>
        <v>8.5248019999999997E-3</v>
      </c>
      <c r="V21" s="188">
        <f>opex_orig!V21</f>
        <v>1.521746E-3</v>
      </c>
      <c r="W21" s="188">
        <f>opex_orig!W21</f>
        <v>1.1230649999999999E-3</v>
      </c>
      <c r="X21" s="188">
        <f>opex_orig!X21</f>
        <v>3.43197E-4</v>
      </c>
      <c r="Y21" s="188">
        <f>opex_orig!Y21</f>
        <v>0.74952171099999998</v>
      </c>
      <c r="Z21" s="188">
        <f>opex_orig!Z21</f>
        <v>4.6142379999999997E-3</v>
      </c>
      <c r="AA21" s="188">
        <f>opex_orig!AA21</f>
        <v>4.1452600000000002E-4</v>
      </c>
      <c r="AB21" s="272">
        <f>opex_concordance!M189</f>
        <v>1.89845054350701E-2</v>
      </c>
      <c r="AC21" s="272">
        <f>opex_concordance!M234</f>
        <v>1.5079009570138094E-2</v>
      </c>
      <c r="AD21" s="272">
        <f>opex_concordance!M279</f>
        <v>0</v>
      </c>
      <c r="AE21" s="188">
        <f>opex_orig!$AC21</f>
        <v>3.6500668637103502E-3</v>
      </c>
      <c r="AF21" s="272">
        <f>opex_concordance!$M$311</f>
        <v>1.5464210803373898E-2</v>
      </c>
      <c r="AG21" s="272">
        <f>opex_concordance!$M$347</f>
        <v>0</v>
      </c>
      <c r="AH21" s="272">
        <f>opex_concordance!$M$383</f>
        <v>0</v>
      </c>
      <c r="AI21" s="188">
        <f>opex_orig!AE21</f>
        <v>1.2895808E-2</v>
      </c>
      <c r="AJ21" s="188">
        <f>opex_orig!AF21</f>
        <v>1.4097790000000001E-2</v>
      </c>
      <c r="AK21" s="188">
        <f>opex_orig!AG21</f>
        <v>4.3518499999999999E-4</v>
      </c>
      <c r="AL21" s="188">
        <f>opex_orig!AH21</f>
        <v>2.81823E-4</v>
      </c>
      <c r="AM21" s="188">
        <f>opex_orig!AI21</f>
        <v>6.0976599999999998E-4</v>
      </c>
      <c r="AN21" s="188">
        <f>opex_orig!AJ21</f>
        <v>2.72637E-4</v>
      </c>
      <c r="AO21" s="188">
        <f>opex_orig!AK21</f>
        <v>2.5366659999999999E-3</v>
      </c>
      <c r="AP21" s="272">
        <f>opex_concordance!M421</f>
        <v>9.28829150639718E-3</v>
      </c>
      <c r="AQ21" s="272">
        <f>opex_concordance!M475</f>
        <v>6.1751068755063901E-3</v>
      </c>
      <c r="AR21" s="272">
        <f>opex_concordance!M529</f>
        <v>0</v>
      </c>
      <c r="AS21" s="188">
        <f>opex_orig!$AM21</f>
        <v>7.8601087448428395E-3</v>
      </c>
      <c r="AT21" s="188">
        <f>opex_orig!AN21</f>
        <v>5.2291660000000004E-3</v>
      </c>
      <c r="AU21" s="272">
        <f>opex_concordance!M595</f>
        <v>0.14362150773701499</v>
      </c>
      <c r="AV21" s="272">
        <f>opex_concordance!M641</f>
        <v>0</v>
      </c>
      <c r="AW21" s="272">
        <f>opex_concordance!M687</f>
        <v>5.4698485635967617E-2</v>
      </c>
      <c r="AX21" s="188">
        <f>opex_orig!$AP21</f>
        <v>2.32954737541964E-2</v>
      </c>
      <c r="AY21" s="188">
        <f>opex_orig!AQ21</f>
        <v>5.8274995000000003E-2</v>
      </c>
      <c r="AZ21" s="188">
        <f>opex_orig!AR21</f>
        <v>0</v>
      </c>
      <c r="BA21" s="188">
        <f>opex_orig!AS21</f>
        <v>4.1237013000000003E-2</v>
      </c>
      <c r="BB21" s="188">
        <f>opex_orig!AT21</f>
        <v>3.0875217999999999E-2</v>
      </c>
      <c r="BC21" s="188">
        <f>opex_orig!AU21</f>
        <v>1.3601600000000001E-4</v>
      </c>
      <c r="BD21" s="188">
        <f>opex_orig!AV21</f>
        <v>6.2299999999999996E-5</v>
      </c>
      <c r="BE21" s="188">
        <f>opex_orig!AW21</f>
        <v>3.3230331000000002E-2</v>
      </c>
      <c r="BF21" s="188">
        <f>opex_orig!AX21</f>
        <v>0</v>
      </c>
      <c r="BG21" s="188">
        <f>opex_orig!AY21</f>
        <v>1.6968438999999998E-2</v>
      </c>
      <c r="BH21" s="188">
        <f>opex_orig!AZ21</f>
        <v>0</v>
      </c>
      <c r="BI21" s="188">
        <f>opex_orig!BA21</f>
        <v>1.6326762000000002E-2</v>
      </c>
      <c r="BJ21" s="188">
        <f>opex_orig!BB21</f>
        <v>3.6836399999999999E-4</v>
      </c>
      <c r="BK21" s="188">
        <f>opex_orig!BC21</f>
        <v>6.7534300000000002E-4</v>
      </c>
      <c r="BL21" s="188">
        <f>opex_orig!BD21</f>
        <v>7.2999999999999999E-5</v>
      </c>
      <c r="BM21" s="188">
        <f>opex_orig!BE21</f>
        <v>4.9372299999999995E-4</v>
      </c>
      <c r="BN21" s="188">
        <f>opex_orig!BF21</f>
        <v>1.2435300000000001E-4</v>
      </c>
      <c r="BO21" s="188">
        <f>opex_orig!BG21</f>
        <v>1.1078240000000001E-3</v>
      </c>
      <c r="BP21" s="188">
        <f>opex_orig!$BH21</f>
        <v>5.2455349802427501E-4</v>
      </c>
      <c r="BQ21" s="188">
        <f>opex_orig!$BH21</f>
        <v>5.2455349802427501E-4</v>
      </c>
      <c r="BR21" s="188">
        <f>opex_orig!BI21</f>
        <v>3.0427900000000002E-4</v>
      </c>
      <c r="BS21" s="188">
        <f>opex_orig!BJ21</f>
        <v>1.5199689999999999E-3</v>
      </c>
      <c r="BT21" s="188">
        <f>opex_orig!BK21</f>
        <v>1.9796500000000001E-4</v>
      </c>
      <c r="BU21" s="188">
        <f>opex_orig!BL21</f>
        <v>0</v>
      </c>
      <c r="BV21" s="27">
        <f>opex_orig!BM21</f>
        <v>0.29194198068030602</v>
      </c>
      <c r="BW21" s="27">
        <f>opex_orig!BN21</f>
        <v>5.8680678078267701E-3</v>
      </c>
      <c r="BX21" s="27">
        <f>opex_orig!BO21</f>
        <v>1.25989973558254E-4</v>
      </c>
      <c r="BY21" s="27">
        <f>opex_orig!BP21</f>
        <v>1.65596604292033E-4</v>
      </c>
      <c r="BZ21" s="27">
        <f>opex_orig!BQ21</f>
        <v>1.9319724742737599E-4</v>
      </c>
      <c r="CA21" s="27">
        <f>opex_orig!BR21</f>
        <v>8.6425054310028602E-5</v>
      </c>
      <c r="CB21" s="27">
        <f>opex_orig!BS21</f>
        <v>3.2388546617861699E-3</v>
      </c>
      <c r="CC21" s="27">
        <f>opex_orig!BT21</f>
        <v>3.1673056224531301E-4</v>
      </c>
      <c r="CD21" s="27">
        <f>opex_orig!BU21</f>
        <v>1.1182378651294299E-4</v>
      </c>
      <c r="CE21" s="27">
        <f>opex_orig!BV21</f>
        <v>1.1182378651294299E-4</v>
      </c>
      <c r="CF21" s="27">
        <f>opex_orig!BW21</f>
        <v>3.55016962824601E-6</v>
      </c>
      <c r="CG21" s="27">
        <f>opex_orig!BX21</f>
        <v>6.9320112861441103E-6</v>
      </c>
      <c r="CH21" s="27">
        <f>opex_orig!BY21</f>
        <v>1.32293776707256E-5</v>
      </c>
      <c r="CI21" s="27">
        <f>opex_orig!Y21</f>
        <v>0.74952171099999998</v>
      </c>
      <c r="CJ21" s="27">
        <f>opex_orig!Z21</f>
        <v>4.6142379999999997E-3</v>
      </c>
      <c r="CK21" s="27">
        <f>opex_orig!AA21</f>
        <v>4.1452600000000002E-4</v>
      </c>
      <c r="CL21" s="27">
        <f>opex_orig!AB21</f>
        <v>1.89845054350701E-2</v>
      </c>
      <c r="CM21" s="27">
        <f>opex_orig!AC21</f>
        <v>3.6500668637103502E-3</v>
      </c>
      <c r="CN21" s="27">
        <f>opex_orig!AD21</f>
        <v>1.5464210803373899E-2</v>
      </c>
      <c r="CO21" s="27">
        <f>opex_orig!AE21</f>
        <v>1.2895808E-2</v>
      </c>
      <c r="CP21" s="27">
        <f>opex_orig!AF21</f>
        <v>1.4097790000000001E-2</v>
      </c>
    </row>
    <row r="22" spans="1:94" x14ac:dyDescent="0.25">
      <c r="A22" s="5" t="s">
        <v>63</v>
      </c>
      <c r="B22" s="2" t="s">
        <v>62</v>
      </c>
      <c r="C22" s="1" t="s">
        <v>326</v>
      </c>
      <c r="D22" s="188">
        <f>opex_orig!D22</f>
        <v>5.2200000000000002E-5</v>
      </c>
      <c r="E22" s="188">
        <f>opex_orig!E22</f>
        <v>7.0299999999999996E-6</v>
      </c>
      <c r="F22" s="188">
        <f>opex_orig!F22</f>
        <v>1.03E-5</v>
      </c>
      <c r="G22" s="188">
        <f>opex_orig!G22</f>
        <v>1.28E-6</v>
      </c>
      <c r="H22" s="188">
        <f>opex_orig!H22</f>
        <v>2.2800000000000002E-6</v>
      </c>
      <c r="I22" s="188">
        <f>opex_orig!I22</f>
        <v>8.1999999999999994E-6</v>
      </c>
      <c r="J22" s="188">
        <f>opex_orig!J22</f>
        <v>3.1000000000000001E-5</v>
      </c>
      <c r="K22" s="188">
        <f>opex_orig!K22</f>
        <v>2.92E-6</v>
      </c>
      <c r="L22" s="188">
        <f>opex_orig!L22</f>
        <v>1.33E-5</v>
      </c>
      <c r="M22" s="188">
        <f>opex_orig!M22</f>
        <v>1.6699999999999999E-5</v>
      </c>
      <c r="N22" s="188">
        <f>opex_orig!N22</f>
        <v>1.8E-5</v>
      </c>
      <c r="O22" s="188">
        <f>opex_orig!O22</f>
        <v>2.27E-5</v>
      </c>
      <c r="P22" s="188">
        <f>opex_orig!P22</f>
        <v>2.4199999999999999E-5</v>
      </c>
      <c r="Q22" s="188">
        <f>opex_orig!Q22</f>
        <v>9.0810499999999998E-4</v>
      </c>
      <c r="R22" s="188">
        <f>opex_orig!R22</f>
        <v>1.3499999999999999E-5</v>
      </c>
      <c r="S22" s="188">
        <f>opex_orig!S22</f>
        <v>3.65E-5</v>
      </c>
      <c r="T22" s="188">
        <f>opex_orig!T22</f>
        <v>1.6799999999999998E-5</v>
      </c>
      <c r="U22" s="188">
        <f>opex_orig!U22</f>
        <v>1.3900000000000001E-5</v>
      </c>
      <c r="V22" s="188">
        <f>opex_orig!V22</f>
        <v>1.77E-5</v>
      </c>
      <c r="W22" s="188">
        <f>opex_orig!W22</f>
        <v>1.4399999999999999E-5</v>
      </c>
      <c r="X22" s="188">
        <f>opex_orig!X22</f>
        <v>9.8400000000000007E-6</v>
      </c>
      <c r="Y22" s="188">
        <f>opex_orig!Y22</f>
        <v>4.0899999999999998E-6</v>
      </c>
      <c r="Z22" s="188">
        <f>opex_orig!Z22</f>
        <v>0.226576469</v>
      </c>
      <c r="AA22" s="188">
        <f>opex_orig!AA22</f>
        <v>1.4100000000000001E-5</v>
      </c>
      <c r="AB22" s="188">
        <f>opex_orig!$AB22</f>
        <v>4.37093967398956E-5</v>
      </c>
      <c r="AC22" s="188">
        <f>opex_orig!$AB22</f>
        <v>4.37093967398956E-5</v>
      </c>
      <c r="AD22" s="188">
        <f>opex_orig!$AB22</f>
        <v>4.37093967398956E-5</v>
      </c>
      <c r="AE22" s="188">
        <f>opex_orig!$AC22</f>
        <v>1.9715214114265499E-5</v>
      </c>
      <c r="AF22" s="188">
        <f>opex_orig!$AD22</f>
        <v>3.4479180013033301E-5</v>
      </c>
      <c r="AG22" s="188">
        <f>opex_orig!$AD22</f>
        <v>3.4479180013033301E-5</v>
      </c>
      <c r="AH22" s="188">
        <f>opex_orig!$AD22</f>
        <v>3.4479180013033301E-5</v>
      </c>
      <c r="AI22" s="188">
        <f>opex_orig!AE22</f>
        <v>3.7499999999999997E-5</v>
      </c>
      <c r="AJ22" s="188">
        <f>opex_orig!AF22</f>
        <v>5.2165499999999999E-4</v>
      </c>
      <c r="AK22" s="188">
        <f>opex_orig!AG22</f>
        <v>1.3742E-4</v>
      </c>
      <c r="AL22" s="188">
        <f>opex_orig!AH22</f>
        <v>3.68E-5</v>
      </c>
      <c r="AM22" s="188">
        <f>opex_orig!AI22</f>
        <v>6.2600000000000004E-5</v>
      </c>
      <c r="AN22" s="188">
        <f>opex_orig!AJ22</f>
        <v>4.9200000000000003E-5</v>
      </c>
      <c r="AO22" s="188">
        <f>opex_orig!AK22</f>
        <v>3.29E-5</v>
      </c>
      <c r="AP22" s="348">
        <f>opex_concordance!M422</f>
        <v>3.88904385596317E-5</v>
      </c>
      <c r="AQ22" s="348">
        <f>opex_concordance!M476</f>
        <v>2.5855413169971983E-5</v>
      </c>
      <c r="AR22" s="348">
        <f>opex_concordance!M530</f>
        <v>0</v>
      </c>
      <c r="AS22" s="188">
        <f>opex_orig!$AM22</f>
        <v>3.5689665029099298E-5</v>
      </c>
      <c r="AT22" s="188">
        <f>opex_orig!AN22</f>
        <v>5.5399999999999998E-5</v>
      </c>
      <c r="AU22" s="188">
        <f>opex_orig!$AO22</f>
        <v>1.9161459907773901E-5</v>
      </c>
      <c r="AV22" s="188">
        <f>opex_orig!$AO22</f>
        <v>1.9161459907773901E-5</v>
      </c>
      <c r="AW22" s="188">
        <f>opex_orig!$AO22</f>
        <v>1.9161459907773901E-5</v>
      </c>
      <c r="AX22" s="188">
        <f>opex_orig!$AP22</f>
        <v>1.66710746731291E-5</v>
      </c>
      <c r="AY22" s="188">
        <f>opex_orig!AQ22</f>
        <v>2.3099999999999999E-5</v>
      </c>
      <c r="AZ22" s="188">
        <f>opex_orig!AR22</f>
        <v>0</v>
      </c>
      <c r="BA22" s="188">
        <f>opex_orig!AS22</f>
        <v>4.46E-5</v>
      </c>
      <c r="BB22" s="188">
        <f>opex_orig!AT22</f>
        <v>4.0399999999999999E-5</v>
      </c>
      <c r="BC22" s="188">
        <f>opex_orig!AU22</f>
        <v>1.2300000000000001E-5</v>
      </c>
      <c r="BD22" s="188">
        <f>opex_orig!AV22</f>
        <v>1.1800000000000001E-5</v>
      </c>
      <c r="BE22" s="188">
        <f>opex_orig!AW22</f>
        <v>1.1600000000000001E-5</v>
      </c>
      <c r="BF22" s="188">
        <f>opex_orig!AX22</f>
        <v>0</v>
      </c>
      <c r="BG22" s="188">
        <f>opex_orig!AY22</f>
        <v>1.4800000000000001E-5</v>
      </c>
      <c r="BH22" s="188">
        <f>opex_orig!AZ22</f>
        <v>0</v>
      </c>
      <c r="BI22" s="188">
        <f>opex_orig!BA22</f>
        <v>2.3799999999999999E-5</v>
      </c>
      <c r="BJ22" s="188">
        <f>opex_orig!BB22</f>
        <v>3.26E-5</v>
      </c>
      <c r="BK22" s="188">
        <f>opex_orig!BC22</f>
        <v>4.07E-5</v>
      </c>
      <c r="BL22" s="188">
        <f>opex_orig!BD22</f>
        <v>3.7299999999999999E-5</v>
      </c>
      <c r="BM22" s="188">
        <f>opex_orig!BE22</f>
        <v>5.5300000000000002E-5</v>
      </c>
      <c r="BN22" s="188">
        <f>opex_orig!BF22</f>
        <v>2.6599999999999999E-5</v>
      </c>
      <c r="BO22" s="188">
        <f>opex_orig!BG22</f>
        <v>7.8499999999999997E-5</v>
      </c>
      <c r="BP22" s="188">
        <f>opex_orig!$BH22</f>
        <v>2.3390310783438801E-5</v>
      </c>
      <c r="BQ22" s="188">
        <f>opex_orig!$BH22</f>
        <v>2.3390310783438801E-5</v>
      </c>
      <c r="BR22" s="188">
        <f>opex_orig!BI22</f>
        <v>7.0300000000000001E-5</v>
      </c>
      <c r="BS22" s="188">
        <f>opex_orig!BJ22</f>
        <v>1.702985E-3</v>
      </c>
      <c r="BT22" s="188">
        <f>opex_orig!BK22</f>
        <v>8.3399999999999998E-6</v>
      </c>
      <c r="BU22" s="188">
        <f>opex_orig!BL22</f>
        <v>0</v>
      </c>
      <c r="BV22" s="27">
        <f>opex_orig!BM22</f>
        <v>4.1349560849230603E-5</v>
      </c>
      <c r="BW22" s="27">
        <f>opex_orig!BN22</f>
        <v>5.3760654252330501E-5</v>
      </c>
      <c r="BX22" s="27">
        <f>opex_orig!BO22</f>
        <v>2.4892221796272702E-5</v>
      </c>
      <c r="BY22" s="27">
        <f>opex_orig!BP22</f>
        <v>1.1117066608954801E-5</v>
      </c>
      <c r="BZ22" s="27">
        <f>opex_orig!BQ22</f>
        <v>9.0403126082155297E-6</v>
      </c>
      <c r="CA22" s="27">
        <f>opex_orig!BR22</f>
        <v>1.4618620674975899E-5</v>
      </c>
      <c r="CB22" s="27">
        <f>opex_orig!BS22</f>
        <v>3.8759686665575602E-5</v>
      </c>
      <c r="CC22" s="27">
        <f>opex_orig!BT22</f>
        <v>3.63307388147685E-4</v>
      </c>
      <c r="CD22" s="27">
        <f>opex_orig!BU22</f>
        <v>1.07917541842892E-5</v>
      </c>
      <c r="CE22" s="27">
        <f>opex_orig!BV22</f>
        <v>1.07917541842892E-5</v>
      </c>
      <c r="CF22" s="27">
        <f>opex_orig!BW22</f>
        <v>1.07147097561042E-4</v>
      </c>
      <c r="CG22" s="27">
        <f>opex_orig!BX22</f>
        <v>4.0542645059232103E-5</v>
      </c>
      <c r="CH22" s="27">
        <f>opex_orig!BY22</f>
        <v>5.1891912757954697E-5</v>
      </c>
      <c r="CI22" s="27">
        <f>opex_orig!Y22</f>
        <v>4.0899999999999998E-6</v>
      </c>
      <c r="CJ22" s="27">
        <f>opex_orig!Z22</f>
        <v>0.226576469</v>
      </c>
      <c r="CK22" s="27">
        <f>opex_orig!AA22</f>
        <v>1.4100000000000001E-5</v>
      </c>
      <c r="CL22" s="27">
        <f>opex_orig!AB22</f>
        <v>4.37093967398956E-5</v>
      </c>
      <c r="CM22" s="27">
        <f>opex_orig!AC22</f>
        <v>1.9715214114265499E-5</v>
      </c>
      <c r="CN22" s="27">
        <f>opex_orig!AD22</f>
        <v>3.4479180013033301E-5</v>
      </c>
      <c r="CO22" s="27">
        <f>opex_orig!AE22</f>
        <v>3.7499999999999997E-5</v>
      </c>
      <c r="CP22" s="27">
        <f>opex_orig!AF22</f>
        <v>5.2165499999999999E-4</v>
      </c>
    </row>
    <row r="23" spans="1:94" x14ac:dyDescent="0.25">
      <c r="A23" s="5" t="s">
        <v>65</v>
      </c>
      <c r="B23" s="2" t="s">
        <v>64</v>
      </c>
      <c r="C23" s="1" t="s">
        <v>326</v>
      </c>
      <c r="D23" s="188">
        <f>opex_orig!D23</f>
        <v>1.0719500000000001E-4</v>
      </c>
      <c r="E23" s="188">
        <f>opex_orig!E23</f>
        <v>1.8899999999999999E-5</v>
      </c>
      <c r="F23" s="188">
        <f>opex_orig!F23</f>
        <v>2.3900000000000002E-5</v>
      </c>
      <c r="G23" s="188">
        <f>opex_orig!G23</f>
        <v>4.0600000000000001E-6</v>
      </c>
      <c r="H23" s="188">
        <f>opex_orig!H23</f>
        <v>6.3799999999999999E-6</v>
      </c>
      <c r="I23" s="188">
        <f>opex_orig!I23</f>
        <v>3.01E-5</v>
      </c>
      <c r="J23" s="188">
        <f>opex_orig!J23</f>
        <v>7.9900000000000004E-5</v>
      </c>
      <c r="K23" s="188">
        <f>opex_orig!K23</f>
        <v>9.9000000000000001E-6</v>
      </c>
      <c r="L23" s="188">
        <f>opex_orig!L23</f>
        <v>3.5200000000000002E-5</v>
      </c>
      <c r="M23" s="188">
        <f>opex_orig!M23</f>
        <v>4.6E-5</v>
      </c>
      <c r="N23" s="188">
        <f>opex_orig!N23</f>
        <v>4.6100000000000002E-5</v>
      </c>
      <c r="O23" s="188">
        <f>opex_orig!O23</f>
        <v>4.6199999999999998E-5</v>
      </c>
      <c r="P23" s="188">
        <f>opex_orig!P23</f>
        <v>1.8848399999999999E-4</v>
      </c>
      <c r="Q23" s="188">
        <f>opex_orig!Q23</f>
        <v>1.5505298000000001E-2</v>
      </c>
      <c r="R23" s="188">
        <f>opex_orig!R23</f>
        <v>3.5299999999999997E-5</v>
      </c>
      <c r="S23" s="188">
        <f>opex_orig!S23</f>
        <v>4.8155700000000002E-4</v>
      </c>
      <c r="T23" s="188">
        <f>opex_orig!T23</f>
        <v>1.2613899999999999E-4</v>
      </c>
      <c r="U23" s="188">
        <f>opex_orig!U23</f>
        <v>8.1799999999999996E-5</v>
      </c>
      <c r="V23" s="188">
        <f>opex_orig!V23</f>
        <v>8.8399999999999994E-5</v>
      </c>
      <c r="W23" s="188">
        <f>opex_orig!W23</f>
        <v>4.2700000000000001E-5</v>
      </c>
      <c r="X23" s="188">
        <f>opex_orig!X23</f>
        <v>2.19E-5</v>
      </c>
      <c r="Y23" s="188">
        <f>opex_orig!Y23</f>
        <v>1.6399999999999999E-5</v>
      </c>
      <c r="Z23" s="188">
        <f>opex_orig!Z23</f>
        <v>9.5199999999999997E-5</v>
      </c>
      <c r="AA23" s="188">
        <f>opex_orig!AA23</f>
        <v>5.52E-5</v>
      </c>
      <c r="AB23" s="188">
        <f>opex_orig!$AB23</f>
        <v>1.23299211956506E-4</v>
      </c>
      <c r="AC23" s="188">
        <f>opex_orig!$AB23</f>
        <v>1.23299211956506E-4</v>
      </c>
      <c r="AD23" s="188">
        <f>opex_orig!$AB23</f>
        <v>1.23299211956506E-4</v>
      </c>
      <c r="AE23" s="188">
        <f>opex_orig!$AC23</f>
        <v>5.4895872104014698E-5</v>
      </c>
      <c r="AF23" s="293">
        <f>opex_concordance!$M$312</f>
        <v>5.7937683640318899E-5</v>
      </c>
      <c r="AG23" s="293">
        <f>opex_concordance!$M$348</f>
        <v>0</v>
      </c>
      <c r="AH23" s="293">
        <f>opex_concordance!$M$384</f>
        <v>0</v>
      </c>
      <c r="AI23" s="188">
        <f>opex_orig!AE23</f>
        <v>5.9299999999999998E-5</v>
      </c>
      <c r="AJ23" s="188">
        <f>opex_orig!AF23</f>
        <v>1.1987160000000001E-3</v>
      </c>
      <c r="AK23" s="188">
        <f>opex_orig!AG23</f>
        <v>3.0606999999999997E-4</v>
      </c>
      <c r="AL23" s="188">
        <f>opex_orig!AH23</f>
        <v>6.4900000000000005E-5</v>
      </c>
      <c r="AM23" s="188">
        <f>opex_orig!AI23</f>
        <v>7.6899999999999999E-5</v>
      </c>
      <c r="AN23" s="188">
        <f>opex_orig!AJ23</f>
        <v>7.4800000000000002E-5</v>
      </c>
      <c r="AO23" s="188">
        <f>opex_orig!AK23</f>
        <v>5.2800000000000003E-5</v>
      </c>
      <c r="AP23" s="348">
        <f>opex_concordance!M423</f>
        <v>5.2649147008735097E-5</v>
      </c>
      <c r="AQ23" s="348">
        <f>opex_concordance!M477</f>
        <v>3.5002573881242747E-5</v>
      </c>
      <c r="AR23" s="348">
        <f>opex_concordance!M531</f>
        <v>0</v>
      </c>
      <c r="AS23" s="188">
        <f>opex_orig!$AM23</f>
        <v>4.9804804504434797E-5</v>
      </c>
      <c r="AT23" s="188">
        <f>opex_orig!AN23</f>
        <v>7.5599999999999994E-5</v>
      </c>
      <c r="AU23" s="188">
        <f>opex_orig!$AO23</f>
        <v>2.0532099398601499E-4</v>
      </c>
      <c r="AV23" s="188">
        <f>opex_orig!$AO23</f>
        <v>2.0532099398601499E-4</v>
      </c>
      <c r="AW23" s="188">
        <f>opex_orig!$AO23</f>
        <v>2.0532099398601499E-4</v>
      </c>
      <c r="AX23" s="188">
        <f>opex_orig!$AP23</f>
        <v>3.5250759183475501E-5</v>
      </c>
      <c r="AY23" s="188">
        <f>opex_orig!AQ23</f>
        <v>5.13E-5</v>
      </c>
      <c r="AZ23" s="188">
        <f>opex_orig!AR23</f>
        <v>0</v>
      </c>
      <c r="BA23" s="188">
        <f>opex_orig!AS23</f>
        <v>1.0453E-4</v>
      </c>
      <c r="BB23" s="188">
        <f>opex_orig!AT23</f>
        <v>9.1899999999999998E-5</v>
      </c>
      <c r="BC23" s="188">
        <f>opex_orig!AU23</f>
        <v>2.7399999999999999E-5</v>
      </c>
      <c r="BD23" s="188">
        <f>opex_orig!AV23</f>
        <v>2.5700000000000001E-5</v>
      </c>
      <c r="BE23" s="188">
        <f>opex_orig!AW23</f>
        <v>2.4199999999999999E-5</v>
      </c>
      <c r="BF23" s="188">
        <f>opex_orig!AX23</f>
        <v>0</v>
      </c>
      <c r="BG23" s="188">
        <f>opex_orig!AY23</f>
        <v>1.10171E-4</v>
      </c>
      <c r="BH23" s="188">
        <f>opex_orig!AZ23</f>
        <v>0</v>
      </c>
      <c r="BI23" s="188">
        <f>opex_orig!BA23</f>
        <v>4.3099999999999997E-5</v>
      </c>
      <c r="BJ23" s="188">
        <f>opex_orig!BB23</f>
        <v>4.5800000000000002E-5</v>
      </c>
      <c r="BK23" s="188">
        <f>opex_orig!BC23</f>
        <v>9.4699999999999998E-5</v>
      </c>
      <c r="BL23" s="188">
        <f>opex_orig!BD23</f>
        <v>1.11879E-4</v>
      </c>
      <c r="BM23" s="188">
        <f>opex_orig!BE23</f>
        <v>1.04621E-4</v>
      </c>
      <c r="BN23" s="188">
        <f>opex_orig!BF23</f>
        <v>7.9900000000000004E-5</v>
      </c>
      <c r="BO23" s="188">
        <f>opex_orig!BG23</f>
        <v>1.4765500000000001E-4</v>
      </c>
      <c r="BP23" s="188">
        <f>opex_orig!$BH23</f>
        <v>5.65782206551005E-5</v>
      </c>
      <c r="BQ23" s="188">
        <f>opex_orig!$BH23</f>
        <v>5.65782206551005E-5</v>
      </c>
      <c r="BR23" s="188">
        <f>opex_orig!BI23</f>
        <v>1.10988E-4</v>
      </c>
      <c r="BS23" s="188">
        <f>opex_orig!BJ23</f>
        <v>2.6680717E-2</v>
      </c>
      <c r="BT23" s="188">
        <f>opex_orig!BK23</f>
        <v>1.63E-5</v>
      </c>
      <c r="BU23" s="188">
        <f>opex_orig!BL23</f>
        <v>0</v>
      </c>
      <c r="BV23" s="27">
        <f>opex_orig!BM23</f>
        <v>1.0545997880040001E-4</v>
      </c>
      <c r="BW23" s="27">
        <f>opex_orig!BN23</f>
        <v>1.7219299274710999E-4</v>
      </c>
      <c r="BX23" s="27">
        <f>opex_orig!BO23</f>
        <v>3.9761454309178203E-5</v>
      </c>
      <c r="BY23" s="27">
        <f>opex_orig!BP23</f>
        <v>3.5398760556679297E-5</v>
      </c>
      <c r="BZ23" s="27">
        <f>opex_orig!BQ23</f>
        <v>3.5978476572175E-5</v>
      </c>
      <c r="CA23" s="27">
        <f>opex_orig!BR23</f>
        <v>7.0125071885459699E-5</v>
      </c>
      <c r="CB23" s="27">
        <f>opex_orig!BS23</f>
        <v>1.3738394857886E-4</v>
      </c>
      <c r="CC23" s="27">
        <f>opex_orig!BT23</f>
        <v>2.1398877427752801E-3</v>
      </c>
      <c r="CD23" s="27">
        <f>opex_orig!BU23</f>
        <v>3.0732919006324203E-5</v>
      </c>
      <c r="CE23" s="27">
        <f>opex_orig!BV23</f>
        <v>3.0732919006324203E-5</v>
      </c>
      <c r="CF23" s="27">
        <f>opex_orig!BW23</f>
        <v>2.1746832607788999E-4</v>
      </c>
      <c r="CG23" s="27">
        <f>opex_orig!BX23</f>
        <v>7.7638325067733505E-5</v>
      </c>
      <c r="CH23" s="27">
        <f>opex_orig!BY23</f>
        <v>4.1175999723422601E-5</v>
      </c>
      <c r="CI23" s="27">
        <f>opex_orig!Y23</f>
        <v>1.6399999999999999E-5</v>
      </c>
      <c r="CJ23" s="27">
        <f>opex_orig!Z23</f>
        <v>9.5199999999999997E-5</v>
      </c>
      <c r="CK23" s="27">
        <f>opex_orig!AA23</f>
        <v>5.52E-5</v>
      </c>
      <c r="CL23" s="27">
        <f>opex_orig!AB23</f>
        <v>1.23299211956506E-4</v>
      </c>
      <c r="CM23" s="27">
        <f>opex_orig!AC23</f>
        <v>5.4895872104014698E-5</v>
      </c>
      <c r="CN23" s="27">
        <f>opex_orig!AD23</f>
        <v>5.7937683640318899E-5</v>
      </c>
      <c r="CO23" s="27">
        <f>opex_orig!AE23</f>
        <v>5.9299999999999998E-5</v>
      </c>
      <c r="CP23" s="27">
        <f>opex_orig!AF23</f>
        <v>1.1987160000000001E-3</v>
      </c>
    </row>
    <row r="24" spans="1:94" x14ac:dyDescent="0.25">
      <c r="A24" s="5" t="s">
        <v>67</v>
      </c>
      <c r="B24" s="2" t="s">
        <v>66</v>
      </c>
      <c r="C24" s="1" t="s">
        <v>326</v>
      </c>
      <c r="D24" s="188">
        <f>opex_orig!D24</f>
        <v>2.9499999999999998E-7</v>
      </c>
      <c r="E24" s="188">
        <f>opex_orig!E24</f>
        <v>2.11E-7</v>
      </c>
      <c r="F24" s="188">
        <f>opex_orig!F24</f>
        <v>1.43E-7</v>
      </c>
      <c r="G24" s="188">
        <f>opex_orig!G24</f>
        <v>9.76E-8</v>
      </c>
      <c r="H24" s="188">
        <f>opex_orig!H24</f>
        <v>1.1300000000000001E-7</v>
      </c>
      <c r="I24" s="188">
        <f>opex_orig!I24</f>
        <v>4.82E-7</v>
      </c>
      <c r="J24" s="188">
        <f>opex_orig!J24</f>
        <v>1.02E-6</v>
      </c>
      <c r="K24" s="188">
        <f>opex_orig!K24</f>
        <v>2.8299999999999998E-7</v>
      </c>
      <c r="L24" s="188">
        <f>opex_orig!L24</f>
        <v>2.1799999999999999E-7</v>
      </c>
      <c r="M24" s="188">
        <f>opex_orig!M24</f>
        <v>4.4400000000000001E-7</v>
      </c>
      <c r="N24" s="188">
        <f>opex_orig!N24</f>
        <v>5.0299999999999999E-7</v>
      </c>
      <c r="O24" s="188">
        <f>opex_orig!O24</f>
        <v>1.72E-7</v>
      </c>
      <c r="P24" s="188">
        <f>opex_orig!P24</f>
        <v>2.6800000000000002E-7</v>
      </c>
      <c r="Q24" s="188">
        <f>opex_orig!Q24</f>
        <v>5.5500000000000001E-8</v>
      </c>
      <c r="R24" s="188">
        <f>opex_orig!R24</f>
        <v>2.0100000000000001E-7</v>
      </c>
      <c r="S24" s="188">
        <f>opex_orig!S24</f>
        <v>4.5600000000000001E-7</v>
      </c>
      <c r="T24" s="188">
        <f>opex_orig!T24</f>
        <v>6.8400000000000004E-7</v>
      </c>
      <c r="U24" s="188">
        <f>opex_orig!U24</f>
        <v>1.6300000000000001E-6</v>
      </c>
      <c r="V24" s="188">
        <f>opex_orig!V24</f>
        <v>2.3499999999999999E-6</v>
      </c>
      <c r="W24" s="188">
        <f>opex_orig!W24</f>
        <v>3.2500000000000001E-7</v>
      </c>
      <c r="X24" s="188">
        <f>opex_orig!X24</f>
        <v>1.9600000000000001E-7</v>
      </c>
      <c r="Y24" s="188">
        <f>opex_orig!Y24</f>
        <v>3.0699999999999998E-7</v>
      </c>
      <c r="Z24" s="188">
        <f>opex_orig!Z24</f>
        <v>1.2899999999999999E-6</v>
      </c>
      <c r="AA24" s="188">
        <f>opex_orig!AA24</f>
        <v>1.7400000000000001E-6</v>
      </c>
      <c r="AB24" s="188">
        <f>opex_orig!$AB24</f>
        <v>5.2362642652402097E-6</v>
      </c>
      <c r="AC24" s="188">
        <f>opex_orig!$AB24</f>
        <v>5.2362642652402097E-6</v>
      </c>
      <c r="AD24" s="188">
        <f>opex_orig!$AB24</f>
        <v>5.2362642652402097E-6</v>
      </c>
      <c r="AE24" s="188">
        <f>opex_orig!$AC24</f>
        <v>1.2213668326568499E-6</v>
      </c>
      <c r="AF24" s="188">
        <f>opex_orig!$AD24</f>
        <v>5.8375204116164799E-7</v>
      </c>
      <c r="AG24" s="188">
        <f>opex_orig!$AD24</f>
        <v>5.8375204116164799E-7</v>
      </c>
      <c r="AH24" s="188">
        <f>opex_orig!$AD24</f>
        <v>5.8375204116164799E-7</v>
      </c>
      <c r="AI24" s="188">
        <f>opex_orig!AE24</f>
        <v>5.5799999999999999E-7</v>
      </c>
      <c r="AJ24" s="188">
        <f>opex_orig!AF24</f>
        <v>4.75E-7</v>
      </c>
      <c r="AK24" s="188">
        <f>opex_orig!AG24</f>
        <v>1.2599999999999999E-7</v>
      </c>
      <c r="AL24" s="188">
        <f>opex_orig!AH24</f>
        <v>2.7500000000000001E-7</v>
      </c>
      <c r="AM24" s="188">
        <f>opex_orig!AI24</f>
        <v>5.3399999999999999E-7</v>
      </c>
      <c r="AN24" s="188">
        <f>opex_orig!AJ24</f>
        <v>4.0400000000000002E-7</v>
      </c>
      <c r="AO24" s="188">
        <f>opex_orig!AK24</f>
        <v>4.7599999999999997E-7</v>
      </c>
      <c r="AP24" s="348">
        <f>opex_concordance!M424</f>
        <v>3.27917057013687E-7</v>
      </c>
      <c r="AQ24" s="348">
        <f>opex_concordance!M478</f>
        <v>2.1800810966865138E-7</v>
      </c>
      <c r="AR24" s="348">
        <f>opex_concordance!M532</f>
        <v>0</v>
      </c>
      <c r="AS24" s="188">
        <f>opex_orig!$AM24</f>
        <v>4.3347905772532899E-7</v>
      </c>
      <c r="AT24" s="188">
        <f>opex_orig!AN24</f>
        <v>4.01E-7</v>
      </c>
      <c r="AU24" s="188">
        <f>opex_orig!$AO24</f>
        <v>1.60314168903746E-7</v>
      </c>
      <c r="AV24" s="188">
        <f>opex_orig!$AO24</f>
        <v>1.60314168903746E-7</v>
      </c>
      <c r="AW24" s="188">
        <f>opex_orig!$AO24</f>
        <v>1.60314168903746E-7</v>
      </c>
      <c r="AX24" s="188">
        <f>opex_orig!$AP24</f>
        <v>2.1244611155283699E-7</v>
      </c>
      <c r="AY24" s="188">
        <f>opex_orig!AQ24</f>
        <v>2.4600000000000001E-7</v>
      </c>
      <c r="AZ24" s="188">
        <f>opex_orig!AR24</f>
        <v>0</v>
      </c>
      <c r="BA24" s="188">
        <f>opex_orig!AS24</f>
        <v>2.2000000000000001E-7</v>
      </c>
      <c r="BB24" s="188">
        <f>opex_orig!AT24</f>
        <v>1.91E-7</v>
      </c>
      <c r="BC24" s="188">
        <f>opex_orig!AU24</f>
        <v>2.22E-7</v>
      </c>
      <c r="BD24" s="188">
        <f>opex_orig!AV24</f>
        <v>2.22E-7</v>
      </c>
      <c r="BE24" s="188">
        <f>opex_orig!AW24</f>
        <v>1.99E-7</v>
      </c>
      <c r="BF24" s="188">
        <f>opex_orig!AX24</f>
        <v>0</v>
      </c>
      <c r="BG24" s="188">
        <f>opex_orig!AY24</f>
        <v>6.7999999999999995E-7</v>
      </c>
      <c r="BH24" s="188">
        <f>opex_orig!AZ24</f>
        <v>0</v>
      </c>
      <c r="BI24" s="188">
        <f>opex_orig!BA24</f>
        <v>2.3099999999999999E-7</v>
      </c>
      <c r="BJ24" s="188">
        <f>opex_orig!BB24</f>
        <v>1.6999999999999999E-7</v>
      </c>
      <c r="BK24" s="188">
        <f>opex_orig!BC24</f>
        <v>3.2899999999999999E-7</v>
      </c>
      <c r="BL24" s="188">
        <f>opex_orig!BD24</f>
        <v>1.6999999999999999E-7</v>
      </c>
      <c r="BM24" s="188">
        <f>opex_orig!BE24</f>
        <v>4.8699999999999995E-7</v>
      </c>
      <c r="BN24" s="188">
        <f>opex_orig!BF24</f>
        <v>1.18E-7</v>
      </c>
      <c r="BO24" s="188">
        <f>opex_orig!BG24</f>
        <v>3.4299999999999999E-7</v>
      </c>
      <c r="BP24" s="188">
        <f>opex_orig!$BH24</f>
        <v>2.7362521902359301E-7</v>
      </c>
      <c r="BQ24" s="188">
        <f>opex_orig!$BH24</f>
        <v>2.7362521902359301E-7</v>
      </c>
      <c r="BR24" s="188">
        <f>opex_orig!BI24</f>
        <v>3.96E-7</v>
      </c>
      <c r="BS24" s="188">
        <f>opex_orig!BJ24</f>
        <v>1.73E-7</v>
      </c>
      <c r="BT24" s="188">
        <f>opex_orig!BK24</f>
        <v>1.48E-7</v>
      </c>
      <c r="BU24" s="188">
        <f>opex_orig!BL24</f>
        <v>0</v>
      </c>
      <c r="BV24" s="27">
        <f>opex_orig!BM24</f>
        <v>1.16240307273316E-6</v>
      </c>
      <c r="BW24" s="27">
        <f>opex_orig!BN24</f>
        <v>1.18203024059604E-6</v>
      </c>
      <c r="BX24" s="27">
        <f>opex_orig!BO24</f>
        <v>4.9844305641103203E-7</v>
      </c>
      <c r="BY24" s="27">
        <f>opex_orig!BP24</f>
        <v>7.6550058821843702E-7</v>
      </c>
      <c r="BZ24" s="27">
        <f>opex_orig!BQ24</f>
        <v>1.1910926338215999E-6</v>
      </c>
      <c r="CA24" s="27">
        <f>opex_orig!BR24</f>
        <v>4.67201823025258E-8</v>
      </c>
      <c r="CB24" s="27">
        <f>opex_orig!BS24</f>
        <v>2.1585067224318701E-6</v>
      </c>
      <c r="CC24" s="27">
        <f>opex_orig!BT24</f>
        <v>4.7587164082679898E-7</v>
      </c>
      <c r="CD24" s="27">
        <f>opex_orig!BU24</f>
        <v>6.5533633547143798E-7</v>
      </c>
      <c r="CE24" s="27">
        <f>opex_orig!BV24</f>
        <v>6.5533633547144105E-7</v>
      </c>
      <c r="CF24" s="27">
        <f>opex_orig!BW24</f>
        <v>1.00691333690043E-7</v>
      </c>
      <c r="CG24" s="27">
        <f>opex_orig!BX24</f>
        <v>1.0095853595881E-7</v>
      </c>
      <c r="CH24" s="27">
        <f>opex_orig!BY24</f>
        <v>1.6093042923231299E-7</v>
      </c>
      <c r="CI24" s="27">
        <f>opex_orig!Y24</f>
        <v>3.0699999999999998E-7</v>
      </c>
      <c r="CJ24" s="27">
        <f>opex_orig!Z24</f>
        <v>1.2899999999999999E-6</v>
      </c>
      <c r="CK24" s="27">
        <f>opex_orig!AA24</f>
        <v>1.7400000000000001E-6</v>
      </c>
      <c r="CL24" s="27">
        <f>opex_orig!AB24</f>
        <v>5.2362642652402097E-6</v>
      </c>
      <c r="CM24" s="27">
        <f>opex_orig!AC24</f>
        <v>1.2213668326568499E-6</v>
      </c>
      <c r="CN24" s="27">
        <f>opex_orig!AD24</f>
        <v>5.8375204116164799E-7</v>
      </c>
      <c r="CO24" s="27">
        <f>opex_orig!AE24</f>
        <v>5.5799999999999999E-7</v>
      </c>
      <c r="CP24" s="27">
        <f>opex_orig!AF24</f>
        <v>4.75E-7</v>
      </c>
    </row>
    <row r="25" spans="1:94" x14ac:dyDescent="0.25">
      <c r="A25" s="5" t="s">
        <v>69</v>
      </c>
      <c r="B25" s="2" t="s">
        <v>68</v>
      </c>
      <c r="C25" s="1" t="s">
        <v>326</v>
      </c>
      <c r="D25" s="188">
        <f>opex_orig!D25</f>
        <v>2.4517000000000001E-4</v>
      </c>
      <c r="E25" s="188">
        <f>opex_orig!E25</f>
        <v>7.47E-5</v>
      </c>
      <c r="F25" s="188">
        <f>opex_orig!F25</f>
        <v>4.1100000000000003E-5</v>
      </c>
      <c r="G25" s="188">
        <f>opex_orig!G25</f>
        <v>6.4200000000000004E-6</v>
      </c>
      <c r="H25" s="188">
        <f>opex_orig!H25</f>
        <v>1.33E-5</v>
      </c>
      <c r="I25" s="188">
        <f>opex_orig!I25</f>
        <v>1.68271E-4</v>
      </c>
      <c r="J25" s="188">
        <f>opex_orig!J25</f>
        <v>3.9854300000000001E-4</v>
      </c>
      <c r="K25" s="188">
        <f>opex_orig!K25</f>
        <v>1.8600000000000001E-5</v>
      </c>
      <c r="L25" s="188">
        <f>opex_orig!L25</f>
        <v>1.4455800000000001E-4</v>
      </c>
      <c r="M25" s="188">
        <f>opex_orig!M25</f>
        <v>4.2656399999999999E-4</v>
      </c>
      <c r="N25" s="188">
        <f>opex_orig!N25</f>
        <v>2.0926399999999999E-4</v>
      </c>
      <c r="O25" s="188">
        <f>opex_orig!O25</f>
        <v>2.9155799999999998E-4</v>
      </c>
      <c r="P25" s="188">
        <f>opex_orig!P25</f>
        <v>3.1367400000000001E-4</v>
      </c>
      <c r="Q25" s="188">
        <f>opex_orig!Q25</f>
        <v>1.9826800000000001E-4</v>
      </c>
      <c r="R25" s="188">
        <f>opex_orig!R25</f>
        <v>3.9100000000000002E-5</v>
      </c>
      <c r="S25" s="188">
        <f>opex_orig!S25</f>
        <v>1.33938E-4</v>
      </c>
      <c r="T25" s="188">
        <f>opex_orig!T25</f>
        <v>1.66212E-4</v>
      </c>
      <c r="U25" s="188">
        <f>opex_orig!U25</f>
        <v>4.9059600000000004E-4</v>
      </c>
      <c r="V25" s="188">
        <f>opex_orig!V25</f>
        <v>3.75588E-4</v>
      </c>
      <c r="W25" s="188">
        <f>opex_orig!W25</f>
        <v>1.6208499999999999E-4</v>
      </c>
      <c r="X25" s="188">
        <f>opex_orig!X25</f>
        <v>9.5099999999999994E-5</v>
      </c>
      <c r="Y25" s="188">
        <f>opex_orig!Y25</f>
        <v>2.2097100000000001E-4</v>
      </c>
      <c r="Z25" s="188">
        <f>opex_orig!Z25</f>
        <v>4.6756400000000001E-4</v>
      </c>
      <c r="AA25" s="188">
        <f>opex_orig!AA25</f>
        <v>2.0090099999999999E-4</v>
      </c>
      <c r="AB25" s="188">
        <f>opex_orig!$AB25</f>
        <v>4.0134028601514697E-5</v>
      </c>
      <c r="AC25" s="188">
        <f>opex_orig!$AB25</f>
        <v>4.0134028601514697E-5</v>
      </c>
      <c r="AD25" s="188">
        <f>opex_orig!$AB25</f>
        <v>4.0134028601514697E-5</v>
      </c>
      <c r="AE25" s="188">
        <f>opex_orig!$AC25</f>
        <v>4.4743317631299698E-4</v>
      </c>
      <c r="AF25" s="188">
        <f>opex_orig!$AD25</f>
        <v>5.0096477416577999E-4</v>
      </c>
      <c r="AG25" s="188">
        <f>opex_orig!$AD25</f>
        <v>5.0096477416577999E-4</v>
      </c>
      <c r="AH25" s="188">
        <f>opex_orig!$AD25</f>
        <v>5.0096477416577999E-4</v>
      </c>
      <c r="AI25" s="188">
        <f>opex_orig!AE25</f>
        <v>4.8139500000000002E-4</v>
      </c>
      <c r="AJ25" s="188">
        <f>opex_orig!AF25</f>
        <v>4.6055400000000001E-4</v>
      </c>
      <c r="AK25" s="188">
        <f>opex_orig!AG25</f>
        <v>9.7E-5</v>
      </c>
      <c r="AL25" s="188">
        <f>opex_orig!AH25</f>
        <v>5.8799999999999999E-5</v>
      </c>
      <c r="AM25" s="188">
        <f>opex_orig!AI25</f>
        <v>1.2656200000000001E-4</v>
      </c>
      <c r="AN25" s="188">
        <f>opex_orig!AJ25</f>
        <v>5.13E-5</v>
      </c>
      <c r="AO25" s="188">
        <f>opex_orig!AK25</f>
        <v>9.1799999999999995E-5</v>
      </c>
      <c r="AP25" s="188">
        <f>opex_orig!$AL25</f>
        <v>1.5542377010820699E-4</v>
      </c>
      <c r="AQ25" s="188">
        <f>opex_orig!$AL25</f>
        <v>1.5542377010820699E-4</v>
      </c>
      <c r="AR25" s="188">
        <f>opex_orig!$AL25</f>
        <v>1.5542377010820699E-4</v>
      </c>
      <c r="AS25" s="188">
        <f>opex_orig!$AM25</f>
        <v>9.7343174444135806E-5</v>
      </c>
      <c r="AT25" s="188">
        <f>opex_orig!AN25</f>
        <v>2.1473099999999999E-4</v>
      </c>
      <c r="AU25" s="188">
        <f>opex_orig!$AO25</f>
        <v>1.1474294107694601E-4</v>
      </c>
      <c r="AV25" s="188">
        <f>opex_orig!$AO25</f>
        <v>1.1474294107694601E-4</v>
      </c>
      <c r="AW25" s="188">
        <f>opex_orig!$AO25</f>
        <v>1.1474294107694601E-4</v>
      </c>
      <c r="AX25" s="188">
        <f>opex_orig!$AP25</f>
        <v>2.1774112390585099E-4</v>
      </c>
      <c r="AY25" s="188">
        <f>opex_orig!AQ25</f>
        <v>1.3376999999999999E-4</v>
      </c>
      <c r="AZ25" s="188">
        <f>opex_orig!AR25</f>
        <v>0</v>
      </c>
      <c r="BA25" s="188">
        <f>opex_orig!AS25</f>
        <v>1.5182499999999999E-4</v>
      </c>
      <c r="BB25" s="188">
        <f>opex_orig!AT25</f>
        <v>4.7800000000000003E-5</v>
      </c>
      <c r="BC25" s="188">
        <f>opex_orig!AU25</f>
        <v>2.0800000000000001E-5</v>
      </c>
      <c r="BD25" s="188">
        <f>opex_orig!AV25</f>
        <v>1.6500000000000001E-5</v>
      </c>
      <c r="BE25" s="188">
        <f>opex_orig!AW25</f>
        <v>7.2999999999999999E-5</v>
      </c>
      <c r="BF25" s="188">
        <f>opex_orig!AX25</f>
        <v>0</v>
      </c>
      <c r="BG25" s="188">
        <f>opex_orig!AY25</f>
        <v>6.7999999999999999E-5</v>
      </c>
      <c r="BH25" s="188">
        <f>opex_orig!AZ25</f>
        <v>0</v>
      </c>
      <c r="BI25" s="188">
        <f>opex_orig!BA25</f>
        <v>1.0904900000000001E-4</v>
      </c>
      <c r="BJ25" s="188">
        <f>opex_orig!BB25</f>
        <v>2.4080600000000001E-4</v>
      </c>
      <c r="BK25" s="188">
        <f>opex_orig!BC25</f>
        <v>4.4273799999999997E-4</v>
      </c>
      <c r="BL25" s="188">
        <f>opex_orig!BD25</f>
        <v>5.9299999999999998E-5</v>
      </c>
      <c r="BM25" s="188">
        <f>opex_orig!BE25</f>
        <v>2.1548199999999999E-4</v>
      </c>
      <c r="BN25" s="188">
        <f>opex_orig!BF25</f>
        <v>4.5200000000000001E-5</v>
      </c>
      <c r="BO25" s="188">
        <f>opex_orig!BG25</f>
        <v>2.5255999999999998E-4</v>
      </c>
      <c r="BP25" s="188">
        <f>opex_orig!$BH25</f>
        <v>1.5232161484567301E-4</v>
      </c>
      <c r="BQ25" s="188">
        <f>opex_orig!$BH25</f>
        <v>1.5232161484567301E-4</v>
      </c>
      <c r="BR25" s="188">
        <f>opex_orig!BI25</f>
        <v>1.7933700000000001E-4</v>
      </c>
      <c r="BS25" s="188">
        <f>opex_orig!BJ25</f>
        <v>1.77837E-4</v>
      </c>
      <c r="BT25" s="188">
        <f>opex_orig!BK25</f>
        <v>1.42476E-4</v>
      </c>
      <c r="BU25" s="188">
        <f>opex_orig!BL25</f>
        <v>0</v>
      </c>
      <c r="BV25" s="27">
        <f>opex_orig!BM25</f>
        <v>1.6002869877843799E-4</v>
      </c>
      <c r="BW25" s="27">
        <f>opex_orig!BN25</f>
        <v>2.5186506284692898E-4</v>
      </c>
      <c r="BX25" s="27">
        <f>opex_orig!BO25</f>
        <v>1.14219387489516E-4</v>
      </c>
      <c r="BY25" s="27">
        <f>opex_orig!BP25</f>
        <v>8.3745667609641403E-5</v>
      </c>
      <c r="BZ25" s="27">
        <f>opex_orig!BQ25</f>
        <v>8.9234600161322406E-5</v>
      </c>
      <c r="CA25" s="27">
        <f>opex_orig!BR25</f>
        <v>4.2884317864775998E-7</v>
      </c>
      <c r="CB25" s="27">
        <f>opex_orig!BS25</f>
        <v>1.75791744095147E-4</v>
      </c>
      <c r="CC25" s="27">
        <f>opex_orig!BT25</f>
        <v>1.12169283837012E-6</v>
      </c>
      <c r="CD25" s="27">
        <f>opex_orig!BU25</f>
        <v>4.5565258932628202E-5</v>
      </c>
      <c r="CE25" s="27">
        <f>opex_orig!BV25</f>
        <v>4.5565258932628202E-5</v>
      </c>
      <c r="CF25" s="27">
        <f>opex_orig!BW25</f>
        <v>2.5338256662939301E-6</v>
      </c>
      <c r="CG25" s="27">
        <f>opex_orig!BX25</f>
        <v>8.5972434349110105E-8</v>
      </c>
      <c r="CH25" s="27">
        <f>opex_orig!BY25</f>
        <v>8.14505876605582E-7</v>
      </c>
      <c r="CI25" s="27">
        <f>opex_orig!Y25</f>
        <v>2.2097100000000001E-4</v>
      </c>
      <c r="CJ25" s="27">
        <f>opex_orig!Z25</f>
        <v>4.6756400000000001E-4</v>
      </c>
      <c r="CK25" s="27">
        <f>opex_orig!AA25</f>
        <v>2.0090099999999999E-4</v>
      </c>
      <c r="CL25" s="27">
        <f>opex_orig!AB25</f>
        <v>4.0134028601514697E-5</v>
      </c>
      <c r="CM25" s="27">
        <f>opex_orig!AC25</f>
        <v>4.4743317631299698E-4</v>
      </c>
      <c r="CN25" s="27">
        <f>opex_orig!AD25</f>
        <v>5.0096477416577999E-4</v>
      </c>
      <c r="CO25" s="27">
        <f>opex_orig!AE25</f>
        <v>4.8139500000000002E-4</v>
      </c>
      <c r="CP25" s="27">
        <f>opex_orig!AF25</f>
        <v>4.6055400000000001E-4</v>
      </c>
    </row>
    <row r="26" spans="1:94" x14ac:dyDescent="0.25">
      <c r="A26" s="5" t="s">
        <v>71</v>
      </c>
      <c r="B26" s="2" t="s">
        <v>70</v>
      </c>
      <c r="C26" s="1" t="s">
        <v>326</v>
      </c>
      <c r="D26" s="188">
        <f>opex_orig!D26</f>
        <v>4.7500000000000003E-6</v>
      </c>
      <c r="E26" s="188">
        <f>opex_orig!E26</f>
        <v>7.9999999999999996E-7</v>
      </c>
      <c r="F26" s="188">
        <f>opex_orig!F26</f>
        <v>1.8899999999999999E-6</v>
      </c>
      <c r="G26" s="188">
        <f>opex_orig!G26</f>
        <v>2.8700000000000002E-7</v>
      </c>
      <c r="H26" s="188">
        <f>opex_orig!H26</f>
        <v>1.2200000000000001E-7</v>
      </c>
      <c r="I26" s="188">
        <f>opex_orig!I26</f>
        <v>9.6599999999999994E-7</v>
      </c>
      <c r="J26" s="188">
        <f>opex_orig!J26</f>
        <v>3.9199999999999997E-6</v>
      </c>
      <c r="K26" s="188">
        <f>opex_orig!K26</f>
        <v>2.2000000000000001E-7</v>
      </c>
      <c r="L26" s="188">
        <f>opex_orig!L26</f>
        <v>3.3100000000000001E-6</v>
      </c>
      <c r="M26" s="188">
        <f>opex_orig!M26</f>
        <v>1.48E-6</v>
      </c>
      <c r="N26" s="188">
        <f>opex_orig!N26</f>
        <v>1.57E-6</v>
      </c>
      <c r="O26" s="188">
        <f>opex_orig!O26</f>
        <v>2.03E-6</v>
      </c>
      <c r="P26" s="188">
        <f>opex_orig!P26</f>
        <v>1.42E-6</v>
      </c>
      <c r="Q26" s="188">
        <f>opex_orig!Q26</f>
        <v>6.7999999999999995E-7</v>
      </c>
      <c r="R26" s="188">
        <f>opex_orig!R26</f>
        <v>6.2799999999999996E-7</v>
      </c>
      <c r="S26" s="188">
        <f>opex_orig!S26</f>
        <v>8.6400000000000001E-7</v>
      </c>
      <c r="T26" s="188">
        <f>opex_orig!T26</f>
        <v>1.4300000000000001E-6</v>
      </c>
      <c r="U26" s="188">
        <f>opex_orig!U26</f>
        <v>6.1600000000000001E-7</v>
      </c>
      <c r="V26" s="188">
        <f>opex_orig!V26</f>
        <v>4.9900000000000001E-7</v>
      </c>
      <c r="W26" s="188">
        <f>opex_orig!W26</f>
        <v>6.8800000000000002E-7</v>
      </c>
      <c r="X26" s="188">
        <f>opex_orig!X26</f>
        <v>7.3799999999999996E-7</v>
      </c>
      <c r="Y26" s="188">
        <f>opex_orig!Y26</f>
        <v>3.3599999999999999E-7</v>
      </c>
      <c r="Z26" s="188">
        <f>opex_orig!Z26</f>
        <v>1.1599999999999999E-6</v>
      </c>
      <c r="AA26" s="188">
        <f>opex_orig!AA26</f>
        <v>7.23E-7</v>
      </c>
      <c r="AB26" s="188">
        <f>opex_orig!$AB26</f>
        <v>3.7692057145822001E-6</v>
      </c>
      <c r="AC26" s="188">
        <f>opex_orig!$AB26</f>
        <v>3.7692057145822001E-6</v>
      </c>
      <c r="AD26" s="188">
        <f>opex_orig!$AB26</f>
        <v>3.7692057145822001E-6</v>
      </c>
      <c r="AE26" s="188">
        <f>opex_orig!$AC26</f>
        <v>1.3216069819405901E-6</v>
      </c>
      <c r="AF26" s="188">
        <f>opex_orig!$AD26</f>
        <v>1.1613598891655601E-6</v>
      </c>
      <c r="AG26" s="188">
        <f>opex_orig!$AD26</f>
        <v>1.1613598891655601E-6</v>
      </c>
      <c r="AH26" s="188">
        <f>opex_orig!$AD26</f>
        <v>1.1613598891655601E-6</v>
      </c>
      <c r="AI26" s="188">
        <f>opex_orig!AE26</f>
        <v>9.7699999999999992E-7</v>
      </c>
      <c r="AJ26" s="188">
        <f>opex_orig!AF26</f>
        <v>1.7099999999999999E-5</v>
      </c>
      <c r="AK26" s="188">
        <f>opex_orig!AG26</f>
        <v>4.0999999999999997E-6</v>
      </c>
      <c r="AL26" s="188">
        <f>opex_orig!AH26</f>
        <v>9.91E-6</v>
      </c>
      <c r="AM26" s="188">
        <f>opex_orig!AI26</f>
        <v>6.3899999999999998E-6</v>
      </c>
      <c r="AN26" s="188">
        <f>opex_orig!AJ26</f>
        <v>3.4800000000000001E-6</v>
      </c>
      <c r="AO26" s="188">
        <f>opex_orig!AK26</f>
        <v>6.0100000000000001E-6</v>
      </c>
      <c r="AP26" s="188">
        <f>opex_orig!$AL26</f>
        <v>3.7848046652276698E-6</v>
      </c>
      <c r="AQ26" s="188">
        <f>opex_orig!$AL26</f>
        <v>3.7848046652276698E-6</v>
      </c>
      <c r="AR26" s="188">
        <f>opex_orig!$AL26</f>
        <v>3.7848046652276698E-6</v>
      </c>
      <c r="AS26" s="188">
        <f>opex_orig!$AM26</f>
        <v>3.5134631998571202E-6</v>
      </c>
      <c r="AT26" s="188">
        <f>opex_orig!AN26</f>
        <v>7.2300000000000002E-6</v>
      </c>
      <c r="AU26" s="349">
        <f>opex_concordance!M588</f>
        <v>3.6259517943428798E-2</v>
      </c>
      <c r="AV26" s="349">
        <f>opex_concordance!M634</f>
        <v>3.42072412088337E-2</v>
      </c>
      <c r="AW26" s="349">
        <f>opex_concordance!M680</f>
        <v>3.0055963167240164E-2</v>
      </c>
      <c r="AX26" s="188">
        <f>opex_orig!$AP26</f>
        <v>3.9280943539919702E-5</v>
      </c>
      <c r="AY26" s="188">
        <f>opex_orig!AQ26</f>
        <v>1.9700000000000002E-6</v>
      </c>
      <c r="AZ26" s="188">
        <f>opex_orig!AR26</f>
        <v>0</v>
      </c>
      <c r="BA26" s="188">
        <f>opex_orig!AS26</f>
        <v>1.39574E-4</v>
      </c>
      <c r="BB26" s="188">
        <f>opex_orig!AT26</f>
        <v>6.2899999999999999E-6</v>
      </c>
      <c r="BC26" s="188">
        <f>opex_orig!AU26</f>
        <v>3.3599999999999999E-7</v>
      </c>
      <c r="BD26" s="188">
        <f>opex_orig!AV26</f>
        <v>3.0600000000000001E-7</v>
      </c>
      <c r="BE26" s="188">
        <f>opex_orig!AW26</f>
        <v>5.6400000000000002E-5</v>
      </c>
      <c r="BF26" s="188">
        <f>opex_orig!AX26</f>
        <v>0</v>
      </c>
      <c r="BG26" s="188">
        <f>opex_orig!AY26</f>
        <v>3.8079759999999998E-3</v>
      </c>
      <c r="BH26" s="188">
        <f>opex_orig!AZ26</f>
        <v>0</v>
      </c>
      <c r="BI26" s="188">
        <f>opex_orig!BA26</f>
        <v>5.2899999999999998E-5</v>
      </c>
      <c r="BJ26" s="188">
        <f>opex_orig!BB26</f>
        <v>5.5500000000000002E-6</v>
      </c>
      <c r="BK26" s="188">
        <f>opex_orig!BC26</f>
        <v>3.54E-6</v>
      </c>
      <c r="BL26" s="188">
        <f>opex_orig!BD26</f>
        <v>9.3200000000000003E-7</v>
      </c>
      <c r="BM26" s="188">
        <f>opex_orig!BE26</f>
        <v>4.6099999999999999E-6</v>
      </c>
      <c r="BN26" s="188">
        <f>opex_orig!BF26</f>
        <v>5.0299999999999999E-7</v>
      </c>
      <c r="BO26" s="188">
        <f>opex_orig!BG26</f>
        <v>1.7600000000000001E-5</v>
      </c>
      <c r="BP26" s="188">
        <f>opex_orig!$BH26</f>
        <v>1.6041660002017001E-6</v>
      </c>
      <c r="BQ26" s="188">
        <f>opex_orig!$BH26</f>
        <v>1.6041660002017001E-6</v>
      </c>
      <c r="BR26" s="188">
        <f>opex_orig!BI26</f>
        <v>1.53E-6</v>
      </c>
      <c r="BS26" s="188">
        <f>opex_orig!BJ26</f>
        <v>2.83E-6</v>
      </c>
      <c r="BT26" s="188">
        <f>opex_orig!BK26</f>
        <v>5.8199999999999998E-5</v>
      </c>
      <c r="BU26" s="188">
        <f>opex_orig!BL26</f>
        <v>0</v>
      </c>
      <c r="BV26" s="27">
        <f>opex_orig!BM26</f>
        <v>8.6487324284757695E-7</v>
      </c>
      <c r="BW26" s="27">
        <f>opex_orig!BN26</f>
        <v>1.71104287717088E-6</v>
      </c>
      <c r="BX26" s="27">
        <f>opex_orig!BO26</f>
        <v>2.6009928414700601E-7</v>
      </c>
      <c r="BY26" s="27">
        <f>opex_orig!BP26</f>
        <v>3.8241554477217301E-7</v>
      </c>
      <c r="BZ26" s="27">
        <f>opex_orig!BQ26</f>
        <v>6.2052445643076498E-7</v>
      </c>
      <c r="CA26" s="27">
        <f>opex_orig!BR26</f>
        <v>4.8780531428149099E-7</v>
      </c>
      <c r="CB26" s="27">
        <f>opex_orig!BS26</f>
        <v>1.7846903984326301E-6</v>
      </c>
      <c r="CC26" s="27">
        <f>opex_orig!BT26</f>
        <v>3.7217126365995501E-4</v>
      </c>
      <c r="CD26" s="27">
        <f>opex_orig!BU26</f>
        <v>2.6725053503300898E-7</v>
      </c>
      <c r="CE26" s="27">
        <f>opex_orig!BV26</f>
        <v>2.6725053503300898E-7</v>
      </c>
      <c r="CF26" s="27">
        <f>opex_orig!BW26</f>
        <v>2.71911194589889E-6</v>
      </c>
      <c r="CG26" s="27">
        <f>opex_orig!BX26</f>
        <v>5.3153332391133603E-8</v>
      </c>
      <c r="CH26" s="27">
        <f>opex_orig!BY26</f>
        <v>1.0707152638512001E-6</v>
      </c>
      <c r="CI26" s="27">
        <f>opex_orig!Y26</f>
        <v>3.3599999999999999E-7</v>
      </c>
      <c r="CJ26" s="27">
        <f>opex_orig!Z26</f>
        <v>1.1599999999999999E-6</v>
      </c>
      <c r="CK26" s="27">
        <f>opex_orig!AA26</f>
        <v>7.23E-7</v>
      </c>
      <c r="CL26" s="27">
        <f>opex_orig!AB26</f>
        <v>3.7692057145822001E-6</v>
      </c>
      <c r="CM26" s="27">
        <f>opex_orig!AC26</f>
        <v>1.3216069819405901E-6</v>
      </c>
      <c r="CN26" s="27">
        <f>opex_orig!AD26</f>
        <v>1.1613598891655601E-6</v>
      </c>
      <c r="CO26" s="27">
        <f>opex_orig!AE26</f>
        <v>9.7699999999999992E-7</v>
      </c>
      <c r="CP26" s="27">
        <f>opex_orig!AF26</f>
        <v>1.7099999999999999E-5</v>
      </c>
    </row>
    <row r="27" spans="1:94" x14ac:dyDescent="0.25">
      <c r="A27" s="5" t="s">
        <v>73</v>
      </c>
      <c r="B27" s="2" t="s">
        <v>72</v>
      </c>
      <c r="C27" s="1" t="s">
        <v>326</v>
      </c>
      <c r="D27" s="188">
        <f>opex_orig!D27</f>
        <v>7.5292399999999998E-4</v>
      </c>
      <c r="E27" s="188">
        <f>opex_orig!E27</f>
        <v>3.7982199999999998E-4</v>
      </c>
      <c r="F27" s="188">
        <f>opex_orig!F27</f>
        <v>2.32205E-4</v>
      </c>
      <c r="G27" s="188">
        <f>opex_orig!G27</f>
        <v>5.0599999999999997E-5</v>
      </c>
      <c r="H27" s="188">
        <f>opex_orig!H27</f>
        <v>6.7700000000000006E-5</v>
      </c>
      <c r="I27" s="188">
        <f>opex_orig!I27</f>
        <v>3.19403E-4</v>
      </c>
      <c r="J27" s="188">
        <f>opex_orig!J27</f>
        <v>6.75094E-4</v>
      </c>
      <c r="K27" s="188">
        <f>opex_orig!K27</f>
        <v>1.4751E-4</v>
      </c>
      <c r="L27" s="188">
        <f>opex_orig!L27</f>
        <v>3.61527E-4</v>
      </c>
      <c r="M27" s="188">
        <f>opex_orig!M27</f>
        <v>4.5915799999999998E-4</v>
      </c>
      <c r="N27" s="188">
        <f>opex_orig!N27</f>
        <v>1.3683790000000001E-3</v>
      </c>
      <c r="O27" s="188">
        <f>opex_orig!O27</f>
        <v>1.197077E-3</v>
      </c>
      <c r="P27" s="188">
        <f>opex_orig!P27</f>
        <v>6.2939300000000001E-4</v>
      </c>
      <c r="Q27" s="188">
        <f>opex_orig!Q27</f>
        <v>2.9366100000000002E-4</v>
      </c>
      <c r="R27" s="188">
        <f>opex_orig!R27</f>
        <v>8.61998E-4</v>
      </c>
      <c r="S27" s="188">
        <f>opex_orig!S27</f>
        <v>2.7930300000000001E-4</v>
      </c>
      <c r="T27" s="188">
        <f>opex_orig!T27</f>
        <v>3.8345799999999999E-4</v>
      </c>
      <c r="U27" s="188">
        <f>opex_orig!U27</f>
        <v>8.7423700000000004E-4</v>
      </c>
      <c r="V27" s="188">
        <f>opex_orig!V27</f>
        <v>1.522135E-3</v>
      </c>
      <c r="W27" s="188">
        <f>opex_orig!W27</f>
        <v>4.7186899999999998E-4</v>
      </c>
      <c r="X27" s="188">
        <f>opex_orig!X27</f>
        <v>2.6769899999999999E-4</v>
      </c>
      <c r="Y27" s="188">
        <f>opex_orig!Y27</f>
        <v>2.2000399999999999E-4</v>
      </c>
      <c r="Z27" s="188">
        <f>opex_orig!Z27</f>
        <v>1.6277970000000001E-3</v>
      </c>
      <c r="AA27" s="188">
        <f>opex_orig!AA27</f>
        <v>7.7959600000000002E-4</v>
      </c>
      <c r="AB27" s="188">
        <f>opex_orig!$AB27</f>
        <v>2.8196528439808901E-3</v>
      </c>
      <c r="AC27" s="188">
        <f>opex_orig!$AB27</f>
        <v>2.8196528439808901E-3</v>
      </c>
      <c r="AD27" s="188">
        <f>opex_orig!$AB27</f>
        <v>2.8196528439808901E-3</v>
      </c>
      <c r="AE27" s="188">
        <f>opex_orig!$AC27</f>
        <v>4.1927615297094297E-3</v>
      </c>
      <c r="AF27" s="188">
        <f>opex_orig!$AD27</f>
        <v>1.22735178037086E-3</v>
      </c>
      <c r="AG27" s="188">
        <f>opex_orig!$AD27</f>
        <v>1.22735178037086E-3</v>
      </c>
      <c r="AH27" s="188">
        <f>opex_orig!$AD27</f>
        <v>1.22735178037086E-3</v>
      </c>
      <c r="AI27" s="188">
        <f>opex_orig!AE27</f>
        <v>7.6270600000000004E-4</v>
      </c>
      <c r="AJ27" s="188">
        <f>opex_orig!AF27</f>
        <v>2.0389459999999998E-3</v>
      </c>
      <c r="AK27" s="188">
        <f>opex_orig!AG27</f>
        <v>8.6207799999999995E-4</v>
      </c>
      <c r="AL27" s="188">
        <f>opex_orig!AH27</f>
        <v>2.3857629999999999E-3</v>
      </c>
      <c r="AM27" s="188">
        <f>opex_orig!AI27</f>
        <v>6.3729599999999998E-4</v>
      </c>
      <c r="AN27" s="188">
        <f>opex_orig!AJ27</f>
        <v>1.780326E-3</v>
      </c>
      <c r="AO27" s="188">
        <f>opex_orig!AK27</f>
        <v>1.2380410000000001E-3</v>
      </c>
      <c r="AP27" s="188">
        <f>opex_orig!$AL27</f>
        <v>1.01605961309375E-3</v>
      </c>
      <c r="AQ27" s="188">
        <f>opex_orig!$AL27</f>
        <v>1.01605961309375E-3</v>
      </c>
      <c r="AR27" s="188">
        <f>opex_orig!$AL27</f>
        <v>1.01605961309375E-3</v>
      </c>
      <c r="AS27" s="188">
        <f>opex_orig!$AM27</f>
        <v>8.7712617532300903E-4</v>
      </c>
      <c r="AT27" s="188">
        <f>opex_orig!AN27</f>
        <v>1.162375E-3</v>
      </c>
      <c r="AU27" s="349">
        <f>opex_concordance!M589</f>
        <v>2.3574331783123001E-2</v>
      </c>
      <c r="AV27" s="349">
        <f>opex_concordance!M635</f>
        <v>2.2240032393715449E-2</v>
      </c>
      <c r="AW27" s="349">
        <f>opex_concordance!M681</f>
        <v>1.954105536844988E-2</v>
      </c>
      <c r="AX27" s="188">
        <f>opex_orig!$AP27</f>
        <v>1.5942947992159999E-2</v>
      </c>
      <c r="AY27" s="188">
        <f>opex_orig!AQ27</f>
        <v>1.8966862000000001E-2</v>
      </c>
      <c r="AZ27" s="188">
        <f>opex_orig!AR27</f>
        <v>0</v>
      </c>
      <c r="BA27" s="188">
        <f>opex_orig!AS27</f>
        <v>1.1336254E-2</v>
      </c>
      <c r="BB27" s="188">
        <f>opex_orig!AT27</f>
        <v>1.2041744E-2</v>
      </c>
      <c r="BC27" s="188">
        <f>opex_orig!AU27</f>
        <v>9.8695529000000004E-2</v>
      </c>
      <c r="BD27" s="188">
        <f>opex_orig!AV27</f>
        <v>0.10335649399999999</v>
      </c>
      <c r="BE27" s="188">
        <f>opex_orig!AW27</f>
        <v>1.1759923E-2</v>
      </c>
      <c r="BF27" s="188">
        <f>opex_orig!AX27</f>
        <v>0</v>
      </c>
      <c r="BG27" s="188">
        <f>opex_orig!AY27</f>
        <v>1.5130329E-2</v>
      </c>
      <c r="BH27" s="188">
        <f>opex_orig!AZ27</f>
        <v>0</v>
      </c>
      <c r="BI27" s="188">
        <f>opex_orig!BA27</f>
        <v>1.6733690999999998E-2</v>
      </c>
      <c r="BJ27" s="188">
        <f>opex_orig!BB27</f>
        <v>4.9636350000000001E-3</v>
      </c>
      <c r="BK27" s="188">
        <f>opex_orig!BC27</f>
        <v>6.4068379999999998E-3</v>
      </c>
      <c r="BL27" s="188">
        <f>opex_orig!BD27</f>
        <v>8.6194400000000001E-4</v>
      </c>
      <c r="BM27" s="188">
        <f>opex_orig!BE27</f>
        <v>4.2554969999999996E-3</v>
      </c>
      <c r="BN27" s="188">
        <f>opex_orig!BF27</f>
        <v>3.6370800000000002E-4</v>
      </c>
      <c r="BO27" s="188">
        <f>opex_orig!BG27</f>
        <v>1.2163899999999999E-3</v>
      </c>
      <c r="BP27" s="188">
        <f>opex_orig!$BH27</f>
        <v>1.5049664309949801E-3</v>
      </c>
      <c r="BQ27" s="188">
        <f>opex_orig!$BH27</f>
        <v>1.5049664309949801E-3</v>
      </c>
      <c r="BR27" s="188">
        <f>opex_orig!BI27</f>
        <v>4.0513279999999999E-3</v>
      </c>
      <c r="BS27" s="188">
        <f>opex_orig!BJ27</f>
        <v>3.144399E-3</v>
      </c>
      <c r="BT27" s="188">
        <f>opex_orig!BK27</f>
        <v>1.9298154000000001E-2</v>
      </c>
      <c r="BU27" s="188">
        <f>opex_orig!BL27</f>
        <v>0</v>
      </c>
      <c r="BV27" s="27">
        <f>opex_orig!BM27</f>
        <v>4.6568632111485399E-4</v>
      </c>
      <c r="BW27" s="27">
        <f>opex_orig!BN27</f>
        <v>2.1537630356342299E-3</v>
      </c>
      <c r="BX27" s="27">
        <f>opex_orig!BO27</f>
        <v>2.74574544439246E-4</v>
      </c>
      <c r="BY27" s="27">
        <f>opex_orig!BP27</f>
        <v>1.7574731328117901E-3</v>
      </c>
      <c r="BZ27" s="27">
        <f>opex_orig!BQ27</f>
        <v>5.0039683589188995E-4</v>
      </c>
      <c r="CA27" s="27">
        <f>opex_orig!BR27</f>
        <v>6.9029404911065702E-5</v>
      </c>
      <c r="CB27" s="27">
        <f>opex_orig!BS27</f>
        <v>1.0489511690257301E-3</v>
      </c>
      <c r="CC27" s="27">
        <f>opex_orig!BT27</f>
        <v>1.1565365646315501E-4</v>
      </c>
      <c r="CD27" s="27">
        <f>opex_orig!BU27</f>
        <v>2.0960724725442399E-4</v>
      </c>
      <c r="CE27" s="27">
        <f>opex_orig!BV27</f>
        <v>2.0960724725442399E-4</v>
      </c>
      <c r="CF27" s="27">
        <f>opex_orig!BW27</f>
        <v>4.6435979842765002E-4</v>
      </c>
      <c r="CG27" s="27">
        <f>opex_orig!BX27</f>
        <v>7.3477634767652396E-5</v>
      </c>
      <c r="CH27" s="27">
        <f>opex_orig!BY27</f>
        <v>2.9611193060801299E-3</v>
      </c>
      <c r="CI27" s="27">
        <f>opex_orig!Y27</f>
        <v>2.2000399999999999E-4</v>
      </c>
      <c r="CJ27" s="27">
        <f>opex_orig!Z27</f>
        <v>1.6277970000000001E-3</v>
      </c>
      <c r="CK27" s="27">
        <f>opex_orig!AA27</f>
        <v>7.7959600000000002E-4</v>
      </c>
      <c r="CL27" s="27">
        <f>opex_orig!AB27</f>
        <v>2.8196528439808901E-3</v>
      </c>
      <c r="CM27" s="27">
        <f>opex_orig!AC27</f>
        <v>4.1927615297094297E-3</v>
      </c>
      <c r="CN27" s="27">
        <f>opex_orig!AD27</f>
        <v>1.22735178037086E-3</v>
      </c>
      <c r="CO27" s="27">
        <f>opex_orig!AE27</f>
        <v>7.6270600000000004E-4</v>
      </c>
      <c r="CP27" s="27">
        <f>opex_orig!AF27</f>
        <v>2.0389459999999998E-3</v>
      </c>
    </row>
    <row r="28" spans="1:94" x14ac:dyDescent="0.25">
      <c r="A28" s="5" t="s">
        <v>75</v>
      </c>
      <c r="B28" s="2" t="s">
        <v>74</v>
      </c>
      <c r="C28" s="1" t="s">
        <v>326</v>
      </c>
      <c r="D28" s="188">
        <f>opex_orig!D28</f>
        <v>6.9499999999999995E-5</v>
      </c>
      <c r="E28" s="188">
        <f>opex_orig!E28</f>
        <v>1.7900000000000001E-5</v>
      </c>
      <c r="F28" s="188">
        <f>opex_orig!F28</f>
        <v>1.08E-5</v>
      </c>
      <c r="G28" s="188">
        <f>opex_orig!G28</f>
        <v>8.4799999999999997E-7</v>
      </c>
      <c r="H28" s="188">
        <f>opex_orig!H28</f>
        <v>1.57E-6</v>
      </c>
      <c r="I28" s="188">
        <f>opex_orig!I28</f>
        <v>2.3099999999999999E-5</v>
      </c>
      <c r="J28" s="188">
        <f>opex_orig!J28</f>
        <v>2.8099999999999999E-5</v>
      </c>
      <c r="K28" s="188">
        <f>opex_orig!K28</f>
        <v>2.5799999999999999E-6</v>
      </c>
      <c r="L28" s="188">
        <f>opex_orig!L28</f>
        <v>1.9400000000000001E-5</v>
      </c>
      <c r="M28" s="188">
        <f>opex_orig!M28</f>
        <v>3.5099999999999999E-5</v>
      </c>
      <c r="N28" s="188">
        <f>opex_orig!N28</f>
        <v>7.4800000000000002E-5</v>
      </c>
      <c r="O28" s="188">
        <f>opex_orig!O28</f>
        <v>3.2499999999999997E-5</v>
      </c>
      <c r="P28" s="188">
        <f>opex_orig!P28</f>
        <v>7.5599999999999994E-5</v>
      </c>
      <c r="Q28" s="188">
        <f>opex_orig!Q28</f>
        <v>3.4300000000000002E-6</v>
      </c>
      <c r="R28" s="188">
        <f>opex_orig!R28</f>
        <v>2.5500000000000001E-6</v>
      </c>
      <c r="S28" s="188">
        <f>opex_orig!S28</f>
        <v>2.6100000000000001E-5</v>
      </c>
      <c r="T28" s="188">
        <f>opex_orig!T28</f>
        <v>3.9900000000000001E-5</v>
      </c>
      <c r="U28" s="188">
        <f>opex_orig!U28</f>
        <v>2.1399999999999998E-5</v>
      </c>
      <c r="V28" s="188">
        <f>opex_orig!V28</f>
        <v>3.82E-5</v>
      </c>
      <c r="W28" s="188">
        <f>opex_orig!W28</f>
        <v>1.6699999999999999E-5</v>
      </c>
      <c r="X28" s="188">
        <f>opex_orig!X28</f>
        <v>1.8199999999999999E-5</v>
      </c>
      <c r="Y28" s="188">
        <f>opex_orig!Y28</f>
        <v>2.4000000000000001E-5</v>
      </c>
      <c r="Z28" s="188">
        <f>opex_orig!Z28</f>
        <v>5.0399999999999999E-5</v>
      </c>
      <c r="AA28" s="188">
        <f>opex_orig!AA28</f>
        <v>2.5899999999999999E-5</v>
      </c>
      <c r="AB28" s="188">
        <f>opex_orig!$AB28</f>
        <v>2.1596097588619499E-5</v>
      </c>
      <c r="AC28" s="188">
        <f>opex_orig!$AB28</f>
        <v>2.1596097588619499E-5</v>
      </c>
      <c r="AD28" s="188">
        <f>opex_orig!$AB28</f>
        <v>2.1596097588619499E-5</v>
      </c>
      <c r="AE28" s="188">
        <f>opex_orig!$AC28</f>
        <v>2.40027303160956E-4</v>
      </c>
      <c r="AF28" s="188">
        <f>opex_orig!$AD28</f>
        <v>9.6294733803209504E-5</v>
      </c>
      <c r="AG28" s="188">
        <f>opex_orig!$AD28</f>
        <v>9.6294733803209504E-5</v>
      </c>
      <c r="AH28" s="188">
        <f>opex_orig!$AD28</f>
        <v>9.6294733803209504E-5</v>
      </c>
      <c r="AI28" s="188">
        <f>opex_orig!AE28</f>
        <v>8.5699999999999996E-5</v>
      </c>
      <c r="AJ28" s="188">
        <f>opex_orig!AF28</f>
        <v>5.4799999999999997E-5</v>
      </c>
      <c r="AK28" s="188">
        <f>opex_orig!AG28</f>
        <v>4.1399999999999997E-5</v>
      </c>
      <c r="AL28" s="188">
        <f>opex_orig!AH28</f>
        <v>5.0983500000000004E-4</v>
      </c>
      <c r="AM28" s="188">
        <f>opex_orig!AI28</f>
        <v>1.2845000000000001E-4</v>
      </c>
      <c r="AN28" s="188">
        <f>opex_orig!AJ28</f>
        <v>3.9866400000000002E-4</v>
      </c>
      <c r="AO28" s="188">
        <f>opex_orig!AK28</f>
        <v>2.68554E-4</v>
      </c>
      <c r="AP28" s="188">
        <f>opex_orig!$AL28</f>
        <v>1.00870113392055E-4</v>
      </c>
      <c r="AQ28" s="188">
        <f>opex_orig!$AL28</f>
        <v>1.00870113392055E-4</v>
      </c>
      <c r="AR28" s="188">
        <f>opex_orig!$AL28</f>
        <v>1.00870113392055E-4</v>
      </c>
      <c r="AS28" s="188">
        <f>opex_orig!$AM28</f>
        <v>1.21363559672192E-4</v>
      </c>
      <c r="AT28" s="188">
        <f>opex_orig!AN28</f>
        <v>4.2489999999999997E-4</v>
      </c>
      <c r="AU28" s="188">
        <f>opex_orig!$AO28</f>
        <v>3.6136538497839898E-3</v>
      </c>
      <c r="AV28" s="188">
        <f>opex_orig!$AO28</f>
        <v>3.6136538497839898E-3</v>
      </c>
      <c r="AW28" s="188">
        <f>opex_orig!$AO28</f>
        <v>3.6136538497839898E-3</v>
      </c>
      <c r="AX28" s="188">
        <f>opex_orig!$AP28</f>
        <v>3.6730918128268001E-3</v>
      </c>
      <c r="AY28" s="188">
        <f>opex_orig!AQ28</f>
        <v>6.2399999999999999E-5</v>
      </c>
      <c r="AZ28" s="188">
        <f>opex_orig!AR28</f>
        <v>0</v>
      </c>
      <c r="BA28" s="188">
        <f>opex_orig!AS28</f>
        <v>1.6482399999999999E-4</v>
      </c>
      <c r="BB28" s="188">
        <f>opex_orig!AT28</f>
        <v>1.6609700000000001E-4</v>
      </c>
      <c r="BC28" s="188">
        <f>opex_orig!AU28</f>
        <v>4.6211599999999999E-4</v>
      </c>
      <c r="BD28" s="188">
        <f>opex_orig!AV28</f>
        <v>4.7314699999999999E-4</v>
      </c>
      <c r="BE28" s="188">
        <f>opex_orig!AW28</f>
        <v>3.4420300000000001E-4</v>
      </c>
      <c r="BF28" s="188">
        <f>opex_orig!AX28</f>
        <v>0</v>
      </c>
      <c r="BG28" s="188">
        <f>opex_orig!AY28</f>
        <v>3.3301076999999998E-2</v>
      </c>
      <c r="BH28" s="188">
        <f>opex_orig!AZ28</f>
        <v>0</v>
      </c>
      <c r="BI28" s="188">
        <f>opex_orig!BA28</f>
        <v>2.3485100000000001E-4</v>
      </c>
      <c r="BJ28" s="188">
        <f>opex_orig!BB28</f>
        <v>1.20158E-4</v>
      </c>
      <c r="BK28" s="188">
        <f>opex_orig!BC28</f>
        <v>9.7499999999999998E-5</v>
      </c>
      <c r="BL28" s="188">
        <f>opex_orig!BD28</f>
        <v>5.52E-5</v>
      </c>
      <c r="BM28" s="188">
        <f>opex_orig!BE28</f>
        <v>7.7299999999999995E-5</v>
      </c>
      <c r="BN28" s="188">
        <f>opex_orig!BF28</f>
        <v>1.91492E-4</v>
      </c>
      <c r="BO28" s="188">
        <f>opex_orig!BG28</f>
        <v>6.1199999999999997E-5</v>
      </c>
      <c r="BP28" s="188">
        <f>opex_orig!$BH28</f>
        <v>5.3326345474494502E-5</v>
      </c>
      <c r="BQ28" s="188">
        <f>opex_orig!$BH28</f>
        <v>5.3326345474494502E-5</v>
      </c>
      <c r="BR28" s="188">
        <f>opex_orig!BI28</f>
        <v>7.8399999999999995E-5</v>
      </c>
      <c r="BS28" s="188">
        <f>opex_orig!BJ28</f>
        <v>5.1999999999999997E-5</v>
      </c>
      <c r="BT28" s="188">
        <f>opex_orig!BK28</f>
        <v>3.31505E-4</v>
      </c>
      <c r="BU28" s="188">
        <f>opex_orig!BL28</f>
        <v>0</v>
      </c>
      <c r="BV28" s="27">
        <f>opex_orig!BM28</f>
        <v>1.6627866795222701E-5</v>
      </c>
      <c r="BW28" s="27">
        <f>opex_orig!BN28</f>
        <v>7.3922308623119304E-5</v>
      </c>
      <c r="BX28" s="27">
        <f>opex_orig!BO28</f>
        <v>1.15640286646895E-5</v>
      </c>
      <c r="BY28" s="27">
        <f>opex_orig!BP28</f>
        <v>6.33717624668385E-5</v>
      </c>
      <c r="BZ28" s="27">
        <f>opex_orig!BQ28</f>
        <v>9.7621357122860397E-5</v>
      </c>
      <c r="CA28" s="27">
        <f>opex_orig!BR28</f>
        <v>4.2383442771946398E-6</v>
      </c>
      <c r="CB28" s="27">
        <f>opex_orig!BS28</f>
        <v>2.3733213484927501E-5</v>
      </c>
      <c r="CC28" s="27">
        <f>opex_orig!BT28</f>
        <v>5.0565466224840003E-6</v>
      </c>
      <c r="CD28" s="27">
        <f>opex_orig!BU28</f>
        <v>4.2800455632920297E-6</v>
      </c>
      <c r="CE28" s="27">
        <f>opex_orig!BV28</f>
        <v>4.2800455632920501E-6</v>
      </c>
      <c r="CF28" s="27">
        <f>opex_orig!BW28</f>
        <v>3.6387479216900898E-5</v>
      </c>
      <c r="CG28" s="27">
        <f>opex_orig!BX28</f>
        <v>7.1548645717624798E-6</v>
      </c>
      <c r="CH28" s="27">
        <f>opex_orig!BY28</f>
        <v>4.5093446745452898E-7</v>
      </c>
      <c r="CI28" s="27">
        <f>opex_orig!Y28</f>
        <v>2.4000000000000001E-5</v>
      </c>
      <c r="CJ28" s="27">
        <f>opex_orig!Z28</f>
        <v>5.0399999999999999E-5</v>
      </c>
      <c r="CK28" s="27">
        <f>opex_orig!AA28</f>
        <v>2.5899999999999999E-5</v>
      </c>
      <c r="CL28" s="27">
        <f>opex_orig!AB28</f>
        <v>2.1596097588619499E-5</v>
      </c>
      <c r="CM28" s="27">
        <f>opex_orig!AC28</f>
        <v>2.40027303160956E-4</v>
      </c>
      <c r="CN28" s="27">
        <f>opex_orig!AD28</f>
        <v>9.6294733803209504E-5</v>
      </c>
      <c r="CO28" s="27">
        <f>opex_orig!AE28</f>
        <v>8.5699999999999996E-5</v>
      </c>
      <c r="CP28" s="27">
        <f>opex_orig!AF28</f>
        <v>5.4799999999999997E-5</v>
      </c>
    </row>
    <row r="29" spans="1:94" x14ac:dyDescent="0.25">
      <c r="A29" s="5" t="s">
        <v>77</v>
      </c>
      <c r="B29" s="2" t="s">
        <v>76</v>
      </c>
      <c r="C29" s="1" t="s">
        <v>326</v>
      </c>
      <c r="D29" s="188">
        <f>opex_orig!D29</f>
        <v>1.2300000000000001E-6</v>
      </c>
      <c r="E29" s="188">
        <f>opex_orig!E29</f>
        <v>2.4600000000000001E-7</v>
      </c>
      <c r="F29" s="188">
        <f>opex_orig!F29</f>
        <v>3.3599999999999999E-7</v>
      </c>
      <c r="G29" s="188">
        <f>opex_orig!G29</f>
        <v>3.47E-8</v>
      </c>
      <c r="H29" s="188">
        <f>opex_orig!H29</f>
        <v>5.6400000000000002E-8</v>
      </c>
      <c r="I29" s="188">
        <f>opex_orig!I29</f>
        <v>4.7300000000000001E-7</v>
      </c>
      <c r="J29" s="188">
        <f>opex_orig!J29</f>
        <v>7.3300000000000001E-7</v>
      </c>
      <c r="K29" s="188">
        <f>opex_orig!K29</f>
        <v>9.9E-8</v>
      </c>
      <c r="L29" s="188">
        <f>opex_orig!L29</f>
        <v>5.9400000000000005E-7</v>
      </c>
      <c r="M29" s="188">
        <f>opex_orig!M29</f>
        <v>8.8299999999999995E-7</v>
      </c>
      <c r="N29" s="188">
        <f>opex_orig!N29</f>
        <v>5.06E-7</v>
      </c>
      <c r="O29" s="188">
        <f>opex_orig!O29</f>
        <v>8.2500000000000004E-7</v>
      </c>
      <c r="P29" s="188">
        <f>opex_orig!P29</f>
        <v>1.0699999999999999E-6</v>
      </c>
      <c r="Q29" s="188">
        <f>opex_orig!Q29</f>
        <v>1.29E-7</v>
      </c>
      <c r="R29" s="188">
        <f>opex_orig!R29</f>
        <v>2.3699999999999999E-7</v>
      </c>
      <c r="S29" s="188">
        <f>opex_orig!S29</f>
        <v>6.61E-7</v>
      </c>
      <c r="T29" s="188">
        <f>opex_orig!T29</f>
        <v>7.0399999999999995E-7</v>
      </c>
      <c r="U29" s="188">
        <f>opex_orig!U29</f>
        <v>3.7099999999999997E-7</v>
      </c>
      <c r="V29" s="188">
        <f>opex_orig!V29</f>
        <v>3.7099999999999997E-7</v>
      </c>
      <c r="W29" s="188">
        <f>opex_orig!W29</f>
        <v>6.7100000000000001E-7</v>
      </c>
      <c r="X29" s="188">
        <f>opex_orig!X29</f>
        <v>5.5899999999999996E-7</v>
      </c>
      <c r="Y29" s="188">
        <f>opex_orig!Y29</f>
        <v>4.6199999999999998E-7</v>
      </c>
      <c r="Z29" s="188">
        <f>opex_orig!Z29</f>
        <v>3.8600000000000003E-6</v>
      </c>
      <c r="AA29" s="188">
        <f>opex_orig!AA29</f>
        <v>1.7400000000000001E-6</v>
      </c>
      <c r="AB29" s="188">
        <f>opex_orig!$AB29</f>
        <v>2.5426933172991801E-6</v>
      </c>
      <c r="AC29" s="188">
        <f>opex_orig!$AB29</f>
        <v>2.5426933172991801E-6</v>
      </c>
      <c r="AD29" s="188">
        <f>opex_orig!$AB29</f>
        <v>2.5426933172991801E-6</v>
      </c>
      <c r="AE29" s="188">
        <f>opex_orig!$AC29</f>
        <v>4.8239182424342797E-7</v>
      </c>
      <c r="AF29" s="188">
        <f>opex_orig!$AD29</f>
        <v>8.9225946156324803E-7</v>
      </c>
      <c r="AG29" s="188">
        <f>opex_orig!$AD29</f>
        <v>8.9225946156324803E-7</v>
      </c>
      <c r="AH29" s="188">
        <f>opex_orig!$AD29</f>
        <v>8.9225946156324803E-7</v>
      </c>
      <c r="AI29" s="188">
        <f>opex_orig!AE29</f>
        <v>7.1299999999999999E-7</v>
      </c>
      <c r="AJ29" s="188">
        <f>opex_orig!AF29</f>
        <v>3.2700000000000002E-5</v>
      </c>
      <c r="AK29" s="188">
        <f>opex_orig!AG29</f>
        <v>2.26E-6</v>
      </c>
      <c r="AL29" s="188">
        <f>opex_orig!AH29</f>
        <v>4.4299999999999999E-5</v>
      </c>
      <c r="AM29" s="188">
        <f>opex_orig!AI29</f>
        <v>7.5500000000000006E-5</v>
      </c>
      <c r="AN29" s="188">
        <f>opex_orig!AJ29</f>
        <v>7.96E-6</v>
      </c>
      <c r="AO29" s="188">
        <f>opex_orig!AK29</f>
        <v>9.0599999999999997E-6</v>
      </c>
      <c r="AP29" s="188">
        <f>opex_orig!$AL29</f>
        <v>5.9954304026264903E-6</v>
      </c>
      <c r="AQ29" s="188">
        <f>opex_orig!$AL29</f>
        <v>5.9954304026264903E-6</v>
      </c>
      <c r="AR29" s="188">
        <f>opex_orig!$AL29</f>
        <v>5.9954304026264903E-6</v>
      </c>
      <c r="AS29" s="188">
        <f>opex_orig!$AM29</f>
        <v>5.6325159227175604E-6</v>
      </c>
      <c r="AT29" s="188">
        <f>opex_orig!AN29</f>
        <v>1.8099999999999999E-5</v>
      </c>
      <c r="AU29" s="188">
        <f>opex_orig!$AO29</f>
        <v>3.8825347295320898E-6</v>
      </c>
      <c r="AV29" s="188">
        <f>opex_orig!$AO29</f>
        <v>3.8825347295320898E-6</v>
      </c>
      <c r="AW29" s="188">
        <f>opex_orig!$AO29</f>
        <v>3.8825347295320898E-6</v>
      </c>
      <c r="AX29" s="188">
        <f>opex_orig!$AP29</f>
        <v>1.7231548397229101E-6</v>
      </c>
      <c r="AY29" s="188">
        <f>opex_orig!AQ29</f>
        <v>2.5100000000000001E-6</v>
      </c>
      <c r="AZ29" s="188">
        <f>opex_orig!AR29</f>
        <v>0</v>
      </c>
      <c r="BA29" s="188">
        <f>opex_orig!AS29</f>
        <v>3.8212350000000001E-3</v>
      </c>
      <c r="BB29" s="188">
        <f>opex_orig!AT29</f>
        <v>1.4100000000000001E-6</v>
      </c>
      <c r="BC29" s="188">
        <f>opex_orig!AU29</f>
        <v>2.5100000000000001E-7</v>
      </c>
      <c r="BD29" s="188">
        <f>opex_orig!AV29</f>
        <v>1.73E-7</v>
      </c>
      <c r="BE29" s="188">
        <f>opex_orig!AW29</f>
        <v>1.24E-6</v>
      </c>
      <c r="BF29" s="188">
        <f>opex_orig!AX29</f>
        <v>0</v>
      </c>
      <c r="BG29" s="188">
        <f>opex_orig!AY29</f>
        <v>9.7699999999999992E-7</v>
      </c>
      <c r="BH29" s="188">
        <f>opex_orig!AZ29</f>
        <v>0</v>
      </c>
      <c r="BI29" s="188">
        <f>opex_orig!BA29</f>
        <v>9.9900000000000002E-5</v>
      </c>
      <c r="BJ29" s="188">
        <f>opex_orig!BB29</f>
        <v>6.1099999999999999E-6</v>
      </c>
      <c r="BK29" s="188">
        <f>opex_orig!BC29</f>
        <v>3.0800000000000002E-6</v>
      </c>
      <c r="BL29" s="188">
        <f>opex_orig!BD29</f>
        <v>7.3300000000000001E-6</v>
      </c>
      <c r="BM29" s="188">
        <f>opex_orig!BE29</f>
        <v>5.1599999999999997E-6</v>
      </c>
      <c r="BN29" s="188">
        <f>opex_orig!BF29</f>
        <v>2.4899999999999999E-6</v>
      </c>
      <c r="BO29" s="188">
        <f>opex_orig!BG29</f>
        <v>1.04E-5</v>
      </c>
      <c r="BP29" s="188">
        <f>opex_orig!$BH29</f>
        <v>4.3186031390151298E-6</v>
      </c>
      <c r="BQ29" s="188">
        <f>opex_orig!$BH29</f>
        <v>4.3186031390151298E-6</v>
      </c>
      <c r="BR29" s="188">
        <f>opex_orig!BI29</f>
        <v>3.1099999999999999E-6</v>
      </c>
      <c r="BS29" s="188">
        <f>opex_orig!BJ29</f>
        <v>1.86E-6</v>
      </c>
      <c r="BT29" s="188">
        <f>opex_orig!BK29</f>
        <v>1.05096E-4</v>
      </c>
      <c r="BU29" s="188">
        <f>opex_orig!BL29</f>
        <v>0</v>
      </c>
      <c r="BV29" s="27">
        <f>opex_orig!BM29</f>
        <v>1.05211222108481E-6</v>
      </c>
      <c r="BW29" s="27">
        <f>opex_orig!BN29</f>
        <v>1.85355595265987E-6</v>
      </c>
      <c r="BX29" s="27">
        <f>opex_orig!BO29</f>
        <v>3.71586232102512E-7</v>
      </c>
      <c r="BY29" s="27">
        <f>opex_orig!BP29</f>
        <v>3.0436622981304702E-7</v>
      </c>
      <c r="BZ29" s="27">
        <f>opex_orig!BQ29</f>
        <v>3.66910732948531E-7</v>
      </c>
      <c r="CA29" s="27">
        <f>opex_orig!BR29</f>
        <v>3.0021044782812902E-7</v>
      </c>
      <c r="CB29" s="27">
        <f>opex_orig!BS29</f>
        <v>1.5231435831521799E-6</v>
      </c>
      <c r="CC29" s="27">
        <f>opex_orig!BT29</f>
        <v>6.0566992662685895E-7</v>
      </c>
      <c r="CD29" s="27">
        <f>opex_orig!BU29</f>
        <v>2.8754383216396199E-7</v>
      </c>
      <c r="CE29" s="27">
        <f>opex_orig!BV29</f>
        <v>2.8754383216396199E-7</v>
      </c>
      <c r="CF29" s="27">
        <f>opex_orig!BW29</f>
        <v>1.6665367535863099E-6</v>
      </c>
      <c r="CG29" s="27">
        <f>opex_orig!BX29</f>
        <v>1.8945697207439599E-7</v>
      </c>
      <c r="CH29" s="27">
        <f>opex_orig!BY29</f>
        <v>9.4602635973339406E-8</v>
      </c>
      <c r="CI29" s="27">
        <f>opex_orig!Y29</f>
        <v>4.6199999999999998E-7</v>
      </c>
      <c r="CJ29" s="27">
        <f>opex_orig!Z29</f>
        <v>3.8600000000000003E-6</v>
      </c>
      <c r="CK29" s="27">
        <f>opex_orig!AA29</f>
        <v>1.7400000000000001E-6</v>
      </c>
      <c r="CL29" s="27">
        <f>opex_orig!AB29</f>
        <v>2.5426933172991801E-6</v>
      </c>
      <c r="CM29" s="27">
        <f>opex_orig!AC29</f>
        <v>4.8239182424342797E-7</v>
      </c>
      <c r="CN29" s="27">
        <f>opex_orig!AD29</f>
        <v>8.9225946156324803E-7</v>
      </c>
      <c r="CO29" s="27">
        <f>opex_orig!AE29</f>
        <v>7.1299999999999999E-7</v>
      </c>
      <c r="CP29" s="27">
        <f>opex_orig!AF29</f>
        <v>3.2700000000000002E-5</v>
      </c>
    </row>
    <row r="30" spans="1:94" x14ac:dyDescent="0.25">
      <c r="A30" s="5" t="s">
        <v>79</v>
      </c>
      <c r="B30" s="2" t="s">
        <v>78</v>
      </c>
      <c r="C30" s="1" t="s">
        <v>326</v>
      </c>
      <c r="D30" s="188">
        <f>opex_orig!D30</f>
        <v>3.2121199999999997E-4</v>
      </c>
      <c r="E30" s="188">
        <f>opex_orig!E30</f>
        <v>7.3399999999999995E-5</v>
      </c>
      <c r="F30" s="188">
        <f>opex_orig!F30</f>
        <v>1.0084100000000001E-4</v>
      </c>
      <c r="G30" s="188">
        <f>opex_orig!G30</f>
        <v>1.4800000000000001E-5</v>
      </c>
      <c r="H30" s="188">
        <f>opex_orig!H30</f>
        <v>2.09E-5</v>
      </c>
      <c r="I30" s="188">
        <f>opex_orig!I30</f>
        <v>1.1457E-4</v>
      </c>
      <c r="J30" s="188">
        <f>opex_orig!J30</f>
        <v>1.7083500000000001E-4</v>
      </c>
      <c r="K30" s="188">
        <f>opex_orig!K30</f>
        <v>3.5899999999999998E-5</v>
      </c>
      <c r="L30" s="188">
        <f>opex_orig!L30</f>
        <v>1.6541700000000001E-4</v>
      </c>
      <c r="M30" s="188">
        <f>opex_orig!M30</f>
        <v>1.7083800000000001E-4</v>
      </c>
      <c r="N30" s="188">
        <f>opex_orig!N30</f>
        <v>2.1023E-4</v>
      </c>
      <c r="O30" s="188">
        <f>opex_orig!O30</f>
        <v>2.5870800000000002E-4</v>
      </c>
      <c r="P30" s="188">
        <f>opex_orig!P30</f>
        <v>2.43217E-4</v>
      </c>
      <c r="Q30" s="188">
        <f>opex_orig!Q30</f>
        <v>4.57E-5</v>
      </c>
      <c r="R30" s="188">
        <f>opex_orig!R30</f>
        <v>1.2804900000000001E-4</v>
      </c>
      <c r="S30" s="188">
        <f>opex_orig!S30</f>
        <v>2.4996699999999997E-4</v>
      </c>
      <c r="T30" s="188">
        <f>opex_orig!T30</f>
        <v>2.8664899999999999E-4</v>
      </c>
      <c r="U30" s="188">
        <f>opex_orig!U30</f>
        <v>2.6164100000000001E-4</v>
      </c>
      <c r="V30" s="188">
        <f>opex_orig!V30</f>
        <v>2.9317900000000002E-4</v>
      </c>
      <c r="W30" s="188">
        <f>opex_orig!W30</f>
        <v>3.5760099999999998E-4</v>
      </c>
      <c r="X30" s="188">
        <f>opex_orig!X30</f>
        <v>1.2593700000000001E-4</v>
      </c>
      <c r="Y30" s="188">
        <f>opex_orig!Y30</f>
        <v>1.87655E-4</v>
      </c>
      <c r="Z30" s="188">
        <f>opex_orig!Z30</f>
        <v>1.9804100000000001E-4</v>
      </c>
      <c r="AA30" s="188">
        <f>opex_orig!AA30</f>
        <v>2.28703E-4</v>
      </c>
      <c r="AB30" s="188">
        <f>opex_orig!$AB30</f>
        <v>5.2427569028656504E-4</v>
      </c>
      <c r="AC30" s="188">
        <f>opex_orig!$AB30</f>
        <v>5.2427569028656504E-4</v>
      </c>
      <c r="AD30" s="188">
        <f>opex_orig!$AB30</f>
        <v>5.2427569028656504E-4</v>
      </c>
      <c r="AE30" s="188">
        <f>opex_orig!$AC30</f>
        <v>2.8630270859252E-4</v>
      </c>
      <c r="AF30" s="188">
        <f>opex_orig!$AD30</f>
        <v>1.07888591946831E-4</v>
      </c>
      <c r="AG30" s="188">
        <f>opex_orig!$AD30</f>
        <v>1.07888591946831E-4</v>
      </c>
      <c r="AH30" s="188">
        <f>opex_orig!$AD30</f>
        <v>1.07888591946831E-4</v>
      </c>
      <c r="AI30" s="188">
        <f>opex_orig!AE30</f>
        <v>9.0400000000000002E-5</v>
      </c>
      <c r="AJ30" s="188">
        <f>opex_orig!AF30</f>
        <v>3.8960119999999999E-3</v>
      </c>
      <c r="AK30" s="188">
        <f>opex_orig!AG30</f>
        <v>1.8416680000000001E-3</v>
      </c>
      <c r="AL30" s="188">
        <f>opex_orig!AH30</f>
        <v>9.9677800000000003E-4</v>
      </c>
      <c r="AM30" s="188">
        <f>opex_orig!AI30</f>
        <v>6.0687899999999995E-4</v>
      </c>
      <c r="AN30" s="188">
        <f>opex_orig!AJ30</f>
        <v>9.7659799999999996E-4</v>
      </c>
      <c r="AO30" s="188">
        <f>opex_orig!AK30</f>
        <v>1.379412E-3</v>
      </c>
      <c r="AP30" s="188">
        <f>opex_orig!$AL30</f>
        <v>6.6108658524873204E-4</v>
      </c>
      <c r="AQ30" s="188">
        <f>opex_orig!$AL30</f>
        <v>6.6108658524873204E-4</v>
      </c>
      <c r="AR30" s="188">
        <f>opex_orig!$AL30</f>
        <v>6.6108658524873204E-4</v>
      </c>
      <c r="AS30" s="188">
        <f>opex_orig!$AM30</f>
        <v>6.24846178165957E-4</v>
      </c>
      <c r="AT30" s="188">
        <f>opex_orig!AN30</f>
        <v>1.0342560000000001E-3</v>
      </c>
      <c r="AU30" s="349">
        <f>opex_concordance!M590</f>
        <v>6.7444747463274298E-3</v>
      </c>
      <c r="AV30" s="349">
        <f>opex_concordance!M636</f>
        <v>6.3627397042193912E-3</v>
      </c>
      <c r="AW30" s="349">
        <f>opex_concordance!M682</f>
        <v>5.5905785861319083E-3</v>
      </c>
      <c r="AX30" s="188">
        <f>opex_orig!$AP30</f>
        <v>7.0342769915321002E-3</v>
      </c>
      <c r="AY30" s="188">
        <f>opex_orig!AQ30</f>
        <v>7.2524670000000003E-3</v>
      </c>
      <c r="AZ30" s="188">
        <f>opex_orig!AR30</f>
        <v>0</v>
      </c>
      <c r="BA30" s="188">
        <f>opex_orig!AS30</f>
        <v>4.4905819999999999E-3</v>
      </c>
      <c r="BB30" s="188">
        <f>opex_orig!AT30</f>
        <v>5.0038119999999998E-3</v>
      </c>
      <c r="BC30" s="188">
        <f>opex_orig!AU30</f>
        <v>4.1318519999999997E-2</v>
      </c>
      <c r="BD30" s="188">
        <f>opex_orig!AV30</f>
        <v>4.3362451000000003E-2</v>
      </c>
      <c r="BE30" s="188">
        <f>opex_orig!AW30</f>
        <v>3.7979379999999998E-3</v>
      </c>
      <c r="BF30" s="188">
        <f>opex_orig!AX30</f>
        <v>0</v>
      </c>
      <c r="BG30" s="188">
        <f>opex_orig!AY30</f>
        <v>5.03401E-4</v>
      </c>
      <c r="BH30" s="188">
        <f>opex_orig!AZ30</f>
        <v>0</v>
      </c>
      <c r="BI30" s="188">
        <f>opex_orig!BA30</f>
        <v>7.0853110000000004E-3</v>
      </c>
      <c r="BJ30" s="188">
        <f>opex_orig!BB30</f>
        <v>2.335003E-3</v>
      </c>
      <c r="BK30" s="188">
        <f>opex_orig!BC30</f>
        <v>2.8617069999999998E-3</v>
      </c>
      <c r="BL30" s="188">
        <f>opex_orig!BD30</f>
        <v>1.2280200000000001E-4</v>
      </c>
      <c r="BM30" s="188">
        <f>opex_orig!BE30</f>
        <v>1.94915E-3</v>
      </c>
      <c r="BN30" s="188">
        <f>opex_orig!BF30</f>
        <v>1.4790100000000001E-4</v>
      </c>
      <c r="BO30" s="188">
        <f>opex_orig!BG30</f>
        <v>8.9150000000000004E-4</v>
      </c>
      <c r="BP30" s="188">
        <f>opex_orig!$BH30</f>
        <v>9.3037823267944704E-4</v>
      </c>
      <c r="BQ30" s="188">
        <f>opex_orig!$BH30</f>
        <v>9.3037823267944704E-4</v>
      </c>
      <c r="BR30" s="188">
        <f>opex_orig!BI30</f>
        <v>2.3507710000000002E-3</v>
      </c>
      <c r="BS30" s="188">
        <f>opex_orig!BJ30</f>
        <v>1.8272430000000001E-3</v>
      </c>
      <c r="BT30" s="188">
        <f>opex_orig!BK30</f>
        <v>8.2750250000000001E-3</v>
      </c>
      <c r="BU30" s="188">
        <f>opex_orig!BL30</f>
        <v>0</v>
      </c>
      <c r="BV30" s="27">
        <f>opex_orig!BM30</f>
        <v>1.7184175310904E-4</v>
      </c>
      <c r="BW30" s="27">
        <f>opex_orig!BN30</f>
        <v>3.6808335208619099E-4</v>
      </c>
      <c r="BX30" s="27">
        <f>opex_orig!BO30</f>
        <v>6.5132852541496504E-5</v>
      </c>
      <c r="BY30" s="27">
        <f>opex_orig!BP30</f>
        <v>1.21791183863813E-4</v>
      </c>
      <c r="BZ30" s="27">
        <f>opex_orig!BQ30</f>
        <v>1.4755088167342899E-4</v>
      </c>
      <c r="CA30" s="27">
        <f>opex_orig!BR30</f>
        <v>2.2667259183317202E-5</v>
      </c>
      <c r="CB30" s="27">
        <f>opex_orig!BS30</f>
        <v>3.0668701482005001E-4</v>
      </c>
      <c r="CC30" s="27">
        <f>opex_orig!BT30</f>
        <v>3.1671119109134403E-5</v>
      </c>
      <c r="CD30" s="27">
        <f>opex_orig!BU30</f>
        <v>8.4442282292561304E-5</v>
      </c>
      <c r="CE30" s="27">
        <f>opex_orig!BV30</f>
        <v>8.4442282292561399E-5</v>
      </c>
      <c r="CF30" s="27">
        <f>opex_orig!BW30</f>
        <v>2.21952462770045E-4</v>
      </c>
      <c r="CG30" s="27">
        <f>opex_orig!BX30</f>
        <v>1.09077130003885E-5</v>
      </c>
      <c r="CH30" s="27">
        <f>opex_orig!BY30</f>
        <v>3.12106352737079E-4</v>
      </c>
      <c r="CI30" s="27">
        <f>opex_orig!Y30</f>
        <v>1.87655E-4</v>
      </c>
      <c r="CJ30" s="27">
        <f>opex_orig!Z30</f>
        <v>1.9804100000000001E-4</v>
      </c>
      <c r="CK30" s="27">
        <f>opex_orig!AA30</f>
        <v>2.28703E-4</v>
      </c>
      <c r="CL30" s="27">
        <f>opex_orig!AB30</f>
        <v>5.2427569028656504E-4</v>
      </c>
      <c r="CM30" s="27">
        <f>opex_orig!AC30</f>
        <v>2.8630270859252E-4</v>
      </c>
      <c r="CN30" s="27">
        <f>opex_orig!AD30</f>
        <v>1.07888591946831E-4</v>
      </c>
      <c r="CO30" s="27">
        <f>opex_orig!AE30</f>
        <v>9.0400000000000002E-5</v>
      </c>
      <c r="CP30" s="27">
        <f>opex_orig!AF30</f>
        <v>3.8960119999999999E-3</v>
      </c>
    </row>
    <row r="31" spans="1:94" x14ac:dyDescent="0.25">
      <c r="A31" s="5" t="s">
        <v>81</v>
      </c>
      <c r="B31" s="2" t="s">
        <v>80</v>
      </c>
      <c r="C31" s="1" t="s">
        <v>326</v>
      </c>
      <c r="D31" s="188">
        <f>opex_orig!D31</f>
        <v>1.7499999999999998E-5</v>
      </c>
      <c r="E31" s="188">
        <f>opex_orig!E31</f>
        <v>1.1199999999999999E-5</v>
      </c>
      <c r="F31" s="188">
        <f>opex_orig!F31</f>
        <v>8.9800000000000004E-6</v>
      </c>
      <c r="G31" s="188">
        <f>opex_orig!G31</f>
        <v>2.26E-6</v>
      </c>
      <c r="H31" s="188">
        <f>opex_orig!H31</f>
        <v>2.9399999999999998E-6</v>
      </c>
      <c r="I31" s="188">
        <f>opex_orig!I31</f>
        <v>8.0099999999999995E-6</v>
      </c>
      <c r="J31" s="188">
        <f>opex_orig!J31</f>
        <v>1.6900000000000001E-5</v>
      </c>
      <c r="K31" s="188">
        <f>opex_orig!K31</f>
        <v>5.0799999999999996E-6</v>
      </c>
      <c r="L31" s="188">
        <f>opex_orig!L31</f>
        <v>1.43E-5</v>
      </c>
      <c r="M31" s="188">
        <f>opex_orig!M31</f>
        <v>1.43E-5</v>
      </c>
      <c r="N31" s="188">
        <f>opex_orig!N31</f>
        <v>6.2100000000000005E-5</v>
      </c>
      <c r="O31" s="188">
        <f>opex_orig!O31</f>
        <v>4.8099999999999997E-5</v>
      </c>
      <c r="P31" s="188">
        <f>opex_orig!P31</f>
        <v>2.02E-5</v>
      </c>
      <c r="Q31" s="188">
        <f>opex_orig!Q31</f>
        <v>3.4300000000000002E-6</v>
      </c>
      <c r="R31" s="188">
        <f>opex_orig!R31</f>
        <v>8.7199999999999995E-6</v>
      </c>
      <c r="S31" s="188">
        <f>opex_orig!S31</f>
        <v>9.0100000000000001E-6</v>
      </c>
      <c r="T31" s="188">
        <f>opex_orig!T31</f>
        <v>1.08E-5</v>
      </c>
      <c r="U31" s="188">
        <f>opex_orig!U31</f>
        <v>1.5500000000000001E-5</v>
      </c>
      <c r="V31" s="188">
        <f>opex_orig!V31</f>
        <v>3.0499999999999999E-5</v>
      </c>
      <c r="W31" s="188">
        <f>opex_orig!W31</f>
        <v>6.3100000000000002E-5</v>
      </c>
      <c r="X31" s="188">
        <f>opex_orig!X31</f>
        <v>9.8400000000000007E-6</v>
      </c>
      <c r="Y31" s="188">
        <f>opex_orig!Y31</f>
        <v>7.96E-6</v>
      </c>
      <c r="Z31" s="188">
        <f>opex_orig!Z31</f>
        <v>4.0099999999999999E-5</v>
      </c>
      <c r="AA31" s="188">
        <f>opex_orig!AA31</f>
        <v>1.9700000000000001E-5</v>
      </c>
      <c r="AB31" s="188">
        <f>opex_orig!$AB31</f>
        <v>1.3561961498246899E-4</v>
      </c>
      <c r="AC31" s="188">
        <f>opex_orig!$AB31</f>
        <v>1.3561961498246899E-4</v>
      </c>
      <c r="AD31" s="188">
        <f>opex_orig!$AB31</f>
        <v>1.3561961498246899E-4</v>
      </c>
      <c r="AE31" s="188">
        <f>opex_orig!$AC31</f>
        <v>1.9290262230909499E-4</v>
      </c>
      <c r="AF31" s="188">
        <f>opex_orig!$AD31</f>
        <v>4.1313424733213399E-5</v>
      </c>
      <c r="AG31" s="188">
        <f>opex_orig!$AD31</f>
        <v>4.1313424733213399E-5</v>
      </c>
      <c r="AH31" s="188">
        <f>opex_orig!$AD31</f>
        <v>4.1313424733213399E-5</v>
      </c>
      <c r="AI31" s="188">
        <f>opex_orig!AE31</f>
        <v>2.4199999999999999E-5</v>
      </c>
      <c r="AJ31" s="188">
        <f>opex_orig!AF31</f>
        <v>8.3200000000000003E-5</v>
      </c>
      <c r="AK31" s="188">
        <f>opex_orig!AG31</f>
        <v>4.1199999999999999E-5</v>
      </c>
      <c r="AL31" s="188">
        <f>opex_orig!AH31</f>
        <v>1.5694E-4</v>
      </c>
      <c r="AM31" s="188">
        <f>opex_orig!AI31</f>
        <v>3.3699999999999999E-5</v>
      </c>
      <c r="AN31" s="188">
        <f>opex_orig!AJ31</f>
        <v>9.7E-5</v>
      </c>
      <c r="AO31" s="188">
        <f>opex_orig!AK31</f>
        <v>7.1199999999999996E-5</v>
      </c>
      <c r="AP31" s="188">
        <f>opex_orig!$AL31</f>
        <v>4.7181987372213898E-5</v>
      </c>
      <c r="AQ31" s="188">
        <f>opex_orig!$AL31</f>
        <v>4.7181987372213898E-5</v>
      </c>
      <c r="AR31" s="188">
        <f>opex_orig!$AL31</f>
        <v>4.7181987372213898E-5</v>
      </c>
      <c r="AS31" s="188">
        <f>opex_orig!$AM31</f>
        <v>4.3953328550958999E-5</v>
      </c>
      <c r="AT31" s="188">
        <f>opex_orig!AN31</f>
        <v>1.4008900000000001E-4</v>
      </c>
      <c r="AU31" s="188">
        <f>opex_orig!$AO31</f>
        <v>6.4072934243100395E-4</v>
      </c>
      <c r="AV31" s="188">
        <f>opex_orig!$AO31</f>
        <v>6.4072934243100395E-4</v>
      </c>
      <c r="AW31" s="188">
        <f>opex_orig!$AO31</f>
        <v>6.4072934243100395E-4</v>
      </c>
      <c r="AX31" s="188">
        <f>opex_orig!$AP31</f>
        <v>5.7671480153063102E-4</v>
      </c>
      <c r="AY31" s="188">
        <f>opex_orig!AQ31</f>
        <v>6.6713999999999999E-4</v>
      </c>
      <c r="AZ31" s="188">
        <f>opex_orig!AR31</f>
        <v>0</v>
      </c>
      <c r="BA31" s="188">
        <f>opex_orig!AS31</f>
        <v>3.5218199999999998E-4</v>
      </c>
      <c r="BB31" s="188">
        <f>opex_orig!AT31</f>
        <v>3.7137200000000002E-4</v>
      </c>
      <c r="BC31" s="188">
        <f>opex_orig!AU31</f>
        <v>3.493454E-3</v>
      </c>
      <c r="BD31" s="188">
        <f>opex_orig!AV31</f>
        <v>3.6541439999999998E-3</v>
      </c>
      <c r="BE31" s="188">
        <f>opex_orig!AW31</f>
        <v>6.6470600000000004E-4</v>
      </c>
      <c r="BF31" s="188">
        <f>opex_orig!AX31</f>
        <v>0</v>
      </c>
      <c r="BG31" s="188">
        <f>opex_orig!AY31</f>
        <v>1.493601E-3</v>
      </c>
      <c r="BH31" s="188">
        <f>opex_orig!AZ31</f>
        <v>0</v>
      </c>
      <c r="BI31" s="188">
        <f>opex_orig!BA31</f>
        <v>9.7911900000000008E-4</v>
      </c>
      <c r="BJ31" s="188">
        <f>opex_orig!BB31</f>
        <v>1.8385100000000001E-4</v>
      </c>
      <c r="BK31" s="188">
        <f>opex_orig!BC31</f>
        <v>2.2150499999999999E-4</v>
      </c>
      <c r="BL31" s="188">
        <f>opex_orig!BD31</f>
        <v>2.8E-5</v>
      </c>
      <c r="BM31" s="188">
        <f>opex_orig!BE31</f>
        <v>1.5976200000000001E-4</v>
      </c>
      <c r="BN31" s="188">
        <f>opex_orig!BF31</f>
        <v>1.38E-5</v>
      </c>
      <c r="BO31" s="188">
        <f>opex_orig!BG31</f>
        <v>4.9799999999999998E-5</v>
      </c>
      <c r="BP31" s="188">
        <f>opex_orig!$BH31</f>
        <v>5.2520850081344E-5</v>
      </c>
      <c r="BQ31" s="188">
        <f>opex_orig!$BH31</f>
        <v>5.2520850081344E-5</v>
      </c>
      <c r="BR31" s="188">
        <f>opex_orig!BI31</f>
        <v>1.4376600000000001E-4</v>
      </c>
      <c r="BS31" s="188">
        <f>opex_orig!BJ31</f>
        <v>1.05944E-4</v>
      </c>
      <c r="BT31" s="188">
        <f>opex_orig!BK31</f>
        <v>8.10409E-4</v>
      </c>
      <c r="BU31" s="188">
        <f>opex_orig!BL31</f>
        <v>0</v>
      </c>
      <c r="BV31" s="27">
        <f>opex_orig!BM31</f>
        <v>7.4244990703828801E-6</v>
      </c>
      <c r="BW31" s="27">
        <f>opex_orig!BN31</f>
        <v>7.0311780988442996E-5</v>
      </c>
      <c r="BX31" s="27">
        <f>opex_orig!BO31</f>
        <v>5.8891177497475498E-6</v>
      </c>
      <c r="BY31" s="27">
        <f>opex_orig!BP31</f>
        <v>5.4192345893193603E-5</v>
      </c>
      <c r="BZ31" s="27">
        <f>opex_orig!BQ31</f>
        <v>1.8686868312892E-5</v>
      </c>
      <c r="CA31" s="27">
        <f>opex_orig!BR31</f>
        <v>8.3954645436840004E-6</v>
      </c>
      <c r="CB31" s="27">
        <f>opex_orig!BS31</f>
        <v>4.4486311114153903E-5</v>
      </c>
      <c r="CC31" s="27">
        <f>opex_orig!BT31</f>
        <v>3.54957230690824E-6</v>
      </c>
      <c r="CD31" s="27">
        <f>opex_orig!BU31</f>
        <v>1.9107370317976301E-6</v>
      </c>
      <c r="CE31" s="27">
        <f>opex_orig!BV31</f>
        <v>1.9107370317976301E-6</v>
      </c>
      <c r="CF31" s="27">
        <f>opex_orig!BW31</f>
        <v>6.6281514690317699E-4</v>
      </c>
      <c r="CG31" s="27">
        <f>opex_orig!BX31</f>
        <v>1.8613584103502199E-6</v>
      </c>
      <c r="CH31" s="27">
        <f>opex_orig!BY31</f>
        <v>8.1052858422628996E-5</v>
      </c>
      <c r="CI31" s="27">
        <f>opex_orig!Y31</f>
        <v>7.96E-6</v>
      </c>
      <c r="CJ31" s="27">
        <f>opex_orig!Z31</f>
        <v>4.0099999999999999E-5</v>
      </c>
      <c r="CK31" s="27">
        <f>opex_orig!AA31</f>
        <v>1.9700000000000001E-5</v>
      </c>
      <c r="CL31" s="27">
        <f>opex_orig!AB31</f>
        <v>1.3561961498246899E-4</v>
      </c>
      <c r="CM31" s="27">
        <f>opex_orig!AC31</f>
        <v>1.9290262230909499E-4</v>
      </c>
      <c r="CN31" s="27">
        <f>opex_orig!AD31</f>
        <v>4.1313424733213399E-5</v>
      </c>
      <c r="CO31" s="27">
        <f>opex_orig!AE31</f>
        <v>2.4199999999999999E-5</v>
      </c>
      <c r="CP31" s="27">
        <f>opex_orig!AF31</f>
        <v>8.3200000000000003E-5</v>
      </c>
    </row>
    <row r="32" spans="1:94" x14ac:dyDescent="0.25">
      <c r="A32" s="5" t="s">
        <v>83</v>
      </c>
      <c r="B32" s="2" t="s">
        <v>82</v>
      </c>
      <c r="C32" s="1" t="s">
        <v>326</v>
      </c>
      <c r="D32" s="188">
        <f>opex_orig!D32</f>
        <v>1.01E-5</v>
      </c>
      <c r="E32" s="188">
        <f>opex_orig!E32</f>
        <v>2.3999999999999999E-6</v>
      </c>
      <c r="F32" s="188">
        <f>opex_orig!F32</f>
        <v>3.2399999999999999E-6</v>
      </c>
      <c r="G32" s="188">
        <f>opex_orig!G32</f>
        <v>2.8900000000000001E-7</v>
      </c>
      <c r="H32" s="188">
        <f>opex_orig!H32</f>
        <v>4.3500000000000002E-7</v>
      </c>
      <c r="I32" s="188">
        <f>opex_orig!I32</f>
        <v>3.4599999999999999E-6</v>
      </c>
      <c r="J32" s="188">
        <f>opex_orig!J32</f>
        <v>2.2500000000000001E-5</v>
      </c>
      <c r="K32" s="188">
        <f>opex_orig!K32</f>
        <v>8.23E-7</v>
      </c>
      <c r="L32" s="188">
        <f>opex_orig!L32</f>
        <v>7.2600000000000003E-5</v>
      </c>
      <c r="M32" s="188">
        <f>opex_orig!M32</f>
        <v>5.8300000000000001E-6</v>
      </c>
      <c r="N32" s="188">
        <f>opex_orig!N32</f>
        <v>1.59E-5</v>
      </c>
      <c r="O32" s="188">
        <f>opex_orig!O32</f>
        <v>7.1400000000000002E-6</v>
      </c>
      <c r="P32" s="188">
        <f>opex_orig!P32</f>
        <v>8.5099999999999998E-6</v>
      </c>
      <c r="Q32" s="188">
        <f>opex_orig!Q32</f>
        <v>1.5E-6</v>
      </c>
      <c r="R32" s="188">
        <f>opex_orig!R32</f>
        <v>2.8899999999999999E-6</v>
      </c>
      <c r="S32" s="188">
        <f>opex_orig!S32</f>
        <v>4.3699999999999997E-6</v>
      </c>
      <c r="T32" s="188">
        <f>opex_orig!T32</f>
        <v>1.0200000000000001E-5</v>
      </c>
      <c r="U32" s="188">
        <f>opex_orig!U32</f>
        <v>4.1500000000000001E-6</v>
      </c>
      <c r="V32" s="188">
        <f>opex_orig!V32</f>
        <v>5.0499999999999999E-6</v>
      </c>
      <c r="W32" s="188">
        <f>opex_orig!W32</f>
        <v>3.1499999999999999E-6</v>
      </c>
      <c r="X32" s="188">
        <f>opex_orig!X32</f>
        <v>2.9699999999999999E-6</v>
      </c>
      <c r="Y32" s="188">
        <f>opex_orig!Y32</f>
        <v>3.05E-6</v>
      </c>
      <c r="Z32" s="188">
        <f>opex_orig!Z32</f>
        <v>9.0000000000000002E-6</v>
      </c>
      <c r="AA32" s="188">
        <f>opex_orig!AA32</f>
        <v>9.73E-6</v>
      </c>
      <c r="AB32" s="188">
        <f>opex_orig!$AB32</f>
        <v>1.60132226993228E-5</v>
      </c>
      <c r="AC32" s="188">
        <f>opex_orig!$AB32</f>
        <v>1.60132226993228E-5</v>
      </c>
      <c r="AD32" s="188">
        <f>opex_orig!$AB32</f>
        <v>1.60132226993228E-5</v>
      </c>
      <c r="AE32" s="188">
        <f>opex_orig!$AC32</f>
        <v>1.5966992588181501E-5</v>
      </c>
      <c r="AF32" s="188">
        <f>opex_orig!$AD32</f>
        <v>6.7588696847659401E-6</v>
      </c>
      <c r="AG32" s="188">
        <f>opex_orig!$AD32</f>
        <v>6.7588696847659401E-6</v>
      </c>
      <c r="AH32" s="188">
        <f>opex_orig!$AD32</f>
        <v>6.7588696847659401E-6</v>
      </c>
      <c r="AI32" s="188">
        <f>opex_orig!AE32</f>
        <v>5.75E-6</v>
      </c>
      <c r="AJ32" s="188">
        <f>opex_orig!AF32</f>
        <v>4.7599999999999998E-5</v>
      </c>
      <c r="AK32" s="188">
        <f>opex_orig!AG32</f>
        <v>1.29E-5</v>
      </c>
      <c r="AL32" s="188">
        <f>opex_orig!AH32</f>
        <v>6.8899999999999994E-5</v>
      </c>
      <c r="AM32" s="188">
        <f>opex_orig!AI32</f>
        <v>1.63E-5</v>
      </c>
      <c r="AN32" s="188">
        <f>opex_orig!AJ32</f>
        <v>5.5500000000000001E-5</v>
      </c>
      <c r="AO32" s="188">
        <f>opex_orig!AK32</f>
        <v>4.2599999999999999E-5</v>
      </c>
      <c r="AP32" s="188">
        <f>opex_orig!$AL32</f>
        <v>2.7445612840193302E-5</v>
      </c>
      <c r="AQ32" s="188">
        <f>opex_orig!$AL32</f>
        <v>2.7445612840193302E-5</v>
      </c>
      <c r="AR32" s="188">
        <f>opex_orig!$AL32</f>
        <v>2.7445612840193302E-5</v>
      </c>
      <c r="AS32" s="188">
        <f>opex_orig!$AM32</f>
        <v>2.6970741298199699E-5</v>
      </c>
      <c r="AT32" s="188">
        <f>opex_orig!AN32</f>
        <v>3.57E-5</v>
      </c>
      <c r="AU32" s="188">
        <f>opex_orig!$AO32</f>
        <v>2.0943543525430799E-3</v>
      </c>
      <c r="AV32" s="188">
        <f>opex_orig!$AO32</f>
        <v>2.0943543525430799E-3</v>
      </c>
      <c r="AW32" s="188">
        <f>opex_orig!$AO32</f>
        <v>2.0943543525430799E-3</v>
      </c>
      <c r="AX32" s="188">
        <f>opex_orig!$AP32</f>
        <v>1.46457519736504E-3</v>
      </c>
      <c r="AY32" s="188">
        <f>opex_orig!AQ32</f>
        <v>2.5999999999999998E-5</v>
      </c>
      <c r="AZ32" s="188">
        <f>opex_orig!AR32</f>
        <v>0</v>
      </c>
      <c r="BA32" s="188">
        <f>opex_orig!AS32</f>
        <v>4.07E-5</v>
      </c>
      <c r="BB32" s="188">
        <f>opex_orig!AT32</f>
        <v>4.1E-5</v>
      </c>
      <c r="BC32" s="188">
        <f>opex_orig!AU32</f>
        <v>3.7666899999999999E-4</v>
      </c>
      <c r="BD32" s="188">
        <f>opex_orig!AV32</f>
        <v>3.94714E-4</v>
      </c>
      <c r="BE32" s="188">
        <f>opex_orig!AW32</f>
        <v>1.48262E-4</v>
      </c>
      <c r="BF32" s="188">
        <f>opex_orig!AX32</f>
        <v>0</v>
      </c>
      <c r="BG32" s="188">
        <f>opex_orig!AY32</f>
        <v>0.125664307</v>
      </c>
      <c r="BH32" s="188">
        <f>opex_orig!AZ32</f>
        <v>0</v>
      </c>
      <c r="BI32" s="188">
        <f>opex_orig!BA32</f>
        <v>7.8500900000000003E-4</v>
      </c>
      <c r="BJ32" s="188">
        <f>opex_orig!BB32</f>
        <v>4.5300000000000003E-5</v>
      </c>
      <c r="BK32" s="188">
        <f>opex_orig!BC32</f>
        <v>4.9100000000000001E-5</v>
      </c>
      <c r="BL32" s="188">
        <f>opex_orig!BD32</f>
        <v>1.9400000000000001E-5</v>
      </c>
      <c r="BM32" s="188">
        <f>opex_orig!BE32</f>
        <v>4.1E-5</v>
      </c>
      <c r="BN32" s="188">
        <f>opex_orig!BF32</f>
        <v>1.4800000000000001E-5</v>
      </c>
      <c r="BO32" s="188">
        <f>opex_orig!BG32</f>
        <v>1.9300000000000002E-5</v>
      </c>
      <c r="BP32" s="188">
        <f>opex_orig!$BH32</f>
        <v>2.0129316787357099E-5</v>
      </c>
      <c r="BQ32" s="188">
        <f>opex_orig!$BH32</f>
        <v>2.0129316787357099E-5</v>
      </c>
      <c r="BR32" s="188">
        <f>opex_orig!BI32</f>
        <v>3.9400000000000002E-5</v>
      </c>
      <c r="BS32" s="188">
        <f>opex_orig!BJ32</f>
        <v>2.1299999999999999E-5</v>
      </c>
      <c r="BT32" s="188">
        <f>opex_orig!BK32</f>
        <v>1.96701E-4</v>
      </c>
      <c r="BU32" s="188">
        <f>opex_orig!BL32</f>
        <v>0</v>
      </c>
      <c r="BV32" s="27">
        <f>opex_orig!BM32</f>
        <v>5.2963786326722903E-6</v>
      </c>
      <c r="BW32" s="27">
        <f>opex_orig!BN32</f>
        <v>1.15487004423204E-5</v>
      </c>
      <c r="BX32" s="27">
        <f>opex_orig!BO32</f>
        <v>2.3283273633339301E-6</v>
      </c>
      <c r="BY32" s="27">
        <f>opex_orig!BP32</f>
        <v>5.11549469902427E-6</v>
      </c>
      <c r="BZ32" s="27">
        <f>opex_orig!BQ32</f>
        <v>8.5781722776040798E-6</v>
      </c>
      <c r="CA32" s="27">
        <f>opex_orig!BR32</f>
        <v>2.15170799772743E-6</v>
      </c>
      <c r="CB32" s="27">
        <f>opex_orig!BS32</f>
        <v>9.9910169231071397E-6</v>
      </c>
      <c r="CC32" s="27">
        <f>opex_orig!BT32</f>
        <v>2.6234949962634199E-3</v>
      </c>
      <c r="CD32" s="27">
        <f>opex_orig!BU32</f>
        <v>1.5432766328910899E-6</v>
      </c>
      <c r="CE32" s="27">
        <f>opex_orig!BV32</f>
        <v>1.5432766328910899E-6</v>
      </c>
      <c r="CF32" s="27">
        <f>opex_orig!BW32</f>
        <v>6.7011978622276303E-6</v>
      </c>
      <c r="CG32" s="27">
        <f>opex_orig!BX32</f>
        <v>1.07704737870192E-6</v>
      </c>
      <c r="CH32" s="27">
        <f>opex_orig!BY32</f>
        <v>2.0405883952220799E-5</v>
      </c>
      <c r="CI32" s="27">
        <f>opex_orig!Y32</f>
        <v>3.05E-6</v>
      </c>
      <c r="CJ32" s="27">
        <f>opex_orig!Z32</f>
        <v>9.0000000000000002E-6</v>
      </c>
      <c r="CK32" s="27">
        <f>opex_orig!AA32</f>
        <v>9.73E-6</v>
      </c>
      <c r="CL32" s="27">
        <f>opex_orig!AB32</f>
        <v>1.60132226993228E-5</v>
      </c>
      <c r="CM32" s="27">
        <f>opex_orig!AC32</f>
        <v>1.5966992588181501E-5</v>
      </c>
      <c r="CN32" s="27">
        <f>opex_orig!AD32</f>
        <v>6.7588696847659401E-6</v>
      </c>
      <c r="CO32" s="27">
        <f>opex_orig!AE32</f>
        <v>5.75E-6</v>
      </c>
      <c r="CP32" s="27">
        <f>opex_orig!AF32</f>
        <v>4.7599999999999998E-5</v>
      </c>
    </row>
    <row r="33" spans="1:94" x14ac:dyDescent="0.25">
      <c r="A33" s="5" t="s">
        <v>85</v>
      </c>
      <c r="B33" s="2" t="s">
        <v>84</v>
      </c>
      <c r="C33" s="1" t="s">
        <v>326</v>
      </c>
      <c r="D33" s="188">
        <f>opex_orig!D33</f>
        <v>1.8983199999999999E-4</v>
      </c>
      <c r="E33" s="188">
        <f>opex_orig!E33</f>
        <v>2.0869899999999999E-4</v>
      </c>
      <c r="F33" s="188">
        <f>opex_orig!F33</f>
        <v>3.4271699999999998E-4</v>
      </c>
      <c r="G33" s="188">
        <f>opex_orig!G33</f>
        <v>4.6499999999999999E-5</v>
      </c>
      <c r="H33" s="188">
        <f>opex_orig!H33</f>
        <v>5.9299999999999998E-5</v>
      </c>
      <c r="I33" s="188">
        <f>opex_orig!I33</f>
        <v>4.4376600000000001E-4</v>
      </c>
      <c r="J33" s="188">
        <f>opex_orig!J33</f>
        <v>5.4316599999999998E-4</v>
      </c>
      <c r="K33" s="188">
        <f>opex_orig!K33</f>
        <v>1.11263E-4</v>
      </c>
      <c r="L33" s="188">
        <f>opex_orig!L33</f>
        <v>9.3853299999999997E-4</v>
      </c>
      <c r="M33" s="188">
        <f>opex_orig!M33</f>
        <v>9.04567E-4</v>
      </c>
      <c r="N33" s="188">
        <f>opex_orig!N33</f>
        <v>6.6097400000000005E-4</v>
      </c>
      <c r="O33" s="188">
        <f>opex_orig!O33</f>
        <v>2.55887E-4</v>
      </c>
      <c r="P33" s="188">
        <f>opex_orig!P33</f>
        <v>6.89465E-4</v>
      </c>
      <c r="Q33" s="188">
        <f>opex_orig!Q33</f>
        <v>1.59937E-4</v>
      </c>
      <c r="R33" s="188">
        <f>opex_orig!R33</f>
        <v>2.3257200000000001E-4</v>
      </c>
      <c r="S33" s="188">
        <f>opex_orig!S33</f>
        <v>3.4523799999999999E-4</v>
      </c>
      <c r="T33" s="188">
        <f>opex_orig!T33</f>
        <v>4.6172999999999999E-4</v>
      </c>
      <c r="U33" s="188">
        <f>opex_orig!U33</f>
        <v>7.5492699999999996E-4</v>
      </c>
      <c r="V33" s="188">
        <f>opex_orig!V33</f>
        <v>1.03998E-3</v>
      </c>
      <c r="W33" s="188">
        <f>opex_orig!W33</f>
        <v>1.99719E-4</v>
      </c>
      <c r="X33" s="188">
        <f>opex_orig!X33</f>
        <v>1.2790999999999999E-4</v>
      </c>
      <c r="Y33" s="188">
        <f>opex_orig!Y33</f>
        <v>1.4080900000000001E-3</v>
      </c>
      <c r="Z33" s="188">
        <f>opex_orig!Z33</f>
        <v>1.5879170000000001E-3</v>
      </c>
      <c r="AA33" s="188">
        <f>opex_orig!AA33</f>
        <v>6.6688999999999995E-4</v>
      </c>
      <c r="AB33" s="188">
        <f>opex_orig!$AB33</f>
        <v>8.2281510767581397E-4</v>
      </c>
      <c r="AC33" s="188">
        <f>opex_orig!$AB33</f>
        <v>8.2281510767581397E-4</v>
      </c>
      <c r="AD33" s="188">
        <f>opex_orig!$AB33</f>
        <v>8.2281510767581397E-4</v>
      </c>
      <c r="AE33" s="188">
        <f>opex_orig!$AC33</f>
        <v>6.2705115159581804E-4</v>
      </c>
      <c r="AF33" s="188">
        <f>opex_orig!$AD33</f>
        <v>3.3624147129786598E-3</v>
      </c>
      <c r="AG33" s="188">
        <f>opex_orig!$AD33</f>
        <v>3.3624147129786598E-3</v>
      </c>
      <c r="AH33" s="188">
        <f>opex_orig!$AD33</f>
        <v>3.3624147129786598E-3</v>
      </c>
      <c r="AI33" s="188">
        <f>opex_orig!AE33</f>
        <v>3.4291809999999999E-3</v>
      </c>
      <c r="AJ33" s="188">
        <f>opex_orig!AF33</f>
        <v>7.6217600000000004E-4</v>
      </c>
      <c r="AK33" s="188">
        <f>opex_orig!AG33</f>
        <v>1.4554100000000001E-4</v>
      </c>
      <c r="AL33" s="188">
        <f>opex_orig!AH33</f>
        <v>2.3442162999999999E-2</v>
      </c>
      <c r="AM33" s="188">
        <f>opex_orig!AI33</f>
        <v>1.3968380000000001E-3</v>
      </c>
      <c r="AN33" s="188">
        <f>opex_orig!AJ33</f>
        <v>4.5529539999999997E-3</v>
      </c>
      <c r="AO33" s="188">
        <f>opex_orig!AK33</f>
        <v>4.9184770000000001E-3</v>
      </c>
      <c r="AP33" s="339">
        <f>opex_concordance!M437</f>
        <v>2.2176248757376602E-2</v>
      </c>
      <c r="AQ33" s="339">
        <f>opex_concordance!M491</f>
        <v>1.784723578205907E-2</v>
      </c>
      <c r="AR33" s="339">
        <f>opex_concordance!M545</f>
        <v>1.9585781606683648E-2</v>
      </c>
      <c r="AS33" s="188">
        <f>opex_orig!$AM33</f>
        <v>2.1188770794543101E-2</v>
      </c>
      <c r="AT33" s="188">
        <f>opex_orig!AN33</f>
        <v>4.3246827000000002E-2</v>
      </c>
      <c r="AU33" s="188">
        <f>opex_orig!$AO33</f>
        <v>1.6402065656385501E-3</v>
      </c>
      <c r="AV33" s="188">
        <f>opex_orig!$AO33</f>
        <v>1.6402065656385501E-3</v>
      </c>
      <c r="AW33" s="188">
        <f>opex_orig!$AO33</f>
        <v>1.6402065656385501E-3</v>
      </c>
      <c r="AX33" s="188">
        <f>opex_orig!$AP33</f>
        <v>1.7581214910091601E-3</v>
      </c>
      <c r="AY33" s="188">
        <f>opex_orig!AQ33</f>
        <v>1.9975739999999998E-3</v>
      </c>
      <c r="AZ33" s="188">
        <f>opex_orig!AR33</f>
        <v>0</v>
      </c>
      <c r="BA33" s="188">
        <f>opex_orig!AS33</f>
        <v>1.7073139999999999E-3</v>
      </c>
      <c r="BB33" s="188">
        <f>opex_orig!AT33</f>
        <v>1.880261E-3</v>
      </c>
      <c r="BC33" s="188">
        <f>opex_orig!AU33</f>
        <v>5.7292860000000001E-3</v>
      </c>
      <c r="BD33" s="188">
        <f>opex_orig!AV33</f>
        <v>5.9573739999999997E-3</v>
      </c>
      <c r="BE33" s="188">
        <f>opex_orig!AW33</f>
        <v>1.1299400000000001E-3</v>
      </c>
      <c r="BF33" s="188">
        <f>opex_orig!AX33</f>
        <v>0</v>
      </c>
      <c r="BG33" s="188">
        <f>opex_orig!AY33</f>
        <v>9.3134900000000004E-4</v>
      </c>
      <c r="BH33" s="188">
        <f>opex_orig!AZ33</f>
        <v>0</v>
      </c>
      <c r="BI33" s="188">
        <f>opex_orig!BA33</f>
        <v>3.7958255000000003E-2</v>
      </c>
      <c r="BJ33" s="188">
        <f>opex_orig!BB33</f>
        <v>5.7030700000000004E-4</v>
      </c>
      <c r="BK33" s="188">
        <f>opex_orig!BC33</f>
        <v>1.196576E-3</v>
      </c>
      <c r="BL33" s="188">
        <f>opex_orig!BD33</f>
        <v>5.3999999999999998E-5</v>
      </c>
      <c r="BM33" s="188">
        <f>opex_orig!BE33</f>
        <v>7.2836600000000004E-4</v>
      </c>
      <c r="BN33" s="188">
        <f>opex_orig!BF33</f>
        <v>2.9985899999999998E-4</v>
      </c>
      <c r="BO33" s="188">
        <f>opex_orig!BG33</f>
        <v>2.9589200000000002E-4</v>
      </c>
      <c r="BP33" s="188">
        <f>opex_orig!$BH33</f>
        <v>1.9785214949937901E-4</v>
      </c>
      <c r="BQ33" s="188">
        <f>opex_orig!$BH33</f>
        <v>1.9785214949937901E-4</v>
      </c>
      <c r="BR33" s="188">
        <f>opex_orig!BI33</f>
        <v>4.1041899999999997E-4</v>
      </c>
      <c r="BS33" s="188">
        <f>opex_orig!BJ33</f>
        <v>2.9767200000000002E-4</v>
      </c>
      <c r="BT33" s="188">
        <f>opex_orig!BK33</f>
        <v>2.4259379999999999E-3</v>
      </c>
      <c r="BU33" s="188">
        <f>opex_orig!BL33</f>
        <v>0</v>
      </c>
      <c r="BV33" s="27">
        <f>opex_orig!BM33</f>
        <v>1.2189917940024901E-3</v>
      </c>
      <c r="BW33" s="27">
        <f>opex_orig!BN33</f>
        <v>1.9657155623624498E-3</v>
      </c>
      <c r="BX33" s="27">
        <f>opex_orig!BO33</f>
        <v>3.1538588676767302E-4</v>
      </c>
      <c r="BY33" s="27">
        <f>opex_orig!BP33</f>
        <v>4.1172497033233898E-4</v>
      </c>
      <c r="BZ33" s="27">
        <f>opex_orig!BQ33</f>
        <v>4.2461697830672101E-4</v>
      </c>
      <c r="CA33" s="27">
        <f>opex_orig!BR33</f>
        <v>1.13830492979031E-3</v>
      </c>
      <c r="CB33" s="27">
        <f>opex_orig!BS33</f>
        <v>1.80440708561987E-3</v>
      </c>
      <c r="CC33" s="27">
        <f>opex_orig!BT33</f>
        <v>5.5516886945424296E-4</v>
      </c>
      <c r="CD33" s="27">
        <f>opex_orig!BU33</f>
        <v>2.7430925676028001E-4</v>
      </c>
      <c r="CE33" s="27">
        <f>opex_orig!BV33</f>
        <v>2.7430925676028098E-4</v>
      </c>
      <c r="CF33" s="27">
        <f>opex_orig!BW33</f>
        <v>1.0828598792083899E-3</v>
      </c>
      <c r="CG33" s="27">
        <f>opex_orig!BX33</f>
        <v>5.7006941005823701E-5</v>
      </c>
      <c r="CH33" s="27">
        <f>opex_orig!BY33</f>
        <v>4.0810409469084101E-4</v>
      </c>
      <c r="CI33" s="27">
        <f>opex_orig!Y33</f>
        <v>1.4080900000000001E-3</v>
      </c>
      <c r="CJ33" s="27">
        <f>opex_orig!Z33</f>
        <v>1.5879170000000001E-3</v>
      </c>
      <c r="CK33" s="27">
        <f>opex_orig!AA33</f>
        <v>6.6688999999999995E-4</v>
      </c>
      <c r="CL33" s="27">
        <f>opex_orig!AB33</f>
        <v>8.2281510767581397E-4</v>
      </c>
      <c r="CM33" s="27">
        <f>opex_orig!AC33</f>
        <v>6.2705115159581804E-4</v>
      </c>
      <c r="CN33" s="27">
        <f>opex_orig!AD33</f>
        <v>3.3624147129786598E-3</v>
      </c>
      <c r="CO33" s="27">
        <f>opex_orig!AE33</f>
        <v>3.4291809999999999E-3</v>
      </c>
      <c r="CP33" s="27">
        <f>opex_orig!AF33</f>
        <v>7.6217600000000004E-4</v>
      </c>
    </row>
    <row r="34" spans="1:94" x14ac:dyDescent="0.25">
      <c r="A34" s="5" t="s">
        <v>87</v>
      </c>
      <c r="B34" s="2" t="s">
        <v>86</v>
      </c>
      <c r="C34" s="1" t="s">
        <v>326</v>
      </c>
      <c r="D34" s="188">
        <f>opex_orig!D34</f>
        <v>3.9660800000000001E-4</v>
      </c>
      <c r="E34" s="188">
        <f>opex_orig!E34</f>
        <v>2.6425999999999999E-4</v>
      </c>
      <c r="F34" s="188">
        <f>opex_orig!F34</f>
        <v>2.3109899999999999E-4</v>
      </c>
      <c r="G34" s="188">
        <f>opex_orig!G34</f>
        <v>5.49E-5</v>
      </c>
      <c r="H34" s="188">
        <f>opex_orig!H34</f>
        <v>8.5099999999999995E-5</v>
      </c>
      <c r="I34" s="188">
        <f>opex_orig!I34</f>
        <v>5.1475499999999999E-4</v>
      </c>
      <c r="J34" s="188">
        <f>opex_orig!J34</f>
        <v>6.7720400000000004E-4</v>
      </c>
      <c r="K34" s="188">
        <f>opex_orig!K34</f>
        <v>1.53778E-4</v>
      </c>
      <c r="L34" s="188">
        <f>opex_orig!L34</f>
        <v>5.0157999999999995E-4</v>
      </c>
      <c r="M34" s="188">
        <f>opex_orig!M34</f>
        <v>7.6856099999999996E-4</v>
      </c>
      <c r="N34" s="188">
        <f>opex_orig!N34</f>
        <v>7.9398999999999995E-4</v>
      </c>
      <c r="O34" s="188">
        <f>opex_orig!O34</f>
        <v>4.18319E-4</v>
      </c>
      <c r="P34" s="188">
        <f>opex_orig!P34</f>
        <v>9.1674400000000004E-4</v>
      </c>
      <c r="Q34" s="188">
        <f>opex_orig!Q34</f>
        <v>3.1717799999999999E-4</v>
      </c>
      <c r="R34" s="188">
        <f>opex_orig!R34</f>
        <v>4.6719099999999999E-4</v>
      </c>
      <c r="S34" s="188">
        <f>opex_orig!S34</f>
        <v>4.4961399999999998E-4</v>
      </c>
      <c r="T34" s="188">
        <f>opex_orig!T34</f>
        <v>5.8620999999999999E-4</v>
      </c>
      <c r="U34" s="188">
        <f>opex_orig!U34</f>
        <v>1.0581589999999999E-3</v>
      </c>
      <c r="V34" s="188">
        <f>opex_orig!V34</f>
        <v>1.476694E-3</v>
      </c>
      <c r="W34" s="188">
        <f>opex_orig!W34</f>
        <v>3.1626499999999998E-4</v>
      </c>
      <c r="X34" s="188">
        <f>opex_orig!X34</f>
        <v>1.8941300000000001E-4</v>
      </c>
      <c r="Y34" s="188">
        <f>opex_orig!Y34</f>
        <v>1.569396E-3</v>
      </c>
      <c r="Z34" s="188">
        <f>opex_orig!Z34</f>
        <v>1.4186610000000001E-3</v>
      </c>
      <c r="AA34" s="188">
        <f>opex_orig!AA34</f>
        <v>8.2014100000000003E-4</v>
      </c>
      <c r="AB34" s="188">
        <f>opex_orig!$AB34</f>
        <v>1.6858694531621499E-3</v>
      </c>
      <c r="AC34" s="188">
        <f>opex_orig!$AB34</f>
        <v>1.6858694531621499E-3</v>
      </c>
      <c r="AD34" s="188">
        <f>opex_orig!$AB34</f>
        <v>1.6858694531621499E-3</v>
      </c>
      <c r="AE34" s="188">
        <f>opex_orig!$AC34</f>
        <v>1.6014469324412499E-3</v>
      </c>
      <c r="AF34" s="188">
        <f>opex_orig!$AD34</f>
        <v>1.10386798288958E-3</v>
      </c>
      <c r="AG34" s="188">
        <f>opex_orig!$AD34</f>
        <v>1.10386798288958E-3</v>
      </c>
      <c r="AH34" s="188">
        <f>opex_orig!$AD34</f>
        <v>1.10386798288958E-3</v>
      </c>
      <c r="AI34" s="188">
        <f>opex_orig!AE34</f>
        <v>1.03199E-3</v>
      </c>
      <c r="AJ34" s="188">
        <f>opex_orig!AF34</f>
        <v>1.1336156999999999E-2</v>
      </c>
      <c r="AK34" s="188">
        <f>opex_orig!AG34</f>
        <v>3.5931500000000002E-4</v>
      </c>
      <c r="AL34" s="188">
        <f>opex_orig!AH34</f>
        <v>3.2010626E-2</v>
      </c>
      <c r="AM34" s="188">
        <f>opex_orig!AI34</f>
        <v>2.1507449999999999E-3</v>
      </c>
      <c r="AN34" s="188">
        <f>opex_orig!AJ34</f>
        <v>4.6189886999999999E-2</v>
      </c>
      <c r="AO34" s="188">
        <f>opex_orig!AK34</f>
        <v>4.0445801000000003E-2</v>
      </c>
      <c r="AP34" s="340">
        <f>opex_concordance!M438</f>
        <v>6.4188829194859104E-2</v>
      </c>
      <c r="AQ34" s="340">
        <f>opex_concordance!M492</f>
        <v>5.1658564157921548E-2</v>
      </c>
      <c r="AR34" s="340">
        <f>opex_concordance!M546</f>
        <v>5.669075973821066E-2</v>
      </c>
      <c r="AS34" s="188">
        <f>opex_orig!$AM34</f>
        <v>6.1428413510679902E-2</v>
      </c>
      <c r="AT34" s="188">
        <f>opex_orig!AN34</f>
        <v>4.8941569999999997E-3</v>
      </c>
      <c r="AU34" s="188">
        <f>opex_orig!$AO34</f>
        <v>4.1076245809831798E-3</v>
      </c>
      <c r="AV34" s="188">
        <f>opex_orig!$AO34</f>
        <v>4.1076245809831798E-3</v>
      </c>
      <c r="AW34" s="188">
        <f>opex_orig!$AO34</f>
        <v>4.1076245809831798E-3</v>
      </c>
      <c r="AX34" s="188">
        <f>opex_orig!$AP34</f>
        <v>3.2200671927913602E-3</v>
      </c>
      <c r="AY34" s="188">
        <f>opex_orig!AQ34</f>
        <v>2.865088E-3</v>
      </c>
      <c r="AZ34" s="188">
        <f>opex_orig!AR34</f>
        <v>0</v>
      </c>
      <c r="BA34" s="188">
        <f>opex_orig!AS34</f>
        <v>2.8520189999999999E-3</v>
      </c>
      <c r="BB34" s="188">
        <f>opex_orig!AT34</f>
        <v>3.0595000000000002E-3</v>
      </c>
      <c r="BC34" s="188">
        <f>opex_orig!AU34</f>
        <v>4.9773559999999996E-3</v>
      </c>
      <c r="BD34" s="188">
        <f>opex_orig!AV34</f>
        <v>5.1098410000000004E-3</v>
      </c>
      <c r="BE34" s="188">
        <f>opex_orig!AW34</f>
        <v>1.9797700000000001E-3</v>
      </c>
      <c r="BF34" s="188">
        <f>opex_orig!AX34</f>
        <v>0</v>
      </c>
      <c r="BG34" s="188">
        <f>opex_orig!AY34</f>
        <v>3.3815479999999998E-3</v>
      </c>
      <c r="BH34" s="188">
        <f>opex_orig!AZ34</f>
        <v>0</v>
      </c>
      <c r="BI34" s="188">
        <f>opex_orig!BA34</f>
        <v>7.6865630000000004E-3</v>
      </c>
      <c r="BJ34" s="188">
        <f>opex_orig!BB34</f>
        <v>5.99198E-4</v>
      </c>
      <c r="BK34" s="188">
        <f>opex_orig!BC34</f>
        <v>1.150875E-3</v>
      </c>
      <c r="BL34" s="188">
        <f>opex_orig!BD34</f>
        <v>1.7491800000000001E-4</v>
      </c>
      <c r="BM34" s="188">
        <f>opex_orig!BE34</f>
        <v>2.8999849999999999E-3</v>
      </c>
      <c r="BN34" s="188">
        <f>opex_orig!BF34</f>
        <v>7.6851700000000003E-4</v>
      </c>
      <c r="BO34" s="188">
        <f>opex_orig!BG34</f>
        <v>8.0975199999999995E-4</v>
      </c>
      <c r="BP34" s="188">
        <f>opex_orig!$BH34</f>
        <v>2.5384749258750499E-4</v>
      </c>
      <c r="BQ34" s="188">
        <f>opex_orig!$BH34</f>
        <v>2.5384749258750499E-4</v>
      </c>
      <c r="BR34" s="188">
        <f>opex_orig!BI34</f>
        <v>4.67501E-4</v>
      </c>
      <c r="BS34" s="188">
        <f>opex_orig!BJ34</f>
        <v>4.2617499999999999E-4</v>
      </c>
      <c r="BT34" s="188">
        <f>opex_orig!BK34</f>
        <v>2.5665129999999999E-3</v>
      </c>
      <c r="BU34" s="188">
        <f>opex_orig!BL34</f>
        <v>0</v>
      </c>
      <c r="BV34" s="27">
        <f>opex_orig!BM34</f>
        <v>1.62115797321454E-3</v>
      </c>
      <c r="BW34" s="27">
        <f>opex_orig!BN34</f>
        <v>3.0601200657460899E-3</v>
      </c>
      <c r="BX34" s="27">
        <f>opex_orig!BO34</f>
        <v>5.0307721206164396E-4</v>
      </c>
      <c r="BY34" s="27">
        <f>opex_orig!BP34</f>
        <v>7.2987987536962098E-4</v>
      </c>
      <c r="BZ34" s="27">
        <f>opex_orig!BQ34</f>
        <v>6.2742698975131004E-4</v>
      </c>
      <c r="CA34" s="27">
        <f>opex_orig!BR34</f>
        <v>7.7944429716747998E-4</v>
      </c>
      <c r="CB34" s="27">
        <f>opex_orig!BS34</f>
        <v>2.0880351639240898E-3</v>
      </c>
      <c r="CC34" s="27">
        <f>opex_orig!BT34</f>
        <v>2.9710660847477702E-4</v>
      </c>
      <c r="CD34" s="27">
        <f>opex_orig!BU34</f>
        <v>3.2969757225450902E-4</v>
      </c>
      <c r="CE34" s="27">
        <f>opex_orig!BV34</f>
        <v>3.2969757225450799E-4</v>
      </c>
      <c r="CF34" s="27">
        <f>opex_orig!BW34</f>
        <v>7.3590574668390706E-5</v>
      </c>
      <c r="CG34" s="27">
        <f>opex_orig!BX34</f>
        <v>1.4055352348933E-4</v>
      </c>
      <c r="CH34" s="27">
        <f>opex_orig!BY34</f>
        <v>3.6390477454428902E-4</v>
      </c>
      <c r="CI34" s="27">
        <f>opex_orig!Y34</f>
        <v>1.569396E-3</v>
      </c>
      <c r="CJ34" s="27">
        <f>opex_orig!Z34</f>
        <v>1.4186610000000001E-3</v>
      </c>
      <c r="CK34" s="27">
        <f>opex_orig!AA34</f>
        <v>8.2014100000000003E-4</v>
      </c>
      <c r="CL34" s="27">
        <f>opex_orig!AB34</f>
        <v>1.6858694531621499E-3</v>
      </c>
      <c r="CM34" s="27">
        <f>opex_orig!AC34</f>
        <v>1.6014469324412499E-3</v>
      </c>
      <c r="CN34" s="27">
        <f>opex_orig!AD34</f>
        <v>1.10386798288958E-3</v>
      </c>
      <c r="CO34" s="27">
        <f>opex_orig!AE34</f>
        <v>1.03199E-3</v>
      </c>
      <c r="CP34" s="27">
        <f>opex_orig!AF34</f>
        <v>1.1336156999999999E-2</v>
      </c>
    </row>
    <row r="35" spans="1:94" x14ac:dyDescent="0.25">
      <c r="A35" s="5" t="s">
        <v>89</v>
      </c>
      <c r="B35" s="2" t="s">
        <v>88</v>
      </c>
      <c r="C35" s="1" t="s">
        <v>326</v>
      </c>
      <c r="D35" s="188">
        <f>opex_orig!D35</f>
        <v>3.3399999999999999E-5</v>
      </c>
      <c r="E35" s="188">
        <f>opex_orig!E35</f>
        <v>5.5899999999999997E-5</v>
      </c>
      <c r="F35" s="188">
        <f>opex_orig!F35</f>
        <v>2.4064400000000001E-4</v>
      </c>
      <c r="G35" s="188">
        <f>opex_orig!G35</f>
        <v>8.2600000000000005E-6</v>
      </c>
      <c r="H35" s="188">
        <f>opex_orig!H35</f>
        <v>2.2699999999999999E-6</v>
      </c>
      <c r="I35" s="188">
        <f>opex_orig!I35</f>
        <v>6.7500000000000001E-5</v>
      </c>
      <c r="J35" s="188">
        <f>opex_orig!J35</f>
        <v>8.0199999999999998E-5</v>
      </c>
      <c r="K35" s="188">
        <f>opex_orig!K35</f>
        <v>4.4299999999999999E-6</v>
      </c>
      <c r="L35" s="188">
        <f>opex_orig!L35</f>
        <v>6.2817400000000001E-4</v>
      </c>
      <c r="M35" s="188">
        <f>opex_orig!M35</f>
        <v>3.7361799999999999E-4</v>
      </c>
      <c r="N35" s="188">
        <f>opex_orig!N35</f>
        <v>1.89326E-4</v>
      </c>
      <c r="O35" s="188">
        <f>opex_orig!O35</f>
        <v>1.1399999999999999E-5</v>
      </c>
      <c r="P35" s="188">
        <f>opex_orig!P35</f>
        <v>8.6399999999999999E-5</v>
      </c>
      <c r="Q35" s="188">
        <f>opex_orig!Q35</f>
        <v>6.8000000000000001E-6</v>
      </c>
      <c r="R35" s="188">
        <f>opex_orig!R35</f>
        <v>2.16E-5</v>
      </c>
      <c r="S35" s="188">
        <f>opex_orig!S35</f>
        <v>2.97E-5</v>
      </c>
      <c r="T35" s="188">
        <f>opex_orig!T35</f>
        <v>3.43E-5</v>
      </c>
      <c r="U35" s="188">
        <f>opex_orig!U35</f>
        <v>2.6400000000000001E-5</v>
      </c>
      <c r="V35" s="188">
        <f>opex_orig!V35</f>
        <v>3.54E-5</v>
      </c>
      <c r="W35" s="188">
        <f>opex_orig!W35</f>
        <v>1.52E-5</v>
      </c>
      <c r="X35" s="188">
        <f>opex_orig!X35</f>
        <v>5.4500000000000003E-6</v>
      </c>
      <c r="Y35" s="188">
        <f>opex_orig!Y35</f>
        <v>8.1199999999999995E-5</v>
      </c>
      <c r="Z35" s="188">
        <f>opex_orig!Z35</f>
        <v>3.8800000000000001E-5</v>
      </c>
      <c r="AA35" s="188">
        <f>opex_orig!AA35</f>
        <v>2.3799999999999999E-5</v>
      </c>
      <c r="AB35" s="188">
        <f>opex_orig!$AB35</f>
        <v>2.3914124155645398E-5</v>
      </c>
      <c r="AC35" s="188">
        <f>opex_orig!$AB35</f>
        <v>2.3914124155645398E-5</v>
      </c>
      <c r="AD35" s="188">
        <f>opex_orig!$AB35</f>
        <v>2.3914124155645398E-5</v>
      </c>
      <c r="AE35" s="188">
        <f>opex_orig!$AC35</f>
        <v>1.2628041236443699E-4</v>
      </c>
      <c r="AF35" s="188">
        <f>opex_orig!$AD35</f>
        <v>1.11389283935398E-3</v>
      </c>
      <c r="AG35" s="188">
        <f>opex_orig!$AD35</f>
        <v>1.11389283935398E-3</v>
      </c>
      <c r="AH35" s="188">
        <f>opex_orig!$AD35</f>
        <v>1.11389283935398E-3</v>
      </c>
      <c r="AI35" s="188">
        <f>opex_orig!AE35</f>
        <v>8.6029300000000004E-4</v>
      </c>
      <c r="AJ35" s="188">
        <f>opex_orig!AF35</f>
        <v>9.3089399999999999E-3</v>
      </c>
      <c r="AK35" s="188">
        <f>opex_orig!AG35</f>
        <v>1.4215199999999999E-4</v>
      </c>
      <c r="AL35" s="188">
        <f>opex_orig!AH35</f>
        <v>1.1628840000000001E-3</v>
      </c>
      <c r="AM35" s="188">
        <f>opex_orig!AI35</f>
        <v>1.6711499999999999E-4</v>
      </c>
      <c r="AN35" s="188">
        <f>opex_orig!AJ35</f>
        <v>5.2874699999999998E-4</v>
      </c>
      <c r="AO35" s="188">
        <f>opex_orig!AK35</f>
        <v>6.3113100000000005E-4</v>
      </c>
      <c r="AP35" s="188">
        <f>opex_orig!$AL35</f>
        <v>3.4357479288574098E-4</v>
      </c>
      <c r="AQ35" s="188">
        <f>opex_orig!$AL35</f>
        <v>3.4357479288574098E-4</v>
      </c>
      <c r="AR35" s="188">
        <f>opex_orig!$AL35</f>
        <v>3.4357479288574098E-4</v>
      </c>
      <c r="AS35" s="188">
        <f>opex_orig!$AM35</f>
        <v>3.0624416735736999E-4</v>
      </c>
      <c r="AT35" s="188">
        <f>opex_orig!AN35</f>
        <v>6.7784099999999999E-4</v>
      </c>
      <c r="AU35" s="188">
        <f>opex_orig!$AO35</f>
        <v>9.1363976234760198E-5</v>
      </c>
      <c r="AV35" s="188">
        <f>opex_orig!$AO35</f>
        <v>9.1363976234760198E-5</v>
      </c>
      <c r="AW35" s="188">
        <f>opex_orig!$AO35</f>
        <v>9.1363976234760198E-5</v>
      </c>
      <c r="AX35" s="188">
        <f>opex_orig!$AP35</f>
        <v>7.4420923880102002E-5</v>
      </c>
      <c r="AY35" s="188">
        <f>opex_orig!AQ35</f>
        <v>1.15269E-4</v>
      </c>
      <c r="AZ35" s="188">
        <f>opex_orig!AR35</f>
        <v>0</v>
      </c>
      <c r="BA35" s="188">
        <f>opex_orig!AS35</f>
        <v>1.3356199999999999E-4</v>
      </c>
      <c r="BB35" s="188">
        <f>opex_orig!AT35</f>
        <v>1.4289399999999999E-4</v>
      </c>
      <c r="BC35" s="188">
        <f>opex_orig!AU35</f>
        <v>1.17514E-4</v>
      </c>
      <c r="BD35" s="188">
        <f>opex_orig!AV35</f>
        <v>1.2218900000000001E-4</v>
      </c>
      <c r="BE35" s="188">
        <f>opex_orig!AW35</f>
        <v>5.9799999999999997E-5</v>
      </c>
      <c r="BF35" s="188">
        <f>opex_orig!AX35</f>
        <v>0</v>
      </c>
      <c r="BG35" s="188">
        <f>opex_orig!AY35</f>
        <v>6.0600000000000003E-5</v>
      </c>
      <c r="BH35" s="188">
        <f>opex_orig!AZ35</f>
        <v>0</v>
      </c>
      <c r="BI35" s="188">
        <f>opex_orig!BA35</f>
        <v>2.947079E-3</v>
      </c>
      <c r="BJ35" s="188">
        <f>opex_orig!BB35</f>
        <v>3.6100000000000003E-5</v>
      </c>
      <c r="BK35" s="188">
        <f>opex_orig!BC35</f>
        <v>1.0550100000000001E-4</v>
      </c>
      <c r="BL35" s="188">
        <f>opex_orig!BD35</f>
        <v>1.2300000000000001E-5</v>
      </c>
      <c r="BM35" s="188">
        <f>opex_orig!BE35</f>
        <v>4.3600000000000003E-5</v>
      </c>
      <c r="BN35" s="188">
        <f>opex_orig!BF35</f>
        <v>2.6299999999999999E-5</v>
      </c>
      <c r="BO35" s="188">
        <f>opex_orig!BG35</f>
        <v>6.2500000000000001E-5</v>
      </c>
      <c r="BP35" s="188">
        <f>opex_orig!$BH35</f>
        <v>1.2462557888889899E-5</v>
      </c>
      <c r="BQ35" s="188">
        <f>opex_orig!$BH35</f>
        <v>1.2462557888889899E-5</v>
      </c>
      <c r="BR35" s="188">
        <f>opex_orig!BI35</f>
        <v>3.6199999999999999E-5</v>
      </c>
      <c r="BS35" s="188">
        <f>opex_orig!BJ35</f>
        <v>1.469599E-3</v>
      </c>
      <c r="BT35" s="188">
        <f>opex_orig!BK35</f>
        <v>1.26558E-4</v>
      </c>
      <c r="BU35" s="188">
        <f>opex_orig!BL35</f>
        <v>0</v>
      </c>
      <c r="BV35" s="27">
        <f>opex_orig!BM35</f>
        <v>5.15522467795291E-5</v>
      </c>
      <c r="BW35" s="27">
        <f>opex_orig!BN35</f>
        <v>2.4831889486767798E-4</v>
      </c>
      <c r="BX35" s="27">
        <f>opex_orig!BO35</f>
        <v>1.14256901649986E-5</v>
      </c>
      <c r="BY35" s="27">
        <f>opex_orig!BP35</f>
        <v>1.5270325361265902E-5</v>
      </c>
      <c r="BZ35" s="27">
        <f>opex_orig!BQ35</f>
        <v>1.7266062016557099E-5</v>
      </c>
      <c r="CA35" s="27">
        <f>opex_orig!BR35</f>
        <v>1.02802650732401E-4</v>
      </c>
      <c r="CB35" s="27">
        <f>opex_orig!BS35</f>
        <v>1.5789079071686801E-4</v>
      </c>
      <c r="CC35" s="27">
        <f>opex_orig!BT35</f>
        <v>7.6707671621549604E-5</v>
      </c>
      <c r="CD35" s="27">
        <f>opex_orig!BU35</f>
        <v>9.4574932816532506E-6</v>
      </c>
      <c r="CE35" s="27">
        <f>opex_orig!BV35</f>
        <v>9.4574932816532692E-6</v>
      </c>
      <c r="CF35" s="27">
        <f>opex_orig!BW35</f>
        <v>1.04793879378905E-5</v>
      </c>
      <c r="CG35" s="27">
        <f>opex_orig!BX35</f>
        <v>9.2638879535854592E-6</v>
      </c>
      <c r="CH35" s="27">
        <f>opex_orig!BY35</f>
        <v>3.1957414290853102E-6</v>
      </c>
      <c r="CI35" s="27">
        <f>opex_orig!Y35</f>
        <v>8.1199999999999995E-5</v>
      </c>
      <c r="CJ35" s="27">
        <f>opex_orig!Z35</f>
        <v>3.8800000000000001E-5</v>
      </c>
      <c r="CK35" s="27">
        <f>opex_orig!AA35</f>
        <v>2.3799999999999999E-5</v>
      </c>
      <c r="CL35" s="27">
        <f>opex_orig!AB35</f>
        <v>2.3914124155645398E-5</v>
      </c>
      <c r="CM35" s="27">
        <f>opex_orig!AC35</f>
        <v>1.2628041236443699E-4</v>
      </c>
      <c r="CN35" s="27">
        <f>opex_orig!AD35</f>
        <v>1.11389283935398E-3</v>
      </c>
      <c r="CO35" s="27">
        <f>opex_orig!AE35</f>
        <v>8.6029300000000004E-4</v>
      </c>
      <c r="CP35" s="27">
        <f>opex_orig!AF35</f>
        <v>9.3089399999999999E-3</v>
      </c>
    </row>
    <row r="36" spans="1:94" x14ac:dyDescent="0.25">
      <c r="A36" s="5" t="s">
        <v>91</v>
      </c>
      <c r="B36" s="2" t="s">
        <v>90</v>
      </c>
      <c r="C36" s="1" t="s">
        <v>327</v>
      </c>
      <c r="D36" s="188">
        <f>opex_orig!D36</f>
        <v>8.9115199999999998E-4</v>
      </c>
      <c r="E36" s="188">
        <f>opex_orig!E36</f>
        <v>1.1169369999999999E-3</v>
      </c>
      <c r="F36" s="188">
        <f>opex_orig!F36</f>
        <v>6.838472E-3</v>
      </c>
      <c r="G36" s="188">
        <f>opex_orig!G36</f>
        <v>7.8700000000000002E-5</v>
      </c>
      <c r="H36" s="188">
        <f>opex_orig!H36</f>
        <v>2.4899999999999999E-5</v>
      </c>
      <c r="I36" s="188">
        <f>opex_orig!I36</f>
        <v>6.1936300000000005E-4</v>
      </c>
      <c r="J36" s="188">
        <f>opex_orig!J36</f>
        <v>6.4988100000000005E-4</v>
      </c>
      <c r="K36" s="188">
        <f>opex_orig!K36</f>
        <v>5.0500000000000001E-5</v>
      </c>
      <c r="L36" s="188">
        <f>opex_orig!L36</f>
        <v>1.0654587E-2</v>
      </c>
      <c r="M36" s="188">
        <f>opex_orig!M36</f>
        <v>9.7879799999999991E-4</v>
      </c>
      <c r="N36" s="188">
        <f>opex_orig!N36</f>
        <v>2.4894100000000001E-3</v>
      </c>
      <c r="O36" s="188">
        <f>opex_orig!O36</f>
        <v>1.263431E-3</v>
      </c>
      <c r="P36" s="188">
        <f>opex_orig!P36</f>
        <v>3.9776600000000003E-4</v>
      </c>
      <c r="Q36" s="188">
        <f>opex_orig!Q36</f>
        <v>4.0805799999999999E-4</v>
      </c>
      <c r="R36" s="188">
        <f>opex_orig!R36</f>
        <v>4.3490599999999999E-4</v>
      </c>
      <c r="S36" s="188">
        <f>opex_orig!S36</f>
        <v>6.5699999999999998E-5</v>
      </c>
      <c r="T36" s="188">
        <f>opex_orig!T36</f>
        <v>1.11258E-4</v>
      </c>
      <c r="U36" s="188">
        <f>opex_orig!U36</f>
        <v>1.0980399999999999E-4</v>
      </c>
      <c r="V36" s="188">
        <f>opex_orig!V36</f>
        <v>1.6589600000000001E-4</v>
      </c>
      <c r="W36" s="188">
        <f>opex_orig!W36</f>
        <v>9.6399999999999999E-5</v>
      </c>
      <c r="X36" s="188">
        <f>opex_orig!X36</f>
        <v>9.5500000000000004E-5</v>
      </c>
      <c r="Y36" s="188">
        <f>opex_orig!Y36</f>
        <v>4.9599999999999999E-5</v>
      </c>
      <c r="Z36" s="188">
        <f>opex_orig!Z36</f>
        <v>2.1403500000000001E-4</v>
      </c>
      <c r="AA36" s="188">
        <f>opex_orig!AA36</f>
        <v>1.6176600000000001E-4</v>
      </c>
      <c r="AB36" s="188">
        <f>opex_orig!$AB36</f>
        <v>5.08534392158695E-4</v>
      </c>
      <c r="AC36" s="188">
        <f>opex_orig!$AB36</f>
        <v>5.08534392158695E-4</v>
      </c>
      <c r="AD36" s="188">
        <f>opex_orig!$AB36</f>
        <v>5.08534392158695E-4</v>
      </c>
      <c r="AE36" s="188">
        <f>opex_orig!$AC36</f>
        <v>7.9959097130697504E-4</v>
      </c>
      <c r="AF36" s="188">
        <f>opex_orig!$AD36</f>
        <v>2.9042981904939599E-4</v>
      </c>
      <c r="AG36" s="188">
        <f>opex_orig!$AD36</f>
        <v>2.9042981904939599E-4</v>
      </c>
      <c r="AH36" s="188">
        <f>opex_orig!$AD36</f>
        <v>2.9042981904939599E-4</v>
      </c>
      <c r="AI36" s="188">
        <f>opex_orig!AE36</f>
        <v>2.5387400000000002E-4</v>
      </c>
      <c r="AJ36" s="188">
        <f>opex_orig!AF36</f>
        <v>3.1221200000000003E-4</v>
      </c>
      <c r="AK36" s="188">
        <f>opex_orig!AG36</f>
        <v>1.17243E-4</v>
      </c>
      <c r="AL36" s="188">
        <f>opex_orig!AH36</f>
        <v>6.8999999999999997E-5</v>
      </c>
      <c r="AM36" s="188">
        <f>opex_orig!AI36</f>
        <v>9.3900000000000006E-5</v>
      </c>
      <c r="AN36" s="188">
        <f>opex_orig!AJ36</f>
        <v>7.0699999999999997E-5</v>
      </c>
      <c r="AO36" s="188">
        <f>opex_orig!AK36</f>
        <v>1.14032E-4</v>
      </c>
      <c r="AP36" s="188">
        <f>opex_orig!$AL36</f>
        <v>6.9166382577343999E-5</v>
      </c>
      <c r="AQ36" s="188">
        <f>opex_orig!$AL36</f>
        <v>6.9166382577343999E-5</v>
      </c>
      <c r="AR36" s="188">
        <f>opex_orig!$AL36</f>
        <v>6.9166382577343999E-5</v>
      </c>
      <c r="AS36" s="188">
        <f>opex_orig!$AM36</f>
        <v>8.9835562654913895E-5</v>
      </c>
      <c r="AT36" s="188">
        <f>opex_orig!AN36</f>
        <v>9.4300000000000002E-5</v>
      </c>
      <c r="AU36" s="188">
        <f>opex_orig!$AO36</f>
        <v>4.7616318346772798E-5</v>
      </c>
      <c r="AV36" s="188">
        <f>opex_orig!$AO36</f>
        <v>4.7616318346772798E-5</v>
      </c>
      <c r="AW36" s="188">
        <f>opex_orig!$AO36</f>
        <v>4.7616318346772798E-5</v>
      </c>
      <c r="AX36" s="188">
        <f>opex_orig!$AP36</f>
        <v>7.9690036814502894E-5</v>
      </c>
      <c r="AY36" s="188">
        <f>opex_orig!AQ36</f>
        <v>1.0005699999999999E-4</v>
      </c>
      <c r="AZ36" s="188">
        <f>opex_orig!AR36</f>
        <v>0</v>
      </c>
      <c r="BA36" s="188">
        <f>opex_orig!AS36</f>
        <v>9.3399999999999993E-5</v>
      </c>
      <c r="BB36" s="188">
        <f>opex_orig!AT36</f>
        <v>7.0300000000000001E-5</v>
      </c>
      <c r="BC36" s="188">
        <f>opex_orig!AU36</f>
        <v>6.9900000000000005E-5</v>
      </c>
      <c r="BD36" s="188">
        <f>opex_orig!AV36</f>
        <v>4.3999999999999999E-5</v>
      </c>
      <c r="BE36" s="188">
        <f>opex_orig!AW36</f>
        <v>8.9300000000000002E-5</v>
      </c>
      <c r="BF36" s="188">
        <f>opex_orig!AX36</f>
        <v>0</v>
      </c>
      <c r="BG36" s="188">
        <f>opex_orig!AY36</f>
        <v>1.5091599999999999E-4</v>
      </c>
      <c r="BH36" s="188">
        <f>opex_orig!AZ36</f>
        <v>0</v>
      </c>
      <c r="BI36" s="188">
        <f>opex_orig!BA36</f>
        <v>5.3900000000000002E-5</v>
      </c>
      <c r="BJ36" s="188">
        <f>opex_orig!BB36</f>
        <v>6.1400000000000002E-5</v>
      </c>
      <c r="BK36" s="188">
        <f>opex_orig!BC36</f>
        <v>7.8999999999999996E-5</v>
      </c>
      <c r="BL36" s="188">
        <f>opex_orig!BD36</f>
        <v>8.0900000000000001E-5</v>
      </c>
      <c r="BM36" s="188">
        <f>opex_orig!BE36</f>
        <v>7.25E-5</v>
      </c>
      <c r="BN36" s="188">
        <f>opex_orig!BF36</f>
        <v>4.6900000000000002E-5</v>
      </c>
      <c r="BO36" s="188">
        <f>opex_orig!BG36</f>
        <v>1.2877900000000001E-4</v>
      </c>
      <c r="BP36" s="188">
        <f>opex_orig!$BH36</f>
        <v>7.8949740274024296E-5</v>
      </c>
      <c r="BQ36" s="188">
        <f>opex_orig!$BH36</f>
        <v>7.8949740274024296E-5</v>
      </c>
      <c r="BR36" s="188">
        <f>opex_orig!BI36</f>
        <v>7.1899999999999999E-5</v>
      </c>
      <c r="BS36" s="188">
        <f>opex_orig!BJ36</f>
        <v>8.0500000000000005E-5</v>
      </c>
      <c r="BT36" s="188">
        <f>opex_orig!BK36</f>
        <v>2.8391499999999998E-4</v>
      </c>
      <c r="BU36" s="188">
        <f>opex_orig!BL36</f>
        <v>0</v>
      </c>
      <c r="BV36" s="27">
        <f>opex_orig!BM36</f>
        <v>6.6080229003064996E-5</v>
      </c>
      <c r="BW36" s="27">
        <f>opex_orig!BN36</f>
        <v>2.5801610015121102E-4</v>
      </c>
      <c r="BX36" s="27">
        <f>opex_orig!BO36</f>
        <v>3.5254039437526797E-5</v>
      </c>
      <c r="BY36" s="27">
        <f>opex_orig!BP36</f>
        <v>1.8132612865642901E-4</v>
      </c>
      <c r="BZ36" s="27">
        <f>opex_orig!BQ36</f>
        <v>9.2129566227845696E-5</v>
      </c>
      <c r="CA36" s="27">
        <f>opex_orig!BR36</f>
        <v>6.6372237260418702E-6</v>
      </c>
      <c r="CB36" s="27">
        <f>opex_orig!BS36</f>
        <v>2.4718275648784701E-4</v>
      </c>
      <c r="CC36" s="27">
        <f>opex_orig!BT36</f>
        <v>7.09428004509033E-5</v>
      </c>
      <c r="CD36" s="27">
        <f>opex_orig!BU36</f>
        <v>2.6620843731734401E-5</v>
      </c>
      <c r="CE36" s="27">
        <f>opex_orig!BV36</f>
        <v>2.6620843731734401E-5</v>
      </c>
      <c r="CF36" s="27">
        <f>opex_orig!BW36</f>
        <v>4.72034873240872E-5</v>
      </c>
      <c r="CG36" s="27">
        <f>opex_orig!BX36</f>
        <v>9.6991227695475796E-6</v>
      </c>
      <c r="CH36" s="27">
        <f>opex_orig!BY36</f>
        <v>6.2197760602174105E-4</v>
      </c>
      <c r="CI36" s="27">
        <f>opex_orig!Y36</f>
        <v>4.9599999999999999E-5</v>
      </c>
      <c r="CJ36" s="27">
        <f>opex_orig!Z36</f>
        <v>2.1403500000000001E-4</v>
      </c>
      <c r="CK36" s="27">
        <f>opex_orig!AA36</f>
        <v>1.6176600000000001E-4</v>
      </c>
      <c r="CL36" s="27">
        <f>opex_orig!AB36</f>
        <v>5.08534392158695E-4</v>
      </c>
      <c r="CM36" s="27">
        <f>opex_orig!AC36</f>
        <v>7.9959097130697504E-4</v>
      </c>
      <c r="CN36" s="27">
        <f>opex_orig!AD36</f>
        <v>2.9042981904939599E-4</v>
      </c>
      <c r="CO36" s="27">
        <f>opex_orig!AE36</f>
        <v>2.5387400000000002E-4</v>
      </c>
      <c r="CP36" s="27">
        <f>opex_orig!AF36</f>
        <v>3.1221200000000003E-4</v>
      </c>
    </row>
    <row r="37" spans="1:94" x14ac:dyDescent="0.25">
      <c r="A37" s="5" t="s">
        <v>93</v>
      </c>
      <c r="B37" s="2" t="s">
        <v>92</v>
      </c>
      <c r="C37" s="1" t="s">
        <v>327</v>
      </c>
      <c r="D37" s="188">
        <f>opex_orig!D37</f>
        <v>5.9942199999999995E-4</v>
      </c>
      <c r="E37" s="188">
        <f>opex_orig!E37</f>
        <v>1.0181032E-2</v>
      </c>
      <c r="F37" s="188">
        <f>opex_orig!F37</f>
        <v>4.2885470000000002E-3</v>
      </c>
      <c r="G37" s="188">
        <f>opex_orig!G37</f>
        <v>1.7132599999999999E-4</v>
      </c>
      <c r="H37" s="188">
        <f>opex_orig!H37</f>
        <v>1.7034400000000001E-4</v>
      </c>
      <c r="I37" s="188">
        <f>opex_orig!I37</f>
        <v>8.19216E-4</v>
      </c>
      <c r="J37" s="188">
        <f>opex_orig!J37</f>
        <v>1.529704E-3</v>
      </c>
      <c r="K37" s="188">
        <f>opex_orig!K37</f>
        <v>3.7936300000000002E-4</v>
      </c>
      <c r="L37" s="188">
        <f>opex_orig!L37</f>
        <v>1.7054219999999998E-2</v>
      </c>
      <c r="M37" s="188">
        <f>opex_orig!M37</f>
        <v>2.1486370000000001E-3</v>
      </c>
      <c r="N37" s="188">
        <f>opex_orig!N37</f>
        <v>1.1645343000000001E-2</v>
      </c>
      <c r="O37" s="188">
        <f>opex_orig!O37</f>
        <v>2.4725459999999999E-3</v>
      </c>
      <c r="P37" s="188">
        <f>opex_orig!P37</f>
        <v>8.8837599999999997E-4</v>
      </c>
      <c r="Q37" s="188">
        <f>opex_orig!Q37</f>
        <v>6.9471099999999998E-4</v>
      </c>
      <c r="R37" s="188">
        <f>opex_orig!R37</f>
        <v>1.1300780000000001E-3</v>
      </c>
      <c r="S37" s="188">
        <f>opex_orig!S37</f>
        <v>3.5453200000000001E-4</v>
      </c>
      <c r="T37" s="188">
        <f>opex_orig!T37</f>
        <v>7.5299600000000003E-4</v>
      </c>
      <c r="U37" s="188">
        <f>opex_orig!U37</f>
        <v>4.6707200000000002E-4</v>
      </c>
      <c r="V37" s="188">
        <f>opex_orig!V37</f>
        <v>6.2480100000000002E-4</v>
      </c>
      <c r="W37" s="188">
        <f>opex_orig!W37</f>
        <v>2.8098799999999997E-4</v>
      </c>
      <c r="X37" s="188">
        <f>opex_orig!X37</f>
        <v>4.3299799999999998E-4</v>
      </c>
      <c r="Y37" s="188">
        <f>opex_orig!Y37</f>
        <v>3.5974100000000001E-4</v>
      </c>
      <c r="Z37" s="188">
        <f>opex_orig!Z37</f>
        <v>2.0781400000000001E-4</v>
      </c>
      <c r="AA37" s="188">
        <f>opex_orig!AA37</f>
        <v>1.106686E-3</v>
      </c>
      <c r="AB37" s="188">
        <f>opex_orig!$AB37</f>
        <v>1.0890404676379901E-3</v>
      </c>
      <c r="AC37" s="188">
        <f>opex_orig!$AB37</f>
        <v>1.0890404676379901E-3</v>
      </c>
      <c r="AD37" s="188">
        <f>opex_orig!$AB37</f>
        <v>1.0890404676379901E-3</v>
      </c>
      <c r="AE37" s="188">
        <f>opex_orig!$AC37</f>
        <v>2.6765512889738601E-3</v>
      </c>
      <c r="AF37" s="188">
        <f>opex_orig!$AD37</f>
        <v>6.99452959996311E-4</v>
      </c>
      <c r="AG37" s="188">
        <f>opex_orig!$AD37</f>
        <v>6.99452959996311E-4</v>
      </c>
      <c r="AH37" s="188">
        <f>opex_orig!$AD37</f>
        <v>6.99452959996311E-4</v>
      </c>
      <c r="AI37" s="188">
        <f>opex_orig!AE37</f>
        <v>4.9685099999999998E-4</v>
      </c>
      <c r="AJ37" s="188">
        <f>opex_orig!AF37</f>
        <v>1.781707E-3</v>
      </c>
      <c r="AK37" s="188">
        <f>opex_orig!AG37</f>
        <v>7.8961600000000004E-4</v>
      </c>
      <c r="AL37" s="188">
        <f>opex_orig!AH37</f>
        <v>2.6904499999999998E-4</v>
      </c>
      <c r="AM37" s="188">
        <f>opex_orig!AI37</f>
        <v>5.2042400000000002E-4</v>
      </c>
      <c r="AN37" s="188">
        <f>opex_orig!AJ37</f>
        <v>2.7947699999999998E-4</v>
      </c>
      <c r="AO37" s="188">
        <f>opex_orig!AK37</f>
        <v>6.2777600000000003E-4</v>
      </c>
      <c r="AP37" s="188">
        <f>opex_orig!$AL37</f>
        <v>3.2157478218731398E-4</v>
      </c>
      <c r="AQ37" s="188">
        <f>opex_orig!$AL37</f>
        <v>3.2157478218731398E-4</v>
      </c>
      <c r="AR37" s="188">
        <f>opex_orig!$AL37</f>
        <v>3.2157478218731398E-4</v>
      </c>
      <c r="AS37" s="188">
        <f>opex_orig!$AM37</f>
        <v>5.0176333488626305E-4</v>
      </c>
      <c r="AT37" s="188">
        <f>opex_orig!AN37</f>
        <v>4.9551399999999996E-4</v>
      </c>
      <c r="AU37" s="188">
        <f>opex_orig!$AO37</f>
        <v>2.4034740308726801E-4</v>
      </c>
      <c r="AV37" s="188">
        <f>opex_orig!$AO37</f>
        <v>2.4034740308726801E-4</v>
      </c>
      <c r="AW37" s="188">
        <f>opex_orig!$AO37</f>
        <v>2.4034740308726801E-4</v>
      </c>
      <c r="AX37" s="188">
        <f>opex_orig!$AP37</f>
        <v>3.97525087486422E-4</v>
      </c>
      <c r="AY37" s="188">
        <f>opex_orig!AQ37</f>
        <v>4.9818300000000002E-4</v>
      </c>
      <c r="AZ37" s="188">
        <f>opex_orig!AR37</f>
        <v>0</v>
      </c>
      <c r="BA37" s="188">
        <f>opex_orig!AS37</f>
        <v>5.0688299999999996E-4</v>
      </c>
      <c r="BB37" s="188">
        <f>opex_orig!AT37</f>
        <v>4.2182599999999998E-4</v>
      </c>
      <c r="BC37" s="188">
        <f>opex_orig!AU37</f>
        <v>2.7742799999999997E-4</v>
      </c>
      <c r="BD37" s="188">
        <f>opex_orig!AV37</f>
        <v>2.23169E-4</v>
      </c>
      <c r="BE37" s="188">
        <f>opex_orig!AW37</f>
        <v>5.8770399999999998E-4</v>
      </c>
      <c r="BF37" s="188">
        <f>opex_orig!AX37</f>
        <v>0</v>
      </c>
      <c r="BG37" s="188">
        <f>opex_orig!AY37</f>
        <v>1.1394630000000001E-3</v>
      </c>
      <c r="BH37" s="188">
        <f>opex_orig!AZ37</f>
        <v>0</v>
      </c>
      <c r="BI37" s="188">
        <f>opex_orig!BA37</f>
        <v>2.32773E-4</v>
      </c>
      <c r="BJ37" s="188">
        <f>opex_orig!BB37</f>
        <v>1.7013799999999999E-4</v>
      </c>
      <c r="BK37" s="188">
        <f>opex_orig!BC37</f>
        <v>2.8394899999999997E-4</v>
      </c>
      <c r="BL37" s="188">
        <f>opex_orig!BD37</f>
        <v>1.6661200000000001E-4</v>
      </c>
      <c r="BM37" s="188">
        <f>opex_orig!BE37</f>
        <v>1.4836E-4</v>
      </c>
      <c r="BN37" s="188">
        <f>opex_orig!BF37</f>
        <v>2.0826199999999999E-4</v>
      </c>
      <c r="BO37" s="188">
        <f>opex_orig!BG37</f>
        <v>5.90962E-4</v>
      </c>
      <c r="BP37" s="188">
        <f>opex_orig!$BH37</f>
        <v>3.0517123328212698E-4</v>
      </c>
      <c r="BQ37" s="188">
        <f>opex_orig!$BH37</f>
        <v>3.0517123328212698E-4</v>
      </c>
      <c r="BR37" s="188">
        <f>opex_orig!BI37</f>
        <v>2.4579300000000001E-4</v>
      </c>
      <c r="BS37" s="188">
        <f>opex_orig!BJ37</f>
        <v>3.0181000000000001E-4</v>
      </c>
      <c r="BT37" s="188">
        <f>opex_orig!BK37</f>
        <v>4.9648800000000001E-4</v>
      </c>
      <c r="BU37" s="188">
        <f>opex_orig!BL37</f>
        <v>0</v>
      </c>
      <c r="BV37" s="27">
        <f>opex_orig!BM37</f>
        <v>2.3018410114402301E-4</v>
      </c>
      <c r="BW37" s="27">
        <f>opex_orig!BN37</f>
        <v>7.6040799804422295E-4</v>
      </c>
      <c r="BX37" s="27">
        <f>opex_orig!BO37</f>
        <v>7.9063451608296601E-5</v>
      </c>
      <c r="BY37" s="27">
        <f>opex_orig!BP37</f>
        <v>4.3722537212892199E-4</v>
      </c>
      <c r="BZ37" s="27">
        <f>opex_orig!BQ37</f>
        <v>3.6522529730801301E-4</v>
      </c>
      <c r="CA37" s="27">
        <f>opex_orig!BR37</f>
        <v>2.9899100813160201E-5</v>
      </c>
      <c r="CB37" s="27">
        <f>opex_orig!BS37</f>
        <v>1.3632621342988701E-3</v>
      </c>
      <c r="CC37" s="27">
        <f>opex_orig!BT37</f>
        <v>2.6841829413253E-5</v>
      </c>
      <c r="CD37" s="27">
        <f>opex_orig!BU37</f>
        <v>1.3309271554056801E-4</v>
      </c>
      <c r="CE37" s="27">
        <f>opex_orig!BV37</f>
        <v>1.3309271554056801E-4</v>
      </c>
      <c r="CF37" s="27">
        <f>opex_orig!BW37</f>
        <v>2.1142417778256901E-4</v>
      </c>
      <c r="CG37" s="27">
        <f>opex_orig!BX37</f>
        <v>6.4499909462131703E-6</v>
      </c>
      <c r="CH37" s="27">
        <f>opex_orig!BY37</f>
        <v>1.4489163343161499E-4</v>
      </c>
      <c r="CI37" s="27">
        <f>opex_orig!Y37</f>
        <v>3.5974100000000001E-4</v>
      </c>
      <c r="CJ37" s="27">
        <f>opex_orig!Z37</f>
        <v>2.0781400000000001E-4</v>
      </c>
      <c r="CK37" s="27">
        <f>opex_orig!AA37</f>
        <v>1.106686E-3</v>
      </c>
      <c r="CL37" s="27">
        <f>opex_orig!AB37</f>
        <v>1.0890404676379901E-3</v>
      </c>
      <c r="CM37" s="27">
        <f>opex_orig!AC37</f>
        <v>2.6765512889738601E-3</v>
      </c>
      <c r="CN37" s="27">
        <f>opex_orig!AD37</f>
        <v>6.99452959996311E-4</v>
      </c>
      <c r="CO37" s="27">
        <f>opex_orig!AE37</f>
        <v>4.9685099999999998E-4</v>
      </c>
      <c r="CP37" s="27">
        <f>opex_orig!AF37</f>
        <v>1.781707E-3</v>
      </c>
    </row>
    <row r="38" spans="1:94" x14ac:dyDescent="0.25">
      <c r="A38" s="5" t="s">
        <v>95</v>
      </c>
      <c r="B38" s="2" t="s">
        <v>94</v>
      </c>
      <c r="C38" s="1" t="s">
        <v>327</v>
      </c>
      <c r="D38" s="188">
        <f>opex_orig!D38</f>
        <v>4.5500000000000001E-5</v>
      </c>
      <c r="E38" s="188">
        <f>opex_orig!E38</f>
        <v>7.2899999999999997E-5</v>
      </c>
      <c r="F38" s="188">
        <f>opex_orig!F38</f>
        <v>3.2922600000000001E-4</v>
      </c>
      <c r="G38" s="188">
        <f>opex_orig!G38</f>
        <v>7.3599999999999998E-6</v>
      </c>
      <c r="H38" s="188">
        <f>opex_orig!H38</f>
        <v>3.5899999999999999E-6</v>
      </c>
      <c r="I38" s="188">
        <f>opex_orig!I38</f>
        <v>3.4799999999999999E-5</v>
      </c>
      <c r="J38" s="188">
        <f>opex_orig!J38</f>
        <v>1.1029799999999999E-4</v>
      </c>
      <c r="K38" s="188">
        <f>opex_orig!K38</f>
        <v>5.5199999999999997E-6</v>
      </c>
      <c r="L38" s="188">
        <f>opex_orig!L38</f>
        <v>4.7808799999999999E-4</v>
      </c>
      <c r="M38" s="188">
        <f>opex_orig!M38</f>
        <v>6.05E-5</v>
      </c>
      <c r="N38" s="188">
        <f>opex_orig!N38</f>
        <v>9.0593800000000001E-4</v>
      </c>
      <c r="O38" s="188">
        <f>opex_orig!O38</f>
        <v>1.2040300000000001E-4</v>
      </c>
      <c r="P38" s="188">
        <f>opex_orig!P38</f>
        <v>7.6500000000000003E-5</v>
      </c>
      <c r="Q38" s="188">
        <f>opex_orig!Q38</f>
        <v>1.35876E-4</v>
      </c>
      <c r="R38" s="188">
        <f>opex_orig!R38</f>
        <v>1.2889600000000001E-4</v>
      </c>
      <c r="S38" s="188">
        <f>opex_orig!S38</f>
        <v>3.96E-5</v>
      </c>
      <c r="T38" s="188">
        <f>opex_orig!T38</f>
        <v>3.9799999999999998E-5</v>
      </c>
      <c r="U38" s="188">
        <f>opex_orig!U38</f>
        <v>4.8699999999999998E-5</v>
      </c>
      <c r="V38" s="188">
        <f>opex_orig!V38</f>
        <v>7.0400000000000004E-5</v>
      </c>
      <c r="W38" s="188">
        <f>opex_orig!W38</f>
        <v>3.9799999999999998E-5</v>
      </c>
      <c r="X38" s="188">
        <f>opex_orig!X38</f>
        <v>2.72E-5</v>
      </c>
      <c r="Y38" s="188">
        <f>opex_orig!Y38</f>
        <v>8.5399999999999996E-6</v>
      </c>
      <c r="Z38" s="188">
        <f>opex_orig!Z38</f>
        <v>1.39214E-4</v>
      </c>
      <c r="AA38" s="188">
        <f>opex_orig!AA38</f>
        <v>2.6699999999999998E-5</v>
      </c>
      <c r="AB38" s="188">
        <f>opex_orig!$AB38</f>
        <v>4.4897929942433202E-4</v>
      </c>
      <c r="AC38" s="188">
        <f>opex_orig!$AB38</f>
        <v>4.4897929942433202E-4</v>
      </c>
      <c r="AD38" s="188">
        <f>opex_orig!$AB38</f>
        <v>4.4897929942433202E-4</v>
      </c>
      <c r="AE38" s="188">
        <f>opex_orig!$AC38</f>
        <v>4.2336191851296602E-4</v>
      </c>
      <c r="AF38" s="188">
        <f>opex_orig!$AD38</f>
        <v>2.02183578993548E-4</v>
      </c>
      <c r="AG38" s="188">
        <f>opex_orig!$AD38</f>
        <v>2.02183578993548E-4</v>
      </c>
      <c r="AH38" s="188">
        <f>opex_orig!$AD38</f>
        <v>2.02183578993548E-4</v>
      </c>
      <c r="AI38" s="188">
        <f>opex_orig!AE38</f>
        <v>1.8769300000000001E-4</v>
      </c>
      <c r="AJ38" s="188">
        <f>opex_orig!AF38</f>
        <v>3.2254799999999998E-4</v>
      </c>
      <c r="AK38" s="188">
        <f>opex_orig!AG38</f>
        <v>8.6799999999999996E-5</v>
      </c>
      <c r="AL38" s="188">
        <f>opex_orig!AH38</f>
        <v>6.9200000000000002E-5</v>
      </c>
      <c r="AM38" s="188">
        <f>opex_orig!AI38</f>
        <v>2.4499999999999999E-5</v>
      </c>
      <c r="AN38" s="188">
        <f>opex_orig!AJ38</f>
        <v>4.3000000000000002E-5</v>
      </c>
      <c r="AO38" s="188">
        <f>opex_orig!AK38</f>
        <v>3.6600000000000002E-5</v>
      </c>
      <c r="AP38" s="188">
        <f>opex_orig!$AL38</f>
        <v>3.1692626215953903E-5</v>
      </c>
      <c r="AQ38" s="188">
        <f>opex_orig!$AL38</f>
        <v>3.1692626215953903E-5</v>
      </c>
      <c r="AR38" s="188">
        <f>opex_orig!$AL38</f>
        <v>3.1692626215953903E-5</v>
      </c>
      <c r="AS38" s="188">
        <f>opex_orig!$AM38</f>
        <v>2.2795440304493499E-5</v>
      </c>
      <c r="AT38" s="188">
        <f>opex_orig!AN38</f>
        <v>4.46E-5</v>
      </c>
      <c r="AU38" s="188">
        <f>opex_orig!$AO38</f>
        <v>3.76943327412314E-5</v>
      </c>
      <c r="AV38" s="188">
        <f>opex_orig!$AO38</f>
        <v>3.76943327412314E-5</v>
      </c>
      <c r="AW38" s="188">
        <f>opex_orig!$AO38</f>
        <v>3.76943327412314E-5</v>
      </c>
      <c r="AX38" s="188">
        <f>opex_orig!$AP38</f>
        <v>4.46832039584569E-5</v>
      </c>
      <c r="AY38" s="188">
        <f>opex_orig!AQ38</f>
        <v>4.9599999999999999E-5</v>
      </c>
      <c r="AZ38" s="188">
        <f>opex_orig!AR38</f>
        <v>0</v>
      </c>
      <c r="BA38" s="188">
        <f>opex_orig!AS38</f>
        <v>5.5699999999999999E-5</v>
      </c>
      <c r="BB38" s="188">
        <f>opex_orig!AT38</f>
        <v>4.18E-5</v>
      </c>
      <c r="BC38" s="188">
        <f>opex_orig!AU38</f>
        <v>3.4999999999999997E-5</v>
      </c>
      <c r="BD38" s="188">
        <f>opex_orig!AV38</f>
        <v>9.6600000000000007E-6</v>
      </c>
      <c r="BE38" s="188">
        <f>opex_orig!AW38</f>
        <v>1.3677700000000001E-4</v>
      </c>
      <c r="BF38" s="188">
        <f>opex_orig!AX38</f>
        <v>0</v>
      </c>
      <c r="BG38" s="188">
        <f>opex_orig!AY38</f>
        <v>2.4600000000000002E-5</v>
      </c>
      <c r="BH38" s="188">
        <f>opex_orig!AZ38</f>
        <v>0</v>
      </c>
      <c r="BI38" s="188">
        <f>opex_orig!BA38</f>
        <v>4.1199999999999999E-5</v>
      </c>
      <c r="BJ38" s="188">
        <f>opex_orig!BB38</f>
        <v>2.2900000000000001E-5</v>
      </c>
      <c r="BK38" s="188">
        <f>opex_orig!BC38</f>
        <v>5.1600000000000001E-5</v>
      </c>
      <c r="BL38" s="188">
        <f>opex_orig!BD38</f>
        <v>8.4400000000000005E-5</v>
      </c>
      <c r="BM38" s="188">
        <f>opex_orig!BE38</f>
        <v>7.1400000000000001E-5</v>
      </c>
      <c r="BN38" s="188">
        <f>opex_orig!BF38</f>
        <v>6.9300000000000004E-5</v>
      </c>
      <c r="BO38" s="188">
        <f>opex_orig!BG38</f>
        <v>1.04694E-4</v>
      </c>
      <c r="BP38" s="188">
        <f>opex_orig!$BH38</f>
        <v>3.5790768720660702E-5</v>
      </c>
      <c r="BQ38" s="188">
        <f>opex_orig!$BH38</f>
        <v>3.5790768720660702E-5</v>
      </c>
      <c r="BR38" s="188">
        <f>opex_orig!BI38</f>
        <v>7.5699999999999997E-5</v>
      </c>
      <c r="BS38" s="188">
        <f>opex_orig!BJ38</f>
        <v>7.6199999999999995E-5</v>
      </c>
      <c r="BT38" s="188">
        <f>opex_orig!BK38</f>
        <v>5.0808400000000001E-4</v>
      </c>
      <c r="BU38" s="188">
        <f>opex_orig!BL38</f>
        <v>0</v>
      </c>
      <c r="BV38" s="27">
        <f>opex_orig!BM38</f>
        <v>3.6727187574824098E-5</v>
      </c>
      <c r="BW38" s="27">
        <f>opex_orig!BN38</f>
        <v>1.7451644867169099E-4</v>
      </c>
      <c r="BX38" s="27">
        <f>opex_orig!BO38</f>
        <v>1.54043643137606E-5</v>
      </c>
      <c r="BY38" s="27">
        <f>opex_orig!BP38</f>
        <v>1.20040039423257E-4</v>
      </c>
      <c r="BZ38" s="27">
        <f>opex_orig!BQ38</f>
        <v>2.2902680287970001E-5</v>
      </c>
      <c r="CA38" s="27">
        <f>opex_orig!BR38</f>
        <v>4.1234828645181098E-6</v>
      </c>
      <c r="CB38" s="27">
        <f>opex_orig!BS38</f>
        <v>5.8071222380606402E-5</v>
      </c>
      <c r="CC38" s="27">
        <f>opex_orig!BT38</f>
        <v>1.6975760208845699E-5</v>
      </c>
      <c r="CD38" s="27">
        <f>opex_orig!BU38</f>
        <v>5.5324437050663703E-6</v>
      </c>
      <c r="CE38" s="27">
        <f>opex_orig!BV38</f>
        <v>5.5324437050663796E-6</v>
      </c>
      <c r="CF38" s="27">
        <f>opex_orig!BW38</f>
        <v>3.2503939594610297E-5</v>
      </c>
      <c r="CG38" s="27">
        <f>opex_orig!BX38</f>
        <v>8.8661626827225003E-6</v>
      </c>
      <c r="CH38" s="27">
        <f>opex_orig!BY38</f>
        <v>1.80686762497684E-4</v>
      </c>
      <c r="CI38" s="27">
        <f>opex_orig!Y38</f>
        <v>8.5399999999999996E-6</v>
      </c>
      <c r="CJ38" s="27">
        <f>opex_orig!Z38</f>
        <v>1.39214E-4</v>
      </c>
      <c r="CK38" s="27">
        <f>opex_orig!AA38</f>
        <v>2.6699999999999998E-5</v>
      </c>
      <c r="CL38" s="27">
        <f>opex_orig!AB38</f>
        <v>4.4897929942433202E-4</v>
      </c>
      <c r="CM38" s="27">
        <f>opex_orig!AC38</f>
        <v>4.2336191851296602E-4</v>
      </c>
      <c r="CN38" s="27">
        <f>opex_orig!AD38</f>
        <v>2.02183578993548E-4</v>
      </c>
      <c r="CO38" s="27">
        <f>opex_orig!AE38</f>
        <v>1.8769300000000001E-4</v>
      </c>
      <c r="CP38" s="27">
        <f>opex_orig!AF38</f>
        <v>3.2254799999999998E-4</v>
      </c>
    </row>
    <row r="39" spans="1:94" x14ac:dyDescent="0.25">
      <c r="A39" s="5" t="s">
        <v>97</v>
      </c>
      <c r="B39" s="2" t="s">
        <v>96</v>
      </c>
      <c r="C39" s="1" t="s">
        <v>327</v>
      </c>
      <c r="D39" s="188">
        <f>opex_orig!D39</f>
        <v>3.6170000000000001E-4</v>
      </c>
      <c r="E39" s="188">
        <f>opex_orig!E39</f>
        <v>8.5697099999999999E-4</v>
      </c>
      <c r="F39" s="188">
        <f>opex_orig!F39</f>
        <v>5.6755299999999998E-3</v>
      </c>
      <c r="G39" s="188">
        <f>opex_orig!G39</f>
        <v>3.9115920000000002E-3</v>
      </c>
      <c r="H39" s="188">
        <f>opex_orig!H39</f>
        <v>1.1799999999999999E-6</v>
      </c>
      <c r="I39" s="188">
        <f>opex_orig!I39</f>
        <v>4.3712200000000002E-4</v>
      </c>
      <c r="J39" s="188">
        <f>opex_orig!J39</f>
        <v>1.8294606000000001E-2</v>
      </c>
      <c r="K39" s="188">
        <f>opex_orig!K39</f>
        <v>1.81E-6</v>
      </c>
      <c r="L39" s="188">
        <f>opex_orig!L39</f>
        <v>6.9846020000000003E-3</v>
      </c>
      <c r="M39" s="188">
        <f>opex_orig!M39</f>
        <v>6.2554799999999997E-4</v>
      </c>
      <c r="N39" s="188">
        <f>opex_orig!N39</f>
        <v>6.8300230000000002E-3</v>
      </c>
      <c r="O39" s="188">
        <f>opex_orig!O39</f>
        <v>7.0429100000000001E-4</v>
      </c>
      <c r="P39" s="188">
        <f>opex_orig!P39</f>
        <v>1.66286E-4</v>
      </c>
      <c r="Q39" s="188">
        <f>opex_orig!Q39</f>
        <v>1.9952199999999999E-4</v>
      </c>
      <c r="R39" s="188">
        <f>opex_orig!R39</f>
        <v>9.0912899999999995E-4</v>
      </c>
      <c r="S39" s="188">
        <f>opex_orig!S39</f>
        <v>1.24E-5</v>
      </c>
      <c r="T39" s="188">
        <f>opex_orig!T39</f>
        <v>1.7E-5</v>
      </c>
      <c r="U39" s="188">
        <f>opex_orig!U39</f>
        <v>1.2E-5</v>
      </c>
      <c r="V39" s="188">
        <f>opex_orig!V39</f>
        <v>1.33E-5</v>
      </c>
      <c r="W39" s="188">
        <f>opex_orig!W39</f>
        <v>1.0499999999999999E-5</v>
      </c>
      <c r="X39" s="188">
        <f>opex_orig!X39</f>
        <v>1.7127099999999999E-4</v>
      </c>
      <c r="Y39" s="188">
        <f>opex_orig!Y39</f>
        <v>5.4500000000000003E-6</v>
      </c>
      <c r="Z39" s="188">
        <f>opex_orig!Z39</f>
        <v>6.5500000000000006E-5</v>
      </c>
      <c r="AA39" s="188">
        <f>opex_orig!AA39</f>
        <v>8.3399999999999998E-6</v>
      </c>
      <c r="AB39" s="188">
        <f>opex_orig!$AB39</f>
        <v>4.70373126065955E-5</v>
      </c>
      <c r="AC39" s="188">
        <f>opex_orig!$AB39</f>
        <v>4.70373126065955E-5</v>
      </c>
      <c r="AD39" s="188">
        <f>opex_orig!$AB39</f>
        <v>4.70373126065955E-5</v>
      </c>
      <c r="AE39" s="188">
        <f>opex_orig!$AC39</f>
        <v>1.02657340176088E-4</v>
      </c>
      <c r="AF39" s="188">
        <f>opex_orig!$AD39</f>
        <v>9.51510827239466E-5</v>
      </c>
      <c r="AG39" s="188">
        <f>opex_orig!$AD39</f>
        <v>9.51510827239466E-5</v>
      </c>
      <c r="AH39" s="188">
        <f>opex_orig!$AD39</f>
        <v>9.51510827239466E-5</v>
      </c>
      <c r="AI39" s="188">
        <f>opex_orig!AE39</f>
        <v>1.0575E-4</v>
      </c>
      <c r="AJ39" s="188">
        <f>opex_orig!AF39</f>
        <v>7.2299999999999996E-5</v>
      </c>
      <c r="AK39" s="188">
        <f>opex_orig!AG39</f>
        <v>1.8899999999999999E-5</v>
      </c>
      <c r="AL39" s="188">
        <f>opex_orig!AH39</f>
        <v>2.7399999999999999E-5</v>
      </c>
      <c r="AM39" s="188">
        <f>opex_orig!AI39</f>
        <v>1.7200000000000001E-5</v>
      </c>
      <c r="AN39" s="188">
        <f>opex_orig!AJ39</f>
        <v>2.8099999999999999E-5</v>
      </c>
      <c r="AO39" s="188">
        <f>opex_orig!AK39</f>
        <v>1.8700000000000001E-5</v>
      </c>
      <c r="AP39" s="188">
        <f>opex_orig!$AL39</f>
        <v>1.1227597519042201E-5</v>
      </c>
      <c r="AQ39" s="188">
        <f>opex_orig!$AL39</f>
        <v>1.1227597519042201E-5</v>
      </c>
      <c r="AR39" s="188">
        <f>opex_orig!$AL39</f>
        <v>1.1227597519042201E-5</v>
      </c>
      <c r="AS39" s="188">
        <f>opex_orig!$AM39</f>
        <v>1.39399967884562E-5</v>
      </c>
      <c r="AT39" s="188">
        <f>opex_orig!AN39</f>
        <v>1.7900000000000001E-5</v>
      </c>
      <c r="AU39" s="188">
        <f>opex_orig!$AO39</f>
        <v>1.93281512225959E-5</v>
      </c>
      <c r="AV39" s="188">
        <f>opex_orig!$AO39</f>
        <v>1.93281512225959E-5</v>
      </c>
      <c r="AW39" s="188">
        <f>opex_orig!$AO39</f>
        <v>1.93281512225959E-5</v>
      </c>
      <c r="AX39" s="188">
        <f>opex_orig!$AP39</f>
        <v>9.8027047196092099E-6</v>
      </c>
      <c r="AY39" s="188">
        <f>opex_orig!AQ39</f>
        <v>1.26E-5</v>
      </c>
      <c r="AZ39" s="188">
        <f>opex_orig!AR39</f>
        <v>0</v>
      </c>
      <c r="BA39" s="188">
        <f>opex_orig!AS39</f>
        <v>1.26E-5</v>
      </c>
      <c r="BB39" s="188">
        <f>opex_orig!AT39</f>
        <v>9.2399999999999996E-6</v>
      </c>
      <c r="BC39" s="188">
        <f>opex_orig!AU39</f>
        <v>1.13E-5</v>
      </c>
      <c r="BD39" s="188">
        <f>opex_orig!AV39</f>
        <v>7.2400000000000001E-6</v>
      </c>
      <c r="BE39" s="188">
        <f>opex_orig!AW39</f>
        <v>2.34E-5</v>
      </c>
      <c r="BF39" s="188">
        <f>opex_orig!AX39</f>
        <v>0</v>
      </c>
      <c r="BG39" s="188">
        <f>opex_orig!AY39</f>
        <v>9.7799999999999995E-6</v>
      </c>
      <c r="BH39" s="188">
        <f>opex_orig!AZ39</f>
        <v>0</v>
      </c>
      <c r="BI39" s="188">
        <f>opex_orig!BA39</f>
        <v>3.1699999999999998E-5</v>
      </c>
      <c r="BJ39" s="188">
        <f>opex_orig!BB39</f>
        <v>1.4800000000000001E-5</v>
      </c>
      <c r="BK39" s="188">
        <f>opex_orig!BC39</f>
        <v>1.2099999999999999E-5</v>
      </c>
      <c r="BL39" s="188">
        <f>opex_orig!BD39</f>
        <v>7.2000000000000002E-5</v>
      </c>
      <c r="BM39" s="188">
        <f>opex_orig!BE39</f>
        <v>1.8600000000000001E-5</v>
      </c>
      <c r="BN39" s="188">
        <f>opex_orig!BF39</f>
        <v>3.1699999999999998E-5</v>
      </c>
      <c r="BO39" s="188">
        <f>opex_orig!BG39</f>
        <v>2.9348599999999997E-4</v>
      </c>
      <c r="BP39" s="188">
        <f>opex_orig!$BH39</f>
        <v>1.9730672957058001E-5</v>
      </c>
      <c r="BQ39" s="188">
        <f>opex_orig!$BH39</f>
        <v>1.9730672957058001E-5</v>
      </c>
      <c r="BR39" s="188">
        <f>opex_orig!BI39</f>
        <v>2.5599999999999999E-5</v>
      </c>
      <c r="BS39" s="188">
        <f>opex_orig!BJ39</f>
        <v>2.2099999999999998E-5</v>
      </c>
      <c r="BT39" s="188">
        <f>opex_orig!BK39</f>
        <v>7.2299999999999996E-5</v>
      </c>
      <c r="BU39" s="188">
        <f>opex_orig!BL39</f>
        <v>0</v>
      </c>
      <c r="BV39" s="27">
        <f>opex_orig!BM39</f>
        <v>1.79352521212262E-5</v>
      </c>
      <c r="BW39" s="27">
        <f>opex_orig!BN39</f>
        <v>3.7693846861225297E-5</v>
      </c>
      <c r="BX39" s="27">
        <f>opex_orig!BO39</f>
        <v>8.5319930502933993E-6</v>
      </c>
      <c r="BY39" s="27">
        <f>opex_orig!BP39</f>
        <v>1.9243851426679501E-5</v>
      </c>
      <c r="BZ39" s="27">
        <f>opex_orig!BQ39</f>
        <v>5.9608516997033797E-6</v>
      </c>
      <c r="CA39" s="27">
        <f>opex_orig!BR39</f>
        <v>1.40587549953676E-6</v>
      </c>
      <c r="CB39" s="27">
        <f>opex_orig!BS39</f>
        <v>2.90409164639782E-5</v>
      </c>
      <c r="CC39" s="27">
        <f>opex_orig!BT39</f>
        <v>3.4122546516434001E-6</v>
      </c>
      <c r="CD39" s="27">
        <f>opex_orig!BU39</f>
        <v>2.0081437339065201E-6</v>
      </c>
      <c r="CE39" s="27">
        <f>opex_orig!BV39</f>
        <v>2.0081437339065298E-6</v>
      </c>
      <c r="CF39" s="27">
        <f>opex_orig!BW39</f>
        <v>1.23511541698636E-5</v>
      </c>
      <c r="CG39" s="27">
        <f>opex_orig!BX39</f>
        <v>6.3962466752788702E-6</v>
      </c>
      <c r="CH39" s="27">
        <f>opex_orig!BY39</f>
        <v>5.2457164511223203E-5</v>
      </c>
      <c r="CI39" s="27">
        <f>opex_orig!Y39</f>
        <v>5.4500000000000003E-6</v>
      </c>
      <c r="CJ39" s="27">
        <f>opex_orig!Z39</f>
        <v>6.5500000000000006E-5</v>
      </c>
      <c r="CK39" s="27">
        <f>opex_orig!AA39</f>
        <v>8.3399999999999998E-6</v>
      </c>
      <c r="CL39" s="27">
        <f>opex_orig!AB39</f>
        <v>4.70373126065955E-5</v>
      </c>
      <c r="CM39" s="27">
        <f>opex_orig!AC39</f>
        <v>1.02657340176088E-4</v>
      </c>
      <c r="CN39" s="27">
        <f>opex_orig!AD39</f>
        <v>9.51510827239466E-5</v>
      </c>
      <c r="CO39" s="27">
        <f>opex_orig!AE39</f>
        <v>1.0575E-4</v>
      </c>
      <c r="CP39" s="27">
        <f>opex_orig!AF39</f>
        <v>7.2299999999999996E-5</v>
      </c>
    </row>
    <row r="40" spans="1:94" x14ac:dyDescent="0.25">
      <c r="A40" s="5" t="s">
        <v>99</v>
      </c>
      <c r="B40" s="2" t="s">
        <v>98</v>
      </c>
      <c r="C40" s="1" t="s">
        <v>327</v>
      </c>
      <c r="D40" s="188">
        <f>opex_orig!D40</f>
        <v>2.5925299999999998E-4</v>
      </c>
      <c r="E40" s="188">
        <f>opex_orig!E40</f>
        <v>4.5013600000000001E-4</v>
      </c>
      <c r="F40" s="188">
        <f>opex_orig!F40</f>
        <v>2.5941430000000001E-3</v>
      </c>
      <c r="G40" s="188">
        <f>opex_orig!G40</f>
        <v>5.7899999999999998E-5</v>
      </c>
      <c r="H40" s="188">
        <f>opex_orig!H40</f>
        <v>4.2899999999999999E-5</v>
      </c>
      <c r="I40" s="188">
        <f>opex_orig!I40</f>
        <v>3.04715E-4</v>
      </c>
      <c r="J40" s="188">
        <f>opex_orig!J40</f>
        <v>2.886577E-3</v>
      </c>
      <c r="K40" s="188">
        <f>opex_orig!K40</f>
        <v>9.2100000000000003E-5</v>
      </c>
      <c r="L40" s="188">
        <f>opex_orig!L40</f>
        <v>1.2556774999999999E-2</v>
      </c>
      <c r="M40" s="188">
        <f>opex_orig!M40</f>
        <v>6.6267699999999997E-4</v>
      </c>
      <c r="N40" s="188">
        <f>opex_orig!N40</f>
        <v>1.758349E-3</v>
      </c>
      <c r="O40" s="188">
        <f>opex_orig!O40</f>
        <v>5.82933E-4</v>
      </c>
      <c r="P40" s="188">
        <f>opex_orig!P40</f>
        <v>2.1138E-4</v>
      </c>
      <c r="Q40" s="188">
        <f>opex_orig!Q40</f>
        <v>2.4814200000000002E-4</v>
      </c>
      <c r="R40" s="188">
        <f>opex_orig!R40</f>
        <v>3.5800799999999999E-4</v>
      </c>
      <c r="S40" s="188">
        <f>opex_orig!S40</f>
        <v>8.9099999999999997E-5</v>
      </c>
      <c r="T40" s="188">
        <f>opex_orig!T40</f>
        <v>1.8557799999999999E-4</v>
      </c>
      <c r="U40" s="188">
        <f>opex_orig!U40</f>
        <v>1.17656E-4</v>
      </c>
      <c r="V40" s="188">
        <f>opex_orig!V40</f>
        <v>1.44089E-4</v>
      </c>
      <c r="W40" s="188">
        <f>opex_orig!W40</f>
        <v>7.0300000000000001E-5</v>
      </c>
      <c r="X40" s="188">
        <f>opex_orig!X40</f>
        <v>1.0712799999999999E-4</v>
      </c>
      <c r="Y40" s="188">
        <f>opex_orig!Y40</f>
        <v>8.8999999999999995E-5</v>
      </c>
      <c r="Z40" s="188">
        <f>opex_orig!Z40</f>
        <v>7.1500000000000003E-5</v>
      </c>
      <c r="AA40" s="188">
        <f>opex_orig!AA40</f>
        <v>2.78545E-4</v>
      </c>
      <c r="AB40" s="188">
        <f>opex_orig!$AB40</f>
        <v>2.7751497386964798E-4</v>
      </c>
      <c r="AC40" s="188">
        <f>opex_orig!$AB40</f>
        <v>2.7751497386964798E-4</v>
      </c>
      <c r="AD40" s="188">
        <f>opex_orig!$AB40</f>
        <v>2.7751497386964798E-4</v>
      </c>
      <c r="AE40" s="188">
        <f>opex_orig!$AC40</f>
        <v>4.8848037080251598E-4</v>
      </c>
      <c r="AF40" s="188">
        <f>opex_orig!$AD40</f>
        <v>1.5520945376436599E-4</v>
      </c>
      <c r="AG40" s="188">
        <f>opex_orig!$AD40</f>
        <v>1.5520945376436599E-4</v>
      </c>
      <c r="AH40" s="188">
        <f>opex_orig!$AD40</f>
        <v>1.5520945376436599E-4</v>
      </c>
      <c r="AI40" s="188">
        <f>opex_orig!AE40</f>
        <v>1.22929E-4</v>
      </c>
      <c r="AJ40" s="188">
        <f>opex_orig!AF40</f>
        <v>5.8723499999999997E-4</v>
      </c>
      <c r="AK40" s="188">
        <f>opex_orig!AG40</f>
        <v>2.2031000000000001E-4</v>
      </c>
      <c r="AL40" s="188">
        <f>opex_orig!AH40</f>
        <v>5.8999999999999998E-5</v>
      </c>
      <c r="AM40" s="188">
        <f>opex_orig!AI40</f>
        <v>1.3101500000000001E-4</v>
      </c>
      <c r="AN40" s="188">
        <f>opex_orig!AJ40</f>
        <v>6.3299999999999994E-5</v>
      </c>
      <c r="AO40" s="188">
        <f>opex_orig!AK40</f>
        <v>1.51411E-4</v>
      </c>
      <c r="AP40" s="188">
        <f>opex_orig!$AL40</f>
        <v>7.7237790407528605E-5</v>
      </c>
      <c r="AQ40" s="188">
        <f>opex_orig!$AL40</f>
        <v>7.7237790407528605E-5</v>
      </c>
      <c r="AR40" s="188">
        <f>opex_orig!$AL40</f>
        <v>7.7237790407528605E-5</v>
      </c>
      <c r="AS40" s="188">
        <f>opex_orig!$AM40</f>
        <v>1.2285847097019399E-4</v>
      </c>
      <c r="AT40" s="188">
        <f>opex_orig!AN40</f>
        <v>1.2548299999999999E-4</v>
      </c>
      <c r="AU40" s="188">
        <f>opex_orig!$AO40</f>
        <v>5.6446478323691197E-5</v>
      </c>
      <c r="AV40" s="188">
        <f>opex_orig!$AO40</f>
        <v>5.6446478323691197E-5</v>
      </c>
      <c r="AW40" s="188">
        <f>opex_orig!$AO40</f>
        <v>5.6446478323691197E-5</v>
      </c>
      <c r="AX40" s="188">
        <f>opex_orig!$AP40</f>
        <v>8.8379073486974998E-5</v>
      </c>
      <c r="AY40" s="188">
        <f>opex_orig!AQ40</f>
        <v>1.1320299999999999E-4</v>
      </c>
      <c r="AZ40" s="188">
        <f>opex_orig!AR40</f>
        <v>0</v>
      </c>
      <c r="BA40" s="188">
        <f>opex_orig!AS40</f>
        <v>1.22531E-4</v>
      </c>
      <c r="BB40" s="188">
        <f>opex_orig!AT40</f>
        <v>1.06313E-4</v>
      </c>
      <c r="BC40" s="188">
        <f>opex_orig!AU40</f>
        <v>5.0800000000000002E-5</v>
      </c>
      <c r="BD40" s="188">
        <f>opex_orig!AV40</f>
        <v>5.1E-5</v>
      </c>
      <c r="BE40" s="188">
        <f>opex_orig!AW40</f>
        <v>8.6299999999999997E-5</v>
      </c>
      <c r="BF40" s="188">
        <f>opex_orig!AX40</f>
        <v>0</v>
      </c>
      <c r="BG40" s="188">
        <f>opex_orig!AY40</f>
        <v>2.7756699999999999E-4</v>
      </c>
      <c r="BH40" s="188">
        <f>opex_orig!AZ40</f>
        <v>0</v>
      </c>
      <c r="BI40" s="188">
        <f>opex_orig!BA40</f>
        <v>5.3699999999999997E-5</v>
      </c>
      <c r="BJ40" s="188">
        <f>opex_orig!BB40</f>
        <v>4.9799999999999998E-5</v>
      </c>
      <c r="BK40" s="188">
        <f>opex_orig!BC40</f>
        <v>7.4200000000000001E-5</v>
      </c>
      <c r="BL40" s="188">
        <f>opex_orig!BD40</f>
        <v>7.4900000000000005E-5</v>
      </c>
      <c r="BM40" s="188">
        <f>opex_orig!BE40</f>
        <v>3.6399999999999997E-5</v>
      </c>
      <c r="BN40" s="188">
        <f>opex_orig!BF40</f>
        <v>4.9299999999999999E-5</v>
      </c>
      <c r="BO40" s="188">
        <f>opex_orig!BG40</f>
        <v>1.59679E-4</v>
      </c>
      <c r="BP40" s="188">
        <f>opex_orig!$BH40</f>
        <v>7.6049224855771606E-5</v>
      </c>
      <c r="BQ40" s="188">
        <f>opex_orig!$BH40</f>
        <v>7.6049224855771606E-5</v>
      </c>
      <c r="BR40" s="188">
        <f>opex_orig!BI40</f>
        <v>5.0599999999999997E-5</v>
      </c>
      <c r="BS40" s="188">
        <f>opex_orig!BJ40</f>
        <v>7.9300000000000003E-5</v>
      </c>
      <c r="BT40" s="188">
        <f>opex_orig!BK40</f>
        <v>1.83291E-4</v>
      </c>
      <c r="BU40" s="188">
        <f>opex_orig!BL40</f>
        <v>0</v>
      </c>
      <c r="BV40" s="27">
        <f>opex_orig!BM40</f>
        <v>6.8440871639733293E-5</v>
      </c>
      <c r="BW40" s="27">
        <f>opex_orig!BN40</f>
        <v>1.4652922641508501E-4</v>
      </c>
      <c r="BX40" s="27">
        <f>opex_orig!BO40</f>
        <v>2.1145171197583801E-5</v>
      </c>
      <c r="BY40" s="27">
        <f>opex_orig!BP40</f>
        <v>5.7340147095378998E-5</v>
      </c>
      <c r="BZ40" s="27">
        <f>opex_orig!BQ40</f>
        <v>8.9972418089612205E-5</v>
      </c>
      <c r="CA40" s="27">
        <f>opex_orig!BR40</f>
        <v>8.4129819216585297E-7</v>
      </c>
      <c r="CB40" s="27">
        <f>opex_orig!BS40</f>
        <v>3.4743575853558601E-4</v>
      </c>
      <c r="CC40" s="27">
        <f>opex_orig!BT40</f>
        <v>1.8054538723256999E-6</v>
      </c>
      <c r="CD40" s="27">
        <f>opex_orig!BU40</f>
        <v>3.7189795315361798E-5</v>
      </c>
      <c r="CE40" s="27">
        <f>opex_orig!BV40</f>
        <v>3.71897953153619E-5</v>
      </c>
      <c r="CF40" s="27">
        <f>opex_orig!BW40</f>
        <v>9.0611237171247204E-6</v>
      </c>
      <c r="CG40" s="27">
        <f>opex_orig!BX40</f>
        <v>1.7941261123334099E-6</v>
      </c>
      <c r="CH40" s="27">
        <f>opex_orig!BY40</f>
        <v>3.7453143762885699E-5</v>
      </c>
      <c r="CI40" s="27">
        <f>opex_orig!Y40</f>
        <v>8.8999999999999995E-5</v>
      </c>
      <c r="CJ40" s="27">
        <f>opex_orig!Z40</f>
        <v>7.1500000000000003E-5</v>
      </c>
      <c r="CK40" s="27">
        <f>opex_orig!AA40</f>
        <v>2.78545E-4</v>
      </c>
      <c r="CL40" s="27">
        <f>opex_orig!AB40</f>
        <v>2.7751497386964798E-4</v>
      </c>
      <c r="CM40" s="27">
        <f>opex_orig!AC40</f>
        <v>4.8848037080251598E-4</v>
      </c>
      <c r="CN40" s="27">
        <f>opex_orig!AD40</f>
        <v>1.5520945376436599E-4</v>
      </c>
      <c r="CO40" s="27">
        <f>opex_orig!AE40</f>
        <v>1.22929E-4</v>
      </c>
      <c r="CP40" s="27">
        <f>opex_orig!AF40</f>
        <v>5.8723499999999997E-4</v>
      </c>
    </row>
    <row r="41" spans="1:94" x14ac:dyDescent="0.25">
      <c r="A41" s="5" t="s">
        <v>101</v>
      </c>
      <c r="B41" s="2" t="s">
        <v>100</v>
      </c>
      <c r="C41" s="1" t="s">
        <v>327</v>
      </c>
      <c r="D41" s="188">
        <f>opex_orig!D41</f>
        <v>5.8129000000000004E-4</v>
      </c>
      <c r="E41" s="188">
        <f>opex_orig!E41</f>
        <v>7.2517899999999995E-4</v>
      </c>
      <c r="F41" s="188">
        <f>opex_orig!F41</f>
        <v>4.1791069999999996E-3</v>
      </c>
      <c r="G41" s="188">
        <f>opex_orig!G41</f>
        <v>3.12947E-4</v>
      </c>
      <c r="H41" s="188">
        <f>opex_orig!H41</f>
        <v>5.5899999999999997E-5</v>
      </c>
      <c r="I41" s="188">
        <f>opex_orig!I41</f>
        <v>0.14339216299999999</v>
      </c>
      <c r="J41" s="188">
        <f>opex_orig!J41</f>
        <v>2.3368219999999999E-2</v>
      </c>
      <c r="K41" s="188">
        <f>opex_orig!K41</f>
        <v>1.1943300000000001E-4</v>
      </c>
      <c r="L41" s="188">
        <f>opex_orig!L41</f>
        <v>2.2991685000000001E-2</v>
      </c>
      <c r="M41" s="188">
        <f>opex_orig!M41</f>
        <v>2.100345E-3</v>
      </c>
      <c r="N41" s="188">
        <f>opex_orig!N41</f>
        <v>1.0416409999999999E-2</v>
      </c>
      <c r="O41" s="188">
        <f>opex_orig!O41</f>
        <v>1.7608704999999999E-2</v>
      </c>
      <c r="P41" s="188">
        <f>opex_orig!P41</f>
        <v>3.8428239999999999E-3</v>
      </c>
      <c r="Q41" s="188">
        <f>opex_orig!Q41</f>
        <v>2.7951400000000002E-4</v>
      </c>
      <c r="R41" s="188">
        <f>opex_orig!R41</f>
        <v>3.2532999999999998E-4</v>
      </c>
      <c r="S41" s="188">
        <f>opex_orig!S41</f>
        <v>1.5049900000000001E-4</v>
      </c>
      <c r="T41" s="188">
        <f>opex_orig!T41</f>
        <v>2.6147399999999998E-4</v>
      </c>
      <c r="U41" s="188">
        <f>opex_orig!U41</f>
        <v>2.2167199999999999E-4</v>
      </c>
      <c r="V41" s="188">
        <f>opex_orig!V41</f>
        <v>2.6475100000000003E-4</v>
      </c>
      <c r="W41" s="188">
        <f>opex_orig!W41</f>
        <v>1.2692700000000001E-4</v>
      </c>
      <c r="X41" s="188">
        <f>opex_orig!X41</f>
        <v>1.87014E-4</v>
      </c>
      <c r="Y41" s="188">
        <f>opex_orig!Y41</f>
        <v>1.2835200000000001E-4</v>
      </c>
      <c r="Z41" s="188">
        <f>opex_orig!Z41</f>
        <v>1.6718700000000001E-4</v>
      </c>
      <c r="AA41" s="188">
        <f>opex_orig!AA41</f>
        <v>4.0565099999999998E-4</v>
      </c>
      <c r="AB41" s="188">
        <f>opex_orig!$AB41</f>
        <v>3.1692935562888298E-4</v>
      </c>
      <c r="AC41" s="188">
        <f>opex_orig!$AB41</f>
        <v>3.1692935562888298E-4</v>
      </c>
      <c r="AD41" s="188">
        <f>opex_orig!$AB41</f>
        <v>3.1692935562888298E-4</v>
      </c>
      <c r="AE41" s="188">
        <f>opex_orig!$AC41</f>
        <v>8.1549068616111598E-4</v>
      </c>
      <c r="AF41" s="188">
        <f>opex_orig!$AD41</f>
        <v>3.1174778824754598E-4</v>
      </c>
      <c r="AG41" s="188">
        <f>opex_orig!$AD41</f>
        <v>3.1174778824754598E-4</v>
      </c>
      <c r="AH41" s="188">
        <f>opex_orig!$AD41</f>
        <v>3.1174778824754598E-4</v>
      </c>
      <c r="AI41" s="188">
        <f>opex_orig!AE41</f>
        <v>2.5804499999999999E-4</v>
      </c>
      <c r="AJ41" s="188">
        <f>opex_orig!AF41</f>
        <v>7.17243E-4</v>
      </c>
      <c r="AK41" s="188">
        <f>opex_orig!AG41</f>
        <v>2.9427199999999999E-4</v>
      </c>
      <c r="AL41" s="188">
        <f>opex_orig!AH41</f>
        <v>1.06469E-4</v>
      </c>
      <c r="AM41" s="188">
        <f>opex_orig!AI41</f>
        <v>2.0567099999999999E-4</v>
      </c>
      <c r="AN41" s="188">
        <f>opex_orig!AJ41</f>
        <v>1.0932100000000001E-4</v>
      </c>
      <c r="AO41" s="188">
        <f>opex_orig!AK41</f>
        <v>2.21709E-4</v>
      </c>
      <c r="AP41" s="188">
        <f>opex_orig!$AL41</f>
        <v>1.4121644197346401E-4</v>
      </c>
      <c r="AQ41" s="188">
        <f>opex_orig!$AL41</f>
        <v>1.4121644197346401E-4</v>
      </c>
      <c r="AR41" s="188">
        <f>opex_orig!$AL41</f>
        <v>1.4121644197346401E-4</v>
      </c>
      <c r="AS41" s="188">
        <f>opex_orig!$AM41</f>
        <v>1.91634005869707E-4</v>
      </c>
      <c r="AT41" s="188">
        <f>opex_orig!AN41</f>
        <v>2.1007E-4</v>
      </c>
      <c r="AU41" s="188">
        <f>opex_orig!$AO41</f>
        <v>8.5311345708781003E-5</v>
      </c>
      <c r="AV41" s="188">
        <f>opex_orig!$AO41</f>
        <v>8.5311345708781003E-5</v>
      </c>
      <c r="AW41" s="188">
        <f>opex_orig!$AO41</f>
        <v>8.5311345708781003E-5</v>
      </c>
      <c r="AX41" s="188">
        <f>opex_orig!$AP41</f>
        <v>1.3062275479023701E-4</v>
      </c>
      <c r="AY41" s="188">
        <f>opex_orig!AQ41</f>
        <v>1.61989E-4</v>
      </c>
      <c r="AZ41" s="188">
        <f>opex_orig!AR41</f>
        <v>0</v>
      </c>
      <c r="BA41" s="188">
        <f>opex_orig!AS41</f>
        <v>1.58111E-4</v>
      </c>
      <c r="BB41" s="188">
        <f>opex_orig!AT41</f>
        <v>1.33886E-4</v>
      </c>
      <c r="BC41" s="188">
        <f>opex_orig!AU41</f>
        <v>6.7799999999999995E-5</v>
      </c>
      <c r="BD41" s="188">
        <f>opex_orig!AV41</f>
        <v>6.5699999999999998E-5</v>
      </c>
      <c r="BE41" s="188">
        <f>opex_orig!AW41</f>
        <v>1.80442E-4</v>
      </c>
      <c r="BF41" s="188">
        <f>opex_orig!AX41</f>
        <v>0</v>
      </c>
      <c r="BG41" s="188">
        <f>opex_orig!AY41</f>
        <v>3.55361E-4</v>
      </c>
      <c r="BH41" s="188">
        <f>opex_orig!AZ41</f>
        <v>0</v>
      </c>
      <c r="BI41" s="188">
        <f>opex_orig!BA41</f>
        <v>9.5199999999999997E-5</v>
      </c>
      <c r="BJ41" s="188">
        <f>opex_orig!BB41</f>
        <v>9.8900000000000005E-5</v>
      </c>
      <c r="BK41" s="188">
        <f>opex_orig!BC41</f>
        <v>1.5757299999999999E-4</v>
      </c>
      <c r="BL41" s="188">
        <f>opex_orig!BD41</f>
        <v>1.92769E-4</v>
      </c>
      <c r="BM41" s="188">
        <f>opex_orig!BE41</f>
        <v>8.6899999999999998E-5</v>
      </c>
      <c r="BN41" s="188">
        <f>opex_orig!BF41</f>
        <v>7.6199999999999995E-5</v>
      </c>
      <c r="BO41" s="188">
        <f>opex_orig!BG41</f>
        <v>3.8033700000000001E-4</v>
      </c>
      <c r="BP41" s="188">
        <f>opex_orig!$BH41</f>
        <v>1.2823655170626601E-4</v>
      </c>
      <c r="BQ41" s="188">
        <f>opex_orig!$BH41</f>
        <v>1.2823655170626601E-4</v>
      </c>
      <c r="BR41" s="188">
        <f>opex_orig!BI41</f>
        <v>9.7499999999999998E-5</v>
      </c>
      <c r="BS41" s="188">
        <f>opex_orig!BJ41</f>
        <v>2.0754899999999999E-4</v>
      </c>
      <c r="BT41" s="188">
        <f>opex_orig!BK41</f>
        <v>2.0781200000000001E-4</v>
      </c>
      <c r="BU41" s="188">
        <f>opex_orig!BL41</f>
        <v>0</v>
      </c>
      <c r="BV41" s="27">
        <f>opex_orig!BM41</f>
        <v>1.3893226498499901E-4</v>
      </c>
      <c r="BW41" s="27">
        <f>opex_orig!BN41</f>
        <v>2.6383059879564398E-4</v>
      </c>
      <c r="BX41" s="27">
        <f>opex_orig!BO41</f>
        <v>4.8987722006800101E-5</v>
      </c>
      <c r="BY41" s="27">
        <f>opex_orig!BP41</f>
        <v>1.0034361077220701E-4</v>
      </c>
      <c r="BZ41" s="27">
        <f>opex_orig!BQ41</f>
        <v>1.34046930234914E-4</v>
      </c>
      <c r="CA41" s="27">
        <f>opex_orig!BR41</f>
        <v>6.9661816290604702E-6</v>
      </c>
      <c r="CB41" s="27">
        <f>opex_orig!BS41</f>
        <v>4.5202881296952898E-4</v>
      </c>
      <c r="CC41" s="27">
        <f>opex_orig!BT41</f>
        <v>2.70423030055878E-5</v>
      </c>
      <c r="CD41" s="27">
        <f>opex_orig!BU41</f>
        <v>7.4987050592248305E-5</v>
      </c>
      <c r="CE41" s="27">
        <f>opex_orig!BV41</f>
        <v>7.49870505922484E-5</v>
      </c>
      <c r="CF41" s="27">
        <f>opex_orig!BW41</f>
        <v>1.05957784442496E-4</v>
      </c>
      <c r="CG41" s="27">
        <f>opex_orig!BX41</f>
        <v>2.0366794157958898E-6</v>
      </c>
      <c r="CH41" s="27">
        <f>opex_orig!BY41</f>
        <v>2.1201621360302599E-5</v>
      </c>
      <c r="CI41" s="27">
        <f>opex_orig!Y41</f>
        <v>1.2835200000000001E-4</v>
      </c>
      <c r="CJ41" s="27">
        <f>opex_orig!Z41</f>
        <v>1.6718700000000001E-4</v>
      </c>
      <c r="CK41" s="27">
        <f>opex_orig!AA41</f>
        <v>4.0565099999999998E-4</v>
      </c>
      <c r="CL41" s="27">
        <f>opex_orig!AB41</f>
        <v>3.1692935562888298E-4</v>
      </c>
      <c r="CM41" s="27">
        <f>opex_orig!AC41</f>
        <v>8.1549068616111598E-4</v>
      </c>
      <c r="CN41" s="27">
        <f>opex_orig!AD41</f>
        <v>3.1174778824754598E-4</v>
      </c>
      <c r="CO41" s="27">
        <f>opex_orig!AE41</f>
        <v>2.5804499999999999E-4</v>
      </c>
      <c r="CP41" s="27">
        <f>opex_orig!AF41</f>
        <v>7.17243E-4</v>
      </c>
    </row>
    <row r="42" spans="1:94" x14ac:dyDescent="0.25">
      <c r="A42" s="5" t="s">
        <v>103</v>
      </c>
      <c r="B42" s="2" t="s">
        <v>102</v>
      </c>
      <c r="C42" s="1" t="s">
        <v>327</v>
      </c>
      <c r="D42" s="188">
        <f>opex_orig!D42</f>
        <v>1.22E-5</v>
      </c>
      <c r="E42" s="188">
        <f>opex_orig!E42</f>
        <v>2.76E-5</v>
      </c>
      <c r="F42" s="188">
        <f>opex_orig!F42</f>
        <v>1.25043E-4</v>
      </c>
      <c r="G42" s="188">
        <f>opex_orig!G42</f>
        <v>1.95E-6</v>
      </c>
      <c r="H42" s="188">
        <f>opex_orig!H42</f>
        <v>7.0100000000000004E-7</v>
      </c>
      <c r="I42" s="188">
        <f>opex_orig!I42</f>
        <v>1.5299999999999999E-5</v>
      </c>
      <c r="J42" s="188">
        <f>opex_orig!J42</f>
        <v>1.4191779999999999E-2</v>
      </c>
      <c r="K42" s="188">
        <f>opex_orig!K42</f>
        <v>7.0299999999999998E-7</v>
      </c>
      <c r="L42" s="188">
        <f>opex_orig!L42</f>
        <v>3.310534E-3</v>
      </c>
      <c r="M42" s="188">
        <f>opex_orig!M42</f>
        <v>1.8499999999999999E-5</v>
      </c>
      <c r="N42" s="188">
        <f>opex_orig!N42</f>
        <v>9.7646600000000005E-4</v>
      </c>
      <c r="O42" s="188">
        <f>opex_orig!O42</f>
        <v>2.7500000000000001E-5</v>
      </c>
      <c r="P42" s="188">
        <f>opex_orig!P42</f>
        <v>2.6800000000000002E-6</v>
      </c>
      <c r="Q42" s="188">
        <f>opex_orig!Q42</f>
        <v>5.0699999999999997E-6</v>
      </c>
      <c r="R42" s="188">
        <f>opex_orig!R42</f>
        <v>7.2200000000000003E-6</v>
      </c>
      <c r="S42" s="188">
        <f>opex_orig!S42</f>
        <v>8.09E-7</v>
      </c>
      <c r="T42" s="188">
        <f>opex_orig!T42</f>
        <v>9.9199999999999999E-7</v>
      </c>
      <c r="U42" s="188">
        <f>opex_orig!U42</f>
        <v>8.3799999999999996E-7</v>
      </c>
      <c r="V42" s="188">
        <f>opex_orig!V42</f>
        <v>8.2399999999999997E-7</v>
      </c>
      <c r="W42" s="188">
        <f>opex_orig!W42</f>
        <v>1.42E-6</v>
      </c>
      <c r="X42" s="188">
        <f>opex_orig!X42</f>
        <v>1.99E-6</v>
      </c>
      <c r="Y42" s="188">
        <f>opex_orig!Y42</f>
        <v>4.0999999999999999E-7</v>
      </c>
      <c r="Z42" s="188">
        <f>opex_orig!Z42</f>
        <v>1.2899999999999999E-6</v>
      </c>
      <c r="AA42" s="188">
        <f>opex_orig!AA42</f>
        <v>9.2900000000000002E-7</v>
      </c>
      <c r="AB42" s="188">
        <f>opex_orig!$AB42</f>
        <v>2.50788993246955E-5</v>
      </c>
      <c r="AC42" s="188">
        <f>opex_orig!$AB42</f>
        <v>2.50788993246955E-5</v>
      </c>
      <c r="AD42" s="188">
        <f>opex_orig!$AB42</f>
        <v>2.50788993246955E-5</v>
      </c>
      <c r="AE42" s="188">
        <f>opex_orig!$AC42</f>
        <v>1.6334375954098401E-6</v>
      </c>
      <c r="AF42" s="188">
        <f>opex_orig!$AD42</f>
        <v>4.1687488279428897E-7</v>
      </c>
      <c r="AG42" s="188">
        <f>opex_orig!$AD42</f>
        <v>4.1687488279428897E-7</v>
      </c>
      <c r="AH42" s="188">
        <f>opex_orig!$AD42</f>
        <v>4.1687488279428897E-7</v>
      </c>
      <c r="AI42" s="188">
        <f>opex_orig!AE42</f>
        <v>4.5699999999999998E-7</v>
      </c>
      <c r="AJ42" s="188">
        <f>opex_orig!AF42</f>
        <v>1.9300000000000002E-5</v>
      </c>
      <c r="AK42" s="188">
        <f>opex_orig!AG42</f>
        <v>5.5999999999999997E-6</v>
      </c>
      <c r="AL42" s="188">
        <f>opex_orig!AH42</f>
        <v>1.37E-6</v>
      </c>
      <c r="AM42" s="188">
        <f>opex_orig!AI42</f>
        <v>5.4499999999999997E-7</v>
      </c>
      <c r="AN42" s="188">
        <f>opex_orig!AJ42</f>
        <v>4.34E-7</v>
      </c>
      <c r="AO42" s="188">
        <f>opex_orig!AK42</f>
        <v>6.5199999999999996E-7</v>
      </c>
      <c r="AP42" s="188">
        <f>opex_orig!$AL42</f>
        <v>5.1650524376581595E-7</v>
      </c>
      <c r="AQ42" s="188">
        <f>opex_orig!$AL42</f>
        <v>5.1650524376581595E-7</v>
      </c>
      <c r="AR42" s="188">
        <f>opex_orig!$AL42</f>
        <v>5.1650524376581595E-7</v>
      </c>
      <c r="AS42" s="188">
        <f>opex_orig!$AM42</f>
        <v>4.0878955327236399E-7</v>
      </c>
      <c r="AT42" s="188">
        <f>opex_orig!AN42</f>
        <v>6.8899999999999999E-7</v>
      </c>
      <c r="AU42" s="188">
        <f>opex_orig!$AO42</f>
        <v>8.7437349574312195E-7</v>
      </c>
      <c r="AV42" s="188">
        <f>opex_orig!$AO42</f>
        <v>8.7437349574312195E-7</v>
      </c>
      <c r="AW42" s="188">
        <f>opex_orig!$AO42</f>
        <v>8.7437349574312195E-7</v>
      </c>
      <c r="AX42" s="188">
        <f>opex_orig!$AP42</f>
        <v>7.7091515802774301E-7</v>
      </c>
      <c r="AY42" s="188">
        <f>opex_orig!AQ42</f>
        <v>9.9999999999999995E-7</v>
      </c>
      <c r="AZ42" s="188">
        <f>opex_orig!AR42</f>
        <v>0</v>
      </c>
      <c r="BA42" s="188">
        <f>opex_orig!AS42</f>
        <v>1.7099999999999999E-6</v>
      </c>
      <c r="BB42" s="188">
        <f>opex_orig!AT42</f>
        <v>1.35E-6</v>
      </c>
      <c r="BC42" s="188">
        <f>opex_orig!AU42</f>
        <v>2.17E-7</v>
      </c>
      <c r="BD42" s="188">
        <f>opex_orig!AV42</f>
        <v>1.37E-7</v>
      </c>
      <c r="BE42" s="188">
        <f>opex_orig!AW42</f>
        <v>7.9299999999999997E-7</v>
      </c>
      <c r="BF42" s="188">
        <f>opex_orig!AX42</f>
        <v>0</v>
      </c>
      <c r="BG42" s="188">
        <f>opex_orig!AY42</f>
        <v>3.1099999999999999E-6</v>
      </c>
      <c r="BH42" s="188">
        <f>opex_orig!AZ42</f>
        <v>0</v>
      </c>
      <c r="BI42" s="188">
        <f>opex_orig!BA42</f>
        <v>5.8400000000000004E-7</v>
      </c>
      <c r="BJ42" s="188">
        <f>opex_orig!BB42</f>
        <v>8.3699999999999999E-7</v>
      </c>
      <c r="BK42" s="188">
        <f>opex_orig!BC42</f>
        <v>1.66E-6</v>
      </c>
      <c r="BL42" s="188">
        <f>opex_orig!BD42</f>
        <v>2.1500000000000002E-6</v>
      </c>
      <c r="BM42" s="188">
        <f>opex_orig!BE42</f>
        <v>2.04E-6</v>
      </c>
      <c r="BN42" s="188">
        <f>opex_orig!BF42</f>
        <v>1.13E-6</v>
      </c>
      <c r="BO42" s="188">
        <f>opex_orig!BG42</f>
        <v>4.3800000000000001E-5</v>
      </c>
      <c r="BP42" s="188">
        <f>opex_orig!$BH42</f>
        <v>1.53241572193619E-6</v>
      </c>
      <c r="BQ42" s="188">
        <f>opex_orig!$BH42</f>
        <v>1.53241572193619E-6</v>
      </c>
      <c r="BR42" s="188">
        <f>opex_orig!BI42</f>
        <v>1.44E-6</v>
      </c>
      <c r="BS42" s="188">
        <f>opex_orig!BJ42</f>
        <v>4.16E-6</v>
      </c>
      <c r="BT42" s="188">
        <f>opex_orig!BK42</f>
        <v>1.9999999999999999E-6</v>
      </c>
      <c r="BU42" s="188">
        <f>opex_orig!BL42</f>
        <v>0</v>
      </c>
      <c r="BV42" s="27">
        <f>opex_orig!BM42</f>
        <v>8.6917305098168E-7</v>
      </c>
      <c r="BW42" s="27">
        <f>opex_orig!BN42</f>
        <v>4.5104610627546901E-6</v>
      </c>
      <c r="BX42" s="27">
        <f>opex_orig!BO42</f>
        <v>3.2363257336780501E-7</v>
      </c>
      <c r="BY42" s="27">
        <f>opex_orig!BP42</f>
        <v>4.8669753512952297E-7</v>
      </c>
      <c r="BZ42" s="27">
        <f>opex_orig!BQ42</f>
        <v>5.2968353743399605E-7</v>
      </c>
      <c r="CA42" s="27">
        <f>opex_orig!BR42</f>
        <v>1.62037678778242E-7</v>
      </c>
      <c r="CB42" s="27">
        <f>opex_orig!BS42</f>
        <v>7.5261851836934203E-6</v>
      </c>
      <c r="CC42" s="27">
        <f>opex_orig!BT42</f>
        <v>3.72837031091361E-7</v>
      </c>
      <c r="CD42" s="27">
        <f>opex_orig!BU42</f>
        <v>1.9172663076015999E-7</v>
      </c>
      <c r="CE42" s="27">
        <f>opex_orig!BV42</f>
        <v>1.9172663076015999E-7</v>
      </c>
      <c r="CF42" s="27">
        <f>opex_orig!BW42</f>
        <v>4.3298511617304499E-6</v>
      </c>
      <c r="CG42" s="27">
        <f>opex_orig!BX42</f>
        <v>3.7581093396848601E-7</v>
      </c>
      <c r="CH42" s="27">
        <f>opex_orig!BY42</f>
        <v>3.5018550971023601E-6</v>
      </c>
      <c r="CI42" s="27">
        <f>opex_orig!Y42</f>
        <v>4.0999999999999999E-7</v>
      </c>
      <c r="CJ42" s="27">
        <f>opex_orig!Z42</f>
        <v>1.2899999999999999E-6</v>
      </c>
      <c r="CK42" s="27">
        <f>opex_orig!AA42</f>
        <v>9.2900000000000002E-7</v>
      </c>
      <c r="CL42" s="27">
        <f>opex_orig!AB42</f>
        <v>2.50788993246955E-5</v>
      </c>
      <c r="CM42" s="27">
        <f>opex_orig!AC42</f>
        <v>1.6334375954098401E-6</v>
      </c>
      <c r="CN42" s="27">
        <f>opex_orig!AD42</f>
        <v>4.1687488279428897E-7</v>
      </c>
      <c r="CO42" s="27">
        <f>opex_orig!AE42</f>
        <v>4.5699999999999998E-7</v>
      </c>
      <c r="CP42" s="27">
        <f>opex_orig!AF42</f>
        <v>1.9300000000000002E-5</v>
      </c>
    </row>
    <row r="43" spans="1:94" x14ac:dyDescent="0.25">
      <c r="A43" s="5" t="s">
        <v>105</v>
      </c>
      <c r="B43" s="2" t="s">
        <v>104</v>
      </c>
      <c r="C43" s="1" t="s">
        <v>327</v>
      </c>
      <c r="D43" s="188">
        <f>opex_orig!D43</f>
        <v>1.23316E-4</v>
      </c>
      <c r="E43" s="188">
        <f>opex_orig!E43</f>
        <v>2.7858400000000001E-4</v>
      </c>
      <c r="F43" s="188">
        <f>opex_orig!F43</f>
        <v>1.5179010000000001E-3</v>
      </c>
      <c r="G43" s="188">
        <f>opex_orig!G43</f>
        <v>1.95E-5</v>
      </c>
      <c r="H43" s="188">
        <f>opex_orig!H43</f>
        <v>3.5700000000000001E-6</v>
      </c>
      <c r="I43" s="188">
        <f>opex_orig!I43</f>
        <v>3.4058500000000002E-4</v>
      </c>
      <c r="J43" s="188">
        <f>opex_orig!J43</f>
        <v>7.1799999999999997E-5</v>
      </c>
      <c r="K43" s="188">
        <f>opex_orig!K43</f>
        <v>1.6399999999999999E-5</v>
      </c>
      <c r="L43" s="188">
        <f>opex_orig!L43</f>
        <v>2.3160490000000001E-3</v>
      </c>
      <c r="M43" s="188">
        <f>opex_orig!M43</f>
        <v>1.069717E-3</v>
      </c>
      <c r="N43" s="188">
        <f>opex_orig!N43</f>
        <v>7.0145099999999996E-4</v>
      </c>
      <c r="O43" s="188">
        <f>opex_orig!O43</f>
        <v>2.05668E-4</v>
      </c>
      <c r="P43" s="188">
        <f>opex_orig!P43</f>
        <v>5.8100000000000003E-5</v>
      </c>
      <c r="Q43" s="188">
        <f>opex_orig!Q43</f>
        <v>2.2900000000000001E-5</v>
      </c>
      <c r="R43" s="188">
        <f>opex_orig!R43</f>
        <v>2.8E-5</v>
      </c>
      <c r="S43" s="188">
        <f>opex_orig!S43</f>
        <v>1.0900000000000001E-5</v>
      </c>
      <c r="T43" s="188">
        <f>opex_orig!T43</f>
        <v>1.8300000000000001E-5</v>
      </c>
      <c r="U43" s="188">
        <f>opex_orig!U43</f>
        <v>1.2500000000000001E-5</v>
      </c>
      <c r="V43" s="188">
        <f>opex_orig!V43</f>
        <v>1.4800000000000001E-5</v>
      </c>
      <c r="W43" s="188">
        <f>opex_orig!W43</f>
        <v>8.7399999999999993E-6</v>
      </c>
      <c r="X43" s="188">
        <f>opex_orig!X43</f>
        <v>1.0200000000000001E-5</v>
      </c>
      <c r="Y43" s="188">
        <f>opex_orig!Y43</f>
        <v>8.14E-6</v>
      </c>
      <c r="Z43" s="188">
        <f>opex_orig!Z43</f>
        <v>9.3200000000000006E-6</v>
      </c>
      <c r="AA43" s="188">
        <f>opex_orig!AA43</f>
        <v>2.2200000000000001E-5</v>
      </c>
      <c r="AB43" s="188">
        <f>opex_orig!$AB43</f>
        <v>4.3235524219791499E-5</v>
      </c>
      <c r="AC43" s="188">
        <f>opex_orig!$AB43</f>
        <v>4.3235524219791499E-5</v>
      </c>
      <c r="AD43" s="188">
        <f>opex_orig!$AB43</f>
        <v>4.3235524219791499E-5</v>
      </c>
      <c r="AE43" s="188">
        <f>opex_orig!$AC43</f>
        <v>6.1802105681910396E-5</v>
      </c>
      <c r="AF43" s="188">
        <f>opex_orig!$AD43</f>
        <v>2.2628106915426501E-5</v>
      </c>
      <c r="AG43" s="188">
        <f>opex_orig!$AD43</f>
        <v>2.2628106915426501E-5</v>
      </c>
      <c r="AH43" s="188">
        <f>opex_orig!$AD43</f>
        <v>2.2628106915426501E-5</v>
      </c>
      <c r="AI43" s="188">
        <f>opex_orig!AE43</f>
        <v>1.98E-5</v>
      </c>
      <c r="AJ43" s="188">
        <f>opex_orig!AF43</f>
        <v>7.4400000000000006E-5</v>
      </c>
      <c r="AK43" s="188">
        <f>opex_orig!AG43</f>
        <v>2.6400000000000001E-5</v>
      </c>
      <c r="AL43" s="188">
        <f>opex_orig!AH43</f>
        <v>1.6200000000000001E-5</v>
      </c>
      <c r="AM43" s="188">
        <f>opex_orig!AI43</f>
        <v>1.2E-5</v>
      </c>
      <c r="AN43" s="188">
        <f>opex_orig!AJ43</f>
        <v>1.03E-5</v>
      </c>
      <c r="AO43" s="188">
        <f>opex_orig!AK43</f>
        <v>1.6799999999999998E-5</v>
      </c>
      <c r="AP43" s="188">
        <f>opex_orig!$AL43</f>
        <v>8.8324777328697697E-6</v>
      </c>
      <c r="AQ43" s="188">
        <f>opex_orig!$AL43</f>
        <v>8.8324777328697697E-6</v>
      </c>
      <c r="AR43" s="188">
        <f>opex_orig!$AL43</f>
        <v>8.8324777328697697E-6</v>
      </c>
      <c r="AS43" s="188">
        <f>opex_orig!$AM43</f>
        <v>1.11937355994483E-5</v>
      </c>
      <c r="AT43" s="188">
        <f>opex_orig!AN43</f>
        <v>1.42E-5</v>
      </c>
      <c r="AU43" s="188">
        <f>opex_orig!$AO43</f>
        <v>1.0988654687501399E-5</v>
      </c>
      <c r="AV43" s="188">
        <f>opex_orig!$AO43</f>
        <v>1.0988654687501399E-5</v>
      </c>
      <c r="AW43" s="188">
        <f>opex_orig!$AO43</f>
        <v>1.0988654687501399E-5</v>
      </c>
      <c r="AX43" s="188">
        <f>opex_orig!$AP43</f>
        <v>1.24509747716503E-5</v>
      </c>
      <c r="AY43" s="188">
        <f>opex_orig!AQ43</f>
        <v>1.3200000000000001E-5</v>
      </c>
      <c r="AZ43" s="188">
        <f>opex_orig!AR43</f>
        <v>0</v>
      </c>
      <c r="BA43" s="188">
        <f>opex_orig!AS43</f>
        <v>1.4399999999999999E-5</v>
      </c>
      <c r="BB43" s="188">
        <f>opex_orig!AT43</f>
        <v>1.24E-5</v>
      </c>
      <c r="BC43" s="188">
        <f>opex_orig!AU43</f>
        <v>6.1099999999999999E-6</v>
      </c>
      <c r="BD43" s="188">
        <f>opex_orig!AV43</f>
        <v>4.2599999999999999E-6</v>
      </c>
      <c r="BE43" s="188">
        <f>opex_orig!AW43</f>
        <v>4.0599999999999998E-5</v>
      </c>
      <c r="BF43" s="188">
        <f>opex_orig!AX43</f>
        <v>0</v>
      </c>
      <c r="BG43" s="188">
        <f>opex_orig!AY43</f>
        <v>2.9E-5</v>
      </c>
      <c r="BH43" s="188">
        <f>opex_orig!AZ43</f>
        <v>0</v>
      </c>
      <c r="BI43" s="188">
        <f>opex_orig!BA43</f>
        <v>9.1800000000000002E-6</v>
      </c>
      <c r="BJ43" s="188">
        <f>opex_orig!BB43</f>
        <v>8.0499999999999992E-6</v>
      </c>
      <c r="BK43" s="188">
        <f>opex_orig!BC43</f>
        <v>1.0200000000000001E-5</v>
      </c>
      <c r="BL43" s="188">
        <f>opex_orig!BD43</f>
        <v>2.16E-5</v>
      </c>
      <c r="BM43" s="188">
        <f>opex_orig!BE43</f>
        <v>8.6400000000000003E-6</v>
      </c>
      <c r="BN43" s="188">
        <f>opex_orig!BF43</f>
        <v>6.9800000000000001E-6</v>
      </c>
      <c r="BO43" s="188">
        <f>opex_orig!BG43</f>
        <v>1.56E-5</v>
      </c>
      <c r="BP43" s="188">
        <f>opex_orig!$BH43</f>
        <v>8.7466409082964107E-6</v>
      </c>
      <c r="BQ43" s="188">
        <f>opex_orig!$BH43</f>
        <v>8.7466409082964107E-6</v>
      </c>
      <c r="BR43" s="188">
        <f>opex_orig!BI43</f>
        <v>9.1500000000000005E-6</v>
      </c>
      <c r="BS43" s="188">
        <f>opex_orig!BJ43</f>
        <v>1.2799999999999999E-5</v>
      </c>
      <c r="BT43" s="188">
        <f>opex_orig!BK43</f>
        <v>3.3699999999999999E-5</v>
      </c>
      <c r="BU43" s="188">
        <f>opex_orig!BL43</f>
        <v>0</v>
      </c>
      <c r="BV43" s="27">
        <f>opex_orig!BM43</f>
        <v>8.5428240751972993E-6</v>
      </c>
      <c r="BW43" s="27">
        <f>opex_orig!BN43</f>
        <v>2.5006533804589701E-5</v>
      </c>
      <c r="BX43" s="27">
        <f>opex_orig!BO43</f>
        <v>3.31115380479307E-6</v>
      </c>
      <c r="BY43" s="27">
        <f>opex_orig!BP43</f>
        <v>1.1590891887562799E-5</v>
      </c>
      <c r="BZ43" s="27">
        <f>opex_orig!BQ43</f>
        <v>8.2143081086572006E-6</v>
      </c>
      <c r="CA43" s="27">
        <f>opex_orig!BR43</f>
        <v>8.63197207354356E-7</v>
      </c>
      <c r="CB43" s="27">
        <f>opex_orig!BS43</f>
        <v>3.50198373864013E-5</v>
      </c>
      <c r="CC43" s="27">
        <f>opex_orig!BT43</f>
        <v>5.2326166208617902E-6</v>
      </c>
      <c r="CD43" s="27">
        <f>opex_orig!BU43</f>
        <v>3.1927490520525999E-6</v>
      </c>
      <c r="CE43" s="27">
        <f>opex_orig!BV43</f>
        <v>3.1927490520525902E-6</v>
      </c>
      <c r="CF43" s="27">
        <f>opex_orig!BW43</f>
        <v>4.9330537853015198E-6</v>
      </c>
      <c r="CG43" s="27">
        <f>opex_orig!BX43</f>
        <v>1.14151853502777E-6</v>
      </c>
      <c r="CH43" s="27">
        <f>opex_orig!BY43</f>
        <v>8.6703238164700997E-6</v>
      </c>
      <c r="CI43" s="27">
        <f>opex_orig!Y43</f>
        <v>8.14E-6</v>
      </c>
      <c r="CJ43" s="27">
        <f>opex_orig!Z43</f>
        <v>9.3200000000000006E-6</v>
      </c>
      <c r="CK43" s="27">
        <f>opex_orig!AA43</f>
        <v>2.2200000000000001E-5</v>
      </c>
      <c r="CL43" s="27">
        <f>opex_orig!AB43</f>
        <v>4.3235524219791499E-5</v>
      </c>
      <c r="CM43" s="27">
        <f>opex_orig!AC43</f>
        <v>6.1802105681910396E-5</v>
      </c>
      <c r="CN43" s="27">
        <f>opex_orig!AD43</f>
        <v>2.2628106915426501E-5</v>
      </c>
      <c r="CO43" s="27">
        <f>opex_orig!AE43</f>
        <v>1.98E-5</v>
      </c>
      <c r="CP43" s="27">
        <f>opex_orig!AF43</f>
        <v>7.4400000000000006E-5</v>
      </c>
    </row>
    <row r="44" spans="1:94" x14ac:dyDescent="0.25">
      <c r="A44" s="5" t="s">
        <v>107</v>
      </c>
      <c r="B44" s="2" t="s">
        <v>106</v>
      </c>
      <c r="C44" s="1" t="s">
        <v>327</v>
      </c>
      <c r="D44" s="188">
        <f>opex_orig!D44</f>
        <v>8.0256990000000007E-3</v>
      </c>
      <c r="E44" s="188">
        <f>opex_orig!E44</f>
        <v>1.9785009999999999E-2</v>
      </c>
      <c r="F44" s="188">
        <f>opex_orig!F44</f>
        <v>0.109782162</v>
      </c>
      <c r="G44" s="188">
        <f>opex_orig!G44</f>
        <v>1.0122300000000001E-2</v>
      </c>
      <c r="H44" s="188">
        <f>opex_orig!H44</f>
        <v>4.0099999999999999E-5</v>
      </c>
      <c r="I44" s="188">
        <f>opex_orig!I44</f>
        <v>3.5431526999999997E-2</v>
      </c>
      <c r="J44" s="188">
        <f>opex_orig!J44</f>
        <v>4.2870255000000003E-2</v>
      </c>
      <c r="K44" s="188">
        <f>opex_orig!K44</f>
        <v>1.5729399999999999E-4</v>
      </c>
      <c r="L44" s="188">
        <f>opex_orig!L44</f>
        <v>0.161484077</v>
      </c>
      <c r="M44" s="188">
        <f>opex_orig!M44</f>
        <v>2.7793314E-2</v>
      </c>
      <c r="N44" s="188">
        <f>opex_orig!N44</f>
        <v>3.1211928999999999E-2</v>
      </c>
      <c r="O44" s="188">
        <f>opex_orig!O44</f>
        <v>1.3545269999999999E-3</v>
      </c>
      <c r="P44" s="188">
        <f>opex_orig!P44</f>
        <v>4.2962399999999998E-4</v>
      </c>
      <c r="Q44" s="188">
        <f>opex_orig!Q44</f>
        <v>2.2720600000000001E-4</v>
      </c>
      <c r="R44" s="188">
        <f>opex_orig!R44</f>
        <v>7.1587899999999999E-4</v>
      </c>
      <c r="S44" s="188">
        <f>opex_orig!S44</f>
        <v>1.07475E-4</v>
      </c>
      <c r="T44" s="188">
        <f>opex_orig!T44</f>
        <v>1.8813900000000001E-4</v>
      </c>
      <c r="U44" s="188">
        <f>opex_orig!U44</f>
        <v>2.2156399999999999E-4</v>
      </c>
      <c r="V44" s="188">
        <f>opex_orig!V44</f>
        <v>2.39025E-4</v>
      </c>
      <c r="W44" s="188">
        <f>opex_orig!W44</f>
        <v>1.8782400000000001E-4</v>
      </c>
      <c r="X44" s="188">
        <f>opex_orig!X44</f>
        <v>4.4826300000000001E-4</v>
      </c>
      <c r="Y44" s="188">
        <f>opex_orig!Y44</f>
        <v>8.9699999999999998E-5</v>
      </c>
      <c r="Z44" s="188">
        <f>opex_orig!Z44</f>
        <v>1.3265299999999999E-4</v>
      </c>
      <c r="AA44" s="188">
        <f>opex_orig!AA44</f>
        <v>2.7860599999999998E-4</v>
      </c>
      <c r="AB44" s="188">
        <f>opex_orig!$AB44</f>
        <v>5.4931201256912601E-4</v>
      </c>
      <c r="AC44" s="188">
        <f>opex_orig!$AB44</f>
        <v>5.4931201256912601E-4</v>
      </c>
      <c r="AD44" s="188">
        <f>opex_orig!$AB44</f>
        <v>5.4931201256912601E-4</v>
      </c>
      <c r="AE44" s="188">
        <f>opex_orig!$AC44</f>
        <v>6.8883279066313903E-4</v>
      </c>
      <c r="AF44" s="188">
        <f>opex_orig!$AD44</f>
        <v>2.16133726746049E-4</v>
      </c>
      <c r="AG44" s="188">
        <f>opex_orig!$AD44</f>
        <v>2.16133726746049E-4</v>
      </c>
      <c r="AH44" s="188">
        <f>opex_orig!$AD44</f>
        <v>2.16133726746049E-4</v>
      </c>
      <c r="AI44" s="188">
        <f>opex_orig!AE44</f>
        <v>1.8882099999999999E-4</v>
      </c>
      <c r="AJ44" s="188">
        <f>opex_orig!AF44</f>
        <v>2.1562339999999999E-3</v>
      </c>
      <c r="AK44" s="188">
        <f>opex_orig!AG44</f>
        <v>3.7051299999999999E-4</v>
      </c>
      <c r="AL44" s="188">
        <f>opex_orig!AH44</f>
        <v>1.2026E-4</v>
      </c>
      <c r="AM44" s="188">
        <f>opex_orig!AI44</f>
        <v>1.6354499999999999E-4</v>
      </c>
      <c r="AN44" s="188">
        <f>opex_orig!AJ44</f>
        <v>1.6430000000000001E-4</v>
      </c>
      <c r="AO44" s="188">
        <f>opex_orig!AK44</f>
        <v>2.5861100000000001E-4</v>
      </c>
      <c r="AP44" s="188">
        <f>opex_orig!$AL44</f>
        <v>1.8575375675936999E-4</v>
      </c>
      <c r="AQ44" s="188">
        <f>opex_orig!$AL44</f>
        <v>1.8575375675936999E-4</v>
      </c>
      <c r="AR44" s="188">
        <f>opex_orig!$AL44</f>
        <v>1.8575375675936999E-4</v>
      </c>
      <c r="AS44" s="188">
        <f>opex_orig!$AM44</f>
        <v>2.18608532328113E-4</v>
      </c>
      <c r="AT44" s="188">
        <f>opex_orig!AN44</f>
        <v>2.2257399999999999E-4</v>
      </c>
      <c r="AU44" s="188">
        <f>opex_orig!$AO44</f>
        <v>8.3854560403720201E-5</v>
      </c>
      <c r="AV44" s="188">
        <f>opex_orig!$AO44</f>
        <v>8.3854560403720201E-5</v>
      </c>
      <c r="AW44" s="188">
        <f>opex_orig!$AO44</f>
        <v>8.3854560403720201E-5</v>
      </c>
      <c r="AX44" s="188">
        <f>opex_orig!$AP44</f>
        <v>1.13617993927235E-4</v>
      </c>
      <c r="AY44" s="188">
        <f>opex_orig!AQ44</f>
        <v>1.7784300000000001E-4</v>
      </c>
      <c r="AZ44" s="188">
        <f>opex_orig!AR44</f>
        <v>0</v>
      </c>
      <c r="BA44" s="188">
        <f>opex_orig!AS44</f>
        <v>1.7501600000000001E-4</v>
      </c>
      <c r="BB44" s="188">
        <f>opex_orig!AT44</f>
        <v>1.48364E-4</v>
      </c>
      <c r="BC44" s="188">
        <f>opex_orig!AU44</f>
        <v>6.3600000000000001E-5</v>
      </c>
      <c r="BD44" s="188">
        <f>opex_orig!AV44</f>
        <v>5.7500000000000002E-5</v>
      </c>
      <c r="BE44" s="188">
        <f>opex_orig!AW44</f>
        <v>1.6541200000000001E-4</v>
      </c>
      <c r="BF44" s="188">
        <f>opex_orig!AX44</f>
        <v>0</v>
      </c>
      <c r="BG44" s="188">
        <f>opex_orig!AY44</f>
        <v>3.1476200000000001E-4</v>
      </c>
      <c r="BH44" s="188">
        <f>opex_orig!AZ44</f>
        <v>0</v>
      </c>
      <c r="BI44" s="188">
        <f>opex_orig!BA44</f>
        <v>1.07361E-4</v>
      </c>
      <c r="BJ44" s="188">
        <f>opex_orig!BB44</f>
        <v>3.3301199999999999E-4</v>
      </c>
      <c r="BK44" s="188">
        <f>opex_orig!BC44</f>
        <v>1.2359E-4</v>
      </c>
      <c r="BL44" s="188">
        <f>opex_orig!BD44</f>
        <v>1.7128900000000001E-4</v>
      </c>
      <c r="BM44" s="188">
        <f>opex_orig!BE44</f>
        <v>7.5799999999999999E-5</v>
      </c>
      <c r="BN44" s="188">
        <f>opex_orig!BF44</f>
        <v>5.41E-5</v>
      </c>
      <c r="BO44" s="188">
        <f>opex_orig!BG44</f>
        <v>8.4106299999999997E-4</v>
      </c>
      <c r="BP44" s="188">
        <f>opex_orig!$BH44</f>
        <v>1.01331409118245E-4</v>
      </c>
      <c r="BQ44" s="188">
        <f>opex_orig!$BH44</f>
        <v>1.01331409118245E-4</v>
      </c>
      <c r="BR44" s="188">
        <f>opex_orig!BI44</f>
        <v>8.0099999999999995E-5</v>
      </c>
      <c r="BS44" s="188">
        <f>opex_orig!BJ44</f>
        <v>1.7908999999999999E-4</v>
      </c>
      <c r="BT44" s="188">
        <f>opex_orig!BK44</f>
        <v>2.4872639999999999E-3</v>
      </c>
      <c r="BU44" s="188">
        <f>opex_orig!BL44</f>
        <v>0</v>
      </c>
      <c r="BV44" s="27">
        <f>opex_orig!BM44</f>
        <v>3.2488835516578302E-4</v>
      </c>
      <c r="BW44" s="27">
        <f>opex_orig!BN44</f>
        <v>3.7744577211497099E-4</v>
      </c>
      <c r="BX44" s="27">
        <f>opex_orig!BO44</f>
        <v>1.57976033023162E-4</v>
      </c>
      <c r="BY44" s="27">
        <f>opex_orig!BP44</f>
        <v>1.3958039912495199E-4</v>
      </c>
      <c r="BZ44" s="27">
        <f>opex_orig!BQ44</f>
        <v>1.6985209600038699E-4</v>
      </c>
      <c r="CA44" s="27">
        <f>opex_orig!BR44</f>
        <v>1.2302907880213199E-5</v>
      </c>
      <c r="CB44" s="27">
        <f>opex_orig!BS44</f>
        <v>6.1884500758940201E-4</v>
      </c>
      <c r="CC44" s="27">
        <f>opex_orig!BT44</f>
        <v>6.3701674300512906E-5</v>
      </c>
      <c r="CD44" s="27">
        <f>opex_orig!BU44</f>
        <v>5.1545580031620901E-5</v>
      </c>
      <c r="CE44" s="27">
        <f>opex_orig!BV44</f>
        <v>5.1545580031620799E-5</v>
      </c>
      <c r="CF44" s="27">
        <f>opex_orig!BW44</f>
        <v>2.36204066609458E-4</v>
      </c>
      <c r="CG44" s="27">
        <f>opex_orig!BX44</f>
        <v>5.7077820250907299E-5</v>
      </c>
      <c r="CH44" s="27">
        <f>opex_orig!BY44</f>
        <v>3.22187466275605E-5</v>
      </c>
      <c r="CI44" s="27">
        <f>opex_orig!Y44</f>
        <v>8.9699999999999998E-5</v>
      </c>
      <c r="CJ44" s="27">
        <f>opex_orig!Z44</f>
        <v>1.3265299999999999E-4</v>
      </c>
      <c r="CK44" s="27">
        <f>opex_orig!AA44</f>
        <v>2.7860599999999998E-4</v>
      </c>
      <c r="CL44" s="27">
        <f>opex_orig!AB44</f>
        <v>5.4931201256912601E-4</v>
      </c>
      <c r="CM44" s="27">
        <f>opex_orig!AC44</f>
        <v>6.8883279066313903E-4</v>
      </c>
      <c r="CN44" s="27">
        <f>opex_orig!AD44</f>
        <v>2.16133726746049E-4</v>
      </c>
      <c r="CO44" s="27">
        <f>opex_orig!AE44</f>
        <v>1.8882099999999999E-4</v>
      </c>
      <c r="CP44" s="27">
        <f>opex_orig!AF44</f>
        <v>2.1562339999999999E-3</v>
      </c>
    </row>
    <row r="45" spans="1:94" x14ac:dyDescent="0.25">
      <c r="A45" s="5" t="s">
        <v>109</v>
      </c>
      <c r="B45" s="2" t="s">
        <v>108</v>
      </c>
      <c r="C45" s="1" t="s">
        <v>327</v>
      </c>
      <c r="D45" s="188">
        <f>opex_orig!D45</f>
        <v>2.5243459999999998E-3</v>
      </c>
      <c r="E45" s="188">
        <f>opex_orig!E45</f>
        <v>5.7192889999999998E-3</v>
      </c>
      <c r="F45" s="188">
        <f>opex_orig!F45</f>
        <v>3.6702515999999998E-2</v>
      </c>
      <c r="G45" s="188">
        <f>opex_orig!G45</f>
        <v>3.3268300000000001E-4</v>
      </c>
      <c r="H45" s="188">
        <f>opex_orig!H45</f>
        <v>2.19E-5</v>
      </c>
      <c r="I45" s="188">
        <f>opex_orig!I45</f>
        <v>3.051762E-3</v>
      </c>
      <c r="J45" s="188">
        <f>opex_orig!J45</f>
        <v>8.0949899999999998E-4</v>
      </c>
      <c r="K45" s="188">
        <f>opex_orig!K45</f>
        <v>4.6300000000000001E-5</v>
      </c>
      <c r="L45" s="188">
        <f>opex_orig!L45</f>
        <v>5.8803144000000002E-2</v>
      </c>
      <c r="M45" s="188">
        <f>opex_orig!M45</f>
        <v>2.50079E-2</v>
      </c>
      <c r="N45" s="188">
        <f>opex_orig!N45</f>
        <v>1.1650456999999999E-2</v>
      </c>
      <c r="O45" s="188">
        <f>opex_orig!O45</f>
        <v>4.0178460000000003E-3</v>
      </c>
      <c r="P45" s="188">
        <f>opex_orig!P45</f>
        <v>9.5461500000000002E-4</v>
      </c>
      <c r="Q45" s="188">
        <f>opex_orig!Q45</f>
        <v>1.2906699999999999E-4</v>
      </c>
      <c r="R45" s="188">
        <f>opex_orig!R45</f>
        <v>5.8862200000000002E-4</v>
      </c>
      <c r="S45" s="188">
        <f>opex_orig!S45</f>
        <v>5.9500000000000003E-5</v>
      </c>
      <c r="T45" s="188">
        <f>opex_orig!T45</f>
        <v>1.06184E-4</v>
      </c>
      <c r="U45" s="188">
        <f>opex_orig!U45</f>
        <v>1.6106200000000001E-4</v>
      </c>
      <c r="V45" s="188">
        <f>opex_orig!V45</f>
        <v>1.77307E-4</v>
      </c>
      <c r="W45" s="188">
        <f>opex_orig!W45</f>
        <v>1.4071999999999999E-4</v>
      </c>
      <c r="X45" s="188">
        <f>opex_orig!X45</f>
        <v>8.25E-5</v>
      </c>
      <c r="Y45" s="188">
        <f>opex_orig!Y45</f>
        <v>5.13E-5</v>
      </c>
      <c r="Z45" s="188">
        <f>opex_orig!Z45</f>
        <v>8.03E-5</v>
      </c>
      <c r="AA45" s="188">
        <f>opex_orig!AA45</f>
        <v>1.6537400000000001E-4</v>
      </c>
      <c r="AB45" s="188">
        <f>opex_orig!$AB45</f>
        <v>4.0549841286129199E-4</v>
      </c>
      <c r="AC45" s="188">
        <f>opex_orig!$AB45</f>
        <v>4.0549841286129199E-4</v>
      </c>
      <c r="AD45" s="188">
        <f>opex_orig!$AB45</f>
        <v>4.0549841286129199E-4</v>
      </c>
      <c r="AE45" s="188">
        <f>opex_orig!$AC45</f>
        <v>5.6970768009780601E-4</v>
      </c>
      <c r="AF45" s="188">
        <f>opex_orig!$AD45</f>
        <v>1.65984705481639E-4</v>
      </c>
      <c r="AG45" s="188">
        <f>opex_orig!$AD45</f>
        <v>1.65984705481639E-4</v>
      </c>
      <c r="AH45" s="188">
        <f>opex_orig!$AD45</f>
        <v>1.65984705481639E-4</v>
      </c>
      <c r="AI45" s="188">
        <f>opex_orig!AE45</f>
        <v>1.4840900000000001E-4</v>
      </c>
      <c r="AJ45" s="188">
        <f>opex_orig!AF45</f>
        <v>1.7883129999999999E-3</v>
      </c>
      <c r="AK45" s="188">
        <f>opex_orig!AG45</f>
        <v>2.4007299999999999E-4</v>
      </c>
      <c r="AL45" s="188">
        <f>opex_orig!AH45</f>
        <v>5.5000000000000002E-5</v>
      </c>
      <c r="AM45" s="188">
        <f>opex_orig!AI45</f>
        <v>9.7800000000000006E-5</v>
      </c>
      <c r="AN45" s="188">
        <f>opex_orig!AJ45</f>
        <v>7.1299999999999998E-5</v>
      </c>
      <c r="AO45" s="188">
        <f>opex_orig!AK45</f>
        <v>1.5101599999999999E-4</v>
      </c>
      <c r="AP45" s="188">
        <f>opex_orig!$AL45</f>
        <v>6.8138125223026803E-5</v>
      </c>
      <c r="AQ45" s="188">
        <f>opex_orig!$AL45</f>
        <v>6.8138125223026803E-5</v>
      </c>
      <c r="AR45" s="188">
        <f>opex_orig!$AL45</f>
        <v>6.8138125223026803E-5</v>
      </c>
      <c r="AS45" s="188">
        <f>opex_orig!$AM45</f>
        <v>8.8794775514604998E-5</v>
      </c>
      <c r="AT45" s="188">
        <f>opex_orig!AN45</f>
        <v>1.5438100000000001E-4</v>
      </c>
      <c r="AU45" s="188">
        <f>opex_orig!$AO45</f>
        <v>5.03635435534127E-5</v>
      </c>
      <c r="AV45" s="188">
        <f>opex_orig!$AO45</f>
        <v>5.03635435534127E-5</v>
      </c>
      <c r="AW45" s="188">
        <f>opex_orig!$AO45</f>
        <v>5.03635435534127E-5</v>
      </c>
      <c r="AX45" s="188">
        <f>opex_orig!$AP45</f>
        <v>6.8591698039085499E-5</v>
      </c>
      <c r="AY45" s="188">
        <f>opex_orig!AQ45</f>
        <v>1.20494E-4</v>
      </c>
      <c r="AZ45" s="188">
        <f>opex_orig!AR45</f>
        <v>0</v>
      </c>
      <c r="BA45" s="188">
        <f>opex_orig!AS45</f>
        <v>1.16502E-4</v>
      </c>
      <c r="BB45" s="188">
        <f>opex_orig!AT45</f>
        <v>9.7800000000000006E-5</v>
      </c>
      <c r="BC45" s="188">
        <f>opex_orig!AU45</f>
        <v>4.3900000000000003E-5</v>
      </c>
      <c r="BD45" s="188">
        <f>opex_orig!AV45</f>
        <v>3.6999999999999998E-5</v>
      </c>
      <c r="BE45" s="188">
        <f>opex_orig!AW45</f>
        <v>8.5000000000000006E-5</v>
      </c>
      <c r="BF45" s="188">
        <f>opex_orig!AX45</f>
        <v>0</v>
      </c>
      <c r="BG45" s="188">
        <f>opex_orig!AY45</f>
        <v>1.95687E-4</v>
      </c>
      <c r="BH45" s="188">
        <f>opex_orig!AZ45</f>
        <v>0</v>
      </c>
      <c r="BI45" s="188">
        <f>opex_orig!BA45</f>
        <v>5.9299999999999998E-5</v>
      </c>
      <c r="BJ45" s="188">
        <f>opex_orig!BB45</f>
        <v>2.8046499999999998E-4</v>
      </c>
      <c r="BK45" s="188">
        <f>opex_orig!BC45</f>
        <v>7.1799999999999997E-5</v>
      </c>
      <c r="BL45" s="188">
        <f>opex_orig!BD45</f>
        <v>7.8999999999999996E-5</v>
      </c>
      <c r="BM45" s="188">
        <f>opex_orig!BE45</f>
        <v>3.9499999999999998E-5</v>
      </c>
      <c r="BN45" s="188">
        <f>opex_orig!BF45</f>
        <v>2.9499999999999999E-5</v>
      </c>
      <c r="BO45" s="188">
        <f>opex_orig!BG45</f>
        <v>2.5577500000000002E-4</v>
      </c>
      <c r="BP45" s="188">
        <f>opex_orig!$BH45</f>
        <v>5.5391507880371601E-5</v>
      </c>
      <c r="BQ45" s="188">
        <f>opex_orig!$BH45</f>
        <v>5.5391507880371601E-5</v>
      </c>
      <c r="BR45" s="188">
        <f>opex_orig!BI45</f>
        <v>4.0399999999999999E-5</v>
      </c>
      <c r="BS45" s="188">
        <f>opex_orig!BJ45</f>
        <v>8.0099999999999995E-5</v>
      </c>
      <c r="BT45" s="188">
        <f>opex_orig!BK45</f>
        <v>2.3083489999999999E-3</v>
      </c>
      <c r="BU45" s="188">
        <f>opex_orig!BL45</f>
        <v>0</v>
      </c>
      <c r="BV45" s="27">
        <f>opex_orig!BM45</f>
        <v>2.7942718823773302E-4</v>
      </c>
      <c r="BW45" s="27">
        <f>opex_orig!BN45</f>
        <v>3.1964073953143099E-4</v>
      </c>
      <c r="BX45" s="27">
        <f>opex_orig!BO45</f>
        <v>1.4987546916463799E-4</v>
      </c>
      <c r="BY45" s="27">
        <f>opex_orig!BP45</f>
        <v>1.18320608089078E-4</v>
      </c>
      <c r="BZ45" s="27">
        <f>opex_orig!BQ45</f>
        <v>1.3528157218702E-4</v>
      </c>
      <c r="CA45" s="27">
        <f>opex_orig!BR45</f>
        <v>3.1010203662618899E-6</v>
      </c>
      <c r="CB45" s="27">
        <f>opex_orig!BS45</f>
        <v>4.5302675977604301E-4</v>
      </c>
      <c r="CC45" s="27">
        <f>opex_orig!BT45</f>
        <v>2.6195787292967699E-5</v>
      </c>
      <c r="CD45" s="27">
        <f>opex_orig!BU45</f>
        <v>3.3370221798256303E-5</v>
      </c>
      <c r="CE45" s="27">
        <f>opex_orig!BV45</f>
        <v>3.3370221798256201E-5</v>
      </c>
      <c r="CF45" s="27">
        <f>opex_orig!BW45</f>
        <v>9.2254820469869699E-5</v>
      </c>
      <c r="CG45" s="27">
        <f>opex_orig!BX45</f>
        <v>2.3973601904049601E-5</v>
      </c>
      <c r="CH45" s="27">
        <f>opex_orig!BY45</f>
        <v>2.1562214554855702E-5</v>
      </c>
      <c r="CI45" s="27">
        <f>opex_orig!Y45</f>
        <v>5.13E-5</v>
      </c>
      <c r="CJ45" s="27">
        <f>opex_orig!Z45</f>
        <v>8.03E-5</v>
      </c>
      <c r="CK45" s="27">
        <f>opex_orig!AA45</f>
        <v>1.6537400000000001E-4</v>
      </c>
      <c r="CL45" s="27">
        <f>opex_orig!AB45</f>
        <v>4.0549841286129199E-4</v>
      </c>
      <c r="CM45" s="27">
        <f>opex_orig!AC45</f>
        <v>5.6970768009780601E-4</v>
      </c>
      <c r="CN45" s="27">
        <f>opex_orig!AD45</f>
        <v>1.65984705481639E-4</v>
      </c>
      <c r="CO45" s="27">
        <f>opex_orig!AE45</f>
        <v>1.4840900000000001E-4</v>
      </c>
      <c r="CP45" s="27">
        <f>opex_orig!AF45</f>
        <v>1.7883129999999999E-3</v>
      </c>
    </row>
    <row r="46" spans="1:94" x14ac:dyDescent="0.25">
      <c r="A46" s="5" t="s">
        <v>111</v>
      </c>
      <c r="B46" s="2" t="s">
        <v>110</v>
      </c>
      <c r="C46" s="1" t="s">
        <v>327</v>
      </c>
      <c r="D46" s="188">
        <f>opex_orig!D46</f>
        <v>5.0306400000000001E-4</v>
      </c>
      <c r="E46" s="188">
        <f>opex_orig!E46</f>
        <v>1.0096040000000001E-3</v>
      </c>
      <c r="F46" s="188">
        <f>opex_orig!F46</f>
        <v>6.5053079999999996E-3</v>
      </c>
      <c r="G46" s="188">
        <f>opex_orig!G46</f>
        <v>5.7099999999999999E-5</v>
      </c>
      <c r="H46" s="188">
        <f>opex_orig!H46</f>
        <v>8.7199999999999995E-6</v>
      </c>
      <c r="I46" s="188">
        <f>opex_orig!I46</f>
        <v>5.6251300000000005E-4</v>
      </c>
      <c r="J46" s="188">
        <f>opex_orig!J46</f>
        <v>1.6019100000000001E-4</v>
      </c>
      <c r="K46" s="188">
        <f>opex_orig!K46</f>
        <v>1.6900000000000001E-5</v>
      </c>
      <c r="L46" s="188">
        <f>opex_orig!L46</f>
        <v>7.2986960000000004E-3</v>
      </c>
      <c r="M46" s="188">
        <f>opex_orig!M46</f>
        <v>8.9349600000000003E-4</v>
      </c>
      <c r="N46" s="188">
        <f>opex_orig!N46</f>
        <v>3.69632E-4</v>
      </c>
      <c r="O46" s="188">
        <f>opex_orig!O46</f>
        <v>7.7299999999999995E-5</v>
      </c>
      <c r="P46" s="188">
        <f>opex_orig!P46</f>
        <v>3.8399999999999998E-5</v>
      </c>
      <c r="Q46" s="188">
        <f>opex_orig!Q46</f>
        <v>3.5899999999999998E-5</v>
      </c>
      <c r="R46" s="188">
        <f>opex_orig!R46</f>
        <v>3.6199999999999999E-5</v>
      </c>
      <c r="S46" s="188">
        <f>opex_orig!S46</f>
        <v>2.2399999999999999E-5</v>
      </c>
      <c r="T46" s="188">
        <f>opex_orig!T46</f>
        <v>3.54E-5</v>
      </c>
      <c r="U46" s="188">
        <f>opex_orig!U46</f>
        <v>3.2799999999999998E-5</v>
      </c>
      <c r="V46" s="188">
        <f>opex_orig!V46</f>
        <v>3.7499999999999997E-5</v>
      </c>
      <c r="W46" s="188">
        <f>opex_orig!W46</f>
        <v>2.2500000000000001E-5</v>
      </c>
      <c r="X46" s="188">
        <f>opex_orig!X46</f>
        <v>2.9499999999999999E-5</v>
      </c>
      <c r="Y46" s="188">
        <f>opex_orig!Y46</f>
        <v>1.66E-5</v>
      </c>
      <c r="Z46" s="188">
        <f>opex_orig!Z46</f>
        <v>2.72E-5</v>
      </c>
      <c r="AA46" s="188">
        <f>opex_orig!AA46</f>
        <v>4.9499999999999997E-5</v>
      </c>
      <c r="AB46" s="188">
        <f>opex_orig!$AB46</f>
        <v>3.8211669910012998E-5</v>
      </c>
      <c r="AC46" s="188">
        <f>opex_orig!$AB46</f>
        <v>3.8211669910012998E-5</v>
      </c>
      <c r="AD46" s="188">
        <f>opex_orig!$AB46</f>
        <v>3.8211669910012998E-5</v>
      </c>
      <c r="AE46" s="188">
        <f>opex_orig!$AC46</f>
        <v>9.0413877773178297E-5</v>
      </c>
      <c r="AF46" s="188">
        <f>opex_orig!$AD46</f>
        <v>3.6593708435870602E-5</v>
      </c>
      <c r="AG46" s="188">
        <f>opex_orig!$AD46</f>
        <v>3.6593708435870602E-5</v>
      </c>
      <c r="AH46" s="188">
        <f>opex_orig!$AD46</f>
        <v>3.6593708435870602E-5</v>
      </c>
      <c r="AI46" s="188">
        <f>opex_orig!AE46</f>
        <v>3.04E-5</v>
      </c>
      <c r="AJ46" s="188">
        <f>opex_orig!AF46</f>
        <v>1.84339E-4</v>
      </c>
      <c r="AK46" s="188">
        <f>opex_orig!AG46</f>
        <v>5.38E-5</v>
      </c>
      <c r="AL46" s="188">
        <f>opex_orig!AH46</f>
        <v>2.3E-5</v>
      </c>
      <c r="AM46" s="188">
        <f>opex_orig!AI46</f>
        <v>3.1699999999999998E-5</v>
      </c>
      <c r="AN46" s="188">
        <f>opex_orig!AJ46</f>
        <v>2.87E-5</v>
      </c>
      <c r="AO46" s="188">
        <f>opex_orig!AK46</f>
        <v>3.9400000000000002E-5</v>
      </c>
      <c r="AP46" s="188">
        <f>opex_orig!$AL46</f>
        <v>3.68150573694861E-5</v>
      </c>
      <c r="AQ46" s="188">
        <f>opex_orig!$AL46</f>
        <v>3.68150573694861E-5</v>
      </c>
      <c r="AR46" s="188">
        <f>opex_orig!$AL46</f>
        <v>3.68150573694861E-5</v>
      </c>
      <c r="AS46" s="188">
        <f>opex_orig!$AM46</f>
        <v>4.1050379613539003E-5</v>
      </c>
      <c r="AT46" s="188">
        <f>opex_orig!AN46</f>
        <v>3.7400000000000001E-5</v>
      </c>
      <c r="AU46" s="188">
        <f>opex_orig!$AO46</f>
        <v>1.25973336067444E-5</v>
      </c>
      <c r="AV46" s="188">
        <f>opex_orig!$AO46</f>
        <v>1.25973336067444E-5</v>
      </c>
      <c r="AW46" s="188">
        <f>opex_orig!$AO46</f>
        <v>1.25973336067444E-5</v>
      </c>
      <c r="AX46" s="188">
        <f>opex_orig!$AP46</f>
        <v>1.89140173633174E-5</v>
      </c>
      <c r="AY46" s="188">
        <f>opex_orig!AQ46</f>
        <v>2.51E-5</v>
      </c>
      <c r="AZ46" s="188">
        <f>opex_orig!AR46</f>
        <v>0</v>
      </c>
      <c r="BA46" s="188">
        <f>opex_orig!AS46</f>
        <v>2.7699999999999999E-5</v>
      </c>
      <c r="BB46" s="188">
        <f>opex_orig!AT46</f>
        <v>2.4899999999999999E-5</v>
      </c>
      <c r="BC46" s="188">
        <f>opex_orig!AU46</f>
        <v>8.1699999999999997E-6</v>
      </c>
      <c r="BD46" s="188">
        <f>opex_orig!AV46</f>
        <v>7.7999999999999999E-6</v>
      </c>
      <c r="BE46" s="188">
        <f>opex_orig!AW46</f>
        <v>3.5299999999999997E-5</v>
      </c>
      <c r="BF46" s="188">
        <f>opex_orig!AX46</f>
        <v>0</v>
      </c>
      <c r="BG46" s="188">
        <f>opex_orig!AY46</f>
        <v>5.8100000000000003E-5</v>
      </c>
      <c r="BH46" s="188">
        <f>opex_orig!AZ46</f>
        <v>0</v>
      </c>
      <c r="BI46" s="188">
        <f>opex_orig!BA46</f>
        <v>1.8300000000000001E-5</v>
      </c>
      <c r="BJ46" s="188">
        <f>opex_orig!BB46</f>
        <v>1.66E-5</v>
      </c>
      <c r="BK46" s="188">
        <f>opex_orig!BC46</f>
        <v>2.8600000000000001E-5</v>
      </c>
      <c r="BL46" s="188">
        <f>opex_orig!BD46</f>
        <v>5.3900000000000002E-5</v>
      </c>
      <c r="BM46" s="188">
        <f>opex_orig!BE46</f>
        <v>1.84E-5</v>
      </c>
      <c r="BN46" s="188">
        <f>opex_orig!BF46</f>
        <v>1.0200000000000001E-5</v>
      </c>
      <c r="BO46" s="188">
        <f>opex_orig!BG46</f>
        <v>3.9100000000000002E-5</v>
      </c>
      <c r="BP46" s="188">
        <f>opex_orig!$BH46</f>
        <v>2.0794697934767002E-5</v>
      </c>
      <c r="BQ46" s="188">
        <f>opex_orig!$BH46</f>
        <v>2.0794697934767002E-5</v>
      </c>
      <c r="BR46" s="188">
        <f>opex_orig!BI46</f>
        <v>1.8499999999999999E-5</v>
      </c>
      <c r="BS46" s="188">
        <f>opex_orig!BJ46</f>
        <v>2.9899999999999998E-5</v>
      </c>
      <c r="BT46" s="188">
        <f>opex_orig!BK46</f>
        <v>2.2200000000000001E-5</v>
      </c>
      <c r="BU46" s="188">
        <f>opex_orig!BL46</f>
        <v>0</v>
      </c>
      <c r="BV46" s="27">
        <f>opex_orig!BM46</f>
        <v>1.9462654210510002E-5</v>
      </c>
      <c r="BW46" s="27">
        <f>opex_orig!BN46</f>
        <v>3.7332593720281002E-5</v>
      </c>
      <c r="BX46" s="27">
        <f>opex_orig!BO46</f>
        <v>8.8552972778669407E-6</v>
      </c>
      <c r="BY46" s="27">
        <f>opex_orig!BP46</f>
        <v>1.3648783738016299E-5</v>
      </c>
      <c r="BZ46" s="27">
        <f>opex_orig!BQ46</f>
        <v>2.0199756119538899E-5</v>
      </c>
      <c r="CA46" s="27">
        <f>opex_orig!BR46</f>
        <v>8.6929195801266402E-7</v>
      </c>
      <c r="CB46" s="27">
        <f>opex_orig!BS46</f>
        <v>5.1126068845515001E-5</v>
      </c>
      <c r="CC46" s="27">
        <f>opex_orig!BT46</f>
        <v>1.35877556598157E-5</v>
      </c>
      <c r="CD46" s="27">
        <f>opex_orig!BU46</f>
        <v>1.0364855568955E-5</v>
      </c>
      <c r="CE46" s="27">
        <f>opex_orig!BV46</f>
        <v>1.0364855568955E-5</v>
      </c>
      <c r="CF46" s="27">
        <f>opex_orig!BW46</f>
        <v>1.15501378916842E-4</v>
      </c>
      <c r="CG46" s="27">
        <f>opex_orig!BX46</f>
        <v>3.7200384558802801E-6</v>
      </c>
      <c r="CH46" s="27">
        <f>opex_orig!BY46</f>
        <v>4.25550595727578E-6</v>
      </c>
      <c r="CI46" s="27">
        <f>opex_orig!Y46</f>
        <v>1.66E-5</v>
      </c>
      <c r="CJ46" s="27">
        <f>opex_orig!Z46</f>
        <v>2.72E-5</v>
      </c>
      <c r="CK46" s="27">
        <f>opex_orig!AA46</f>
        <v>4.9499999999999997E-5</v>
      </c>
      <c r="CL46" s="27">
        <f>opex_orig!AB46</f>
        <v>3.8211669910012998E-5</v>
      </c>
      <c r="CM46" s="27">
        <f>opex_orig!AC46</f>
        <v>9.0413877773178297E-5</v>
      </c>
      <c r="CN46" s="27">
        <f>opex_orig!AD46</f>
        <v>3.6593708435870602E-5</v>
      </c>
      <c r="CO46" s="27">
        <f>opex_orig!AE46</f>
        <v>3.04E-5</v>
      </c>
      <c r="CP46" s="27">
        <f>opex_orig!AF46</f>
        <v>1.84339E-4</v>
      </c>
    </row>
    <row r="47" spans="1:94" x14ac:dyDescent="0.25">
      <c r="A47" s="5" t="s">
        <v>113</v>
      </c>
      <c r="B47" s="2" t="s">
        <v>112</v>
      </c>
      <c r="C47" s="1" t="s">
        <v>327</v>
      </c>
      <c r="D47" s="188">
        <f>opex_orig!D47</f>
        <v>6.6599999999999998E-6</v>
      </c>
      <c r="E47" s="188">
        <f>opex_orig!E47</f>
        <v>2.1799999999999999E-6</v>
      </c>
      <c r="F47" s="188">
        <f>opex_orig!F47</f>
        <v>6.19E-6</v>
      </c>
      <c r="G47" s="188">
        <f>opex_orig!G47</f>
        <v>2.04E-6</v>
      </c>
      <c r="H47" s="188">
        <f>opex_orig!H47</f>
        <v>3.49E-6</v>
      </c>
      <c r="I47" s="188">
        <f>opex_orig!I47</f>
        <v>1.9899999999999999E-5</v>
      </c>
      <c r="J47" s="188">
        <f>opex_orig!J47</f>
        <v>1.22E-5</v>
      </c>
      <c r="K47" s="188">
        <f>opex_orig!K47</f>
        <v>3.2899999999999998E-6</v>
      </c>
      <c r="L47" s="188">
        <f>opex_orig!L47</f>
        <v>1.27E-5</v>
      </c>
      <c r="M47" s="188">
        <f>opex_orig!M47</f>
        <v>3.2399999999999999E-6</v>
      </c>
      <c r="N47" s="188">
        <f>opex_orig!N47</f>
        <v>1.4E-5</v>
      </c>
      <c r="O47" s="188">
        <f>opex_orig!O47</f>
        <v>1.03E-5</v>
      </c>
      <c r="P47" s="188">
        <f>opex_orig!P47</f>
        <v>2.34E-6</v>
      </c>
      <c r="Q47" s="188">
        <f>opex_orig!Q47</f>
        <v>3.4300000000000002E-6</v>
      </c>
      <c r="R47" s="188">
        <f>opex_orig!R47</f>
        <v>5.5600000000000003E-5</v>
      </c>
      <c r="S47" s="188">
        <f>opex_orig!S47</f>
        <v>2.12E-6</v>
      </c>
      <c r="T47" s="188">
        <f>opex_orig!T47</f>
        <v>2.7199999999999998E-6</v>
      </c>
      <c r="U47" s="188">
        <f>opex_orig!U47</f>
        <v>1.44E-6</v>
      </c>
      <c r="V47" s="188">
        <f>opex_orig!V47</f>
        <v>1.5999999999999999E-6</v>
      </c>
      <c r="W47" s="188">
        <f>opex_orig!W47</f>
        <v>9.9000000000000001E-6</v>
      </c>
      <c r="X47" s="188">
        <f>opex_orig!X47</f>
        <v>3.54E-6</v>
      </c>
      <c r="Y47" s="188">
        <f>opex_orig!Y47</f>
        <v>1.5200000000000001E-6</v>
      </c>
      <c r="Z47" s="188">
        <f>opex_orig!Z47</f>
        <v>2.9100000000000001E-6</v>
      </c>
      <c r="AA47" s="188">
        <f>opex_orig!AA47</f>
        <v>2.4499999999999998E-6</v>
      </c>
      <c r="AB47" s="188">
        <f>opex_orig!$AB47</f>
        <v>1.13344920768648E-4</v>
      </c>
      <c r="AC47" s="188">
        <f>opex_orig!$AB47</f>
        <v>1.13344920768648E-4</v>
      </c>
      <c r="AD47" s="188">
        <f>opex_orig!$AB47</f>
        <v>1.13344920768648E-4</v>
      </c>
      <c r="AE47" s="188">
        <f>opex_orig!$AC47</f>
        <v>4.77910742401214E-6</v>
      </c>
      <c r="AF47" s="188">
        <f>opex_orig!$AD47</f>
        <v>2.2042340832206098E-6</v>
      </c>
      <c r="AG47" s="188">
        <f>opex_orig!$AD47</f>
        <v>2.2042340832206098E-6</v>
      </c>
      <c r="AH47" s="188">
        <f>opex_orig!$AD47</f>
        <v>2.2042340832206098E-6</v>
      </c>
      <c r="AI47" s="188">
        <f>opex_orig!AE47</f>
        <v>2.8399999999999999E-6</v>
      </c>
      <c r="AJ47" s="188">
        <f>opex_orig!AF47</f>
        <v>5.66E-6</v>
      </c>
      <c r="AK47" s="188">
        <f>opex_orig!AG47</f>
        <v>3.3000000000000002E-6</v>
      </c>
      <c r="AL47" s="188">
        <f>opex_orig!AH47</f>
        <v>4.1999999999999996E-6</v>
      </c>
      <c r="AM47" s="188">
        <f>opex_orig!AI47</f>
        <v>7.0299999999999996E-6</v>
      </c>
      <c r="AN47" s="188">
        <f>opex_orig!AJ47</f>
        <v>5.4600000000000002E-6</v>
      </c>
      <c r="AO47" s="188">
        <f>opex_orig!AK47</f>
        <v>4.3900000000000003E-6</v>
      </c>
      <c r="AP47" s="188">
        <f>opex_orig!$AL47</f>
        <v>5.0631100298226E-6</v>
      </c>
      <c r="AQ47" s="188">
        <f>opex_orig!$AL47</f>
        <v>5.0631100298226E-6</v>
      </c>
      <c r="AR47" s="188">
        <f>opex_orig!$AL47</f>
        <v>5.0631100298226E-6</v>
      </c>
      <c r="AS47" s="188">
        <f>opex_orig!$AM47</f>
        <v>4.0040111445980797E-6</v>
      </c>
      <c r="AT47" s="188">
        <f>opex_orig!AN47</f>
        <v>6.7000000000000002E-6</v>
      </c>
      <c r="AU47" s="188">
        <f>opex_orig!$AO47</f>
        <v>2.4097891650215398E-6</v>
      </c>
      <c r="AV47" s="188">
        <f>opex_orig!$AO47</f>
        <v>2.4097891650215398E-6</v>
      </c>
      <c r="AW47" s="188">
        <f>opex_orig!$AO47</f>
        <v>2.4097891650215398E-6</v>
      </c>
      <c r="AX47" s="188">
        <f>opex_orig!$AP47</f>
        <v>1.9082168406456499E-6</v>
      </c>
      <c r="AY47" s="188">
        <f>opex_orig!AQ47</f>
        <v>1.7099999999999999E-6</v>
      </c>
      <c r="AZ47" s="188">
        <f>opex_orig!AR47</f>
        <v>0</v>
      </c>
      <c r="BA47" s="188">
        <f>opex_orig!AS47</f>
        <v>1.86E-6</v>
      </c>
      <c r="BB47" s="188">
        <f>opex_orig!AT47</f>
        <v>8.6700000000000002E-7</v>
      </c>
      <c r="BC47" s="188">
        <f>opex_orig!AU47</f>
        <v>3.6399999999999998E-7</v>
      </c>
      <c r="BD47" s="188">
        <f>opex_orig!AV47</f>
        <v>2.2999999999999999E-7</v>
      </c>
      <c r="BE47" s="188">
        <f>opex_orig!AW47</f>
        <v>1.53E-6</v>
      </c>
      <c r="BF47" s="188">
        <f>opex_orig!AX47</f>
        <v>0</v>
      </c>
      <c r="BG47" s="188">
        <f>opex_orig!AY47</f>
        <v>1.3499999999999999E-5</v>
      </c>
      <c r="BH47" s="188">
        <f>opex_orig!AZ47</f>
        <v>0</v>
      </c>
      <c r="BI47" s="188">
        <f>opex_orig!BA47</f>
        <v>1.1599999999999999E-6</v>
      </c>
      <c r="BJ47" s="188">
        <f>opex_orig!BB47</f>
        <v>1.8199999999999999E-6</v>
      </c>
      <c r="BK47" s="188">
        <f>opex_orig!BC47</f>
        <v>2.12E-6</v>
      </c>
      <c r="BL47" s="188">
        <f>opex_orig!BD47</f>
        <v>2.65E-6</v>
      </c>
      <c r="BM47" s="188">
        <f>opex_orig!BE47</f>
        <v>4.9899999999999997E-6</v>
      </c>
      <c r="BN47" s="188">
        <f>opex_orig!BF47</f>
        <v>2.0700000000000001E-6</v>
      </c>
      <c r="BO47" s="188">
        <f>opex_orig!BG47</f>
        <v>5.4E-6</v>
      </c>
      <c r="BP47" s="188">
        <f>opex_orig!$BH47</f>
        <v>1.79808715442443E-6</v>
      </c>
      <c r="BQ47" s="188">
        <f>opex_orig!$BH47</f>
        <v>1.79808715442443E-6</v>
      </c>
      <c r="BR47" s="188">
        <f>opex_orig!BI47</f>
        <v>6.8299999999999998E-6</v>
      </c>
      <c r="BS47" s="188">
        <f>opex_orig!BJ47</f>
        <v>3.3400000000000002E-6</v>
      </c>
      <c r="BT47" s="188">
        <f>opex_orig!BK47</f>
        <v>9.7999999999999993E-7</v>
      </c>
      <c r="BU47" s="188">
        <f>opex_orig!BL47</f>
        <v>0</v>
      </c>
      <c r="BV47" s="27">
        <f>opex_orig!BM47</f>
        <v>4.0958013506644099E-6</v>
      </c>
      <c r="BW47" s="27">
        <f>opex_orig!BN47</f>
        <v>1.3428775780685999E-5</v>
      </c>
      <c r="BX47" s="27">
        <f>opex_orig!BO47</f>
        <v>2.5833204463812001E-6</v>
      </c>
      <c r="BY47" s="27">
        <f>opex_orig!BP47</f>
        <v>1.4001113517628399E-6</v>
      </c>
      <c r="BZ47" s="27">
        <f>opex_orig!BQ47</f>
        <v>1.01189401874373E-6</v>
      </c>
      <c r="CA47" s="27">
        <f>opex_orig!BR47</f>
        <v>8.3797909319862598E-7</v>
      </c>
      <c r="CB47" s="27">
        <f>opex_orig!BS47</f>
        <v>2.9623258007171299E-5</v>
      </c>
      <c r="CC47" s="27">
        <f>opex_orig!BT47</f>
        <v>1.1020913201086699E-6</v>
      </c>
      <c r="CD47" s="27">
        <f>opex_orig!BU47</f>
        <v>9.8653631831941001E-7</v>
      </c>
      <c r="CE47" s="27">
        <f>opex_orig!BV47</f>
        <v>9.8653631831941404E-7</v>
      </c>
      <c r="CF47" s="27">
        <f>opex_orig!BW47</f>
        <v>1.2936454349340599E-6</v>
      </c>
      <c r="CG47" s="27">
        <f>opex_orig!BX47</f>
        <v>1.4847069464920001E-6</v>
      </c>
      <c r="CH47" s="27">
        <f>opex_orig!BY47</f>
        <v>3.9198102138365202E-6</v>
      </c>
      <c r="CI47" s="27">
        <f>opex_orig!Y47</f>
        <v>1.5200000000000001E-6</v>
      </c>
      <c r="CJ47" s="27">
        <f>opex_orig!Z47</f>
        <v>2.9100000000000001E-6</v>
      </c>
      <c r="CK47" s="27">
        <f>opex_orig!AA47</f>
        <v>2.4499999999999998E-6</v>
      </c>
      <c r="CL47" s="27">
        <f>opex_orig!AB47</f>
        <v>1.13344920768648E-4</v>
      </c>
      <c r="CM47" s="27">
        <f>opex_orig!AC47</f>
        <v>4.77910742401214E-6</v>
      </c>
      <c r="CN47" s="27">
        <f>opex_orig!AD47</f>
        <v>2.2042340832206098E-6</v>
      </c>
      <c r="CO47" s="27">
        <f>opex_orig!AE47</f>
        <v>2.8399999999999999E-6</v>
      </c>
      <c r="CP47" s="27">
        <f>opex_orig!AF47</f>
        <v>5.66E-6</v>
      </c>
    </row>
    <row r="48" spans="1:94" x14ac:dyDescent="0.25">
      <c r="A48" s="5" t="s">
        <v>115</v>
      </c>
      <c r="B48" s="2" t="s">
        <v>114</v>
      </c>
      <c r="C48" s="1" t="s">
        <v>327</v>
      </c>
      <c r="D48" s="188">
        <f>opex_orig!D48</f>
        <v>5.7544599999999997E-4</v>
      </c>
      <c r="E48" s="188">
        <f>opex_orig!E48</f>
        <v>1.3332700000000001E-4</v>
      </c>
      <c r="F48" s="188">
        <f>opex_orig!F48</f>
        <v>1.18505E-4</v>
      </c>
      <c r="G48" s="188">
        <f>opex_orig!G48</f>
        <v>2.16E-5</v>
      </c>
      <c r="H48" s="188">
        <f>opex_orig!H48</f>
        <v>4.2700000000000001E-5</v>
      </c>
      <c r="I48" s="188">
        <f>opex_orig!I48</f>
        <v>1.8196900000000001E-4</v>
      </c>
      <c r="J48" s="188">
        <f>opex_orig!J48</f>
        <v>2.2003100000000001E-4</v>
      </c>
      <c r="K48" s="188">
        <f>opex_orig!K48</f>
        <v>6.6799999999999997E-5</v>
      </c>
      <c r="L48" s="188">
        <f>opex_orig!L48</f>
        <v>2.5670700000000001E-4</v>
      </c>
      <c r="M48" s="188">
        <f>opex_orig!M48</f>
        <v>7.2568199999999995E-4</v>
      </c>
      <c r="N48" s="188">
        <f>opex_orig!N48</f>
        <v>3.78246E-4</v>
      </c>
      <c r="O48" s="188">
        <f>opex_orig!O48</f>
        <v>2.0686500000000001E-4</v>
      </c>
      <c r="P48" s="188">
        <f>opex_orig!P48</f>
        <v>0.28902177800000001</v>
      </c>
      <c r="Q48" s="188">
        <f>opex_orig!Q48</f>
        <v>0.134086603</v>
      </c>
      <c r="R48" s="188">
        <f>opex_orig!R48</f>
        <v>2.4775579999999998E-2</v>
      </c>
      <c r="S48" s="188">
        <f>opex_orig!S48</f>
        <v>2.8015400000000001E-4</v>
      </c>
      <c r="T48" s="188">
        <f>opex_orig!T48</f>
        <v>3.2693899999999999E-4</v>
      </c>
      <c r="U48" s="188">
        <f>opex_orig!U48</f>
        <v>1.6234800000000001E-4</v>
      </c>
      <c r="V48" s="188">
        <f>opex_orig!V48</f>
        <v>1.7958199999999999E-4</v>
      </c>
      <c r="W48" s="188">
        <f>opex_orig!W48</f>
        <v>4.7331100000000002E-4</v>
      </c>
      <c r="X48" s="188">
        <f>opex_orig!X48</f>
        <v>1.114652E-3</v>
      </c>
      <c r="Y48" s="188">
        <f>opex_orig!Y48</f>
        <v>8.0900000000000001E-5</v>
      </c>
      <c r="Z48" s="188">
        <f>opex_orig!Z48</f>
        <v>2.2828099999999999E-4</v>
      </c>
      <c r="AA48" s="188">
        <f>opex_orig!AA48</f>
        <v>2.41668E-4</v>
      </c>
      <c r="AB48" s="188">
        <f>opex_orig!$AB48</f>
        <v>2.9201428210030698E-4</v>
      </c>
      <c r="AC48" s="188">
        <f>opex_orig!$AB48</f>
        <v>2.9201428210030698E-4</v>
      </c>
      <c r="AD48" s="188">
        <f>opex_orig!$AB48</f>
        <v>2.9201428210030698E-4</v>
      </c>
      <c r="AE48" s="188">
        <f>opex_orig!$AC48</f>
        <v>5.6713575971489003E-4</v>
      </c>
      <c r="AF48" s="188">
        <f>opex_orig!$AD48</f>
        <v>2.8362569155539401E-3</v>
      </c>
      <c r="AG48" s="188">
        <f>opex_orig!$AD48</f>
        <v>2.8362569155539401E-3</v>
      </c>
      <c r="AH48" s="188">
        <f>opex_orig!$AD48</f>
        <v>2.8362569155539401E-3</v>
      </c>
      <c r="AI48" s="188">
        <f>opex_orig!AE48</f>
        <v>2.8052160000000001E-3</v>
      </c>
      <c r="AJ48" s="188">
        <f>opex_orig!AF48</f>
        <v>2.1331457000000002E-2</v>
      </c>
      <c r="AK48" s="188">
        <f>opex_orig!AG48</f>
        <v>2.4486754999999999E-2</v>
      </c>
      <c r="AL48" s="188">
        <f>opex_orig!AH48</f>
        <v>4.1191900000000001E-4</v>
      </c>
      <c r="AM48" s="188">
        <f>opex_orig!AI48</f>
        <v>6.9438599999999996E-4</v>
      </c>
      <c r="AN48" s="188">
        <f>opex_orig!AJ48</f>
        <v>1.29512E-4</v>
      </c>
      <c r="AO48" s="188">
        <f>opex_orig!AK48</f>
        <v>2.5562099999999998E-4</v>
      </c>
      <c r="AP48" s="188">
        <f>opex_orig!$AL48</f>
        <v>1.8433744161579799E-4</v>
      </c>
      <c r="AQ48" s="188">
        <f>opex_orig!$AL48</f>
        <v>1.8433744161579799E-4</v>
      </c>
      <c r="AR48" s="188">
        <f>opex_orig!$AL48</f>
        <v>1.8433744161579799E-4</v>
      </c>
      <c r="AS48" s="188">
        <f>opex_orig!$AM48</f>
        <v>1.85776325150465E-4</v>
      </c>
      <c r="AT48" s="188">
        <f>opex_orig!AN48</f>
        <v>4.2423200000000003E-4</v>
      </c>
      <c r="AU48" s="188">
        <f>opex_orig!$AO48</f>
        <v>1.0786573041797601E-4</v>
      </c>
      <c r="AV48" s="188">
        <f>opex_orig!$AO48</f>
        <v>1.0786573041797601E-4</v>
      </c>
      <c r="AW48" s="188">
        <f>opex_orig!$AO48</f>
        <v>1.0786573041797601E-4</v>
      </c>
      <c r="AX48" s="188">
        <f>opex_orig!$AP48</f>
        <v>1.3616449906715E-4</v>
      </c>
      <c r="AY48" s="188">
        <f>opex_orig!AQ48</f>
        <v>1.5169599999999999E-4</v>
      </c>
      <c r="AZ48" s="188">
        <f>opex_orig!AR48</f>
        <v>0</v>
      </c>
      <c r="BA48" s="188">
        <f>opex_orig!AS48</f>
        <v>2.10633E-4</v>
      </c>
      <c r="BB48" s="188">
        <f>opex_orig!AT48</f>
        <v>2.0980400000000001E-4</v>
      </c>
      <c r="BC48" s="188">
        <f>opex_orig!AU48</f>
        <v>4.0299999999999997E-5</v>
      </c>
      <c r="BD48" s="188">
        <f>opex_orig!AV48</f>
        <v>3.65E-5</v>
      </c>
      <c r="BE48" s="188">
        <f>opex_orig!AW48</f>
        <v>8.53E-5</v>
      </c>
      <c r="BF48" s="188">
        <f>opex_orig!AX48</f>
        <v>0</v>
      </c>
      <c r="BG48" s="188">
        <f>opex_orig!AY48</f>
        <v>2.1680500000000001E-4</v>
      </c>
      <c r="BH48" s="188">
        <f>opex_orig!AZ48</f>
        <v>0</v>
      </c>
      <c r="BI48" s="188">
        <f>opex_orig!BA48</f>
        <v>1.6483099999999999E-4</v>
      </c>
      <c r="BJ48" s="188">
        <f>opex_orig!BB48</f>
        <v>2.6999680000000001E-3</v>
      </c>
      <c r="BK48" s="188">
        <f>opex_orig!BC48</f>
        <v>3.7122230000000002E-3</v>
      </c>
      <c r="BL48" s="188">
        <f>opex_orig!BD48</f>
        <v>1.3244799999999999E-4</v>
      </c>
      <c r="BM48" s="188">
        <f>opex_orig!BE48</f>
        <v>5.82513E-4</v>
      </c>
      <c r="BN48" s="188">
        <f>opex_orig!BF48</f>
        <v>2.3818299999999999E-4</v>
      </c>
      <c r="BO48" s="188">
        <f>opex_orig!BG48</f>
        <v>1.764837E-3</v>
      </c>
      <c r="BP48" s="205">
        <f>opex_concordance!M85</f>
        <v>1.0469640981401207E-2</v>
      </c>
      <c r="BQ48" s="205">
        <f>opex_concordance!M128</f>
        <v>6.1900020107460794E-3</v>
      </c>
      <c r="BR48" s="188">
        <f>opex_orig!BI48</f>
        <v>7.6535780000000003E-3</v>
      </c>
      <c r="BS48" s="188">
        <f>opex_orig!BJ48</f>
        <v>3.2708350000000001E-3</v>
      </c>
      <c r="BT48" s="188">
        <f>opex_orig!BK48</f>
        <v>1.6992099999999999E-4</v>
      </c>
      <c r="BU48" s="188">
        <f>opex_orig!BL48</f>
        <v>0</v>
      </c>
      <c r="BV48" s="27">
        <f>opex_orig!BM48</f>
        <v>7.5386595053572402E-5</v>
      </c>
      <c r="BW48" s="27">
        <f>opex_orig!BN48</f>
        <v>1.6009560217675599E-4</v>
      </c>
      <c r="BX48" s="27">
        <f>opex_orig!BO48</f>
        <v>2.4948937339294001E-5</v>
      </c>
      <c r="BY48" s="27">
        <f>opex_orig!BP48</f>
        <v>4.3437775850279297E-5</v>
      </c>
      <c r="BZ48" s="27">
        <f>opex_orig!BQ48</f>
        <v>5.9937241418060997E-5</v>
      </c>
      <c r="CA48" s="27">
        <f>opex_orig!BR48</f>
        <v>1.8156337284715901E-5</v>
      </c>
      <c r="CB48" s="27">
        <f>opex_orig!BS48</f>
        <v>2.5064436787536798E-4</v>
      </c>
      <c r="CC48" s="27">
        <f>opex_orig!BT48</f>
        <v>3.5868802762891103E-5</v>
      </c>
      <c r="CD48" s="27">
        <f>opex_orig!BU48</f>
        <v>3.2030499721002402E-5</v>
      </c>
      <c r="CE48" s="27">
        <f>opex_orig!BV48</f>
        <v>3.20304997210023E-5</v>
      </c>
      <c r="CF48" s="27">
        <f>opex_orig!BW48</f>
        <v>5.12791448645609E-5</v>
      </c>
      <c r="CG48" s="27">
        <f>opex_orig!BX48</f>
        <v>3.5391015542429998E-6</v>
      </c>
      <c r="CH48" s="27">
        <f>opex_orig!BY48</f>
        <v>5.3010809467246002E-5</v>
      </c>
      <c r="CI48" s="27">
        <f>opex_orig!Y48</f>
        <v>8.0900000000000001E-5</v>
      </c>
      <c r="CJ48" s="27">
        <f>opex_orig!Z48</f>
        <v>2.2828099999999999E-4</v>
      </c>
      <c r="CK48" s="27">
        <f>opex_orig!AA48</f>
        <v>2.41668E-4</v>
      </c>
      <c r="CL48" s="27">
        <f>opex_orig!AB48</f>
        <v>2.9201428210030698E-4</v>
      </c>
      <c r="CM48" s="27">
        <f>opex_orig!AC48</f>
        <v>5.6713575971489003E-4</v>
      </c>
      <c r="CN48" s="27">
        <f>opex_orig!AD48</f>
        <v>2.8362569155539401E-3</v>
      </c>
      <c r="CO48" s="27">
        <f>opex_orig!AE48</f>
        <v>2.8052160000000001E-3</v>
      </c>
      <c r="CP48" s="27">
        <f>opex_orig!AF48</f>
        <v>2.1331457000000002E-2</v>
      </c>
    </row>
    <row r="49" spans="1:94" x14ac:dyDescent="0.25">
      <c r="A49" s="5" t="s">
        <v>117</v>
      </c>
      <c r="B49" s="2" t="s">
        <v>116</v>
      </c>
      <c r="C49" s="1" t="s">
        <v>327</v>
      </c>
      <c r="D49" s="188">
        <f>opex_orig!D49</f>
        <v>7.9699999999999999E-6</v>
      </c>
      <c r="E49" s="188">
        <f>opex_orig!E49</f>
        <v>2.3700000000000002E-6</v>
      </c>
      <c r="F49" s="188">
        <f>opex_orig!F49</f>
        <v>5.8799999999999996E-6</v>
      </c>
      <c r="G49" s="188">
        <f>opex_orig!G49</f>
        <v>2.9400000000000001E-7</v>
      </c>
      <c r="H49" s="188">
        <f>opex_orig!H49</f>
        <v>1.08E-6</v>
      </c>
      <c r="I49" s="188">
        <f>opex_orig!I49</f>
        <v>2.7099999999999999E-6</v>
      </c>
      <c r="J49" s="188">
        <f>opex_orig!J49</f>
        <v>2.0999999999999998E-6</v>
      </c>
      <c r="K49" s="188">
        <f>opex_orig!K49</f>
        <v>4.63E-7</v>
      </c>
      <c r="L49" s="188">
        <f>opex_orig!L49</f>
        <v>5.2499999999999997E-6</v>
      </c>
      <c r="M49" s="188">
        <f>opex_orig!M49</f>
        <v>8.67E-6</v>
      </c>
      <c r="N49" s="188">
        <f>opex_orig!N49</f>
        <v>5.7200000000000003E-6</v>
      </c>
      <c r="O49" s="188">
        <f>opex_orig!O49</f>
        <v>7.0600000000000002E-6</v>
      </c>
      <c r="P49" s="188">
        <f>opex_orig!P49</f>
        <v>1.800362E-3</v>
      </c>
      <c r="Q49" s="188">
        <f>opex_orig!Q49</f>
        <v>0.278465617</v>
      </c>
      <c r="R49" s="188">
        <f>opex_orig!R49</f>
        <v>6.6711230000000002E-3</v>
      </c>
      <c r="S49" s="188">
        <f>opex_orig!S49</f>
        <v>5.0900000000000004E-6</v>
      </c>
      <c r="T49" s="188">
        <f>opex_orig!T49</f>
        <v>5.49E-6</v>
      </c>
      <c r="U49" s="188">
        <f>opex_orig!U49</f>
        <v>4.5700000000000003E-6</v>
      </c>
      <c r="V49" s="188">
        <f>opex_orig!V49</f>
        <v>5.1200000000000001E-6</v>
      </c>
      <c r="W49" s="188">
        <f>opex_orig!W49</f>
        <v>1.5500000000000001E-5</v>
      </c>
      <c r="X49" s="188">
        <f>opex_orig!X49</f>
        <v>1.0000000000000001E-5</v>
      </c>
      <c r="Y49" s="188">
        <f>opex_orig!Y49</f>
        <v>1.15E-6</v>
      </c>
      <c r="Z49" s="188">
        <f>opex_orig!Z49</f>
        <v>4.6E-6</v>
      </c>
      <c r="AA49" s="188">
        <f>opex_orig!AA49</f>
        <v>4.6199999999999998E-6</v>
      </c>
      <c r="AB49" s="188">
        <f>opex_orig!$AB49</f>
        <v>3.9937159948294E-6</v>
      </c>
      <c r="AC49" s="188">
        <f>opex_orig!$AB49</f>
        <v>3.9937159948294E-6</v>
      </c>
      <c r="AD49" s="188">
        <f>opex_orig!$AB49</f>
        <v>3.9937159948294E-6</v>
      </c>
      <c r="AE49" s="188">
        <f>opex_orig!$AC49</f>
        <v>3.74635817041086E-6</v>
      </c>
      <c r="AF49" s="188">
        <f>opex_orig!$AD49</f>
        <v>1.87546934869326E-5</v>
      </c>
      <c r="AG49" s="188">
        <f>opex_orig!$AD49</f>
        <v>1.87546934869326E-5</v>
      </c>
      <c r="AH49" s="188">
        <f>opex_orig!$AD49</f>
        <v>1.87546934869326E-5</v>
      </c>
      <c r="AI49" s="188">
        <f>opex_orig!AE49</f>
        <v>1.8899999999999999E-5</v>
      </c>
      <c r="AJ49" s="188">
        <f>opex_orig!AF49</f>
        <v>1.33497E-4</v>
      </c>
      <c r="AK49" s="188">
        <f>opex_orig!AG49</f>
        <v>1.6851400000000001E-4</v>
      </c>
      <c r="AL49" s="188">
        <f>opex_orig!AH49</f>
        <v>7.7700000000000001E-6</v>
      </c>
      <c r="AM49" s="188">
        <f>opex_orig!AI49</f>
        <v>8.8100000000000004E-6</v>
      </c>
      <c r="AN49" s="188">
        <f>opex_orig!AJ49</f>
        <v>4.4900000000000002E-6</v>
      </c>
      <c r="AO49" s="188">
        <f>opex_orig!AK49</f>
        <v>6.2999999999999998E-6</v>
      </c>
      <c r="AP49" s="188">
        <f>opex_orig!$AL49</f>
        <v>3.8488087742265197E-6</v>
      </c>
      <c r="AQ49" s="188">
        <f>opex_orig!$AL49</f>
        <v>3.8488087742265197E-6</v>
      </c>
      <c r="AR49" s="188">
        <f>opex_orig!$AL49</f>
        <v>3.8488087742265197E-6</v>
      </c>
      <c r="AS49" s="188">
        <f>opex_orig!$AM49</f>
        <v>3.7644988565453001E-6</v>
      </c>
      <c r="AT49" s="188">
        <f>opex_orig!AN49</f>
        <v>7.3499999999999999E-6</v>
      </c>
      <c r="AU49" s="188">
        <f>opex_orig!$AO49</f>
        <v>5.4997797144517398E-6</v>
      </c>
      <c r="AV49" s="188">
        <f>opex_orig!$AO49</f>
        <v>5.4997797144517398E-6</v>
      </c>
      <c r="AW49" s="188">
        <f>opex_orig!$AO49</f>
        <v>5.4997797144517398E-6</v>
      </c>
      <c r="AX49" s="188">
        <f>opex_orig!$AP49</f>
        <v>6.3418579603049303E-6</v>
      </c>
      <c r="AY49" s="188">
        <f>opex_orig!AQ49</f>
        <v>6.4899999999999997E-6</v>
      </c>
      <c r="AZ49" s="188">
        <f>opex_orig!AR49</f>
        <v>0</v>
      </c>
      <c r="BA49" s="188">
        <f>opex_orig!AS49</f>
        <v>5.8799999999999996E-6</v>
      </c>
      <c r="BB49" s="188">
        <f>opex_orig!AT49</f>
        <v>5.66E-6</v>
      </c>
      <c r="BC49" s="188">
        <f>opex_orig!AU49</f>
        <v>2.7300000000000001E-6</v>
      </c>
      <c r="BD49" s="188">
        <f>opex_orig!AV49</f>
        <v>2.52E-6</v>
      </c>
      <c r="BE49" s="188">
        <f>opex_orig!AW49</f>
        <v>3.3799999999999998E-6</v>
      </c>
      <c r="BF49" s="188">
        <f>opex_orig!AX49</f>
        <v>0</v>
      </c>
      <c r="BG49" s="188">
        <f>opex_orig!AY49</f>
        <v>3.8600000000000003E-6</v>
      </c>
      <c r="BH49" s="188">
        <f>opex_orig!AZ49</f>
        <v>0</v>
      </c>
      <c r="BI49" s="188">
        <f>opex_orig!BA49</f>
        <v>9.91E-6</v>
      </c>
      <c r="BJ49" s="188">
        <f>opex_orig!BB49</f>
        <v>3.5099999999999999E-5</v>
      </c>
      <c r="BK49" s="188">
        <f>opex_orig!BC49</f>
        <v>3.3200000000000001E-5</v>
      </c>
      <c r="BL49" s="188">
        <f>opex_orig!BD49</f>
        <v>5.0100000000000003E-6</v>
      </c>
      <c r="BM49" s="188">
        <f>opex_orig!BE49</f>
        <v>1.2099999999999999E-5</v>
      </c>
      <c r="BN49" s="188">
        <f>opex_orig!BF49</f>
        <v>1.19E-5</v>
      </c>
      <c r="BO49" s="188">
        <f>opex_orig!BG49</f>
        <v>1.8099999999999999E-5</v>
      </c>
      <c r="BP49" s="188">
        <f>opex_orig!$BH49</f>
        <v>7.7052965174381302E-5</v>
      </c>
      <c r="BQ49" s="188">
        <f>opex_orig!$BH49</f>
        <v>7.7052965174381302E-5</v>
      </c>
      <c r="BR49" s="188">
        <f>opex_orig!BI49</f>
        <v>5.7200000000000001E-5</v>
      </c>
      <c r="BS49" s="188">
        <f>opex_orig!BJ49</f>
        <v>4.7700000000000001E-5</v>
      </c>
      <c r="BT49" s="188">
        <f>opex_orig!BK49</f>
        <v>1.55E-6</v>
      </c>
      <c r="BU49" s="188">
        <f>opex_orig!BL49</f>
        <v>0</v>
      </c>
      <c r="BV49" s="27">
        <f>opex_orig!BM49</f>
        <v>1.6104253864852199E-6</v>
      </c>
      <c r="BW49" s="27">
        <f>opex_orig!BN49</f>
        <v>2.7196791191272901E-6</v>
      </c>
      <c r="BX49" s="27">
        <f>opex_orig!BO49</f>
        <v>8.6580073394470405E-7</v>
      </c>
      <c r="BY49" s="27">
        <f>opex_orig!BP49</f>
        <v>1.0664788019114999E-6</v>
      </c>
      <c r="BZ49" s="27">
        <f>opex_orig!BQ49</f>
        <v>1.4929371201816201E-6</v>
      </c>
      <c r="CA49" s="27">
        <f>opex_orig!BR49</f>
        <v>3.6647292462081003E-7</v>
      </c>
      <c r="CB49" s="27">
        <f>opex_orig!BS49</f>
        <v>2.48266787941098E-6</v>
      </c>
      <c r="CC49" s="27">
        <f>opex_orig!BT49</f>
        <v>8.0246882193531494E-6</v>
      </c>
      <c r="CD49" s="27">
        <f>opex_orig!BU49</f>
        <v>6.1016822465103305E-7</v>
      </c>
      <c r="CE49" s="27">
        <f>opex_orig!BV49</f>
        <v>6.1016822465103496E-7</v>
      </c>
      <c r="CF49" s="27">
        <f>opex_orig!BW49</f>
        <v>2.4480172394514001E-5</v>
      </c>
      <c r="CG49" s="27">
        <f>opex_orig!BX49</f>
        <v>7.21361392866545E-7</v>
      </c>
      <c r="CH49" s="27">
        <f>opex_orig!BY49</f>
        <v>6.01472999163291E-6</v>
      </c>
      <c r="CI49" s="27">
        <f>opex_orig!Y49</f>
        <v>1.15E-6</v>
      </c>
      <c r="CJ49" s="27">
        <f>opex_orig!Z49</f>
        <v>4.6E-6</v>
      </c>
      <c r="CK49" s="27">
        <f>opex_orig!AA49</f>
        <v>4.6199999999999998E-6</v>
      </c>
      <c r="CL49" s="27">
        <f>opex_orig!AB49</f>
        <v>3.9937159948294E-6</v>
      </c>
      <c r="CM49" s="27">
        <f>opex_orig!AC49</f>
        <v>3.74635817041086E-6</v>
      </c>
      <c r="CN49" s="27">
        <f>opex_orig!AD49</f>
        <v>1.87546934869326E-5</v>
      </c>
      <c r="CO49" s="27">
        <f>opex_orig!AE49</f>
        <v>1.8899999999999999E-5</v>
      </c>
      <c r="CP49" s="27">
        <f>opex_orig!AF49</f>
        <v>1.33497E-4</v>
      </c>
    </row>
    <row r="50" spans="1:94" x14ac:dyDescent="0.25">
      <c r="A50" s="5" t="s">
        <v>119</v>
      </c>
      <c r="B50" s="2" t="s">
        <v>118</v>
      </c>
      <c r="C50" s="1" t="s">
        <v>327</v>
      </c>
      <c r="D50" s="188">
        <f>opex_orig!D50</f>
        <v>1.5800000000000001E-5</v>
      </c>
      <c r="E50" s="188">
        <f>opex_orig!E50</f>
        <v>3.72E-6</v>
      </c>
      <c r="F50" s="188">
        <f>opex_orig!F50</f>
        <v>6.7100000000000001E-6</v>
      </c>
      <c r="G50" s="188">
        <f>opex_orig!G50</f>
        <v>2.84E-7</v>
      </c>
      <c r="H50" s="188">
        <f>opex_orig!H50</f>
        <v>4.27E-7</v>
      </c>
      <c r="I50" s="188">
        <f>opex_orig!I50</f>
        <v>4.25E-6</v>
      </c>
      <c r="J50" s="188">
        <f>opex_orig!J50</f>
        <v>8.5599999999999994E-6</v>
      </c>
      <c r="K50" s="188">
        <f>opex_orig!K50</f>
        <v>5.9100000000000004E-7</v>
      </c>
      <c r="L50" s="188">
        <f>opex_orig!L50</f>
        <v>1.5699999999999999E-5</v>
      </c>
      <c r="M50" s="188">
        <f>opex_orig!M50</f>
        <v>1.26E-5</v>
      </c>
      <c r="N50" s="188">
        <f>opex_orig!N50</f>
        <v>1.06E-5</v>
      </c>
      <c r="O50" s="188">
        <f>opex_orig!O50</f>
        <v>5.8900000000000004E-6</v>
      </c>
      <c r="P50" s="188">
        <f>opex_orig!P50</f>
        <v>6.2199999999999994E-5</v>
      </c>
      <c r="Q50" s="188">
        <f>opex_orig!Q50</f>
        <v>1.355754E-3</v>
      </c>
      <c r="R50" s="188">
        <f>opex_orig!R50</f>
        <v>0.47185125100000003</v>
      </c>
      <c r="S50" s="188">
        <f>opex_orig!S50</f>
        <v>7.4200000000000001E-6</v>
      </c>
      <c r="T50" s="188">
        <f>opex_orig!T50</f>
        <v>7.79E-6</v>
      </c>
      <c r="U50" s="188">
        <f>opex_orig!U50</f>
        <v>6.63E-6</v>
      </c>
      <c r="V50" s="188">
        <f>opex_orig!V50</f>
        <v>6.1800000000000001E-6</v>
      </c>
      <c r="W50" s="188">
        <f>opex_orig!W50</f>
        <v>2.0699999999999998E-5</v>
      </c>
      <c r="X50" s="188">
        <f>opex_orig!X50</f>
        <v>7.9300000000000003E-6</v>
      </c>
      <c r="Y50" s="188">
        <f>opex_orig!Y50</f>
        <v>4.3800000000000004E-6</v>
      </c>
      <c r="Z50" s="188">
        <f>opex_orig!Z50</f>
        <v>5.5500000000000002E-6</v>
      </c>
      <c r="AA50" s="188">
        <f>opex_orig!AA50</f>
        <v>3.0199999999999999E-6</v>
      </c>
      <c r="AB50" s="188">
        <f>opex_orig!$AB50</f>
        <v>4.6404280930667401E-6</v>
      </c>
      <c r="AC50" s="188">
        <f>opex_orig!$AB50</f>
        <v>4.6404280930667401E-6</v>
      </c>
      <c r="AD50" s="188">
        <f>opex_orig!$AB50</f>
        <v>4.6404280930667401E-6</v>
      </c>
      <c r="AE50" s="188">
        <f>opex_orig!$AC50</f>
        <v>2.0018004468520099E-6</v>
      </c>
      <c r="AF50" s="188">
        <f>opex_orig!$AD50</f>
        <v>3.59962801255467E-6</v>
      </c>
      <c r="AG50" s="188">
        <f>opex_orig!$AD50</f>
        <v>3.59962801255467E-6</v>
      </c>
      <c r="AH50" s="188">
        <f>opex_orig!$AD50</f>
        <v>3.59962801255467E-6</v>
      </c>
      <c r="AI50" s="188">
        <f>opex_orig!AE50</f>
        <v>3.7400000000000002E-6</v>
      </c>
      <c r="AJ50" s="188">
        <f>opex_orig!AF50</f>
        <v>1.7900000000000001E-5</v>
      </c>
      <c r="AK50" s="188">
        <f>opex_orig!AG50</f>
        <v>9.0799999999999998E-5</v>
      </c>
      <c r="AL50" s="188">
        <f>opex_orig!AH50</f>
        <v>7.96E-6</v>
      </c>
      <c r="AM50" s="188">
        <f>opex_orig!AI50</f>
        <v>1.03E-5</v>
      </c>
      <c r="AN50" s="188">
        <f>opex_orig!AJ50</f>
        <v>4.6700000000000002E-6</v>
      </c>
      <c r="AO50" s="188">
        <f>opex_orig!AK50</f>
        <v>4.95E-6</v>
      </c>
      <c r="AP50" s="188">
        <f>opex_orig!$AL50</f>
        <v>4.2862781362918497E-6</v>
      </c>
      <c r="AQ50" s="188">
        <f>opex_orig!$AL50</f>
        <v>4.2862781362918497E-6</v>
      </c>
      <c r="AR50" s="188">
        <f>opex_orig!$AL50</f>
        <v>4.2862781362918497E-6</v>
      </c>
      <c r="AS50" s="188">
        <f>opex_orig!$AM50</f>
        <v>4.0189952039578999E-6</v>
      </c>
      <c r="AT50" s="188">
        <f>opex_orig!AN50</f>
        <v>7.0899999999999999E-6</v>
      </c>
      <c r="AU50" s="188">
        <f>opex_orig!$AO50</f>
        <v>6.9958840076039602E-6</v>
      </c>
      <c r="AV50" s="188">
        <f>opex_orig!$AO50</f>
        <v>6.9958840076039602E-6</v>
      </c>
      <c r="AW50" s="188">
        <f>opex_orig!$AO50</f>
        <v>6.9958840076039602E-6</v>
      </c>
      <c r="AX50" s="188">
        <f>opex_orig!$AP50</f>
        <v>7.5282174288838004E-6</v>
      </c>
      <c r="AY50" s="188">
        <f>opex_orig!AQ50</f>
        <v>9.3400000000000004E-6</v>
      </c>
      <c r="AZ50" s="188">
        <f>opex_orig!AR50</f>
        <v>0</v>
      </c>
      <c r="BA50" s="188">
        <f>opex_orig!AS50</f>
        <v>8.1300000000000001E-6</v>
      </c>
      <c r="BB50" s="188">
        <f>opex_orig!AT50</f>
        <v>7.7800000000000001E-6</v>
      </c>
      <c r="BC50" s="188">
        <f>opex_orig!AU50</f>
        <v>1.6199999999999999E-6</v>
      </c>
      <c r="BD50" s="188">
        <f>opex_orig!AV50</f>
        <v>1.24E-6</v>
      </c>
      <c r="BE50" s="188">
        <f>opex_orig!AW50</f>
        <v>5.4399999999999996E-6</v>
      </c>
      <c r="BF50" s="188">
        <f>opex_orig!AX50</f>
        <v>0</v>
      </c>
      <c r="BG50" s="188">
        <f>opex_orig!AY50</f>
        <v>1.01E-5</v>
      </c>
      <c r="BH50" s="188">
        <f>opex_orig!AZ50</f>
        <v>0</v>
      </c>
      <c r="BI50" s="188">
        <f>opex_orig!BA50</f>
        <v>7.79E-6</v>
      </c>
      <c r="BJ50" s="188">
        <f>opex_orig!BB50</f>
        <v>1.7900000000000001E-5</v>
      </c>
      <c r="BK50" s="188">
        <f>opex_orig!BC50</f>
        <v>8.8599999999999999E-6</v>
      </c>
      <c r="BL50" s="188">
        <f>opex_orig!BD50</f>
        <v>1.7E-5</v>
      </c>
      <c r="BM50" s="188">
        <f>opex_orig!BE50</f>
        <v>2.7800000000000001E-5</v>
      </c>
      <c r="BN50" s="188">
        <f>opex_orig!BF50</f>
        <v>9.9699999999999998E-5</v>
      </c>
      <c r="BO50" s="188">
        <f>opex_orig!BG50</f>
        <v>2.9099999999999999E-5</v>
      </c>
      <c r="BP50" s="188">
        <f>opex_orig!$BH50</f>
        <v>6.7204607742409595E-5</v>
      </c>
      <c r="BQ50" s="188">
        <f>opex_orig!$BH50</f>
        <v>6.7204607742409595E-5</v>
      </c>
      <c r="BR50" s="188">
        <f>opex_orig!BI50</f>
        <v>4.18E-5</v>
      </c>
      <c r="BS50" s="188">
        <f>opex_orig!BJ50</f>
        <v>1.21033E-4</v>
      </c>
      <c r="BT50" s="188">
        <f>opex_orig!BK50</f>
        <v>5.7300000000000002E-6</v>
      </c>
      <c r="BU50" s="188">
        <f>opex_orig!BL50</f>
        <v>0</v>
      </c>
      <c r="BV50" s="27">
        <f>opex_orig!BM50</f>
        <v>1.7604852424847899E-6</v>
      </c>
      <c r="BW50" s="27">
        <f>opex_orig!BN50</f>
        <v>2.95970951753323E-6</v>
      </c>
      <c r="BX50" s="27">
        <f>opex_orig!BO50</f>
        <v>9.5815645015156594E-7</v>
      </c>
      <c r="BY50" s="27">
        <f>opex_orig!BP50</f>
        <v>7.14726786245756E-7</v>
      </c>
      <c r="BZ50" s="27">
        <f>opex_orig!BQ50</f>
        <v>6.2282904416479396E-7</v>
      </c>
      <c r="CA50" s="27">
        <f>opex_orig!BR50</f>
        <v>6.10649448776822E-7</v>
      </c>
      <c r="CB50" s="27">
        <f>opex_orig!BS50</f>
        <v>2.7664162520423698E-6</v>
      </c>
      <c r="CC50" s="27">
        <f>opex_orig!BT50</f>
        <v>6.6973429401645503E-6</v>
      </c>
      <c r="CD50" s="27">
        <f>opex_orig!BU50</f>
        <v>4.91613032114312E-7</v>
      </c>
      <c r="CE50" s="27">
        <f>opex_orig!BV50</f>
        <v>4.9161303211431295E-7</v>
      </c>
      <c r="CF50" s="27">
        <f>opex_orig!BW50</f>
        <v>4.1638127709147501E-6</v>
      </c>
      <c r="CG50" s="27">
        <f>opex_orig!BX50</f>
        <v>3.61659053187557E-7</v>
      </c>
      <c r="CH50" s="27">
        <f>opex_orig!BY50</f>
        <v>8.9242126458808296E-6</v>
      </c>
      <c r="CI50" s="27">
        <f>opex_orig!Y50</f>
        <v>4.3800000000000004E-6</v>
      </c>
      <c r="CJ50" s="27">
        <f>opex_orig!Z50</f>
        <v>5.5500000000000002E-6</v>
      </c>
      <c r="CK50" s="27">
        <f>opex_orig!AA50</f>
        <v>3.0199999999999999E-6</v>
      </c>
      <c r="CL50" s="27">
        <f>opex_orig!AB50</f>
        <v>4.6404280930667401E-6</v>
      </c>
      <c r="CM50" s="27">
        <f>opex_orig!AC50</f>
        <v>2.0018004468520099E-6</v>
      </c>
      <c r="CN50" s="27">
        <f>opex_orig!AD50</f>
        <v>3.59962801255467E-6</v>
      </c>
      <c r="CO50" s="27">
        <f>opex_orig!AE50</f>
        <v>3.7400000000000002E-6</v>
      </c>
      <c r="CP50" s="27">
        <f>opex_orig!AF50</f>
        <v>1.7900000000000001E-5</v>
      </c>
    </row>
    <row r="51" spans="1:94" x14ac:dyDescent="0.25">
      <c r="A51" s="5" t="s">
        <v>121</v>
      </c>
      <c r="B51" s="2" t="s">
        <v>120</v>
      </c>
      <c r="C51" s="1" t="s">
        <v>327</v>
      </c>
      <c r="D51" s="188">
        <f>opex_orig!D51</f>
        <v>4.1513299999999998E-4</v>
      </c>
      <c r="E51" s="188">
        <f>opex_orig!E51</f>
        <v>1.9435000000000001E-4</v>
      </c>
      <c r="F51" s="188">
        <f>opex_orig!F51</f>
        <v>1.64253E-4</v>
      </c>
      <c r="G51" s="188">
        <f>opex_orig!G51</f>
        <v>5.13E-5</v>
      </c>
      <c r="H51" s="188">
        <f>opex_orig!H51</f>
        <v>5.3499999999999999E-5</v>
      </c>
      <c r="I51" s="188">
        <f>opex_orig!I51</f>
        <v>3.6817799999999998E-4</v>
      </c>
      <c r="J51" s="188">
        <f>opex_orig!J51</f>
        <v>5.35882E-4</v>
      </c>
      <c r="K51" s="188">
        <f>opex_orig!K51</f>
        <v>1.0163200000000001E-4</v>
      </c>
      <c r="L51" s="188">
        <f>opex_orig!L51</f>
        <v>5.5251300000000003E-4</v>
      </c>
      <c r="M51" s="188">
        <f>opex_orig!M51</f>
        <v>1.163421E-3</v>
      </c>
      <c r="N51" s="188">
        <f>opex_orig!N51</f>
        <v>8.5625100000000004E-4</v>
      </c>
      <c r="O51" s="188">
        <f>opex_orig!O51</f>
        <v>3.9254140000000003E-3</v>
      </c>
      <c r="P51" s="188">
        <f>opex_orig!P51</f>
        <v>1.0979290000000001E-3</v>
      </c>
      <c r="Q51" s="188">
        <f>opex_orig!Q51</f>
        <v>4.5521400000000001E-4</v>
      </c>
      <c r="R51" s="188">
        <f>opex_orig!R51</f>
        <v>6.2751199999999999E-4</v>
      </c>
      <c r="S51" s="188">
        <f>opex_orig!S51</f>
        <v>0.19527950599999999</v>
      </c>
      <c r="T51" s="188">
        <f>opex_orig!T51</f>
        <v>0.201708093</v>
      </c>
      <c r="U51" s="188">
        <f>opex_orig!U51</f>
        <v>7.5990184000000002E-2</v>
      </c>
      <c r="V51" s="188">
        <f>opex_orig!V51</f>
        <v>1.2860549999999999E-3</v>
      </c>
      <c r="W51" s="188">
        <f>opex_orig!W51</f>
        <v>3.7197921000000002E-2</v>
      </c>
      <c r="X51" s="188">
        <f>opex_orig!X51</f>
        <v>1.0097839999999999E-3</v>
      </c>
      <c r="Y51" s="188">
        <f>opex_orig!Y51</f>
        <v>1.42211E-4</v>
      </c>
      <c r="Z51" s="188">
        <f>opex_orig!Z51</f>
        <v>3.4868399999999998E-4</v>
      </c>
      <c r="AA51" s="188">
        <f>opex_orig!AA51</f>
        <v>5.4027700000000003E-4</v>
      </c>
      <c r="AB51" s="188">
        <f>opex_orig!$AB51</f>
        <v>2.71673886211382E-4</v>
      </c>
      <c r="AC51" s="188">
        <f>opex_orig!$AB51</f>
        <v>2.71673886211382E-4</v>
      </c>
      <c r="AD51" s="188">
        <f>opex_orig!$AB51</f>
        <v>2.71673886211382E-4</v>
      </c>
      <c r="AE51" s="188">
        <f>opex_orig!$AC51</f>
        <v>2.3819806318764801E-3</v>
      </c>
      <c r="AF51" s="188">
        <f>opex_orig!$AD51</f>
        <v>7.4207903223627602E-4</v>
      </c>
      <c r="AG51" s="188">
        <f>opex_orig!$AD51</f>
        <v>7.4207903223627602E-4</v>
      </c>
      <c r="AH51" s="188">
        <f>opex_orig!$AD51</f>
        <v>7.4207903223627602E-4</v>
      </c>
      <c r="AI51" s="188">
        <f>opex_orig!AE51</f>
        <v>6.8092700000000001E-4</v>
      </c>
      <c r="AJ51" s="188">
        <f>opex_orig!AF51</f>
        <v>2.7066709999999999E-3</v>
      </c>
      <c r="AK51" s="188">
        <f>opex_orig!AG51</f>
        <v>8.3693589999999998E-3</v>
      </c>
      <c r="AL51" s="188">
        <f>opex_orig!AH51</f>
        <v>6.0603590000000004E-3</v>
      </c>
      <c r="AM51" s="188">
        <f>opex_orig!AI51</f>
        <v>1.1081094999999999E-2</v>
      </c>
      <c r="AN51" s="188">
        <f>opex_orig!AJ51</f>
        <v>1.3033045E-2</v>
      </c>
      <c r="AO51" s="188">
        <f>opex_orig!AK51</f>
        <v>5.1698040000000001E-3</v>
      </c>
      <c r="AP51" s="188">
        <f>opex_orig!$AL51</f>
        <v>1.2536370173504799E-3</v>
      </c>
      <c r="AQ51" s="188">
        <f>opex_orig!$AL51</f>
        <v>1.2536370173504799E-3</v>
      </c>
      <c r="AR51" s="188">
        <f>opex_orig!$AL51</f>
        <v>1.2536370173504799E-3</v>
      </c>
      <c r="AS51" s="188">
        <f>opex_orig!$AM51</f>
        <v>1.1594382829699899E-3</v>
      </c>
      <c r="AT51" s="188">
        <f>opex_orig!AN51</f>
        <v>4.4175550000000001E-3</v>
      </c>
      <c r="AU51" s="247">
        <f>opex_concordance!M597</f>
        <v>2.7790431304786499E-2</v>
      </c>
      <c r="AV51" s="247">
        <f>opex_concordance!M643</f>
        <v>3.7753202988794685E-2</v>
      </c>
      <c r="AW51" s="247">
        <f>opex_concordance!M689</f>
        <v>3.116612624229256E-2</v>
      </c>
      <c r="AX51" s="188">
        <f>opex_orig!$AP51</f>
        <v>3.1783979298286198E-2</v>
      </c>
      <c r="AY51" s="188">
        <f>opex_orig!AQ51</f>
        <v>6.2069394999999999E-2</v>
      </c>
      <c r="AZ51" s="188">
        <f>opex_orig!AR51</f>
        <v>0</v>
      </c>
      <c r="BA51" s="188">
        <f>opex_orig!AS51</f>
        <v>3.3793704000000001E-2</v>
      </c>
      <c r="BB51" s="188">
        <f>opex_orig!AT51</f>
        <v>3.3573730000000003E-2</v>
      </c>
      <c r="BC51" s="188">
        <f>opex_orig!AU51</f>
        <v>7.2049200000000001E-3</v>
      </c>
      <c r="BD51" s="188">
        <f>opex_orig!AV51</f>
        <v>5.3222779999999997E-3</v>
      </c>
      <c r="BE51" s="188">
        <f>opex_orig!AW51</f>
        <v>2.1147239000000002E-2</v>
      </c>
      <c r="BF51" s="188">
        <f>opex_orig!AX51</f>
        <v>0</v>
      </c>
      <c r="BG51" s="188">
        <f>opex_orig!AY51</f>
        <v>4.5336178999999997E-2</v>
      </c>
      <c r="BH51" s="188">
        <f>opex_orig!AZ51</f>
        <v>0</v>
      </c>
      <c r="BI51" s="188">
        <f>opex_orig!BA51</f>
        <v>5.4107453999999999E-2</v>
      </c>
      <c r="BJ51" s="188">
        <f>opex_orig!BB51</f>
        <v>1.8503219999999999E-3</v>
      </c>
      <c r="BK51" s="188">
        <f>opex_orig!BC51</f>
        <v>1.973631E-3</v>
      </c>
      <c r="BL51" s="188">
        <f>opex_orig!BD51</f>
        <v>9.0099999999999995E-5</v>
      </c>
      <c r="BM51" s="188">
        <f>opex_orig!BE51</f>
        <v>7.0293999999999999E-4</v>
      </c>
      <c r="BN51" s="188">
        <f>opex_orig!BF51</f>
        <v>9.2744699999999997E-4</v>
      </c>
      <c r="BO51" s="188">
        <f>opex_orig!BG51</f>
        <v>3.2789709999999999E-3</v>
      </c>
      <c r="BP51" s="310">
        <f>opex_concordance!M86</f>
        <v>1.3352290452847526E-2</v>
      </c>
      <c r="BQ51" s="310">
        <f>opex_concordance!M129</f>
        <v>7.8943208174966743E-3</v>
      </c>
      <c r="BR51" s="188">
        <f>opex_orig!BI51</f>
        <v>3.9353729999999998E-3</v>
      </c>
      <c r="BS51" s="188">
        <f>opex_orig!BJ51</f>
        <v>5.7714612999999998E-2</v>
      </c>
      <c r="BT51" s="188">
        <f>opex_orig!BK51</f>
        <v>2.9907689999999999E-3</v>
      </c>
      <c r="BU51" s="188">
        <f>opex_orig!BL51</f>
        <v>0</v>
      </c>
      <c r="BV51" s="27">
        <f>opex_orig!BM51</f>
        <v>4.4582490103133097E-4</v>
      </c>
      <c r="BW51" s="27">
        <f>opex_orig!BN51</f>
        <v>7.1196309553209398E-4</v>
      </c>
      <c r="BX51" s="27">
        <f>opex_orig!BO51</f>
        <v>2.13522569107786E-4</v>
      </c>
      <c r="BY51" s="27">
        <f>opex_orig!BP51</f>
        <v>2.3676825782057399E-4</v>
      </c>
      <c r="BZ51" s="27">
        <f>opex_orig!BQ51</f>
        <v>2.5193515424108801E-4</v>
      </c>
      <c r="CA51" s="27">
        <f>opex_orig!BR51</f>
        <v>1.85400503554303E-4</v>
      </c>
      <c r="CB51" s="27">
        <f>opex_orig!BS51</f>
        <v>6.5517888795054498E-4</v>
      </c>
      <c r="CC51" s="27">
        <f>opex_orig!BT51</f>
        <v>1.9985969887756001E-3</v>
      </c>
      <c r="CD51" s="27">
        <f>opex_orig!BU51</f>
        <v>1.20007986034433E-4</v>
      </c>
      <c r="CE51" s="27">
        <f>opex_orig!BV51</f>
        <v>1.20007986034433E-4</v>
      </c>
      <c r="CF51" s="27">
        <f>opex_orig!BW51</f>
        <v>1.00780297849118E-4</v>
      </c>
      <c r="CG51" s="27">
        <f>opex_orig!BX51</f>
        <v>1.28763982625229E-5</v>
      </c>
      <c r="CH51" s="27">
        <f>opex_orig!BY51</f>
        <v>2.43710791122305E-5</v>
      </c>
      <c r="CI51" s="27">
        <f>opex_orig!Y51</f>
        <v>1.42211E-4</v>
      </c>
      <c r="CJ51" s="27">
        <f>opex_orig!Z51</f>
        <v>3.4868399999999998E-4</v>
      </c>
      <c r="CK51" s="27">
        <f>opex_orig!AA51</f>
        <v>5.4027700000000003E-4</v>
      </c>
      <c r="CL51" s="27">
        <f>opex_orig!AB51</f>
        <v>2.71673886211382E-4</v>
      </c>
      <c r="CM51" s="27">
        <f>opex_orig!AC51</f>
        <v>2.3819806318764801E-3</v>
      </c>
      <c r="CN51" s="27">
        <f>opex_orig!AD51</f>
        <v>7.4207903223627602E-4</v>
      </c>
      <c r="CO51" s="27">
        <f>opex_orig!AE51</f>
        <v>6.8092700000000001E-4</v>
      </c>
      <c r="CP51" s="27">
        <f>opex_orig!AF51</f>
        <v>2.7066709999999999E-3</v>
      </c>
    </row>
    <row r="52" spans="1:94" x14ac:dyDescent="0.25">
      <c r="A52" s="5" t="s">
        <v>123</v>
      </c>
      <c r="B52" s="2" t="s">
        <v>122</v>
      </c>
      <c r="C52" s="1" t="s">
        <v>327</v>
      </c>
      <c r="D52" s="188">
        <f>opex_orig!D52</f>
        <v>4.5800000000000002E-5</v>
      </c>
      <c r="E52" s="188">
        <f>opex_orig!E52</f>
        <v>1.6699999999999999E-5</v>
      </c>
      <c r="F52" s="188">
        <f>opex_orig!F52</f>
        <v>1.31E-5</v>
      </c>
      <c r="G52" s="188">
        <f>opex_orig!G52</f>
        <v>2.83E-6</v>
      </c>
      <c r="H52" s="188">
        <f>opex_orig!H52</f>
        <v>3.54E-6</v>
      </c>
      <c r="I52" s="188">
        <f>opex_orig!I52</f>
        <v>3.4E-5</v>
      </c>
      <c r="J52" s="188">
        <f>opex_orig!J52</f>
        <v>3.5299999999999997E-5</v>
      </c>
      <c r="K52" s="188">
        <f>opex_orig!K52</f>
        <v>5.9100000000000002E-6</v>
      </c>
      <c r="L52" s="188">
        <f>opex_orig!L52</f>
        <v>3.7799999999999997E-5</v>
      </c>
      <c r="M52" s="188">
        <f>opex_orig!M52</f>
        <v>8.2100000000000003E-5</v>
      </c>
      <c r="N52" s="188">
        <f>opex_orig!N52</f>
        <v>5.4299999999999998E-5</v>
      </c>
      <c r="O52" s="188">
        <f>opex_orig!O52</f>
        <v>2.50578E-4</v>
      </c>
      <c r="P52" s="188">
        <f>opex_orig!P52</f>
        <v>9.3900000000000006E-5</v>
      </c>
      <c r="Q52" s="188">
        <f>opex_orig!Q52</f>
        <v>5.5600000000000003E-5</v>
      </c>
      <c r="R52" s="188">
        <f>opex_orig!R52</f>
        <v>1.6269900000000001E-4</v>
      </c>
      <c r="S52" s="188">
        <f>opex_orig!S52</f>
        <v>1.5677152E-2</v>
      </c>
      <c r="T52" s="188">
        <f>opex_orig!T52</f>
        <v>1.6236433000000002E-2</v>
      </c>
      <c r="U52" s="188">
        <f>opex_orig!U52</f>
        <v>6.1790389999999999E-3</v>
      </c>
      <c r="V52" s="188">
        <f>opex_orig!V52</f>
        <v>9.6299999999999996E-5</v>
      </c>
      <c r="W52" s="188">
        <f>opex_orig!W52</f>
        <v>3.0519050000000002E-3</v>
      </c>
      <c r="X52" s="188">
        <f>opex_orig!X52</f>
        <v>1.0691099999999999E-4</v>
      </c>
      <c r="Y52" s="188">
        <f>opex_orig!Y52</f>
        <v>1.11E-5</v>
      </c>
      <c r="Z52" s="188">
        <f>opex_orig!Z52</f>
        <v>1.8E-5</v>
      </c>
      <c r="AA52" s="188">
        <f>opex_orig!AA52</f>
        <v>3.3200000000000001E-5</v>
      </c>
      <c r="AB52" s="188">
        <f>opex_orig!$AB52</f>
        <v>1.4921851079568299E-5</v>
      </c>
      <c r="AC52" s="188">
        <f>opex_orig!$AB52</f>
        <v>1.4921851079568299E-5</v>
      </c>
      <c r="AD52" s="188">
        <f>opex_orig!$AB52</f>
        <v>1.4921851079568299E-5</v>
      </c>
      <c r="AE52" s="188">
        <f>opex_orig!$AC52</f>
        <v>1.6636903224247901E-4</v>
      </c>
      <c r="AF52" s="188">
        <f>opex_orig!$AD52</f>
        <v>3.8970665702097398E-5</v>
      </c>
      <c r="AG52" s="188">
        <f>opex_orig!$AD52</f>
        <v>3.8970665702097398E-5</v>
      </c>
      <c r="AH52" s="188">
        <f>opex_orig!$AD52</f>
        <v>3.8970665702097398E-5</v>
      </c>
      <c r="AI52" s="188">
        <f>opex_orig!AE52</f>
        <v>3.5099999999999999E-5</v>
      </c>
      <c r="AJ52" s="188">
        <f>opex_orig!AF52</f>
        <v>2.25443E-4</v>
      </c>
      <c r="AK52" s="188">
        <f>opex_orig!AG52</f>
        <v>7.6320399999999997E-4</v>
      </c>
      <c r="AL52" s="188">
        <f>opex_orig!AH52</f>
        <v>5.0725300000000004E-4</v>
      </c>
      <c r="AM52" s="188">
        <f>opex_orig!AI52</f>
        <v>9.2324499999999995E-4</v>
      </c>
      <c r="AN52" s="188">
        <f>opex_orig!AJ52</f>
        <v>1.1326109999999999E-3</v>
      </c>
      <c r="AO52" s="188">
        <f>opex_orig!AK52</f>
        <v>4.5953600000000003E-4</v>
      </c>
      <c r="AP52" s="188">
        <f>opex_orig!$AL52</f>
        <v>1.14687181839051E-4</v>
      </c>
      <c r="AQ52" s="188">
        <f>opex_orig!$AL52</f>
        <v>1.14687181839051E-4</v>
      </c>
      <c r="AR52" s="188">
        <f>opex_orig!$AL52</f>
        <v>1.14687181839051E-4</v>
      </c>
      <c r="AS52" s="188">
        <f>opex_orig!$AM52</f>
        <v>1.04715115315316E-4</v>
      </c>
      <c r="AT52" s="188">
        <f>opex_orig!AN52</f>
        <v>3.8776000000000001E-4</v>
      </c>
      <c r="AU52" s="188">
        <f>opex_orig!$AO52</f>
        <v>2.2033418442178E-3</v>
      </c>
      <c r="AV52" s="188">
        <f>opex_orig!$AO52</f>
        <v>2.2033418442178E-3</v>
      </c>
      <c r="AW52" s="188">
        <f>opex_orig!$AO52</f>
        <v>2.2033418442178E-3</v>
      </c>
      <c r="AX52" s="188">
        <f>opex_orig!$AP52</f>
        <v>2.5258836624246898E-3</v>
      </c>
      <c r="AY52" s="188">
        <f>opex_orig!AQ52</f>
        <v>4.9041459999999999E-3</v>
      </c>
      <c r="AZ52" s="188">
        <f>opex_orig!AR52</f>
        <v>0</v>
      </c>
      <c r="BA52" s="188">
        <f>opex_orig!AS52</f>
        <v>2.7033679999999998E-3</v>
      </c>
      <c r="BB52" s="188">
        <f>opex_orig!AT52</f>
        <v>2.6901099999999999E-3</v>
      </c>
      <c r="BC52" s="188">
        <f>opex_orig!AU52</f>
        <v>6.0913600000000003E-4</v>
      </c>
      <c r="BD52" s="188">
        <f>opex_orig!AV52</f>
        <v>4.57854E-4</v>
      </c>
      <c r="BE52" s="188">
        <f>opex_orig!AW52</f>
        <v>1.6829760000000001E-3</v>
      </c>
      <c r="BF52" s="188">
        <f>opex_orig!AX52</f>
        <v>0</v>
      </c>
      <c r="BG52" s="188">
        <f>opex_orig!AY52</f>
        <v>3.5788310000000002E-3</v>
      </c>
      <c r="BH52" s="188">
        <f>opex_orig!AZ52</f>
        <v>0</v>
      </c>
      <c r="BI52" s="188">
        <f>opex_orig!BA52</f>
        <v>4.3223070000000001E-3</v>
      </c>
      <c r="BJ52" s="188">
        <f>opex_orig!BB52</f>
        <v>1.6868800000000001E-4</v>
      </c>
      <c r="BK52" s="188">
        <f>opex_orig!BC52</f>
        <v>1.5980500000000001E-4</v>
      </c>
      <c r="BL52" s="188">
        <f>opex_orig!BD52</f>
        <v>1.9000000000000001E-5</v>
      </c>
      <c r="BM52" s="188">
        <f>opex_orig!BE52</f>
        <v>8.8599999999999999E-5</v>
      </c>
      <c r="BN52" s="188">
        <f>opex_orig!BF52</f>
        <v>8.4499999999999994E-5</v>
      </c>
      <c r="BO52" s="188">
        <f>opex_orig!BG52</f>
        <v>2.8655899999999998E-4</v>
      </c>
      <c r="BP52" s="188">
        <f>opex_orig!$BH52</f>
        <v>1.10474685340965E-3</v>
      </c>
      <c r="BQ52" s="188">
        <f>opex_orig!$BH52</f>
        <v>1.10474685340965E-3</v>
      </c>
      <c r="BR52" s="188">
        <f>opex_orig!BI52</f>
        <v>3.5939899999999999E-4</v>
      </c>
      <c r="BS52" s="188">
        <f>opex_orig!BJ52</f>
        <v>4.6720249999999998E-3</v>
      </c>
      <c r="BT52" s="188">
        <f>opex_orig!BK52</f>
        <v>2.38445E-4</v>
      </c>
      <c r="BU52" s="188">
        <f>opex_orig!BL52</f>
        <v>0</v>
      </c>
      <c r="BV52" s="27">
        <f>opex_orig!BM52</f>
        <v>3.91868585796407E-5</v>
      </c>
      <c r="BW52" s="27">
        <f>opex_orig!BN52</f>
        <v>6.1262471163063206E-5</v>
      </c>
      <c r="BX52" s="27">
        <f>opex_orig!BO52</f>
        <v>1.45313532052851E-5</v>
      </c>
      <c r="BY52" s="27">
        <f>opex_orig!BP52</f>
        <v>1.56109161959638E-5</v>
      </c>
      <c r="BZ52" s="27">
        <f>opex_orig!BQ52</f>
        <v>1.5372382026708598E-5</v>
      </c>
      <c r="CA52" s="27">
        <f>opex_orig!BR52</f>
        <v>3.78251001668909E-5</v>
      </c>
      <c r="CB52" s="27">
        <f>opex_orig!BS52</f>
        <v>5.5652337101294898E-5</v>
      </c>
      <c r="CC52" s="27">
        <f>opex_orig!BT52</f>
        <v>8.5436773294711302E-4</v>
      </c>
      <c r="CD52" s="27">
        <f>opex_orig!BU52</f>
        <v>7.13302500607803E-6</v>
      </c>
      <c r="CE52" s="27">
        <f>opex_orig!BV52</f>
        <v>7.1330250060780401E-6</v>
      </c>
      <c r="CF52" s="27">
        <f>opex_orig!BW52</f>
        <v>3.0961075404328401E-5</v>
      </c>
      <c r="CG52" s="27">
        <f>opex_orig!BX52</f>
        <v>2.9658343918853201E-6</v>
      </c>
      <c r="CH52" s="27">
        <f>opex_orig!BY52</f>
        <v>7.6488532706539203E-6</v>
      </c>
      <c r="CI52" s="27">
        <f>opex_orig!Y52</f>
        <v>1.11E-5</v>
      </c>
      <c r="CJ52" s="27">
        <f>opex_orig!Z52</f>
        <v>1.8E-5</v>
      </c>
      <c r="CK52" s="27">
        <f>opex_orig!AA52</f>
        <v>3.3200000000000001E-5</v>
      </c>
      <c r="CL52" s="27">
        <f>opex_orig!AB52</f>
        <v>1.4921851079568299E-5</v>
      </c>
      <c r="CM52" s="27">
        <f>opex_orig!AC52</f>
        <v>1.6636903224247901E-4</v>
      </c>
      <c r="CN52" s="27">
        <f>opex_orig!AD52</f>
        <v>3.8970665702097398E-5</v>
      </c>
      <c r="CO52" s="27">
        <f>opex_orig!AE52</f>
        <v>3.5099999999999999E-5</v>
      </c>
      <c r="CP52" s="27">
        <f>opex_orig!AF52</f>
        <v>2.25443E-4</v>
      </c>
    </row>
    <row r="53" spans="1:94" x14ac:dyDescent="0.25">
      <c r="A53" s="5" t="s">
        <v>125</v>
      </c>
      <c r="B53" s="2" t="s">
        <v>124</v>
      </c>
      <c r="C53" s="1" t="s">
        <v>327</v>
      </c>
      <c r="D53" s="188">
        <f>opex_orig!D53</f>
        <v>1.2642400000000001E-4</v>
      </c>
      <c r="E53" s="188">
        <f>opex_orig!E53</f>
        <v>6.5400000000000004E-5</v>
      </c>
      <c r="F53" s="188">
        <f>opex_orig!F53</f>
        <v>6.5400000000000004E-5</v>
      </c>
      <c r="G53" s="188">
        <f>opex_orig!G53</f>
        <v>1.31E-5</v>
      </c>
      <c r="H53" s="188">
        <f>opex_orig!H53</f>
        <v>2.1800000000000001E-5</v>
      </c>
      <c r="I53" s="188">
        <f>opex_orig!I53</f>
        <v>1.4557099999999999E-4</v>
      </c>
      <c r="J53" s="188">
        <f>opex_orig!J53</f>
        <v>2.34773E-4</v>
      </c>
      <c r="K53" s="188">
        <f>opex_orig!K53</f>
        <v>4.2899999999999999E-5</v>
      </c>
      <c r="L53" s="188">
        <f>opex_orig!L53</f>
        <v>1.5632800000000001E-4</v>
      </c>
      <c r="M53" s="188">
        <f>opex_orig!M53</f>
        <v>3.0483300000000001E-4</v>
      </c>
      <c r="N53" s="188">
        <f>opex_orig!N53</f>
        <v>2.03511E-4</v>
      </c>
      <c r="O53" s="188">
        <f>opex_orig!O53</f>
        <v>3.5016520000000001E-3</v>
      </c>
      <c r="P53" s="188">
        <f>opex_orig!P53</f>
        <v>6.8702499999999996E-4</v>
      </c>
      <c r="Q53" s="188">
        <f>opex_orig!Q53</f>
        <v>2.54916E-4</v>
      </c>
      <c r="R53" s="188">
        <f>opex_orig!R53</f>
        <v>1.7496100000000001E-4</v>
      </c>
      <c r="S53" s="188">
        <f>opex_orig!S53</f>
        <v>4.5135500000000002E-4</v>
      </c>
      <c r="T53" s="188">
        <f>opex_orig!T53</f>
        <v>4.73509E-4</v>
      </c>
      <c r="U53" s="188">
        <f>opex_orig!U53</f>
        <v>2.3372900000000001E-4</v>
      </c>
      <c r="V53" s="188">
        <f>opex_orig!V53</f>
        <v>1.7550700000000001E-4</v>
      </c>
      <c r="W53" s="188">
        <f>opex_orig!W53</f>
        <v>0.13838592599999999</v>
      </c>
      <c r="X53" s="188">
        <f>opex_orig!X53</f>
        <v>2.5757459999999999E-3</v>
      </c>
      <c r="Y53" s="188">
        <f>opex_orig!Y53</f>
        <v>1.1126E-4</v>
      </c>
      <c r="Z53" s="188">
        <f>opex_orig!Z53</f>
        <v>1.92556E-4</v>
      </c>
      <c r="AA53" s="188">
        <f>opex_orig!AA53</f>
        <v>1.17046E-4</v>
      </c>
      <c r="AB53" s="188">
        <f>opex_orig!$AB53</f>
        <v>1.91856195678395E-4</v>
      </c>
      <c r="AC53" s="188">
        <f>opex_orig!$AB53</f>
        <v>1.91856195678395E-4</v>
      </c>
      <c r="AD53" s="188">
        <f>opex_orig!$AB53</f>
        <v>1.91856195678395E-4</v>
      </c>
      <c r="AE53" s="188">
        <f>opex_orig!$AC53</f>
        <v>1.9165035302409299E-3</v>
      </c>
      <c r="AF53" s="188">
        <f>opex_orig!$AD53</f>
        <v>1.4715459431608699E-4</v>
      </c>
      <c r="AG53" s="188">
        <f>opex_orig!$AD53</f>
        <v>1.4715459431608699E-4</v>
      </c>
      <c r="AH53" s="188">
        <f>opex_orig!$AD53</f>
        <v>1.4715459431608699E-4</v>
      </c>
      <c r="AI53" s="188">
        <f>opex_orig!AE53</f>
        <v>1.3720799999999999E-4</v>
      </c>
      <c r="AJ53" s="188">
        <f>opex_orig!AF53</f>
        <v>5.4650300000000005E-4</v>
      </c>
      <c r="AK53" s="188">
        <f>opex_orig!AG53</f>
        <v>6.5704200000000004E-4</v>
      </c>
      <c r="AL53" s="188">
        <f>opex_orig!AH53</f>
        <v>1.43277E-4</v>
      </c>
      <c r="AM53" s="188">
        <f>opex_orig!AI53</f>
        <v>1.3552099999999999E-4</v>
      </c>
      <c r="AN53" s="188">
        <f>opex_orig!AJ53</f>
        <v>8.0000000000000007E-5</v>
      </c>
      <c r="AO53" s="188">
        <f>opex_orig!AK53</f>
        <v>1.46456E-4</v>
      </c>
      <c r="AP53" s="188">
        <f>opex_orig!$AL53</f>
        <v>1.43799930374661E-4</v>
      </c>
      <c r="AQ53" s="188">
        <f>opex_orig!$AL53</f>
        <v>1.43799930374661E-4</v>
      </c>
      <c r="AR53" s="188">
        <f>opex_orig!$AL53</f>
        <v>1.43799930374661E-4</v>
      </c>
      <c r="AS53" s="188">
        <f>opex_orig!$AM53</f>
        <v>1.33007829531938E-4</v>
      </c>
      <c r="AT53" s="188">
        <f>opex_orig!AN53</f>
        <v>1.6545700000000001E-4</v>
      </c>
      <c r="AU53" s="188">
        <f>opex_orig!$AO53</f>
        <v>1.3280421789958199E-4</v>
      </c>
      <c r="AV53" s="188">
        <f>opex_orig!$AO53</f>
        <v>1.3280421789958199E-4</v>
      </c>
      <c r="AW53" s="188">
        <f>opex_orig!$AO53</f>
        <v>1.3280421789958199E-4</v>
      </c>
      <c r="AX53" s="188">
        <f>opex_orig!$AP53</f>
        <v>1.8704973243895801E-4</v>
      </c>
      <c r="AY53" s="188">
        <f>opex_orig!AQ53</f>
        <v>4.29271E-4</v>
      </c>
      <c r="AZ53" s="188">
        <f>opex_orig!AR53</f>
        <v>0</v>
      </c>
      <c r="BA53" s="188">
        <f>opex_orig!AS53</f>
        <v>3.48912E-4</v>
      </c>
      <c r="BB53" s="188">
        <f>opex_orig!AT53</f>
        <v>2.6781500000000002E-4</v>
      </c>
      <c r="BC53" s="188">
        <f>opex_orig!AU53</f>
        <v>1.0788799999999999E-4</v>
      </c>
      <c r="BD53" s="188">
        <f>opex_orig!AV53</f>
        <v>8.3100000000000001E-5</v>
      </c>
      <c r="BE53" s="188">
        <f>opex_orig!AW53</f>
        <v>1.9548600000000001E-4</v>
      </c>
      <c r="BF53" s="188">
        <f>opex_orig!AX53</f>
        <v>0</v>
      </c>
      <c r="BG53" s="188">
        <f>opex_orig!AY53</f>
        <v>3.03982E-4</v>
      </c>
      <c r="BH53" s="188">
        <f>opex_orig!AZ53</f>
        <v>0</v>
      </c>
      <c r="BI53" s="188">
        <f>opex_orig!BA53</f>
        <v>1.78402E-4</v>
      </c>
      <c r="BJ53" s="188">
        <f>opex_orig!BB53</f>
        <v>1.4549800000000001E-4</v>
      </c>
      <c r="BK53" s="188">
        <f>opex_orig!BC53</f>
        <v>1.3583000000000001E-4</v>
      </c>
      <c r="BL53" s="188">
        <f>opex_orig!BD53</f>
        <v>5.3699999999999997E-5</v>
      </c>
      <c r="BM53" s="188">
        <f>opex_orig!BE53</f>
        <v>1.4286799999999999E-4</v>
      </c>
      <c r="BN53" s="188">
        <f>opex_orig!BF53</f>
        <v>5.7000000000000003E-5</v>
      </c>
      <c r="BO53" s="188">
        <f>opex_orig!BG53</f>
        <v>2.46312E-4</v>
      </c>
      <c r="BP53" s="188">
        <f>opex_orig!$BH53</f>
        <v>2.1321799643723001E-4</v>
      </c>
      <c r="BQ53" s="188">
        <f>opex_orig!$BH53</f>
        <v>2.1321799643723001E-4</v>
      </c>
      <c r="BR53" s="188">
        <f>opex_orig!BI53</f>
        <v>2.44326E-4</v>
      </c>
      <c r="BS53" s="188">
        <f>opex_orig!BJ53</f>
        <v>1.345193E-3</v>
      </c>
      <c r="BT53" s="188">
        <f>opex_orig!BK53</f>
        <v>1.00895E-4</v>
      </c>
      <c r="BU53" s="188">
        <f>opex_orig!BL53</f>
        <v>0</v>
      </c>
      <c r="BV53" s="27">
        <f>opex_orig!BM53</f>
        <v>4.4811887902870397E-5</v>
      </c>
      <c r="BW53" s="27">
        <f>opex_orig!BN53</f>
        <v>9.1774381406172994E-5</v>
      </c>
      <c r="BX53" s="27">
        <f>opex_orig!BO53</f>
        <v>1.6129506381360899E-5</v>
      </c>
      <c r="BY53" s="27">
        <f>opex_orig!BP53</f>
        <v>3.3439644499435797E-5</v>
      </c>
      <c r="BZ53" s="27">
        <f>opex_orig!BQ53</f>
        <v>3.7243430998768998E-5</v>
      </c>
      <c r="CA53" s="27">
        <f>opex_orig!BR53</f>
        <v>8.0264369445104103E-6</v>
      </c>
      <c r="CB53" s="27">
        <f>opex_orig!BS53</f>
        <v>1.3805015258567001E-4</v>
      </c>
      <c r="CC53" s="27">
        <f>opex_orig!BT53</f>
        <v>1.5745532562181501E-5</v>
      </c>
      <c r="CD53" s="27">
        <f>opex_orig!BU53</f>
        <v>1.82384115380197E-5</v>
      </c>
      <c r="CE53" s="27">
        <f>opex_orig!BV53</f>
        <v>1.82384115380197E-5</v>
      </c>
      <c r="CF53" s="27">
        <f>opex_orig!BW53</f>
        <v>2.9859246771483198E-6</v>
      </c>
      <c r="CG53" s="27">
        <f>opex_orig!BX53</f>
        <v>5.2279470287234001E-7</v>
      </c>
      <c r="CH53" s="27">
        <f>opex_orig!BY53</f>
        <v>7.5563587766519703E-6</v>
      </c>
      <c r="CI53" s="27">
        <f>opex_orig!Y53</f>
        <v>1.1126E-4</v>
      </c>
      <c r="CJ53" s="27">
        <f>opex_orig!Z53</f>
        <v>1.92556E-4</v>
      </c>
      <c r="CK53" s="27">
        <f>opex_orig!AA53</f>
        <v>1.17046E-4</v>
      </c>
      <c r="CL53" s="27">
        <f>opex_orig!AB53</f>
        <v>1.91856195678395E-4</v>
      </c>
      <c r="CM53" s="27">
        <f>opex_orig!AC53</f>
        <v>1.9165035302409299E-3</v>
      </c>
      <c r="CN53" s="27">
        <f>opex_orig!AD53</f>
        <v>1.4715459431608699E-4</v>
      </c>
      <c r="CO53" s="27">
        <f>opex_orig!AE53</f>
        <v>1.3720799999999999E-4</v>
      </c>
      <c r="CP53" s="27">
        <f>opex_orig!AF53</f>
        <v>5.4650300000000005E-4</v>
      </c>
    </row>
    <row r="54" spans="1:94" x14ac:dyDescent="0.25">
      <c r="A54" s="5" t="s">
        <v>127</v>
      </c>
      <c r="B54" s="2" t="s">
        <v>126</v>
      </c>
      <c r="C54" s="1" t="s">
        <v>327</v>
      </c>
      <c r="D54" s="188">
        <f>opex_orig!D54</f>
        <v>7.7700000000000005E-5</v>
      </c>
      <c r="E54" s="188">
        <f>opex_orig!E54</f>
        <v>3.26E-5</v>
      </c>
      <c r="F54" s="188">
        <f>opex_orig!F54</f>
        <v>3.0599999999999998E-5</v>
      </c>
      <c r="G54" s="188">
        <f>opex_orig!G54</f>
        <v>6.64E-6</v>
      </c>
      <c r="H54" s="188">
        <f>opex_orig!H54</f>
        <v>1.1199999999999999E-5</v>
      </c>
      <c r="I54" s="188">
        <f>opex_orig!I54</f>
        <v>6.8999999999999997E-5</v>
      </c>
      <c r="J54" s="188">
        <f>opex_orig!J54</f>
        <v>1.07854E-4</v>
      </c>
      <c r="K54" s="188">
        <f>opex_orig!K54</f>
        <v>2.1500000000000001E-5</v>
      </c>
      <c r="L54" s="188">
        <f>opex_orig!L54</f>
        <v>7.0699999999999997E-5</v>
      </c>
      <c r="M54" s="188">
        <f>opex_orig!M54</f>
        <v>1.3779600000000001E-4</v>
      </c>
      <c r="N54" s="188">
        <f>opex_orig!N54</f>
        <v>9.8400000000000007E-5</v>
      </c>
      <c r="O54" s="188">
        <f>opex_orig!O54</f>
        <v>1.711572E-3</v>
      </c>
      <c r="P54" s="188">
        <f>opex_orig!P54</f>
        <v>5.03883E-4</v>
      </c>
      <c r="Q54" s="188">
        <f>opex_orig!Q54</f>
        <v>2.00826E-4</v>
      </c>
      <c r="R54" s="188">
        <f>opex_orig!R54</f>
        <v>1.33743E-4</v>
      </c>
      <c r="S54" s="188">
        <f>opex_orig!S54</f>
        <v>2.3311499999999999E-4</v>
      </c>
      <c r="T54" s="188">
        <f>opex_orig!T54</f>
        <v>2.4591400000000002E-4</v>
      </c>
      <c r="U54" s="188">
        <f>opex_orig!U54</f>
        <v>1.0929099999999999E-4</v>
      </c>
      <c r="V54" s="188">
        <f>opex_orig!V54</f>
        <v>8.2799999999999993E-5</v>
      </c>
      <c r="W54" s="188">
        <f>opex_orig!W54</f>
        <v>6.8576827000000007E-2</v>
      </c>
      <c r="X54" s="188">
        <f>opex_orig!X54</f>
        <v>1.248557E-3</v>
      </c>
      <c r="Y54" s="188">
        <f>opex_orig!Y54</f>
        <v>4.7599999999999998E-5</v>
      </c>
      <c r="Z54" s="188">
        <f>opex_orig!Z54</f>
        <v>8.1699999999999994E-5</v>
      </c>
      <c r="AA54" s="188">
        <f>opex_orig!AA54</f>
        <v>5.41E-5</v>
      </c>
      <c r="AB54" s="188">
        <f>opex_orig!$AB54</f>
        <v>1.13132120627034E-4</v>
      </c>
      <c r="AC54" s="188">
        <f>opex_orig!$AB54</f>
        <v>1.13132120627034E-4</v>
      </c>
      <c r="AD54" s="188">
        <f>opex_orig!$AB54</f>
        <v>1.13132120627034E-4</v>
      </c>
      <c r="AE54" s="188">
        <f>opex_orig!$AC54</f>
        <v>9.5637447364410697E-4</v>
      </c>
      <c r="AF54" s="188">
        <f>opex_orig!$AD54</f>
        <v>7.5171887408994706E-5</v>
      </c>
      <c r="AG54" s="188">
        <f>opex_orig!$AD54</f>
        <v>7.5171887408994706E-5</v>
      </c>
      <c r="AH54" s="188">
        <f>opex_orig!$AD54</f>
        <v>7.5171887408994706E-5</v>
      </c>
      <c r="AI54" s="188">
        <f>opex_orig!AE54</f>
        <v>7.0400000000000004E-5</v>
      </c>
      <c r="AJ54" s="188">
        <f>opex_orig!AF54</f>
        <v>2.67414E-4</v>
      </c>
      <c r="AK54" s="188">
        <f>opex_orig!AG54</f>
        <v>4.0479999999999997E-4</v>
      </c>
      <c r="AL54" s="188">
        <f>opex_orig!AH54</f>
        <v>1.0217000000000001E-4</v>
      </c>
      <c r="AM54" s="188">
        <f>opex_orig!AI54</f>
        <v>8.2899999999999996E-5</v>
      </c>
      <c r="AN54" s="188">
        <f>opex_orig!AJ54</f>
        <v>5.8699999999999997E-5</v>
      </c>
      <c r="AO54" s="188">
        <f>opex_orig!AK54</f>
        <v>8.1500000000000002E-5</v>
      </c>
      <c r="AP54" s="188">
        <f>opex_orig!$AL54</f>
        <v>7.4400230804391894E-5</v>
      </c>
      <c r="AQ54" s="188">
        <f>opex_orig!$AL54</f>
        <v>7.4400230804391894E-5</v>
      </c>
      <c r="AR54" s="188">
        <f>opex_orig!$AL54</f>
        <v>7.4400230804391894E-5</v>
      </c>
      <c r="AS54" s="188">
        <f>opex_orig!$AM54</f>
        <v>6.9227760122968102E-5</v>
      </c>
      <c r="AT54" s="188">
        <f>opex_orig!AN54</f>
        <v>9.2E-5</v>
      </c>
      <c r="AU54" s="188">
        <f>opex_orig!$AO54</f>
        <v>6.6150494291556601E-5</v>
      </c>
      <c r="AV54" s="188">
        <f>opex_orig!$AO54</f>
        <v>6.6150494291556601E-5</v>
      </c>
      <c r="AW54" s="188">
        <f>opex_orig!$AO54</f>
        <v>6.6150494291556601E-5</v>
      </c>
      <c r="AX54" s="188">
        <f>opex_orig!$AP54</f>
        <v>9.0525698765446104E-5</v>
      </c>
      <c r="AY54" s="188">
        <f>opex_orig!AQ54</f>
        <v>2.0489299999999999E-4</v>
      </c>
      <c r="AZ54" s="188">
        <f>opex_orig!AR54</f>
        <v>0</v>
      </c>
      <c r="BA54" s="188">
        <f>opex_orig!AS54</f>
        <v>1.71354E-4</v>
      </c>
      <c r="BB54" s="188">
        <f>opex_orig!AT54</f>
        <v>1.3441000000000001E-4</v>
      </c>
      <c r="BC54" s="188">
        <f>opex_orig!AU54</f>
        <v>5.6900000000000001E-5</v>
      </c>
      <c r="BD54" s="188">
        <f>opex_orig!AV54</f>
        <v>4.3000000000000002E-5</v>
      </c>
      <c r="BE54" s="188">
        <f>opex_orig!AW54</f>
        <v>1.6339499999999999E-4</v>
      </c>
      <c r="BF54" s="188">
        <f>opex_orig!AX54</f>
        <v>0</v>
      </c>
      <c r="BG54" s="188">
        <f>opex_orig!AY54</f>
        <v>1.3953199999999999E-4</v>
      </c>
      <c r="BH54" s="188">
        <f>opex_orig!AZ54</f>
        <v>0</v>
      </c>
      <c r="BI54" s="188">
        <f>opex_orig!BA54</f>
        <v>9.2800000000000006E-5</v>
      </c>
      <c r="BJ54" s="188">
        <f>opex_orig!BB54</f>
        <v>8.9499999999999994E-5</v>
      </c>
      <c r="BK54" s="188">
        <f>opex_orig!BC54</f>
        <v>7.1799999999999997E-5</v>
      </c>
      <c r="BL54" s="188">
        <f>opex_orig!BD54</f>
        <v>4.0200000000000001E-5</v>
      </c>
      <c r="BM54" s="188">
        <f>opex_orig!BE54</f>
        <v>9.4500000000000007E-5</v>
      </c>
      <c r="BN54" s="188">
        <f>opex_orig!BF54</f>
        <v>3.6100000000000003E-5</v>
      </c>
      <c r="BO54" s="188">
        <f>opex_orig!BG54</f>
        <v>1.36637E-4</v>
      </c>
      <c r="BP54" s="188">
        <f>opex_orig!$BH54</f>
        <v>1.4783142276278701E-4</v>
      </c>
      <c r="BQ54" s="188">
        <f>opex_orig!$BH54</f>
        <v>1.4783142276278701E-4</v>
      </c>
      <c r="BR54" s="188">
        <f>opex_orig!BI54</f>
        <v>1.7133599999999999E-4</v>
      </c>
      <c r="BS54" s="188">
        <f>opex_orig!BJ54</f>
        <v>6.93287E-4</v>
      </c>
      <c r="BT54" s="188">
        <f>opex_orig!BK54</f>
        <v>5.1900000000000001E-5</v>
      </c>
      <c r="BU54" s="188">
        <f>opex_orig!BL54</f>
        <v>0</v>
      </c>
      <c r="BV54" s="27">
        <f>opex_orig!BM54</f>
        <v>2.6174065396390201E-5</v>
      </c>
      <c r="BW54" s="27">
        <f>opex_orig!BN54</f>
        <v>4.88283348866075E-5</v>
      </c>
      <c r="BX54" s="27">
        <f>opex_orig!BO54</f>
        <v>1.19902794369667E-5</v>
      </c>
      <c r="BY54" s="27">
        <f>opex_orig!BP54</f>
        <v>2.2773895760628101E-5</v>
      </c>
      <c r="BZ54" s="27">
        <f>opex_orig!BQ54</f>
        <v>1.7378604630291701E-5</v>
      </c>
      <c r="CA54" s="27">
        <f>opex_orig!BR54</f>
        <v>2.6990697742525501E-5</v>
      </c>
      <c r="CB54" s="27">
        <f>opex_orig!BS54</f>
        <v>6.1830289044614004E-5</v>
      </c>
      <c r="CC54" s="27">
        <f>opex_orig!BT54</f>
        <v>4.1860674657533197E-5</v>
      </c>
      <c r="CD54" s="27">
        <f>opex_orig!BU54</f>
        <v>9.4258242019203297E-6</v>
      </c>
      <c r="CE54" s="27">
        <f>opex_orig!BV54</f>
        <v>9.4258242019203399E-6</v>
      </c>
      <c r="CF54" s="27">
        <f>opex_orig!BW54</f>
        <v>9.0464968537233907E-6</v>
      </c>
      <c r="CG54" s="27">
        <f>opex_orig!BX54</f>
        <v>5.9210367708251404E-7</v>
      </c>
      <c r="CH54" s="27">
        <f>opex_orig!BY54</f>
        <v>9.2408347463680292E-6</v>
      </c>
      <c r="CI54" s="27">
        <f>opex_orig!Y54</f>
        <v>4.7599999999999998E-5</v>
      </c>
      <c r="CJ54" s="27">
        <f>opex_orig!Z54</f>
        <v>8.1699999999999994E-5</v>
      </c>
      <c r="CK54" s="27">
        <f>opex_orig!AA54</f>
        <v>5.41E-5</v>
      </c>
      <c r="CL54" s="27">
        <f>opex_orig!AB54</f>
        <v>1.13132120627034E-4</v>
      </c>
      <c r="CM54" s="27">
        <f>opex_orig!AC54</f>
        <v>9.5637447364410697E-4</v>
      </c>
      <c r="CN54" s="27">
        <f>opex_orig!AD54</f>
        <v>7.5171887408994706E-5</v>
      </c>
      <c r="CO54" s="27">
        <f>opex_orig!AE54</f>
        <v>7.0400000000000004E-5</v>
      </c>
      <c r="CP54" s="27">
        <f>opex_orig!AF54</f>
        <v>2.67414E-4</v>
      </c>
    </row>
    <row r="55" spans="1:94" x14ac:dyDescent="0.25">
      <c r="A55" s="5" t="s">
        <v>129</v>
      </c>
      <c r="B55" s="2" t="s">
        <v>128</v>
      </c>
      <c r="C55" s="1" t="s">
        <v>327</v>
      </c>
      <c r="D55" s="188">
        <f>opex_orig!D55</f>
        <v>2.1673740000000001E-3</v>
      </c>
      <c r="E55" s="188">
        <f>opex_orig!E55</f>
        <v>5.112704E-3</v>
      </c>
      <c r="F55" s="188">
        <f>opex_orig!F55</f>
        <v>2.953734E-3</v>
      </c>
      <c r="G55" s="188">
        <f>opex_orig!G55</f>
        <v>2.3380100000000001E-4</v>
      </c>
      <c r="H55" s="188">
        <f>opex_orig!H55</f>
        <v>6.7402900000000003E-4</v>
      </c>
      <c r="I55" s="188">
        <f>opex_orig!I55</f>
        <v>1.6475719999999999E-2</v>
      </c>
      <c r="J55" s="188">
        <f>opex_orig!J55</f>
        <v>7.4070560000000004E-3</v>
      </c>
      <c r="K55" s="188">
        <f>opex_orig!K55</f>
        <v>8.4546100000000004E-4</v>
      </c>
      <c r="L55" s="188">
        <f>opex_orig!L55</f>
        <v>5.2558489999999999E-3</v>
      </c>
      <c r="M55" s="188">
        <f>opex_orig!M55</f>
        <v>1.1081186999999999E-2</v>
      </c>
      <c r="N55" s="188">
        <f>opex_orig!N55</f>
        <v>6.8451429999999997E-3</v>
      </c>
      <c r="O55" s="188">
        <f>opex_orig!O55</f>
        <v>9.6288867E-2</v>
      </c>
      <c r="P55" s="188">
        <f>opex_orig!P55</f>
        <v>4.9477790000000002E-3</v>
      </c>
      <c r="Q55" s="188">
        <f>opex_orig!Q55</f>
        <v>6.0140300000000003E-4</v>
      </c>
      <c r="R55" s="188">
        <f>opex_orig!R55</f>
        <v>5.2171329999999997E-3</v>
      </c>
      <c r="S55" s="188">
        <f>opex_orig!S55</f>
        <v>2.0409535999999999E-2</v>
      </c>
      <c r="T55" s="188">
        <f>opex_orig!T55</f>
        <v>2.154267E-2</v>
      </c>
      <c r="U55" s="188">
        <f>opex_orig!U55</f>
        <v>3.253026E-3</v>
      </c>
      <c r="V55" s="188">
        <f>opex_orig!V55</f>
        <v>2.9244980000000002E-3</v>
      </c>
      <c r="W55" s="188">
        <f>opex_orig!W55</f>
        <v>0.236861338</v>
      </c>
      <c r="X55" s="188">
        <f>opex_orig!X55</f>
        <v>6.7228164000000007E-2</v>
      </c>
      <c r="Y55" s="188">
        <f>opex_orig!Y55</f>
        <v>1.3188800000000001E-4</v>
      </c>
      <c r="Z55" s="188">
        <f>opex_orig!Z55</f>
        <v>2.4368E-4</v>
      </c>
      <c r="AA55" s="188">
        <f>opex_orig!AA55</f>
        <v>1.0969899999999999E-4</v>
      </c>
      <c r="AB55" s="188">
        <f>opex_orig!$AB55</f>
        <v>1.00153927625416E-4</v>
      </c>
      <c r="AC55" s="188">
        <f>opex_orig!$AB55</f>
        <v>1.00153927625416E-4</v>
      </c>
      <c r="AD55" s="188">
        <f>opex_orig!$AB55</f>
        <v>1.00153927625416E-4</v>
      </c>
      <c r="AE55" s="188">
        <f>opex_orig!$AC55</f>
        <v>4.3632984896082097E-3</v>
      </c>
      <c r="AF55" s="305">
        <f>opex_concordance!M315</f>
        <v>7.2731977315082796E-3</v>
      </c>
      <c r="AG55" s="305">
        <f>opex_concordance!M351</f>
        <v>3.2230700011184384E-3</v>
      </c>
      <c r="AH55" s="305">
        <f>opex_concordance!M387</f>
        <v>2.5858552283577613E-3</v>
      </c>
      <c r="AI55" s="188">
        <f>opex_orig!AE55</f>
        <v>6.1088829999999998E-3</v>
      </c>
      <c r="AJ55" s="188">
        <f>opex_orig!AF55</f>
        <v>1.4372539E-2</v>
      </c>
      <c r="AK55" s="188">
        <f>opex_orig!AG55</f>
        <v>7.4194259999999998E-3</v>
      </c>
      <c r="AL55" s="188">
        <f>opex_orig!AH55</f>
        <v>1.5265319999999999E-3</v>
      </c>
      <c r="AM55" s="188">
        <f>opex_orig!AI55</f>
        <v>2.906456E-3</v>
      </c>
      <c r="AN55" s="188">
        <f>opex_orig!AJ55</f>
        <v>1.8244330000000001E-3</v>
      </c>
      <c r="AO55" s="188">
        <f>opex_orig!AK55</f>
        <v>2.3919100000000001E-3</v>
      </c>
      <c r="AP55" s="188">
        <f>opex_orig!$AL55</f>
        <v>5.2718157632158002E-4</v>
      </c>
      <c r="AQ55" s="188">
        <f>opex_orig!$AL55</f>
        <v>5.2718157632158002E-4</v>
      </c>
      <c r="AR55" s="188">
        <f>opex_orig!$AL55</f>
        <v>5.2718157632158002E-4</v>
      </c>
      <c r="AS55" s="188">
        <f>opex_orig!$AM55</f>
        <v>4.7081015463668399E-4</v>
      </c>
      <c r="AT55" s="188">
        <f>opex_orig!AN55</f>
        <v>1.271255E-3</v>
      </c>
      <c r="AU55" s="188">
        <f>opex_orig!$AO55</f>
        <v>4.2124148735269199E-4</v>
      </c>
      <c r="AV55" s="188">
        <f>opex_orig!$AO55</f>
        <v>4.2124148735269199E-4</v>
      </c>
      <c r="AW55" s="188">
        <f>opex_orig!$AO55</f>
        <v>4.2124148735269199E-4</v>
      </c>
      <c r="AX55" s="188">
        <f>opex_orig!$AP55</f>
        <v>4.9979892526106305E-4</v>
      </c>
      <c r="AY55" s="188">
        <f>opex_orig!AQ55</f>
        <v>8.0948700000000001E-4</v>
      </c>
      <c r="AZ55" s="188">
        <f>opex_orig!AR55</f>
        <v>0</v>
      </c>
      <c r="BA55" s="188">
        <f>opex_orig!AS55</f>
        <v>7.0358300000000003E-4</v>
      </c>
      <c r="BB55" s="188">
        <f>opex_orig!AT55</f>
        <v>5.4072699999999996E-4</v>
      </c>
      <c r="BC55" s="188">
        <f>opex_orig!AU55</f>
        <v>1.0217600000000001E-4</v>
      </c>
      <c r="BD55" s="188">
        <f>opex_orig!AV55</f>
        <v>6.19E-5</v>
      </c>
      <c r="BE55" s="188">
        <f>opex_orig!AW55</f>
        <v>8.3670700000000001E-4</v>
      </c>
      <c r="BF55" s="188">
        <f>opex_orig!AX55</f>
        <v>0</v>
      </c>
      <c r="BG55" s="188">
        <f>opex_orig!AY55</f>
        <v>4.3233600000000002E-4</v>
      </c>
      <c r="BH55" s="188">
        <f>opex_orig!AZ55</f>
        <v>0</v>
      </c>
      <c r="BI55" s="188">
        <f>opex_orig!BA55</f>
        <v>3.8265599999999999E-4</v>
      </c>
      <c r="BJ55" s="188">
        <f>opex_orig!BB55</f>
        <v>1.7950520000000001E-3</v>
      </c>
      <c r="BK55" s="188">
        <f>opex_orig!BC55</f>
        <v>3.1900689999999998E-3</v>
      </c>
      <c r="BL55" s="188">
        <f>opex_orig!BD55</f>
        <v>1.0205049999999999E-3</v>
      </c>
      <c r="BM55" s="188">
        <f>opex_orig!BE55</f>
        <v>2.5945650000000001E-3</v>
      </c>
      <c r="BN55" s="188">
        <f>opex_orig!BF55</f>
        <v>1.3415090000000001E-3</v>
      </c>
      <c r="BO55" s="188">
        <f>opex_orig!BG55</f>
        <v>5.8934019999999998E-3</v>
      </c>
      <c r="BP55" s="188">
        <f>opex_orig!$BH55</f>
        <v>2.7214075927317399E-3</v>
      </c>
      <c r="BQ55" s="188">
        <f>opex_orig!$BH55</f>
        <v>2.7214075927317399E-3</v>
      </c>
      <c r="BR55" s="188">
        <f>opex_orig!BI55</f>
        <v>1.0568159999999999E-3</v>
      </c>
      <c r="BS55" s="188">
        <f>opex_orig!BJ55</f>
        <v>2.3795191E-2</v>
      </c>
      <c r="BT55" s="188">
        <f>opex_orig!BK55</f>
        <v>2.0309700000000001E-4</v>
      </c>
      <c r="BU55" s="188">
        <f>opex_orig!BL55</f>
        <v>0</v>
      </c>
      <c r="BV55" s="27">
        <f>opex_orig!BM55</f>
        <v>1.77175401876181E-4</v>
      </c>
      <c r="BW55" s="27">
        <f>opex_orig!BN55</f>
        <v>1.53174562604501E-4</v>
      </c>
      <c r="BX55" s="27">
        <f>opex_orig!BO55</f>
        <v>1.00507656080528E-4</v>
      </c>
      <c r="BY55" s="27">
        <f>opex_orig!BP55</f>
        <v>9.7757930067770201E-5</v>
      </c>
      <c r="BZ55" s="27">
        <f>opex_orig!BQ55</f>
        <v>8.1596924353958294E-5</v>
      </c>
      <c r="CA55" s="27">
        <f>opex_orig!BR55</f>
        <v>2.3067429707749998E-5</v>
      </c>
      <c r="CB55" s="27">
        <f>opex_orig!BS55</f>
        <v>2.1003341621448E-4</v>
      </c>
      <c r="CC55" s="27">
        <f>opex_orig!BT55</f>
        <v>8.9543119101492401E-5</v>
      </c>
      <c r="CD55" s="27">
        <f>opex_orig!BU55</f>
        <v>1.70851207084729E-5</v>
      </c>
      <c r="CE55" s="27">
        <f>opex_orig!BV55</f>
        <v>1.7085120708472999E-5</v>
      </c>
      <c r="CF55" s="27">
        <f>opex_orig!BW55</f>
        <v>1.3422901131374899E-4</v>
      </c>
      <c r="CG55" s="27">
        <f>opex_orig!BX55</f>
        <v>3.7312706057674899E-6</v>
      </c>
      <c r="CH55" s="27">
        <f>opex_orig!BY55</f>
        <v>4.8083013652862302E-6</v>
      </c>
      <c r="CI55" s="27">
        <f>opex_orig!Y55</f>
        <v>1.3188800000000001E-4</v>
      </c>
      <c r="CJ55" s="27">
        <f>opex_orig!Z55</f>
        <v>2.4368E-4</v>
      </c>
      <c r="CK55" s="27">
        <f>opex_orig!AA55</f>
        <v>1.0969899999999999E-4</v>
      </c>
      <c r="CL55" s="27">
        <f>opex_orig!AB55</f>
        <v>1.00153927625416E-4</v>
      </c>
      <c r="CM55" s="27">
        <f>opex_orig!AC55</f>
        <v>4.3632984896082097E-3</v>
      </c>
      <c r="CN55" s="27">
        <f>opex_orig!AD55</f>
        <v>7.2731977315082796E-3</v>
      </c>
      <c r="CO55" s="27">
        <f>opex_orig!AE55</f>
        <v>6.1088829999999998E-3</v>
      </c>
      <c r="CP55" s="27">
        <f>opex_orig!AF55</f>
        <v>1.4372539E-2</v>
      </c>
    </row>
    <row r="56" spans="1:94" x14ac:dyDescent="0.25">
      <c r="A56" s="6" t="s">
        <v>131</v>
      </c>
      <c r="B56" s="2" t="s">
        <v>130</v>
      </c>
      <c r="C56" s="1" t="s">
        <v>327</v>
      </c>
      <c r="D56" s="188">
        <f>opex_orig!D56</f>
        <v>2.971638E-3</v>
      </c>
      <c r="E56" s="188">
        <f>opex_orig!E56</f>
        <v>7.5874500000000001E-4</v>
      </c>
      <c r="F56" s="188">
        <f>opex_orig!F56</f>
        <v>4.9648900000000002E-4</v>
      </c>
      <c r="G56" s="188">
        <f>opex_orig!G56</f>
        <v>1.09955E-4</v>
      </c>
      <c r="H56" s="188">
        <f>opex_orig!H56</f>
        <v>2.0082499999999999E-4</v>
      </c>
      <c r="I56" s="188">
        <f>opex_orig!I56</f>
        <v>1.286466E-3</v>
      </c>
      <c r="J56" s="188">
        <f>opex_orig!J56</f>
        <v>2.0837920000000001E-3</v>
      </c>
      <c r="K56" s="188">
        <f>opex_orig!K56</f>
        <v>2.9955699999999999E-4</v>
      </c>
      <c r="L56" s="188">
        <f>opex_orig!L56</f>
        <v>1.617299E-3</v>
      </c>
      <c r="M56" s="188">
        <f>opex_orig!M56</f>
        <v>4.9544050000000003E-3</v>
      </c>
      <c r="N56" s="188">
        <f>opex_orig!N56</f>
        <v>2.522051E-3</v>
      </c>
      <c r="O56" s="188">
        <f>opex_orig!O56</f>
        <v>2.1774972E-2</v>
      </c>
      <c r="P56" s="188">
        <f>opex_orig!P56</f>
        <v>3.5185059999999998E-3</v>
      </c>
      <c r="Q56" s="188">
        <f>opex_orig!Q56</f>
        <v>5.1208600000000003E-4</v>
      </c>
      <c r="R56" s="188">
        <f>opex_orig!R56</f>
        <v>5.2010999999999995E-4</v>
      </c>
      <c r="S56" s="188">
        <f>opex_orig!S56</f>
        <v>1.0041029999999999E-3</v>
      </c>
      <c r="T56" s="188">
        <f>opex_orig!T56</f>
        <v>1.1882310000000001E-3</v>
      </c>
      <c r="U56" s="188">
        <f>opex_orig!U56</f>
        <v>1.1931175E-2</v>
      </c>
      <c r="V56" s="188">
        <f>opex_orig!V56</f>
        <v>1.3293472000000001E-2</v>
      </c>
      <c r="W56" s="188">
        <f>opex_orig!W56</f>
        <v>3.8119878000000003E-2</v>
      </c>
      <c r="X56" s="188">
        <f>opex_orig!X56</f>
        <v>0.282525146</v>
      </c>
      <c r="Y56" s="188">
        <f>opex_orig!Y56</f>
        <v>3.68224E-4</v>
      </c>
      <c r="Z56" s="188">
        <f>opex_orig!Z56</f>
        <v>4.8030499999999999E-4</v>
      </c>
      <c r="AA56" s="188">
        <f>opex_orig!AA56</f>
        <v>7.4832299999999996E-4</v>
      </c>
      <c r="AB56" s="188">
        <f>opex_orig!$AB56</f>
        <v>1.93731626552095E-3</v>
      </c>
      <c r="AC56" s="188">
        <f>opex_orig!$AB56</f>
        <v>1.93731626552095E-3</v>
      </c>
      <c r="AD56" s="188">
        <f>opex_orig!$AB56</f>
        <v>1.93731626552095E-3</v>
      </c>
      <c r="AE56" s="188">
        <f>opex_orig!$AC56</f>
        <v>1.57776281546787E-3</v>
      </c>
      <c r="AF56" s="188">
        <f>opex_orig!$AD56</f>
        <v>4.2245372374762596E-3</v>
      </c>
      <c r="AG56" s="188">
        <f>opex_orig!$AD56</f>
        <v>4.2245372374762596E-3</v>
      </c>
      <c r="AH56" s="188">
        <f>opex_orig!$AD56</f>
        <v>4.2245372374762596E-3</v>
      </c>
      <c r="AI56" s="188">
        <f>opex_orig!AE56</f>
        <v>3.9817430000000003E-3</v>
      </c>
      <c r="AJ56" s="188">
        <f>opex_orig!AF56</f>
        <v>7.4376019999999998E-3</v>
      </c>
      <c r="AK56" s="188">
        <f>opex_orig!AG56</f>
        <v>2.47555E-3</v>
      </c>
      <c r="AL56" s="188">
        <f>opex_orig!AH56</f>
        <v>1.1102639999999999E-3</v>
      </c>
      <c r="AM56" s="188">
        <f>opex_orig!AI56</f>
        <v>1.976467E-3</v>
      </c>
      <c r="AN56" s="188">
        <f>opex_orig!AJ56</f>
        <v>2.1404369999999998E-3</v>
      </c>
      <c r="AO56" s="188">
        <f>opex_orig!AK56</f>
        <v>2.0512030000000001E-3</v>
      </c>
      <c r="AP56" s="188">
        <f>opex_orig!$AL56</f>
        <v>1.5004181919881E-3</v>
      </c>
      <c r="AQ56" s="188">
        <f>opex_orig!$AL56</f>
        <v>1.5004181919881E-3</v>
      </c>
      <c r="AR56" s="188">
        <f>opex_orig!$AL56</f>
        <v>1.5004181919881E-3</v>
      </c>
      <c r="AS56" s="188">
        <f>opex_orig!$AM56</f>
        <v>1.4488492446693699E-3</v>
      </c>
      <c r="AT56" s="188">
        <f>opex_orig!AN56</f>
        <v>2.4486349999999998E-3</v>
      </c>
      <c r="AU56" s="188">
        <f>opex_orig!$AO56</f>
        <v>1.1406192299524001E-3</v>
      </c>
      <c r="AV56" s="188">
        <f>opex_orig!$AO56</f>
        <v>1.1406192299524001E-3</v>
      </c>
      <c r="AW56" s="188">
        <f>opex_orig!$AO56</f>
        <v>1.1406192299524001E-3</v>
      </c>
      <c r="AX56" s="188">
        <f>opex_orig!$AP56</f>
        <v>1.32123687535519E-3</v>
      </c>
      <c r="AY56" s="188">
        <f>opex_orig!AQ56</f>
        <v>1.4438669999999999E-3</v>
      </c>
      <c r="AZ56" s="188">
        <f>opex_orig!AR56</f>
        <v>0</v>
      </c>
      <c r="BA56" s="188">
        <f>opex_orig!AS56</f>
        <v>1.4150479999999999E-3</v>
      </c>
      <c r="BB56" s="188">
        <f>opex_orig!AT56</f>
        <v>1.465975E-3</v>
      </c>
      <c r="BC56" s="188">
        <f>opex_orig!AU56</f>
        <v>4.06516E-4</v>
      </c>
      <c r="BD56" s="188">
        <f>opex_orig!AV56</f>
        <v>3.5867199999999998E-4</v>
      </c>
      <c r="BE56" s="188">
        <f>opex_orig!AW56</f>
        <v>9.6610100000000003E-4</v>
      </c>
      <c r="BF56" s="188">
        <f>opex_orig!AX56</f>
        <v>0</v>
      </c>
      <c r="BG56" s="188">
        <f>opex_orig!AY56</f>
        <v>1.5443740000000001E-3</v>
      </c>
      <c r="BH56" s="188">
        <f>opex_orig!AZ56</f>
        <v>0</v>
      </c>
      <c r="BI56" s="188">
        <f>opex_orig!BA56</f>
        <v>1.7665910000000001E-3</v>
      </c>
      <c r="BJ56" s="188">
        <f>opex_orig!BB56</f>
        <v>1.03206E-3</v>
      </c>
      <c r="BK56" s="188">
        <f>opex_orig!BC56</f>
        <v>2.2967719999999999E-3</v>
      </c>
      <c r="BL56" s="188">
        <f>opex_orig!BD56</f>
        <v>2.5837149999999999E-3</v>
      </c>
      <c r="BM56" s="188">
        <f>opex_orig!BE56</f>
        <v>2.410653E-3</v>
      </c>
      <c r="BN56" s="188">
        <f>opex_orig!BF56</f>
        <v>1.7585229999999999E-3</v>
      </c>
      <c r="BO56" s="188">
        <f>opex_orig!BG56</f>
        <v>4.9676379999999999E-3</v>
      </c>
      <c r="BP56" s="188">
        <f>opex_orig!$BH56</f>
        <v>1.2278051479569299E-3</v>
      </c>
      <c r="BQ56" s="188">
        <f>opex_orig!$BH56</f>
        <v>1.2278051479569299E-3</v>
      </c>
      <c r="BR56" s="188">
        <f>opex_orig!BI56</f>
        <v>7.4141699999999997E-4</v>
      </c>
      <c r="BS56" s="188">
        <f>opex_orig!BJ56</f>
        <v>1.2380565E-2</v>
      </c>
      <c r="BT56" s="188">
        <f>opex_orig!BK56</f>
        <v>1.4737789999999999E-3</v>
      </c>
      <c r="BU56" s="188">
        <f>opex_orig!BL56</f>
        <v>0</v>
      </c>
      <c r="BV56" s="27">
        <f>opex_orig!BM56</f>
        <v>1.77737153820002E-3</v>
      </c>
      <c r="BW56" s="27">
        <f>opex_orig!BN56</f>
        <v>1.56590040507093E-3</v>
      </c>
      <c r="BX56" s="27">
        <f>opex_orig!BO56</f>
        <v>8.5320552888576505E-4</v>
      </c>
      <c r="BY56" s="27">
        <f>opex_orig!BP56</f>
        <v>7.9062707174762403E-4</v>
      </c>
      <c r="BZ56" s="27">
        <f>opex_orig!BQ56</f>
        <v>6.64544670857718E-4</v>
      </c>
      <c r="CA56" s="27">
        <f>opex_orig!BR56</f>
        <v>2.68784689972417E-3</v>
      </c>
      <c r="CB56" s="27">
        <f>opex_orig!BS56</f>
        <v>1.34635456941008E-3</v>
      </c>
      <c r="CC56" s="27">
        <f>opex_orig!BT56</f>
        <v>3.2191949564971901E-4</v>
      </c>
      <c r="CD56" s="27">
        <f>opex_orig!BU56</f>
        <v>1.68539275612633E-4</v>
      </c>
      <c r="CE56" s="27">
        <f>opex_orig!BV56</f>
        <v>1.68539275612633E-4</v>
      </c>
      <c r="CF56" s="27">
        <f>opex_orig!BW56</f>
        <v>2.5686237618824299E-3</v>
      </c>
      <c r="CG56" s="27">
        <f>opex_orig!BX56</f>
        <v>4.2497970496103697E-5</v>
      </c>
      <c r="CH56" s="27">
        <f>opex_orig!BY56</f>
        <v>3.2535819481201199E-5</v>
      </c>
      <c r="CI56" s="27">
        <f>opex_orig!Y56</f>
        <v>3.68224E-4</v>
      </c>
      <c r="CJ56" s="27">
        <f>opex_orig!Z56</f>
        <v>4.8030499999999999E-4</v>
      </c>
      <c r="CK56" s="27">
        <f>opex_orig!AA56</f>
        <v>7.4832299999999996E-4</v>
      </c>
      <c r="CL56" s="27">
        <f>opex_orig!AB56</f>
        <v>1.93731626552095E-3</v>
      </c>
      <c r="CM56" s="27">
        <f>opex_orig!AC56</f>
        <v>1.57776281546787E-3</v>
      </c>
      <c r="CN56" s="27">
        <f>opex_orig!AD56</f>
        <v>4.2245372374762596E-3</v>
      </c>
      <c r="CO56" s="27">
        <f>opex_orig!AE56</f>
        <v>3.9817430000000003E-3</v>
      </c>
      <c r="CP56" s="27">
        <f>opex_orig!AF56</f>
        <v>7.4376019999999998E-3</v>
      </c>
    </row>
    <row r="57" spans="1:94" x14ac:dyDescent="0.25">
      <c r="A57" s="5" t="s">
        <v>133</v>
      </c>
      <c r="B57" s="2" t="s">
        <v>132</v>
      </c>
      <c r="C57" s="1" t="s">
        <v>328</v>
      </c>
      <c r="D57" s="188">
        <f>opex_orig!D57</f>
        <v>5.3399999999999997E-6</v>
      </c>
      <c r="E57" s="188">
        <f>opex_orig!E57</f>
        <v>7.2599999999999999E-6</v>
      </c>
      <c r="F57" s="188">
        <f>opex_orig!F57</f>
        <v>6.19E-6</v>
      </c>
      <c r="G57" s="188">
        <f>opex_orig!G57</f>
        <v>5.3000000000000001E-7</v>
      </c>
      <c r="H57" s="188">
        <f>opex_orig!H57</f>
        <v>1.3799999999999999E-6</v>
      </c>
      <c r="I57" s="188">
        <f>opex_orig!I57</f>
        <v>2.1999999999999999E-5</v>
      </c>
      <c r="J57" s="188">
        <f>opex_orig!J57</f>
        <v>7.6899999999999992E-6</v>
      </c>
      <c r="K57" s="188">
        <f>opex_orig!K57</f>
        <v>1.53E-6</v>
      </c>
      <c r="L57" s="188">
        <f>opex_orig!L57</f>
        <v>1.19E-5</v>
      </c>
      <c r="M57" s="188">
        <f>opex_orig!M57</f>
        <v>3.7100000000000001E-5</v>
      </c>
      <c r="N57" s="188">
        <f>opex_orig!N57</f>
        <v>2.7800000000000001E-5</v>
      </c>
      <c r="O57" s="188">
        <f>opex_orig!O57</f>
        <v>9.4399999999999994E-6</v>
      </c>
      <c r="P57" s="188">
        <f>opex_orig!P57</f>
        <v>1.0499999999999999E-5</v>
      </c>
      <c r="Q57" s="188">
        <f>opex_orig!Q57</f>
        <v>1.26E-5</v>
      </c>
      <c r="R57" s="188">
        <f>opex_orig!R57</f>
        <v>7.9000000000000006E-6</v>
      </c>
      <c r="S57" s="188">
        <f>opex_orig!S57</f>
        <v>6.1299999999999998E-6</v>
      </c>
      <c r="T57" s="188">
        <f>opex_orig!T57</f>
        <v>1.13E-5</v>
      </c>
      <c r="U57" s="188">
        <f>opex_orig!U57</f>
        <v>8.8899999999999996E-6</v>
      </c>
      <c r="V57" s="188">
        <f>opex_orig!V57</f>
        <v>7.5000000000000002E-6</v>
      </c>
      <c r="W57" s="188">
        <f>opex_orig!W57</f>
        <v>7.2300000000000002E-6</v>
      </c>
      <c r="X57" s="188">
        <f>opex_orig!X57</f>
        <v>2.4499999999999998E-6</v>
      </c>
      <c r="Y57" s="188">
        <f>opex_orig!Y57</f>
        <v>2.2730600000000001E-4</v>
      </c>
      <c r="Z57" s="188">
        <f>opex_orig!Z57</f>
        <v>7.625672E-3</v>
      </c>
      <c r="AA57" s="188">
        <f>opex_orig!AA57</f>
        <v>6.4400000000000002E-6</v>
      </c>
      <c r="AB57" s="188">
        <f>opex_orig!$AB57</f>
        <v>5.0701931124400803E-5</v>
      </c>
      <c r="AC57" s="188">
        <f>opex_orig!$AB57</f>
        <v>5.0701931124400803E-5</v>
      </c>
      <c r="AD57" s="188">
        <f>opex_orig!$AB57</f>
        <v>5.0701931124400803E-5</v>
      </c>
      <c r="AE57" s="188">
        <f>opex_orig!$AC57</f>
        <v>1.95315726400779E-5</v>
      </c>
      <c r="AF57" s="188">
        <f>opex_orig!$AD57</f>
        <v>1.5276177846295901E-4</v>
      </c>
      <c r="AG57" s="188">
        <f>opex_orig!$AD57</f>
        <v>1.5276177846295901E-4</v>
      </c>
      <c r="AH57" s="188">
        <f>opex_orig!$AD57</f>
        <v>1.5276177846295901E-4</v>
      </c>
      <c r="AI57" s="188">
        <f>opex_orig!AE57</f>
        <v>1.31738E-4</v>
      </c>
      <c r="AJ57" s="188">
        <f>opex_orig!AF57</f>
        <v>6.2934199999999997E-4</v>
      </c>
      <c r="AK57" s="188">
        <f>opex_orig!AG57</f>
        <v>8.5900000000000001E-5</v>
      </c>
      <c r="AL57" s="188">
        <f>opex_orig!AH57</f>
        <v>1.4107729999999999E-3</v>
      </c>
      <c r="AM57" s="188">
        <f>opex_orig!AI57</f>
        <v>7.5406799999999999E-4</v>
      </c>
      <c r="AN57" s="188">
        <f>opex_orig!AJ57</f>
        <v>7.2745100000000005E-4</v>
      </c>
      <c r="AO57" s="188">
        <f>opex_orig!AK57</f>
        <v>2.2471790000000002E-3</v>
      </c>
      <c r="AP57" s="188">
        <f>opex_orig!$AL57</f>
        <v>1.0606002360879199E-3</v>
      </c>
      <c r="AQ57" s="188">
        <f>opex_orig!$AL57</f>
        <v>1.0606002360879199E-3</v>
      </c>
      <c r="AR57" s="188">
        <f>opex_orig!$AL57</f>
        <v>1.0606002360879199E-3</v>
      </c>
      <c r="AS57" s="188">
        <f>opex_orig!$AM57</f>
        <v>8.3297622271098098E-4</v>
      </c>
      <c r="AT57" s="188">
        <f>opex_orig!AN57</f>
        <v>2.7836549999999999E-3</v>
      </c>
      <c r="AU57" s="188">
        <f>opex_orig!$AO57</f>
        <v>3.2442916560662398E-3</v>
      </c>
      <c r="AV57" s="188">
        <f>opex_orig!$AO57</f>
        <v>3.2442916560662398E-3</v>
      </c>
      <c r="AW57" s="188">
        <f>opex_orig!$AO57</f>
        <v>3.2442916560662398E-3</v>
      </c>
      <c r="AX57" s="188">
        <f>opex_orig!$AP57</f>
        <v>1.43517294715439E-3</v>
      </c>
      <c r="AY57" s="188">
        <f>opex_orig!AQ57</f>
        <v>1.474824E-3</v>
      </c>
      <c r="AZ57" s="188">
        <f>opex_orig!AR57</f>
        <v>0</v>
      </c>
      <c r="BA57" s="188">
        <f>opex_orig!AS57</f>
        <v>3.7386899999999998E-3</v>
      </c>
      <c r="BB57" s="188">
        <f>opex_orig!AT57</f>
        <v>1.9269650000000001E-3</v>
      </c>
      <c r="BC57" s="188">
        <f>opex_orig!AU57</f>
        <v>5.1413499999999998E-4</v>
      </c>
      <c r="BD57" s="188">
        <f>opex_orig!AV57</f>
        <v>2.1708299999999999E-4</v>
      </c>
      <c r="BE57" s="188">
        <f>opex_orig!AW57</f>
        <v>1.651656E-3</v>
      </c>
      <c r="BF57" s="188">
        <f>opex_orig!AX57</f>
        <v>0</v>
      </c>
      <c r="BG57" s="188">
        <f>opex_orig!AY57</f>
        <v>1.147054E-3</v>
      </c>
      <c r="BH57" s="188">
        <f>opex_orig!AZ57</f>
        <v>0</v>
      </c>
      <c r="BI57" s="188">
        <f>opex_orig!BA57</f>
        <v>3.328756E-3</v>
      </c>
      <c r="BJ57" s="188">
        <f>opex_orig!BB57</f>
        <v>2.9499999999999999E-5</v>
      </c>
      <c r="BK57" s="188">
        <f>opex_orig!BC57</f>
        <v>3.3200000000000001E-5</v>
      </c>
      <c r="BL57" s="188">
        <f>opex_orig!BD57</f>
        <v>8.1000000000000004E-6</v>
      </c>
      <c r="BM57" s="188">
        <f>opex_orig!BE57</f>
        <v>8.6400000000000003E-6</v>
      </c>
      <c r="BN57" s="188">
        <f>opex_orig!BF57</f>
        <v>8.9099999999999994E-6</v>
      </c>
      <c r="BO57" s="188">
        <f>opex_orig!BG57</f>
        <v>2.48E-5</v>
      </c>
      <c r="BP57" s="188">
        <f>opex_orig!$BH57</f>
        <v>4.3935461311936801E-6</v>
      </c>
      <c r="BQ57" s="188">
        <f>opex_orig!$BH57</f>
        <v>4.3935461311936801E-6</v>
      </c>
      <c r="BR57" s="188">
        <f>opex_orig!BI57</f>
        <v>9.7699999999999996E-6</v>
      </c>
      <c r="BS57" s="188">
        <f>opex_orig!BJ57</f>
        <v>1.98E-5</v>
      </c>
      <c r="BT57" s="188">
        <f>opex_orig!BK57</f>
        <v>2.0100000000000001E-5</v>
      </c>
      <c r="BU57" s="188">
        <f>opex_orig!BL57</f>
        <v>0</v>
      </c>
      <c r="BV57" s="27">
        <f>opex_orig!BM57</f>
        <v>2.70075722413804E-3</v>
      </c>
      <c r="BW57" s="27">
        <f>opex_orig!BN57</f>
        <v>1.8960648684333099E-3</v>
      </c>
      <c r="BX57" s="27">
        <f>opex_orig!BO57</f>
        <v>1.2118898410348E-4</v>
      </c>
      <c r="BY57" s="27">
        <f>opex_orig!BP57</f>
        <v>6.9546815582337602E-5</v>
      </c>
      <c r="BZ57" s="27">
        <f>opex_orig!BQ57</f>
        <v>4.3495916827221997E-6</v>
      </c>
      <c r="CA57" s="27">
        <f>opex_orig!BR57</f>
        <v>6.43354914927067E-6</v>
      </c>
      <c r="CB57" s="27">
        <f>opex_orig!BS57</f>
        <v>1.6715674035697501E-4</v>
      </c>
      <c r="CC57" s="27">
        <f>opex_orig!BT57</f>
        <v>5.0329970030745099E-5</v>
      </c>
      <c r="CD57" s="27">
        <f>opex_orig!BU57</f>
        <v>1.45266253107806E-6</v>
      </c>
      <c r="CE57" s="27">
        <f>opex_orig!BV57</f>
        <v>1.45266253107806E-6</v>
      </c>
      <c r="CF57" s="27">
        <f>opex_orig!BW57</f>
        <v>6.2696329912800401E-6</v>
      </c>
      <c r="CG57" s="27">
        <f>opex_orig!BX57</f>
        <v>2.0933709933875098E-6</v>
      </c>
      <c r="CH57" s="27">
        <f>opex_orig!BY57</f>
        <v>3.6397631607324497E-5</v>
      </c>
      <c r="CI57" s="27">
        <f>opex_orig!Y57</f>
        <v>2.2730600000000001E-4</v>
      </c>
      <c r="CJ57" s="27">
        <f>opex_orig!Z57</f>
        <v>7.625672E-3</v>
      </c>
      <c r="CK57" s="27">
        <f>opex_orig!AA57</f>
        <v>6.4400000000000002E-6</v>
      </c>
      <c r="CL57" s="27">
        <f>opex_orig!AB57</f>
        <v>5.0701931124400803E-5</v>
      </c>
      <c r="CM57" s="27">
        <f>opex_orig!AC57</f>
        <v>1.95315726400779E-5</v>
      </c>
      <c r="CN57" s="27">
        <f>opex_orig!AD57</f>
        <v>1.5276177846295901E-4</v>
      </c>
      <c r="CO57" s="27">
        <f>opex_orig!AE57</f>
        <v>1.31738E-4</v>
      </c>
      <c r="CP57" s="27">
        <f>opex_orig!AF57</f>
        <v>6.2934199999999997E-4</v>
      </c>
    </row>
    <row r="58" spans="1:94" x14ac:dyDescent="0.25">
      <c r="A58" s="5" t="s">
        <v>135</v>
      </c>
      <c r="B58" s="2" t="s">
        <v>134</v>
      </c>
      <c r="C58" s="1" t="s">
        <v>328</v>
      </c>
      <c r="D58" s="188">
        <f>opex_orig!D58</f>
        <v>3.49639E-4</v>
      </c>
      <c r="E58" s="188">
        <f>opex_orig!E58</f>
        <v>8.5254700000000005E-4</v>
      </c>
      <c r="F58" s="188">
        <f>opex_orig!F58</f>
        <v>5.3366399999999999E-4</v>
      </c>
      <c r="G58" s="188">
        <f>opex_orig!G58</f>
        <v>4.0599999999999998E-5</v>
      </c>
      <c r="H58" s="188">
        <f>opex_orig!H58</f>
        <v>8.8900000000000006E-5</v>
      </c>
      <c r="I58" s="188">
        <f>opex_orig!I58</f>
        <v>2.9650900000000001E-3</v>
      </c>
      <c r="J58" s="188">
        <f>opex_orig!J58</f>
        <v>5.9709499999999996E-4</v>
      </c>
      <c r="K58" s="188">
        <f>opex_orig!K58</f>
        <v>1.3757299999999999E-4</v>
      </c>
      <c r="L58" s="188">
        <f>opex_orig!L58</f>
        <v>1.414715E-3</v>
      </c>
      <c r="M58" s="188">
        <f>opex_orig!M58</f>
        <v>5.3299200000000001E-3</v>
      </c>
      <c r="N58" s="188">
        <f>opex_orig!N58</f>
        <v>1.520354E-3</v>
      </c>
      <c r="O58" s="188">
        <f>opex_orig!O58</f>
        <v>1.1769630000000001E-3</v>
      </c>
      <c r="P58" s="188">
        <f>opex_orig!P58</f>
        <v>6.8948799999999999E-3</v>
      </c>
      <c r="Q58" s="188">
        <f>opex_orig!Q58</f>
        <v>2.5783099999999998E-4</v>
      </c>
      <c r="R58" s="188">
        <f>opex_orig!R58</f>
        <v>2.25539E-4</v>
      </c>
      <c r="S58" s="188">
        <f>opex_orig!S58</f>
        <v>1.7398180999999999E-2</v>
      </c>
      <c r="T58" s="188">
        <f>opex_orig!T58</f>
        <v>5.0012624999999998E-2</v>
      </c>
      <c r="U58" s="188">
        <f>opex_orig!U58</f>
        <v>1.3056167E-2</v>
      </c>
      <c r="V58" s="188">
        <f>opex_orig!V58</f>
        <v>2.5499939999999999E-3</v>
      </c>
      <c r="W58" s="188">
        <f>opex_orig!W58</f>
        <v>5.8057229999999996E-3</v>
      </c>
      <c r="X58" s="188">
        <f>opex_orig!X58</f>
        <v>1.6898659999999999E-3</v>
      </c>
      <c r="Y58" s="188">
        <f>opex_orig!Y58</f>
        <v>5.2560400000000005E-4</v>
      </c>
      <c r="Z58" s="188">
        <f>opex_orig!Z58</f>
        <v>3.0661302000000001E-2</v>
      </c>
      <c r="AA58" s="188">
        <f>opex_orig!AA58</f>
        <v>4.2551300000000002E-3</v>
      </c>
      <c r="AB58" s="275">
        <f>opex_concordance!M190</f>
        <v>1.8100147387346398E-2</v>
      </c>
      <c r="AC58" s="275">
        <f>opex_concordance!M235</f>
        <v>1.4376581818692953E-2</v>
      </c>
      <c r="AD58" s="275">
        <f>opex_concordance!M280</f>
        <v>0</v>
      </c>
      <c r="AE58" s="188">
        <f>opex_orig!$AC58</f>
        <v>7.0636463480509403E-4</v>
      </c>
      <c r="AF58" s="275">
        <f>opex_concordance!M313</f>
        <v>1.0076354723968201E-2</v>
      </c>
      <c r="AG58" s="275">
        <f>opex_concordance!M349</f>
        <v>0</v>
      </c>
      <c r="AH58" s="275">
        <f>opex_concordance!M385</f>
        <v>0</v>
      </c>
      <c r="AI58" s="188">
        <f>opex_orig!AE58</f>
        <v>8.353727E-3</v>
      </c>
      <c r="AJ58" s="188">
        <f>opex_orig!AF58</f>
        <v>3.0411033000000001E-2</v>
      </c>
      <c r="AK58" s="188">
        <f>opex_orig!AG58</f>
        <v>9.4488660000000002E-3</v>
      </c>
      <c r="AL58" s="188">
        <f>opex_orig!AH58</f>
        <v>2.7358199999999999E-3</v>
      </c>
      <c r="AM58" s="188">
        <f>opex_orig!AI58</f>
        <v>1.558739E-3</v>
      </c>
      <c r="AN58" s="188">
        <f>opex_orig!AJ58</f>
        <v>5.2255599999999998E-3</v>
      </c>
      <c r="AO58" s="188">
        <f>opex_orig!AK58</f>
        <v>2.8095210000000002E-3</v>
      </c>
      <c r="AP58" s="275">
        <f>opex_concordance!M425</f>
        <v>2.34426915369322E-3</v>
      </c>
      <c r="AQ58" s="275">
        <f>opex_concordance!M479</f>
        <v>1.5585334029448075E-3</v>
      </c>
      <c r="AR58" s="275">
        <f>opex_concordance!M533</f>
        <v>0</v>
      </c>
      <c r="AS58" s="188">
        <f>opex_orig!$AM58</f>
        <v>1.73896747510856E-3</v>
      </c>
      <c r="AT58" s="188">
        <f>opex_orig!AN58</f>
        <v>4.3709270000000001E-3</v>
      </c>
      <c r="AU58" s="263">
        <f>opex_concordance!$M$596</f>
        <v>7.5174037116861403E-3</v>
      </c>
      <c r="AV58" s="263">
        <f>opex_concordance!M642</f>
        <v>0</v>
      </c>
      <c r="AW58" s="263">
        <f>opex_concordance!M688</f>
        <v>2.8630154732560264E-3</v>
      </c>
      <c r="AX58" s="188">
        <f>opex_orig!$AP58</f>
        <v>3.0526107830822001E-3</v>
      </c>
      <c r="AY58" s="188">
        <f>opex_orig!AQ58</f>
        <v>8.6572609999999994E-3</v>
      </c>
      <c r="AZ58" s="188">
        <f>opex_orig!AR58</f>
        <v>0</v>
      </c>
      <c r="BA58" s="188">
        <f>opex_orig!AS58</f>
        <v>1.1072871E-2</v>
      </c>
      <c r="BB58" s="188">
        <f>opex_orig!AT58</f>
        <v>6.9431509999999998E-3</v>
      </c>
      <c r="BC58" s="188">
        <f>opex_orig!AU58</f>
        <v>3.1468220000000001E-3</v>
      </c>
      <c r="BD58" s="188">
        <f>opex_orig!AV58</f>
        <v>1.704119E-3</v>
      </c>
      <c r="BE58" s="188">
        <f>opex_orig!AW58</f>
        <v>7.5060190000000001E-3</v>
      </c>
      <c r="BF58" s="188">
        <f>opex_orig!AX58</f>
        <v>0</v>
      </c>
      <c r="BG58" s="188">
        <f>opex_orig!AY58</f>
        <v>4.0831940000000001E-3</v>
      </c>
      <c r="BH58" s="188">
        <f>opex_orig!AZ58</f>
        <v>0</v>
      </c>
      <c r="BI58" s="188">
        <f>opex_orig!BA58</f>
        <v>1.211258E-2</v>
      </c>
      <c r="BJ58" s="188">
        <f>opex_orig!BB58</f>
        <v>2.2453310000000001E-3</v>
      </c>
      <c r="BK58" s="188">
        <f>opex_orig!BC58</f>
        <v>2.655171E-3</v>
      </c>
      <c r="BL58" s="188">
        <f>opex_orig!BD58</f>
        <v>1.7289399999999999E-4</v>
      </c>
      <c r="BM58" s="188">
        <f>opex_orig!BE58</f>
        <v>4.8999999999999998E-5</v>
      </c>
      <c r="BN58" s="188">
        <f>opex_orig!BF58</f>
        <v>1.22397E-4</v>
      </c>
      <c r="BO58" s="188">
        <f>opex_orig!BG58</f>
        <v>1.3471259999999999E-3</v>
      </c>
      <c r="BP58" s="188">
        <f>opex_orig!$BH58</f>
        <v>4.9263064104649599E-3</v>
      </c>
      <c r="BQ58" s="188">
        <f>opex_orig!$BH58</f>
        <v>4.9263064104649599E-3</v>
      </c>
      <c r="BR58" s="188">
        <f>opex_orig!BI58</f>
        <v>1.0026329E-2</v>
      </c>
      <c r="BS58" s="188">
        <f>opex_orig!BJ58</f>
        <v>3.2166629999999998E-3</v>
      </c>
      <c r="BT58" s="188">
        <f>opex_orig!BK58</f>
        <v>3.352907E-3</v>
      </c>
      <c r="BU58" s="188">
        <f>opex_orig!BL58</f>
        <v>0</v>
      </c>
      <c r="BV58" s="27">
        <f>opex_orig!BM58</f>
        <v>2.1319106098944201E-2</v>
      </c>
      <c r="BW58" s="27">
        <f>opex_orig!BN58</f>
        <v>3.5737450313644802E-2</v>
      </c>
      <c r="BX58" s="27">
        <f>opex_orig!BO58</f>
        <v>1.61822773333319E-3</v>
      </c>
      <c r="BY58" s="27">
        <f>opex_orig!BP58</f>
        <v>3.62246427933385E-3</v>
      </c>
      <c r="BZ58" s="27">
        <f>opex_orig!BQ58</f>
        <v>4.66218174970602E-3</v>
      </c>
      <c r="CA58" s="27">
        <f>opex_orig!BR58</f>
        <v>2.3189251722962401E-3</v>
      </c>
      <c r="CB58" s="27">
        <f>opex_orig!BS58</f>
        <v>4.7973679957663398E-2</v>
      </c>
      <c r="CC58" s="27">
        <f>opex_orig!BT58</f>
        <v>1.52463947982011E-3</v>
      </c>
      <c r="CD58" s="27">
        <f>opex_orig!BU58</f>
        <v>3.6656889237918803E-5</v>
      </c>
      <c r="CE58" s="27">
        <f>opex_orig!BV58</f>
        <v>3.6656889237918803E-5</v>
      </c>
      <c r="CF58" s="27">
        <f>opex_orig!BW58</f>
        <v>1.37992280312749E-2</v>
      </c>
      <c r="CG58" s="27">
        <f>opex_orig!BX58</f>
        <v>5.5253008553262E-3</v>
      </c>
      <c r="CH58" s="27">
        <f>opex_orig!BY58</f>
        <v>4.0935277219958204E-3</v>
      </c>
      <c r="CI58" s="27">
        <f>opex_orig!Y58</f>
        <v>5.2560400000000005E-4</v>
      </c>
      <c r="CJ58" s="27">
        <f>opex_orig!Z58</f>
        <v>3.0661302000000001E-2</v>
      </c>
      <c r="CK58" s="27">
        <f>opex_orig!AA58</f>
        <v>4.2551300000000002E-3</v>
      </c>
      <c r="CL58" s="27">
        <f>opex_orig!AB58</f>
        <v>1.8100147387346398E-2</v>
      </c>
      <c r="CM58" s="27">
        <f>opex_orig!AC58</f>
        <v>7.0636463480509403E-4</v>
      </c>
      <c r="CN58" s="27">
        <f>opex_orig!AD58</f>
        <v>1.0076354723968201E-2</v>
      </c>
      <c r="CO58" s="27">
        <f>opex_orig!AE58</f>
        <v>8.353727E-3</v>
      </c>
      <c r="CP58" s="27">
        <f>opex_orig!AF58</f>
        <v>3.0411033000000001E-2</v>
      </c>
    </row>
    <row r="59" spans="1:94" x14ac:dyDescent="0.25">
      <c r="A59" s="6" t="s">
        <v>137</v>
      </c>
      <c r="B59" s="2" t="s">
        <v>136</v>
      </c>
      <c r="C59" s="1" t="s">
        <v>328</v>
      </c>
      <c r="D59" s="188">
        <f>opex_orig!D59</f>
        <v>2.6299999999999998E-6</v>
      </c>
      <c r="E59" s="188">
        <f>opex_orig!E59</f>
        <v>1.0100000000000001E-6</v>
      </c>
      <c r="F59" s="188">
        <f>opex_orig!F59</f>
        <v>1.5099999999999999E-6</v>
      </c>
      <c r="G59" s="188">
        <f>opex_orig!G59</f>
        <v>4.0400000000000002E-7</v>
      </c>
      <c r="H59" s="188">
        <f>opex_orig!H59</f>
        <v>6.5300000000000004E-7</v>
      </c>
      <c r="I59" s="188">
        <f>opex_orig!I59</f>
        <v>1.75E-6</v>
      </c>
      <c r="J59" s="188">
        <f>opex_orig!J59</f>
        <v>3.4699999999999998E-6</v>
      </c>
      <c r="K59" s="188">
        <f>opex_orig!K59</f>
        <v>9.1800000000000004E-7</v>
      </c>
      <c r="L59" s="188">
        <f>opex_orig!L59</f>
        <v>1.55E-6</v>
      </c>
      <c r="M59" s="188">
        <f>opex_orig!M59</f>
        <v>2.2699999999999999E-6</v>
      </c>
      <c r="N59" s="188">
        <f>opex_orig!N59</f>
        <v>4.1200000000000004E-6</v>
      </c>
      <c r="O59" s="188">
        <f>opex_orig!O59</f>
        <v>4.0099999999999997E-6</v>
      </c>
      <c r="P59" s="188">
        <f>opex_orig!P59</f>
        <v>4.1999999999999996E-6</v>
      </c>
      <c r="Q59" s="188">
        <f>opex_orig!Q59</f>
        <v>1.7099999999999999E-5</v>
      </c>
      <c r="R59" s="188">
        <f>opex_orig!R59</f>
        <v>3.9700000000000001E-6</v>
      </c>
      <c r="S59" s="188">
        <f>opex_orig!S59</f>
        <v>2.04E-6</v>
      </c>
      <c r="T59" s="188">
        <f>opex_orig!T59</f>
        <v>2.5000000000000002E-6</v>
      </c>
      <c r="U59" s="188">
        <f>opex_orig!U59</f>
        <v>3.0800000000000002E-6</v>
      </c>
      <c r="V59" s="188">
        <f>opex_orig!V59</f>
        <v>3.6399999999999999E-6</v>
      </c>
      <c r="W59" s="188">
        <f>opex_orig!W59</f>
        <v>8.6600000000000001E-6</v>
      </c>
      <c r="X59" s="188">
        <f>opex_orig!X59</f>
        <v>2.6900000000000001E-6</v>
      </c>
      <c r="Y59" s="188">
        <f>opex_orig!Y59</f>
        <v>1.9700000000000002E-6</v>
      </c>
      <c r="Z59" s="188">
        <f>opex_orig!Z59</f>
        <v>9.2899999999999995E-5</v>
      </c>
      <c r="AA59" s="188">
        <f>opex_orig!AA59</f>
        <v>2.9000000000000002E-6</v>
      </c>
      <c r="AB59" s="188">
        <f>opex_orig!$AB59</f>
        <v>2.3035570974855401E-5</v>
      </c>
      <c r="AC59" s="188">
        <f>opex_orig!$AB59</f>
        <v>2.3035570974855401E-5</v>
      </c>
      <c r="AD59" s="188">
        <f>opex_orig!$AB59</f>
        <v>2.3035570974855401E-5</v>
      </c>
      <c r="AE59" s="188">
        <f>opex_orig!$AC59</f>
        <v>5.3815745927251699E-6</v>
      </c>
      <c r="AF59" s="188">
        <f>opex_orig!$AD59</f>
        <v>4.2886752799363398E-6</v>
      </c>
      <c r="AG59" s="188">
        <f>opex_orig!$AD59</f>
        <v>4.2886752799363398E-6</v>
      </c>
      <c r="AH59" s="188">
        <f>opex_orig!$AD59</f>
        <v>4.2886752799363398E-6</v>
      </c>
      <c r="AI59" s="188">
        <f>opex_orig!AE59</f>
        <v>4.5499999999999996E-6</v>
      </c>
      <c r="AJ59" s="188">
        <f>opex_orig!AF59</f>
        <v>7.1400000000000001E-5</v>
      </c>
      <c r="AK59" s="188">
        <f>opex_orig!AG59</f>
        <v>2.9300000000000001E-5</v>
      </c>
      <c r="AL59" s="188">
        <f>opex_orig!AH59</f>
        <v>8.2400000000000007E-6</v>
      </c>
      <c r="AM59" s="188">
        <f>opex_orig!AI59</f>
        <v>3.3000000000000002E-6</v>
      </c>
      <c r="AN59" s="188">
        <f>opex_orig!AJ59</f>
        <v>3.0800000000000002E-6</v>
      </c>
      <c r="AO59" s="188">
        <f>opex_orig!AK59</f>
        <v>6.4400000000000002E-6</v>
      </c>
      <c r="AP59" s="188">
        <f>opex_orig!$AL59</f>
        <v>2.7468684002348399E-6</v>
      </c>
      <c r="AQ59" s="188">
        <f>opex_orig!$AL59</f>
        <v>2.7468684002348399E-6</v>
      </c>
      <c r="AR59" s="188">
        <f>opex_orig!$AL59</f>
        <v>2.7468684002348399E-6</v>
      </c>
      <c r="AS59" s="188">
        <f>opex_orig!$AM59</f>
        <v>2.7919358181402801E-6</v>
      </c>
      <c r="AT59" s="188">
        <f>opex_orig!AN59</f>
        <v>4.87E-6</v>
      </c>
      <c r="AU59" s="188">
        <f>opex_orig!$AO59</f>
        <v>2.7871509702314501E-6</v>
      </c>
      <c r="AV59" s="188">
        <f>opex_orig!$AO59</f>
        <v>2.7871509702314501E-6</v>
      </c>
      <c r="AW59" s="188">
        <f>opex_orig!$AO59</f>
        <v>2.7871509702314501E-6</v>
      </c>
      <c r="AX59" s="188">
        <f>opex_orig!$AP59</f>
        <v>3.2329102138211998E-6</v>
      </c>
      <c r="AY59" s="188">
        <f>opex_orig!AQ59</f>
        <v>2.48E-6</v>
      </c>
      <c r="AZ59" s="188">
        <f>opex_orig!AR59</f>
        <v>0</v>
      </c>
      <c r="BA59" s="188">
        <f>opex_orig!AS59</f>
        <v>6.8800000000000002E-6</v>
      </c>
      <c r="BB59" s="188">
        <f>opex_orig!AT59</f>
        <v>6.0700000000000003E-6</v>
      </c>
      <c r="BC59" s="188">
        <f>opex_orig!AU59</f>
        <v>6.5700000000000002E-7</v>
      </c>
      <c r="BD59" s="188">
        <f>opex_orig!AV59</f>
        <v>6.7100000000000001E-7</v>
      </c>
      <c r="BE59" s="188">
        <f>opex_orig!AW59</f>
        <v>1.11E-6</v>
      </c>
      <c r="BF59" s="188">
        <f>opex_orig!AX59</f>
        <v>0</v>
      </c>
      <c r="BG59" s="188">
        <f>opex_orig!AY59</f>
        <v>3.4300000000000002E-6</v>
      </c>
      <c r="BH59" s="188">
        <f>opex_orig!AZ59</f>
        <v>0</v>
      </c>
      <c r="BI59" s="188">
        <f>opex_orig!BA59</f>
        <v>1.9400000000000001E-6</v>
      </c>
      <c r="BJ59" s="188">
        <f>opex_orig!BB59</f>
        <v>2.0700000000000001E-6</v>
      </c>
      <c r="BK59" s="188">
        <f>opex_orig!BC59</f>
        <v>2.9799999999999998E-6</v>
      </c>
      <c r="BL59" s="188">
        <f>opex_orig!BD59</f>
        <v>4.3800000000000004E-6</v>
      </c>
      <c r="BM59" s="188">
        <f>opex_orig!BE59</f>
        <v>2.2800000000000002E-6</v>
      </c>
      <c r="BN59" s="188">
        <f>opex_orig!BF59</f>
        <v>1.79E-6</v>
      </c>
      <c r="BO59" s="188">
        <f>opex_orig!BG59</f>
        <v>9.4199999999999996E-6</v>
      </c>
      <c r="BP59" s="188">
        <f>opex_orig!$BH59</f>
        <v>3.1546004251581402E-6</v>
      </c>
      <c r="BQ59" s="188">
        <f>opex_orig!$BH59</f>
        <v>3.1546004251581402E-6</v>
      </c>
      <c r="BR59" s="188">
        <f>opex_orig!BI59</f>
        <v>5.6099999999999997E-6</v>
      </c>
      <c r="BS59" s="188">
        <f>opex_orig!BJ59</f>
        <v>3.2499999999999997E-5</v>
      </c>
      <c r="BT59" s="188">
        <f>opex_orig!BK59</f>
        <v>2.0999999999999998E-6</v>
      </c>
      <c r="BU59" s="188">
        <f>opex_orig!BL59</f>
        <v>0</v>
      </c>
      <c r="BV59" s="27">
        <f>opex_orig!BM59</f>
        <v>1.78881674279671E-6</v>
      </c>
      <c r="BW59" s="27">
        <f>opex_orig!BN59</f>
        <v>6.6871543100827701E-6</v>
      </c>
      <c r="BX59" s="27">
        <f>opex_orig!BO59</f>
        <v>5.9338267020359997E-7</v>
      </c>
      <c r="BY59" s="27">
        <f>opex_orig!BP59</f>
        <v>1.3757917746518099E-6</v>
      </c>
      <c r="BZ59" s="27">
        <f>opex_orig!BQ59</f>
        <v>2.0291544844026702E-6</v>
      </c>
      <c r="CA59" s="27">
        <f>opex_orig!BR59</f>
        <v>9.1168662518813795E-7</v>
      </c>
      <c r="CB59" s="27">
        <f>opex_orig!BS59</f>
        <v>7.7918217865726194E-6</v>
      </c>
      <c r="CC59" s="27">
        <f>opex_orig!BT59</f>
        <v>1.0818872342521899E-6</v>
      </c>
      <c r="CD59" s="27">
        <f>opex_orig!BU59</f>
        <v>7.0030807706871403E-7</v>
      </c>
      <c r="CE59" s="27">
        <f>opex_orig!BV59</f>
        <v>7.0030807706871604E-7</v>
      </c>
      <c r="CF59" s="27">
        <f>opex_orig!BW59</f>
        <v>1.9143971331686598E-5</v>
      </c>
      <c r="CG59" s="27">
        <f>opex_orig!BX59</f>
        <v>5.2627984442992702E-7</v>
      </c>
      <c r="CH59" s="27">
        <f>opex_orig!BY59</f>
        <v>1.9640144319646601E-5</v>
      </c>
      <c r="CI59" s="27">
        <f>opex_orig!Y59</f>
        <v>1.9700000000000002E-6</v>
      </c>
      <c r="CJ59" s="27">
        <f>opex_orig!Z59</f>
        <v>9.2899999999999995E-5</v>
      </c>
      <c r="CK59" s="27">
        <f>opex_orig!AA59</f>
        <v>2.9000000000000002E-6</v>
      </c>
      <c r="CL59" s="27">
        <f>opex_orig!AB59</f>
        <v>2.3035570974855401E-5</v>
      </c>
      <c r="CM59" s="27">
        <f>opex_orig!AC59</f>
        <v>5.3815745927251699E-6</v>
      </c>
      <c r="CN59" s="27">
        <f>opex_orig!AD59</f>
        <v>4.2886752799363398E-6</v>
      </c>
      <c r="CO59" s="27">
        <f>opex_orig!AE59</f>
        <v>4.5499999999999996E-6</v>
      </c>
      <c r="CP59" s="27">
        <f>opex_orig!AF59</f>
        <v>7.1400000000000001E-5</v>
      </c>
    </row>
    <row r="60" spans="1:94" x14ac:dyDescent="0.25">
      <c r="A60" s="5" t="s">
        <v>139</v>
      </c>
      <c r="B60" s="2" t="s">
        <v>138</v>
      </c>
      <c r="C60" s="1" t="s">
        <v>328</v>
      </c>
      <c r="D60" s="188">
        <f>opex_orig!D60</f>
        <v>6.67933E-4</v>
      </c>
      <c r="E60" s="188">
        <f>opex_orig!E60</f>
        <v>1.7340000000000001E-4</v>
      </c>
      <c r="F60" s="188">
        <f>opex_orig!F60</f>
        <v>2.8112299999999998E-4</v>
      </c>
      <c r="G60" s="188">
        <f>opex_orig!G60</f>
        <v>1.8199999999999999E-5</v>
      </c>
      <c r="H60" s="188">
        <f>opex_orig!H60</f>
        <v>2.8500000000000002E-5</v>
      </c>
      <c r="I60" s="188">
        <f>opex_orig!I60</f>
        <v>4.1183600000000001E-4</v>
      </c>
      <c r="J60" s="188">
        <f>opex_orig!J60</f>
        <v>2.4793200000000002E-4</v>
      </c>
      <c r="K60" s="188">
        <f>opex_orig!K60</f>
        <v>3.96E-5</v>
      </c>
      <c r="L60" s="188">
        <f>opex_orig!L60</f>
        <v>7.8949200000000004E-4</v>
      </c>
      <c r="M60" s="188">
        <f>opex_orig!M60</f>
        <v>5.5116799999999999E-4</v>
      </c>
      <c r="N60" s="188">
        <f>opex_orig!N60</f>
        <v>3.5533500000000003E-4</v>
      </c>
      <c r="O60" s="188">
        <f>opex_orig!O60</f>
        <v>1.51571E-4</v>
      </c>
      <c r="P60" s="188">
        <f>opex_orig!P60</f>
        <v>1.1043579999999999E-3</v>
      </c>
      <c r="Q60" s="188">
        <f>opex_orig!Q60</f>
        <v>3.1487600000000001E-4</v>
      </c>
      <c r="R60" s="188">
        <f>opex_orig!R60</f>
        <v>1.7837350000000001E-3</v>
      </c>
      <c r="S60" s="188">
        <f>opex_orig!S60</f>
        <v>7.4991999999999995E-4</v>
      </c>
      <c r="T60" s="188">
        <f>opex_orig!T60</f>
        <v>1.975493E-3</v>
      </c>
      <c r="U60" s="188">
        <f>opex_orig!U60</f>
        <v>6.3739999999999999E-4</v>
      </c>
      <c r="V60" s="188">
        <f>opex_orig!V60</f>
        <v>2.5824000000000002E-4</v>
      </c>
      <c r="W60" s="188">
        <f>opex_orig!W60</f>
        <v>5.4050699999999997E-4</v>
      </c>
      <c r="X60" s="188">
        <f>opex_orig!X60</f>
        <v>1.5813399999999999E-4</v>
      </c>
      <c r="Y60" s="188">
        <f>opex_orig!Y60</f>
        <v>1.15771E-4</v>
      </c>
      <c r="Z60" s="188">
        <f>opex_orig!Z60</f>
        <v>8.2948600000000005E-4</v>
      </c>
      <c r="AA60" s="188">
        <f>opex_orig!AA60</f>
        <v>3.0122900000000003E-4</v>
      </c>
      <c r="AB60" s="188">
        <f>opex_orig!$AB60</f>
        <v>2.74641458508856E-3</v>
      </c>
      <c r="AC60" s="188">
        <f>opex_orig!$AB60</f>
        <v>2.74641458508856E-3</v>
      </c>
      <c r="AD60" s="188">
        <f>opex_orig!$AB60</f>
        <v>2.74641458508856E-3</v>
      </c>
      <c r="AE60" s="188">
        <f>opex_orig!$AC60</f>
        <v>1.8051052786372299E-4</v>
      </c>
      <c r="AF60" s="188">
        <f>opex_orig!$AD60</f>
        <v>2.3318204953814601E-4</v>
      </c>
      <c r="AG60" s="188">
        <f>opex_orig!$AD60</f>
        <v>2.3318204953814601E-4</v>
      </c>
      <c r="AH60" s="188">
        <f>opex_orig!$AD60</f>
        <v>2.3318204953814601E-4</v>
      </c>
      <c r="AI60" s="188">
        <f>opex_orig!AE60</f>
        <v>2.2604E-4</v>
      </c>
      <c r="AJ60" s="188">
        <f>opex_orig!AF60</f>
        <v>1.371061E-3</v>
      </c>
      <c r="AK60" s="188">
        <f>opex_orig!AG60</f>
        <v>3.4494359000000002E-2</v>
      </c>
      <c r="AL60" s="188">
        <f>opex_orig!AH60</f>
        <v>1.3918240000000001E-3</v>
      </c>
      <c r="AM60" s="188">
        <f>opex_orig!AI60</f>
        <v>5.1977299999999996E-4</v>
      </c>
      <c r="AN60" s="188">
        <f>opex_orig!AJ60</f>
        <v>8.9079299999999997E-4</v>
      </c>
      <c r="AO60" s="188">
        <f>opex_orig!AK60</f>
        <v>6.9748200000000003E-4</v>
      </c>
      <c r="AP60" s="188">
        <f>opex_orig!$AL60</f>
        <v>4.5322454034917102E-4</v>
      </c>
      <c r="AQ60" s="188">
        <f>opex_orig!$AL60</f>
        <v>4.5322454034917102E-4</v>
      </c>
      <c r="AR60" s="188">
        <f>opex_orig!$AL60</f>
        <v>4.5322454034917102E-4</v>
      </c>
      <c r="AS60" s="188">
        <f>opex_orig!$AM60</f>
        <v>3.9307995506851598E-4</v>
      </c>
      <c r="AT60" s="188">
        <f>opex_orig!AN60</f>
        <v>6.8642799999999999E-4</v>
      </c>
      <c r="AU60" s="188">
        <f>opex_orig!$AO60</f>
        <v>1.05313432756342E-3</v>
      </c>
      <c r="AV60" s="188">
        <f>opex_orig!$AO60</f>
        <v>1.05313432756342E-3</v>
      </c>
      <c r="AW60" s="188">
        <f>opex_orig!$AO60</f>
        <v>1.05313432756342E-3</v>
      </c>
      <c r="AX60" s="188">
        <f>opex_orig!$AP60</f>
        <v>1.0170372084702601E-3</v>
      </c>
      <c r="AY60" s="188">
        <f>opex_orig!AQ60</f>
        <v>6.1701900000000001E-4</v>
      </c>
      <c r="AZ60" s="188">
        <f>opex_orig!AR60</f>
        <v>0</v>
      </c>
      <c r="BA60" s="188">
        <f>opex_orig!AS60</f>
        <v>1.0619099999999999E-3</v>
      </c>
      <c r="BB60" s="188">
        <f>opex_orig!AT60</f>
        <v>9.7941400000000007E-4</v>
      </c>
      <c r="BC60" s="188">
        <f>opex_orig!AU60</f>
        <v>5.7246900000000004E-4</v>
      </c>
      <c r="BD60" s="188">
        <f>opex_orig!AV60</f>
        <v>5.0809499999999997E-4</v>
      </c>
      <c r="BE60" s="188">
        <f>opex_orig!AW60</f>
        <v>2.3883820000000001E-3</v>
      </c>
      <c r="BF60" s="188">
        <f>opex_orig!AX60</f>
        <v>0</v>
      </c>
      <c r="BG60" s="188">
        <f>opex_orig!AY60</f>
        <v>7.8992999999999999E-4</v>
      </c>
      <c r="BH60" s="188">
        <f>opex_orig!AZ60</f>
        <v>0</v>
      </c>
      <c r="BI60" s="188">
        <f>opex_orig!BA60</f>
        <v>1.199206E-3</v>
      </c>
      <c r="BJ60" s="188">
        <f>opex_orig!BB60</f>
        <v>8.8826900000000002E-4</v>
      </c>
      <c r="BK60" s="188">
        <f>opex_orig!BC60</f>
        <v>7.3857800000000004E-4</v>
      </c>
      <c r="BL60" s="188">
        <f>opex_orig!BD60</f>
        <v>2.43537E-4</v>
      </c>
      <c r="BM60" s="188">
        <f>opex_orig!BE60</f>
        <v>8.9051099999999997E-4</v>
      </c>
      <c r="BN60" s="188">
        <f>opex_orig!BF60</f>
        <v>2.744E-4</v>
      </c>
      <c r="BO60" s="188">
        <f>opex_orig!BG60</f>
        <v>6.032417E-3</v>
      </c>
      <c r="BP60" s="188">
        <f>opex_orig!$BH60</f>
        <v>1.39496795408732E-3</v>
      </c>
      <c r="BQ60" s="188">
        <f>opex_orig!$BH60</f>
        <v>1.39496795408732E-3</v>
      </c>
      <c r="BR60" s="188">
        <f>opex_orig!BI60</f>
        <v>1.867182E-3</v>
      </c>
      <c r="BS60" s="188">
        <f>opex_orig!BJ60</f>
        <v>1.1144670000000001E-3</v>
      </c>
      <c r="BT60" s="188">
        <f>opex_orig!BK60</f>
        <v>1.181252E-3</v>
      </c>
      <c r="BU60" s="188">
        <f>opex_orig!BL60</f>
        <v>0</v>
      </c>
      <c r="BV60" s="27">
        <f>opex_orig!BM60</f>
        <v>6.6060886988295302E-4</v>
      </c>
      <c r="BW60" s="27">
        <f>opex_orig!BN60</f>
        <v>7.9640599616999505E-4</v>
      </c>
      <c r="BX60" s="27">
        <f>opex_orig!BO60</f>
        <v>1.16114906208781E-4</v>
      </c>
      <c r="BY60" s="27">
        <f>opex_orig!BP60</f>
        <v>1.2234258444525101E-4</v>
      </c>
      <c r="BZ60" s="27">
        <f>opex_orig!BQ60</f>
        <v>1.5401264134124999E-4</v>
      </c>
      <c r="CA60" s="27">
        <f>opex_orig!BR60</f>
        <v>6.1845153533328704E-4</v>
      </c>
      <c r="CB60" s="27">
        <f>opex_orig!BS60</f>
        <v>1.00108131127593E-3</v>
      </c>
      <c r="CC60" s="27">
        <f>opex_orig!BT60</f>
        <v>5.6756898382202099E-4</v>
      </c>
      <c r="CD60" s="27">
        <f>opex_orig!BU60</f>
        <v>4.2670321915005601E-5</v>
      </c>
      <c r="CE60" s="27">
        <f>opex_orig!BV60</f>
        <v>4.2670321915005601E-5</v>
      </c>
      <c r="CF60" s="27">
        <f>opex_orig!BW60</f>
        <v>9.6576122534843998E-4</v>
      </c>
      <c r="CG60" s="27">
        <f>opex_orig!BX60</f>
        <v>7.5078872819267194E-5</v>
      </c>
      <c r="CH60" s="27">
        <f>opex_orig!BY60</f>
        <v>1.5632259048804201E-4</v>
      </c>
      <c r="CI60" s="27">
        <f>opex_orig!Y60</f>
        <v>1.15771E-4</v>
      </c>
      <c r="CJ60" s="27">
        <f>opex_orig!Z60</f>
        <v>8.2948600000000005E-4</v>
      </c>
      <c r="CK60" s="27">
        <f>opex_orig!AA60</f>
        <v>3.0122900000000003E-4</v>
      </c>
      <c r="CL60" s="27">
        <f>opex_orig!AB60</f>
        <v>2.74641458508856E-3</v>
      </c>
      <c r="CM60" s="27">
        <f>opex_orig!AC60</f>
        <v>1.8051052786372299E-4</v>
      </c>
      <c r="CN60" s="27">
        <f>opex_orig!AD60</f>
        <v>2.3318204953814601E-4</v>
      </c>
      <c r="CO60" s="27">
        <f>opex_orig!AE60</f>
        <v>2.2604E-4</v>
      </c>
      <c r="CP60" s="27">
        <f>opex_orig!AF60</f>
        <v>1.371061E-3</v>
      </c>
    </row>
    <row r="61" spans="1:94" x14ac:dyDescent="0.25">
      <c r="A61" s="5" t="s">
        <v>141</v>
      </c>
      <c r="B61" s="2" t="s">
        <v>140</v>
      </c>
      <c r="C61" s="1" t="s">
        <v>328</v>
      </c>
      <c r="D61" s="188">
        <f>opex_orig!D61</f>
        <v>1.69424E-4</v>
      </c>
      <c r="E61" s="188">
        <f>opex_orig!E61</f>
        <v>4.3000000000000002E-5</v>
      </c>
      <c r="F61" s="188">
        <f>opex_orig!F61</f>
        <v>7.7799999999999994E-5</v>
      </c>
      <c r="G61" s="188">
        <f>opex_orig!G61</f>
        <v>8.0399999999999993E-6</v>
      </c>
      <c r="H61" s="188">
        <f>opex_orig!H61</f>
        <v>1.2799999999999999E-5</v>
      </c>
      <c r="I61" s="188">
        <f>opex_orig!I61</f>
        <v>1.05481E-4</v>
      </c>
      <c r="J61" s="188">
        <f>opex_orig!J61</f>
        <v>1.02363E-4</v>
      </c>
      <c r="K61" s="188">
        <f>opex_orig!K61</f>
        <v>1.5E-5</v>
      </c>
      <c r="L61" s="188">
        <f>opex_orig!L61</f>
        <v>2.3843599999999999E-4</v>
      </c>
      <c r="M61" s="188">
        <f>opex_orig!M61</f>
        <v>1.4183699999999999E-4</v>
      </c>
      <c r="N61" s="188">
        <f>opex_orig!N61</f>
        <v>1.1726300000000001E-4</v>
      </c>
      <c r="O61" s="188">
        <f>opex_orig!O61</f>
        <v>5.2800000000000003E-5</v>
      </c>
      <c r="P61" s="188">
        <f>opex_orig!P61</f>
        <v>2.9399899999999997E-4</v>
      </c>
      <c r="Q61" s="188">
        <f>opex_orig!Q61</f>
        <v>8.53E-5</v>
      </c>
      <c r="R61" s="188">
        <f>opex_orig!R61</f>
        <v>4.5355699999999999E-4</v>
      </c>
      <c r="S61" s="188">
        <f>opex_orig!S61</f>
        <v>1.3631900000000001E-4</v>
      </c>
      <c r="T61" s="188">
        <f>opex_orig!T61</f>
        <v>3.5237700000000002E-4</v>
      </c>
      <c r="U61" s="188">
        <f>opex_orig!U61</f>
        <v>1.05369E-4</v>
      </c>
      <c r="V61" s="188">
        <f>opex_orig!V61</f>
        <v>3.9799999999999998E-5</v>
      </c>
      <c r="W61" s="188">
        <f>opex_orig!W61</f>
        <v>1.0970400000000001E-4</v>
      </c>
      <c r="X61" s="188">
        <f>opex_orig!X61</f>
        <v>4.1499999999999999E-5</v>
      </c>
      <c r="Y61" s="188">
        <f>opex_orig!Y61</f>
        <v>3.4199999999999998E-5</v>
      </c>
      <c r="Z61" s="188">
        <f>opex_orig!Z61</f>
        <v>1.6936300000000001E-4</v>
      </c>
      <c r="AA61" s="188">
        <f>opex_orig!AA61</f>
        <v>6.3399999999999996E-5</v>
      </c>
      <c r="AB61" s="188">
        <f>opex_orig!$AB61</f>
        <v>9.6366873017324E-4</v>
      </c>
      <c r="AC61" s="188">
        <f>opex_orig!$AB61</f>
        <v>9.6366873017324E-4</v>
      </c>
      <c r="AD61" s="188">
        <f>opex_orig!$AB61</f>
        <v>9.6366873017324E-4</v>
      </c>
      <c r="AE61" s="188">
        <f>opex_orig!$AC61</f>
        <v>4.5551682436794403E-5</v>
      </c>
      <c r="AF61" s="188">
        <f>opex_orig!$AD61</f>
        <v>1.00997476064826E-4</v>
      </c>
      <c r="AG61" s="188">
        <f>opex_orig!$AD61</f>
        <v>1.00997476064826E-4</v>
      </c>
      <c r="AH61" s="188">
        <f>opex_orig!$AD61</f>
        <v>1.00997476064826E-4</v>
      </c>
      <c r="AI61" s="188">
        <f>opex_orig!AE61</f>
        <v>1.06333E-4</v>
      </c>
      <c r="AJ61" s="188">
        <f>opex_orig!AF61</f>
        <v>3.5700400000000001E-4</v>
      </c>
      <c r="AK61" s="188">
        <f>opex_orig!AG61</f>
        <v>8.4426650000000002E-3</v>
      </c>
      <c r="AL61" s="188">
        <f>opex_orig!AH61</f>
        <v>3.1271499999999998E-4</v>
      </c>
      <c r="AM61" s="188">
        <f>opex_orig!AI61</f>
        <v>1.1425399999999999E-4</v>
      </c>
      <c r="AN61" s="188">
        <f>opex_orig!AJ61</f>
        <v>3.02081E-4</v>
      </c>
      <c r="AO61" s="188">
        <f>opex_orig!AK61</f>
        <v>1.74067E-4</v>
      </c>
      <c r="AP61" s="188">
        <f>opex_orig!$AL61</f>
        <v>1.2532868247595099E-4</v>
      </c>
      <c r="AQ61" s="188">
        <f>opex_orig!$AL61</f>
        <v>1.2532868247595099E-4</v>
      </c>
      <c r="AR61" s="188">
        <f>opex_orig!$AL61</f>
        <v>1.2532868247595099E-4</v>
      </c>
      <c r="AS61" s="188">
        <f>opex_orig!$AM61</f>
        <v>1.08183551452827E-4</v>
      </c>
      <c r="AT61" s="188">
        <f>opex_orig!AN61</f>
        <v>1.6002200000000001E-4</v>
      </c>
      <c r="AU61" s="188">
        <f>opex_orig!$AO61</f>
        <v>2.1179003477712899E-4</v>
      </c>
      <c r="AV61" s="188">
        <f>opex_orig!$AO61</f>
        <v>2.1179003477712899E-4</v>
      </c>
      <c r="AW61" s="188">
        <f>opex_orig!$AO61</f>
        <v>2.1179003477712899E-4</v>
      </c>
      <c r="AX61" s="188">
        <f>opex_orig!$AP61</f>
        <v>1.61569698691782E-4</v>
      </c>
      <c r="AY61" s="188">
        <f>opex_orig!AQ61</f>
        <v>1.1877100000000001E-4</v>
      </c>
      <c r="AZ61" s="188">
        <f>opex_orig!AR61</f>
        <v>0</v>
      </c>
      <c r="BA61" s="188">
        <f>opex_orig!AS61</f>
        <v>2.10664E-4</v>
      </c>
      <c r="BB61" s="188">
        <f>opex_orig!AT61</f>
        <v>1.9118499999999999E-4</v>
      </c>
      <c r="BC61" s="188">
        <f>opex_orig!AU61</f>
        <v>9.7700000000000003E-5</v>
      </c>
      <c r="BD61" s="188">
        <f>opex_orig!AV61</f>
        <v>7.3800000000000005E-5</v>
      </c>
      <c r="BE61" s="188">
        <f>opex_orig!AW61</f>
        <v>3.5235099999999999E-4</v>
      </c>
      <c r="BF61" s="188">
        <f>opex_orig!AX61</f>
        <v>0</v>
      </c>
      <c r="BG61" s="188">
        <f>opex_orig!AY61</f>
        <v>1.4966099999999999E-4</v>
      </c>
      <c r="BH61" s="188">
        <f>opex_orig!AZ61</f>
        <v>0</v>
      </c>
      <c r="BI61" s="188">
        <f>opex_orig!BA61</f>
        <v>2.7674600000000002E-4</v>
      </c>
      <c r="BJ61" s="188">
        <f>opex_orig!BB61</f>
        <v>1.5855900000000001E-4</v>
      </c>
      <c r="BK61" s="188">
        <f>opex_orig!BC61</f>
        <v>1.51688E-4</v>
      </c>
      <c r="BL61" s="188">
        <f>opex_orig!BD61</f>
        <v>8.3800000000000004E-5</v>
      </c>
      <c r="BM61" s="188">
        <f>opex_orig!BE61</f>
        <v>1.6090700000000001E-4</v>
      </c>
      <c r="BN61" s="188">
        <f>opex_orig!BF61</f>
        <v>5.2099999999999999E-5</v>
      </c>
      <c r="BO61" s="188">
        <f>opex_orig!BG61</f>
        <v>1.461831E-3</v>
      </c>
      <c r="BP61" s="188">
        <f>opex_orig!$BH61</f>
        <v>2.6728887936949098E-4</v>
      </c>
      <c r="BQ61" s="188">
        <f>opex_orig!$BH61</f>
        <v>2.6728887936949098E-4</v>
      </c>
      <c r="BR61" s="188">
        <f>opex_orig!BI61</f>
        <v>3.2693799999999998E-4</v>
      </c>
      <c r="BS61" s="188">
        <f>opex_orig!BJ61</f>
        <v>2.2493799999999999E-4</v>
      </c>
      <c r="BT61" s="188">
        <f>opex_orig!BK61</f>
        <v>1.8333100000000001E-4</v>
      </c>
      <c r="BU61" s="188">
        <f>opex_orig!BL61</f>
        <v>0</v>
      </c>
      <c r="BV61" s="27">
        <f>opex_orig!BM61</f>
        <v>1.1450592559892401E-4</v>
      </c>
      <c r="BW61" s="27">
        <f>opex_orig!BN61</f>
        <v>1.6527118723265501E-4</v>
      </c>
      <c r="BX61" s="27">
        <f>opex_orig!BO61</f>
        <v>1.9854795981337398E-5</v>
      </c>
      <c r="BY61" s="27">
        <f>opex_orig!BP61</f>
        <v>2.16297228246114E-5</v>
      </c>
      <c r="BZ61" s="27">
        <f>opex_orig!BQ61</f>
        <v>2.8575484122851399E-5</v>
      </c>
      <c r="CA61" s="27">
        <f>opex_orig!BR61</f>
        <v>1.2335228716961599E-4</v>
      </c>
      <c r="CB61" s="27">
        <f>opex_orig!BS61</f>
        <v>2.4776177915542197E-4</v>
      </c>
      <c r="CC61" s="27">
        <f>opex_orig!BT61</f>
        <v>2.07028831622179E-4</v>
      </c>
      <c r="CD61" s="27">
        <f>opex_orig!BU61</f>
        <v>7.110562456741E-6</v>
      </c>
      <c r="CE61" s="27">
        <f>opex_orig!BV61</f>
        <v>7.1105624567410203E-6</v>
      </c>
      <c r="CF61" s="27">
        <f>opex_orig!BW61</f>
        <v>2.21880660668432E-4</v>
      </c>
      <c r="CG61" s="27">
        <f>opex_orig!BX61</f>
        <v>3.03301508235472E-5</v>
      </c>
      <c r="CH61" s="27">
        <f>opex_orig!BY61</f>
        <v>9.3823046656833507E-5</v>
      </c>
      <c r="CI61" s="27">
        <f>opex_orig!Y61</f>
        <v>3.4199999999999998E-5</v>
      </c>
      <c r="CJ61" s="27">
        <f>opex_orig!Z61</f>
        <v>1.6936300000000001E-4</v>
      </c>
      <c r="CK61" s="27">
        <f>opex_orig!AA61</f>
        <v>6.3399999999999996E-5</v>
      </c>
      <c r="CL61" s="27">
        <f>opex_orig!AB61</f>
        <v>9.6366873017324E-4</v>
      </c>
      <c r="CM61" s="27">
        <f>opex_orig!AC61</f>
        <v>4.5551682436794403E-5</v>
      </c>
      <c r="CN61" s="27">
        <f>opex_orig!AD61</f>
        <v>1.00997476064826E-4</v>
      </c>
      <c r="CO61" s="27">
        <f>opex_orig!AE61</f>
        <v>1.06333E-4</v>
      </c>
      <c r="CP61" s="27">
        <f>opex_orig!AF61</f>
        <v>3.5700400000000001E-4</v>
      </c>
    </row>
    <row r="62" spans="1:94" x14ac:dyDescent="0.25">
      <c r="A62" s="5" t="s">
        <v>143</v>
      </c>
      <c r="B62" s="2" t="s">
        <v>142</v>
      </c>
      <c r="C62" s="1" t="s">
        <v>328</v>
      </c>
      <c r="D62" s="188">
        <f>opex_orig!D62</f>
        <v>5.1600000000000001E-5</v>
      </c>
      <c r="E62" s="188">
        <f>opex_orig!E62</f>
        <v>2.87E-5</v>
      </c>
      <c r="F62" s="188">
        <f>opex_orig!F62</f>
        <v>3.01E-5</v>
      </c>
      <c r="G62" s="188">
        <f>opex_orig!G62</f>
        <v>6.6100000000000002E-6</v>
      </c>
      <c r="H62" s="188">
        <f>opex_orig!H62</f>
        <v>9.9499999999999996E-6</v>
      </c>
      <c r="I62" s="188">
        <f>opex_orig!I62</f>
        <v>5.5500000000000001E-5</v>
      </c>
      <c r="J62" s="188">
        <f>opex_orig!J62</f>
        <v>1.2097200000000001E-4</v>
      </c>
      <c r="K62" s="188">
        <f>opex_orig!K62</f>
        <v>2.16E-5</v>
      </c>
      <c r="L62" s="188">
        <f>opex_orig!L62</f>
        <v>5.5699999999999999E-5</v>
      </c>
      <c r="M62" s="188">
        <f>opex_orig!M62</f>
        <v>1.3172699999999999E-4</v>
      </c>
      <c r="N62" s="188">
        <f>opex_orig!N62</f>
        <v>9.1299999999999997E-5</v>
      </c>
      <c r="O62" s="188">
        <f>opex_orig!O62</f>
        <v>6.2399999999999999E-5</v>
      </c>
      <c r="P62" s="188">
        <f>opex_orig!P62</f>
        <v>1.6399399999999999E-4</v>
      </c>
      <c r="Q62" s="188">
        <f>opex_orig!Q62</f>
        <v>1.02242E-4</v>
      </c>
      <c r="R62" s="188">
        <f>opex_orig!R62</f>
        <v>7.7200000000000006E-5</v>
      </c>
      <c r="S62" s="188">
        <f>opex_orig!S62</f>
        <v>1.08891E-4</v>
      </c>
      <c r="T62" s="188">
        <f>opex_orig!T62</f>
        <v>1.66902E-4</v>
      </c>
      <c r="U62" s="188">
        <f>opex_orig!U62</f>
        <v>1.14096E-4</v>
      </c>
      <c r="V62" s="188">
        <f>opex_orig!V62</f>
        <v>1.03101E-4</v>
      </c>
      <c r="W62" s="188">
        <f>opex_orig!W62</f>
        <v>5.7500000000000002E-5</v>
      </c>
      <c r="X62" s="188">
        <f>opex_orig!X62</f>
        <v>3.9499999999999998E-5</v>
      </c>
      <c r="Y62" s="188">
        <f>opex_orig!Y62</f>
        <v>5.8100000000000003E-5</v>
      </c>
      <c r="Z62" s="188">
        <f>opex_orig!Z62</f>
        <v>2.2184E-4</v>
      </c>
      <c r="AA62" s="188">
        <f>opex_orig!AA62</f>
        <v>8.4099999999999998E-5</v>
      </c>
      <c r="AB62" s="188">
        <f>opex_orig!$AB62</f>
        <v>6.1390243049706006E-5</v>
      </c>
      <c r="AC62" s="188">
        <f>opex_orig!$AB62</f>
        <v>6.1390243049706006E-5</v>
      </c>
      <c r="AD62" s="188">
        <f>opex_orig!$AB62</f>
        <v>6.1390243049706006E-5</v>
      </c>
      <c r="AE62" s="188">
        <f>opex_orig!$AC62</f>
        <v>1.3443519230375001E-3</v>
      </c>
      <c r="AF62" s="188">
        <f>opex_orig!$AD62</f>
        <v>7.0135231819952806E-5</v>
      </c>
      <c r="AG62" s="188">
        <f>opex_orig!$AD62</f>
        <v>7.0135231819952806E-5</v>
      </c>
      <c r="AH62" s="188">
        <f>opex_orig!$AD62</f>
        <v>7.0135231819952806E-5</v>
      </c>
      <c r="AI62" s="188">
        <f>opex_orig!AE62</f>
        <v>5.6199999999999997E-5</v>
      </c>
      <c r="AJ62" s="188">
        <f>opex_orig!AF62</f>
        <v>7.2746900000000001E-4</v>
      </c>
      <c r="AK62" s="188">
        <f>opex_orig!AG62</f>
        <v>1.07522E-4</v>
      </c>
      <c r="AL62" s="188">
        <f>opex_orig!AH62</f>
        <v>4.7899999999999999E-5</v>
      </c>
      <c r="AM62" s="188">
        <f>opex_orig!AI62</f>
        <v>7.5799999999999999E-5</v>
      </c>
      <c r="AN62" s="188">
        <f>opex_orig!AJ62</f>
        <v>2.9899999999999998E-5</v>
      </c>
      <c r="AO62" s="188">
        <f>opex_orig!AK62</f>
        <v>5.41E-5</v>
      </c>
      <c r="AP62" s="188">
        <f>opex_orig!$AL62</f>
        <v>4.6043226735265301E-5</v>
      </c>
      <c r="AQ62" s="188">
        <f>opex_orig!$AL62</f>
        <v>4.6043226735265301E-5</v>
      </c>
      <c r="AR62" s="188">
        <f>opex_orig!$AL62</f>
        <v>4.6043226735265301E-5</v>
      </c>
      <c r="AS62" s="188">
        <f>opex_orig!$AM62</f>
        <v>4.4150210703221502E-5</v>
      </c>
      <c r="AT62" s="188">
        <f>opex_orig!AN62</f>
        <v>2.02442E-4</v>
      </c>
      <c r="AU62" s="188">
        <f>opex_orig!$AO62</f>
        <v>1.5491978302724501E-4</v>
      </c>
      <c r="AV62" s="188">
        <f>opex_orig!$AO62</f>
        <v>1.5491978302724501E-4</v>
      </c>
      <c r="AW62" s="188">
        <f>opex_orig!$AO62</f>
        <v>1.5491978302724501E-4</v>
      </c>
      <c r="AX62" s="188">
        <f>opex_orig!$AP62</f>
        <v>8.5891404787344101E-5</v>
      </c>
      <c r="AY62" s="188">
        <f>opex_orig!AQ62</f>
        <v>1.16259E-4</v>
      </c>
      <c r="AZ62" s="188">
        <f>opex_orig!AR62</f>
        <v>0</v>
      </c>
      <c r="BA62" s="188">
        <f>opex_orig!AS62</f>
        <v>1.09953E-4</v>
      </c>
      <c r="BB62" s="188">
        <f>opex_orig!AT62</f>
        <v>8.3700000000000002E-5</v>
      </c>
      <c r="BC62" s="188">
        <f>opex_orig!AU62</f>
        <v>3.2700000000000002E-5</v>
      </c>
      <c r="BD62" s="188">
        <f>opex_orig!AV62</f>
        <v>3.15E-5</v>
      </c>
      <c r="BE62" s="188">
        <f>opex_orig!AW62</f>
        <v>1.4433E-4</v>
      </c>
      <c r="BF62" s="188">
        <f>opex_orig!AX62</f>
        <v>0</v>
      </c>
      <c r="BG62" s="188">
        <f>opex_orig!AY62</f>
        <v>2.6991500000000002E-4</v>
      </c>
      <c r="BH62" s="188">
        <f>opex_orig!AZ62</f>
        <v>0</v>
      </c>
      <c r="BI62" s="188">
        <f>opex_orig!BA62</f>
        <v>9.8499999999999995E-5</v>
      </c>
      <c r="BJ62" s="188">
        <f>opex_orig!BB62</f>
        <v>5.4599999999999999E-5</v>
      </c>
      <c r="BK62" s="188">
        <f>opex_orig!BC62</f>
        <v>7.7100000000000004E-5</v>
      </c>
      <c r="BL62" s="188">
        <f>opex_orig!BD62</f>
        <v>1.2999999999999999E-5</v>
      </c>
      <c r="BM62" s="188">
        <f>opex_orig!BE62</f>
        <v>7.6899999999999999E-5</v>
      </c>
      <c r="BN62" s="188">
        <f>opex_orig!BF62</f>
        <v>1.7E-5</v>
      </c>
      <c r="BO62" s="188">
        <f>opex_orig!BG62</f>
        <v>8.0099999999999995E-5</v>
      </c>
      <c r="BP62" s="188">
        <f>opex_orig!$BH62</f>
        <v>5.0749767740199598E-5</v>
      </c>
      <c r="BQ62" s="188">
        <f>opex_orig!$BH62</f>
        <v>5.0749767740199598E-5</v>
      </c>
      <c r="BR62" s="188">
        <f>opex_orig!BI62</f>
        <v>5.9899999999999999E-5</v>
      </c>
      <c r="BS62" s="188">
        <f>opex_orig!BJ62</f>
        <v>6.1199999999999997E-5</v>
      </c>
      <c r="BT62" s="188">
        <f>opex_orig!BK62</f>
        <v>8.5699999999999996E-5</v>
      </c>
      <c r="BU62" s="188">
        <f>opex_orig!BL62</f>
        <v>0</v>
      </c>
      <c r="BV62" s="27">
        <f>opex_orig!BM62</f>
        <v>2.3337663351528999E-4</v>
      </c>
      <c r="BW62" s="27">
        <f>opex_orig!BN62</f>
        <v>1.1780288048634E-4</v>
      </c>
      <c r="BX62" s="27">
        <f>opex_orig!BO62</f>
        <v>1.6770861874597201E-5</v>
      </c>
      <c r="BY62" s="27">
        <f>opex_orig!BP62</f>
        <v>6.05768823091545E-5</v>
      </c>
      <c r="BZ62" s="27">
        <f>opex_orig!BQ62</f>
        <v>2.9777238673887301E-5</v>
      </c>
      <c r="CA62" s="27">
        <f>opex_orig!BR62</f>
        <v>6.8074357841054999E-7</v>
      </c>
      <c r="CB62" s="27">
        <f>opex_orig!BS62</f>
        <v>2.6170445699917101E-4</v>
      </c>
      <c r="CC62" s="27">
        <f>opex_orig!BT62</f>
        <v>2.3385776199689101E-6</v>
      </c>
      <c r="CD62" s="27">
        <f>opex_orig!BU62</f>
        <v>1.7231308360165301E-5</v>
      </c>
      <c r="CE62" s="27">
        <f>opex_orig!BV62</f>
        <v>1.72313083601654E-5</v>
      </c>
      <c r="CF62" s="27">
        <f>opex_orig!BW62</f>
        <v>1.8184810332272801E-6</v>
      </c>
      <c r="CG62" s="27">
        <f>opex_orig!BX62</f>
        <v>3.1793314961076499E-6</v>
      </c>
      <c r="CH62" s="27">
        <f>opex_orig!BY62</f>
        <v>4.6769670057435E-6</v>
      </c>
      <c r="CI62" s="27">
        <f>opex_orig!Y62</f>
        <v>5.8100000000000003E-5</v>
      </c>
      <c r="CJ62" s="27">
        <f>opex_orig!Z62</f>
        <v>2.2184E-4</v>
      </c>
      <c r="CK62" s="27">
        <f>opex_orig!AA62</f>
        <v>8.4099999999999998E-5</v>
      </c>
      <c r="CL62" s="27">
        <f>opex_orig!AB62</f>
        <v>6.1390243049706006E-5</v>
      </c>
      <c r="CM62" s="27">
        <f>opex_orig!AC62</f>
        <v>1.3443519230375001E-3</v>
      </c>
      <c r="CN62" s="27">
        <f>opex_orig!AD62</f>
        <v>7.0135231819952806E-5</v>
      </c>
      <c r="CO62" s="27">
        <f>opex_orig!AE62</f>
        <v>5.6199999999999997E-5</v>
      </c>
      <c r="CP62" s="27">
        <f>opex_orig!AF62</f>
        <v>7.2746900000000001E-4</v>
      </c>
    </row>
    <row r="63" spans="1:94" x14ac:dyDescent="0.25">
      <c r="A63" s="5" t="s">
        <v>145</v>
      </c>
      <c r="B63" s="2" t="s">
        <v>144</v>
      </c>
      <c r="C63" s="1" t="s">
        <v>328</v>
      </c>
      <c r="D63" s="188">
        <f>opex_orig!D63</f>
        <v>1.3810100000000001E-4</v>
      </c>
      <c r="E63" s="188">
        <f>opex_orig!E63</f>
        <v>8.0400000000000003E-5</v>
      </c>
      <c r="F63" s="188">
        <f>opex_orig!F63</f>
        <v>9.1399999999999999E-5</v>
      </c>
      <c r="G63" s="188">
        <f>opex_orig!G63</f>
        <v>2.1399999999999998E-5</v>
      </c>
      <c r="H63" s="188">
        <f>opex_orig!H63</f>
        <v>2.6999999999999999E-5</v>
      </c>
      <c r="I63" s="188">
        <f>opex_orig!I63</f>
        <v>1.62855E-4</v>
      </c>
      <c r="J63" s="188">
        <f>opex_orig!J63</f>
        <v>3.1242599999999998E-4</v>
      </c>
      <c r="K63" s="188">
        <f>opex_orig!K63</f>
        <v>6.8899999999999994E-5</v>
      </c>
      <c r="L63" s="188">
        <f>opex_orig!L63</f>
        <v>1.6027200000000001E-4</v>
      </c>
      <c r="M63" s="188">
        <f>opex_orig!M63</f>
        <v>3.6304700000000002E-4</v>
      </c>
      <c r="N63" s="188">
        <f>opex_orig!N63</f>
        <v>2.72506E-4</v>
      </c>
      <c r="O63" s="188">
        <f>opex_orig!O63</f>
        <v>1.6671000000000001E-4</v>
      </c>
      <c r="P63" s="188">
        <f>opex_orig!P63</f>
        <v>4.12197E-4</v>
      </c>
      <c r="Q63" s="188">
        <f>opex_orig!Q63</f>
        <v>3.5530099999999998E-4</v>
      </c>
      <c r="R63" s="188">
        <f>opex_orig!R63</f>
        <v>2.0201999999999999E-4</v>
      </c>
      <c r="S63" s="188">
        <f>opex_orig!S63</f>
        <v>1.8314500000000001E-4</v>
      </c>
      <c r="T63" s="188">
        <f>opex_orig!T63</f>
        <v>3.4367000000000002E-4</v>
      </c>
      <c r="U63" s="188">
        <f>opex_orig!U63</f>
        <v>2.7417899999999999E-4</v>
      </c>
      <c r="V63" s="188">
        <f>opex_orig!V63</f>
        <v>2.3948200000000001E-4</v>
      </c>
      <c r="W63" s="188">
        <f>opex_orig!W63</f>
        <v>1.67956E-4</v>
      </c>
      <c r="X63" s="188">
        <f>opex_orig!X63</f>
        <v>1.0389499999999999E-4</v>
      </c>
      <c r="Y63" s="188">
        <f>opex_orig!Y63</f>
        <v>1.5019400000000001E-4</v>
      </c>
      <c r="Z63" s="188">
        <f>opex_orig!Z63</f>
        <v>5.3480300000000004E-4</v>
      </c>
      <c r="AA63" s="188">
        <f>opex_orig!AA63</f>
        <v>2.23928E-4</v>
      </c>
      <c r="AB63" s="188">
        <f>opex_orig!$AB63</f>
        <v>3.6056081440099098E-4</v>
      </c>
      <c r="AC63" s="188">
        <f>opex_orig!$AB63</f>
        <v>3.6056081440099098E-4</v>
      </c>
      <c r="AD63" s="188">
        <f>opex_orig!$AB63</f>
        <v>3.6056081440099098E-4</v>
      </c>
      <c r="AE63" s="188">
        <f>opex_orig!$AC63</f>
        <v>2.2259339230789798E-3</v>
      </c>
      <c r="AF63" s="188">
        <f>opex_orig!$AD63</f>
        <v>1.8265005762136801E-4</v>
      </c>
      <c r="AG63" s="188">
        <f>opex_orig!$AD63</f>
        <v>1.8265005762136801E-4</v>
      </c>
      <c r="AH63" s="188">
        <f>opex_orig!$AD63</f>
        <v>1.8265005762136801E-4</v>
      </c>
      <c r="AI63" s="188">
        <f>opex_orig!AE63</f>
        <v>1.4615900000000001E-4</v>
      </c>
      <c r="AJ63" s="188">
        <f>opex_orig!AF63</f>
        <v>1.481413E-3</v>
      </c>
      <c r="AK63" s="188">
        <f>opex_orig!AG63</f>
        <v>3.1667000000000002E-4</v>
      </c>
      <c r="AL63" s="188">
        <f>opex_orig!AH63</f>
        <v>1.2094799999999999E-4</v>
      </c>
      <c r="AM63" s="188">
        <f>opex_orig!AI63</f>
        <v>1.7768699999999999E-4</v>
      </c>
      <c r="AN63" s="188">
        <f>opex_orig!AJ63</f>
        <v>9.6799999999999995E-5</v>
      </c>
      <c r="AO63" s="188">
        <f>opex_orig!AK63</f>
        <v>1.67863E-4</v>
      </c>
      <c r="AP63" s="188">
        <f>opex_orig!$AL63</f>
        <v>1.2466601208034001E-4</v>
      </c>
      <c r="AQ63" s="188">
        <f>opex_orig!$AL63</f>
        <v>1.2466601208034001E-4</v>
      </c>
      <c r="AR63" s="188">
        <f>opex_orig!$AL63</f>
        <v>1.2466601208034001E-4</v>
      </c>
      <c r="AS63" s="188">
        <f>opex_orig!$AM63</f>
        <v>1.2242188859480101E-4</v>
      </c>
      <c r="AT63" s="188">
        <f>opex_orig!AN63</f>
        <v>3.8483099999999998E-4</v>
      </c>
      <c r="AU63" s="188">
        <f>opex_orig!$AO63</f>
        <v>3.83324242177097E-4</v>
      </c>
      <c r="AV63" s="188">
        <f>opex_orig!$AO63</f>
        <v>3.83324242177097E-4</v>
      </c>
      <c r="AW63" s="188">
        <f>opex_orig!$AO63</f>
        <v>3.83324242177097E-4</v>
      </c>
      <c r="AX63" s="188">
        <f>opex_orig!$AP63</f>
        <v>2.1956015862261999E-4</v>
      </c>
      <c r="AY63" s="188">
        <f>opex_orig!AQ63</f>
        <v>2.74228E-4</v>
      </c>
      <c r="AZ63" s="188">
        <f>opex_orig!AR63</f>
        <v>0</v>
      </c>
      <c r="BA63" s="188">
        <f>opex_orig!AS63</f>
        <v>2.9941199999999999E-4</v>
      </c>
      <c r="BB63" s="188">
        <f>opex_orig!AT63</f>
        <v>2.31874E-4</v>
      </c>
      <c r="BC63" s="188">
        <f>opex_orig!AU63</f>
        <v>9.87E-5</v>
      </c>
      <c r="BD63" s="188">
        <f>opex_orig!AV63</f>
        <v>9.2999999999999997E-5</v>
      </c>
      <c r="BE63" s="188">
        <f>opex_orig!AW63</f>
        <v>2.4434599999999999E-4</v>
      </c>
      <c r="BF63" s="188">
        <f>opex_orig!AX63</f>
        <v>0</v>
      </c>
      <c r="BG63" s="188">
        <f>opex_orig!AY63</f>
        <v>7.5863799999999996E-4</v>
      </c>
      <c r="BH63" s="188">
        <f>opex_orig!AZ63</f>
        <v>0</v>
      </c>
      <c r="BI63" s="188">
        <f>opex_orig!BA63</f>
        <v>2.4843100000000002E-4</v>
      </c>
      <c r="BJ63" s="188">
        <f>opex_orig!BB63</f>
        <v>1.3762299999999999E-4</v>
      </c>
      <c r="BK63" s="188">
        <f>opex_orig!BC63</f>
        <v>1.8881099999999999E-4</v>
      </c>
      <c r="BL63" s="188">
        <f>opex_orig!BD63</f>
        <v>3.4999999999999997E-5</v>
      </c>
      <c r="BM63" s="188">
        <f>opex_orig!BE63</f>
        <v>1.62619E-4</v>
      </c>
      <c r="BN63" s="188">
        <f>opex_orig!BF63</f>
        <v>4.74E-5</v>
      </c>
      <c r="BO63" s="188">
        <f>opex_orig!BG63</f>
        <v>2.1181999999999999E-4</v>
      </c>
      <c r="BP63" s="188">
        <f>opex_orig!$BH63</f>
        <v>1.3084015086350901E-4</v>
      </c>
      <c r="BQ63" s="188">
        <f>opex_orig!$BH63</f>
        <v>1.3084015086350901E-4</v>
      </c>
      <c r="BR63" s="188">
        <f>opex_orig!BI63</f>
        <v>1.58682E-4</v>
      </c>
      <c r="BS63" s="188">
        <f>opex_orig!BJ63</f>
        <v>3.36872E-4</v>
      </c>
      <c r="BT63" s="188">
        <f>opex_orig!BK63</f>
        <v>2.14589E-4</v>
      </c>
      <c r="BU63" s="188">
        <f>opex_orig!BL63</f>
        <v>0</v>
      </c>
      <c r="BV63" s="27">
        <f>opex_orig!BM63</f>
        <v>4.0378078212081599E-4</v>
      </c>
      <c r="BW63" s="27">
        <f>opex_orig!BN63</f>
        <v>2.7017151332727499E-4</v>
      </c>
      <c r="BX63" s="27">
        <f>opex_orig!BO63</f>
        <v>3.71295650137469E-5</v>
      </c>
      <c r="BY63" s="27">
        <f>opex_orig!BP63</f>
        <v>1.20007215329256E-4</v>
      </c>
      <c r="BZ63" s="27">
        <f>opex_orig!BQ63</f>
        <v>7.9920267836684005E-5</v>
      </c>
      <c r="CA63" s="27">
        <f>opex_orig!BR63</f>
        <v>1.5638140723716502E-5</v>
      </c>
      <c r="CB63" s="27">
        <f>opex_orig!BS63</f>
        <v>6.3187416468800004E-4</v>
      </c>
      <c r="CC63" s="27">
        <f>opex_orig!BT63</f>
        <v>5.7497216674023298E-6</v>
      </c>
      <c r="CD63" s="27">
        <f>opex_orig!BU63</f>
        <v>4.0646480043490402E-5</v>
      </c>
      <c r="CE63" s="27">
        <f>opex_orig!BV63</f>
        <v>4.0646480043490503E-5</v>
      </c>
      <c r="CF63" s="27">
        <f>opex_orig!BW63</f>
        <v>8.8242294701234498E-5</v>
      </c>
      <c r="CG63" s="27">
        <f>opex_orig!BX63</f>
        <v>4.0447940430053398E-5</v>
      </c>
      <c r="CH63" s="27">
        <f>opex_orig!BY63</f>
        <v>4.8634088933673199E-5</v>
      </c>
      <c r="CI63" s="27">
        <f>opex_orig!Y63</f>
        <v>1.5019400000000001E-4</v>
      </c>
      <c r="CJ63" s="27">
        <f>opex_orig!Z63</f>
        <v>5.3480300000000004E-4</v>
      </c>
      <c r="CK63" s="27">
        <f>opex_orig!AA63</f>
        <v>2.23928E-4</v>
      </c>
      <c r="CL63" s="27">
        <f>opex_orig!AB63</f>
        <v>3.6056081440099098E-4</v>
      </c>
      <c r="CM63" s="27">
        <f>opex_orig!AC63</f>
        <v>2.2259339230789798E-3</v>
      </c>
      <c r="CN63" s="27">
        <f>opex_orig!AD63</f>
        <v>1.8265005762136801E-4</v>
      </c>
      <c r="CO63" s="27">
        <f>opex_orig!AE63</f>
        <v>1.4615900000000001E-4</v>
      </c>
      <c r="CP63" s="27">
        <f>opex_orig!AF63</f>
        <v>1.481413E-3</v>
      </c>
    </row>
    <row r="64" spans="1:94" x14ac:dyDescent="0.25">
      <c r="A64" s="5" t="s">
        <v>147</v>
      </c>
      <c r="B64" s="2" t="s">
        <v>146</v>
      </c>
      <c r="C64" s="1" t="s">
        <v>328</v>
      </c>
      <c r="D64" s="188">
        <f>opex_orig!D64</f>
        <v>5.7996399999999998E-4</v>
      </c>
      <c r="E64" s="188">
        <f>opex_orig!E64</f>
        <v>5.1218699999999999E-4</v>
      </c>
      <c r="F64" s="188">
        <f>opex_orig!F64</f>
        <v>8.8487899999999998E-4</v>
      </c>
      <c r="G64" s="188">
        <f>opex_orig!G64</f>
        <v>2.3E-5</v>
      </c>
      <c r="H64" s="188">
        <f>opex_orig!H64</f>
        <v>7.5900000000000002E-5</v>
      </c>
      <c r="I64" s="188">
        <f>opex_orig!I64</f>
        <v>1.4608710000000001E-3</v>
      </c>
      <c r="J64" s="188">
        <f>opex_orig!J64</f>
        <v>6.7525799999999998E-4</v>
      </c>
      <c r="K64" s="188">
        <f>opex_orig!K64</f>
        <v>8.1000000000000004E-5</v>
      </c>
      <c r="L64" s="188">
        <f>opex_orig!L64</f>
        <v>8.8037399999999996E-4</v>
      </c>
      <c r="M64" s="188">
        <f>opex_orig!M64</f>
        <v>2.570985E-3</v>
      </c>
      <c r="N64" s="188">
        <f>opex_orig!N64</f>
        <v>1.600064E-3</v>
      </c>
      <c r="O64" s="188">
        <f>opex_orig!O64</f>
        <v>3.1153799999999998E-4</v>
      </c>
      <c r="P64" s="188">
        <f>opex_orig!P64</f>
        <v>1.1217902E-2</v>
      </c>
      <c r="Q64" s="188">
        <f>opex_orig!Q64</f>
        <v>1.24603E-3</v>
      </c>
      <c r="R64" s="188">
        <f>opex_orig!R64</f>
        <v>2.4639660000000002E-3</v>
      </c>
      <c r="S64" s="188">
        <f>opex_orig!S64</f>
        <v>8.275559E-3</v>
      </c>
      <c r="T64" s="188">
        <f>opex_orig!T64</f>
        <v>9.0175150000000003E-3</v>
      </c>
      <c r="U64" s="188">
        <f>opex_orig!U64</f>
        <v>7.7545369999999997E-3</v>
      </c>
      <c r="V64" s="188">
        <f>opex_orig!V64</f>
        <v>7.9067459999999992E-3</v>
      </c>
      <c r="W64" s="188">
        <f>opex_orig!W64</f>
        <v>4.5253100000000003E-3</v>
      </c>
      <c r="X64" s="188">
        <f>opex_orig!X64</f>
        <v>1.361098E-3</v>
      </c>
      <c r="Y64" s="188">
        <f>opex_orig!Y64</f>
        <v>5.9655299999999999E-4</v>
      </c>
      <c r="Z64" s="188">
        <f>opex_orig!Z64</f>
        <v>2.4648679999999998E-3</v>
      </c>
      <c r="AA64" s="188">
        <f>opex_orig!AA64</f>
        <v>3.9579399999999999E-4</v>
      </c>
      <c r="AB64" s="188">
        <f>opex_orig!$AB64</f>
        <v>2.2042257166381102E-3</v>
      </c>
      <c r="AC64" s="188">
        <f>opex_orig!$AB64</f>
        <v>2.2042257166381102E-3</v>
      </c>
      <c r="AD64" s="188">
        <f>opex_orig!$AB64</f>
        <v>2.2042257166381102E-3</v>
      </c>
      <c r="AE64" s="188">
        <f>opex_orig!$AC64</f>
        <v>4.4570586660270299E-2</v>
      </c>
      <c r="AF64" s="310">
        <f>opex_concordance!$M$316</f>
        <v>1.1406303800218899E-2</v>
      </c>
      <c r="AG64" s="310">
        <f>opex_concordance!$M$350</f>
        <v>0.42749152900157211</v>
      </c>
      <c r="AH64" s="310">
        <f>opex_concordance!$M$386</f>
        <v>0.47900843110465946</v>
      </c>
      <c r="AI64" s="188">
        <f>opex_orig!AE64</f>
        <v>8.7155059999999996E-3</v>
      </c>
      <c r="AJ64" s="188">
        <f>opex_orig!AF64</f>
        <v>0.14975327999999999</v>
      </c>
      <c r="AK64" s="188">
        <f>opex_orig!AG64</f>
        <v>4.4154410999999998E-2</v>
      </c>
      <c r="AL64" s="188">
        <f>opex_orig!AH64</f>
        <v>3.2357000000000002E-3</v>
      </c>
      <c r="AM64" s="188">
        <f>opex_orig!AI64</f>
        <v>5.2092900000000001E-3</v>
      </c>
      <c r="AN64" s="188">
        <f>opex_orig!AJ64</f>
        <v>4.2058200000000002E-4</v>
      </c>
      <c r="AO64" s="188">
        <f>opex_orig!AK64</f>
        <v>1.762118E-3</v>
      </c>
      <c r="AP64" s="188">
        <f>opex_orig!$AL64</f>
        <v>1.4316934057775001E-3</v>
      </c>
      <c r="AQ64" s="188">
        <f>opex_orig!$AL64</f>
        <v>1.4316934057775001E-3</v>
      </c>
      <c r="AR64" s="188">
        <f>opex_orig!$AL64</f>
        <v>1.4316934057775001E-3</v>
      </c>
      <c r="AS64" s="188">
        <f>opex_orig!$AM64</f>
        <v>1.12922705101354E-3</v>
      </c>
      <c r="AT64" s="188">
        <f>opex_orig!AN64</f>
        <v>1.2114911000000001E-2</v>
      </c>
      <c r="AU64" s="188">
        <f>opex_orig!$AO64</f>
        <v>3.39187735266391E-3</v>
      </c>
      <c r="AV64" s="188">
        <f>opex_orig!$AO64</f>
        <v>3.39187735266391E-3</v>
      </c>
      <c r="AW64" s="188">
        <f>opex_orig!$AO64</f>
        <v>3.39187735266391E-3</v>
      </c>
      <c r="AX64" s="188">
        <f>opex_orig!$AP64</f>
        <v>2.47931653747941E-3</v>
      </c>
      <c r="AY64" s="188">
        <f>opex_orig!AQ64</f>
        <v>3.817955E-3</v>
      </c>
      <c r="AZ64" s="188">
        <f>opex_orig!AR64</f>
        <v>0</v>
      </c>
      <c r="BA64" s="188">
        <f>opex_orig!AS64</f>
        <v>1.5668912E-2</v>
      </c>
      <c r="BB64" s="188">
        <f>opex_orig!AT64</f>
        <v>1.6649884E-2</v>
      </c>
      <c r="BC64" s="188">
        <f>opex_orig!AU64</f>
        <v>5.6799999999999998E-5</v>
      </c>
      <c r="BD64" s="188">
        <f>opex_orig!AV64</f>
        <v>3.4700000000000003E-5</v>
      </c>
      <c r="BE64" s="188">
        <f>opex_orig!AW64</f>
        <v>1.66336E-3</v>
      </c>
      <c r="BF64" s="188">
        <f>opex_orig!AX64</f>
        <v>0</v>
      </c>
      <c r="BG64" s="188">
        <f>opex_orig!AY64</f>
        <v>3.1114010000000002E-3</v>
      </c>
      <c r="BH64" s="188">
        <f>opex_orig!AZ64</f>
        <v>0</v>
      </c>
      <c r="BI64" s="188">
        <f>opex_orig!BA64</f>
        <v>1.9494860000000001E-3</v>
      </c>
      <c r="BJ64" s="188">
        <f>opex_orig!BB64</f>
        <v>2.1752130000000001E-3</v>
      </c>
      <c r="BK64" s="188">
        <f>opex_orig!BC64</f>
        <v>4.667671E-3</v>
      </c>
      <c r="BL64" s="188">
        <f>opex_orig!BD64</f>
        <v>1.212606E-3</v>
      </c>
      <c r="BM64" s="188">
        <f>opex_orig!BE64</f>
        <v>1.9972779999999999E-3</v>
      </c>
      <c r="BN64" s="188">
        <f>opex_orig!BF64</f>
        <v>2.58342E-4</v>
      </c>
      <c r="BO64" s="188">
        <f>opex_orig!BG64</f>
        <v>1.1760915E-2</v>
      </c>
      <c r="BP64" s="188">
        <f>opex_orig!$BH64</f>
        <v>2.0342040691661602E-3</v>
      </c>
      <c r="BQ64" s="188">
        <f>opex_orig!$BH64</f>
        <v>2.0342040691661602E-3</v>
      </c>
      <c r="BR64" s="188">
        <f>opex_orig!BI64</f>
        <v>4.5168079999999998E-3</v>
      </c>
      <c r="BS64" s="188">
        <f>opex_orig!BJ64</f>
        <v>1.4423195999999999E-2</v>
      </c>
      <c r="BT64" s="188">
        <f>opex_orig!BK64</f>
        <v>8.0183000000000001E-4</v>
      </c>
      <c r="BU64" s="188">
        <f>opex_orig!BL64</f>
        <v>0</v>
      </c>
      <c r="BV64" s="27">
        <f>opex_orig!BM64</f>
        <v>2.7765967472823802E-3</v>
      </c>
      <c r="BW64" s="27">
        <f>opex_orig!BN64</f>
        <v>7.0667204203045198E-3</v>
      </c>
      <c r="BX64" s="27">
        <f>opex_orig!BO64</f>
        <v>3.0400986403840598E-4</v>
      </c>
      <c r="BY64" s="27">
        <f>opex_orig!BP64</f>
        <v>6.4582055732463996E-4</v>
      </c>
      <c r="BZ64" s="27">
        <f>opex_orig!BQ64</f>
        <v>3.5160664653442801E-4</v>
      </c>
      <c r="CA64" s="27">
        <f>opex_orig!BR64</f>
        <v>4.28686849520238E-5</v>
      </c>
      <c r="CB64" s="27">
        <f>opex_orig!BS64</f>
        <v>3.41189186834187E-3</v>
      </c>
      <c r="CC64" s="27">
        <f>opex_orig!BT64</f>
        <v>9.0550874091126105E-5</v>
      </c>
      <c r="CD64" s="27">
        <f>opex_orig!BU64</f>
        <v>3.9854906591850902E-5</v>
      </c>
      <c r="CE64" s="27">
        <f>opex_orig!BV64</f>
        <v>3.9854906591850997E-5</v>
      </c>
      <c r="CF64" s="27">
        <f>opex_orig!BW64</f>
        <v>2.1433848738768201E-4</v>
      </c>
      <c r="CG64" s="27">
        <f>opex_orig!BX64</f>
        <v>1.3941962730929999E-4</v>
      </c>
      <c r="CH64" s="27">
        <f>opex_orig!BY64</f>
        <v>2.1502274434193099E-4</v>
      </c>
      <c r="CI64" s="27">
        <f>opex_orig!Y64</f>
        <v>5.9655299999999999E-4</v>
      </c>
      <c r="CJ64" s="27">
        <f>opex_orig!Z64</f>
        <v>2.4648679999999998E-3</v>
      </c>
      <c r="CK64" s="27">
        <f>opex_orig!AA64</f>
        <v>3.9579399999999999E-4</v>
      </c>
      <c r="CL64" s="27">
        <f>opex_orig!AB64</f>
        <v>2.2042257166381102E-3</v>
      </c>
      <c r="CM64" s="27">
        <f>opex_orig!AC64</f>
        <v>4.4570586660270299E-2</v>
      </c>
      <c r="CN64" s="27">
        <f>opex_orig!AD64</f>
        <v>1.1406303800218899E-2</v>
      </c>
      <c r="CO64" s="27">
        <f>opex_orig!AE64</f>
        <v>8.7155059999999996E-3</v>
      </c>
      <c r="CP64" s="27">
        <f>opex_orig!AF64</f>
        <v>0.14975327999999999</v>
      </c>
    </row>
    <row r="65" spans="1:94" x14ac:dyDescent="0.25">
      <c r="A65" s="5" t="s">
        <v>149</v>
      </c>
      <c r="B65" s="2" t="s">
        <v>148</v>
      </c>
      <c r="C65" s="1" t="s">
        <v>328</v>
      </c>
      <c r="D65" s="188">
        <f>opex_orig!D65</f>
        <v>5.3262561999999999E-2</v>
      </c>
      <c r="E65" s="188">
        <f>opex_orig!E65</f>
        <v>5.7573879999999996E-3</v>
      </c>
      <c r="F65" s="188">
        <f>opex_orig!F65</f>
        <v>3.306668E-3</v>
      </c>
      <c r="G65" s="188">
        <f>opex_orig!G65</f>
        <v>3.7293200000000003E-4</v>
      </c>
      <c r="H65" s="188">
        <f>opex_orig!H65</f>
        <v>9.0833099999999996E-4</v>
      </c>
      <c r="I65" s="188">
        <f>opex_orig!I65</f>
        <v>5.4413309999999998E-3</v>
      </c>
      <c r="J65" s="188">
        <f>opex_orig!J65</f>
        <v>2.2994270000000002E-3</v>
      </c>
      <c r="K65" s="188">
        <f>opex_orig!K65</f>
        <v>1.3048929999999999E-3</v>
      </c>
      <c r="L65" s="188">
        <f>opex_orig!L65</f>
        <v>4.4665399999999997E-3</v>
      </c>
      <c r="M65" s="188">
        <f>opex_orig!M65</f>
        <v>8.4307879999999998E-3</v>
      </c>
      <c r="N65" s="188">
        <f>opex_orig!N65</f>
        <v>5.1798620000000004E-3</v>
      </c>
      <c r="O65" s="188">
        <f>opex_orig!O65</f>
        <v>1.197601E-3</v>
      </c>
      <c r="P65" s="188">
        <f>opex_orig!P65</f>
        <v>1.8145343000000001E-2</v>
      </c>
      <c r="Q65" s="188">
        <f>opex_orig!Q65</f>
        <v>4.7844510000000003E-3</v>
      </c>
      <c r="R65" s="188">
        <f>opex_orig!R65</f>
        <v>7.0141659999999996E-3</v>
      </c>
      <c r="S65" s="188">
        <f>opex_orig!S65</f>
        <v>2.670838E-3</v>
      </c>
      <c r="T65" s="188">
        <f>opex_orig!T65</f>
        <v>2.9346939999999998E-3</v>
      </c>
      <c r="U65" s="188">
        <f>opex_orig!U65</f>
        <v>1.9943890000000001E-3</v>
      </c>
      <c r="V65" s="188">
        <f>opex_orig!V65</f>
        <v>1.597355E-3</v>
      </c>
      <c r="W65" s="188">
        <f>opex_orig!W65</f>
        <v>5.5031999999999998E-3</v>
      </c>
      <c r="X65" s="188">
        <f>opex_orig!X65</f>
        <v>3.522889E-3</v>
      </c>
      <c r="Y65" s="188">
        <f>opex_orig!Y65</f>
        <v>6.1660899999999995E-4</v>
      </c>
      <c r="Z65" s="188">
        <f>opex_orig!Z65</f>
        <v>1.1095479999999999E-3</v>
      </c>
      <c r="AA65" s="188">
        <f>opex_orig!AA65</f>
        <v>6.2511620000000002E-3</v>
      </c>
      <c r="AB65" s="188">
        <f>opex_orig!$AB65</f>
        <v>4.6992534331772001E-4</v>
      </c>
      <c r="AC65" s="188">
        <f>opex_orig!$AB65</f>
        <v>4.6992534331772001E-4</v>
      </c>
      <c r="AD65" s="188">
        <f>opex_orig!$AB65</f>
        <v>4.6992534331772001E-4</v>
      </c>
      <c r="AE65" s="188">
        <f>opex_orig!$AC65</f>
        <v>1.1287589183924601E-3</v>
      </c>
      <c r="AF65" s="188">
        <f>opex_orig!$AD65</f>
        <v>9.6401302934476902E-4</v>
      </c>
      <c r="AG65" s="188">
        <f>opex_orig!$AD65</f>
        <v>9.6401302934476902E-4</v>
      </c>
      <c r="AH65" s="188">
        <f>opex_orig!$AD65</f>
        <v>9.6401302934476902E-4</v>
      </c>
      <c r="AI65" s="188">
        <f>opex_orig!AE65</f>
        <v>8.3403800000000005E-4</v>
      </c>
      <c r="AJ65" s="188">
        <f>opex_orig!AF65</f>
        <v>5.1474240000000003E-3</v>
      </c>
      <c r="AK65" s="188">
        <f>opex_orig!AG65</f>
        <v>0.24498441800000001</v>
      </c>
      <c r="AL65" s="188">
        <f>opex_orig!AH65</f>
        <v>1.1956222000000001E-2</v>
      </c>
      <c r="AM65" s="188">
        <f>opex_orig!AI65</f>
        <v>2.2098737E-2</v>
      </c>
      <c r="AN65" s="188">
        <f>opex_orig!AJ65</f>
        <v>3.0897519999999999E-3</v>
      </c>
      <c r="AO65" s="188">
        <f>opex_orig!AK65</f>
        <v>5.9614000000000004E-3</v>
      </c>
      <c r="AP65" s="188">
        <f>opex_orig!$AL65</f>
        <v>4.6055889891371601E-3</v>
      </c>
      <c r="AQ65" s="188">
        <f>opex_orig!$AL65</f>
        <v>4.6055889891371601E-3</v>
      </c>
      <c r="AR65" s="188">
        <f>opex_orig!$AL65</f>
        <v>4.6055889891371601E-3</v>
      </c>
      <c r="AS65" s="188">
        <f>opex_orig!$AM65</f>
        <v>4.22950635125585E-3</v>
      </c>
      <c r="AT65" s="188">
        <f>opex_orig!AN65</f>
        <v>1.0032671999999999E-2</v>
      </c>
      <c r="AU65" s="188">
        <f>opex_orig!$AO65</f>
        <v>3.76500652309861E-3</v>
      </c>
      <c r="AV65" s="188">
        <f>opex_orig!$AO65</f>
        <v>3.76500652309861E-3</v>
      </c>
      <c r="AW65" s="188">
        <f>opex_orig!$AO65</f>
        <v>3.76500652309861E-3</v>
      </c>
      <c r="AX65" s="188">
        <f>opex_orig!$AP65</f>
        <v>4.30433151244357E-3</v>
      </c>
      <c r="AY65" s="188">
        <f>opex_orig!AQ65</f>
        <v>4.8301209999999997E-3</v>
      </c>
      <c r="AZ65" s="188">
        <f>opex_orig!AR65</f>
        <v>0</v>
      </c>
      <c r="BA65" s="188">
        <f>opex_orig!AS65</f>
        <v>4.1085569999999997E-3</v>
      </c>
      <c r="BB65" s="188">
        <f>opex_orig!AT65</f>
        <v>3.9688500000000003E-3</v>
      </c>
      <c r="BC65" s="188">
        <f>opex_orig!AU65</f>
        <v>8.09934E-4</v>
      </c>
      <c r="BD65" s="188">
        <f>opex_orig!AV65</f>
        <v>5.9336199999999995E-4</v>
      </c>
      <c r="BE65" s="188">
        <f>opex_orig!AW65</f>
        <v>2.5711380000000002E-3</v>
      </c>
      <c r="BF65" s="188">
        <f>opex_orig!AX65</f>
        <v>0</v>
      </c>
      <c r="BG65" s="188">
        <f>opex_orig!AY65</f>
        <v>3.119915E-3</v>
      </c>
      <c r="BH65" s="188">
        <f>opex_orig!AZ65</f>
        <v>0</v>
      </c>
      <c r="BI65" s="188">
        <f>opex_orig!BA65</f>
        <v>7.3311310000000003E-3</v>
      </c>
      <c r="BJ65" s="188">
        <f>opex_orig!BB65</f>
        <v>5.089921E-2</v>
      </c>
      <c r="BK65" s="188">
        <f>opex_orig!BC65</f>
        <v>1.2255271999999999E-2</v>
      </c>
      <c r="BL65" s="188">
        <f>opex_orig!BD65</f>
        <v>2.5856920000000001E-3</v>
      </c>
      <c r="BM65" s="188">
        <f>opex_orig!BE65</f>
        <v>4.7650495000000001E-2</v>
      </c>
      <c r="BN65" s="188">
        <f>opex_orig!BF65</f>
        <v>2.0899226999999999E-2</v>
      </c>
      <c r="BO65" s="188">
        <f>opex_orig!BG65</f>
        <v>5.6369130000000003E-2</v>
      </c>
      <c r="BP65" s="207">
        <f>opex_concordance!M81</f>
        <v>0.10771830391873523</v>
      </c>
      <c r="BQ65" s="207">
        <f>opex_concordance!M124</f>
        <v>7.0182951702667834E-2</v>
      </c>
      <c r="BR65" s="188">
        <f>opex_orig!BI65</f>
        <v>0.12839708599999999</v>
      </c>
      <c r="BS65" s="188">
        <f>opex_orig!BJ65</f>
        <v>5.3317679E-2</v>
      </c>
      <c r="BT65" s="188">
        <f>opex_orig!BK65</f>
        <v>3.1668310000000002E-3</v>
      </c>
      <c r="BU65" s="188">
        <f>opex_orig!BL65</f>
        <v>0</v>
      </c>
      <c r="BV65" s="27">
        <f>opex_orig!BM65</f>
        <v>5.5924871132915198E-4</v>
      </c>
      <c r="BW65" s="27">
        <f>opex_orig!BN65</f>
        <v>1.1175155931112701E-3</v>
      </c>
      <c r="BX65" s="27">
        <f>opex_orig!BO65</f>
        <v>2.4858751394540998E-4</v>
      </c>
      <c r="BY65" s="27">
        <f>opex_orig!BP65</f>
        <v>2.6862867780571003E-4</v>
      </c>
      <c r="BZ65" s="27">
        <f>opex_orig!BQ65</f>
        <v>2.6930313068557503E-4</v>
      </c>
      <c r="CA65" s="27">
        <f>opex_orig!BR65</f>
        <v>1.30894473031693E-3</v>
      </c>
      <c r="CB65" s="27">
        <f>opex_orig!BS65</f>
        <v>8.9016511857446204E-4</v>
      </c>
      <c r="CC65" s="27">
        <f>opex_orig!BT65</f>
        <v>2.3038990170977299E-4</v>
      </c>
      <c r="CD65" s="27">
        <f>opex_orig!BU65</f>
        <v>1.2965019129684E-4</v>
      </c>
      <c r="CE65" s="27">
        <f>opex_orig!BV65</f>
        <v>1.2965019129684E-4</v>
      </c>
      <c r="CF65" s="27">
        <f>opex_orig!BW65</f>
        <v>2.0969729293529899E-4</v>
      </c>
      <c r="CG65" s="27">
        <f>opex_orig!BX65</f>
        <v>5.4567809563830702E-4</v>
      </c>
      <c r="CH65" s="27">
        <f>opex_orig!BY65</f>
        <v>6.11900375810515E-5</v>
      </c>
      <c r="CI65" s="27">
        <f>opex_orig!Y65</f>
        <v>6.1660899999999995E-4</v>
      </c>
      <c r="CJ65" s="27">
        <f>opex_orig!Z65</f>
        <v>1.1095479999999999E-3</v>
      </c>
      <c r="CK65" s="27">
        <f>opex_orig!AA65</f>
        <v>6.2511620000000002E-3</v>
      </c>
      <c r="CL65" s="27">
        <f>opex_orig!AB65</f>
        <v>4.6992534331772001E-4</v>
      </c>
      <c r="CM65" s="27">
        <f>opex_orig!AC65</f>
        <v>1.1287589183924601E-3</v>
      </c>
      <c r="CN65" s="27">
        <f>opex_orig!AD65</f>
        <v>9.6401302934476902E-4</v>
      </c>
      <c r="CO65" s="27">
        <f>opex_orig!AE65</f>
        <v>8.3403800000000005E-4</v>
      </c>
      <c r="CP65" s="27">
        <f>opex_orig!AF65</f>
        <v>5.1474240000000003E-3</v>
      </c>
    </row>
    <row r="66" spans="1:94" x14ac:dyDescent="0.25">
      <c r="A66" s="5" t="s">
        <v>151</v>
      </c>
      <c r="B66" s="2" t="s">
        <v>150</v>
      </c>
      <c r="C66" s="1" t="s">
        <v>329</v>
      </c>
      <c r="D66" s="188">
        <f>opex_orig!D66</f>
        <v>1.1131590000000001E-3</v>
      </c>
      <c r="E66" s="188">
        <f>opex_orig!E66</f>
        <v>1.9931340000000001E-3</v>
      </c>
      <c r="F66" s="188">
        <f>opex_orig!F66</f>
        <v>9.6612800000000002E-4</v>
      </c>
      <c r="G66" s="188">
        <f>opex_orig!G66</f>
        <v>1.58858E-4</v>
      </c>
      <c r="H66" s="188">
        <f>opex_orig!H66</f>
        <v>2.8246E-4</v>
      </c>
      <c r="I66" s="188">
        <f>opex_orig!I66</f>
        <v>6.9450140000000002E-3</v>
      </c>
      <c r="J66" s="188">
        <f>opex_orig!J66</f>
        <v>5.5066299999999996E-4</v>
      </c>
      <c r="K66" s="188">
        <f>opex_orig!K66</f>
        <v>4.6344300000000001E-4</v>
      </c>
      <c r="L66" s="188">
        <f>opex_orig!L66</f>
        <v>3.6880900000000002E-3</v>
      </c>
      <c r="M66" s="188">
        <f>opex_orig!M66</f>
        <v>8.7687640000000001E-3</v>
      </c>
      <c r="N66" s="188">
        <f>opex_orig!N66</f>
        <v>4.5349379999999996E-3</v>
      </c>
      <c r="O66" s="188">
        <f>opex_orig!O66</f>
        <v>4.2832100000000001E-4</v>
      </c>
      <c r="P66" s="188">
        <f>opex_orig!P66</f>
        <v>2.1539584000000001E-2</v>
      </c>
      <c r="Q66" s="188">
        <f>opex_orig!Q66</f>
        <v>1.030675E-3</v>
      </c>
      <c r="R66" s="188">
        <f>opex_orig!R66</f>
        <v>9.69701E-4</v>
      </c>
      <c r="S66" s="188">
        <f>opex_orig!S66</f>
        <v>8.4226200000000005E-3</v>
      </c>
      <c r="T66" s="188">
        <f>opex_orig!T66</f>
        <v>8.9722110000000008E-3</v>
      </c>
      <c r="U66" s="188">
        <f>opex_orig!U66</f>
        <v>3.80336E-4</v>
      </c>
      <c r="V66" s="188">
        <f>opex_orig!V66</f>
        <v>4.5101700000000001E-4</v>
      </c>
      <c r="W66" s="188">
        <f>opex_orig!W66</f>
        <v>2.9436399999999998E-4</v>
      </c>
      <c r="X66" s="188">
        <f>opex_orig!X66</f>
        <v>2.30442E-4</v>
      </c>
      <c r="Y66" s="188">
        <f>opex_orig!Y66</f>
        <v>2.0903499999999999E-4</v>
      </c>
      <c r="Z66" s="188">
        <f>opex_orig!Z66</f>
        <v>2.0092740000000001E-3</v>
      </c>
      <c r="AA66" s="188">
        <f>opex_orig!AA66</f>
        <v>7.3797499999999998E-4</v>
      </c>
      <c r="AB66" s="188">
        <f>opex_orig!$AB66</f>
        <v>4.1560928907110998E-4</v>
      </c>
      <c r="AC66" s="188">
        <f>opex_orig!$AB66</f>
        <v>4.1560928907110998E-4</v>
      </c>
      <c r="AD66" s="188">
        <f>opex_orig!$AB66</f>
        <v>4.1560928907110998E-4</v>
      </c>
      <c r="AE66" s="188">
        <f>opex_orig!$AC66</f>
        <v>1.3185645507289799E-3</v>
      </c>
      <c r="AF66" s="188">
        <f>opex_orig!$AD66</f>
        <v>4.2238793687378399E-4</v>
      </c>
      <c r="AG66" s="188">
        <f>opex_orig!$AD66</f>
        <v>4.2238793687378399E-4</v>
      </c>
      <c r="AH66" s="188">
        <f>opex_orig!$AD66</f>
        <v>4.2238793687378399E-4</v>
      </c>
      <c r="AI66" s="188">
        <f>opex_orig!AE66</f>
        <v>3.6867200000000001E-4</v>
      </c>
      <c r="AJ66" s="188">
        <f>opex_orig!AF66</f>
        <v>8.0632389999999998E-3</v>
      </c>
      <c r="AK66" s="188">
        <f>opex_orig!AG66</f>
        <v>1.276959E-3</v>
      </c>
      <c r="AL66" s="188">
        <f>opex_orig!AH66</f>
        <v>0.36272555400000001</v>
      </c>
      <c r="AM66" s="188">
        <f>opex_orig!AI66</f>
        <v>1.210453E-3</v>
      </c>
      <c r="AN66" s="188">
        <f>opex_orig!AJ66</f>
        <v>1.375315E-3</v>
      </c>
      <c r="AO66" s="188">
        <f>opex_orig!AK66</f>
        <v>2.6382710000000002E-3</v>
      </c>
      <c r="AP66" s="188">
        <f>opex_orig!$AL66</f>
        <v>2.5791858495999801E-3</v>
      </c>
      <c r="AQ66" s="188">
        <f>opex_orig!$AL66</f>
        <v>2.5791858495999801E-3</v>
      </c>
      <c r="AR66" s="188">
        <f>opex_orig!$AL66</f>
        <v>2.5791858495999801E-3</v>
      </c>
      <c r="AS66" s="188">
        <f>opex_orig!$AM66</f>
        <v>2.4088449482827E-3</v>
      </c>
      <c r="AT66" s="188">
        <f>opex_orig!AN66</f>
        <v>1.6485584000000001E-2</v>
      </c>
      <c r="AU66" s="188">
        <f>opex_orig!$AO66</f>
        <v>4.5868093885071602E-4</v>
      </c>
      <c r="AV66" s="188">
        <f>opex_orig!$AO66</f>
        <v>4.5868093885071602E-4</v>
      </c>
      <c r="AW66" s="188">
        <f>opex_orig!$AO66</f>
        <v>4.5868093885071602E-4</v>
      </c>
      <c r="AX66" s="188">
        <f>opex_orig!$AP66</f>
        <v>4.8855275370873405E-4</v>
      </c>
      <c r="AY66" s="188">
        <f>opex_orig!AQ66</f>
        <v>6.2733400000000001E-4</v>
      </c>
      <c r="AZ66" s="188">
        <f>opex_orig!AR66</f>
        <v>0</v>
      </c>
      <c r="BA66" s="188">
        <f>opex_orig!AS66</f>
        <v>5.6981299999999996E-4</v>
      </c>
      <c r="BB66" s="188">
        <f>opex_orig!AT66</f>
        <v>5.1449999999999998E-4</v>
      </c>
      <c r="BC66" s="188">
        <f>opex_orig!AU66</f>
        <v>1.9860400000000001E-4</v>
      </c>
      <c r="BD66" s="188">
        <f>opex_orig!AV66</f>
        <v>1.72659E-4</v>
      </c>
      <c r="BE66" s="188">
        <f>opex_orig!AW66</f>
        <v>3.4730200000000002E-4</v>
      </c>
      <c r="BF66" s="188">
        <f>opex_orig!AX66</f>
        <v>0</v>
      </c>
      <c r="BG66" s="188">
        <f>opex_orig!AY66</f>
        <v>8.6067999999999995E-4</v>
      </c>
      <c r="BH66" s="188">
        <f>opex_orig!AZ66</f>
        <v>0</v>
      </c>
      <c r="BI66" s="188">
        <f>opex_orig!BA66</f>
        <v>5.91864E-4</v>
      </c>
      <c r="BJ66" s="188">
        <f>opex_orig!BB66</f>
        <v>4.7521610000000004E-3</v>
      </c>
      <c r="BK66" s="188">
        <f>opex_orig!BC66</f>
        <v>2.4566919999999999E-3</v>
      </c>
      <c r="BL66" s="188">
        <f>opex_orig!BD66</f>
        <v>2.8680999999999997E-4</v>
      </c>
      <c r="BM66" s="188">
        <f>opex_orig!BE66</f>
        <v>5.0556489999999997E-3</v>
      </c>
      <c r="BN66" s="188">
        <f>opex_orig!BF66</f>
        <v>4.8198099999999998E-4</v>
      </c>
      <c r="BO66" s="188">
        <f>opex_orig!BG66</f>
        <v>1.8943930000000001E-3</v>
      </c>
      <c r="BP66" s="188">
        <f>opex_orig!$BH66</f>
        <v>1.45188643206604E-3</v>
      </c>
      <c r="BQ66" s="188">
        <f>opex_orig!$BH66</f>
        <v>1.45188643206604E-3</v>
      </c>
      <c r="BR66" s="188">
        <f>opex_orig!BI66</f>
        <v>5.4568289999999998E-3</v>
      </c>
      <c r="BS66" s="188">
        <f>opex_orig!BJ66</f>
        <v>7.8891699999999998E-4</v>
      </c>
      <c r="BT66" s="188">
        <f>opex_orig!BK66</f>
        <v>2.2188400000000001E-3</v>
      </c>
      <c r="BU66" s="188">
        <f>opex_orig!BL66</f>
        <v>0</v>
      </c>
      <c r="BV66" s="27">
        <f>opex_orig!BM66</f>
        <v>2.62868139358329E-4</v>
      </c>
      <c r="BW66" s="27">
        <f>opex_orig!BN66</f>
        <v>3.5803182564101798E-4</v>
      </c>
      <c r="BX66" s="27">
        <f>opex_orig!BO66</f>
        <v>1.1051343880352299E-4</v>
      </c>
      <c r="BY66" s="27">
        <f>opex_orig!BP66</f>
        <v>1.60881152947943E-4</v>
      </c>
      <c r="BZ66" s="27">
        <f>opex_orig!BQ66</f>
        <v>2.23369339827643E-4</v>
      </c>
      <c r="CA66" s="27">
        <f>opex_orig!BR66</f>
        <v>1.3922943420973299E-4</v>
      </c>
      <c r="CB66" s="27">
        <f>opex_orig!BS66</f>
        <v>7.7051574170377201E-4</v>
      </c>
      <c r="CC66" s="27">
        <f>opex_orig!BT66</f>
        <v>4.13705596051194E-6</v>
      </c>
      <c r="CD66" s="27">
        <f>opex_orig!BU66</f>
        <v>1.11331097744129E-4</v>
      </c>
      <c r="CE66" s="27">
        <f>opex_orig!BV66</f>
        <v>1.11331097744129E-4</v>
      </c>
      <c r="CF66" s="27">
        <f>opex_orig!BW66</f>
        <v>2.1506333903644599E-5</v>
      </c>
      <c r="CG66" s="27">
        <f>opex_orig!BX66</f>
        <v>3.8072718869367899E-6</v>
      </c>
      <c r="CH66" s="27">
        <f>opex_orig!BY66</f>
        <v>5.0628325175984399E-6</v>
      </c>
      <c r="CI66" s="27">
        <f>opex_orig!Y66</f>
        <v>2.0903499999999999E-4</v>
      </c>
      <c r="CJ66" s="27">
        <f>opex_orig!Z66</f>
        <v>2.0092740000000001E-3</v>
      </c>
      <c r="CK66" s="27">
        <f>opex_orig!AA66</f>
        <v>7.3797499999999998E-4</v>
      </c>
      <c r="CL66" s="27">
        <f>opex_orig!AB66</f>
        <v>4.1560928907110998E-4</v>
      </c>
      <c r="CM66" s="27">
        <f>opex_orig!AC66</f>
        <v>1.3185645507289799E-3</v>
      </c>
      <c r="CN66" s="27">
        <f>opex_orig!AD66</f>
        <v>4.2238793687378399E-4</v>
      </c>
      <c r="CO66" s="27">
        <f>opex_orig!AE66</f>
        <v>3.6867200000000001E-4</v>
      </c>
      <c r="CP66" s="27">
        <f>opex_orig!AF66</f>
        <v>8.0632389999999998E-3</v>
      </c>
    </row>
    <row r="67" spans="1:94" x14ac:dyDescent="0.25">
      <c r="A67" s="5" t="s">
        <v>153</v>
      </c>
      <c r="B67" s="2" t="s">
        <v>152</v>
      </c>
      <c r="C67" s="1" t="s">
        <v>329</v>
      </c>
      <c r="D67" s="188">
        <f>opex_orig!D67</f>
        <v>1.3011399999999999E-4</v>
      </c>
      <c r="E67" s="188">
        <f>opex_orig!E67</f>
        <v>2.4769100000000002E-4</v>
      </c>
      <c r="F67" s="188">
        <f>opex_orig!F67</f>
        <v>1.1056300000000001E-4</v>
      </c>
      <c r="G67" s="188">
        <f>opex_orig!G67</f>
        <v>1.8899999999999999E-5</v>
      </c>
      <c r="H67" s="188">
        <f>opex_orig!H67</f>
        <v>3.3000000000000003E-5</v>
      </c>
      <c r="I67" s="188">
        <f>opex_orig!I67</f>
        <v>8.8240599999999997E-4</v>
      </c>
      <c r="J67" s="188">
        <f>opex_orig!J67</f>
        <v>5.0399999999999999E-5</v>
      </c>
      <c r="K67" s="188">
        <f>opex_orig!K67</f>
        <v>5.38E-5</v>
      </c>
      <c r="L67" s="188">
        <f>opex_orig!L67</f>
        <v>4.5881200000000001E-4</v>
      </c>
      <c r="M67" s="188">
        <f>opex_orig!M67</f>
        <v>1.0828999999999999E-3</v>
      </c>
      <c r="N67" s="188">
        <f>opex_orig!N67</f>
        <v>5.44379E-4</v>
      </c>
      <c r="O67" s="188">
        <f>opex_orig!O67</f>
        <v>3.7499999999999997E-5</v>
      </c>
      <c r="P67" s="188">
        <f>opex_orig!P67</f>
        <v>2.642967E-3</v>
      </c>
      <c r="Q67" s="188">
        <f>opex_orig!Q67</f>
        <v>9.7E-5</v>
      </c>
      <c r="R67" s="188">
        <f>opex_orig!R67</f>
        <v>1.01E-4</v>
      </c>
      <c r="S67" s="188">
        <f>opex_orig!S67</f>
        <v>1.055814E-3</v>
      </c>
      <c r="T67" s="188">
        <f>opex_orig!T67</f>
        <v>1.120642E-3</v>
      </c>
      <c r="U67" s="188">
        <f>opex_orig!U67</f>
        <v>3.6399999999999997E-5</v>
      </c>
      <c r="V67" s="188">
        <f>opex_orig!V67</f>
        <v>4.2899999999999999E-5</v>
      </c>
      <c r="W67" s="188">
        <f>opex_orig!W67</f>
        <v>2.83E-5</v>
      </c>
      <c r="X67" s="188">
        <f>opex_orig!X67</f>
        <v>2.1100000000000001E-5</v>
      </c>
      <c r="Y67" s="188">
        <f>opex_orig!Y67</f>
        <v>2.34E-5</v>
      </c>
      <c r="Z67" s="188">
        <f>opex_orig!Z67</f>
        <v>1.7585699999999999E-4</v>
      </c>
      <c r="AA67" s="188">
        <f>opex_orig!AA67</f>
        <v>7.2100000000000004E-5</v>
      </c>
      <c r="AB67" s="188">
        <f>opex_orig!$AB67</f>
        <v>4.9587168488963299E-5</v>
      </c>
      <c r="AC67" s="188">
        <f>opex_orig!$AB67</f>
        <v>4.9587168488963299E-5</v>
      </c>
      <c r="AD67" s="188">
        <f>opex_orig!$AB67</f>
        <v>4.9587168488963299E-5</v>
      </c>
      <c r="AE67" s="188">
        <f>opex_orig!$AC67</f>
        <v>1.39257945647667E-4</v>
      </c>
      <c r="AF67" s="188">
        <f>opex_orig!$AD67</f>
        <v>4.1872903356080798E-5</v>
      </c>
      <c r="AG67" s="188">
        <f>opex_orig!$AD67</f>
        <v>4.1872903356080798E-5</v>
      </c>
      <c r="AH67" s="188">
        <f>opex_orig!$AD67</f>
        <v>4.1872903356080798E-5</v>
      </c>
      <c r="AI67" s="188">
        <f>opex_orig!AE67</f>
        <v>3.7700000000000002E-5</v>
      </c>
      <c r="AJ67" s="188">
        <f>opex_orig!AF67</f>
        <v>9.7210999999999999E-4</v>
      </c>
      <c r="AK67" s="188">
        <f>opex_orig!AG67</f>
        <v>1.4866200000000001E-4</v>
      </c>
      <c r="AL67" s="188">
        <f>opex_orig!AH67</f>
        <v>4.6716127000000003E-2</v>
      </c>
      <c r="AM67" s="188">
        <f>opex_orig!AI67</f>
        <v>1.46606E-4</v>
      </c>
      <c r="AN67" s="188">
        <f>opex_orig!AJ67</f>
        <v>1.5524899999999999E-4</v>
      </c>
      <c r="AO67" s="188">
        <f>opex_orig!AK67</f>
        <v>3.0996399999999998E-4</v>
      </c>
      <c r="AP67" s="188">
        <f>opex_orig!$AL67</f>
        <v>2.9090678961120401E-4</v>
      </c>
      <c r="AQ67" s="188">
        <f>opex_orig!$AL67</f>
        <v>2.9090678961120401E-4</v>
      </c>
      <c r="AR67" s="188">
        <f>opex_orig!$AL67</f>
        <v>2.9090678961120401E-4</v>
      </c>
      <c r="AS67" s="188">
        <f>opex_orig!$AM67</f>
        <v>2.68037201078195E-4</v>
      </c>
      <c r="AT67" s="188">
        <f>opex_orig!AN67</f>
        <v>2.064481E-3</v>
      </c>
      <c r="AU67" s="188">
        <f>opex_orig!$AO67</f>
        <v>4.8612219986296298E-5</v>
      </c>
      <c r="AV67" s="188">
        <f>opex_orig!$AO67</f>
        <v>4.8612219986296298E-5</v>
      </c>
      <c r="AW67" s="188">
        <f>opex_orig!$AO67</f>
        <v>4.8612219986296298E-5</v>
      </c>
      <c r="AX67" s="188">
        <f>opex_orig!$AP67</f>
        <v>5.5191340886276198E-5</v>
      </c>
      <c r="AY67" s="188">
        <f>opex_orig!AQ67</f>
        <v>7.2000000000000002E-5</v>
      </c>
      <c r="AZ67" s="188">
        <f>opex_orig!AR67</f>
        <v>0</v>
      </c>
      <c r="BA67" s="188">
        <f>opex_orig!AS67</f>
        <v>6.19E-5</v>
      </c>
      <c r="BB67" s="188">
        <f>opex_orig!AT67</f>
        <v>5.7399999999999999E-5</v>
      </c>
      <c r="BC67" s="188">
        <f>opex_orig!AU67</f>
        <v>2.0800000000000001E-5</v>
      </c>
      <c r="BD67" s="188">
        <f>opex_orig!AV67</f>
        <v>1.77E-5</v>
      </c>
      <c r="BE67" s="188">
        <f>opex_orig!AW67</f>
        <v>4.5899999999999998E-5</v>
      </c>
      <c r="BF67" s="188">
        <f>opex_orig!AX67</f>
        <v>0</v>
      </c>
      <c r="BG67" s="188">
        <f>opex_orig!AY67</f>
        <v>6.4800000000000003E-5</v>
      </c>
      <c r="BH67" s="188">
        <f>opex_orig!AZ67</f>
        <v>0</v>
      </c>
      <c r="BI67" s="188">
        <f>opex_orig!BA67</f>
        <v>6.0699999999999998E-5</v>
      </c>
      <c r="BJ67" s="188">
        <f>opex_orig!BB67</f>
        <v>5.8849200000000003E-4</v>
      </c>
      <c r="BK67" s="188">
        <f>opex_orig!BC67</f>
        <v>2.9938399999999998E-4</v>
      </c>
      <c r="BL67" s="188">
        <f>opex_orig!BD67</f>
        <v>3.0899999999999999E-5</v>
      </c>
      <c r="BM67" s="188">
        <f>opex_orig!BE67</f>
        <v>6.3537100000000003E-4</v>
      </c>
      <c r="BN67" s="188">
        <f>opex_orig!BF67</f>
        <v>6.2299999999999996E-5</v>
      </c>
      <c r="BO67" s="188">
        <f>opex_orig!BG67</f>
        <v>2.27054E-4</v>
      </c>
      <c r="BP67" s="188">
        <f>opex_orig!$BH67</f>
        <v>1.8028895627444401E-4</v>
      </c>
      <c r="BQ67" s="188">
        <f>opex_orig!$BH67</f>
        <v>1.8028895627444401E-4</v>
      </c>
      <c r="BR67" s="188">
        <f>opex_orig!BI67</f>
        <v>6.7223599999999999E-4</v>
      </c>
      <c r="BS67" s="188">
        <f>opex_orig!BJ67</f>
        <v>9.1399999999999999E-5</v>
      </c>
      <c r="BT67" s="188">
        <f>opex_orig!BK67</f>
        <v>2.7114000000000001E-4</v>
      </c>
      <c r="BU67" s="188">
        <f>opex_orig!BL67</f>
        <v>0</v>
      </c>
      <c r="BV67" s="27">
        <f>opex_orig!BM67</f>
        <v>2.93918791289906E-5</v>
      </c>
      <c r="BW67" s="27">
        <f>opex_orig!BN67</f>
        <v>3.6747038252134098E-5</v>
      </c>
      <c r="BX67" s="27">
        <f>opex_orig!BO67</f>
        <v>1.20368084117539E-5</v>
      </c>
      <c r="BY67" s="27">
        <f>opex_orig!BP67</f>
        <v>1.54125391637209E-5</v>
      </c>
      <c r="BZ67" s="27">
        <f>opex_orig!BQ67</f>
        <v>2.38875828180428E-5</v>
      </c>
      <c r="CA67" s="27">
        <f>opex_orig!BR67</f>
        <v>4.7219224402150897E-5</v>
      </c>
      <c r="CB67" s="27">
        <f>opex_orig!BS67</f>
        <v>9.0045975803021905E-5</v>
      </c>
      <c r="CC67" s="27">
        <f>opex_orig!BT67</f>
        <v>1.1611015932341201E-6</v>
      </c>
      <c r="CD67" s="27">
        <f>opex_orig!BU67</f>
        <v>1.0020855023198301E-5</v>
      </c>
      <c r="CE67" s="27">
        <f>opex_orig!BV67</f>
        <v>1.0020855023198401E-5</v>
      </c>
      <c r="CF67" s="27">
        <f>opex_orig!BW67</f>
        <v>9.9148774962773502E-6</v>
      </c>
      <c r="CG67" s="27">
        <f>opex_orig!BX67</f>
        <v>1.4515240675213599E-6</v>
      </c>
      <c r="CH67" s="27">
        <f>opex_orig!BY67</f>
        <v>9.9568773244286209E-7</v>
      </c>
      <c r="CI67" s="27">
        <f>opex_orig!Y67</f>
        <v>2.34E-5</v>
      </c>
      <c r="CJ67" s="27">
        <f>opex_orig!Z67</f>
        <v>1.7585699999999999E-4</v>
      </c>
      <c r="CK67" s="27">
        <f>opex_orig!AA67</f>
        <v>7.2100000000000004E-5</v>
      </c>
      <c r="CL67" s="27">
        <f>opex_orig!AB67</f>
        <v>4.9587168488963299E-5</v>
      </c>
      <c r="CM67" s="27">
        <f>opex_orig!AC67</f>
        <v>1.39257945647667E-4</v>
      </c>
      <c r="CN67" s="27">
        <f>opex_orig!AD67</f>
        <v>4.1872903356080798E-5</v>
      </c>
      <c r="CO67" s="27">
        <f>opex_orig!AE67</f>
        <v>3.7700000000000002E-5</v>
      </c>
      <c r="CP67" s="27">
        <f>opex_orig!AF67</f>
        <v>9.7210999999999999E-4</v>
      </c>
    </row>
    <row r="68" spans="1:94" x14ac:dyDescent="0.25">
      <c r="A68" s="5" t="s">
        <v>155</v>
      </c>
      <c r="B68" s="2" t="s">
        <v>154</v>
      </c>
      <c r="C68" s="1" t="s">
        <v>329</v>
      </c>
      <c r="D68" s="188">
        <f>opex_orig!D68</f>
        <v>2.4141200000000001E-4</v>
      </c>
      <c r="E68" s="188">
        <f>opex_orig!E68</f>
        <v>1.2349099999999999E-4</v>
      </c>
      <c r="F68" s="188">
        <f>opex_orig!F68</f>
        <v>1.4065400000000001E-4</v>
      </c>
      <c r="G68" s="188">
        <f>opex_orig!G68</f>
        <v>4.8600000000000002E-5</v>
      </c>
      <c r="H68" s="188">
        <f>opex_orig!H68</f>
        <v>7.0199999999999999E-5</v>
      </c>
      <c r="I68" s="188">
        <f>opex_orig!I68</f>
        <v>2.0379E-4</v>
      </c>
      <c r="J68" s="188">
        <f>opex_orig!J68</f>
        <v>3.5726399999999999E-4</v>
      </c>
      <c r="K68" s="188">
        <f>opex_orig!K68</f>
        <v>1.5487899999999999E-4</v>
      </c>
      <c r="L68" s="188">
        <f>opex_orig!L68</f>
        <v>1.9305E-4</v>
      </c>
      <c r="M68" s="188">
        <f>opex_orig!M68</f>
        <v>4.8546400000000001E-4</v>
      </c>
      <c r="N68" s="188">
        <f>opex_orig!N68</f>
        <v>4.1146500000000002E-4</v>
      </c>
      <c r="O68" s="188">
        <f>opex_orig!O68</f>
        <v>2.7822600000000002E-4</v>
      </c>
      <c r="P68" s="188">
        <f>opex_orig!P68</f>
        <v>2.4828459999999999E-3</v>
      </c>
      <c r="Q68" s="188">
        <f>opex_orig!Q68</f>
        <v>6.2215800000000004E-4</v>
      </c>
      <c r="R68" s="188">
        <f>opex_orig!R68</f>
        <v>3.5282899999999998E-4</v>
      </c>
      <c r="S68" s="188">
        <f>opex_orig!S68</f>
        <v>4.3548300000000002E-4</v>
      </c>
      <c r="T68" s="188">
        <f>opex_orig!T68</f>
        <v>5.5206799999999996E-4</v>
      </c>
      <c r="U68" s="188">
        <f>opex_orig!U68</f>
        <v>2.2428500000000001E-4</v>
      </c>
      <c r="V68" s="188">
        <f>opex_orig!V68</f>
        <v>2.77557E-4</v>
      </c>
      <c r="W68" s="188">
        <f>opex_orig!W68</f>
        <v>1.7858899999999999E-4</v>
      </c>
      <c r="X68" s="188">
        <f>opex_orig!X68</f>
        <v>1.4574799999999999E-4</v>
      </c>
      <c r="Y68" s="188">
        <f>opex_orig!Y68</f>
        <v>4.4593500000000001E-4</v>
      </c>
      <c r="Z68" s="188">
        <f>opex_orig!Z68</f>
        <v>3.03541E-4</v>
      </c>
      <c r="AA68" s="188">
        <f>opex_orig!AA68</f>
        <v>5.8098299999999998E-4</v>
      </c>
      <c r="AB68" s="188">
        <f>opex_orig!$AB68</f>
        <v>2.7002800195090202E-4</v>
      </c>
      <c r="AC68" s="188">
        <f>opex_orig!$AB68</f>
        <v>2.7002800195090202E-4</v>
      </c>
      <c r="AD68" s="188">
        <f>opex_orig!$AB68</f>
        <v>2.7002800195090202E-4</v>
      </c>
      <c r="AE68" s="188">
        <f>opex_orig!$AC68</f>
        <v>4.38679350905948E-4</v>
      </c>
      <c r="AF68" s="188">
        <f>opex_orig!$AD68</f>
        <v>2.3473292372275299E-4</v>
      </c>
      <c r="AG68" s="188">
        <f>opex_orig!$AD68</f>
        <v>2.3473292372275299E-4</v>
      </c>
      <c r="AH68" s="188">
        <f>opex_orig!$AD68</f>
        <v>2.3473292372275299E-4</v>
      </c>
      <c r="AI68" s="188">
        <f>opex_orig!AE68</f>
        <v>1.8924E-4</v>
      </c>
      <c r="AJ68" s="188">
        <f>opex_orig!AF68</f>
        <v>6.1029599999999997E-4</v>
      </c>
      <c r="AK68" s="188">
        <f>opex_orig!AG68</f>
        <v>4.4357199999999999E-4</v>
      </c>
      <c r="AL68" s="188">
        <f>opex_orig!AH68</f>
        <v>6.2332000000000002E-4</v>
      </c>
      <c r="AM68" s="188">
        <f>opex_orig!AI68</f>
        <v>4.9574099999999996E-4</v>
      </c>
      <c r="AN68" s="188">
        <f>opex_orig!AJ68</f>
        <v>0.1496681</v>
      </c>
      <c r="AO68" s="188">
        <f>opex_orig!AK68</f>
        <v>9.6754800000000004E-4</v>
      </c>
      <c r="AP68" s="188">
        <f>opex_orig!$AL68</f>
        <v>2.7816299237983502E-3</v>
      </c>
      <c r="AQ68" s="188">
        <f>opex_orig!$AL68</f>
        <v>2.7816299237983502E-3</v>
      </c>
      <c r="AR68" s="188">
        <f>opex_orig!$AL68</f>
        <v>2.7816299237983502E-3</v>
      </c>
      <c r="AS68" s="188">
        <f>opex_orig!$AM68</f>
        <v>2.6045948843853501E-3</v>
      </c>
      <c r="AT68" s="188">
        <f>opex_orig!AN68</f>
        <v>6.7626299999999997E-4</v>
      </c>
      <c r="AU68" s="188">
        <f>opex_orig!$AO68</f>
        <v>2.6785417875991598E-4</v>
      </c>
      <c r="AV68" s="188">
        <f>opex_orig!$AO68</f>
        <v>2.6785417875991598E-4</v>
      </c>
      <c r="AW68" s="188">
        <f>opex_orig!$AO68</f>
        <v>2.6785417875991598E-4</v>
      </c>
      <c r="AX68" s="188">
        <f>opex_orig!$AP68</f>
        <v>2.7838314207795199E-4</v>
      </c>
      <c r="AY68" s="188">
        <f>opex_orig!AQ68</f>
        <v>3.2107099999999998E-4</v>
      </c>
      <c r="AZ68" s="188">
        <f>opex_orig!AR68</f>
        <v>0</v>
      </c>
      <c r="BA68" s="188">
        <f>opex_orig!AS68</f>
        <v>2.7960600000000001E-4</v>
      </c>
      <c r="BB68" s="188">
        <f>opex_orig!AT68</f>
        <v>2.4913600000000001E-4</v>
      </c>
      <c r="BC68" s="188">
        <f>opex_orig!AU68</f>
        <v>1.1937E-4</v>
      </c>
      <c r="BD68" s="188">
        <f>opex_orig!AV68</f>
        <v>1.15103E-4</v>
      </c>
      <c r="BE68" s="188">
        <f>opex_orig!AW68</f>
        <v>2.62966E-4</v>
      </c>
      <c r="BF68" s="188">
        <f>opex_orig!AX68</f>
        <v>0</v>
      </c>
      <c r="BG68" s="188">
        <f>opex_orig!AY68</f>
        <v>6.1372599999999999E-4</v>
      </c>
      <c r="BH68" s="188">
        <f>opex_orig!AZ68</f>
        <v>0</v>
      </c>
      <c r="BI68" s="188">
        <f>opex_orig!BA68</f>
        <v>5.0520700000000003E-4</v>
      </c>
      <c r="BJ68" s="188">
        <f>opex_orig!BB68</f>
        <v>3.8246599999999998E-4</v>
      </c>
      <c r="BK68" s="188">
        <f>opex_orig!BC68</f>
        <v>3.7231500000000002E-4</v>
      </c>
      <c r="BL68" s="188">
        <f>opex_orig!BD68</f>
        <v>1.7833500000000001E-4</v>
      </c>
      <c r="BM68" s="188">
        <f>opex_orig!BE68</f>
        <v>2.4063840000000001E-3</v>
      </c>
      <c r="BN68" s="188">
        <f>opex_orig!BF68</f>
        <v>1.4025909999999999E-3</v>
      </c>
      <c r="BO68" s="188">
        <f>opex_orig!BG68</f>
        <v>3.6791999999999999E-4</v>
      </c>
      <c r="BP68" s="188">
        <f>opex_orig!$BH68</f>
        <v>2.8713709075298501E-4</v>
      </c>
      <c r="BQ68" s="188">
        <f>opex_orig!$BH68</f>
        <v>2.8713709075298501E-4</v>
      </c>
      <c r="BR68" s="188">
        <f>opex_orig!BI68</f>
        <v>2.7674999999999998E-4</v>
      </c>
      <c r="BS68" s="188">
        <f>opex_orig!BJ68</f>
        <v>2.86054E-4</v>
      </c>
      <c r="BT68" s="188">
        <f>opex_orig!BK68</f>
        <v>2.83138E-4</v>
      </c>
      <c r="BU68" s="188">
        <f>opex_orig!BL68</f>
        <v>0</v>
      </c>
      <c r="BV68" s="27">
        <f>opex_orig!BM68</f>
        <v>1.5859129823255901E-4</v>
      </c>
      <c r="BW68" s="27">
        <f>opex_orig!BN68</f>
        <v>2.8951997555392499E-4</v>
      </c>
      <c r="BX68" s="27">
        <f>opex_orig!BO68</f>
        <v>6.0438981032274798E-5</v>
      </c>
      <c r="BY68" s="27">
        <f>opex_orig!BP68</f>
        <v>1.3556516840418199E-4</v>
      </c>
      <c r="BZ68" s="27">
        <f>opex_orig!BQ68</f>
        <v>1.2644078500462501E-4</v>
      </c>
      <c r="CA68" s="27">
        <f>opex_orig!BR68</f>
        <v>3.1199143356136998E-4</v>
      </c>
      <c r="CB68" s="27">
        <f>opex_orig!BS68</f>
        <v>3.9449805786612402E-4</v>
      </c>
      <c r="CC68" s="27">
        <f>opex_orig!BT68</f>
        <v>7.5125109366559003E-6</v>
      </c>
      <c r="CD68" s="27">
        <f>opex_orig!BU68</f>
        <v>7.6075696372770801E-5</v>
      </c>
      <c r="CE68" s="27">
        <f>opex_orig!BV68</f>
        <v>7.6075696372771099E-5</v>
      </c>
      <c r="CF68" s="27">
        <f>opex_orig!BW68</f>
        <v>8.4723365634402795E-5</v>
      </c>
      <c r="CG68" s="27">
        <f>opex_orig!BX68</f>
        <v>9.6014431516426791E-7</v>
      </c>
      <c r="CH68" s="27">
        <f>opex_orig!BY68</f>
        <v>5.5584798922545001E-6</v>
      </c>
      <c r="CI68" s="27">
        <f>opex_orig!Y68</f>
        <v>4.4593500000000001E-4</v>
      </c>
      <c r="CJ68" s="27">
        <f>opex_orig!Z68</f>
        <v>3.03541E-4</v>
      </c>
      <c r="CK68" s="27">
        <f>opex_orig!AA68</f>
        <v>5.8098299999999998E-4</v>
      </c>
      <c r="CL68" s="27">
        <f>opex_orig!AB68</f>
        <v>2.7002800195090202E-4</v>
      </c>
      <c r="CM68" s="27">
        <f>opex_orig!AC68</f>
        <v>4.38679350905948E-4</v>
      </c>
      <c r="CN68" s="27">
        <f>opex_orig!AD68</f>
        <v>2.3473292372275299E-4</v>
      </c>
      <c r="CO68" s="27">
        <f>opex_orig!AE68</f>
        <v>1.8924E-4</v>
      </c>
      <c r="CP68" s="27">
        <f>opex_orig!AF68</f>
        <v>6.1029599999999997E-4</v>
      </c>
    </row>
    <row r="69" spans="1:94" x14ac:dyDescent="0.25">
      <c r="A69" s="5" t="s">
        <v>157</v>
      </c>
      <c r="B69" s="2" t="s">
        <v>156</v>
      </c>
      <c r="C69" s="1" t="s">
        <v>329</v>
      </c>
      <c r="D69" s="188">
        <f>opex_orig!D69</f>
        <v>3.5099999999999999E-5</v>
      </c>
      <c r="E69" s="188">
        <f>opex_orig!E69</f>
        <v>1.42E-5</v>
      </c>
      <c r="F69" s="188">
        <f>opex_orig!F69</f>
        <v>1.8300000000000001E-5</v>
      </c>
      <c r="G69" s="188">
        <f>opex_orig!G69</f>
        <v>3.7100000000000001E-6</v>
      </c>
      <c r="H69" s="188">
        <f>opex_orig!H69</f>
        <v>5.2399999999999998E-6</v>
      </c>
      <c r="I69" s="188">
        <f>opex_orig!I69</f>
        <v>2.0400000000000001E-5</v>
      </c>
      <c r="J69" s="188">
        <f>opex_orig!J69</f>
        <v>4.2500000000000003E-5</v>
      </c>
      <c r="K69" s="188">
        <f>opex_orig!K69</f>
        <v>1.19E-5</v>
      </c>
      <c r="L69" s="188">
        <f>opex_orig!L69</f>
        <v>2.2399999999999999E-5</v>
      </c>
      <c r="M69" s="188">
        <f>opex_orig!M69</f>
        <v>5.3499999999999999E-5</v>
      </c>
      <c r="N69" s="188">
        <f>opex_orig!N69</f>
        <v>4.8099999999999997E-5</v>
      </c>
      <c r="O69" s="188">
        <f>opex_orig!O69</f>
        <v>3.4600000000000001E-5</v>
      </c>
      <c r="P69" s="188">
        <f>opex_orig!P69</f>
        <v>3.4047599999999998E-4</v>
      </c>
      <c r="Q69" s="188">
        <f>opex_orig!Q69</f>
        <v>9.0400000000000002E-5</v>
      </c>
      <c r="R69" s="188">
        <f>opex_orig!R69</f>
        <v>4.8399999999999997E-5</v>
      </c>
      <c r="S69" s="188">
        <f>opex_orig!S69</f>
        <v>3.8999999999999999E-5</v>
      </c>
      <c r="T69" s="188">
        <f>opex_orig!T69</f>
        <v>5.1199999999999998E-5</v>
      </c>
      <c r="U69" s="188">
        <f>opex_orig!U69</f>
        <v>2.94E-5</v>
      </c>
      <c r="V69" s="188">
        <f>opex_orig!V69</f>
        <v>3.4499999999999998E-5</v>
      </c>
      <c r="W69" s="188">
        <f>opex_orig!W69</f>
        <v>2.6599999999999999E-5</v>
      </c>
      <c r="X69" s="188">
        <f>opex_orig!X69</f>
        <v>2.0000000000000002E-5</v>
      </c>
      <c r="Y69" s="188">
        <f>opex_orig!Y69</f>
        <v>2.19E-5</v>
      </c>
      <c r="Z69" s="188">
        <f>opex_orig!Z69</f>
        <v>1.01121E-4</v>
      </c>
      <c r="AA69" s="188">
        <f>opex_orig!AA69</f>
        <v>5.6100000000000002E-5</v>
      </c>
      <c r="AB69" s="188">
        <f>opex_orig!$AB69</f>
        <v>4.6167778606495799E-5</v>
      </c>
      <c r="AC69" s="188">
        <f>opex_orig!$AB69</f>
        <v>4.6167778606495799E-5</v>
      </c>
      <c r="AD69" s="188">
        <f>opex_orig!$AB69</f>
        <v>4.6167778606495799E-5</v>
      </c>
      <c r="AE69" s="188">
        <f>opex_orig!$AC69</f>
        <v>6.0461827037096301E-5</v>
      </c>
      <c r="AF69" s="188">
        <f>opex_orig!$AD69</f>
        <v>3.2447749983003601E-5</v>
      </c>
      <c r="AG69" s="188">
        <f>opex_orig!$AD69</f>
        <v>3.2447749983003601E-5</v>
      </c>
      <c r="AH69" s="188">
        <f>opex_orig!$AD69</f>
        <v>3.2447749983003601E-5</v>
      </c>
      <c r="AI69" s="188">
        <f>opex_orig!AE69</f>
        <v>2.8E-5</v>
      </c>
      <c r="AJ69" s="188">
        <f>opex_orig!AF69</f>
        <v>1.06005E-4</v>
      </c>
      <c r="AK69" s="188">
        <f>opex_orig!AG69</f>
        <v>9.1700000000000006E-5</v>
      </c>
      <c r="AL69" s="188">
        <f>opex_orig!AH69</f>
        <v>7.4099999999999999E-5</v>
      </c>
      <c r="AM69" s="188">
        <f>opex_orig!AI69</f>
        <v>7.8499999999999997E-5</v>
      </c>
      <c r="AN69" s="188">
        <f>opex_orig!AJ69</f>
        <v>4.636093E-3</v>
      </c>
      <c r="AO69" s="188">
        <f>opex_orig!AK69</f>
        <v>3.6350436999999999E-2</v>
      </c>
      <c r="AP69" s="188">
        <f>opex_orig!$AL69</f>
        <v>2.48639746040368E-3</v>
      </c>
      <c r="AQ69" s="188">
        <f>opex_orig!$AL69</f>
        <v>2.48639746040368E-3</v>
      </c>
      <c r="AR69" s="188">
        <f>opex_orig!$AL69</f>
        <v>2.48639746040368E-3</v>
      </c>
      <c r="AS69" s="188">
        <f>opex_orig!$AM69</f>
        <v>2.24748956443609E-3</v>
      </c>
      <c r="AT69" s="188">
        <f>opex_orig!AN69</f>
        <v>2.517119E-3</v>
      </c>
      <c r="AU69" s="188">
        <f>opex_orig!$AO69</f>
        <v>6.1908153570682894E-5</v>
      </c>
      <c r="AV69" s="188">
        <f>opex_orig!$AO69</f>
        <v>6.1908153570682894E-5</v>
      </c>
      <c r="AW69" s="188">
        <f>opex_orig!$AO69</f>
        <v>6.1908153570682894E-5</v>
      </c>
      <c r="AX69" s="188">
        <f>opex_orig!$AP69</f>
        <v>5.5719863602808799E-5</v>
      </c>
      <c r="AY69" s="188">
        <f>opex_orig!AQ69</f>
        <v>5.6700000000000003E-5</v>
      </c>
      <c r="AZ69" s="188">
        <f>opex_orig!AR69</f>
        <v>0</v>
      </c>
      <c r="BA69" s="188">
        <f>opex_orig!AS69</f>
        <v>6.2700000000000006E-5</v>
      </c>
      <c r="BB69" s="188">
        <f>opex_orig!AT69</f>
        <v>5.5899999999999997E-5</v>
      </c>
      <c r="BC69" s="188">
        <f>opex_orig!AU69</f>
        <v>1.59E-5</v>
      </c>
      <c r="BD69" s="188">
        <f>opex_orig!AV69</f>
        <v>1.4399999999999999E-5</v>
      </c>
      <c r="BE69" s="188">
        <f>opex_orig!AW69</f>
        <v>7.6199999999999995E-5</v>
      </c>
      <c r="BF69" s="188">
        <f>opex_orig!AX69</f>
        <v>0</v>
      </c>
      <c r="BG69" s="188">
        <f>opex_orig!AY69</f>
        <v>3.0818099999999998E-4</v>
      </c>
      <c r="BH69" s="188">
        <f>opex_orig!AZ69</f>
        <v>0</v>
      </c>
      <c r="BI69" s="188">
        <f>opex_orig!BA69</f>
        <v>7.36E-5</v>
      </c>
      <c r="BJ69" s="188">
        <f>opex_orig!BB69</f>
        <v>7.6000000000000004E-5</v>
      </c>
      <c r="BK69" s="188">
        <f>opex_orig!BC69</f>
        <v>2.97936E-4</v>
      </c>
      <c r="BL69" s="188">
        <f>opex_orig!BD69</f>
        <v>3.5200000000000002E-5</v>
      </c>
      <c r="BM69" s="188">
        <f>opex_orig!BE69</f>
        <v>8.81E-5</v>
      </c>
      <c r="BN69" s="188">
        <f>opex_orig!BF69</f>
        <v>2.9E-5</v>
      </c>
      <c r="BO69" s="188">
        <f>opex_orig!BG69</f>
        <v>7.7999999999999999E-5</v>
      </c>
      <c r="BP69" s="188">
        <f>opex_orig!$BH69</f>
        <v>4.6372021335316898E-5</v>
      </c>
      <c r="BQ69" s="188">
        <f>opex_orig!$BH69</f>
        <v>4.6372021335316898E-5</v>
      </c>
      <c r="BR69" s="188">
        <f>opex_orig!BI69</f>
        <v>5.2299999999999997E-5</v>
      </c>
      <c r="BS69" s="188">
        <f>opex_orig!BJ69</f>
        <v>5.0399999999999999E-5</v>
      </c>
      <c r="BT69" s="188">
        <f>opex_orig!BK69</f>
        <v>4.7500000000000003E-5</v>
      </c>
      <c r="BU69" s="188">
        <f>opex_orig!BL69</f>
        <v>0</v>
      </c>
      <c r="BV69" s="27">
        <f>opex_orig!BM69</f>
        <v>3.3252450419189E-5</v>
      </c>
      <c r="BW69" s="27">
        <f>opex_orig!BN69</f>
        <v>4.5405914345776003E-5</v>
      </c>
      <c r="BX69" s="27">
        <f>opex_orig!BO69</f>
        <v>9.2128079662930992E-6</v>
      </c>
      <c r="BY69" s="27">
        <f>opex_orig!BP69</f>
        <v>1.53221722935336E-5</v>
      </c>
      <c r="BZ69" s="27">
        <f>opex_orig!BQ69</f>
        <v>1.59509399322893E-5</v>
      </c>
      <c r="CA69" s="27">
        <f>opex_orig!BR69</f>
        <v>2.7013221465125301E-4</v>
      </c>
      <c r="CB69" s="27">
        <f>opex_orig!BS69</f>
        <v>4.9608938215236699E-5</v>
      </c>
      <c r="CC69" s="27">
        <f>opex_orig!BT69</f>
        <v>1.2475355140408701E-5</v>
      </c>
      <c r="CD69" s="27">
        <f>opex_orig!BU69</f>
        <v>9.8615925969017297E-6</v>
      </c>
      <c r="CE69" s="27">
        <f>opex_orig!BV69</f>
        <v>9.86159259690175E-6</v>
      </c>
      <c r="CF69" s="27">
        <f>opex_orig!BW69</f>
        <v>3.2061318155037299E-5</v>
      </c>
      <c r="CG69" s="27">
        <f>opex_orig!BX69</f>
        <v>5.1216800048968299E-7</v>
      </c>
      <c r="CH69" s="27">
        <f>opex_orig!BY69</f>
        <v>4.8684043004723799E-6</v>
      </c>
      <c r="CI69" s="27">
        <f>opex_orig!Y69</f>
        <v>2.19E-5</v>
      </c>
      <c r="CJ69" s="27">
        <f>opex_orig!Z69</f>
        <v>1.01121E-4</v>
      </c>
      <c r="CK69" s="27">
        <f>opex_orig!AA69</f>
        <v>5.6100000000000002E-5</v>
      </c>
      <c r="CL69" s="27">
        <f>opex_orig!AB69</f>
        <v>4.6167778606495799E-5</v>
      </c>
      <c r="CM69" s="27">
        <f>opex_orig!AC69</f>
        <v>6.0461827037096301E-5</v>
      </c>
      <c r="CN69" s="27">
        <f>opex_orig!AD69</f>
        <v>3.2447749983003601E-5</v>
      </c>
      <c r="CO69" s="27">
        <f>opex_orig!AE69</f>
        <v>2.8E-5</v>
      </c>
      <c r="CP69" s="27">
        <f>opex_orig!AF69</f>
        <v>1.06005E-4</v>
      </c>
    </row>
    <row r="70" spans="1:94" x14ac:dyDescent="0.25">
      <c r="A70" s="5" t="s">
        <v>159</v>
      </c>
      <c r="B70" s="2" t="s">
        <v>158</v>
      </c>
      <c r="C70" s="1" t="s">
        <v>329</v>
      </c>
      <c r="D70" s="188">
        <f>opex_orig!D70</f>
        <v>1.6134600000000001E-4</v>
      </c>
      <c r="E70" s="188">
        <f>opex_orig!E70</f>
        <v>5.77E-5</v>
      </c>
      <c r="F70" s="188">
        <f>opex_orig!F70</f>
        <v>6.4499999999999996E-5</v>
      </c>
      <c r="G70" s="188">
        <f>opex_orig!G70</f>
        <v>1.4399999999999999E-5</v>
      </c>
      <c r="H70" s="188">
        <f>opex_orig!H70</f>
        <v>2.1500000000000001E-5</v>
      </c>
      <c r="I70" s="188">
        <f>opex_orig!I70</f>
        <v>8.2899999999999996E-5</v>
      </c>
      <c r="J70" s="188">
        <f>opex_orig!J70</f>
        <v>1.7626499999999999E-4</v>
      </c>
      <c r="K70" s="188">
        <f>opex_orig!K70</f>
        <v>4.6499999999999999E-5</v>
      </c>
      <c r="L70" s="188">
        <f>opex_orig!L70</f>
        <v>8.7800000000000006E-5</v>
      </c>
      <c r="M70" s="188">
        <f>opex_orig!M70</f>
        <v>2.14556E-4</v>
      </c>
      <c r="N70" s="188">
        <f>opex_orig!N70</f>
        <v>1.7452799999999999E-4</v>
      </c>
      <c r="O70" s="188">
        <f>opex_orig!O70</f>
        <v>1.41669E-4</v>
      </c>
      <c r="P70" s="188">
        <f>opex_orig!P70</f>
        <v>2.312372E-3</v>
      </c>
      <c r="Q70" s="188">
        <f>opex_orig!Q70</f>
        <v>3.8814200000000001E-4</v>
      </c>
      <c r="R70" s="188">
        <f>opex_orig!R70</f>
        <v>1.8998800000000001E-4</v>
      </c>
      <c r="S70" s="188">
        <f>opex_orig!S70</f>
        <v>1.56372E-4</v>
      </c>
      <c r="T70" s="188">
        <f>opex_orig!T70</f>
        <v>2.06622E-4</v>
      </c>
      <c r="U70" s="188">
        <f>opex_orig!U70</f>
        <v>1.3721299999999999E-4</v>
      </c>
      <c r="V70" s="188">
        <f>opex_orig!V70</f>
        <v>1.5726100000000001E-4</v>
      </c>
      <c r="W70" s="188">
        <f>opex_orig!W70</f>
        <v>1.14368E-4</v>
      </c>
      <c r="X70" s="188">
        <f>opex_orig!X70</f>
        <v>7.9800000000000002E-5</v>
      </c>
      <c r="Y70" s="188">
        <f>opex_orig!Y70</f>
        <v>9.3700000000000001E-5</v>
      </c>
      <c r="Z70" s="188">
        <f>opex_orig!Z70</f>
        <v>3.5540399999999997E-4</v>
      </c>
      <c r="AA70" s="188">
        <f>opex_orig!AA70</f>
        <v>2.20728E-4</v>
      </c>
      <c r="AB70" s="188">
        <f>opex_orig!$AB70</f>
        <v>1.5875549024868901E-4</v>
      </c>
      <c r="AC70" s="188">
        <f>opex_orig!$AB70</f>
        <v>1.5875549024868901E-4</v>
      </c>
      <c r="AD70" s="188">
        <f>opex_orig!$AB70</f>
        <v>1.5875549024868901E-4</v>
      </c>
      <c r="AE70" s="188">
        <f>opex_orig!$AC70</f>
        <v>2.22041289113036E-4</v>
      </c>
      <c r="AF70" s="188">
        <f>opex_orig!$AD70</f>
        <v>1.2725787037740701E-4</v>
      </c>
      <c r="AG70" s="188">
        <f>opex_orig!$AD70</f>
        <v>1.2725787037740701E-4</v>
      </c>
      <c r="AH70" s="188">
        <f>opex_orig!$AD70</f>
        <v>1.2725787037740701E-4</v>
      </c>
      <c r="AI70" s="188">
        <f>opex_orig!AE70</f>
        <v>1.0794300000000001E-4</v>
      </c>
      <c r="AJ70" s="188">
        <f>opex_orig!AF70</f>
        <v>4.6803399999999998E-4</v>
      </c>
      <c r="AK70" s="188">
        <f>opex_orig!AG70</f>
        <v>4.6371200000000002E-4</v>
      </c>
      <c r="AL70" s="188">
        <f>opex_orig!AH70</f>
        <v>3.6824299999999998E-4</v>
      </c>
      <c r="AM70" s="188">
        <f>opex_orig!AI70</f>
        <v>4.1712699999999999E-4</v>
      </c>
      <c r="AN70" s="188">
        <f>opex_orig!AJ70</f>
        <v>4.8771699999999998E-4</v>
      </c>
      <c r="AO70" s="188">
        <f>opex_orig!AK70</f>
        <v>2.2621120000000002E-3</v>
      </c>
      <c r="AP70" s="305">
        <f>opex_concordance!M403</f>
        <v>0.14937267828621301</v>
      </c>
      <c r="AQ70" s="305">
        <f>opex_concordance!M457</f>
        <v>0.1751818586147437</v>
      </c>
      <c r="AR70" s="305">
        <f>opex_concordance!M511</f>
        <v>0.15685206704023794</v>
      </c>
      <c r="AS70" s="188">
        <f>opex_orig!$AM70</f>
        <v>0.134461538742562</v>
      </c>
      <c r="AT70" s="188">
        <f>opex_orig!AN70</f>
        <v>2.2892210000000001E-3</v>
      </c>
      <c r="AU70" s="188">
        <f>opex_orig!$AO70</f>
        <v>4.2253605473737701E-4</v>
      </c>
      <c r="AV70" s="188">
        <f>opex_orig!$AO70</f>
        <v>4.2253605473737701E-4</v>
      </c>
      <c r="AW70" s="188">
        <f>opex_orig!$AO70</f>
        <v>4.2253605473737701E-4</v>
      </c>
      <c r="AX70" s="188">
        <f>opex_orig!$AP70</f>
        <v>2.5298500185425601E-4</v>
      </c>
      <c r="AY70" s="188">
        <f>opex_orig!AQ70</f>
        <v>2.5632699999999999E-4</v>
      </c>
      <c r="AZ70" s="188">
        <f>opex_orig!AR70</f>
        <v>0</v>
      </c>
      <c r="BA70" s="188">
        <f>opex_orig!AS70</f>
        <v>2.47548E-4</v>
      </c>
      <c r="BB70" s="188">
        <f>opex_orig!AT70</f>
        <v>2.40201E-4</v>
      </c>
      <c r="BC70" s="188">
        <f>opex_orig!AU70</f>
        <v>5.8900000000000002E-5</v>
      </c>
      <c r="BD70" s="188">
        <f>opex_orig!AV70</f>
        <v>5.3900000000000002E-5</v>
      </c>
      <c r="BE70" s="188">
        <f>opex_orig!AW70</f>
        <v>2.4711699999999999E-4</v>
      </c>
      <c r="BF70" s="188">
        <f>opex_orig!AX70</f>
        <v>0</v>
      </c>
      <c r="BG70" s="188">
        <f>opex_orig!AY70</f>
        <v>4.8231700000000001E-4</v>
      </c>
      <c r="BH70" s="188">
        <f>opex_orig!AZ70</f>
        <v>0</v>
      </c>
      <c r="BI70" s="188">
        <f>opex_orig!BA70</f>
        <v>3.6243199999999999E-4</v>
      </c>
      <c r="BJ70" s="188">
        <f>opex_orig!BB70</f>
        <v>3.3336699999999999E-4</v>
      </c>
      <c r="BK70" s="188">
        <f>opex_orig!BC70</f>
        <v>3.19585E-4</v>
      </c>
      <c r="BL70" s="188">
        <f>opex_orig!BD70</f>
        <v>1.5713899999999999E-4</v>
      </c>
      <c r="BM70" s="188">
        <f>opex_orig!BE70</f>
        <v>2.6170499999999999E-4</v>
      </c>
      <c r="BN70" s="188">
        <f>opex_orig!BF70</f>
        <v>1.62912E-4</v>
      </c>
      <c r="BO70" s="188">
        <f>opex_orig!BG70</f>
        <v>1.96033E-4</v>
      </c>
      <c r="BP70" s="188">
        <f>opex_orig!$BH70</f>
        <v>2.4482752742497103E-4</v>
      </c>
      <c r="BQ70" s="188">
        <f>opex_orig!$BH70</f>
        <v>2.4482752742497103E-4</v>
      </c>
      <c r="BR70" s="188">
        <f>opex_orig!BI70</f>
        <v>2.59103E-4</v>
      </c>
      <c r="BS70" s="188">
        <f>opex_orig!BJ70</f>
        <v>2.4106799999999999E-4</v>
      </c>
      <c r="BT70" s="188">
        <f>opex_orig!BK70</f>
        <v>2.2896099999999999E-4</v>
      </c>
      <c r="BU70" s="188">
        <f>opex_orig!BL70</f>
        <v>0</v>
      </c>
      <c r="BV70" s="27">
        <f>opex_orig!BM70</f>
        <v>1.5168639457913599E-4</v>
      </c>
      <c r="BW70" s="27">
        <f>opex_orig!BN70</f>
        <v>1.7490380223197799E-4</v>
      </c>
      <c r="BX70" s="27">
        <f>opex_orig!BO70</f>
        <v>4.6749185306530302E-5</v>
      </c>
      <c r="BY70" s="27">
        <f>opex_orig!BP70</f>
        <v>6.2126918091481997E-5</v>
      </c>
      <c r="BZ70" s="27">
        <f>opex_orig!BQ70</f>
        <v>7.6970061505044401E-5</v>
      </c>
      <c r="CA70" s="27">
        <f>opex_orig!BR70</f>
        <v>1.8245150444857099E-3</v>
      </c>
      <c r="CB70" s="27">
        <f>opex_orig!BS70</f>
        <v>3.05573509777863E-4</v>
      </c>
      <c r="CC70" s="27">
        <f>opex_orig!BT70</f>
        <v>1.6745894111931301E-4</v>
      </c>
      <c r="CD70" s="27">
        <f>opex_orig!BU70</f>
        <v>4.6471645855372197E-5</v>
      </c>
      <c r="CE70" s="27">
        <f>opex_orig!BV70</f>
        <v>4.6471645855372299E-5</v>
      </c>
      <c r="CF70" s="27">
        <f>opex_orig!BW70</f>
        <v>6.5836435406445596E-4</v>
      </c>
      <c r="CG70" s="27">
        <f>opex_orig!BX70</f>
        <v>4.95166396899552E-5</v>
      </c>
      <c r="CH70" s="27">
        <f>opex_orig!BY70</f>
        <v>2.1815954152625901E-5</v>
      </c>
      <c r="CI70" s="27">
        <f>opex_orig!Y70</f>
        <v>9.3700000000000001E-5</v>
      </c>
      <c r="CJ70" s="27">
        <f>opex_orig!Z70</f>
        <v>3.5540399999999997E-4</v>
      </c>
      <c r="CK70" s="27">
        <f>opex_orig!AA70</f>
        <v>2.20728E-4</v>
      </c>
      <c r="CL70" s="27">
        <f>opex_orig!AB70</f>
        <v>1.5875549024868901E-4</v>
      </c>
      <c r="CM70" s="27">
        <f>opex_orig!AC70</f>
        <v>2.22041289113036E-4</v>
      </c>
      <c r="CN70" s="27">
        <f>opex_orig!AD70</f>
        <v>1.2725787037740701E-4</v>
      </c>
      <c r="CO70" s="27">
        <f>opex_orig!AE70</f>
        <v>1.0794300000000001E-4</v>
      </c>
      <c r="CP70" s="27">
        <f>opex_orig!AF70</f>
        <v>4.6803399999999998E-4</v>
      </c>
    </row>
    <row r="71" spans="1:94" x14ac:dyDescent="0.25">
      <c r="A71" s="5" t="s">
        <v>161</v>
      </c>
      <c r="B71" s="2" t="s">
        <v>160</v>
      </c>
      <c r="C71" s="1" t="s">
        <v>329</v>
      </c>
      <c r="D71" s="188">
        <f>opex_orig!D71</f>
        <v>3.4499999999999998E-5</v>
      </c>
      <c r="E71" s="188">
        <f>opex_orig!E71</f>
        <v>1.1600000000000001E-5</v>
      </c>
      <c r="F71" s="188">
        <f>opex_orig!F71</f>
        <v>1.2799999999999999E-5</v>
      </c>
      <c r="G71" s="188">
        <f>opex_orig!G71</f>
        <v>2.9399999999999998E-6</v>
      </c>
      <c r="H71" s="188">
        <f>opex_orig!H71</f>
        <v>4.3000000000000003E-6</v>
      </c>
      <c r="I71" s="188">
        <f>opex_orig!I71</f>
        <v>1.6399999999999999E-5</v>
      </c>
      <c r="J71" s="188">
        <f>opex_orig!J71</f>
        <v>3.5800000000000003E-5</v>
      </c>
      <c r="K71" s="188">
        <f>opex_orig!K71</f>
        <v>9.2599999999999994E-6</v>
      </c>
      <c r="L71" s="188">
        <f>opex_orig!L71</f>
        <v>1.7399999999999999E-5</v>
      </c>
      <c r="M71" s="188">
        <f>opex_orig!M71</f>
        <v>4.32E-5</v>
      </c>
      <c r="N71" s="188">
        <f>opex_orig!N71</f>
        <v>3.4900000000000001E-5</v>
      </c>
      <c r="O71" s="188">
        <f>opex_orig!O71</f>
        <v>2.8200000000000001E-5</v>
      </c>
      <c r="P71" s="188">
        <f>opex_orig!P71</f>
        <v>4.3473999999999997E-4</v>
      </c>
      <c r="Q71" s="188">
        <f>opex_orig!Q71</f>
        <v>7.2899999999999997E-5</v>
      </c>
      <c r="R71" s="188">
        <f>opex_orig!R71</f>
        <v>3.4999999999999997E-5</v>
      </c>
      <c r="S71" s="188">
        <f>opex_orig!S71</f>
        <v>2.83E-5</v>
      </c>
      <c r="T71" s="188">
        <f>opex_orig!T71</f>
        <v>3.7799999999999997E-5</v>
      </c>
      <c r="U71" s="188">
        <f>opex_orig!U71</f>
        <v>2.55E-5</v>
      </c>
      <c r="V71" s="188">
        <f>opex_orig!V71</f>
        <v>3.0199999999999999E-5</v>
      </c>
      <c r="W71" s="188">
        <f>opex_orig!W71</f>
        <v>2.1299999999999999E-5</v>
      </c>
      <c r="X71" s="188">
        <f>opex_orig!X71</f>
        <v>1.5500000000000001E-5</v>
      </c>
      <c r="Y71" s="188">
        <f>opex_orig!Y71</f>
        <v>1.5699999999999999E-5</v>
      </c>
      <c r="Z71" s="188">
        <f>opex_orig!Z71</f>
        <v>6.69E-5</v>
      </c>
      <c r="AA71" s="188">
        <f>opex_orig!AA71</f>
        <v>4.3999999999999999E-5</v>
      </c>
      <c r="AB71" s="188">
        <f>opex_orig!$AB71</f>
        <v>3.5252904607789799E-5</v>
      </c>
      <c r="AC71" s="188">
        <f>opex_orig!$AB71</f>
        <v>3.5252904607789799E-5</v>
      </c>
      <c r="AD71" s="188">
        <f>opex_orig!$AB71</f>
        <v>3.5252904607789799E-5</v>
      </c>
      <c r="AE71" s="188">
        <f>opex_orig!$AC71</f>
        <v>4.3026698432445299E-5</v>
      </c>
      <c r="AF71" s="188">
        <f>opex_orig!$AD71</f>
        <v>2.40244189461584E-5</v>
      </c>
      <c r="AG71" s="188">
        <f>opex_orig!$AD71</f>
        <v>2.40244189461584E-5</v>
      </c>
      <c r="AH71" s="188">
        <f>opex_orig!$AD71</f>
        <v>2.40244189461584E-5</v>
      </c>
      <c r="AI71" s="188">
        <f>opex_orig!AE71</f>
        <v>2.0299999999999999E-5</v>
      </c>
      <c r="AJ71" s="188">
        <f>opex_orig!AF71</f>
        <v>8.4599999999999996E-5</v>
      </c>
      <c r="AK71" s="188">
        <f>opex_orig!AG71</f>
        <v>9.5799999999999998E-5</v>
      </c>
      <c r="AL71" s="188">
        <f>opex_orig!AH71</f>
        <v>6.9400000000000006E-5</v>
      </c>
      <c r="AM71" s="188">
        <f>opex_orig!AI71</f>
        <v>8.2799999999999993E-5</v>
      </c>
      <c r="AN71" s="188">
        <f>opex_orig!AJ71</f>
        <v>9.1299999999999997E-5</v>
      </c>
      <c r="AO71" s="188">
        <f>opex_orig!AK71</f>
        <v>4.3712999999999998E-4</v>
      </c>
      <c r="AP71" s="254">
        <f>opex_concordance!M440</f>
        <v>2.8877782298888398E-2</v>
      </c>
      <c r="AQ71" s="254">
        <f>opex_concordance!M494</f>
        <v>2.3240566751840597E-2</v>
      </c>
      <c r="AR71" s="254">
        <f>opex_concordance!M548</f>
        <v>2.5504491024580817E-2</v>
      </c>
      <c r="AS71" s="188">
        <f>opex_orig!$AM71</f>
        <v>2.6086773455175499E-2</v>
      </c>
      <c r="AT71" s="188">
        <f>opex_orig!AN71</f>
        <v>4.3364400000000001E-4</v>
      </c>
      <c r="AU71" s="188">
        <f>opex_orig!$AO71</f>
        <v>4.5050856448853403E-5</v>
      </c>
      <c r="AV71" s="188">
        <f>opex_orig!$AO71</f>
        <v>4.5050856448853403E-5</v>
      </c>
      <c r="AW71" s="188">
        <f>opex_orig!$AO71</f>
        <v>4.5050856448853403E-5</v>
      </c>
      <c r="AX71" s="188">
        <f>opex_orig!$AP71</f>
        <v>5.0966293030572598E-5</v>
      </c>
      <c r="AY71" s="188">
        <f>opex_orig!AQ71</f>
        <v>5.2099999999999999E-5</v>
      </c>
      <c r="AZ71" s="188">
        <f>opex_orig!AR71</f>
        <v>0</v>
      </c>
      <c r="BA71" s="188">
        <f>opex_orig!AS71</f>
        <v>4.9200000000000003E-5</v>
      </c>
      <c r="BB71" s="188">
        <f>opex_orig!AT71</f>
        <v>5.0599999999999997E-5</v>
      </c>
      <c r="BC71" s="188">
        <f>opex_orig!AU71</f>
        <v>1.2E-5</v>
      </c>
      <c r="BD71" s="188">
        <f>opex_orig!AV71</f>
        <v>1.1E-5</v>
      </c>
      <c r="BE71" s="188">
        <f>opex_orig!AW71</f>
        <v>5.0899999999999997E-5</v>
      </c>
      <c r="BF71" s="188">
        <f>opex_orig!AX71</f>
        <v>0</v>
      </c>
      <c r="BG71" s="188">
        <f>opex_orig!AY71</f>
        <v>5.0399999999999999E-5</v>
      </c>
      <c r="BH71" s="188">
        <f>opex_orig!AZ71</f>
        <v>0</v>
      </c>
      <c r="BI71" s="188">
        <f>opex_orig!BA71</f>
        <v>7.1500000000000003E-5</v>
      </c>
      <c r="BJ71" s="188">
        <f>opex_orig!BB71</f>
        <v>7.0900000000000002E-5</v>
      </c>
      <c r="BK71" s="188">
        <f>opex_orig!BC71</f>
        <v>6.5199999999999999E-5</v>
      </c>
      <c r="BL71" s="188">
        <f>opex_orig!BD71</f>
        <v>3.2799999999999998E-5</v>
      </c>
      <c r="BM71" s="188">
        <f>opex_orig!BE71</f>
        <v>5.3999999999999998E-5</v>
      </c>
      <c r="BN71" s="188">
        <f>opex_orig!BF71</f>
        <v>4.1699999999999997E-5</v>
      </c>
      <c r="BO71" s="188">
        <f>opex_orig!BG71</f>
        <v>4.0500000000000002E-5</v>
      </c>
      <c r="BP71" s="188">
        <f>opex_orig!$BH71</f>
        <v>4.9948192686310203E-5</v>
      </c>
      <c r="BQ71" s="188">
        <f>opex_orig!$BH71</f>
        <v>4.9948192686310203E-5</v>
      </c>
      <c r="BR71" s="188">
        <f>opex_orig!BI71</f>
        <v>5.5300000000000002E-5</v>
      </c>
      <c r="BS71" s="188">
        <f>opex_orig!BJ71</f>
        <v>5.0800000000000002E-5</v>
      </c>
      <c r="BT71" s="188">
        <f>opex_orig!BK71</f>
        <v>4.74E-5</v>
      </c>
      <c r="BU71" s="188">
        <f>opex_orig!BL71</f>
        <v>0</v>
      </c>
      <c r="BV71" s="27">
        <f>opex_orig!BM71</f>
        <v>2.4939628197935798E-5</v>
      </c>
      <c r="BW71" s="27">
        <f>opex_orig!BN71</f>
        <v>3.3132655114363501E-5</v>
      </c>
      <c r="BX71" s="27">
        <f>opex_orig!BO71</f>
        <v>9.5220649883658898E-6</v>
      </c>
      <c r="BY71" s="27">
        <f>opex_orig!BP71</f>
        <v>1.1735954883976199E-5</v>
      </c>
      <c r="BZ71" s="27">
        <f>opex_orig!BQ71</f>
        <v>1.51295674489489E-5</v>
      </c>
      <c r="CA71" s="27">
        <f>opex_orig!BR71</f>
        <v>3.1520299985845303E-4</v>
      </c>
      <c r="CB71" s="27">
        <f>opex_orig!BS71</f>
        <v>5.83078778595066E-5</v>
      </c>
      <c r="CC71" s="27">
        <f>opex_orig!BT71</f>
        <v>4.4649560895554902E-5</v>
      </c>
      <c r="CD71" s="27">
        <f>opex_orig!BU71</f>
        <v>9.0765493347816995E-6</v>
      </c>
      <c r="CE71" s="27">
        <f>opex_orig!BV71</f>
        <v>9.0765493347817096E-6</v>
      </c>
      <c r="CF71" s="27">
        <f>opex_orig!BW71</f>
        <v>4.4911275736089502E-4</v>
      </c>
      <c r="CG71" s="27">
        <f>opex_orig!BX71</f>
        <v>1.52866298093599E-5</v>
      </c>
      <c r="CH71" s="27">
        <f>opex_orig!BY71</f>
        <v>1.3290809066799101E-6</v>
      </c>
      <c r="CI71" s="27">
        <f>opex_orig!Y71</f>
        <v>1.5699999999999999E-5</v>
      </c>
      <c r="CJ71" s="27">
        <f>opex_orig!Z71</f>
        <v>6.69E-5</v>
      </c>
      <c r="CK71" s="27">
        <f>opex_orig!AA71</f>
        <v>4.3999999999999999E-5</v>
      </c>
      <c r="CL71" s="27">
        <f>opex_orig!AB71</f>
        <v>3.5252904607789799E-5</v>
      </c>
      <c r="CM71" s="27">
        <f>opex_orig!AC71</f>
        <v>4.3026698432445299E-5</v>
      </c>
      <c r="CN71" s="27">
        <f>opex_orig!AD71</f>
        <v>2.40244189461584E-5</v>
      </c>
      <c r="CO71" s="27">
        <f>opex_orig!AE71</f>
        <v>2.0299999999999999E-5</v>
      </c>
      <c r="CP71" s="27">
        <f>opex_orig!AF71</f>
        <v>8.4599999999999996E-5</v>
      </c>
    </row>
    <row r="72" spans="1:94" x14ac:dyDescent="0.25">
      <c r="A72" s="5" t="s">
        <v>163</v>
      </c>
      <c r="B72" s="2" t="s">
        <v>162</v>
      </c>
      <c r="C72" s="1" t="s">
        <v>329</v>
      </c>
      <c r="D72" s="188">
        <f>opex_orig!D72</f>
        <v>2.13179E-4</v>
      </c>
      <c r="E72" s="188">
        <f>opex_orig!E72</f>
        <v>2.7685900000000001E-4</v>
      </c>
      <c r="F72" s="188">
        <f>opex_orig!F72</f>
        <v>1.5843199999999999E-4</v>
      </c>
      <c r="G72" s="188">
        <f>opex_orig!G72</f>
        <v>2.5599999999999999E-5</v>
      </c>
      <c r="H72" s="188">
        <f>opex_orig!H72</f>
        <v>4.6100000000000002E-5</v>
      </c>
      <c r="I72" s="188">
        <f>opex_orig!I72</f>
        <v>9.0241900000000001E-4</v>
      </c>
      <c r="J72" s="188">
        <f>opex_orig!J72</f>
        <v>1.3756799999999999E-4</v>
      </c>
      <c r="K72" s="188">
        <f>opex_orig!K72</f>
        <v>7.7600000000000002E-5</v>
      </c>
      <c r="L72" s="188">
        <f>opex_orig!L72</f>
        <v>5.0655700000000004E-4</v>
      </c>
      <c r="M72" s="188">
        <f>opex_orig!M72</f>
        <v>1.2224359999999999E-3</v>
      </c>
      <c r="N72" s="188">
        <f>opex_orig!N72</f>
        <v>6.89775E-4</v>
      </c>
      <c r="O72" s="188">
        <f>opex_orig!O72</f>
        <v>1.16474E-4</v>
      </c>
      <c r="P72" s="188">
        <f>opex_orig!P72</f>
        <v>5.1242700000000002E-3</v>
      </c>
      <c r="Q72" s="188">
        <f>opex_orig!Q72</f>
        <v>3.3827199999999998E-4</v>
      </c>
      <c r="R72" s="188">
        <f>opex_orig!R72</f>
        <v>3.1942899999999998E-4</v>
      </c>
      <c r="S72" s="188">
        <f>opex_orig!S72</f>
        <v>6.3533999999999997E-4</v>
      </c>
      <c r="T72" s="188">
        <f>opex_orig!T72</f>
        <v>7.0017899999999999E-4</v>
      </c>
      <c r="U72" s="188">
        <f>opex_orig!U72</f>
        <v>1.0173799999999999E-4</v>
      </c>
      <c r="V72" s="188">
        <f>opex_orig!V72</f>
        <v>1.17037E-4</v>
      </c>
      <c r="W72" s="188">
        <f>opex_orig!W72</f>
        <v>9.0099999999999995E-5</v>
      </c>
      <c r="X72" s="188">
        <f>opex_orig!X72</f>
        <v>6.3499999999999999E-5</v>
      </c>
      <c r="Y72" s="188">
        <f>opex_orig!Y72</f>
        <v>6.9575870000000003E-3</v>
      </c>
      <c r="Z72" s="188">
        <f>opex_orig!Z72</f>
        <v>3.2061749999999999E-3</v>
      </c>
      <c r="AA72" s="188">
        <f>opex_orig!AA72</f>
        <v>2.1936199999999999E-4</v>
      </c>
      <c r="AB72" s="188">
        <f>opex_orig!$AB72</f>
        <v>2.2817784509342699E-4</v>
      </c>
      <c r="AC72" s="188">
        <f>opex_orig!$AB72</f>
        <v>2.2817784509342699E-4</v>
      </c>
      <c r="AD72" s="188">
        <f>opex_orig!$AB72</f>
        <v>2.2817784509342699E-4</v>
      </c>
      <c r="AE72" s="188">
        <f>opex_orig!$AC72</f>
        <v>3.82147073953366E-4</v>
      </c>
      <c r="AF72" s="188">
        <f>opex_orig!$AD72</f>
        <v>4.0669151236746398E-4</v>
      </c>
      <c r="AG72" s="188">
        <f>opex_orig!$AD72</f>
        <v>4.0669151236746398E-4</v>
      </c>
      <c r="AH72" s="188">
        <f>opex_orig!$AD72</f>
        <v>4.0669151236746398E-4</v>
      </c>
      <c r="AI72" s="188">
        <f>opex_orig!AE72</f>
        <v>3.8175600000000002E-4</v>
      </c>
      <c r="AJ72" s="188">
        <f>opex_orig!AF72</f>
        <v>8.9276899999999996E-4</v>
      </c>
      <c r="AK72" s="188">
        <f>opex_orig!AG72</f>
        <v>3.0346399999999998E-4</v>
      </c>
      <c r="AL72" s="188">
        <f>opex_orig!AH72</f>
        <v>3.5247427999999997E-2</v>
      </c>
      <c r="AM72" s="188">
        <f>opex_orig!AI72</f>
        <v>6.5973340000000005E-2</v>
      </c>
      <c r="AN72" s="188">
        <f>opex_orig!AJ72</f>
        <v>6.5254968999999996E-2</v>
      </c>
      <c r="AO72" s="188">
        <f>opex_orig!AK72</f>
        <v>0.20061304799999999</v>
      </c>
      <c r="AP72" s="219">
        <f>opex_concordance!M441</f>
        <v>6.7832194266020995E-2</v>
      </c>
      <c r="AQ72" s="219">
        <f>opex_concordance!M495</f>
        <v>5.4590709994512397E-2</v>
      </c>
      <c r="AR72" s="219">
        <f>opex_concordance!M549</f>
        <v>5.9908533554598797E-2</v>
      </c>
      <c r="AS72" s="188">
        <f>opex_orig!$AM72</f>
        <v>6.1446348995724799E-2</v>
      </c>
      <c r="AT72" s="188">
        <f>opex_orig!AN72</f>
        <v>0.15219761500000001</v>
      </c>
      <c r="AU72" s="188">
        <f>opex_orig!$AO72</f>
        <v>9.9677363842564596E-4</v>
      </c>
      <c r="AV72" s="188">
        <f>opex_orig!$AO72</f>
        <v>9.9677363842564596E-4</v>
      </c>
      <c r="AW72" s="188">
        <f>opex_orig!$AO72</f>
        <v>9.9677363842564596E-4</v>
      </c>
      <c r="AX72" s="188">
        <f>opex_orig!$AP72</f>
        <v>1.1359719222405599E-3</v>
      </c>
      <c r="AY72" s="188">
        <f>opex_orig!AQ72</f>
        <v>2.7996599999999998E-4</v>
      </c>
      <c r="AZ72" s="188">
        <f>opex_orig!AR72</f>
        <v>0</v>
      </c>
      <c r="BA72" s="188">
        <f>opex_orig!AS72</f>
        <v>1.9449968000000002E-2</v>
      </c>
      <c r="BB72" s="188">
        <f>opex_orig!AT72</f>
        <v>2.3760784E-2</v>
      </c>
      <c r="BC72" s="188">
        <f>opex_orig!AU72</f>
        <v>4.74E-5</v>
      </c>
      <c r="BD72" s="188">
        <f>opex_orig!AV72</f>
        <v>4.1999999999999998E-5</v>
      </c>
      <c r="BE72" s="188">
        <f>opex_orig!AW72</f>
        <v>1.59994E-4</v>
      </c>
      <c r="BF72" s="188">
        <f>opex_orig!AX72</f>
        <v>0</v>
      </c>
      <c r="BG72" s="188">
        <f>opex_orig!AY72</f>
        <v>4.2492799999999998E-4</v>
      </c>
      <c r="BH72" s="188">
        <f>opex_orig!AZ72</f>
        <v>0</v>
      </c>
      <c r="BI72" s="188">
        <f>opex_orig!BA72</f>
        <v>9.9276599999999996E-4</v>
      </c>
      <c r="BJ72" s="188">
        <f>opex_orig!BB72</f>
        <v>1.240955E-3</v>
      </c>
      <c r="BK72" s="188">
        <f>opex_orig!BC72</f>
        <v>1.7159E-3</v>
      </c>
      <c r="BL72" s="188">
        <f>opex_orig!BD72</f>
        <v>1.14181E-4</v>
      </c>
      <c r="BM72" s="188">
        <f>opex_orig!BE72</f>
        <v>2.7861230000000002E-3</v>
      </c>
      <c r="BN72" s="188">
        <f>opex_orig!BF72</f>
        <v>2.1523199999999999E-4</v>
      </c>
      <c r="BO72" s="188">
        <f>opex_orig!BG72</f>
        <v>7.7439700000000002E-4</v>
      </c>
      <c r="BP72" s="188">
        <f>opex_orig!$BH72</f>
        <v>3.7001503794827399E-4</v>
      </c>
      <c r="BQ72" s="188">
        <f>opex_orig!$BH72</f>
        <v>3.7001503794827399E-4</v>
      </c>
      <c r="BR72" s="188">
        <f>opex_orig!BI72</f>
        <v>1.0312749999999999E-3</v>
      </c>
      <c r="BS72" s="188">
        <f>opex_orig!BJ72</f>
        <v>2.15851E-4</v>
      </c>
      <c r="BT72" s="188">
        <f>opex_orig!BK72</f>
        <v>6.7172200000000003E-4</v>
      </c>
      <c r="BU72" s="188">
        <f>opex_orig!BL72</f>
        <v>0</v>
      </c>
      <c r="BV72" s="27">
        <f>opex_orig!BM72</f>
        <v>1.07517037399245E-4</v>
      </c>
      <c r="BW72" s="27">
        <f>opex_orig!BN72</f>
        <v>1.28061120760397E-4</v>
      </c>
      <c r="BX72" s="27">
        <f>opex_orig!BO72</f>
        <v>3.7359507441653502E-5</v>
      </c>
      <c r="BY72" s="27">
        <f>opex_orig!BP72</f>
        <v>6.5008470155944895E-5</v>
      </c>
      <c r="BZ72" s="27">
        <f>opex_orig!BQ72</f>
        <v>9.2947818615565501E-5</v>
      </c>
      <c r="CA72" s="27">
        <f>opex_orig!BR72</f>
        <v>4.7811713463229703E-4</v>
      </c>
      <c r="CB72" s="27">
        <f>opex_orig!BS72</f>
        <v>3.8160624199342702E-4</v>
      </c>
      <c r="CC72" s="27">
        <f>opex_orig!BT72</f>
        <v>1.7744483794178999E-5</v>
      </c>
      <c r="CD72" s="27">
        <f>opex_orig!BU72</f>
        <v>3.0641345521258198E-5</v>
      </c>
      <c r="CE72" s="27">
        <f>opex_orig!BV72</f>
        <v>3.06413455212583E-5</v>
      </c>
      <c r="CF72" s="27">
        <f>opex_orig!BW72</f>
        <v>6.9488299515219304E-5</v>
      </c>
      <c r="CG72" s="27">
        <f>opex_orig!BX72</f>
        <v>7.5323351436103702E-6</v>
      </c>
      <c r="CH72" s="27">
        <f>opex_orig!BY72</f>
        <v>6.4692264151334903E-6</v>
      </c>
      <c r="CI72" s="27">
        <f>opex_orig!Y72</f>
        <v>6.9575870000000003E-3</v>
      </c>
      <c r="CJ72" s="27">
        <f>opex_orig!Z72</f>
        <v>3.2061749999999999E-3</v>
      </c>
      <c r="CK72" s="27">
        <f>opex_orig!AA72</f>
        <v>2.1936199999999999E-4</v>
      </c>
      <c r="CL72" s="27">
        <f>opex_orig!AB72</f>
        <v>2.2817784509342699E-4</v>
      </c>
      <c r="CM72" s="27">
        <f>opex_orig!AC72</f>
        <v>3.82147073953366E-4</v>
      </c>
      <c r="CN72" s="27">
        <f>opex_orig!AD72</f>
        <v>4.0669151236746398E-4</v>
      </c>
      <c r="CO72" s="27">
        <f>opex_orig!AE72</f>
        <v>3.8175600000000002E-4</v>
      </c>
      <c r="CP72" s="27">
        <f>opex_orig!AF72</f>
        <v>8.9276899999999996E-4</v>
      </c>
    </row>
    <row r="73" spans="1:94" x14ac:dyDescent="0.25">
      <c r="A73" s="5" t="s">
        <v>165</v>
      </c>
      <c r="B73" s="2" t="s">
        <v>164</v>
      </c>
      <c r="C73" s="1" t="s">
        <v>329</v>
      </c>
      <c r="D73" s="188">
        <f>opex_orig!D73</f>
        <v>6.9800000000000003E-5</v>
      </c>
      <c r="E73" s="188">
        <f>opex_orig!E73</f>
        <v>4.3900000000000003E-5</v>
      </c>
      <c r="F73" s="188">
        <f>opex_orig!F73</f>
        <v>3.7400000000000001E-5</v>
      </c>
      <c r="G73" s="188">
        <f>opex_orig!G73</f>
        <v>8.3499999999999997E-6</v>
      </c>
      <c r="H73" s="188">
        <f>opex_orig!H73</f>
        <v>5.6200000000000004E-6</v>
      </c>
      <c r="I73" s="188">
        <f>opex_orig!I73</f>
        <v>1.0922299999999999E-4</v>
      </c>
      <c r="J73" s="188">
        <f>opex_orig!J73</f>
        <v>3.3403799999999999E-4</v>
      </c>
      <c r="K73" s="188">
        <f>opex_orig!K73</f>
        <v>8.4800000000000001E-6</v>
      </c>
      <c r="L73" s="188">
        <f>opex_orig!L73</f>
        <v>8.5699999999999996E-5</v>
      </c>
      <c r="M73" s="188">
        <f>opex_orig!M73</f>
        <v>2.46202E-4</v>
      </c>
      <c r="N73" s="188">
        <f>opex_orig!N73</f>
        <v>1.2403699999999999E-4</v>
      </c>
      <c r="O73" s="188">
        <f>opex_orig!O73</f>
        <v>4.3558699999999998E-4</v>
      </c>
      <c r="P73" s="188">
        <f>opex_orig!P73</f>
        <v>2.10168E-4</v>
      </c>
      <c r="Q73" s="188">
        <f>opex_orig!Q73</f>
        <v>5.5300000000000002E-5</v>
      </c>
      <c r="R73" s="188">
        <f>opex_orig!R73</f>
        <v>9.1700000000000006E-5</v>
      </c>
      <c r="S73" s="188">
        <f>opex_orig!S73</f>
        <v>4.3849200000000002E-4</v>
      </c>
      <c r="T73" s="188">
        <f>opex_orig!T73</f>
        <v>9.0171900000000004E-4</v>
      </c>
      <c r="U73" s="188">
        <f>opex_orig!U73</f>
        <v>4.45167E-4</v>
      </c>
      <c r="V73" s="188">
        <f>opex_orig!V73</f>
        <v>2.2815499999999999E-4</v>
      </c>
      <c r="W73" s="188">
        <f>opex_orig!W73</f>
        <v>3.61617E-4</v>
      </c>
      <c r="X73" s="188">
        <f>opex_orig!X73</f>
        <v>7.2299999999999996E-5</v>
      </c>
      <c r="Y73" s="188">
        <f>opex_orig!Y73</f>
        <v>1.4157899999999999E-4</v>
      </c>
      <c r="Z73" s="188">
        <f>opex_orig!Z73</f>
        <v>5.8212800000000001E-4</v>
      </c>
      <c r="AA73" s="188">
        <f>opex_orig!AA73</f>
        <v>1.380392E-3</v>
      </c>
      <c r="AB73" s="188">
        <f>opex_orig!$AB73</f>
        <v>8.2209885105279906E-5</v>
      </c>
      <c r="AC73" s="188">
        <f>opex_orig!$AB73</f>
        <v>8.2209885105279906E-5</v>
      </c>
      <c r="AD73" s="188">
        <f>opex_orig!$AB73</f>
        <v>8.2209885105279906E-5</v>
      </c>
      <c r="AE73" s="188">
        <f>opex_orig!$AC73</f>
        <v>2.3040490317185501E-4</v>
      </c>
      <c r="AF73" s="188">
        <f>opex_orig!$AD73</f>
        <v>2.1033868188510599E-4</v>
      </c>
      <c r="AG73" s="188">
        <f>opex_orig!$AD73</f>
        <v>2.1033868188510599E-4</v>
      </c>
      <c r="AH73" s="188">
        <f>opex_orig!$AD73</f>
        <v>2.1033868188510599E-4</v>
      </c>
      <c r="AI73" s="188">
        <f>opex_orig!AE73</f>
        <v>1.81039E-4</v>
      </c>
      <c r="AJ73" s="188">
        <f>opex_orig!AF73</f>
        <v>7.8177800000000001E-4</v>
      </c>
      <c r="AK73" s="188">
        <f>opex_orig!AG73</f>
        <v>1.641287E-3</v>
      </c>
      <c r="AL73" s="188">
        <f>opex_orig!AH73</f>
        <v>2.43821E-4</v>
      </c>
      <c r="AM73" s="188">
        <f>opex_orig!AI73</f>
        <v>3.3080199999999999E-4</v>
      </c>
      <c r="AN73" s="188">
        <f>opex_orig!AJ73</f>
        <v>2.4259300000000001E-4</v>
      </c>
      <c r="AO73" s="188">
        <f>opex_orig!AK73</f>
        <v>3.7314100000000001E-4</v>
      </c>
      <c r="AP73" s="188">
        <f>opex_orig!$AL73</f>
        <v>1.3711388812176E-3</v>
      </c>
      <c r="AQ73" s="188">
        <f>opex_orig!$AL73</f>
        <v>1.3711388812176E-3</v>
      </c>
      <c r="AR73" s="188">
        <f>opex_orig!$AL73</f>
        <v>1.3711388812176E-3</v>
      </c>
      <c r="AS73" s="188">
        <f>opex_orig!$AM73</f>
        <v>1.22205286226133E-3</v>
      </c>
      <c r="AT73" s="188">
        <f>opex_orig!AN73</f>
        <v>1.067681E-3</v>
      </c>
      <c r="AU73" s="293">
        <f>opex_concordance!$M$598</f>
        <v>8.0744457062183E-2</v>
      </c>
      <c r="AV73" s="293">
        <f>opex_concordance!$M$644</f>
        <v>0.10969106036017423</v>
      </c>
      <c r="AW73" s="293">
        <f>opex_concordance!$M$690</f>
        <v>8.6866267403110223E-2</v>
      </c>
      <c r="AX73" s="188">
        <f>opex_orig!$AP73</f>
        <v>9.1472464956099994E-2</v>
      </c>
      <c r="AY73" s="188">
        <f>opex_orig!AQ73</f>
        <v>1.1246446E-2</v>
      </c>
      <c r="AZ73" s="188">
        <f>opex_orig!AR73</f>
        <v>0</v>
      </c>
      <c r="BA73" s="188">
        <f>opex_orig!AS73</f>
        <v>8.1897580000000001E-3</v>
      </c>
      <c r="BB73" s="188">
        <f>opex_orig!AT73</f>
        <v>6.3239589999999997E-3</v>
      </c>
      <c r="BC73" s="188">
        <f>opex_orig!AU73</f>
        <v>1.8705100000000001E-4</v>
      </c>
      <c r="BD73" s="188">
        <f>opex_orig!AV73</f>
        <v>1.35656E-4</v>
      </c>
      <c r="BE73" s="188">
        <f>opex_orig!AW73</f>
        <v>3.229581E-3</v>
      </c>
      <c r="BF73" s="188">
        <f>opex_orig!AX73</f>
        <v>0</v>
      </c>
      <c r="BG73" s="188">
        <f>opex_orig!AY73</f>
        <v>3.712187E-3</v>
      </c>
      <c r="BH73" s="188">
        <f>opex_orig!AZ73</f>
        <v>0</v>
      </c>
      <c r="BI73" s="188">
        <f>opex_orig!BA73</f>
        <v>5.5974673000000003E-2</v>
      </c>
      <c r="BJ73" s="188">
        <f>opex_orig!BB73</f>
        <v>2.4749489999999999E-2</v>
      </c>
      <c r="BK73" s="188">
        <f>opex_orig!BC73</f>
        <v>2.5519822000000001E-2</v>
      </c>
      <c r="BL73" s="188">
        <f>opex_orig!BD73</f>
        <v>2.5674200000000002E-4</v>
      </c>
      <c r="BM73" s="188">
        <f>opex_orig!BE73</f>
        <v>1.6142452000000002E-2</v>
      </c>
      <c r="BN73" s="188">
        <f>opex_orig!BF73</f>
        <v>2.3090299999999999E-4</v>
      </c>
      <c r="BO73" s="188">
        <f>opex_orig!BG73</f>
        <v>2.114758E-3</v>
      </c>
      <c r="BP73" s="325">
        <f>opex_concordance!M96</f>
        <v>6.2569182009794399E-3</v>
      </c>
      <c r="BQ73" s="325">
        <f>opex_concordance!M139</f>
        <v>4.0075743132071632E-3</v>
      </c>
      <c r="BR73" s="188">
        <f>opex_orig!BI73</f>
        <v>1.9938232E-2</v>
      </c>
      <c r="BS73" s="188">
        <f>opex_orig!BJ73</f>
        <v>7.3013380000000001E-3</v>
      </c>
      <c r="BT73" s="188">
        <f>opex_orig!BK73</f>
        <v>8.1315428999999995E-2</v>
      </c>
      <c r="BU73" s="188">
        <f>opex_orig!BL73</f>
        <v>0</v>
      </c>
      <c r="BV73" s="27">
        <f>opex_orig!BM73</f>
        <v>5.1633938331711599E-4</v>
      </c>
      <c r="BW73" s="27">
        <f>opex_orig!BN73</f>
        <v>9.0181707925569398E-4</v>
      </c>
      <c r="BX73" s="27">
        <f>opex_orig!BO73</f>
        <v>6.72890672352809E-5</v>
      </c>
      <c r="BY73" s="27">
        <f>opex_orig!BP73</f>
        <v>1.11595263486389E-4</v>
      </c>
      <c r="BZ73" s="27">
        <f>opex_orig!BQ73</f>
        <v>1.06460225429765E-4</v>
      </c>
      <c r="CA73" s="27">
        <f>opex_orig!BR73</f>
        <v>1.2278883803686E-3</v>
      </c>
      <c r="CB73" s="27">
        <f>opex_orig!BS73</f>
        <v>9.5417962627337202E-4</v>
      </c>
      <c r="CC73" s="27">
        <f>opex_orig!BT73</f>
        <v>6.3920031629681104E-4</v>
      </c>
      <c r="CD73" s="27">
        <f>opex_orig!BU73</f>
        <v>1.7095589690078399E-5</v>
      </c>
      <c r="CE73" s="27">
        <f>opex_orig!BV73</f>
        <v>1.7095589690078399E-5</v>
      </c>
      <c r="CF73" s="27">
        <f>opex_orig!BW73</f>
        <v>9.3440510585250606E-5</v>
      </c>
      <c r="CG73" s="27">
        <f>opex_orig!BX73</f>
        <v>1.40087304032452E-5</v>
      </c>
      <c r="CH73" s="27">
        <f>opex_orig!BY73</f>
        <v>3.8266351879052598E-5</v>
      </c>
      <c r="CI73" s="27">
        <f>opex_orig!Y73</f>
        <v>1.4157899999999999E-4</v>
      </c>
      <c r="CJ73" s="27">
        <f>opex_orig!Z73</f>
        <v>5.8212800000000001E-4</v>
      </c>
      <c r="CK73" s="27">
        <f>opex_orig!AA73</f>
        <v>1.380392E-3</v>
      </c>
      <c r="CL73" s="27">
        <f>opex_orig!AB73</f>
        <v>8.2209885105279906E-5</v>
      </c>
      <c r="CM73" s="27">
        <f>opex_orig!AC73</f>
        <v>2.3040490317185501E-4</v>
      </c>
      <c r="CN73" s="27">
        <f>opex_orig!AD73</f>
        <v>2.1033868188510599E-4</v>
      </c>
      <c r="CO73" s="27">
        <f>opex_orig!AE73</f>
        <v>1.81039E-4</v>
      </c>
      <c r="CP73" s="27">
        <f>opex_orig!AF73</f>
        <v>7.8177800000000001E-4</v>
      </c>
    </row>
    <row r="74" spans="1:94" x14ac:dyDescent="0.25">
      <c r="A74" s="5" t="s">
        <v>167</v>
      </c>
      <c r="B74" s="2" t="s">
        <v>166</v>
      </c>
      <c r="C74" s="1" t="s">
        <v>329</v>
      </c>
      <c r="D74" s="188">
        <f>opex_orig!D74</f>
        <v>7.1000000000000005E-5</v>
      </c>
      <c r="E74" s="188">
        <f>opex_orig!E74</f>
        <v>2.5599999999999999E-5</v>
      </c>
      <c r="F74" s="188">
        <f>opex_orig!F74</f>
        <v>1.56E-5</v>
      </c>
      <c r="G74" s="188">
        <f>opex_orig!G74</f>
        <v>1.44E-6</v>
      </c>
      <c r="H74" s="188">
        <f>opex_orig!H74</f>
        <v>3.4800000000000001E-6</v>
      </c>
      <c r="I74" s="188">
        <f>opex_orig!I74</f>
        <v>6.4599999999999998E-5</v>
      </c>
      <c r="J74" s="188">
        <f>opex_orig!J74</f>
        <v>4.9200000000000003E-5</v>
      </c>
      <c r="K74" s="188">
        <f>opex_orig!K74</f>
        <v>4.5499999999999996E-6</v>
      </c>
      <c r="L74" s="188">
        <f>opex_orig!L74</f>
        <v>4.3000000000000002E-5</v>
      </c>
      <c r="M74" s="188">
        <f>opex_orig!M74</f>
        <v>1.37472E-4</v>
      </c>
      <c r="N74" s="188">
        <f>opex_orig!N74</f>
        <v>6.3899999999999995E-5</v>
      </c>
      <c r="O74" s="188">
        <f>opex_orig!O74</f>
        <v>2.26827E-4</v>
      </c>
      <c r="P74" s="188">
        <f>opex_orig!P74</f>
        <v>1.18941E-4</v>
      </c>
      <c r="Q74" s="188">
        <f>opex_orig!Q74</f>
        <v>2.55E-5</v>
      </c>
      <c r="R74" s="188">
        <f>opex_orig!R74</f>
        <v>4.21E-5</v>
      </c>
      <c r="S74" s="188">
        <f>opex_orig!S74</f>
        <v>2.4388400000000001E-4</v>
      </c>
      <c r="T74" s="188">
        <f>opex_orig!T74</f>
        <v>5.55865E-4</v>
      </c>
      <c r="U74" s="188">
        <f>opex_orig!U74</f>
        <v>2.60766E-4</v>
      </c>
      <c r="V74" s="188">
        <f>opex_orig!V74</f>
        <v>9.8999999999999994E-5</v>
      </c>
      <c r="W74" s="188">
        <f>opex_orig!W74</f>
        <v>1.9688799999999999E-4</v>
      </c>
      <c r="X74" s="188">
        <f>opex_orig!X74</f>
        <v>4.4299999999999999E-5</v>
      </c>
      <c r="Y74" s="188">
        <f>opex_orig!Y74</f>
        <v>6.3800000000000006E-5</v>
      </c>
      <c r="Z74" s="188">
        <f>opex_orig!Z74</f>
        <v>3.6772399999999999E-4</v>
      </c>
      <c r="AA74" s="188">
        <f>opex_orig!AA74</f>
        <v>6.4627900000000004E-4</v>
      </c>
      <c r="AB74" s="188">
        <f>opex_orig!$AB74</f>
        <v>2.3434888237944002E-5</v>
      </c>
      <c r="AC74" s="188">
        <f>opex_orig!$AB74</f>
        <v>2.3434888237944002E-5</v>
      </c>
      <c r="AD74" s="188">
        <f>opex_orig!$AB74</f>
        <v>2.3434888237944002E-5</v>
      </c>
      <c r="AE74" s="188">
        <f>opex_orig!$AC74</f>
        <v>6.12612839228334E-5</v>
      </c>
      <c r="AF74" s="188">
        <f>opex_orig!$AD74</f>
        <v>7.8473932878503997E-5</v>
      </c>
      <c r="AG74" s="188">
        <f>opex_orig!$AD74</f>
        <v>7.8473932878503997E-5</v>
      </c>
      <c r="AH74" s="188">
        <f>opex_orig!$AD74</f>
        <v>7.8473932878503997E-5</v>
      </c>
      <c r="AI74" s="188">
        <f>opex_orig!AE74</f>
        <v>7.5699999999999997E-5</v>
      </c>
      <c r="AJ74" s="188">
        <f>opex_orig!AF74</f>
        <v>3.8081500000000001E-4</v>
      </c>
      <c r="AK74" s="188">
        <f>opex_orig!AG74</f>
        <v>7.7777499999999997E-4</v>
      </c>
      <c r="AL74" s="188">
        <f>opex_orig!AH74</f>
        <v>1.2599700000000001E-4</v>
      </c>
      <c r="AM74" s="188">
        <f>opex_orig!AI74</f>
        <v>1.6508500000000001E-4</v>
      </c>
      <c r="AN74" s="188">
        <f>opex_orig!AJ74</f>
        <v>1.24015E-4</v>
      </c>
      <c r="AO74" s="188">
        <f>opex_orig!AK74</f>
        <v>1.89865E-4</v>
      </c>
      <c r="AP74" s="188">
        <f>opex_orig!$AL74</f>
        <v>6.5942450289757995E-4</v>
      </c>
      <c r="AQ74" s="188">
        <f>opex_orig!$AL74</f>
        <v>6.5942450289757995E-4</v>
      </c>
      <c r="AR74" s="188">
        <f>opex_orig!$AL74</f>
        <v>6.5942450289757995E-4</v>
      </c>
      <c r="AS74" s="188">
        <f>opex_orig!$AM74</f>
        <v>5.8811940732029599E-4</v>
      </c>
      <c r="AT74" s="188">
        <f>opex_orig!AN74</f>
        <v>5.1941599999999997E-4</v>
      </c>
      <c r="AU74" s="310">
        <f>opex_concordance!M592</f>
        <v>3.8264487147094399E-2</v>
      </c>
      <c r="AV74" s="310">
        <f>opex_concordance!M638</f>
        <v>0</v>
      </c>
      <c r="AW74" s="310">
        <f>opex_concordance!M684</f>
        <v>3.1717906953443897E-2</v>
      </c>
      <c r="AX74" s="188">
        <f>opex_orig!$AP74</f>
        <v>4.3348898814086698E-2</v>
      </c>
      <c r="AY74" s="188">
        <f>opex_orig!AQ74</f>
        <v>5.3217890000000004E-3</v>
      </c>
      <c r="AZ74" s="188">
        <f>opex_orig!AR74</f>
        <v>0</v>
      </c>
      <c r="BA74" s="188">
        <f>opex_orig!AS74</f>
        <v>3.9084599999999999E-3</v>
      </c>
      <c r="BB74" s="188">
        <f>opex_orig!AT74</f>
        <v>3.0096480000000002E-3</v>
      </c>
      <c r="BC74" s="188">
        <f>opex_orig!AU74</f>
        <v>9.2100000000000003E-5</v>
      </c>
      <c r="BD74" s="188">
        <f>opex_orig!AV74</f>
        <v>6.2399999999999999E-5</v>
      </c>
      <c r="BE74" s="188">
        <f>opex_orig!AW74</f>
        <v>1.554136E-3</v>
      </c>
      <c r="BF74" s="188">
        <f>opex_orig!AX74</f>
        <v>0</v>
      </c>
      <c r="BG74" s="188">
        <f>opex_orig!AY74</f>
        <v>1.7116430000000001E-3</v>
      </c>
      <c r="BH74" s="188">
        <f>opex_orig!AZ74</f>
        <v>0</v>
      </c>
      <c r="BI74" s="188">
        <f>opex_orig!BA74</f>
        <v>2.6564634E-2</v>
      </c>
      <c r="BJ74" s="188">
        <f>opex_orig!BB74</f>
        <v>1.168133E-2</v>
      </c>
      <c r="BK74" s="188">
        <f>opex_orig!BC74</f>
        <v>1.2074550999999999E-2</v>
      </c>
      <c r="BL74" s="188">
        <f>opex_orig!BD74</f>
        <v>1.19852E-4</v>
      </c>
      <c r="BM74" s="188">
        <f>opex_orig!BE74</f>
        <v>7.6618449999999996E-3</v>
      </c>
      <c r="BN74" s="188">
        <f>opex_orig!BF74</f>
        <v>1.02138E-4</v>
      </c>
      <c r="BO74" s="188">
        <f>opex_orig!BG74</f>
        <v>9.9728399999999997E-4</v>
      </c>
      <c r="BP74" s="188">
        <f>opex_orig!$BH74</f>
        <v>2.9570541983872101E-3</v>
      </c>
      <c r="BQ74" s="188">
        <f>opex_orig!$BH74</f>
        <v>2.9570541983872101E-3</v>
      </c>
      <c r="BR74" s="188">
        <f>opex_orig!BI74</f>
        <v>9.4803969999999998E-3</v>
      </c>
      <c r="BS74" s="188">
        <f>opex_orig!BJ74</f>
        <v>3.4514609999999999E-3</v>
      </c>
      <c r="BT74" s="188">
        <f>opex_orig!BK74</f>
        <v>3.8569724E-2</v>
      </c>
      <c r="BU74" s="188">
        <f>opex_orig!BL74</f>
        <v>0</v>
      </c>
      <c r="BV74" s="27">
        <f>opex_orig!BM74</f>
        <v>3.7153578291141E-4</v>
      </c>
      <c r="BW74" s="27">
        <f>opex_orig!BN74</f>
        <v>6.5106237413209498E-4</v>
      </c>
      <c r="BX74" s="27">
        <f>opex_orig!BO74</f>
        <v>4.1330898842490603E-5</v>
      </c>
      <c r="BY74" s="27">
        <f>opex_orig!BP74</f>
        <v>7.4063263186285901E-5</v>
      </c>
      <c r="BZ74" s="27">
        <f>opex_orig!BQ74</f>
        <v>7.0347684173982601E-5</v>
      </c>
      <c r="CA74" s="27">
        <f>opex_orig!BR74</f>
        <v>4.9547859264665705E-4</v>
      </c>
      <c r="CB74" s="27">
        <f>opex_orig!BS74</f>
        <v>7.0971671469784202E-4</v>
      </c>
      <c r="CC74" s="27">
        <f>opex_orig!BT74</f>
        <v>1.40891249272068E-4</v>
      </c>
      <c r="CD74" s="27">
        <f>opex_orig!BU74</f>
        <v>1.0439632655583901E-5</v>
      </c>
      <c r="CE74" s="27">
        <f>opex_orig!BV74</f>
        <v>1.0439632655583901E-5</v>
      </c>
      <c r="CF74" s="27">
        <f>opex_orig!BW74</f>
        <v>2.12510103323914E-4</v>
      </c>
      <c r="CG74" s="27">
        <f>opex_orig!BX74</f>
        <v>1.03027707416684E-5</v>
      </c>
      <c r="CH74" s="27">
        <f>opex_orig!BY74</f>
        <v>2.1122474607704302E-5</v>
      </c>
      <c r="CI74" s="27">
        <f>opex_orig!Y74</f>
        <v>6.3800000000000006E-5</v>
      </c>
      <c r="CJ74" s="27">
        <f>opex_orig!Z74</f>
        <v>3.6772399999999999E-4</v>
      </c>
      <c r="CK74" s="27">
        <f>opex_orig!AA74</f>
        <v>6.4627900000000004E-4</v>
      </c>
      <c r="CL74" s="27">
        <f>opex_orig!AB74</f>
        <v>2.3434888237944002E-5</v>
      </c>
      <c r="CM74" s="27">
        <f>opex_orig!AC74</f>
        <v>6.12612839228334E-5</v>
      </c>
      <c r="CN74" s="27">
        <f>opex_orig!AD74</f>
        <v>7.8473932878503997E-5</v>
      </c>
      <c r="CO74" s="27">
        <f>opex_orig!AE74</f>
        <v>7.5699999999999997E-5</v>
      </c>
      <c r="CP74" s="27">
        <f>opex_orig!AF74</f>
        <v>3.8081500000000001E-4</v>
      </c>
    </row>
    <row r="75" spans="1:94" x14ac:dyDescent="0.25">
      <c r="A75" s="5" t="s">
        <v>169</v>
      </c>
      <c r="B75" s="2" t="s">
        <v>168</v>
      </c>
      <c r="C75" s="1" t="s">
        <v>329</v>
      </c>
      <c r="D75" s="188">
        <f>opex_orig!D75</f>
        <v>3.3000000000000003E-5</v>
      </c>
      <c r="E75" s="188">
        <f>opex_orig!E75</f>
        <v>1.2099999999999999E-5</v>
      </c>
      <c r="F75" s="188">
        <f>opex_orig!F75</f>
        <v>1.08E-5</v>
      </c>
      <c r="G75" s="188">
        <f>opex_orig!G75</f>
        <v>1.48E-6</v>
      </c>
      <c r="H75" s="188">
        <f>opex_orig!H75</f>
        <v>2.6900000000000001E-6</v>
      </c>
      <c r="I75" s="188">
        <f>opex_orig!I75</f>
        <v>2.05E-5</v>
      </c>
      <c r="J75" s="188">
        <f>opex_orig!J75</f>
        <v>2.0699999999999998E-5</v>
      </c>
      <c r="K75" s="188">
        <f>opex_orig!K75</f>
        <v>3.2100000000000002E-6</v>
      </c>
      <c r="L75" s="188">
        <f>opex_orig!L75</f>
        <v>1.4800000000000001E-5</v>
      </c>
      <c r="M75" s="188">
        <f>opex_orig!M75</f>
        <v>3.4100000000000002E-5</v>
      </c>
      <c r="N75" s="188">
        <f>opex_orig!N75</f>
        <v>5.1900000000000001E-5</v>
      </c>
      <c r="O75" s="188">
        <f>opex_orig!O75</f>
        <v>2.3900000000000002E-5</v>
      </c>
      <c r="P75" s="188">
        <f>opex_orig!P75</f>
        <v>4.4400000000000002E-5</v>
      </c>
      <c r="Q75" s="188">
        <f>opex_orig!Q75</f>
        <v>2.0000000000000002E-5</v>
      </c>
      <c r="R75" s="188">
        <f>opex_orig!R75</f>
        <v>1.9000000000000001E-5</v>
      </c>
      <c r="S75" s="188">
        <f>opex_orig!S75</f>
        <v>6.41E-5</v>
      </c>
      <c r="T75" s="188">
        <f>opex_orig!T75</f>
        <v>1.56057E-4</v>
      </c>
      <c r="U75" s="188">
        <f>opex_orig!U75</f>
        <v>8.1899999999999999E-5</v>
      </c>
      <c r="V75" s="188">
        <f>opex_orig!V75</f>
        <v>4.2500000000000003E-5</v>
      </c>
      <c r="W75" s="188">
        <f>opex_orig!W75</f>
        <v>5.4700000000000001E-5</v>
      </c>
      <c r="X75" s="188">
        <f>opex_orig!X75</f>
        <v>1.8700000000000001E-5</v>
      </c>
      <c r="Y75" s="188">
        <f>opex_orig!Y75</f>
        <v>1.3499999999999999E-5</v>
      </c>
      <c r="Z75" s="188">
        <f>opex_orig!Z75</f>
        <v>1.2746599999999999E-4</v>
      </c>
      <c r="AA75" s="188">
        <f>opex_orig!AA75</f>
        <v>5.7899999999999998E-5</v>
      </c>
      <c r="AB75" s="188">
        <f>opex_orig!$AB75</f>
        <v>7.9378699999555104E-5</v>
      </c>
      <c r="AC75" s="188">
        <f>opex_orig!$AB75</f>
        <v>7.9378699999555104E-5</v>
      </c>
      <c r="AD75" s="188">
        <f>opex_orig!$AB75</f>
        <v>7.9378699999555104E-5</v>
      </c>
      <c r="AE75" s="188">
        <f>opex_orig!$AC75</f>
        <v>1.3264968348479099E-4</v>
      </c>
      <c r="AF75" s="188">
        <f>opex_orig!$AD75</f>
        <v>4.2160929128266E-5</v>
      </c>
      <c r="AG75" s="188">
        <f>opex_orig!$AD75</f>
        <v>4.2160929128266E-5</v>
      </c>
      <c r="AH75" s="188">
        <f>opex_orig!$AD75</f>
        <v>4.2160929128266E-5</v>
      </c>
      <c r="AI75" s="188">
        <f>opex_orig!AE75</f>
        <v>3.3300000000000003E-5</v>
      </c>
      <c r="AJ75" s="188">
        <f>opex_orig!AF75</f>
        <v>3.3915799999999999E-4</v>
      </c>
      <c r="AK75" s="188">
        <f>opex_orig!AG75</f>
        <v>9.2399999999999996E-5</v>
      </c>
      <c r="AL75" s="188">
        <f>opex_orig!AH75</f>
        <v>5.4299999999999998E-5</v>
      </c>
      <c r="AM75" s="188">
        <f>opex_orig!AI75</f>
        <v>5.4599999999999999E-5</v>
      </c>
      <c r="AN75" s="188">
        <f>opex_orig!AJ75</f>
        <v>5.2599999999999998E-5</v>
      </c>
      <c r="AO75" s="188">
        <f>opex_orig!AK75</f>
        <v>6.5199999999999999E-5</v>
      </c>
      <c r="AP75" s="188">
        <f>opex_orig!$AL75</f>
        <v>3.8111883365890102E-5</v>
      </c>
      <c r="AQ75" s="188">
        <f>opex_orig!$AL75</f>
        <v>3.8111883365890102E-5</v>
      </c>
      <c r="AR75" s="188">
        <f>opex_orig!$AL75</f>
        <v>3.8111883365890102E-5</v>
      </c>
      <c r="AS75" s="188">
        <f>opex_orig!$AM75</f>
        <v>4.6658506987569601E-5</v>
      </c>
      <c r="AT75" s="188">
        <f>opex_orig!AN75</f>
        <v>7.1099999999999994E-5</v>
      </c>
      <c r="AU75" s="188">
        <f>opex_orig!$AO75</f>
        <v>1.4137271464666399E-4</v>
      </c>
      <c r="AV75" s="188">
        <f>opex_orig!$AO75</f>
        <v>1.4137271464666399E-4</v>
      </c>
      <c r="AW75" s="188">
        <f>opex_orig!$AO75</f>
        <v>1.4137271464666399E-4</v>
      </c>
      <c r="AX75" s="188">
        <f>opex_orig!$AP75</f>
        <v>1.37746433714706E-4</v>
      </c>
      <c r="AY75" s="188">
        <f>opex_orig!AQ75</f>
        <v>0.17711449900000001</v>
      </c>
      <c r="AZ75" s="188">
        <f>opex_orig!AR75</f>
        <v>0</v>
      </c>
      <c r="BA75" s="188">
        <f>opex_orig!AS75</f>
        <v>1.49433E-4</v>
      </c>
      <c r="BB75" s="188">
        <f>opex_orig!AT75</f>
        <v>1.09885E-4</v>
      </c>
      <c r="BC75" s="188">
        <f>opex_orig!AU75</f>
        <v>3.7499999999999997E-5</v>
      </c>
      <c r="BD75" s="188">
        <f>opex_orig!AV75</f>
        <v>2.8900000000000001E-5</v>
      </c>
      <c r="BE75" s="188">
        <f>opex_orig!AW75</f>
        <v>1.02692E-4</v>
      </c>
      <c r="BF75" s="188">
        <f>opex_orig!AX75</f>
        <v>0</v>
      </c>
      <c r="BG75" s="188">
        <f>opex_orig!AY75</f>
        <v>1.56809E-4</v>
      </c>
      <c r="BH75" s="188">
        <f>opex_orig!AZ75</f>
        <v>0</v>
      </c>
      <c r="BI75" s="188">
        <f>opex_orig!BA75</f>
        <v>2.8521689999999999E-2</v>
      </c>
      <c r="BJ75" s="188">
        <f>opex_orig!BB75</f>
        <v>3.7446700000000002E-4</v>
      </c>
      <c r="BK75" s="188">
        <f>opex_orig!BC75</f>
        <v>4.8566599999999999E-4</v>
      </c>
      <c r="BL75" s="188">
        <f>opex_orig!BD75</f>
        <v>3.2400000000000001E-5</v>
      </c>
      <c r="BM75" s="188">
        <f>opex_orig!BE75</f>
        <v>2.3217499999999999E-4</v>
      </c>
      <c r="BN75" s="188">
        <f>opex_orig!BF75</f>
        <v>3.1900000000000003E-5</v>
      </c>
      <c r="BO75" s="188">
        <f>opex_orig!BG75</f>
        <v>6.1727500000000003E-4</v>
      </c>
      <c r="BP75" s="188">
        <f>opex_orig!$BH75</f>
        <v>5.85338013947898E-5</v>
      </c>
      <c r="BQ75" s="188">
        <f>opex_orig!$BH75</f>
        <v>5.85338013947898E-5</v>
      </c>
      <c r="BR75" s="188">
        <f>opex_orig!BI75</f>
        <v>1.8202100000000001E-4</v>
      </c>
      <c r="BS75" s="188">
        <f>opex_orig!BJ75</f>
        <v>3.4224540000000001E-3</v>
      </c>
      <c r="BT75" s="188">
        <f>opex_orig!BK75</f>
        <v>3.0333249999999999E-3</v>
      </c>
      <c r="BU75" s="188">
        <f>opex_orig!BL75</f>
        <v>0</v>
      </c>
      <c r="BV75" s="27">
        <f>opex_orig!BM75</f>
        <v>1.11174648293529E-4</v>
      </c>
      <c r="BW75" s="27">
        <f>opex_orig!BN75</f>
        <v>2.2449300693183101E-4</v>
      </c>
      <c r="BX75" s="27">
        <f>opex_orig!BO75</f>
        <v>1.46862184936399E-5</v>
      </c>
      <c r="BY75" s="27">
        <f>opex_orig!BP75</f>
        <v>4.8980379473657597E-5</v>
      </c>
      <c r="BZ75" s="27">
        <f>opex_orig!BQ75</f>
        <v>6.5432675878094505E-5</v>
      </c>
      <c r="CA75" s="27">
        <f>opex_orig!BR75</f>
        <v>1.4883156345243201E-5</v>
      </c>
      <c r="CB75" s="27">
        <f>opex_orig!BS75</f>
        <v>2.23083075881263E-4</v>
      </c>
      <c r="CC75" s="27">
        <f>opex_orig!BT75</f>
        <v>1.8879571229497399E-5</v>
      </c>
      <c r="CD75" s="27">
        <f>opex_orig!BU75</f>
        <v>3.89755449213673E-6</v>
      </c>
      <c r="CE75" s="27">
        <f>opex_orig!BV75</f>
        <v>3.8975544921367402E-6</v>
      </c>
      <c r="CF75" s="27">
        <f>opex_orig!BW75</f>
        <v>3.0121470694630501E-5</v>
      </c>
      <c r="CG75" s="27">
        <f>opex_orig!BX75</f>
        <v>4.7132545535384597E-6</v>
      </c>
      <c r="CH75" s="27">
        <f>opex_orig!BY75</f>
        <v>2.3819706953741099E-5</v>
      </c>
      <c r="CI75" s="27">
        <f>opex_orig!Y75</f>
        <v>1.3499999999999999E-5</v>
      </c>
      <c r="CJ75" s="27">
        <f>opex_orig!Z75</f>
        <v>1.2746599999999999E-4</v>
      </c>
      <c r="CK75" s="27">
        <f>opex_orig!AA75</f>
        <v>5.7899999999999998E-5</v>
      </c>
      <c r="CL75" s="27">
        <f>opex_orig!AB75</f>
        <v>7.9378699999555104E-5</v>
      </c>
      <c r="CM75" s="27">
        <f>opex_orig!AC75</f>
        <v>1.3264968348479099E-4</v>
      </c>
      <c r="CN75" s="27">
        <f>opex_orig!AD75</f>
        <v>4.2160929128266E-5</v>
      </c>
      <c r="CO75" s="27">
        <f>opex_orig!AE75</f>
        <v>3.3300000000000003E-5</v>
      </c>
      <c r="CP75" s="27">
        <f>opex_orig!AF75</f>
        <v>3.3915799999999999E-4</v>
      </c>
    </row>
    <row r="76" spans="1:94" x14ac:dyDescent="0.25">
      <c r="A76" s="5" t="s">
        <v>171</v>
      </c>
      <c r="B76" s="2" t="s">
        <v>170</v>
      </c>
      <c r="C76" s="1" t="s">
        <v>329</v>
      </c>
      <c r="D76" s="188">
        <f>opex_orig!D76</f>
        <v>6.96E-9</v>
      </c>
      <c r="E76" s="188">
        <f>opex_orig!E76</f>
        <v>1.7800000000000001E-9</v>
      </c>
      <c r="F76" s="188">
        <f>opex_orig!F76</f>
        <v>4.5299999999999999E-9</v>
      </c>
      <c r="G76" s="188">
        <f>opex_orig!G76</f>
        <v>1.8400000000000001E-10</v>
      </c>
      <c r="H76" s="188">
        <f>opex_orig!H76</f>
        <v>3.58E-10</v>
      </c>
      <c r="I76" s="188">
        <f>opex_orig!I76</f>
        <v>3.46E-9</v>
      </c>
      <c r="J76" s="188">
        <f>opex_orig!J76</f>
        <v>1.5400000000000001E-9</v>
      </c>
      <c r="K76" s="188">
        <f>opex_orig!K76</f>
        <v>4.64E-10</v>
      </c>
      <c r="L76" s="188">
        <f>opex_orig!L76</f>
        <v>3.5699999999999999E-9</v>
      </c>
      <c r="M76" s="188">
        <f>opex_orig!M76</f>
        <v>1.04E-8</v>
      </c>
      <c r="N76" s="188">
        <f>opex_orig!N76</f>
        <v>7.7900000000000006E-9</v>
      </c>
      <c r="O76" s="188">
        <f>opex_orig!O76</f>
        <v>2.0799999999999998E-9</v>
      </c>
      <c r="P76" s="188">
        <f>opex_orig!P76</f>
        <v>2.4599999999999999E-8</v>
      </c>
      <c r="Q76" s="188">
        <f>opex_orig!Q76</f>
        <v>3.3000000000000002E-9</v>
      </c>
      <c r="R76" s="188">
        <f>opex_orig!R76</f>
        <v>1.8299999999999998E-8</v>
      </c>
      <c r="S76" s="188">
        <f>opex_orig!S76</f>
        <v>1.13E-8</v>
      </c>
      <c r="T76" s="188">
        <f>opex_orig!T76</f>
        <v>1.2100000000000001E-8</v>
      </c>
      <c r="U76" s="188">
        <f>opex_orig!U76</f>
        <v>9.4899999999999993E-9</v>
      </c>
      <c r="V76" s="188">
        <f>opex_orig!V76</f>
        <v>1.03E-8</v>
      </c>
      <c r="W76" s="188">
        <f>opex_orig!W76</f>
        <v>1.55E-8</v>
      </c>
      <c r="X76" s="188">
        <f>opex_orig!X76</f>
        <v>1.1700000000000001E-9</v>
      </c>
      <c r="Y76" s="188">
        <f>opex_orig!Y76</f>
        <v>4.0499999999999999E-9</v>
      </c>
      <c r="Z76" s="188">
        <f>opex_orig!Z76</f>
        <v>8.7299999999999994E-9</v>
      </c>
      <c r="AA76" s="188">
        <f>opex_orig!AA76</f>
        <v>2.5200000000000001E-8</v>
      </c>
      <c r="AB76" s="188">
        <f>opex_orig!$AB76</f>
        <v>4.1058205390244502E-9</v>
      </c>
      <c r="AC76" s="188">
        <f>opex_orig!$AB76</f>
        <v>4.1058205390244502E-9</v>
      </c>
      <c r="AD76" s="188">
        <f>opex_orig!$AB76</f>
        <v>4.1058205390244502E-9</v>
      </c>
      <c r="AE76" s="188">
        <f>opex_orig!$AC76</f>
        <v>6.2561078037399999E-9</v>
      </c>
      <c r="AF76" s="188">
        <f>opex_orig!$AD76</f>
        <v>1.0163879830782401E-9</v>
      </c>
      <c r="AG76" s="188">
        <f>opex_orig!$AD76</f>
        <v>1.0163879830782401E-9</v>
      </c>
      <c r="AH76" s="188">
        <f>opex_orig!$AD76</f>
        <v>1.0163879830782401E-9</v>
      </c>
      <c r="AI76" s="188">
        <f>opex_orig!AE76</f>
        <v>9.4800000000000004E-10</v>
      </c>
      <c r="AJ76" s="188">
        <f>opex_orig!AF76</f>
        <v>5.5199999999999997E-7</v>
      </c>
      <c r="AK76" s="188">
        <f>opex_orig!AG76</f>
        <v>1.5900000000000001E-7</v>
      </c>
      <c r="AL76" s="188">
        <f>opex_orig!AH76</f>
        <v>1.24E-8</v>
      </c>
      <c r="AM76" s="188">
        <f>opex_orig!AI76</f>
        <v>1.7100000000000001E-8</v>
      </c>
      <c r="AN76" s="188">
        <f>opex_orig!AJ76</f>
        <v>1.1700000000000001E-8</v>
      </c>
      <c r="AO76" s="188">
        <f>opex_orig!AK76</f>
        <v>1.7900000000000001E-8</v>
      </c>
      <c r="AP76" s="188">
        <f>opex_orig!$AL76</f>
        <v>1.11923180324565E-8</v>
      </c>
      <c r="AQ76" s="188">
        <f>opex_orig!$AL76</f>
        <v>1.11923180324565E-8</v>
      </c>
      <c r="AR76" s="188">
        <f>opex_orig!$AL76</f>
        <v>1.11923180324565E-8</v>
      </c>
      <c r="AS76" s="188">
        <f>opex_orig!$AM76</f>
        <v>1.02703159432469E-8</v>
      </c>
      <c r="AT76" s="188">
        <f>opex_orig!AN76</f>
        <v>2.4E-8</v>
      </c>
      <c r="AU76" s="188">
        <f>opex_orig!$AO76</f>
        <v>1.2819430444289101E-7</v>
      </c>
      <c r="AV76" s="188">
        <f>opex_orig!$AO76</f>
        <v>1.2819430444289101E-7</v>
      </c>
      <c r="AW76" s="188">
        <f>opex_orig!$AO76</f>
        <v>1.2819430444289101E-7</v>
      </c>
      <c r="AX76" s="188">
        <f>opex_orig!$AP76</f>
        <v>1.4335559861317099E-7</v>
      </c>
      <c r="AY76" s="188">
        <f>opex_orig!AQ76</f>
        <v>6.8700000000000003E-5</v>
      </c>
      <c r="AZ76" s="188">
        <f>opex_orig!AR76</f>
        <v>0</v>
      </c>
      <c r="BA76" s="188">
        <f>opex_orig!AS76</f>
        <v>7.6799999999999999E-8</v>
      </c>
      <c r="BB76" s="188">
        <f>opex_orig!AT76</f>
        <v>6.87E-8</v>
      </c>
      <c r="BC76" s="188">
        <f>opex_orig!AU76</f>
        <v>7.1099999999999996E-9</v>
      </c>
      <c r="BD76" s="188">
        <f>opex_orig!AV76</f>
        <v>5.2199999999999998E-9</v>
      </c>
      <c r="BE76" s="188">
        <f>opex_orig!AW76</f>
        <v>3.1E-7</v>
      </c>
      <c r="BF76" s="188">
        <f>opex_orig!AX76</f>
        <v>0</v>
      </c>
      <c r="BG76" s="188">
        <f>opex_orig!AY76</f>
        <v>2.9399999999999999E-8</v>
      </c>
      <c r="BH76" s="188">
        <f>opex_orig!AZ76</f>
        <v>0</v>
      </c>
      <c r="BI76" s="188">
        <f>opex_orig!BA76</f>
        <v>1.1800000000000001E-5</v>
      </c>
      <c r="BJ76" s="188">
        <f>opex_orig!BB76</f>
        <v>1.98E-7</v>
      </c>
      <c r="BK76" s="188">
        <f>opex_orig!BC76</f>
        <v>2.9999999999999999E-7</v>
      </c>
      <c r="BL76" s="188">
        <f>opex_orig!BD76</f>
        <v>9.8000000000000004E-8</v>
      </c>
      <c r="BM76" s="188">
        <f>opex_orig!BE76</f>
        <v>2.34E-7</v>
      </c>
      <c r="BN76" s="188">
        <f>opex_orig!BF76</f>
        <v>1.7999999999999999E-8</v>
      </c>
      <c r="BO76" s="188">
        <f>opex_orig!BG76</f>
        <v>2.84E-7</v>
      </c>
      <c r="BP76" s="188">
        <f>opex_orig!$BH76</f>
        <v>6.8361550023615102E-8</v>
      </c>
      <c r="BQ76" s="188">
        <f>opex_orig!$BH76</f>
        <v>6.8361550023615102E-8</v>
      </c>
      <c r="BR76" s="188">
        <f>opex_orig!BI76</f>
        <v>1.1000000000000001E-7</v>
      </c>
      <c r="BS76" s="188">
        <f>opex_orig!BJ76</f>
        <v>1.42E-6</v>
      </c>
      <c r="BT76" s="188">
        <f>opex_orig!BK76</f>
        <v>1.33E-6</v>
      </c>
      <c r="BU76" s="188">
        <f>opex_orig!BL76</f>
        <v>0</v>
      </c>
      <c r="BV76" s="27">
        <f>opex_orig!BM76</f>
        <v>2.07859513478479E-8</v>
      </c>
      <c r="BW76" s="27">
        <f>opex_orig!BN76</f>
        <v>8.8969252311283994E-8</v>
      </c>
      <c r="BX76" s="27">
        <f>opex_orig!BO76</f>
        <v>6.0681300395174001E-9</v>
      </c>
      <c r="BY76" s="27">
        <f>opex_orig!BP76</f>
        <v>5.6311606193216504E-9</v>
      </c>
      <c r="BZ76" s="27">
        <f>opex_orig!BQ76</f>
        <v>4.9508541018179401E-9</v>
      </c>
      <c r="CA76" s="27">
        <f>opex_orig!BR76</f>
        <v>2.1920086720617099E-8</v>
      </c>
      <c r="CB76" s="27">
        <f>opex_orig!BS76</f>
        <v>4.2737167297405098E-8</v>
      </c>
      <c r="CC76" s="27">
        <f>opex_orig!BT76</f>
        <v>1.9273581136442601E-8</v>
      </c>
      <c r="CD76" s="27">
        <f>opex_orig!BU76</f>
        <v>6.1553884813391E-9</v>
      </c>
      <c r="CE76" s="27">
        <f>opex_orig!BV76</f>
        <v>6.1553884813391099E-9</v>
      </c>
      <c r="CF76" s="27">
        <f>opex_orig!BW76</f>
        <v>5.8057426845275601E-9</v>
      </c>
      <c r="CG76" s="27">
        <f>opex_orig!BX76</f>
        <v>7.8476683035078202E-9</v>
      </c>
      <c r="CH76" s="27">
        <f>opex_orig!BY76</f>
        <v>4.1362687779706201E-10</v>
      </c>
      <c r="CI76" s="27">
        <f>opex_orig!Y76</f>
        <v>4.0499999999999999E-9</v>
      </c>
      <c r="CJ76" s="27">
        <f>opex_orig!Z76</f>
        <v>8.7299999999999994E-9</v>
      </c>
      <c r="CK76" s="27">
        <f>opex_orig!AA76</f>
        <v>2.5200000000000001E-8</v>
      </c>
      <c r="CL76" s="27">
        <f>opex_orig!AB76</f>
        <v>4.1058205390244502E-9</v>
      </c>
      <c r="CM76" s="27">
        <f>opex_orig!AC76</f>
        <v>6.2561078037399999E-9</v>
      </c>
      <c r="CN76" s="27">
        <f>opex_orig!AD76</f>
        <v>1.0163879830782401E-9</v>
      </c>
      <c r="CO76" s="27">
        <f>opex_orig!AE76</f>
        <v>9.4800000000000004E-10</v>
      </c>
      <c r="CP76" s="27">
        <f>opex_orig!AF76</f>
        <v>5.5199999999999997E-7</v>
      </c>
    </row>
    <row r="77" spans="1:94" x14ac:dyDescent="0.25">
      <c r="A77" s="5" t="s">
        <v>173</v>
      </c>
      <c r="B77" s="2" t="s">
        <v>172</v>
      </c>
      <c r="C77" s="1" t="s">
        <v>329</v>
      </c>
      <c r="D77" s="188">
        <f>opex_orig!D77</f>
        <v>6.7399999999999998E-5</v>
      </c>
      <c r="E77" s="188">
        <f>opex_orig!E77</f>
        <v>6.41E-5</v>
      </c>
      <c r="F77" s="188">
        <f>opex_orig!F77</f>
        <v>3.9700000000000003E-5</v>
      </c>
      <c r="G77" s="188">
        <f>opex_orig!G77</f>
        <v>6.1600000000000003E-6</v>
      </c>
      <c r="H77" s="188">
        <f>opex_orig!H77</f>
        <v>1.08E-5</v>
      </c>
      <c r="I77" s="188">
        <f>opex_orig!I77</f>
        <v>1.44912E-4</v>
      </c>
      <c r="J77" s="188">
        <f>opex_orig!J77</f>
        <v>1.1421600000000001E-4</v>
      </c>
      <c r="K77" s="188">
        <f>opex_orig!K77</f>
        <v>1.5699999999999999E-5</v>
      </c>
      <c r="L77" s="188">
        <f>opex_orig!L77</f>
        <v>1.9137200000000001E-4</v>
      </c>
      <c r="M77" s="188">
        <f>opex_orig!M77</f>
        <v>5.8238699999999997E-4</v>
      </c>
      <c r="N77" s="188">
        <f>opex_orig!N77</f>
        <v>2.8387900000000001E-4</v>
      </c>
      <c r="O77" s="188">
        <f>opex_orig!O77</f>
        <v>2.0083829999999999E-3</v>
      </c>
      <c r="P77" s="188">
        <f>opex_orig!P77</f>
        <v>1.1548399999999999E-4</v>
      </c>
      <c r="Q77" s="188">
        <f>opex_orig!Q77</f>
        <v>6.3800000000000006E-5</v>
      </c>
      <c r="R77" s="188">
        <f>opex_orig!R77</f>
        <v>5.1100000000000002E-5</v>
      </c>
      <c r="S77" s="188">
        <f>opex_orig!S77</f>
        <v>1.49359E-4</v>
      </c>
      <c r="T77" s="188">
        <f>opex_orig!T77</f>
        <v>2.7839100000000001E-4</v>
      </c>
      <c r="U77" s="188">
        <f>opex_orig!U77</f>
        <v>1.9020500000000001E-4</v>
      </c>
      <c r="V77" s="188">
        <f>opex_orig!V77</f>
        <v>1.3852999999999999E-4</v>
      </c>
      <c r="W77" s="188">
        <f>opex_orig!W77</f>
        <v>3.1268399999999998E-4</v>
      </c>
      <c r="X77" s="188">
        <f>opex_orig!X77</f>
        <v>1.19824E-4</v>
      </c>
      <c r="Y77" s="188">
        <f>opex_orig!Y77</f>
        <v>4.8600000000000002E-5</v>
      </c>
      <c r="Z77" s="188">
        <f>opex_orig!Z77</f>
        <v>2.2031899999999999E-4</v>
      </c>
      <c r="AA77" s="188">
        <f>opex_orig!AA77</f>
        <v>2.1609099999999999E-4</v>
      </c>
      <c r="AB77" s="188">
        <f>opex_orig!$AB77</f>
        <v>7.1840442553387006E-5</v>
      </c>
      <c r="AC77" s="188">
        <f>opex_orig!$AB77</f>
        <v>7.1840442553387006E-5</v>
      </c>
      <c r="AD77" s="188">
        <f>opex_orig!$AB77</f>
        <v>7.1840442553387006E-5</v>
      </c>
      <c r="AE77" s="188">
        <f>opex_orig!$AC77</f>
        <v>1.9555467397853901E-4</v>
      </c>
      <c r="AF77" s="188">
        <f>opex_orig!$AD77</f>
        <v>1.0976584279770699E-4</v>
      </c>
      <c r="AG77" s="188">
        <f>opex_orig!$AD77</f>
        <v>1.0976584279770699E-4</v>
      </c>
      <c r="AH77" s="188">
        <f>opex_orig!$AD77</f>
        <v>1.0976584279770699E-4</v>
      </c>
      <c r="AI77" s="188">
        <f>opex_orig!AE77</f>
        <v>9.8999999999999994E-5</v>
      </c>
      <c r="AJ77" s="188">
        <f>opex_orig!AF77</f>
        <v>1.006552E-3</v>
      </c>
      <c r="AK77" s="188">
        <f>opex_orig!AG77</f>
        <v>7.5382499999999996E-4</v>
      </c>
      <c r="AL77" s="188">
        <f>opex_orig!AH77</f>
        <v>5.2459000000000002E-4</v>
      </c>
      <c r="AM77" s="188">
        <f>opex_orig!AI77</f>
        <v>9.7577099999999995E-4</v>
      </c>
      <c r="AN77" s="188">
        <f>opex_orig!AJ77</f>
        <v>3.4863299999999999E-4</v>
      </c>
      <c r="AO77" s="188">
        <f>opex_orig!AK77</f>
        <v>8.3686299999999997E-4</v>
      </c>
      <c r="AP77" s="188">
        <f>opex_orig!$AL77</f>
        <v>1.89002458218134E-4</v>
      </c>
      <c r="AQ77" s="188">
        <f>opex_orig!$AL77</f>
        <v>1.89002458218134E-4</v>
      </c>
      <c r="AR77" s="188">
        <f>opex_orig!$AL77</f>
        <v>1.89002458218134E-4</v>
      </c>
      <c r="AS77" s="188">
        <f>opex_orig!$AM77</f>
        <v>1.6634010706843001E-4</v>
      </c>
      <c r="AT77" s="188">
        <f>opex_orig!AN77</f>
        <v>5.9740900000000003E-4</v>
      </c>
      <c r="AU77" s="188">
        <f>opex_orig!$AO77</f>
        <v>4.3544202078188102E-3</v>
      </c>
      <c r="AV77" s="188">
        <f>opex_orig!$AO77</f>
        <v>4.3544202078188102E-3</v>
      </c>
      <c r="AW77" s="188">
        <f>opex_orig!$AO77</f>
        <v>4.3544202078188102E-3</v>
      </c>
      <c r="AX77" s="188">
        <f>opex_orig!$AP77</f>
        <v>5.05462976425385E-3</v>
      </c>
      <c r="AY77" s="188">
        <f>opex_orig!AQ77</f>
        <v>3.45597E-3</v>
      </c>
      <c r="AZ77" s="188">
        <f>opex_orig!AR77</f>
        <v>0</v>
      </c>
      <c r="BA77" s="188">
        <f>opex_orig!AS77</f>
        <v>8.2638920000000005E-2</v>
      </c>
      <c r="BB77" s="188">
        <f>opex_orig!AT77</f>
        <v>9.7851641000000003E-2</v>
      </c>
      <c r="BC77" s="188">
        <f>opex_orig!AU77</f>
        <v>7.4512099999999996E-4</v>
      </c>
      <c r="BD77" s="188">
        <f>opex_orig!AV77</f>
        <v>4.8771099999999999E-4</v>
      </c>
      <c r="BE77" s="188">
        <f>opex_orig!AW77</f>
        <v>1.149415E-3</v>
      </c>
      <c r="BF77" s="188">
        <f>opex_orig!AX77</f>
        <v>0</v>
      </c>
      <c r="BG77" s="188">
        <f>opex_orig!AY77</f>
        <v>1.346014E-3</v>
      </c>
      <c r="BH77" s="188">
        <f>opex_orig!AZ77</f>
        <v>0</v>
      </c>
      <c r="BI77" s="188">
        <f>opex_orig!BA77</f>
        <v>4.1056751000000002E-2</v>
      </c>
      <c r="BJ77" s="188">
        <f>opex_orig!BB77</f>
        <v>8.7278760000000007E-3</v>
      </c>
      <c r="BK77" s="188">
        <f>opex_orig!BC77</f>
        <v>1.6092460999999999E-2</v>
      </c>
      <c r="BL77" s="188">
        <f>opex_orig!BD77</f>
        <v>1.2283800000000001E-4</v>
      </c>
      <c r="BM77" s="188">
        <f>opex_orig!BE77</f>
        <v>8.0528600000000002E-3</v>
      </c>
      <c r="BN77" s="188">
        <f>opex_orig!BF77</f>
        <v>1.1304800000000001E-4</v>
      </c>
      <c r="BO77" s="188">
        <f>opex_orig!BG77</f>
        <v>3.4843740000000002E-3</v>
      </c>
      <c r="BP77" s="188">
        <f>opex_orig!$BH77</f>
        <v>1.7835398262608399E-3</v>
      </c>
      <c r="BQ77" s="188">
        <f>opex_orig!$BH77</f>
        <v>1.7835398262608399E-3</v>
      </c>
      <c r="BR77" s="188">
        <f>opex_orig!BI77</f>
        <v>4.7480839999999996E-3</v>
      </c>
      <c r="BS77" s="188">
        <f>opex_orig!BJ77</f>
        <v>1.2756293E-2</v>
      </c>
      <c r="BT77" s="188">
        <f>opex_orig!BK77</f>
        <v>3.3236101999999997E-2</v>
      </c>
      <c r="BU77" s="188">
        <f>opex_orig!BL77</f>
        <v>0</v>
      </c>
      <c r="BV77" s="27">
        <f>opex_orig!BM77</f>
        <v>1.4243791121795E-4</v>
      </c>
      <c r="BW77" s="27">
        <f>opex_orig!BN77</f>
        <v>2.3650074140173401E-4</v>
      </c>
      <c r="BX77" s="27">
        <f>opex_orig!BO77</f>
        <v>3.2622250174201403E-5</v>
      </c>
      <c r="BY77" s="27">
        <f>opex_orig!BP77</f>
        <v>3.8004313303021897E-5</v>
      </c>
      <c r="BZ77" s="27">
        <f>opex_orig!BQ77</f>
        <v>3.8154800832515903E-5</v>
      </c>
      <c r="CA77" s="27">
        <f>opex_orig!BR77</f>
        <v>8.5298501706019105E-5</v>
      </c>
      <c r="CB77" s="27">
        <f>opex_orig!BS77</f>
        <v>2.8541910461253399E-4</v>
      </c>
      <c r="CC77" s="27">
        <f>opex_orig!BT77</f>
        <v>7.3376846695518503E-5</v>
      </c>
      <c r="CD77" s="27">
        <f>opex_orig!BU77</f>
        <v>1.1898215258792599E-5</v>
      </c>
      <c r="CE77" s="27">
        <f>opex_orig!BV77</f>
        <v>1.1898215258792599E-5</v>
      </c>
      <c r="CF77" s="27">
        <f>opex_orig!BW77</f>
        <v>3.7439903108715102E-5</v>
      </c>
      <c r="CG77" s="27">
        <f>opex_orig!BX77</f>
        <v>1.84991610626626E-6</v>
      </c>
      <c r="CH77" s="27">
        <f>opex_orig!BY77</f>
        <v>9.6592753034695594E-6</v>
      </c>
      <c r="CI77" s="27">
        <f>opex_orig!Y77</f>
        <v>4.8600000000000002E-5</v>
      </c>
      <c r="CJ77" s="27">
        <f>opex_orig!Z77</f>
        <v>2.2031899999999999E-4</v>
      </c>
      <c r="CK77" s="27">
        <f>opex_orig!AA77</f>
        <v>2.1609099999999999E-4</v>
      </c>
      <c r="CL77" s="27">
        <f>opex_orig!AB77</f>
        <v>7.1840442553387006E-5</v>
      </c>
      <c r="CM77" s="27">
        <f>opex_orig!AC77</f>
        <v>1.9555467397853901E-4</v>
      </c>
      <c r="CN77" s="27">
        <f>opex_orig!AD77</f>
        <v>1.0976584279770699E-4</v>
      </c>
      <c r="CO77" s="27">
        <f>opex_orig!AE77</f>
        <v>9.8999999999999994E-5</v>
      </c>
      <c r="CP77" s="27">
        <f>opex_orig!AF77</f>
        <v>1.006552E-3</v>
      </c>
    </row>
    <row r="78" spans="1:94" x14ac:dyDescent="0.25">
      <c r="A78" s="5" t="s">
        <v>175</v>
      </c>
      <c r="B78" s="2" t="s">
        <v>174</v>
      </c>
      <c r="C78" s="1" t="s">
        <v>329</v>
      </c>
      <c r="D78" s="188">
        <f>opex_orig!D78</f>
        <v>1.0075E-4</v>
      </c>
      <c r="E78" s="188">
        <f>opex_orig!E78</f>
        <v>8.6899999999999998E-5</v>
      </c>
      <c r="F78" s="188">
        <f>opex_orig!F78</f>
        <v>5.52E-5</v>
      </c>
      <c r="G78" s="188">
        <f>opex_orig!G78</f>
        <v>8.4999999999999999E-6</v>
      </c>
      <c r="H78" s="188">
        <f>opex_orig!H78</f>
        <v>1.6500000000000001E-5</v>
      </c>
      <c r="I78" s="188">
        <f>opex_orig!I78</f>
        <v>1.97462E-4</v>
      </c>
      <c r="J78" s="188">
        <f>opex_orig!J78</f>
        <v>1.5677000000000001E-4</v>
      </c>
      <c r="K78" s="188">
        <f>opex_orig!K78</f>
        <v>2.4700000000000001E-5</v>
      </c>
      <c r="L78" s="188">
        <f>opex_orig!L78</f>
        <v>2.4319000000000001E-4</v>
      </c>
      <c r="M78" s="188">
        <f>opex_orig!M78</f>
        <v>7.4351699999999996E-4</v>
      </c>
      <c r="N78" s="188">
        <f>opex_orig!N78</f>
        <v>3.6689399999999999E-4</v>
      </c>
      <c r="O78" s="188">
        <f>opex_orig!O78</f>
        <v>2.5964859999999998E-3</v>
      </c>
      <c r="P78" s="188">
        <f>opex_orig!P78</f>
        <v>1.7580100000000001E-4</v>
      </c>
      <c r="Q78" s="188">
        <f>opex_orig!Q78</f>
        <v>9.5099999999999994E-5</v>
      </c>
      <c r="R78" s="188">
        <f>opex_orig!R78</f>
        <v>7.64E-5</v>
      </c>
      <c r="S78" s="188">
        <f>opex_orig!S78</f>
        <v>2.1938599999999999E-4</v>
      </c>
      <c r="T78" s="188">
        <f>opex_orig!T78</f>
        <v>3.3162900000000001E-4</v>
      </c>
      <c r="U78" s="188">
        <f>opex_orig!U78</f>
        <v>2.6411099999999998E-4</v>
      </c>
      <c r="V78" s="188">
        <f>opex_orig!V78</f>
        <v>2.14236E-4</v>
      </c>
      <c r="W78" s="188">
        <f>opex_orig!W78</f>
        <v>4.4176799999999999E-4</v>
      </c>
      <c r="X78" s="188">
        <f>opex_orig!X78</f>
        <v>1.61714E-4</v>
      </c>
      <c r="Y78" s="188">
        <f>opex_orig!Y78</f>
        <v>9.8400000000000007E-5</v>
      </c>
      <c r="Z78" s="188">
        <f>opex_orig!Z78</f>
        <v>3.21706E-4</v>
      </c>
      <c r="AA78" s="188">
        <f>opex_orig!AA78</f>
        <v>4.2290699999999998E-4</v>
      </c>
      <c r="AB78" s="188">
        <f>opex_orig!$AB78</f>
        <v>4.6883454352378798E-5</v>
      </c>
      <c r="AC78" s="188">
        <f>opex_orig!$AB78</f>
        <v>4.6883454352378798E-5</v>
      </c>
      <c r="AD78" s="188">
        <f>opex_orig!$AB78</f>
        <v>4.6883454352378798E-5</v>
      </c>
      <c r="AE78" s="188">
        <f>opex_orig!$AC78</f>
        <v>2.1837761203076801E-4</v>
      </c>
      <c r="AF78" s="188">
        <f>opex_orig!$AD78</f>
        <v>1.06994863769973E-4</v>
      </c>
      <c r="AG78" s="188">
        <f>opex_orig!$AD78</f>
        <v>1.06994863769973E-4</v>
      </c>
      <c r="AH78" s="188">
        <f>opex_orig!$AD78</f>
        <v>1.06994863769973E-4</v>
      </c>
      <c r="AI78" s="188">
        <f>opex_orig!AE78</f>
        <v>8.9800000000000001E-5</v>
      </c>
      <c r="AJ78" s="188">
        <f>opex_orig!AF78</f>
        <v>1.352041E-3</v>
      </c>
      <c r="AK78" s="188">
        <f>opex_orig!AG78</f>
        <v>1.08599E-3</v>
      </c>
      <c r="AL78" s="188">
        <f>opex_orig!AH78</f>
        <v>6.6395699999999996E-4</v>
      </c>
      <c r="AM78" s="188">
        <f>opex_orig!AI78</f>
        <v>1.263243E-3</v>
      </c>
      <c r="AN78" s="188">
        <f>opex_orig!AJ78</f>
        <v>4.17145E-4</v>
      </c>
      <c r="AO78" s="188">
        <f>opex_orig!AK78</f>
        <v>1.04608E-3</v>
      </c>
      <c r="AP78" s="188">
        <f>opex_orig!$AL78</f>
        <v>2.6319321876983802E-4</v>
      </c>
      <c r="AQ78" s="188">
        <f>opex_orig!$AL78</f>
        <v>2.6319321876983802E-4</v>
      </c>
      <c r="AR78" s="188">
        <f>opex_orig!$AL78</f>
        <v>2.6319321876983802E-4</v>
      </c>
      <c r="AS78" s="188">
        <f>opex_orig!$AM78</f>
        <v>2.2733316540903299E-4</v>
      </c>
      <c r="AT78" s="188">
        <f>opex_orig!AN78</f>
        <v>8.0525799999999999E-4</v>
      </c>
      <c r="AU78" s="310">
        <f>opex_concordance!M593</f>
        <v>5.7449224905340296E-3</v>
      </c>
      <c r="AV78" s="310">
        <f>opex_concordance!M639</f>
        <v>0</v>
      </c>
      <c r="AW78" s="310">
        <f>opex_concordance!M685</f>
        <v>4.7620373509525034E-3</v>
      </c>
      <c r="AX78" s="188">
        <f>opex_orig!$AP78</f>
        <v>6.6715844984741304E-3</v>
      </c>
      <c r="AY78" s="188">
        <f>opex_orig!AQ78</f>
        <v>4.6338309999999997E-3</v>
      </c>
      <c r="AZ78" s="188">
        <f>opex_orig!AR78</f>
        <v>0</v>
      </c>
      <c r="BA78" s="188">
        <f>opex_orig!AS78</f>
        <v>0.10497445499999999</v>
      </c>
      <c r="BB78" s="188">
        <f>opex_orig!AT78</f>
        <v>0.124098192</v>
      </c>
      <c r="BC78" s="188">
        <f>opex_orig!AU78</f>
        <v>9.1090699999999997E-4</v>
      </c>
      <c r="BD78" s="188">
        <f>opex_orig!AV78</f>
        <v>5.8687699999999997E-4</v>
      </c>
      <c r="BE78" s="188">
        <f>opex_orig!AW78</f>
        <v>1.5427240000000001E-3</v>
      </c>
      <c r="BF78" s="188">
        <f>opex_orig!AX78</f>
        <v>0</v>
      </c>
      <c r="BG78" s="188">
        <f>opex_orig!AY78</f>
        <v>1.6803650000000001E-3</v>
      </c>
      <c r="BH78" s="188">
        <f>opex_orig!AZ78</f>
        <v>0</v>
      </c>
      <c r="BI78" s="188">
        <f>opex_orig!BA78</f>
        <v>5.2435713000000002E-2</v>
      </c>
      <c r="BJ78" s="188">
        <f>opex_orig!BB78</f>
        <v>1.1848195000000001E-2</v>
      </c>
      <c r="BK78" s="188">
        <f>opex_orig!BC78</f>
        <v>2.0836396E-2</v>
      </c>
      <c r="BL78" s="188">
        <f>opex_orig!BD78</f>
        <v>1.7822199999999999E-4</v>
      </c>
      <c r="BM78" s="188">
        <f>opex_orig!BE78</f>
        <v>1.032428E-2</v>
      </c>
      <c r="BN78" s="188">
        <f>opex_orig!BF78</f>
        <v>1.7012900000000001E-4</v>
      </c>
      <c r="BO78" s="188">
        <f>opex_orig!BG78</f>
        <v>4.5390589999999998E-3</v>
      </c>
      <c r="BP78" s="188">
        <f>opex_orig!$BH78</f>
        <v>2.3332228366655999E-3</v>
      </c>
      <c r="BQ78" s="188">
        <f>opex_orig!$BH78</f>
        <v>2.3332228366655999E-3</v>
      </c>
      <c r="BR78" s="188">
        <f>opex_orig!BI78</f>
        <v>6.1191550000000003E-3</v>
      </c>
      <c r="BS78" s="188">
        <f>opex_orig!BJ78</f>
        <v>1.6368809000000002E-2</v>
      </c>
      <c r="BT78" s="188">
        <f>opex_orig!BK78</f>
        <v>4.2205342999999999E-2</v>
      </c>
      <c r="BU78" s="188">
        <f>opex_orig!BL78</f>
        <v>0</v>
      </c>
      <c r="BV78" s="27">
        <f>opex_orig!BM78</f>
        <v>1.31076685045941E-4</v>
      </c>
      <c r="BW78" s="27">
        <f>opex_orig!BN78</f>
        <v>2.1543816985725899E-4</v>
      </c>
      <c r="BX78" s="27">
        <f>opex_orig!BO78</f>
        <v>3.4486779160754398E-5</v>
      </c>
      <c r="BY78" s="27">
        <f>opex_orig!BP78</f>
        <v>3.3406082484702003E-5</v>
      </c>
      <c r="BZ78" s="27">
        <f>opex_orig!BQ78</f>
        <v>3.60681710188841E-5</v>
      </c>
      <c r="CA78" s="27">
        <f>opex_orig!BR78</f>
        <v>1.10430995356662E-4</v>
      </c>
      <c r="CB78" s="27">
        <f>opex_orig!BS78</f>
        <v>2.5828479621855599E-4</v>
      </c>
      <c r="CC78" s="27">
        <f>opex_orig!BT78</f>
        <v>5.5545453700424797E-4</v>
      </c>
      <c r="CD78" s="27">
        <f>opex_orig!BU78</f>
        <v>2.21245850549177E-5</v>
      </c>
      <c r="CE78" s="27">
        <f>opex_orig!BV78</f>
        <v>2.2124585054917798E-5</v>
      </c>
      <c r="CF78" s="27">
        <f>opex_orig!BW78</f>
        <v>2.46168307462694E-5</v>
      </c>
      <c r="CG78" s="27">
        <f>opex_orig!BX78</f>
        <v>2.0570476699673501E-6</v>
      </c>
      <c r="CH78" s="27">
        <f>opex_orig!BY78</f>
        <v>8.0939602856385694E-6</v>
      </c>
      <c r="CI78" s="27">
        <f>opex_orig!Y78</f>
        <v>9.8400000000000007E-5</v>
      </c>
      <c r="CJ78" s="27">
        <f>opex_orig!Z78</f>
        <v>3.21706E-4</v>
      </c>
      <c r="CK78" s="27">
        <f>opex_orig!AA78</f>
        <v>4.2290699999999998E-4</v>
      </c>
      <c r="CL78" s="27">
        <f>opex_orig!AB78</f>
        <v>4.6883454352378798E-5</v>
      </c>
      <c r="CM78" s="27">
        <f>opex_orig!AC78</f>
        <v>2.1837761203076801E-4</v>
      </c>
      <c r="CN78" s="27">
        <f>opex_orig!AD78</f>
        <v>1.06994863769973E-4</v>
      </c>
      <c r="CO78" s="27">
        <f>opex_orig!AE78</f>
        <v>8.9800000000000001E-5</v>
      </c>
      <c r="CP78" s="27">
        <f>opex_orig!AF78</f>
        <v>1.352041E-3</v>
      </c>
    </row>
    <row r="79" spans="1:94" x14ac:dyDescent="0.25">
      <c r="A79" s="5" t="s">
        <v>177</v>
      </c>
      <c r="B79" s="2" t="s">
        <v>176</v>
      </c>
      <c r="C79" s="1" t="s">
        <v>329</v>
      </c>
      <c r="D79" s="188">
        <f>opex_orig!D79</f>
        <v>3.79E-5</v>
      </c>
      <c r="E79" s="188">
        <f>opex_orig!E79</f>
        <v>2.3099999999999999E-5</v>
      </c>
      <c r="F79" s="188">
        <f>opex_orig!F79</f>
        <v>2.16E-5</v>
      </c>
      <c r="G79" s="188">
        <f>opex_orig!G79</f>
        <v>3.3299999999999999E-6</v>
      </c>
      <c r="H79" s="188">
        <f>opex_orig!H79</f>
        <v>5.0000000000000004E-6</v>
      </c>
      <c r="I79" s="188">
        <f>opex_orig!I79</f>
        <v>4.32E-5</v>
      </c>
      <c r="J79" s="188">
        <f>opex_orig!J79</f>
        <v>7.1099999999999994E-5</v>
      </c>
      <c r="K79" s="188">
        <f>opex_orig!K79</f>
        <v>3.1199999999999999E-5</v>
      </c>
      <c r="L79" s="188">
        <f>opex_orig!L79</f>
        <v>3.3200000000000001E-5</v>
      </c>
      <c r="M79" s="188">
        <f>opex_orig!M79</f>
        <v>8.8599999999999999E-5</v>
      </c>
      <c r="N79" s="188">
        <f>opex_orig!N79</f>
        <v>8.7600000000000002E-5</v>
      </c>
      <c r="O79" s="188">
        <f>opex_orig!O79</f>
        <v>3.8699999999999999E-5</v>
      </c>
      <c r="P79" s="188">
        <f>opex_orig!P79</f>
        <v>7.5400000000000003E-5</v>
      </c>
      <c r="Q79" s="188">
        <f>opex_orig!Q79</f>
        <v>5.8900000000000002E-5</v>
      </c>
      <c r="R79" s="188">
        <f>opex_orig!R79</f>
        <v>2.8E-5</v>
      </c>
      <c r="S79" s="188">
        <f>opex_orig!S79</f>
        <v>1.01222E-4</v>
      </c>
      <c r="T79" s="188">
        <f>opex_orig!T79</f>
        <v>2.12625E-4</v>
      </c>
      <c r="U79" s="188">
        <f>opex_orig!U79</f>
        <v>1.3374799999999999E-4</v>
      </c>
      <c r="V79" s="188">
        <f>opex_orig!V79</f>
        <v>1.05803E-4</v>
      </c>
      <c r="W79" s="188">
        <f>opex_orig!W79</f>
        <v>1.04108E-4</v>
      </c>
      <c r="X79" s="188">
        <f>opex_orig!X79</f>
        <v>3.4400000000000003E-5</v>
      </c>
      <c r="Y79" s="188">
        <f>opex_orig!Y79</f>
        <v>4.1300000000000001E-5</v>
      </c>
      <c r="Z79" s="188">
        <f>opex_orig!Z79</f>
        <v>1.5356899999999999E-4</v>
      </c>
      <c r="AA79" s="188">
        <f>opex_orig!AA79</f>
        <v>1.5507499999999999E-4</v>
      </c>
      <c r="AB79" s="188">
        <f>opex_orig!$AB79</f>
        <v>6.6707824353124203E-4</v>
      </c>
      <c r="AC79" s="188">
        <f>opex_orig!$AB79</f>
        <v>6.6707824353124203E-4</v>
      </c>
      <c r="AD79" s="188">
        <f>opex_orig!$AB79</f>
        <v>6.6707824353124203E-4</v>
      </c>
      <c r="AE79" s="188">
        <f>opex_orig!$AC79</f>
        <v>1.38811681335564E-4</v>
      </c>
      <c r="AF79" s="188">
        <f>opex_orig!$AD79</f>
        <v>9.2405559290406299E-5</v>
      </c>
      <c r="AG79" s="188">
        <f>opex_orig!$AD79</f>
        <v>9.2405559290406299E-5</v>
      </c>
      <c r="AH79" s="188">
        <f>opex_orig!$AD79</f>
        <v>9.2405559290406299E-5</v>
      </c>
      <c r="AI79" s="188">
        <f>opex_orig!AE79</f>
        <v>7.5400000000000003E-5</v>
      </c>
      <c r="AJ79" s="188">
        <f>opex_orig!AF79</f>
        <v>3.8850000000000001E-4</v>
      </c>
      <c r="AK79" s="188">
        <f>opex_orig!AG79</f>
        <v>1.7281299999999999E-4</v>
      </c>
      <c r="AL79" s="188">
        <f>opex_orig!AH79</f>
        <v>8.6399999999999999E-5</v>
      </c>
      <c r="AM79" s="188">
        <f>opex_orig!AI79</f>
        <v>1.05846E-4</v>
      </c>
      <c r="AN79" s="188">
        <f>opex_orig!AJ79</f>
        <v>2.8508E-4</v>
      </c>
      <c r="AO79" s="188">
        <f>opex_orig!AK79</f>
        <v>1.17805E-4</v>
      </c>
      <c r="AP79" s="188">
        <f>opex_orig!$AL79</f>
        <v>1.10688398525569E-4</v>
      </c>
      <c r="AQ79" s="188">
        <f>opex_orig!$AL79</f>
        <v>1.10688398525569E-4</v>
      </c>
      <c r="AR79" s="188">
        <f>opex_orig!$AL79</f>
        <v>1.10688398525569E-4</v>
      </c>
      <c r="AS79" s="188">
        <f>opex_orig!$AM79</f>
        <v>1.05332564962938E-4</v>
      </c>
      <c r="AT79" s="188">
        <f>opex_orig!AN79</f>
        <v>2.06672E-4</v>
      </c>
      <c r="AU79" s="188">
        <f>opex_orig!$AO79</f>
        <v>1.32975585764888E-3</v>
      </c>
      <c r="AV79" s="188">
        <f>opex_orig!$AO79</f>
        <v>1.32975585764888E-3</v>
      </c>
      <c r="AW79" s="188">
        <f>opex_orig!$AO79</f>
        <v>1.32975585764888E-3</v>
      </c>
      <c r="AX79" s="188">
        <f>opex_orig!$AP79</f>
        <v>1.6628931409732701E-3</v>
      </c>
      <c r="AY79" s="188">
        <f>opex_orig!AQ79</f>
        <v>2.6066099999999998E-4</v>
      </c>
      <c r="AZ79" s="188">
        <f>opex_orig!AR79</f>
        <v>0</v>
      </c>
      <c r="BA79" s="188">
        <f>opex_orig!AS79</f>
        <v>2.71721E-4</v>
      </c>
      <c r="BB79" s="188">
        <f>opex_orig!AT79</f>
        <v>2.2547600000000001E-4</v>
      </c>
      <c r="BC79" s="188">
        <f>opex_orig!AU79</f>
        <v>0.34302748399999999</v>
      </c>
      <c r="BD79" s="188">
        <f>opex_orig!AV79</f>
        <v>0.35510819399999999</v>
      </c>
      <c r="BE79" s="188">
        <f>opex_orig!AW79</f>
        <v>1.59023E-4</v>
      </c>
      <c r="BF79" s="188">
        <f>opex_orig!AX79</f>
        <v>0</v>
      </c>
      <c r="BG79" s="188">
        <f>opex_orig!AY79</f>
        <v>2.8741500000000001E-4</v>
      </c>
      <c r="BH79" s="188">
        <f>opex_orig!AZ79</f>
        <v>0</v>
      </c>
      <c r="BI79" s="188">
        <f>opex_orig!BA79</f>
        <v>2.1030760000000002E-3</v>
      </c>
      <c r="BJ79" s="188">
        <f>opex_orig!BB79</f>
        <v>1.2542020000000001E-3</v>
      </c>
      <c r="BK79" s="188">
        <f>opex_orig!BC79</f>
        <v>1.564621E-3</v>
      </c>
      <c r="BL79" s="188">
        <f>opex_orig!BD79</f>
        <v>4.88E-5</v>
      </c>
      <c r="BM79" s="188">
        <f>opex_orig!BE79</f>
        <v>7.09007E-4</v>
      </c>
      <c r="BN79" s="188">
        <f>opex_orig!BF79</f>
        <v>4.1699999999999997E-5</v>
      </c>
      <c r="BO79" s="188">
        <f>opex_orig!BG79</f>
        <v>3.24171E-4</v>
      </c>
      <c r="BP79" s="188">
        <f>opex_orig!$BH79</f>
        <v>1.5347428986770201E-4</v>
      </c>
      <c r="BQ79" s="188">
        <f>opex_orig!$BH79</f>
        <v>1.5347428986770201E-4</v>
      </c>
      <c r="BR79" s="188">
        <f>opex_orig!BI79</f>
        <v>3.8565099999999998E-4</v>
      </c>
      <c r="BS79" s="188">
        <f>opex_orig!BJ79</f>
        <v>2.5500499999999999E-4</v>
      </c>
      <c r="BT79" s="188">
        <f>opex_orig!BK79</f>
        <v>5.8904309999999998E-3</v>
      </c>
      <c r="BU79" s="188">
        <f>opex_orig!BL79</f>
        <v>0</v>
      </c>
      <c r="BV79" s="27">
        <f>opex_orig!BM79</f>
        <v>1.12038313332212E-4</v>
      </c>
      <c r="BW79" s="27">
        <f>opex_orig!BN79</f>
        <v>2.2206715993926401E-4</v>
      </c>
      <c r="BX79" s="27">
        <f>opex_orig!BO79</f>
        <v>2.73919537474368E-5</v>
      </c>
      <c r="BY79" s="27">
        <f>opex_orig!BP79</f>
        <v>6.0723741115526398E-5</v>
      </c>
      <c r="BZ79" s="27">
        <f>opex_orig!BQ79</f>
        <v>5.1102090322221402E-5</v>
      </c>
      <c r="CA79" s="27">
        <f>opex_orig!BR79</f>
        <v>1.4698050002193199E-4</v>
      </c>
      <c r="CB79" s="27">
        <f>opex_orig!BS79</f>
        <v>5.1429926478649803E-4</v>
      </c>
      <c r="CC79" s="27">
        <f>opex_orig!BT79</f>
        <v>3.7500954841145201E-5</v>
      </c>
      <c r="CD79" s="27">
        <f>opex_orig!BU79</f>
        <v>1.1257975608851001E-5</v>
      </c>
      <c r="CE79" s="27">
        <f>opex_orig!BV79</f>
        <v>1.1257975608851001E-5</v>
      </c>
      <c r="CF79" s="27">
        <f>opex_orig!BW79</f>
        <v>2.7710362954976299E-5</v>
      </c>
      <c r="CG79" s="27">
        <f>opex_orig!BX79</f>
        <v>2.3887445002438601E-6</v>
      </c>
      <c r="CH79" s="27">
        <f>opex_orig!BY79</f>
        <v>1.7424716262445301E-5</v>
      </c>
      <c r="CI79" s="27">
        <f>opex_orig!Y79</f>
        <v>4.1300000000000001E-5</v>
      </c>
      <c r="CJ79" s="27">
        <f>opex_orig!Z79</f>
        <v>1.5356899999999999E-4</v>
      </c>
      <c r="CK79" s="27">
        <f>opex_orig!AA79</f>
        <v>1.5507499999999999E-4</v>
      </c>
      <c r="CL79" s="27">
        <f>opex_orig!AB79</f>
        <v>6.6707824353124203E-4</v>
      </c>
      <c r="CM79" s="27">
        <f>opex_orig!AC79</f>
        <v>1.38811681335564E-4</v>
      </c>
      <c r="CN79" s="27">
        <f>opex_orig!AD79</f>
        <v>9.2405559290406299E-5</v>
      </c>
      <c r="CO79" s="27">
        <f>opex_orig!AE79</f>
        <v>7.5400000000000003E-5</v>
      </c>
      <c r="CP79" s="27">
        <f>opex_orig!AF79</f>
        <v>3.8850000000000001E-4</v>
      </c>
    </row>
    <row r="80" spans="1:94" x14ac:dyDescent="0.25">
      <c r="A80" s="5" t="s">
        <v>179</v>
      </c>
      <c r="B80" s="2" t="s">
        <v>178</v>
      </c>
      <c r="C80" s="1" t="s">
        <v>329</v>
      </c>
      <c r="D80" s="188">
        <f>opex_orig!D80</f>
        <v>2.0000000000000002E-5</v>
      </c>
      <c r="E80" s="188">
        <f>opex_orig!E80</f>
        <v>1.2099999999999999E-5</v>
      </c>
      <c r="F80" s="188">
        <f>opex_orig!F80</f>
        <v>1.22E-5</v>
      </c>
      <c r="G80" s="188">
        <f>opex_orig!G80</f>
        <v>1.84E-6</v>
      </c>
      <c r="H80" s="188">
        <f>opex_orig!H80</f>
        <v>3.0599999999999999E-6</v>
      </c>
      <c r="I80" s="188">
        <f>opex_orig!I80</f>
        <v>2.5199999999999999E-5</v>
      </c>
      <c r="J80" s="188">
        <f>opex_orig!J80</f>
        <v>4.0899999999999998E-5</v>
      </c>
      <c r="K80" s="188">
        <f>opex_orig!K80</f>
        <v>1.47E-5</v>
      </c>
      <c r="L80" s="188">
        <f>opex_orig!L80</f>
        <v>1.6799999999999998E-5</v>
      </c>
      <c r="M80" s="188">
        <f>opex_orig!M80</f>
        <v>4.5899999999999998E-5</v>
      </c>
      <c r="N80" s="188">
        <f>opex_orig!N80</f>
        <v>3.82E-5</v>
      </c>
      <c r="O80" s="188">
        <f>opex_orig!O80</f>
        <v>2.34E-5</v>
      </c>
      <c r="P80" s="188">
        <f>opex_orig!P80</f>
        <v>4.2799999999999997E-5</v>
      </c>
      <c r="Q80" s="188">
        <f>opex_orig!Q80</f>
        <v>2.9099999999999999E-5</v>
      </c>
      <c r="R80" s="188">
        <f>opex_orig!R80</f>
        <v>1.8600000000000001E-5</v>
      </c>
      <c r="S80" s="188">
        <f>opex_orig!S80</f>
        <v>5.41E-5</v>
      </c>
      <c r="T80" s="188">
        <f>opex_orig!T80</f>
        <v>9.2499999999999999E-5</v>
      </c>
      <c r="U80" s="188">
        <f>opex_orig!U80</f>
        <v>7.0699999999999997E-5</v>
      </c>
      <c r="V80" s="188">
        <f>opex_orig!V80</f>
        <v>5.9500000000000003E-5</v>
      </c>
      <c r="W80" s="188">
        <f>opex_orig!W80</f>
        <v>6.2199999999999994E-5</v>
      </c>
      <c r="X80" s="188">
        <f>opex_orig!X80</f>
        <v>2.05E-5</v>
      </c>
      <c r="Y80" s="188">
        <f>opex_orig!Y80</f>
        <v>2.97E-5</v>
      </c>
      <c r="Z80" s="188">
        <f>opex_orig!Z80</f>
        <v>8.3499999999999997E-5</v>
      </c>
      <c r="AA80" s="188">
        <f>opex_orig!AA80</f>
        <v>1.11668E-4</v>
      </c>
      <c r="AB80" s="188">
        <f>opex_orig!$AB80</f>
        <v>2.02632353177162E-4</v>
      </c>
      <c r="AC80" s="188">
        <f>opex_orig!$AB80</f>
        <v>2.02632353177162E-4</v>
      </c>
      <c r="AD80" s="188">
        <f>opex_orig!$AB80</f>
        <v>2.02632353177162E-4</v>
      </c>
      <c r="AE80" s="188">
        <f>opex_orig!$AC80</f>
        <v>3.8060453314709099E-5</v>
      </c>
      <c r="AF80" s="188">
        <f>opex_orig!$AD80</f>
        <v>3.1749141964156797E-5</v>
      </c>
      <c r="AG80" s="188">
        <f>opex_orig!$AD80</f>
        <v>3.1749141964156797E-5</v>
      </c>
      <c r="AH80" s="188">
        <f>opex_orig!$AD80</f>
        <v>3.1749141964156797E-5</v>
      </c>
      <c r="AI80" s="188">
        <f>opex_orig!AE80</f>
        <v>2.4899999999999999E-5</v>
      </c>
      <c r="AJ80" s="188">
        <f>opex_orig!AF80</f>
        <v>2.0687E-4</v>
      </c>
      <c r="AK80" s="188">
        <f>opex_orig!AG80</f>
        <v>1.05363E-4</v>
      </c>
      <c r="AL80" s="188">
        <f>opex_orig!AH80</f>
        <v>4.1699999999999997E-5</v>
      </c>
      <c r="AM80" s="188">
        <f>opex_orig!AI80</f>
        <v>5.7299999999999997E-5</v>
      </c>
      <c r="AN80" s="188">
        <f>opex_orig!AJ80</f>
        <v>1.3747799999999999E-4</v>
      </c>
      <c r="AO80" s="188">
        <f>opex_orig!AK80</f>
        <v>5.4599999999999999E-5</v>
      </c>
      <c r="AP80" s="188">
        <f>opex_orig!$AL80</f>
        <v>5.99056327879187E-5</v>
      </c>
      <c r="AQ80" s="188">
        <f>opex_orig!$AL80</f>
        <v>5.99056327879187E-5</v>
      </c>
      <c r="AR80" s="188">
        <f>opex_orig!$AL80</f>
        <v>5.99056327879187E-5</v>
      </c>
      <c r="AS80" s="188">
        <f>opex_orig!$AM80</f>
        <v>5.3617834842718798E-5</v>
      </c>
      <c r="AT80" s="188">
        <f>opex_orig!AN80</f>
        <v>1.15915E-4</v>
      </c>
      <c r="AU80" s="188">
        <f>opex_orig!$AO80</f>
        <v>7.7134573911632402E-4</v>
      </c>
      <c r="AV80" s="188">
        <f>opex_orig!$AO80</f>
        <v>7.7134573911632402E-4</v>
      </c>
      <c r="AW80" s="188">
        <f>opex_orig!$AO80</f>
        <v>7.7134573911632402E-4</v>
      </c>
      <c r="AX80" s="188">
        <f>opex_orig!$AP80</f>
        <v>9.5988244200042195E-4</v>
      </c>
      <c r="AY80" s="188">
        <f>opex_orig!AQ80</f>
        <v>1.7325199999999999E-4</v>
      </c>
      <c r="AZ80" s="188">
        <f>opex_orig!AR80</f>
        <v>0</v>
      </c>
      <c r="BA80" s="188">
        <f>opex_orig!AS80</f>
        <v>1.69195E-4</v>
      </c>
      <c r="BB80" s="188">
        <f>opex_orig!AT80</f>
        <v>1.48381E-4</v>
      </c>
      <c r="BC80" s="188">
        <f>opex_orig!AU80</f>
        <v>0.17282090999999999</v>
      </c>
      <c r="BD80" s="188">
        <f>opex_orig!AV80</f>
        <v>0.17683897500000001</v>
      </c>
      <c r="BE80" s="188">
        <f>opex_orig!AW80</f>
        <v>8.8900000000000006E-5</v>
      </c>
      <c r="BF80" s="188">
        <f>opex_orig!AX80</f>
        <v>0</v>
      </c>
      <c r="BG80" s="188">
        <f>opex_orig!AY80</f>
        <v>1.3512999999999999E-4</v>
      </c>
      <c r="BH80" s="188">
        <f>opex_orig!AZ80</f>
        <v>0</v>
      </c>
      <c r="BI80" s="188">
        <f>opex_orig!BA80</f>
        <v>1.2053859999999999E-3</v>
      </c>
      <c r="BJ80" s="188">
        <f>opex_orig!BB80</f>
        <v>8.1915799999999995E-4</v>
      </c>
      <c r="BK80" s="188">
        <f>opex_orig!BC80</f>
        <v>9.2586000000000003E-4</v>
      </c>
      <c r="BL80" s="188">
        <f>opex_orig!BD80</f>
        <v>2.9300000000000001E-5</v>
      </c>
      <c r="BM80" s="188">
        <f>opex_orig!BE80</f>
        <v>4.0591299999999999E-4</v>
      </c>
      <c r="BN80" s="188">
        <f>opex_orig!BF80</f>
        <v>2.5000000000000001E-5</v>
      </c>
      <c r="BO80" s="188">
        <f>opex_orig!BG80</f>
        <v>1.9224800000000001E-4</v>
      </c>
      <c r="BP80" s="188">
        <f>opex_orig!$BH80</f>
        <v>8.9683780166885605E-5</v>
      </c>
      <c r="BQ80" s="188">
        <f>opex_orig!$BH80</f>
        <v>8.9683780166885605E-5</v>
      </c>
      <c r="BR80" s="188">
        <f>opex_orig!BI80</f>
        <v>2.1573E-4</v>
      </c>
      <c r="BS80" s="188">
        <f>opex_orig!BJ80</f>
        <v>1.46773E-4</v>
      </c>
      <c r="BT80" s="188">
        <f>opex_orig!BK80</f>
        <v>3.2475310000000001E-3</v>
      </c>
      <c r="BU80" s="188">
        <f>opex_orig!BL80</f>
        <v>0</v>
      </c>
      <c r="BV80" s="27">
        <f>opex_orig!BM80</f>
        <v>3.96634452463612E-5</v>
      </c>
      <c r="BW80" s="27">
        <f>opex_orig!BN80</f>
        <v>7.7119029646661893E-5</v>
      </c>
      <c r="BX80" s="27">
        <f>opex_orig!BO80</f>
        <v>9.5196854592560195E-6</v>
      </c>
      <c r="BY80" s="27">
        <f>opex_orig!BP80</f>
        <v>1.8792608708883699E-5</v>
      </c>
      <c r="BZ80" s="27">
        <f>opex_orig!BQ80</f>
        <v>1.3087224760444701E-5</v>
      </c>
      <c r="CA80" s="27">
        <f>opex_orig!BR80</f>
        <v>5.7253850920473801E-5</v>
      </c>
      <c r="CB80" s="27">
        <f>opex_orig!BS80</f>
        <v>2.1913789620190601E-4</v>
      </c>
      <c r="CC80" s="27">
        <f>opex_orig!BT80</f>
        <v>2.82482191229469E-5</v>
      </c>
      <c r="CD80" s="27">
        <f>opex_orig!BU80</f>
        <v>7.7272316256915602E-6</v>
      </c>
      <c r="CE80" s="27">
        <f>opex_orig!BV80</f>
        <v>7.7272316256915704E-6</v>
      </c>
      <c r="CF80" s="27">
        <f>opex_orig!BW80</f>
        <v>8.2186970516571902E-6</v>
      </c>
      <c r="CG80" s="27">
        <f>opex_orig!BX80</f>
        <v>7.472065792786E-7</v>
      </c>
      <c r="CH80" s="27">
        <f>opex_orig!BY80</f>
        <v>3.7351784684731298E-6</v>
      </c>
      <c r="CI80" s="27">
        <f>opex_orig!Y80</f>
        <v>2.97E-5</v>
      </c>
      <c r="CJ80" s="27">
        <f>opex_orig!Z80</f>
        <v>8.3499999999999997E-5</v>
      </c>
      <c r="CK80" s="27">
        <f>opex_orig!AA80</f>
        <v>1.11668E-4</v>
      </c>
      <c r="CL80" s="27">
        <f>opex_orig!AB80</f>
        <v>2.02632353177162E-4</v>
      </c>
      <c r="CM80" s="27">
        <f>opex_orig!AC80</f>
        <v>3.8060453314709099E-5</v>
      </c>
      <c r="CN80" s="27">
        <f>opex_orig!AD80</f>
        <v>3.1749141964156797E-5</v>
      </c>
      <c r="CO80" s="27">
        <f>opex_orig!AE80</f>
        <v>2.4899999999999999E-5</v>
      </c>
      <c r="CP80" s="27">
        <f>opex_orig!AF80</f>
        <v>2.0687E-4</v>
      </c>
    </row>
    <row r="81" spans="1:94" x14ac:dyDescent="0.25">
      <c r="A81" s="5" t="s">
        <v>181</v>
      </c>
      <c r="B81" s="2" t="s">
        <v>180</v>
      </c>
      <c r="C81" s="1" t="s">
        <v>329</v>
      </c>
      <c r="D81" s="188">
        <f>opex_orig!D81</f>
        <v>4.0200000000000001E-5</v>
      </c>
      <c r="E81" s="188">
        <f>opex_orig!E81</f>
        <v>2.2500000000000001E-5</v>
      </c>
      <c r="F81" s="188">
        <f>opex_orig!F81</f>
        <v>1.77E-5</v>
      </c>
      <c r="G81" s="188">
        <f>opex_orig!G81</f>
        <v>4.2599999999999999E-6</v>
      </c>
      <c r="H81" s="188">
        <f>opex_orig!H81</f>
        <v>5.0699999999999997E-6</v>
      </c>
      <c r="I81" s="188">
        <f>opex_orig!I81</f>
        <v>3.8800000000000001E-5</v>
      </c>
      <c r="J81" s="188">
        <f>opex_orig!J81</f>
        <v>9.5199999999999997E-5</v>
      </c>
      <c r="K81" s="188">
        <f>opex_orig!K81</f>
        <v>6.6000000000000003E-6</v>
      </c>
      <c r="L81" s="188">
        <f>opex_orig!L81</f>
        <v>3.04E-5</v>
      </c>
      <c r="M81" s="188">
        <f>opex_orig!M81</f>
        <v>8.1799999999999996E-5</v>
      </c>
      <c r="N81" s="188">
        <f>opex_orig!N81</f>
        <v>9.9300000000000001E-5</v>
      </c>
      <c r="O81" s="188">
        <f>opex_orig!O81</f>
        <v>4.1300000000000001E-5</v>
      </c>
      <c r="P81" s="188">
        <f>opex_orig!P81</f>
        <v>7.9499999999999994E-5</v>
      </c>
      <c r="Q81" s="188">
        <f>opex_orig!Q81</f>
        <v>3.6300000000000001E-5</v>
      </c>
      <c r="R81" s="188">
        <f>opex_orig!R81</f>
        <v>3.18E-5</v>
      </c>
      <c r="S81" s="188">
        <f>opex_orig!S81</f>
        <v>1.18484E-4</v>
      </c>
      <c r="T81" s="188">
        <f>opex_orig!T81</f>
        <v>2.5923899999999998E-4</v>
      </c>
      <c r="U81" s="188">
        <f>opex_orig!U81</f>
        <v>1.4888100000000001E-4</v>
      </c>
      <c r="V81" s="188">
        <f>opex_orig!V81</f>
        <v>1.08712E-4</v>
      </c>
      <c r="W81" s="188">
        <f>opex_orig!W81</f>
        <v>9.9900000000000002E-5</v>
      </c>
      <c r="X81" s="188">
        <f>opex_orig!X81</f>
        <v>3.6300000000000001E-5</v>
      </c>
      <c r="Y81" s="188">
        <f>opex_orig!Y81</f>
        <v>2.65E-5</v>
      </c>
      <c r="Z81" s="188">
        <f>opex_orig!Z81</f>
        <v>1.7192600000000001E-4</v>
      </c>
      <c r="AA81" s="188">
        <f>opex_orig!AA81</f>
        <v>1.41633E-4</v>
      </c>
      <c r="AB81" s="188">
        <f>opex_orig!$AB81</f>
        <v>1.70865505160655E-4</v>
      </c>
      <c r="AC81" s="188">
        <f>opex_orig!$AB81</f>
        <v>1.70865505160655E-4</v>
      </c>
      <c r="AD81" s="188">
        <f>opex_orig!$AB81</f>
        <v>1.70865505160655E-4</v>
      </c>
      <c r="AE81" s="188">
        <f>opex_orig!$AC81</f>
        <v>2.9650870049547701E-4</v>
      </c>
      <c r="AF81" s="188">
        <f>opex_orig!$AD81</f>
        <v>9.2161331207673403E-5</v>
      </c>
      <c r="AG81" s="188">
        <f>opex_orig!$AD81</f>
        <v>9.2161331207673403E-5</v>
      </c>
      <c r="AH81" s="188">
        <f>opex_orig!$AD81</f>
        <v>9.2161331207673403E-5</v>
      </c>
      <c r="AI81" s="188">
        <f>opex_orig!AE81</f>
        <v>7.0199999999999999E-5</v>
      </c>
      <c r="AJ81" s="188">
        <f>opex_orig!AF81</f>
        <v>6.8580699999999997E-4</v>
      </c>
      <c r="AK81" s="188">
        <f>opex_orig!AG81</f>
        <v>2.1477900000000001E-4</v>
      </c>
      <c r="AL81" s="188">
        <f>opex_orig!AH81</f>
        <v>1.0944E-4</v>
      </c>
      <c r="AM81" s="188">
        <f>opex_orig!AI81</f>
        <v>1.3946E-4</v>
      </c>
      <c r="AN81" s="188">
        <f>opex_orig!AJ81</f>
        <v>1.16051E-4</v>
      </c>
      <c r="AO81" s="188">
        <f>opex_orig!AK81</f>
        <v>1.5812000000000001E-4</v>
      </c>
      <c r="AP81" s="188">
        <f>opex_orig!$AL81</f>
        <v>1.27248029846097E-4</v>
      </c>
      <c r="AQ81" s="188">
        <f>opex_orig!$AL81</f>
        <v>1.27248029846097E-4</v>
      </c>
      <c r="AR81" s="188">
        <f>opex_orig!$AL81</f>
        <v>1.27248029846097E-4</v>
      </c>
      <c r="AS81" s="188">
        <f>opex_orig!$AM81</f>
        <v>1.2949897074048E-4</v>
      </c>
      <c r="AT81" s="188">
        <f>opex_orig!AN81</f>
        <v>1.8248299999999999E-4</v>
      </c>
      <c r="AU81" s="188">
        <f>opex_orig!$AO81</f>
        <v>2.8194570115600199E-3</v>
      </c>
      <c r="AV81" s="188">
        <f>opex_orig!$AO81</f>
        <v>2.8194570115600199E-3</v>
      </c>
      <c r="AW81" s="188">
        <f>opex_orig!$AO81</f>
        <v>2.8194570115600199E-3</v>
      </c>
      <c r="AX81" s="188">
        <f>opex_orig!$AP81</f>
        <v>3.1359811455271701E-3</v>
      </c>
      <c r="AY81" s="188">
        <f>opex_orig!AQ81</f>
        <v>1.9563879999999999E-3</v>
      </c>
      <c r="AZ81" s="188">
        <f>opex_orig!AR81</f>
        <v>0</v>
      </c>
      <c r="BA81" s="188">
        <f>opex_orig!AS81</f>
        <v>1.6135030000000001E-3</v>
      </c>
      <c r="BB81" s="188">
        <f>opex_orig!AT81</f>
        <v>1.278602E-3</v>
      </c>
      <c r="BC81" s="188">
        <f>opex_orig!AU81</f>
        <v>9.7E-5</v>
      </c>
      <c r="BD81" s="188">
        <f>opex_orig!AV81</f>
        <v>6.0699999999999998E-5</v>
      </c>
      <c r="BE81" s="188">
        <f>opex_orig!AW81</f>
        <v>0.371808472</v>
      </c>
      <c r="BF81" s="188">
        <f>opex_orig!AX81</f>
        <v>0</v>
      </c>
      <c r="BG81" s="188">
        <f>opex_orig!AY81</f>
        <v>1.2875160000000001E-3</v>
      </c>
      <c r="BH81" s="188">
        <f>opex_orig!AZ81</f>
        <v>0</v>
      </c>
      <c r="BI81" s="188">
        <f>opex_orig!BA81</f>
        <v>4.1399660000000001E-3</v>
      </c>
      <c r="BJ81" s="188">
        <f>opex_orig!BB81</f>
        <v>4.5915069999999999E-3</v>
      </c>
      <c r="BK81" s="188">
        <f>opex_orig!BC81</f>
        <v>5.6218450000000003E-3</v>
      </c>
      <c r="BL81" s="188">
        <f>opex_orig!BD81</f>
        <v>8.9499999999999994E-5</v>
      </c>
      <c r="BM81" s="188">
        <f>opex_orig!BE81</f>
        <v>1.3625646999999999E-2</v>
      </c>
      <c r="BN81" s="188">
        <f>opex_orig!BF81</f>
        <v>1.44673E-4</v>
      </c>
      <c r="BO81" s="188">
        <f>opex_orig!BG81</f>
        <v>3.3774429999999999E-3</v>
      </c>
      <c r="BP81" s="188">
        <f>opex_orig!$BH81</f>
        <v>2.66629744245051E-4</v>
      </c>
      <c r="BQ81" s="188">
        <f>opex_orig!$BH81</f>
        <v>2.66629744245051E-4</v>
      </c>
      <c r="BR81" s="188">
        <f>opex_orig!BI81</f>
        <v>1.4130989999999999E-3</v>
      </c>
      <c r="BS81" s="188">
        <f>opex_orig!BJ81</f>
        <v>6.1457500000000002E-4</v>
      </c>
      <c r="BT81" s="188">
        <f>opex_orig!BK81</f>
        <v>2.7936697999999999E-2</v>
      </c>
      <c r="BU81" s="188">
        <f>opex_orig!BL81</f>
        <v>0</v>
      </c>
      <c r="BV81" s="27">
        <f>opex_orig!BM81</f>
        <v>1.5187950887589401E-4</v>
      </c>
      <c r="BW81" s="27">
        <f>opex_orig!BN81</f>
        <v>3.0415012623066898E-4</v>
      </c>
      <c r="BX81" s="27">
        <f>opex_orig!BO81</f>
        <v>3.40307977815541E-5</v>
      </c>
      <c r="BY81" s="27">
        <f>opex_orig!BP81</f>
        <v>8.2195983414110597E-5</v>
      </c>
      <c r="BZ81" s="27">
        <f>opex_orig!BQ81</f>
        <v>9.2782515768875898E-5</v>
      </c>
      <c r="CA81" s="27">
        <f>opex_orig!BR81</f>
        <v>4.8007642632627698E-4</v>
      </c>
      <c r="CB81" s="27">
        <f>opex_orig!BS81</f>
        <v>3.1227448488731902E-4</v>
      </c>
      <c r="CC81" s="27">
        <f>opex_orig!BT81</f>
        <v>1.47466077870211E-4</v>
      </c>
      <c r="CD81" s="27">
        <f>opex_orig!BU81</f>
        <v>1.0326482894561E-5</v>
      </c>
      <c r="CE81" s="27">
        <f>opex_orig!BV81</f>
        <v>1.0326482894561E-5</v>
      </c>
      <c r="CF81" s="27">
        <f>opex_orig!BW81</f>
        <v>9.2710739926508395E-5</v>
      </c>
      <c r="CG81" s="27">
        <f>opex_orig!BX81</f>
        <v>9.1494115368673706E-6</v>
      </c>
      <c r="CH81" s="27">
        <f>opex_orig!BY81</f>
        <v>3.5629356396544201E-5</v>
      </c>
      <c r="CI81" s="27">
        <f>opex_orig!Y81</f>
        <v>2.65E-5</v>
      </c>
      <c r="CJ81" s="27">
        <f>opex_orig!Z81</f>
        <v>1.7192600000000001E-4</v>
      </c>
      <c r="CK81" s="27">
        <f>opex_orig!AA81</f>
        <v>1.41633E-4</v>
      </c>
      <c r="CL81" s="27">
        <f>opex_orig!AB81</f>
        <v>1.70865505160655E-4</v>
      </c>
      <c r="CM81" s="27">
        <f>opex_orig!AC81</f>
        <v>2.9650870049547701E-4</v>
      </c>
      <c r="CN81" s="27">
        <f>opex_orig!AD81</f>
        <v>9.2161331207673403E-5</v>
      </c>
      <c r="CO81" s="27">
        <f>opex_orig!AE81</f>
        <v>7.0199999999999999E-5</v>
      </c>
      <c r="CP81" s="27">
        <f>opex_orig!AF81</f>
        <v>6.8580699999999997E-4</v>
      </c>
    </row>
    <row r="82" spans="1:94" x14ac:dyDescent="0.25">
      <c r="A82" s="5" t="s">
        <v>183</v>
      </c>
      <c r="B82" s="2" t="s">
        <v>182</v>
      </c>
      <c r="C82" s="1" t="s">
        <v>329</v>
      </c>
      <c r="D82" s="188">
        <f>opex_orig!D82</f>
        <v>1.1199999999999999E-5</v>
      </c>
      <c r="E82" s="188">
        <f>opex_orig!E82</f>
        <v>1.9599999999999999E-6</v>
      </c>
      <c r="F82" s="188">
        <f>opex_orig!F82</f>
        <v>1.15E-6</v>
      </c>
      <c r="G82" s="188">
        <f>opex_orig!G82</f>
        <v>1.5599999999999999E-7</v>
      </c>
      <c r="H82" s="188">
        <f>opex_orig!H82</f>
        <v>3.0899999999999997E-7</v>
      </c>
      <c r="I82" s="188">
        <f>opex_orig!I82</f>
        <v>3.3000000000000002E-6</v>
      </c>
      <c r="J82" s="188">
        <f>opex_orig!J82</f>
        <v>5.5400000000000003E-6</v>
      </c>
      <c r="K82" s="188">
        <f>opex_orig!K82</f>
        <v>4.3599999999999999E-7</v>
      </c>
      <c r="L82" s="188">
        <f>opex_orig!L82</f>
        <v>2.5799999999999999E-6</v>
      </c>
      <c r="M82" s="188">
        <f>opex_orig!M82</f>
        <v>6.7800000000000003E-6</v>
      </c>
      <c r="N82" s="188">
        <f>opex_orig!N82</f>
        <v>4.33E-6</v>
      </c>
      <c r="O82" s="188">
        <f>opex_orig!O82</f>
        <v>4.7600000000000002E-6</v>
      </c>
      <c r="P82" s="188">
        <f>opex_orig!P82</f>
        <v>8.32E-6</v>
      </c>
      <c r="Q82" s="188">
        <f>opex_orig!Q82</f>
        <v>2.43E-6</v>
      </c>
      <c r="R82" s="188">
        <f>opex_orig!R82</f>
        <v>2.8600000000000001E-6</v>
      </c>
      <c r="S82" s="188">
        <f>opex_orig!S82</f>
        <v>8.5299999999999996E-6</v>
      </c>
      <c r="T82" s="188">
        <f>opex_orig!T82</f>
        <v>1.7200000000000001E-5</v>
      </c>
      <c r="U82" s="188">
        <f>opex_orig!U82</f>
        <v>9.9199999999999999E-6</v>
      </c>
      <c r="V82" s="188">
        <f>opex_orig!V82</f>
        <v>6.8900000000000001E-6</v>
      </c>
      <c r="W82" s="188">
        <f>opex_orig!W82</f>
        <v>6.8199999999999999E-6</v>
      </c>
      <c r="X82" s="188">
        <f>opex_orig!X82</f>
        <v>2.4899999999999999E-6</v>
      </c>
      <c r="Y82" s="188">
        <f>opex_orig!Y82</f>
        <v>1.33E-6</v>
      </c>
      <c r="Z82" s="188">
        <f>opex_orig!Z82</f>
        <v>9.7899999999999994E-6</v>
      </c>
      <c r="AA82" s="188">
        <f>opex_orig!AA82</f>
        <v>1.2799999999999999E-5</v>
      </c>
      <c r="AB82" s="188">
        <f>opex_orig!$AB82</f>
        <v>1.5951605619348199E-5</v>
      </c>
      <c r="AC82" s="188">
        <f>opex_orig!$AB82</f>
        <v>1.5951605619348199E-5</v>
      </c>
      <c r="AD82" s="188">
        <f>opex_orig!$AB82</f>
        <v>1.5951605619348199E-5</v>
      </c>
      <c r="AE82" s="188">
        <f>opex_orig!$AC82</f>
        <v>9.1110088622434701E-6</v>
      </c>
      <c r="AF82" s="188">
        <f>opex_orig!$AD82</f>
        <v>3.96898461778239E-6</v>
      </c>
      <c r="AG82" s="188">
        <f>opex_orig!$AD82</f>
        <v>3.96898461778239E-6</v>
      </c>
      <c r="AH82" s="188">
        <f>opex_orig!$AD82</f>
        <v>3.96898461778239E-6</v>
      </c>
      <c r="AI82" s="188">
        <f>opex_orig!AE82</f>
        <v>3.5499999999999999E-6</v>
      </c>
      <c r="AJ82" s="188">
        <f>opex_orig!AF82</f>
        <v>5.8499999999999999E-5</v>
      </c>
      <c r="AK82" s="188">
        <f>opex_orig!AG82</f>
        <v>2.1800000000000001E-5</v>
      </c>
      <c r="AL82" s="188">
        <f>opex_orig!AH82</f>
        <v>9.8400000000000007E-6</v>
      </c>
      <c r="AM82" s="188">
        <f>opex_orig!AI82</f>
        <v>1.22E-5</v>
      </c>
      <c r="AN82" s="188">
        <f>opex_orig!AJ82</f>
        <v>1.2500000000000001E-5</v>
      </c>
      <c r="AO82" s="188">
        <f>opex_orig!AK82</f>
        <v>1.26E-5</v>
      </c>
      <c r="AP82" s="188">
        <f>opex_orig!$AL82</f>
        <v>1.31872783137378E-5</v>
      </c>
      <c r="AQ82" s="188">
        <f>opex_orig!$AL82</f>
        <v>1.31872783137378E-5</v>
      </c>
      <c r="AR82" s="188">
        <f>opex_orig!$AL82</f>
        <v>1.31872783137378E-5</v>
      </c>
      <c r="AS82" s="188">
        <f>opex_orig!$AM82</f>
        <v>1.2041321898687E-5</v>
      </c>
      <c r="AT82" s="188">
        <f>opex_orig!AN82</f>
        <v>1.56E-5</v>
      </c>
      <c r="AU82" s="188">
        <f>opex_orig!$AO82</f>
        <v>2.03969700218559E-4</v>
      </c>
      <c r="AV82" s="188">
        <f>opex_orig!$AO82</f>
        <v>2.03969700218559E-4</v>
      </c>
      <c r="AW82" s="188">
        <f>opex_orig!$AO82</f>
        <v>2.03969700218559E-4</v>
      </c>
      <c r="AX82" s="188">
        <f>opex_orig!$AP82</f>
        <v>2.2493989954695701E-4</v>
      </c>
      <c r="AY82" s="188">
        <f>opex_orig!AQ82</f>
        <v>1.41526E-4</v>
      </c>
      <c r="AZ82" s="188">
        <f>opex_orig!AR82</f>
        <v>0</v>
      </c>
      <c r="BA82" s="188">
        <f>opex_orig!AS82</f>
        <v>1.1764000000000001E-4</v>
      </c>
      <c r="BB82" s="188">
        <f>opex_orig!AT82</f>
        <v>9.6199999999999994E-5</v>
      </c>
      <c r="BC82" s="188">
        <f>opex_orig!AU82</f>
        <v>5.4700000000000001E-6</v>
      </c>
      <c r="BD82" s="188">
        <f>opex_orig!AV82</f>
        <v>3.6600000000000001E-6</v>
      </c>
      <c r="BE82" s="188">
        <f>opex_orig!AW82</f>
        <v>2.6050659E-2</v>
      </c>
      <c r="BF82" s="188">
        <f>opex_orig!AX82</f>
        <v>0</v>
      </c>
      <c r="BG82" s="188">
        <f>opex_orig!AY82</f>
        <v>8.7499999999999999E-5</v>
      </c>
      <c r="BH82" s="188">
        <f>opex_orig!AZ82</f>
        <v>0</v>
      </c>
      <c r="BI82" s="188">
        <f>opex_orig!BA82</f>
        <v>3.00869E-4</v>
      </c>
      <c r="BJ82" s="188">
        <f>opex_orig!BB82</f>
        <v>3.4092999999999998E-4</v>
      </c>
      <c r="BK82" s="188">
        <f>opex_orig!BC82</f>
        <v>4.0989299999999999E-4</v>
      </c>
      <c r="BL82" s="188">
        <f>opex_orig!BD82</f>
        <v>1.4100000000000001E-5</v>
      </c>
      <c r="BM82" s="188">
        <f>opex_orig!BE82</f>
        <v>9.6010500000000005E-4</v>
      </c>
      <c r="BN82" s="188">
        <f>opex_orig!BF82</f>
        <v>1.0200000000000001E-5</v>
      </c>
      <c r="BO82" s="188">
        <f>opex_orig!BG82</f>
        <v>2.4042200000000001E-4</v>
      </c>
      <c r="BP82" s="188">
        <f>opex_orig!$BH82</f>
        <v>2.48179044551278E-5</v>
      </c>
      <c r="BQ82" s="188">
        <f>opex_orig!$BH82</f>
        <v>2.48179044551278E-5</v>
      </c>
      <c r="BR82" s="188">
        <f>opex_orig!BI82</f>
        <v>1.0446300000000001E-4</v>
      </c>
      <c r="BS82" s="188">
        <f>opex_orig!BJ82</f>
        <v>5.0399999999999999E-5</v>
      </c>
      <c r="BT82" s="188">
        <f>opex_orig!BK82</f>
        <v>1.9534349999999999E-3</v>
      </c>
      <c r="BU82" s="188">
        <f>opex_orig!BL82</f>
        <v>0</v>
      </c>
      <c r="BV82" s="27">
        <f>opex_orig!BM82</f>
        <v>1.36295854817307E-5</v>
      </c>
      <c r="BW82" s="27">
        <f>opex_orig!BN82</f>
        <v>2.6338478337909901E-5</v>
      </c>
      <c r="BX82" s="27">
        <f>opex_orig!BO82</f>
        <v>3.5428383741703301E-6</v>
      </c>
      <c r="BY82" s="27">
        <f>opex_orig!BP82</f>
        <v>4.0436116726382602E-6</v>
      </c>
      <c r="BZ82" s="27">
        <f>opex_orig!BQ82</f>
        <v>2.9551499129921099E-6</v>
      </c>
      <c r="CA82" s="27">
        <f>opex_orig!BR82</f>
        <v>1.99242351468759E-5</v>
      </c>
      <c r="CB82" s="27">
        <f>opex_orig!BS82</f>
        <v>2.4530358770158598E-5</v>
      </c>
      <c r="CC82" s="27">
        <f>opex_orig!BT82</f>
        <v>3.12264420219156E-4</v>
      </c>
      <c r="CD82" s="27">
        <f>opex_orig!BU82</f>
        <v>1.7149777832530399E-6</v>
      </c>
      <c r="CE82" s="27">
        <f>opex_orig!BV82</f>
        <v>1.7149777832530399E-6</v>
      </c>
      <c r="CF82" s="27">
        <f>opex_orig!BW82</f>
        <v>2.8220396785200401E-6</v>
      </c>
      <c r="CG82" s="27">
        <f>opex_orig!BX82</f>
        <v>9.7047520431913693E-7</v>
      </c>
      <c r="CH82" s="27">
        <f>opex_orig!BY82</f>
        <v>3.9839556271831899E-6</v>
      </c>
      <c r="CI82" s="27">
        <f>opex_orig!Y82</f>
        <v>1.33E-6</v>
      </c>
      <c r="CJ82" s="27">
        <f>opex_orig!Z82</f>
        <v>9.7899999999999994E-6</v>
      </c>
      <c r="CK82" s="27">
        <f>opex_orig!AA82</f>
        <v>1.2799999999999999E-5</v>
      </c>
      <c r="CL82" s="27">
        <f>opex_orig!AB82</f>
        <v>1.5951605619348199E-5</v>
      </c>
      <c r="CM82" s="27">
        <f>opex_orig!AC82</f>
        <v>9.1110088622434701E-6</v>
      </c>
      <c r="CN82" s="27">
        <f>opex_orig!AD82</f>
        <v>3.96898461778239E-6</v>
      </c>
      <c r="CO82" s="27">
        <f>opex_orig!AE82</f>
        <v>3.5499999999999999E-6</v>
      </c>
      <c r="CP82" s="27">
        <f>opex_orig!AF82</f>
        <v>5.8499999999999999E-5</v>
      </c>
    </row>
    <row r="83" spans="1:94" x14ac:dyDescent="0.25">
      <c r="A83" s="5" t="s">
        <v>185</v>
      </c>
      <c r="B83" s="2" t="s">
        <v>184</v>
      </c>
      <c r="C83" s="1" t="s">
        <v>329</v>
      </c>
      <c r="D83" s="188">
        <f>opex_orig!D83</f>
        <v>8.9600000000000006E-6</v>
      </c>
      <c r="E83" s="188">
        <f>opex_orig!E83</f>
        <v>2.6199999999999999E-6</v>
      </c>
      <c r="F83" s="188">
        <f>opex_orig!F83</f>
        <v>3.05E-6</v>
      </c>
      <c r="G83" s="188">
        <f>opex_orig!G83</f>
        <v>1.37E-7</v>
      </c>
      <c r="H83" s="188">
        <f>opex_orig!H83</f>
        <v>2.16E-7</v>
      </c>
      <c r="I83" s="188">
        <f>opex_orig!I83</f>
        <v>2.8100000000000002E-6</v>
      </c>
      <c r="J83" s="188">
        <f>opex_orig!J83</f>
        <v>3.5099999999999999E-6</v>
      </c>
      <c r="K83" s="188">
        <f>opex_orig!K83</f>
        <v>4.0499999999999999E-7</v>
      </c>
      <c r="L83" s="188">
        <f>opex_orig!L83</f>
        <v>3.49E-6</v>
      </c>
      <c r="M83" s="188">
        <f>opex_orig!M83</f>
        <v>6.2099999999999998E-6</v>
      </c>
      <c r="N83" s="188">
        <f>opex_orig!N83</f>
        <v>1.0499999999999999E-5</v>
      </c>
      <c r="O83" s="188">
        <f>opex_orig!O83</f>
        <v>4.7999999999999998E-6</v>
      </c>
      <c r="P83" s="188">
        <f>opex_orig!P83</f>
        <v>9.5699999999999999E-6</v>
      </c>
      <c r="Q83" s="188">
        <f>opex_orig!Q83</f>
        <v>6.1600000000000003E-6</v>
      </c>
      <c r="R83" s="188">
        <f>opex_orig!R83</f>
        <v>1.4600000000000001E-5</v>
      </c>
      <c r="S83" s="188">
        <f>opex_orig!S83</f>
        <v>8.4700000000000002E-6</v>
      </c>
      <c r="T83" s="188">
        <f>opex_orig!T83</f>
        <v>1.19E-5</v>
      </c>
      <c r="U83" s="188">
        <f>opex_orig!U83</f>
        <v>7.5800000000000003E-6</v>
      </c>
      <c r="V83" s="188">
        <f>opex_orig!V83</f>
        <v>9.5100000000000004E-6</v>
      </c>
      <c r="W83" s="188">
        <f>opex_orig!W83</f>
        <v>1.0200000000000001E-5</v>
      </c>
      <c r="X83" s="188">
        <f>opex_orig!X83</f>
        <v>3.9999999999999998E-6</v>
      </c>
      <c r="Y83" s="188">
        <f>opex_orig!Y83</f>
        <v>2.5799999999999999E-6</v>
      </c>
      <c r="Z83" s="188">
        <f>opex_orig!Z83</f>
        <v>1.43E-5</v>
      </c>
      <c r="AA83" s="188">
        <f>opex_orig!AA83</f>
        <v>1.15E-5</v>
      </c>
      <c r="AB83" s="188">
        <f>opex_orig!$AB83</f>
        <v>9.0366496289934003E-6</v>
      </c>
      <c r="AC83" s="188">
        <f>opex_orig!$AB83</f>
        <v>9.0366496289934003E-6</v>
      </c>
      <c r="AD83" s="188">
        <f>opex_orig!$AB83</f>
        <v>9.0366496289934003E-6</v>
      </c>
      <c r="AE83" s="188">
        <f>opex_orig!$AC83</f>
        <v>3.34515584742981E-5</v>
      </c>
      <c r="AF83" s="188">
        <f>opex_orig!$AD83</f>
        <v>8.6431424388801692E-6</v>
      </c>
      <c r="AG83" s="188">
        <f>opex_orig!$AD83</f>
        <v>8.6431424388801692E-6</v>
      </c>
      <c r="AH83" s="188">
        <f>opex_orig!$AD83</f>
        <v>8.6431424388801692E-6</v>
      </c>
      <c r="AI83" s="188">
        <f>opex_orig!AE83</f>
        <v>5.6799999999999998E-6</v>
      </c>
      <c r="AJ83" s="188">
        <f>opex_orig!AF83</f>
        <v>5.77E-5</v>
      </c>
      <c r="AK83" s="188">
        <f>opex_orig!AG83</f>
        <v>3.8699999999999999E-5</v>
      </c>
      <c r="AL83" s="188">
        <f>opex_orig!AH83</f>
        <v>2.0000000000000002E-5</v>
      </c>
      <c r="AM83" s="188">
        <f>opex_orig!AI83</f>
        <v>2.1999999999999999E-5</v>
      </c>
      <c r="AN83" s="188">
        <f>opex_orig!AJ83</f>
        <v>1.8499999999999999E-5</v>
      </c>
      <c r="AO83" s="188">
        <f>opex_orig!AK83</f>
        <v>2.27E-5</v>
      </c>
      <c r="AP83" s="188">
        <f>opex_orig!$AL83</f>
        <v>1.3348433603170399E-5</v>
      </c>
      <c r="AQ83" s="188">
        <f>opex_orig!$AL83</f>
        <v>1.3348433603170399E-5</v>
      </c>
      <c r="AR83" s="188">
        <f>opex_orig!$AL83</f>
        <v>1.3348433603170399E-5</v>
      </c>
      <c r="AS83" s="188">
        <f>opex_orig!$AM83</f>
        <v>1.59591542313412E-5</v>
      </c>
      <c r="AT83" s="188">
        <f>opex_orig!AN83</f>
        <v>1.68469E-4</v>
      </c>
      <c r="AU83" s="188">
        <f>opex_orig!$AO83</f>
        <v>4.2062223061010602E-3</v>
      </c>
      <c r="AV83" s="188">
        <f>opex_orig!$AO83</f>
        <v>4.2062223061010602E-3</v>
      </c>
      <c r="AW83" s="188">
        <f>opex_orig!$AO83</f>
        <v>4.2062223061010602E-3</v>
      </c>
      <c r="AX83" s="188">
        <f>opex_orig!$AP83</f>
        <v>4.2852975296679002E-3</v>
      </c>
      <c r="AY83" s="188">
        <f>opex_orig!AQ83</f>
        <v>1.5211000000000001E-3</v>
      </c>
      <c r="AZ83" s="188">
        <f>opex_orig!AR83</f>
        <v>0</v>
      </c>
      <c r="BA83" s="188">
        <f>opex_orig!AS83</f>
        <v>2.5445157999999999E-2</v>
      </c>
      <c r="BB83" s="188">
        <f>opex_orig!AT83</f>
        <v>2.7390742999999999E-2</v>
      </c>
      <c r="BC83" s="188">
        <f>opex_orig!AU83</f>
        <v>7.7100000000000007E-6</v>
      </c>
      <c r="BD83" s="188">
        <f>opex_orig!AV83</f>
        <v>6.8600000000000004E-6</v>
      </c>
      <c r="BE83" s="188">
        <f>opex_orig!AW83</f>
        <v>2.1092763E-2</v>
      </c>
      <c r="BF83" s="188">
        <f>opex_orig!AX83</f>
        <v>0</v>
      </c>
      <c r="BG83" s="188">
        <f>opex_orig!AY83</f>
        <v>9.6640989999999996E-2</v>
      </c>
      <c r="BH83" s="188">
        <f>opex_orig!AZ83</f>
        <v>0</v>
      </c>
      <c r="BI83" s="188">
        <f>opex_orig!BA83</f>
        <v>8.9968289999999996E-3</v>
      </c>
      <c r="BJ83" s="188">
        <f>opex_orig!BB83</f>
        <v>1.3782390000000001E-3</v>
      </c>
      <c r="BK83" s="188">
        <f>opex_orig!BC83</f>
        <v>1.223191E-3</v>
      </c>
      <c r="BL83" s="188">
        <f>opex_orig!BD83</f>
        <v>2.9899999999999998E-5</v>
      </c>
      <c r="BM83" s="188">
        <f>opex_orig!BE83</f>
        <v>1.047805E-3</v>
      </c>
      <c r="BN83" s="188">
        <f>opex_orig!BF83</f>
        <v>1.9199999999999999E-5</v>
      </c>
      <c r="BO83" s="188">
        <f>opex_orig!BG83</f>
        <v>6.9811899999999997E-4</v>
      </c>
      <c r="BP83" s="188">
        <f>opex_orig!$BH83</f>
        <v>9.3596404351459206E-5</v>
      </c>
      <c r="BQ83" s="188">
        <f>opex_orig!$BH83</f>
        <v>9.3596404351459206E-5</v>
      </c>
      <c r="BR83" s="188">
        <f>opex_orig!BI83</f>
        <v>9.7292899999999998E-4</v>
      </c>
      <c r="BS83" s="188">
        <f>opex_orig!BJ83</f>
        <v>3.8625529999999999E-3</v>
      </c>
      <c r="BT83" s="188">
        <f>opex_orig!BK83</f>
        <v>5.7057210000000004E-3</v>
      </c>
      <c r="BU83" s="188">
        <f>opex_orig!BL83</f>
        <v>0</v>
      </c>
      <c r="BV83" s="27">
        <f>opex_orig!BM83</f>
        <v>1.0837874321367199E-5</v>
      </c>
      <c r="BW83" s="27">
        <f>opex_orig!BN83</f>
        <v>1.8869888058554199E-5</v>
      </c>
      <c r="BX83" s="27">
        <f>opex_orig!BO83</f>
        <v>5.4660033261106397E-6</v>
      </c>
      <c r="BY83" s="27">
        <f>opex_orig!BP83</f>
        <v>1.05423626010099E-5</v>
      </c>
      <c r="BZ83" s="27">
        <f>opex_orig!BQ83</f>
        <v>1.46290812918585E-5</v>
      </c>
      <c r="CA83" s="27">
        <f>opex_orig!BR83</f>
        <v>2.4682630383344401E-6</v>
      </c>
      <c r="CB83" s="27">
        <f>opex_orig!BS83</f>
        <v>8.8651488098675392E-6</v>
      </c>
      <c r="CC83" s="27">
        <f>opex_orig!BT83</f>
        <v>2.4601197121680698E-4</v>
      </c>
      <c r="CD83" s="27">
        <f>opex_orig!BU83</f>
        <v>2.0783453776497499E-6</v>
      </c>
      <c r="CE83" s="27">
        <f>opex_orig!BV83</f>
        <v>2.0783453776497499E-6</v>
      </c>
      <c r="CF83" s="27">
        <f>opex_orig!BW83</f>
        <v>2.9373928187649601E-6</v>
      </c>
      <c r="CG83" s="27">
        <f>opex_orig!BX83</f>
        <v>2.6151007337408199E-6</v>
      </c>
      <c r="CH83" s="27">
        <f>opex_orig!BY83</f>
        <v>4.9438736703605402E-6</v>
      </c>
      <c r="CI83" s="27">
        <f>opex_orig!Y83</f>
        <v>2.5799999999999999E-6</v>
      </c>
      <c r="CJ83" s="27">
        <f>opex_orig!Z83</f>
        <v>1.43E-5</v>
      </c>
      <c r="CK83" s="27">
        <f>opex_orig!AA83</f>
        <v>1.15E-5</v>
      </c>
      <c r="CL83" s="27">
        <f>opex_orig!AB83</f>
        <v>9.0366496289934003E-6</v>
      </c>
      <c r="CM83" s="27">
        <f>opex_orig!AC83</f>
        <v>3.34515584742981E-5</v>
      </c>
      <c r="CN83" s="27">
        <f>opex_orig!AD83</f>
        <v>8.6431424388801692E-6</v>
      </c>
      <c r="CO83" s="27">
        <f>opex_orig!AE83</f>
        <v>5.6799999999999998E-6</v>
      </c>
      <c r="CP83" s="27">
        <f>opex_orig!AF83</f>
        <v>5.77E-5</v>
      </c>
    </row>
    <row r="84" spans="1:94" x14ac:dyDescent="0.25">
      <c r="A84" s="5" t="s">
        <v>187</v>
      </c>
      <c r="B84" s="2" t="s">
        <v>186</v>
      </c>
      <c r="C84" s="1" t="s">
        <v>329</v>
      </c>
      <c r="D84" s="188">
        <f>opex_orig!D84</f>
        <v>1.0800000000000001E-8</v>
      </c>
      <c r="E84" s="188">
        <f>opex_orig!E84</f>
        <v>6.6400000000000002E-9</v>
      </c>
      <c r="F84" s="188">
        <f>opex_orig!F84</f>
        <v>6.5400000000000003E-8</v>
      </c>
      <c r="G84" s="188">
        <f>opex_orig!G84</f>
        <v>1.37E-9</v>
      </c>
      <c r="H84" s="188">
        <f>opex_orig!H84</f>
        <v>6.3799999999999997E-10</v>
      </c>
      <c r="I84" s="188">
        <f>opex_orig!I84</f>
        <v>1.29E-8</v>
      </c>
      <c r="J84" s="188">
        <f>opex_orig!J84</f>
        <v>3.3499999999999998E-9</v>
      </c>
      <c r="K84" s="188">
        <f>opex_orig!K84</f>
        <v>4.25E-9</v>
      </c>
      <c r="L84" s="188">
        <f>opex_orig!L84</f>
        <v>3.7100000000000001E-8</v>
      </c>
      <c r="M84" s="188">
        <f>opex_orig!M84</f>
        <v>1.6899999999999999E-7</v>
      </c>
      <c r="N84" s="188">
        <f>opex_orig!N84</f>
        <v>3.7E-8</v>
      </c>
      <c r="O84" s="188">
        <f>opex_orig!O84</f>
        <v>3.3000000000000002E-9</v>
      </c>
      <c r="P84" s="188">
        <f>opex_orig!P84</f>
        <v>1.8199999999999999E-7</v>
      </c>
      <c r="Q84" s="188">
        <f>opex_orig!Q84</f>
        <v>1.01E-7</v>
      </c>
      <c r="R84" s="188">
        <f>opex_orig!R84</f>
        <v>1.1000000000000001E-6</v>
      </c>
      <c r="S84" s="188">
        <f>opex_orig!S84</f>
        <v>1.68E-7</v>
      </c>
      <c r="T84" s="188">
        <f>opex_orig!T84</f>
        <v>1.7700000000000001E-7</v>
      </c>
      <c r="U84" s="188">
        <f>opex_orig!U84</f>
        <v>3.8299999999999999E-8</v>
      </c>
      <c r="V84" s="188">
        <f>opex_orig!V84</f>
        <v>4.7500000000000002E-8</v>
      </c>
      <c r="W84" s="188">
        <f>opex_orig!W84</f>
        <v>2.22E-7</v>
      </c>
      <c r="X84" s="188">
        <f>opex_orig!X84</f>
        <v>2.0100000000000001E-8</v>
      </c>
      <c r="Y84" s="188">
        <f>opex_orig!Y84</f>
        <v>2.4100000000000001E-8</v>
      </c>
      <c r="Z84" s="188">
        <f>opex_orig!Z84</f>
        <v>4.03E-7</v>
      </c>
      <c r="AA84" s="188">
        <f>opex_orig!AA84</f>
        <v>8.5199999999999995E-8</v>
      </c>
      <c r="AB84" s="188">
        <f>opex_orig!$AB84</f>
        <v>8.6035397783405394E-8</v>
      </c>
      <c r="AC84" s="188">
        <f>opex_orig!$AB84</f>
        <v>8.6035397783405394E-8</v>
      </c>
      <c r="AD84" s="188">
        <f>opex_orig!$AB84</f>
        <v>8.6035397783405394E-8</v>
      </c>
      <c r="AE84" s="188">
        <f>opex_orig!$AC84</f>
        <v>8.4765890244920008E-9</v>
      </c>
      <c r="AF84" s="188">
        <f>opex_orig!$AD84</f>
        <v>7.1281056474228395E-8</v>
      </c>
      <c r="AG84" s="188">
        <f>opex_orig!$AD84</f>
        <v>7.1281056474228395E-8</v>
      </c>
      <c r="AH84" s="188">
        <f>opex_orig!$AD84</f>
        <v>7.1281056474228395E-8</v>
      </c>
      <c r="AI84" s="188">
        <f>opex_orig!AE84</f>
        <v>1.35E-8</v>
      </c>
      <c r="AJ84" s="188">
        <f>opex_orig!AF84</f>
        <v>4.4399999999999998E-6</v>
      </c>
      <c r="AK84" s="188">
        <f>opex_orig!AG84</f>
        <v>2.3099999999999999E-6</v>
      </c>
      <c r="AL84" s="188">
        <f>opex_orig!AH84</f>
        <v>5.5099999999999997E-8</v>
      </c>
      <c r="AM84" s="188">
        <f>opex_orig!AI84</f>
        <v>2.1799999999999999E-7</v>
      </c>
      <c r="AN84" s="188">
        <f>opex_orig!AJ84</f>
        <v>6.6100000000000003E-8</v>
      </c>
      <c r="AO84" s="188">
        <f>opex_orig!AK84</f>
        <v>1.2800000000000001E-7</v>
      </c>
      <c r="AP84" s="188">
        <f>opex_orig!$AL84</f>
        <v>7.8836990771720995E-8</v>
      </c>
      <c r="AQ84" s="188">
        <f>opex_orig!$AL84</f>
        <v>7.8836990771720995E-8</v>
      </c>
      <c r="AR84" s="188">
        <f>opex_orig!$AL84</f>
        <v>7.8836990771720995E-8</v>
      </c>
      <c r="AS84" s="188">
        <f>opex_orig!$AM84</f>
        <v>9.2304704422628905E-8</v>
      </c>
      <c r="AT84" s="188">
        <f>opex_orig!AN84</f>
        <v>1.34E-5</v>
      </c>
      <c r="AU84" s="188">
        <f>opex_orig!$AO84</f>
        <v>3.6702367043394698E-4</v>
      </c>
      <c r="AV84" s="188">
        <f>opex_orig!$AO84</f>
        <v>3.6702367043394698E-4</v>
      </c>
      <c r="AW84" s="188">
        <f>opex_orig!$AO84</f>
        <v>3.6702367043394698E-4</v>
      </c>
      <c r="AX84" s="188">
        <f>opex_orig!$AP84</f>
        <v>3.7492763881250398E-4</v>
      </c>
      <c r="AY84" s="188">
        <f>opex_orig!AQ84</f>
        <v>1.3159700000000001E-4</v>
      </c>
      <c r="AZ84" s="188">
        <f>opex_orig!AR84</f>
        <v>0</v>
      </c>
      <c r="BA84" s="188">
        <f>opex_orig!AS84</f>
        <v>2.2452610000000001E-3</v>
      </c>
      <c r="BB84" s="188">
        <f>opex_orig!AT84</f>
        <v>2.4236399999999999E-3</v>
      </c>
      <c r="BC84" s="188">
        <f>opex_orig!AU84</f>
        <v>3.1300000000000002E-8</v>
      </c>
      <c r="BD84" s="188">
        <f>opex_orig!AV84</f>
        <v>2.4900000000000001E-8</v>
      </c>
      <c r="BE84" s="188">
        <f>opex_orig!AW84</f>
        <v>1.8552099999999999E-3</v>
      </c>
      <c r="BF84" s="188">
        <f>opex_orig!AX84</f>
        <v>0</v>
      </c>
      <c r="BG84" s="188">
        <f>opex_orig!AY84</f>
        <v>8.4431990000000002E-3</v>
      </c>
      <c r="BH84" s="188">
        <f>opex_orig!AZ84</f>
        <v>0</v>
      </c>
      <c r="BI84" s="188">
        <f>opex_orig!BA84</f>
        <v>7.9186000000000002E-4</v>
      </c>
      <c r="BJ84" s="188">
        <f>opex_orig!BB84</f>
        <v>1.17924E-4</v>
      </c>
      <c r="BK84" s="188">
        <f>opex_orig!BC84</f>
        <v>1.05295E-4</v>
      </c>
      <c r="BL84" s="188">
        <f>opex_orig!BD84</f>
        <v>1.53E-6</v>
      </c>
      <c r="BM84" s="188">
        <f>opex_orig!BE84</f>
        <v>9.1500000000000001E-5</v>
      </c>
      <c r="BN84" s="188">
        <f>opex_orig!BF84</f>
        <v>1.0100000000000001E-6</v>
      </c>
      <c r="BO84" s="188">
        <f>opex_orig!BG84</f>
        <v>6.0000000000000002E-5</v>
      </c>
      <c r="BP84" s="188">
        <f>opex_orig!$BH84</f>
        <v>7.0829288802974696E-6</v>
      </c>
      <c r="BQ84" s="188">
        <f>opex_orig!$BH84</f>
        <v>7.0829288802974696E-6</v>
      </c>
      <c r="BR84" s="188">
        <f>opex_orig!BI84</f>
        <v>8.3999999999999995E-5</v>
      </c>
      <c r="BS84" s="188">
        <f>opex_orig!BJ84</f>
        <v>3.38628E-4</v>
      </c>
      <c r="BT84" s="188">
        <f>opex_orig!BK84</f>
        <v>5.0250999999999996E-4</v>
      </c>
      <c r="BU84" s="188">
        <f>opex_orig!BL84</f>
        <v>0</v>
      </c>
      <c r="BV84" s="27">
        <f>opex_orig!BM84</f>
        <v>2.0712417064868401E-7</v>
      </c>
      <c r="BW84" s="27">
        <f>opex_orig!BN84</f>
        <v>2.8328601953452798E-7</v>
      </c>
      <c r="BX84" s="27">
        <f>opex_orig!BO84</f>
        <v>3.89805725116517E-8</v>
      </c>
      <c r="BY84" s="27">
        <f>opex_orig!BP84</f>
        <v>4.6851485057264701E-8</v>
      </c>
      <c r="BZ84" s="27">
        <f>opex_orig!BQ84</f>
        <v>3.3206537214747597E-8</v>
      </c>
      <c r="CA84" s="27">
        <f>opex_orig!BR84</f>
        <v>7.8604909072974002E-8</v>
      </c>
      <c r="CB84" s="27">
        <f>opex_orig!BS84</f>
        <v>2.4697540768162898E-7</v>
      </c>
      <c r="CC84" s="27">
        <f>opex_orig!BT84</f>
        <v>9.53467422533602E-7</v>
      </c>
      <c r="CD84" s="27">
        <f>opex_orig!BU84</f>
        <v>2.1324305506285199E-8</v>
      </c>
      <c r="CE84" s="27">
        <f>opex_orig!BV84</f>
        <v>2.1324305506285199E-8</v>
      </c>
      <c r="CF84" s="27">
        <f>opex_orig!BW84</f>
        <v>1.71849031988797E-8</v>
      </c>
      <c r="CG84" s="27">
        <f>opex_orig!BX84</f>
        <v>3.08678492730288E-7</v>
      </c>
      <c r="CH84" s="27">
        <f>opex_orig!BY84</f>
        <v>2.05415151076479E-9</v>
      </c>
      <c r="CI84" s="27">
        <f>opex_orig!Y84</f>
        <v>2.4100000000000001E-8</v>
      </c>
      <c r="CJ84" s="27">
        <f>opex_orig!Z84</f>
        <v>4.03E-7</v>
      </c>
      <c r="CK84" s="27">
        <f>opex_orig!AA84</f>
        <v>8.5199999999999995E-8</v>
      </c>
      <c r="CL84" s="27">
        <f>opex_orig!AB84</f>
        <v>8.6035397783405394E-8</v>
      </c>
      <c r="CM84" s="27">
        <f>opex_orig!AC84</f>
        <v>8.4765890244920008E-9</v>
      </c>
      <c r="CN84" s="27">
        <f>opex_orig!AD84</f>
        <v>7.1281056474228395E-8</v>
      </c>
      <c r="CO84" s="27">
        <f>opex_orig!AE84</f>
        <v>1.35E-8</v>
      </c>
      <c r="CP84" s="27">
        <f>opex_orig!AF84</f>
        <v>4.4399999999999998E-6</v>
      </c>
    </row>
    <row r="85" spans="1:94" x14ac:dyDescent="0.25">
      <c r="A85" s="5" t="s">
        <v>189</v>
      </c>
      <c r="B85" s="2" t="s">
        <v>188</v>
      </c>
      <c r="C85" s="1" t="s">
        <v>329</v>
      </c>
      <c r="D85" s="188">
        <f>opex_orig!D85</f>
        <v>8.5400000000000002E-5</v>
      </c>
      <c r="E85" s="188">
        <f>opex_orig!E85</f>
        <v>4.8099999999999997E-5</v>
      </c>
      <c r="F85" s="188">
        <f>opex_orig!F85</f>
        <v>3.3699999999999999E-5</v>
      </c>
      <c r="G85" s="188">
        <f>opex_orig!G85</f>
        <v>4.9200000000000003E-6</v>
      </c>
      <c r="H85" s="188">
        <f>opex_orig!H85</f>
        <v>8.8300000000000002E-6</v>
      </c>
      <c r="I85" s="188">
        <f>opex_orig!I85</f>
        <v>1.14082E-4</v>
      </c>
      <c r="J85" s="188">
        <f>opex_orig!J85</f>
        <v>1.33392E-4</v>
      </c>
      <c r="K85" s="188">
        <f>opex_orig!K85</f>
        <v>1.5500000000000001E-5</v>
      </c>
      <c r="L85" s="188">
        <f>opex_orig!L85</f>
        <v>9.4400000000000004E-5</v>
      </c>
      <c r="M85" s="188">
        <f>opex_orig!M85</f>
        <v>2.7483500000000002E-4</v>
      </c>
      <c r="N85" s="188">
        <f>opex_orig!N85</f>
        <v>1.483E-4</v>
      </c>
      <c r="O85" s="188">
        <f>opex_orig!O85</f>
        <v>1.194227E-3</v>
      </c>
      <c r="P85" s="188">
        <f>opex_orig!P85</f>
        <v>1.98679E-4</v>
      </c>
      <c r="Q85" s="188">
        <f>opex_orig!Q85</f>
        <v>9.59E-5</v>
      </c>
      <c r="R85" s="188">
        <f>opex_orig!R85</f>
        <v>9.8200000000000002E-5</v>
      </c>
      <c r="S85" s="188">
        <f>opex_orig!S85</f>
        <v>2.9986699999999999E-4</v>
      </c>
      <c r="T85" s="188">
        <f>opex_orig!T85</f>
        <v>5.1825000000000005E-4</v>
      </c>
      <c r="U85" s="188">
        <f>opex_orig!U85</f>
        <v>3.3523E-4</v>
      </c>
      <c r="V85" s="188">
        <f>opex_orig!V85</f>
        <v>3.4419600000000001E-4</v>
      </c>
      <c r="W85" s="188">
        <f>opex_orig!W85</f>
        <v>3.59489E-4</v>
      </c>
      <c r="X85" s="188">
        <f>opex_orig!X85</f>
        <v>7.0500000000000006E-5</v>
      </c>
      <c r="Y85" s="188">
        <f>opex_orig!Y85</f>
        <v>6.4455899999999995E-4</v>
      </c>
      <c r="Z85" s="188">
        <f>opex_orig!Z85</f>
        <v>6.1211900000000005E-4</v>
      </c>
      <c r="AA85" s="188">
        <f>opex_orig!AA85</f>
        <v>8.9073199999999998E-4</v>
      </c>
      <c r="AB85" s="188">
        <f>opex_orig!$AB85</f>
        <v>7.5522760802157696E-5</v>
      </c>
      <c r="AC85" s="188">
        <f>opex_orig!$AB85</f>
        <v>7.5522760802157696E-5</v>
      </c>
      <c r="AD85" s="188">
        <f>opex_orig!$AB85</f>
        <v>7.5522760802157696E-5</v>
      </c>
      <c r="AE85" s="188">
        <f>opex_orig!$AC85</f>
        <v>1.92548061627304E-4</v>
      </c>
      <c r="AF85" s="188">
        <f>opex_orig!$AD85</f>
        <v>2.21789908323414E-4</v>
      </c>
      <c r="AG85" s="188">
        <f>opex_orig!$AD85</f>
        <v>2.21789908323414E-4</v>
      </c>
      <c r="AH85" s="188">
        <f>opex_orig!$AD85</f>
        <v>2.21789908323414E-4</v>
      </c>
      <c r="AI85" s="188">
        <f>opex_orig!AE85</f>
        <v>1.82282E-4</v>
      </c>
      <c r="AJ85" s="188">
        <f>opex_orig!AF85</f>
        <v>5.9412899999999999E-4</v>
      </c>
      <c r="AK85" s="188">
        <f>opex_orig!AG85</f>
        <v>1.005064E-3</v>
      </c>
      <c r="AL85" s="188">
        <f>opex_orig!AH85</f>
        <v>2.8414299999999999E-4</v>
      </c>
      <c r="AM85" s="188">
        <f>opex_orig!AI85</f>
        <v>4.54473E-4</v>
      </c>
      <c r="AN85" s="188">
        <f>opex_orig!AJ85</f>
        <v>4.0474400000000001E-4</v>
      </c>
      <c r="AO85" s="188">
        <f>opex_orig!AK85</f>
        <v>4.4417700000000003E-4</v>
      </c>
      <c r="AP85" s="188">
        <f>opex_orig!$AL85</f>
        <v>1.43372700206412E-3</v>
      </c>
      <c r="AQ85" s="188">
        <f>opex_orig!$AL85</f>
        <v>1.43372700206412E-3</v>
      </c>
      <c r="AR85" s="188">
        <f>opex_orig!$AL85</f>
        <v>1.43372700206412E-3</v>
      </c>
      <c r="AS85" s="188">
        <f>opex_orig!$AM85</f>
        <v>1.3148948221556099E-3</v>
      </c>
      <c r="AT85" s="188">
        <f>opex_orig!AN85</f>
        <v>1.335288E-3</v>
      </c>
      <c r="AU85" s="244">
        <f>opex_concordance!M591</f>
        <v>6.1665820241484093E-2</v>
      </c>
      <c r="AV85" s="244">
        <f>opex_concordance!M637</f>
        <v>6.4670378368284154E-2</v>
      </c>
      <c r="AW85" s="244">
        <f>opex_concordance!M683</f>
        <v>5.5483330915377597E-2</v>
      </c>
      <c r="AX85" s="188">
        <f>opex_orig!$AP85</f>
        <v>7.2741771567330402E-2</v>
      </c>
      <c r="AY85" s="188">
        <f>opex_orig!AQ85</f>
        <v>1.2459138999999999E-2</v>
      </c>
      <c r="AZ85" s="188">
        <f>opex_orig!AR85</f>
        <v>0</v>
      </c>
      <c r="BA85" s="188">
        <f>opex_orig!AS85</f>
        <v>8.3381050000000002E-3</v>
      </c>
      <c r="BB85" s="188">
        <f>opex_orig!AT85</f>
        <v>6.876269E-3</v>
      </c>
      <c r="BC85" s="188">
        <f>opex_orig!AU85</f>
        <v>1.9055020000000001E-3</v>
      </c>
      <c r="BD85" s="188">
        <f>opex_orig!AV85</f>
        <v>1.2186230000000001E-3</v>
      </c>
      <c r="BE85" s="188">
        <f>opex_orig!AW85</f>
        <v>3.7425190000000001E-3</v>
      </c>
      <c r="BF85" s="188">
        <f>opex_orig!AX85</f>
        <v>0</v>
      </c>
      <c r="BG85" s="188">
        <f>opex_orig!AY85</f>
        <v>4.5298500000000002E-3</v>
      </c>
      <c r="BH85" s="188">
        <f>opex_orig!AZ85</f>
        <v>0</v>
      </c>
      <c r="BI85" s="188">
        <f>opex_orig!BA85</f>
        <v>7.3945383000000003E-2</v>
      </c>
      <c r="BJ85" s="188">
        <f>opex_orig!BB85</f>
        <v>2.0617785E-2</v>
      </c>
      <c r="BK85" s="188">
        <f>opex_orig!BC85</f>
        <v>4.2783024000000003E-2</v>
      </c>
      <c r="BL85" s="188">
        <f>opex_orig!BD85</f>
        <v>3.9954900000000002E-4</v>
      </c>
      <c r="BM85" s="188">
        <f>opex_orig!BE85</f>
        <v>5.3924523000000002E-2</v>
      </c>
      <c r="BN85" s="188">
        <f>opex_orig!BF85</f>
        <v>3.6065700000000001E-4</v>
      </c>
      <c r="BO85" s="188">
        <f>opex_orig!BG85</f>
        <v>7.310782E-3</v>
      </c>
      <c r="BP85" s="244">
        <f>opex_concordance!M89</f>
        <v>1.4769130736804663E-2</v>
      </c>
      <c r="BQ85" s="244">
        <f>opex_concordance!M132</f>
        <v>1.0275869979605595E-2</v>
      </c>
      <c r="BR85" s="188">
        <f>opex_orig!BI85</f>
        <v>1.9334611000000002E-2</v>
      </c>
      <c r="BS85" s="188">
        <f>opex_orig!BJ85</f>
        <v>4.2557769999999997E-3</v>
      </c>
      <c r="BT85" s="188">
        <f>opex_orig!BK85</f>
        <v>2.1621950000000001E-2</v>
      </c>
      <c r="BU85" s="188">
        <f>opex_orig!BL85</f>
        <v>0</v>
      </c>
      <c r="BV85" s="27">
        <f>opex_orig!BM85</f>
        <v>1.9249048856374699E-4</v>
      </c>
      <c r="BW85" s="27">
        <f>opex_orig!BN85</f>
        <v>3.7767319476146398E-4</v>
      </c>
      <c r="BX85" s="27">
        <f>opex_orig!BO85</f>
        <v>6.3179812383657103E-5</v>
      </c>
      <c r="BY85" s="27">
        <f>opex_orig!BP85</f>
        <v>5.8495442033825303E-5</v>
      </c>
      <c r="BZ85" s="27">
        <f>opex_orig!BQ85</f>
        <v>4.9104388573427899E-5</v>
      </c>
      <c r="CA85" s="27">
        <f>opex_orig!BR85</f>
        <v>7.1996741179571999E-4</v>
      </c>
      <c r="CB85" s="27">
        <f>opex_orig!BS85</f>
        <v>3.04596919345065E-4</v>
      </c>
      <c r="CC85" s="27">
        <f>opex_orig!BT85</f>
        <v>6.7430035739826297E-4</v>
      </c>
      <c r="CD85" s="27">
        <f>opex_orig!BU85</f>
        <v>2.34081359267076E-5</v>
      </c>
      <c r="CE85" s="27">
        <f>opex_orig!BV85</f>
        <v>2.3408135926707702E-5</v>
      </c>
      <c r="CF85" s="27">
        <f>opex_orig!BW85</f>
        <v>6.0319627475132003E-5</v>
      </c>
      <c r="CG85" s="27">
        <f>opex_orig!BX85</f>
        <v>1.1007546865164701E-5</v>
      </c>
      <c r="CH85" s="27">
        <f>opex_orig!BY85</f>
        <v>1.7059101685800998E-5</v>
      </c>
      <c r="CI85" s="27">
        <f>opex_orig!Y85</f>
        <v>6.4455899999999995E-4</v>
      </c>
      <c r="CJ85" s="27">
        <f>opex_orig!Z85</f>
        <v>6.1211900000000005E-4</v>
      </c>
      <c r="CK85" s="27">
        <f>opex_orig!AA85</f>
        <v>8.9073199999999998E-4</v>
      </c>
      <c r="CL85" s="27">
        <f>opex_orig!AB85</f>
        <v>7.5522760802157696E-5</v>
      </c>
      <c r="CM85" s="27">
        <f>opex_orig!AC85</f>
        <v>1.92548061627304E-4</v>
      </c>
      <c r="CN85" s="27">
        <f>opex_orig!AD85</f>
        <v>2.21789908323414E-4</v>
      </c>
      <c r="CO85" s="27">
        <f>opex_orig!AE85</f>
        <v>1.82282E-4</v>
      </c>
      <c r="CP85" s="27">
        <f>opex_orig!AF85</f>
        <v>5.9412899999999999E-4</v>
      </c>
    </row>
    <row r="86" spans="1:94" x14ac:dyDescent="0.25">
      <c r="A86" s="5" t="s">
        <v>191</v>
      </c>
      <c r="B86" s="2" t="s">
        <v>190</v>
      </c>
      <c r="C86" s="1" t="s">
        <v>329</v>
      </c>
      <c r="D86" s="188">
        <f>opex_orig!D86</f>
        <v>3.8593569999999999E-3</v>
      </c>
      <c r="E86" s="188">
        <f>opex_orig!E86</f>
        <v>1.912307E-3</v>
      </c>
      <c r="F86" s="188">
        <f>opex_orig!F86</f>
        <v>1.1821150000000001E-3</v>
      </c>
      <c r="G86" s="188">
        <f>opex_orig!G86</f>
        <v>1.9836800000000001E-4</v>
      </c>
      <c r="H86" s="188">
        <f>opex_orig!H86</f>
        <v>3.6166600000000002E-4</v>
      </c>
      <c r="I86" s="188">
        <f>opex_orig!I86</f>
        <v>5.0774749999999997E-3</v>
      </c>
      <c r="J86" s="188">
        <f>opex_orig!J86</f>
        <v>3.993618E-3</v>
      </c>
      <c r="K86" s="188">
        <f>opex_orig!K86</f>
        <v>6.0698999999999996E-4</v>
      </c>
      <c r="L86" s="188">
        <f>opex_orig!L86</f>
        <v>2.6696020000000001E-3</v>
      </c>
      <c r="M86" s="188">
        <f>opex_orig!M86</f>
        <v>6.2216260000000001E-3</v>
      </c>
      <c r="N86" s="188">
        <f>opex_orig!N86</f>
        <v>3.8385379999999998E-3</v>
      </c>
      <c r="O86" s="188">
        <f>opex_orig!O86</f>
        <v>3.181087E-3</v>
      </c>
      <c r="P86" s="188">
        <f>opex_orig!P86</f>
        <v>1.0545827000000001E-2</v>
      </c>
      <c r="Q86" s="188">
        <f>opex_orig!Q86</f>
        <v>3.9442119999999999E-3</v>
      </c>
      <c r="R86" s="188">
        <f>opex_orig!R86</f>
        <v>3.3537440000000001E-3</v>
      </c>
      <c r="S86" s="188">
        <f>opex_orig!S86</f>
        <v>1.3905735000000001E-2</v>
      </c>
      <c r="T86" s="188">
        <f>opex_orig!T86</f>
        <v>1.4978831E-2</v>
      </c>
      <c r="U86" s="188">
        <f>opex_orig!U86</f>
        <v>1.090173E-2</v>
      </c>
      <c r="V86" s="188">
        <f>opex_orig!V86</f>
        <v>1.2988553999999999E-2</v>
      </c>
      <c r="W86" s="188">
        <f>opex_orig!W86</f>
        <v>9.2983479999999997E-3</v>
      </c>
      <c r="X86" s="188">
        <f>opex_orig!X86</f>
        <v>1.116304E-3</v>
      </c>
      <c r="Y86" s="188">
        <f>opex_orig!Y86</f>
        <v>3.5476290000000001E-3</v>
      </c>
      <c r="Z86" s="188">
        <f>opex_orig!Z86</f>
        <v>5.1053720000000004E-3</v>
      </c>
      <c r="AA86" s="188">
        <f>opex_orig!AA86</f>
        <v>5.3654151999999997E-2</v>
      </c>
      <c r="AB86" s="188">
        <f>opex_orig!$AB86</f>
        <v>8.8062495485758297E-4</v>
      </c>
      <c r="AC86" s="188">
        <f>opex_orig!$AB86</f>
        <v>8.8062495485758297E-4</v>
      </c>
      <c r="AD86" s="188">
        <f>opex_orig!$AB86</f>
        <v>8.8062495485758297E-4</v>
      </c>
      <c r="AE86" s="188">
        <f>opex_orig!$AC86</f>
        <v>3.62569614846181E-3</v>
      </c>
      <c r="AF86" s="188">
        <f>opex_orig!$AD86</f>
        <v>1.4774513054240199E-3</v>
      </c>
      <c r="AG86" s="188">
        <f>opex_orig!$AD86</f>
        <v>1.4774513054240199E-3</v>
      </c>
      <c r="AH86" s="188">
        <f>opex_orig!$AD86</f>
        <v>1.4774513054240199E-3</v>
      </c>
      <c r="AI86" s="188">
        <f>opex_orig!AE86</f>
        <v>1.318261E-3</v>
      </c>
      <c r="AJ86" s="188">
        <f>opex_orig!AF86</f>
        <v>2.1080324000000001E-2</v>
      </c>
      <c r="AK86" s="188">
        <f>opex_orig!AG86</f>
        <v>1.8742182E-2</v>
      </c>
      <c r="AL86" s="188">
        <f>opex_orig!AH86</f>
        <v>8.2674250000000001E-3</v>
      </c>
      <c r="AM86" s="188">
        <f>opex_orig!AI86</f>
        <v>1.2092543000000001E-2</v>
      </c>
      <c r="AN86" s="188">
        <f>opex_orig!AJ86</f>
        <v>9.9806730000000007E-3</v>
      </c>
      <c r="AO86" s="188">
        <f>opex_orig!AK86</f>
        <v>6.9467640000000002E-3</v>
      </c>
      <c r="AP86" s="341">
        <f>opex_concordance!M442</f>
        <v>1.06613766790528E-2</v>
      </c>
      <c r="AQ86" s="341">
        <f>opex_concordance!M496</f>
        <v>8.5801753684382129E-3</v>
      </c>
      <c r="AR86" s="341">
        <f>opex_concordance!M550</f>
        <v>9.4159926481281134E-3</v>
      </c>
      <c r="AS86" s="188">
        <f>opex_orig!$AM86</f>
        <v>9.8672428912474491E-3</v>
      </c>
      <c r="AT86" s="188">
        <f>opex_orig!AN86</f>
        <v>1.5378938E-2</v>
      </c>
      <c r="AU86" s="341">
        <f>opex_concordance!M565</f>
        <v>8.6184981834572197E-2</v>
      </c>
      <c r="AV86" s="341">
        <f>opex_concordance!M611</f>
        <v>8.6861715379470905E-2</v>
      </c>
      <c r="AW86" s="341">
        <f>opex_concordance!M657</f>
        <v>7.6687970607205544E-2</v>
      </c>
      <c r="AX86" s="188">
        <f>opex_orig!$AP86</f>
        <v>9.8934798526672196E-2</v>
      </c>
      <c r="AY86" s="188">
        <f>opex_orig!AQ86</f>
        <v>9.6366254999999998E-2</v>
      </c>
      <c r="AZ86" s="188">
        <f>opex_orig!AR86</f>
        <v>0</v>
      </c>
      <c r="BA86" s="188">
        <f>opex_orig!AS86</f>
        <v>8.5758824999999997E-2</v>
      </c>
      <c r="BB86" s="188">
        <f>opex_orig!AT86</f>
        <v>8.3580156000000003E-2</v>
      </c>
      <c r="BC86" s="188">
        <f>opex_orig!AU86</f>
        <v>1.9340386000000001E-2</v>
      </c>
      <c r="BD86" s="188">
        <f>opex_orig!AV86</f>
        <v>1.4899427E-2</v>
      </c>
      <c r="BE86" s="188">
        <f>opex_orig!AW86</f>
        <v>5.2399528000000001E-2</v>
      </c>
      <c r="BF86" s="188">
        <f>opex_orig!AX86</f>
        <v>0</v>
      </c>
      <c r="BG86" s="188">
        <f>opex_orig!AY86</f>
        <v>5.1945009E-2</v>
      </c>
      <c r="BH86" s="188">
        <f>opex_orig!AZ86</f>
        <v>0</v>
      </c>
      <c r="BI86" s="188">
        <f>opex_orig!BA86</f>
        <v>0.16032344600000001</v>
      </c>
      <c r="BJ86" s="188">
        <f>opex_orig!BB86</f>
        <v>0.32645389200000002</v>
      </c>
      <c r="BK86" s="188">
        <f>opex_orig!BC86</f>
        <v>0.183599815</v>
      </c>
      <c r="BL86" s="188">
        <f>opex_orig!BD86</f>
        <v>5.8480720000000002E-3</v>
      </c>
      <c r="BM86" s="188">
        <f>opex_orig!BE86</f>
        <v>5.7247841000000001E-2</v>
      </c>
      <c r="BN86" s="188">
        <f>opex_orig!BF86</f>
        <v>6.9208070000000002E-3</v>
      </c>
      <c r="BO86" s="188">
        <f>opex_orig!BG86</f>
        <v>2.1999399999999999E-2</v>
      </c>
      <c r="BP86" s="243">
        <f>opex_concordance!M90</f>
        <v>2.2467585089829233E-2</v>
      </c>
      <c r="BQ86" s="243">
        <f>opex_concordance!M133</f>
        <v>1.5632198485688302E-2</v>
      </c>
      <c r="BR86" s="188">
        <f>opex_orig!BI86</f>
        <v>1.8108604E-2</v>
      </c>
      <c r="BS86" s="188">
        <f>opex_orig!BJ86</f>
        <v>6.0179692E-2</v>
      </c>
      <c r="BT86" s="188">
        <f>opex_orig!BK86</f>
        <v>1.0796735999999999E-2</v>
      </c>
      <c r="BU86" s="188">
        <f>opex_orig!BL86</f>
        <v>0</v>
      </c>
      <c r="BV86" s="27">
        <f>opex_orig!BM86</f>
        <v>2.87680237992269E-3</v>
      </c>
      <c r="BW86" s="27">
        <f>opex_orig!BN86</f>
        <v>5.4951852727337701E-3</v>
      </c>
      <c r="BX86" s="27">
        <f>opex_orig!BO86</f>
        <v>1.4139459840396701E-3</v>
      </c>
      <c r="BY86" s="27">
        <f>opex_orig!BP86</f>
        <v>1.03662810863545E-3</v>
      </c>
      <c r="BZ86" s="27">
        <f>opex_orig!BQ86</f>
        <v>9.9895795080199895E-4</v>
      </c>
      <c r="CA86" s="27">
        <f>opex_orig!BR86</f>
        <v>3.1294821900973899E-3</v>
      </c>
      <c r="CB86" s="27">
        <f>opex_orig!BS86</f>
        <v>3.23948168443902E-3</v>
      </c>
      <c r="CC86" s="27">
        <f>opex_orig!BT86</f>
        <v>4.6281821114931498E-4</v>
      </c>
      <c r="CD86" s="27">
        <f>opex_orig!BU86</f>
        <v>9.6843697588147202E-4</v>
      </c>
      <c r="CE86" s="27">
        <f>opex_orig!BV86</f>
        <v>9.6843697588147495E-4</v>
      </c>
      <c r="CF86" s="27">
        <f>opex_orig!BW86</f>
        <v>5.9066432768137504E-3</v>
      </c>
      <c r="CG86" s="27">
        <f>opex_orig!BX86</f>
        <v>1.2295645877325901E-4</v>
      </c>
      <c r="CH86" s="27">
        <f>opex_orig!BY86</f>
        <v>8.25421684622216E-5</v>
      </c>
      <c r="CI86" s="27">
        <f>opex_orig!Y86</f>
        <v>3.5476290000000001E-3</v>
      </c>
      <c r="CJ86" s="27">
        <f>opex_orig!Z86</f>
        <v>5.1053720000000004E-3</v>
      </c>
      <c r="CK86" s="27">
        <f>opex_orig!AA86</f>
        <v>5.3654151999999997E-2</v>
      </c>
      <c r="CL86" s="27">
        <f>opex_orig!AB86</f>
        <v>8.8062495485758297E-4</v>
      </c>
      <c r="CM86" s="27">
        <f>opex_orig!AC86</f>
        <v>3.62569614846181E-3</v>
      </c>
      <c r="CN86" s="27">
        <f>opex_orig!AD86</f>
        <v>1.4774513054240199E-3</v>
      </c>
      <c r="CO86" s="27">
        <f>opex_orig!AE86</f>
        <v>1.318261E-3</v>
      </c>
      <c r="CP86" s="27">
        <f>opex_orig!AF86</f>
        <v>2.1080324000000001E-2</v>
      </c>
    </row>
    <row r="87" spans="1:94" x14ac:dyDescent="0.25">
      <c r="A87" s="5" t="s">
        <v>193</v>
      </c>
      <c r="B87" s="2" t="s">
        <v>192</v>
      </c>
      <c r="C87" s="1" t="s">
        <v>329</v>
      </c>
      <c r="D87" s="188">
        <f>opex_orig!D87</f>
        <v>1.8340940000000001E-3</v>
      </c>
      <c r="E87" s="188">
        <f>opex_orig!E87</f>
        <v>5.6154100000000004E-4</v>
      </c>
      <c r="F87" s="188">
        <f>opex_orig!F87</f>
        <v>4.5557799999999999E-4</v>
      </c>
      <c r="G87" s="188">
        <f>opex_orig!G87</f>
        <v>9.2399999999999996E-5</v>
      </c>
      <c r="H87" s="188">
        <f>opex_orig!H87</f>
        <v>1.47539E-4</v>
      </c>
      <c r="I87" s="188">
        <f>opex_orig!I87</f>
        <v>1.0723830000000001E-3</v>
      </c>
      <c r="J87" s="188">
        <f>opex_orig!J87</f>
        <v>1.545804E-3</v>
      </c>
      <c r="K87" s="188">
        <f>opex_orig!K87</f>
        <v>2.9250100000000002E-4</v>
      </c>
      <c r="L87" s="188">
        <f>opex_orig!L87</f>
        <v>9.2884700000000001E-4</v>
      </c>
      <c r="M87" s="188">
        <f>opex_orig!M87</f>
        <v>2.8490189999999999E-3</v>
      </c>
      <c r="N87" s="188">
        <f>opex_orig!N87</f>
        <v>1.45874E-3</v>
      </c>
      <c r="O87" s="188">
        <f>opex_orig!O87</f>
        <v>1.525656E-3</v>
      </c>
      <c r="P87" s="188">
        <f>opex_orig!P87</f>
        <v>3.6125739999999999E-3</v>
      </c>
      <c r="Q87" s="188">
        <f>opex_orig!Q87</f>
        <v>1.1219800000000001E-3</v>
      </c>
      <c r="R87" s="188">
        <f>opex_orig!R87</f>
        <v>1.33091E-3</v>
      </c>
      <c r="S87" s="188">
        <f>opex_orig!S87</f>
        <v>8.5429080000000001E-3</v>
      </c>
      <c r="T87" s="188">
        <f>opex_orig!T87</f>
        <v>8.9727379999999992E-3</v>
      </c>
      <c r="U87" s="188">
        <f>opex_orig!U87</f>
        <v>7.0094370000000003E-3</v>
      </c>
      <c r="V87" s="188">
        <f>opex_orig!V87</f>
        <v>9.2423190000000006E-3</v>
      </c>
      <c r="W87" s="188">
        <f>opex_orig!W87</f>
        <v>4.6881240000000001E-3</v>
      </c>
      <c r="X87" s="188">
        <f>opex_orig!X87</f>
        <v>3.060185E-3</v>
      </c>
      <c r="Y87" s="188">
        <f>opex_orig!Y87</f>
        <v>1.089788E-3</v>
      </c>
      <c r="Z87" s="188">
        <f>opex_orig!Z87</f>
        <v>4.5378809999999997E-3</v>
      </c>
      <c r="AA87" s="188">
        <f>opex_orig!AA87</f>
        <v>7.0657080000000004E-3</v>
      </c>
      <c r="AB87" s="188">
        <f>opex_orig!$AB87</f>
        <v>1.2975767643744101E-3</v>
      </c>
      <c r="AC87" s="188">
        <f>opex_orig!$AB87</f>
        <v>1.2975767643744101E-3</v>
      </c>
      <c r="AD87" s="188">
        <f>opex_orig!$AB87</f>
        <v>1.2975767643744101E-3</v>
      </c>
      <c r="AE87" s="188">
        <f>opex_orig!$AC87</f>
        <v>2.8694198441743301E-3</v>
      </c>
      <c r="AF87" s="188">
        <f>opex_orig!$AD87</f>
        <v>4.3430533472242801E-3</v>
      </c>
      <c r="AG87" s="188">
        <f>opex_orig!$AD87</f>
        <v>4.3430533472242801E-3</v>
      </c>
      <c r="AH87" s="188">
        <f>opex_orig!$AD87</f>
        <v>4.3430533472242801E-3</v>
      </c>
      <c r="AI87" s="188">
        <f>opex_orig!AE87</f>
        <v>4.5659400000000001E-3</v>
      </c>
      <c r="AJ87" s="188">
        <f>opex_orig!AF87</f>
        <v>1.6535828999999998E-2</v>
      </c>
      <c r="AK87" s="188">
        <f>opex_orig!AG87</f>
        <v>1.7712272000000001E-2</v>
      </c>
      <c r="AL87" s="188">
        <f>opex_orig!AH87</f>
        <v>4.3649193000000003E-2</v>
      </c>
      <c r="AM87" s="188">
        <f>opex_orig!AI87</f>
        <v>7.2297543000000006E-2</v>
      </c>
      <c r="AN87" s="188">
        <f>opex_orig!AJ87</f>
        <v>5.2838354999999997E-2</v>
      </c>
      <c r="AO87" s="188">
        <f>opex_orig!AK87</f>
        <v>3.6037536000000002E-2</v>
      </c>
      <c r="AP87" s="342">
        <f>opex_concordance!M443</f>
        <v>4.42024715405148E-2</v>
      </c>
      <c r="AQ87" s="342">
        <f>opex_concordance!M497</f>
        <v>3.557373207544446E-2</v>
      </c>
      <c r="AR87" s="342">
        <f>opex_concordance!M551</f>
        <v>3.9039062175932553E-2</v>
      </c>
      <c r="AS87" s="188">
        <f>opex_orig!$AM87</f>
        <v>3.9192696964078302E-2</v>
      </c>
      <c r="AT87" s="188">
        <f>opex_orig!AN87</f>
        <v>6.5991039000000001E-2</v>
      </c>
      <c r="AU87" s="342">
        <f>opex_concordance!M601</f>
        <v>7.6912936999679804E-3</v>
      </c>
      <c r="AV87" s="342">
        <f>opex_concordance!M647</f>
        <v>1.0448595385826801E-2</v>
      </c>
      <c r="AW87" s="342">
        <f>opex_concordance!M693</f>
        <v>8.625552723194525E-3</v>
      </c>
      <c r="AX87" s="188">
        <f>opex_orig!$AP87</f>
        <v>8.9259323874253896E-3</v>
      </c>
      <c r="AY87" s="188">
        <f>opex_orig!AQ87</f>
        <v>1.3345499E-2</v>
      </c>
      <c r="AZ87" s="188">
        <f>opex_orig!AR87</f>
        <v>0</v>
      </c>
      <c r="BA87" s="188">
        <f>opex_orig!AS87</f>
        <v>1.1442384E-2</v>
      </c>
      <c r="BB87" s="188">
        <f>opex_orig!AT87</f>
        <v>1.2340429E-2</v>
      </c>
      <c r="BC87" s="188">
        <f>opex_orig!AU87</f>
        <v>2.5579180000000002E-3</v>
      </c>
      <c r="BD87" s="188">
        <f>opex_orig!AV87</f>
        <v>2.2077799999999999E-3</v>
      </c>
      <c r="BE87" s="188">
        <f>opex_orig!AW87</f>
        <v>7.9606320000000005E-3</v>
      </c>
      <c r="BF87" s="188">
        <f>opex_orig!AX87</f>
        <v>0</v>
      </c>
      <c r="BG87" s="188">
        <f>opex_orig!AY87</f>
        <v>5.3330740000000001E-3</v>
      </c>
      <c r="BH87" s="188">
        <f>opex_orig!AZ87</f>
        <v>0</v>
      </c>
      <c r="BI87" s="188">
        <f>opex_orig!BA87</f>
        <v>1.5688856000000001E-2</v>
      </c>
      <c r="BJ87" s="188">
        <f>opex_orig!BB87</f>
        <v>1.5969051000000001E-2</v>
      </c>
      <c r="BK87" s="188">
        <f>opex_orig!BC87</f>
        <v>1.3543713000000001E-2</v>
      </c>
      <c r="BL87" s="188">
        <f>opex_orig!BD87</f>
        <v>1.499615E-2</v>
      </c>
      <c r="BM87" s="188">
        <f>opex_orig!BE87</f>
        <v>5.5663517000000003E-2</v>
      </c>
      <c r="BN87" s="188">
        <f>opex_orig!BF87</f>
        <v>1.9001767999999999E-2</v>
      </c>
      <c r="BO87" s="188">
        <f>opex_orig!BG87</f>
        <v>4.8795264999999997E-2</v>
      </c>
      <c r="BP87" s="204">
        <f>opex_concordance!M74</f>
        <v>1.8174287759905285E-2</v>
      </c>
      <c r="BQ87" s="204">
        <f>opex_concordance!M117</f>
        <v>2.1027945039963334E-2</v>
      </c>
      <c r="BR87" s="188">
        <f>opex_orig!BI87</f>
        <v>7.6243725999999998E-2</v>
      </c>
      <c r="BS87" s="188">
        <f>opex_orig!BJ87</f>
        <v>1.365336E-2</v>
      </c>
      <c r="BT87" s="188">
        <f>opex_orig!BK87</f>
        <v>1.027521E-2</v>
      </c>
      <c r="BU87" s="188">
        <f>opex_orig!BL87</f>
        <v>0</v>
      </c>
      <c r="BV87" s="27">
        <f>opex_orig!BM87</f>
        <v>4.0390177797142497E-2</v>
      </c>
      <c r="BW87" s="27">
        <f>opex_orig!BN87</f>
        <v>1.81783029365724E-2</v>
      </c>
      <c r="BX87" s="27">
        <f>opex_orig!BO87</f>
        <v>2.7404594834053799E-2</v>
      </c>
      <c r="BY87" s="27">
        <f>opex_orig!BP87</f>
        <v>9.4115646099642899E-3</v>
      </c>
      <c r="BZ87" s="27">
        <f>opex_orig!BQ87</f>
        <v>6.73647933714119E-3</v>
      </c>
      <c r="CA87" s="27">
        <f>opex_orig!BR87</f>
        <v>9.9748182522043098E-4</v>
      </c>
      <c r="CB87" s="27">
        <f>opex_orig!BS87</f>
        <v>7.8799748357054403E-3</v>
      </c>
      <c r="CC87" s="27">
        <f>opex_orig!BT87</f>
        <v>1.24271921909558E-3</v>
      </c>
      <c r="CD87" s="27">
        <f>opex_orig!BU87</f>
        <v>8.3894151196640798E-3</v>
      </c>
      <c r="CE87" s="27">
        <f>opex_orig!BV87</f>
        <v>8.3894151196640902E-3</v>
      </c>
      <c r="CF87" s="27">
        <f>opex_orig!BW87</f>
        <v>1.3828060495321699E-3</v>
      </c>
      <c r="CG87" s="27">
        <f>opex_orig!BX87</f>
        <v>1.7155975225413599E-5</v>
      </c>
      <c r="CH87" s="27">
        <f>opex_orig!BY87</f>
        <v>5.6627615860247197E-5</v>
      </c>
      <c r="CI87" s="27">
        <f>opex_orig!Y87</f>
        <v>1.089788E-3</v>
      </c>
      <c r="CJ87" s="27">
        <f>opex_orig!Z87</f>
        <v>4.5378809999999997E-3</v>
      </c>
      <c r="CK87" s="27">
        <f>opex_orig!AA87</f>
        <v>7.0657080000000004E-3</v>
      </c>
      <c r="CL87" s="27">
        <f>opex_orig!AB87</f>
        <v>1.2975767643744101E-3</v>
      </c>
      <c r="CM87" s="27">
        <f>opex_orig!AC87</f>
        <v>2.8694198441743301E-3</v>
      </c>
      <c r="CN87" s="27">
        <f>opex_orig!AD87</f>
        <v>4.3430533472242801E-3</v>
      </c>
      <c r="CO87" s="27">
        <f>opex_orig!AE87</f>
        <v>4.5659400000000001E-3</v>
      </c>
      <c r="CP87" s="27">
        <f>opex_orig!AF87</f>
        <v>1.6535828999999998E-2</v>
      </c>
    </row>
    <row r="88" spans="1:94" x14ac:dyDescent="0.25">
      <c r="A88" s="5" t="s">
        <v>195</v>
      </c>
      <c r="B88" s="2" t="s">
        <v>194</v>
      </c>
      <c r="C88" s="1" t="s">
        <v>329</v>
      </c>
      <c r="D88" s="188">
        <f>opex_orig!D88</f>
        <v>1.04855E-4</v>
      </c>
      <c r="E88" s="188">
        <f>opex_orig!E88</f>
        <v>2.5439100000000002E-4</v>
      </c>
      <c r="F88" s="188">
        <f>opex_orig!F88</f>
        <v>2.0888159999999998E-3</v>
      </c>
      <c r="G88" s="188">
        <f>opex_orig!G88</f>
        <v>2.48E-6</v>
      </c>
      <c r="H88" s="188">
        <f>opex_orig!H88</f>
        <v>9.0199999999999997E-5</v>
      </c>
      <c r="I88" s="188">
        <f>opex_orig!I88</f>
        <v>8.0500000000000005E-5</v>
      </c>
      <c r="J88" s="188">
        <f>opex_orig!J88</f>
        <v>1.4201099999999999E-4</v>
      </c>
      <c r="K88" s="188">
        <f>opex_orig!K88</f>
        <v>5.3900000000000001E-6</v>
      </c>
      <c r="L88" s="188">
        <f>opex_orig!L88</f>
        <v>1.4445500000000001E-4</v>
      </c>
      <c r="M88" s="188">
        <f>opex_orig!M88</f>
        <v>1.5738199999999999E-4</v>
      </c>
      <c r="N88" s="188">
        <f>opex_orig!N88</f>
        <v>1.2258169999999999E-3</v>
      </c>
      <c r="O88" s="188">
        <f>opex_orig!O88</f>
        <v>1.355347E-3</v>
      </c>
      <c r="P88" s="188">
        <f>opex_orig!P88</f>
        <v>4.8000000000000001E-5</v>
      </c>
      <c r="Q88" s="188">
        <f>opex_orig!Q88</f>
        <v>5.7299999999999997E-5</v>
      </c>
      <c r="R88" s="188">
        <f>opex_orig!R88</f>
        <v>4.5068300000000001E-4</v>
      </c>
      <c r="S88" s="188">
        <f>opex_orig!S88</f>
        <v>7.4800000000000002E-5</v>
      </c>
      <c r="T88" s="188">
        <f>opex_orig!T88</f>
        <v>7.5799999999999999E-5</v>
      </c>
      <c r="U88" s="188">
        <f>opex_orig!U88</f>
        <v>2.2061699999999999E-4</v>
      </c>
      <c r="V88" s="188">
        <f>opex_orig!V88</f>
        <v>1.2287499999999999E-4</v>
      </c>
      <c r="W88" s="188">
        <f>opex_orig!W88</f>
        <v>9.2042399999999998E-4</v>
      </c>
      <c r="X88" s="188">
        <f>opex_orig!X88</f>
        <v>1.81578E-4</v>
      </c>
      <c r="Y88" s="188">
        <f>opex_orig!Y88</f>
        <v>2.9200000000000002E-5</v>
      </c>
      <c r="Z88" s="188">
        <f>opex_orig!Z88</f>
        <v>1.8251199999999999E-4</v>
      </c>
      <c r="AA88" s="188">
        <f>opex_orig!AA88</f>
        <v>8.7100000000000003E-5</v>
      </c>
      <c r="AB88" s="188">
        <f>opex_orig!$AB88</f>
        <v>7.5614508124041103E-6</v>
      </c>
      <c r="AC88" s="188">
        <f>opex_orig!$AB88</f>
        <v>7.5614508124041103E-6</v>
      </c>
      <c r="AD88" s="188">
        <f>opex_orig!$AB88</f>
        <v>7.5614508124041103E-6</v>
      </c>
      <c r="AE88" s="188">
        <f>opex_orig!$AC88</f>
        <v>2.2493855822139301E-5</v>
      </c>
      <c r="AF88" s="188">
        <f>opex_orig!$AD88</f>
        <v>1.6820958732086499E-5</v>
      </c>
      <c r="AG88" s="188">
        <f>opex_orig!$AD88</f>
        <v>1.6820958732086499E-5</v>
      </c>
      <c r="AH88" s="188">
        <f>opex_orig!$AD88</f>
        <v>1.6820958732086499E-5</v>
      </c>
      <c r="AI88" s="188">
        <f>opex_orig!AE88</f>
        <v>1.4600000000000001E-5</v>
      </c>
      <c r="AJ88" s="188">
        <f>opex_orig!AF88</f>
        <v>7.9594400000000004E-4</v>
      </c>
      <c r="AK88" s="188">
        <f>opex_orig!AG88</f>
        <v>1.99469E-4</v>
      </c>
      <c r="AL88" s="188">
        <f>opex_orig!AH88</f>
        <v>9.5299999999999999E-5</v>
      </c>
      <c r="AM88" s="188">
        <f>opex_orig!AI88</f>
        <v>1.8139400000000001E-4</v>
      </c>
      <c r="AN88" s="188">
        <f>opex_orig!AJ88</f>
        <v>8.9099999999999997E-5</v>
      </c>
      <c r="AO88" s="188">
        <f>opex_orig!AK88</f>
        <v>7.7899999999999996E-5</v>
      </c>
      <c r="AP88" s="188">
        <f>opex_orig!$AL88</f>
        <v>9.4509892795263499E-5</v>
      </c>
      <c r="AQ88" s="188">
        <f>opex_orig!$AL88</f>
        <v>9.4509892795263499E-5</v>
      </c>
      <c r="AR88" s="188">
        <f>opex_orig!$AL88</f>
        <v>9.4509892795263499E-5</v>
      </c>
      <c r="AS88" s="188">
        <f>opex_orig!$AM88</f>
        <v>8.2399891970097604E-5</v>
      </c>
      <c r="AT88" s="188">
        <f>opex_orig!AN88</f>
        <v>1.7588900000000001E-4</v>
      </c>
      <c r="AU88" s="188">
        <f>opex_orig!$AO88</f>
        <v>8.3593065225505699E-5</v>
      </c>
      <c r="AV88" s="188">
        <f>opex_orig!$AO88</f>
        <v>8.3593065225505699E-5</v>
      </c>
      <c r="AW88" s="188">
        <f>opex_orig!$AO88</f>
        <v>8.3593065225505699E-5</v>
      </c>
      <c r="AX88" s="188">
        <f>opex_orig!$AP88</f>
        <v>9.4590759494364197E-5</v>
      </c>
      <c r="AY88" s="188">
        <f>opex_orig!AQ88</f>
        <v>1.14364E-4</v>
      </c>
      <c r="AZ88" s="188">
        <f>opex_orig!AR88</f>
        <v>0</v>
      </c>
      <c r="BA88" s="188">
        <f>opex_orig!AS88</f>
        <v>1.13632E-4</v>
      </c>
      <c r="BB88" s="188">
        <f>opex_orig!AT88</f>
        <v>1.10231E-4</v>
      </c>
      <c r="BC88" s="188">
        <f>opex_orig!AU88</f>
        <v>1.98E-5</v>
      </c>
      <c r="BD88" s="188">
        <f>opex_orig!AV88</f>
        <v>1.4800000000000001E-5</v>
      </c>
      <c r="BE88" s="188">
        <f>opex_orig!AW88</f>
        <v>8.14E-5</v>
      </c>
      <c r="BF88" s="188">
        <f>opex_orig!AX88</f>
        <v>0</v>
      </c>
      <c r="BG88" s="188">
        <f>opex_orig!AY88</f>
        <v>1.1592800000000001E-4</v>
      </c>
      <c r="BH88" s="188">
        <f>opex_orig!AZ88</f>
        <v>0</v>
      </c>
      <c r="BI88" s="188">
        <f>opex_orig!BA88</f>
        <v>1.20452E-4</v>
      </c>
      <c r="BJ88" s="188">
        <f>opex_orig!BB88</f>
        <v>3.6033000000000001E-4</v>
      </c>
      <c r="BK88" s="188">
        <f>opex_orig!BC88</f>
        <v>3.4961600000000002E-4</v>
      </c>
      <c r="BL88" s="188">
        <f>opex_orig!BD88</f>
        <v>0.467517132</v>
      </c>
      <c r="BM88" s="188">
        <f>opex_orig!BE88</f>
        <v>7.6389899999999996E-4</v>
      </c>
      <c r="BN88" s="188">
        <f>opex_orig!BF88</f>
        <v>5.0205220000000004E-3</v>
      </c>
      <c r="BO88" s="188">
        <f>opex_orig!BG88</f>
        <v>3.6282399999999998E-4</v>
      </c>
      <c r="BP88" s="188">
        <f>opex_orig!$BH88</f>
        <v>4.3737759252145098E-4</v>
      </c>
      <c r="BQ88" s="188">
        <f>opex_orig!$BH88</f>
        <v>4.3737759252145098E-4</v>
      </c>
      <c r="BR88" s="188">
        <f>opex_orig!BI88</f>
        <v>8.9902793999999994E-2</v>
      </c>
      <c r="BS88" s="188">
        <f>opex_orig!BJ88</f>
        <v>1.4654830000000001E-3</v>
      </c>
      <c r="BT88" s="188">
        <f>opex_orig!BK88</f>
        <v>4.0899999999999998E-5</v>
      </c>
      <c r="BU88" s="188">
        <f>opex_orig!BL88</f>
        <v>0</v>
      </c>
      <c r="BV88" s="27">
        <f>opex_orig!BM88</f>
        <v>1.0242525711619601E-4</v>
      </c>
      <c r="BW88" s="27">
        <f>opex_orig!BN88</f>
        <v>1.91551138842451E-4</v>
      </c>
      <c r="BX88" s="27">
        <f>opex_orig!BO88</f>
        <v>5.4982201417902603E-5</v>
      </c>
      <c r="BY88" s="27">
        <f>opex_orig!BP88</f>
        <v>3.0457715570212601E-5</v>
      </c>
      <c r="BZ88" s="27">
        <f>opex_orig!BQ88</f>
        <v>2.4097425888759599E-5</v>
      </c>
      <c r="CA88" s="27">
        <f>opex_orig!BR88</f>
        <v>5.6999348196475702E-5</v>
      </c>
      <c r="CB88" s="27">
        <f>opex_orig!BS88</f>
        <v>9.3845950430850497E-5</v>
      </c>
      <c r="CC88" s="27">
        <f>opex_orig!BT88</f>
        <v>3.7123204524345E-5</v>
      </c>
      <c r="CD88" s="27">
        <f>opex_orig!BU88</f>
        <v>2.6097762713719999E-5</v>
      </c>
      <c r="CE88" s="27">
        <f>opex_orig!BV88</f>
        <v>2.6097762713720101E-5</v>
      </c>
      <c r="CF88" s="27">
        <f>opex_orig!BW88</f>
        <v>6.0078773407806402E-5</v>
      </c>
      <c r="CG88" s="27">
        <f>opex_orig!BX88</f>
        <v>7.1763326980455795E-7</v>
      </c>
      <c r="CH88" s="27">
        <f>opex_orig!BY88</f>
        <v>2.6414559386483101E-7</v>
      </c>
      <c r="CI88" s="27">
        <f>opex_orig!Y88</f>
        <v>2.9200000000000002E-5</v>
      </c>
      <c r="CJ88" s="27">
        <f>opex_orig!Z88</f>
        <v>1.8251199999999999E-4</v>
      </c>
      <c r="CK88" s="27">
        <f>opex_orig!AA88</f>
        <v>8.7100000000000003E-5</v>
      </c>
      <c r="CL88" s="27">
        <f>opex_orig!AB88</f>
        <v>7.5614508124041103E-6</v>
      </c>
      <c r="CM88" s="27">
        <f>opex_orig!AC88</f>
        <v>2.2493855822139301E-5</v>
      </c>
      <c r="CN88" s="27">
        <f>opex_orig!AD88</f>
        <v>1.6820958732086499E-5</v>
      </c>
      <c r="CO88" s="27">
        <f>opex_orig!AE88</f>
        <v>1.4600000000000001E-5</v>
      </c>
      <c r="CP88" s="27">
        <f>opex_orig!AF88</f>
        <v>7.9594400000000004E-4</v>
      </c>
    </row>
    <row r="89" spans="1:94" x14ac:dyDescent="0.25">
      <c r="A89" s="5" t="s">
        <v>197</v>
      </c>
      <c r="B89" s="2" t="s">
        <v>196</v>
      </c>
      <c r="C89" s="1" t="s">
        <v>329</v>
      </c>
      <c r="D89" s="188">
        <f>opex_orig!D89</f>
        <v>1.128549E-3</v>
      </c>
      <c r="E89" s="188">
        <f>opex_orig!E89</f>
        <v>1.078133E-3</v>
      </c>
      <c r="F89" s="188">
        <f>opex_orig!F89</f>
        <v>7.8495500000000005E-4</v>
      </c>
      <c r="G89" s="188">
        <f>opex_orig!G89</f>
        <v>1.5206099999999999E-4</v>
      </c>
      <c r="H89" s="188">
        <f>opex_orig!H89</f>
        <v>2.6043600000000001E-4</v>
      </c>
      <c r="I89" s="188">
        <f>opex_orig!I89</f>
        <v>1.701344E-3</v>
      </c>
      <c r="J89" s="188">
        <f>opex_orig!J89</f>
        <v>1.0503629999999999E-3</v>
      </c>
      <c r="K89" s="188">
        <f>opex_orig!K89</f>
        <v>4.3672600000000002E-4</v>
      </c>
      <c r="L89" s="188">
        <f>opex_orig!L89</f>
        <v>3.0767680000000001E-3</v>
      </c>
      <c r="M89" s="188">
        <f>opex_orig!M89</f>
        <v>1.1933209E-2</v>
      </c>
      <c r="N89" s="188">
        <f>opex_orig!N89</f>
        <v>5.1459009999999996E-3</v>
      </c>
      <c r="O89" s="188">
        <f>opex_orig!O89</f>
        <v>7.3237599999999997E-4</v>
      </c>
      <c r="P89" s="188">
        <f>opex_orig!P89</f>
        <v>1.3988667999999999E-2</v>
      </c>
      <c r="Q89" s="188">
        <f>opex_orig!Q89</f>
        <v>1.396135E-3</v>
      </c>
      <c r="R89" s="188">
        <f>opex_orig!R89</f>
        <v>1.1112353E-2</v>
      </c>
      <c r="S89" s="188">
        <f>opex_orig!S89</f>
        <v>4.2147130000000001E-3</v>
      </c>
      <c r="T89" s="188">
        <f>opex_orig!T89</f>
        <v>4.8643599999999999E-3</v>
      </c>
      <c r="U89" s="188">
        <f>opex_orig!U89</f>
        <v>6.8417080000000002E-3</v>
      </c>
      <c r="V89" s="188">
        <f>opex_orig!V89</f>
        <v>8.7072E-3</v>
      </c>
      <c r="W89" s="188">
        <f>opex_orig!W89</f>
        <v>4.8783000000000003E-3</v>
      </c>
      <c r="X89" s="188">
        <f>opex_orig!X89</f>
        <v>6.0657799999999998E-4</v>
      </c>
      <c r="Y89" s="188">
        <f>opex_orig!Y89</f>
        <v>1.0904420000000001E-3</v>
      </c>
      <c r="Z89" s="188">
        <f>opex_orig!Z89</f>
        <v>4.5355600000000001E-3</v>
      </c>
      <c r="AA89" s="188">
        <f>opex_orig!AA89</f>
        <v>6.5075569999999998E-3</v>
      </c>
      <c r="AB89" s="188">
        <f>opex_orig!$AB89</f>
        <v>7.8532628743868801E-4</v>
      </c>
      <c r="AC89" s="188">
        <f>opex_orig!$AB89</f>
        <v>7.8532628743868801E-4</v>
      </c>
      <c r="AD89" s="188">
        <f>opex_orig!$AB89</f>
        <v>7.8532628743868801E-4</v>
      </c>
      <c r="AE89" s="188">
        <f>opex_orig!$AC89</f>
        <v>3.6879611765475201E-3</v>
      </c>
      <c r="AF89" s="188">
        <f>opex_orig!$AD89</f>
        <v>1.2178518924449099E-3</v>
      </c>
      <c r="AG89" s="188">
        <f>opex_orig!$AD89</f>
        <v>1.2178518924449099E-3</v>
      </c>
      <c r="AH89" s="188">
        <f>opex_orig!$AD89</f>
        <v>1.2178518924449099E-3</v>
      </c>
      <c r="AI89" s="188">
        <f>opex_orig!AE89</f>
        <v>1.0602090000000001E-3</v>
      </c>
      <c r="AJ89" s="188">
        <f>opex_orig!AF89</f>
        <v>1.9021327000000001E-2</v>
      </c>
      <c r="AK89" s="188">
        <f>opex_orig!AG89</f>
        <v>1.8424020999999999E-2</v>
      </c>
      <c r="AL89" s="188">
        <f>opex_orig!AH89</f>
        <v>6.4428699999999998E-3</v>
      </c>
      <c r="AM89" s="188">
        <f>opex_orig!AI89</f>
        <v>1.1757705E-2</v>
      </c>
      <c r="AN89" s="188">
        <f>opex_orig!AJ89</f>
        <v>3.2792229999999999E-3</v>
      </c>
      <c r="AO89" s="188">
        <f>opex_orig!AK89</f>
        <v>5.7614670000000002E-3</v>
      </c>
      <c r="AP89" s="188">
        <f>opex_orig!$AL89</f>
        <v>4.2573499307659701E-3</v>
      </c>
      <c r="AQ89" s="188">
        <f>opex_orig!$AL89</f>
        <v>4.2573499307659701E-3</v>
      </c>
      <c r="AR89" s="188">
        <f>opex_orig!$AL89</f>
        <v>4.2573499307659701E-3</v>
      </c>
      <c r="AS89" s="188">
        <f>opex_orig!$AM89</f>
        <v>3.9916679034434199E-3</v>
      </c>
      <c r="AT89" s="188">
        <f>opex_orig!AN89</f>
        <v>5.6612140000000004E-3</v>
      </c>
      <c r="AU89" s="188">
        <f>opex_orig!$AO89</f>
        <v>2.6088480296050302E-3</v>
      </c>
      <c r="AV89" s="188">
        <f>opex_orig!$AO89</f>
        <v>2.6088480296050302E-3</v>
      </c>
      <c r="AW89" s="188">
        <f>opex_orig!$AO89</f>
        <v>2.6088480296050302E-3</v>
      </c>
      <c r="AX89" s="188">
        <f>opex_orig!$AP89</f>
        <v>3.11527345818479E-3</v>
      </c>
      <c r="AY89" s="188">
        <f>opex_orig!AQ89</f>
        <v>4.3564950000000002E-3</v>
      </c>
      <c r="AZ89" s="188">
        <f>opex_orig!AR89</f>
        <v>0</v>
      </c>
      <c r="BA89" s="188">
        <f>opex_orig!AS89</f>
        <v>3.6184500000000001E-3</v>
      </c>
      <c r="BB89" s="188">
        <f>opex_orig!AT89</f>
        <v>3.7740059999999999E-3</v>
      </c>
      <c r="BC89" s="188">
        <f>opex_orig!AU89</f>
        <v>1.0591540000000001E-3</v>
      </c>
      <c r="BD89" s="188">
        <f>opex_orig!AV89</f>
        <v>9.7671999999999993E-4</v>
      </c>
      <c r="BE89" s="188">
        <f>opex_orig!AW89</f>
        <v>2.709384E-3</v>
      </c>
      <c r="BF89" s="188">
        <f>opex_orig!AX89</f>
        <v>0</v>
      </c>
      <c r="BG89" s="188">
        <f>opex_orig!AY89</f>
        <v>2.5065840000000001E-3</v>
      </c>
      <c r="BH89" s="188">
        <f>opex_orig!AZ89</f>
        <v>0</v>
      </c>
      <c r="BI89" s="188">
        <f>opex_orig!BA89</f>
        <v>4.7211409999999999E-3</v>
      </c>
      <c r="BJ89" s="188">
        <f>opex_orig!BB89</f>
        <v>1.6798960000000002E-2</v>
      </c>
      <c r="BK89" s="188">
        <f>opex_orig!BC89</f>
        <v>0.108074543</v>
      </c>
      <c r="BL89" s="188">
        <f>opex_orig!BD89</f>
        <v>0.146828135</v>
      </c>
      <c r="BM89" s="188">
        <f>opex_orig!BE89</f>
        <v>0.17218772600000001</v>
      </c>
      <c r="BN89" s="188">
        <f>opex_orig!BF89</f>
        <v>2.8476556E-2</v>
      </c>
      <c r="BO89" s="188">
        <f>opex_orig!BG89</f>
        <v>1.6993042E-2</v>
      </c>
      <c r="BP89" s="206">
        <f>opex_concordance!M75</f>
        <v>6.7467561780167468E-2</v>
      </c>
      <c r="BQ89" s="206">
        <f>opex_concordance!M118</f>
        <v>0.24250492831679413</v>
      </c>
      <c r="BR89" s="188">
        <f>opex_orig!BI89</f>
        <v>3.8586090000000003E-2</v>
      </c>
      <c r="BS89" s="188">
        <f>opex_orig!BJ89</f>
        <v>4.8085419999999999E-3</v>
      </c>
      <c r="BT89" s="188">
        <f>opex_orig!BK89</f>
        <v>2.1735220000000002E-3</v>
      </c>
      <c r="BU89" s="188">
        <f>opex_orig!BL89</f>
        <v>0</v>
      </c>
      <c r="BV89" s="27">
        <f>opex_orig!BM89</f>
        <v>2.7141427142226199E-2</v>
      </c>
      <c r="BW89" s="27">
        <f>opex_orig!BN89</f>
        <v>0.101462028600419</v>
      </c>
      <c r="BX89" s="27">
        <f>opex_orig!BO89</f>
        <v>9.4148792560986398E-3</v>
      </c>
      <c r="BY89" s="27">
        <f>opex_orig!BP89</f>
        <v>8.6942218381764504E-3</v>
      </c>
      <c r="BZ89" s="27">
        <f>opex_orig!BQ89</f>
        <v>7.6593221269091703E-3</v>
      </c>
      <c r="CA89" s="27">
        <f>opex_orig!BR89</f>
        <v>1.5307896591996399E-2</v>
      </c>
      <c r="CB89" s="27">
        <f>opex_orig!BS89</f>
        <v>4.9099797830625097E-2</v>
      </c>
      <c r="CC89" s="27">
        <f>opex_orig!BT89</f>
        <v>2.4777830276884499E-2</v>
      </c>
      <c r="CD89" s="27">
        <f>opex_orig!BU89</f>
        <v>9.5716004342947907E-3</v>
      </c>
      <c r="CE89" s="27">
        <f>opex_orig!BV89</f>
        <v>9.5716004342947993E-3</v>
      </c>
      <c r="CF89" s="27">
        <f>opex_orig!BW89</f>
        <v>9.1104983702187704E-3</v>
      </c>
      <c r="CG89" s="27">
        <f>opex_orig!BX89</f>
        <v>1.3164929783584701E-4</v>
      </c>
      <c r="CH89" s="27">
        <f>opex_orig!BY89</f>
        <v>6.1764162920422203E-5</v>
      </c>
      <c r="CI89" s="27">
        <f>opex_orig!Y89</f>
        <v>1.0904420000000001E-3</v>
      </c>
      <c r="CJ89" s="27">
        <f>opex_orig!Z89</f>
        <v>4.5355600000000001E-3</v>
      </c>
      <c r="CK89" s="27">
        <f>opex_orig!AA89</f>
        <v>6.5075569999999998E-3</v>
      </c>
      <c r="CL89" s="27">
        <f>opex_orig!AB89</f>
        <v>7.8532628743868801E-4</v>
      </c>
      <c r="CM89" s="27">
        <f>opex_orig!AC89</f>
        <v>3.6879611765475201E-3</v>
      </c>
      <c r="CN89" s="27">
        <f>opex_orig!AD89</f>
        <v>1.2178518924449099E-3</v>
      </c>
      <c r="CO89" s="27">
        <f>opex_orig!AE89</f>
        <v>1.0602090000000001E-3</v>
      </c>
      <c r="CP89" s="27">
        <f>opex_orig!AF89</f>
        <v>1.9021327000000001E-2</v>
      </c>
    </row>
    <row r="90" spans="1:94" x14ac:dyDescent="0.25">
      <c r="A90" s="5" t="s">
        <v>199</v>
      </c>
      <c r="B90" s="2" t="s">
        <v>198</v>
      </c>
      <c r="C90" s="1" t="s">
        <v>329</v>
      </c>
      <c r="D90" s="188">
        <f>opex_orig!D90</f>
        <v>3.0586099999999999E-4</v>
      </c>
      <c r="E90" s="188">
        <f>opex_orig!E90</f>
        <v>2.22556E-4</v>
      </c>
      <c r="F90" s="188">
        <f>opex_orig!F90</f>
        <v>3.1013999999999998E-4</v>
      </c>
      <c r="G90" s="188">
        <f>opex_orig!G90</f>
        <v>5.7800000000000002E-5</v>
      </c>
      <c r="H90" s="188">
        <f>opex_orig!H90</f>
        <v>8.7700000000000004E-5</v>
      </c>
      <c r="I90" s="188">
        <f>opex_orig!I90</f>
        <v>2.9829699999999999E-4</v>
      </c>
      <c r="J90" s="188">
        <f>opex_orig!J90</f>
        <v>6.0303500000000003E-4</v>
      </c>
      <c r="K90" s="188">
        <f>opex_orig!K90</f>
        <v>1.86248E-4</v>
      </c>
      <c r="L90" s="188">
        <f>opex_orig!L90</f>
        <v>4.3433399999999998E-4</v>
      </c>
      <c r="M90" s="188">
        <f>opex_orig!M90</f>
        <v>1.333875E-3</v>
      </c>
      <c r="N90" s="188">
        <f>opex_orig!N90</f>
        <v>9.0684399999999997E-4</v>
      </c>
      <c r="O90" s="188">
        <f>opex_orig!O90</f>
        <v>6.4591099999999999E-4</v>
      </c>
      <c r="P90" s="188">
        <f>opex_orig!P90</f>
        <v>4.0205599999999997E-4</v>
      </c>
      <c r="Q90" s="188">
        <f>opex_orig!Q90</f>
        <v>5.7406299999999998E-4</v>
      </c>
      <c r="R90" s="188">
        <f>opex_orig!R90</f>
        <v>6.9974000000000002E-4</v>
      </c>
      <c r="S90" s="188">
        <f>opex_orig!S90</f>
        <v>2.2626699999999999E-4</v>
      </c>
      <c r="T90" s="188">
        <f>opex_orig!T90</f>
        <v>4.21366E-4</v>
      </c>
      <c r="U90" s="188">
        <f>opex_orig!U90</f>
        <v>2.9232500000000002E-4</v>
      </c>
      <c r="V90" s="188">
        <f>opex_orig!V90</f>
        <v>3.7047300000000002E-4</v>
      </c>
      <c r="W90" s="188">
        <f>opex_orig!W90</f>
        <v>3.0394100000000001E-4</v>
      </c>
      <c r="X90" s="188">
        <f>opex_orig!X90</f>
        <v>8.9713919999999999E-3</v>
      </c>
      <c r="Y90" s="188">
        <f>opex_orig!Y90</f>
        <v>7.99323E-4</v>
      </c>
      <c r="Z90" s="188">
        <f>opex_orig!Z90</f>
        <v>4.2775809999999999E-3</v>
      </c>
      <c r="AA90" s="188">
        <f>opex_orig!AA90</f>
        <v>1.847294E-3</v>
      </c>
      <c r="AB90" s="188">
        <f>opex_orig!$AB90</f>
        <v>4.8992156042393896E-4</v>
      </c>
      <c r="AC90" s="188">
        <f>opex_orig!$AB90</f>
        <v>4.8992156042393896E-4</v>
      </c>
      <c r="AD90" s="188">
        <f>opex_orig!$AB90</f>
        <v>4.8992156042393896E-4</v>
      </c>
      <c r="AE90" s="188">
        <f>opex_orig!$AC90</f>
        <v>6.8609769655439304E-4</v>
      </c>
      <c r="AF90" s="188">
        <f>opex_orig!$AD90</f>
        <v>2.3422591411693001E-4</v>
      </c>
      <c r="AG90" s="188">
        <f>opex_orig!$AD90</f>
        <v>2.3422591411693001E-4</v>
      </c>
      <c r="AH90" s="188">
        <f>opex_orig!$AD90</f>
        <v>2.3422591411693001E-4</v>
      </c>
      <c r="AI90" s="188">
        <f>opex_orig!AE90</f>
        <v>1.78424E-4</v>
      </c>
      <c r="AJ90" s="188">
        <f>opex_orig!AF90</f>
        <v>7.5884399999999995E-4</v>
      </c>
      <c r="AK90" s="188">
        <f>opex_orig!AG90</f>
        <v>2.468357E-3</v>
      </c>
      <c r="AL90" s="188">
        <f>opex_orig!AH90</f>
        <v>4.0725899999999998E-4</v>
      </c>
      <c r="AM90" s="188">
        <f>opex_orig!AI90</f>
        <v>7.5946E-4</v>
      </c>
      <c r="AN90" s="188">
        <f>opex_orig!AJ90</f>
        <v>3.3198199999999998E-4</v>
      </c>
      <c r="AO90" s="188">
        <f>opex_orig!AK90</f>
        <v>5.2713599999999999E-4</v>
      </c>
      <c r="AP90" s="188">
        <f>opex_orig!$AL90</f>
        <v>3.9549845016022099E-4</v>
      </c>
      <c r="AQ90" s="188">
        <f>opex_orig!$AL90</f>
        <v>3.9549845016022099E-4</v>
      </c>
      <c r="AR90" s="188">
        <f>opex_orig!$AL90</f>
        <v>3.9549845016022099E-4</v>
      </c>
      <c r="AS90" s="188">
        <f>opex_orig!$AM90</f>
        <v>4.6074700822858498E-4</v>
      </c>
      <c r="AT90" s="188">
        <f>opex_orig!AN90</f>
        <v>5.3210599999999996E-4</v>
      </c>
      <c r="AU90" s="188">
        <f>opex_orig!$AO90</f>
        <v>4.3646691329505101E-4</v>
      </c>
      <c r="AV90" s="188">
        <f>opex_orig!$AO90</f>
        <v>4.3646691329505101E-4</v>
      </c>
      <c r="AW90" s="188">
        <f>opex_orig!$AO90</f>
        <v>4.3646691329505101E-4</v>
      </c>
      <c r="AX90" s="188">
        <f>opex_orig!$AP90</f>
        <v>5.1058841977657296E-4</v>
      </c>
      <c r="AY90" s="188">
        <f>opex_orig!AQ90</f>
        <v>6.91221E-4</v>
      </c>
      <c r="AZ90" s="188">
        <f>opex_orig!AR90</f>
        <v>0</v>
      </c>
      <c r="BA90" s="188">
        <f>opex_orig!AS90</f>
        <v>6.11303E-4</v>
      </c>
      <c r="BB90" s="188">
        <f>opex_orig!AT90</f>
        <v>5.87953E-4</v>
      </c>
      <c r="BC90" s="188">
        <f>opex_orig!AU90</f>
        <v>1.6494799999999999E-4</v>
      </c>
      <c r="BD90" s="188">
        <f>opex_orig!AV90</f>
        <v>1.4725200000000001E-4</v>
      </c>
      <c r="BE90" s="188">
        <f>opex_orig!AW90</f>
        <v>3.95055E-4</v>
      </c>
      <c r="BF90" s="188">
        <f>opex_orig!AX90</f>
        <v>0</v>
      </c>
      <c r="BG90" s="188">
        <f>opex_orig!AY90</f>
        <v>8.1426600000000001E-4</v>
      </c>
      <c r="BH90" s="188">
        <f>opex_orig!AZ90</f>
        <v>0</v>
      </c>
      <c r="BI90" s="188">
        <f>opex_orig!BA90</f>
        <v>5.6248099999999998E-4</v>
      </c>
      <c r="BJ90" s="188">
        <f>opex_orig!BB90</f>
        <v>1.2067989999999999E-3</v>
      </c>
      <c r="BK90" s="188">
        <f>opex_orig!BC90</f>
        <v>5.7190169999999999E-3</v>
      </c>
      <c r="BL90" s="188">
        <f>opex_orig!BD90</f>
        <v>9.3920017999999994E-2</v>
      </c>
      <c r="BM90" s="188">
        <f>opex_orig!BE90</f>
        <v>3.437402E-3</v>
      </c>
      <c r="BN90" s="188">
        <f>opex_orig!BF90</f>
        <v>0.64078042800000001</v>
      </c>
      <c r="BO90" s="188">
        <f>opex_orig!BG90</f>
        <v>1.7215098000000002E-2</v>
      </c>
      <c r="BP90" s="273">
        <f>opex_concordance!M87</f>
        <v>7.116280351192098E-3</v>
      </c>
      <c r="BQ90" s="273">
        <f>opex_concordance!M130</f>
        <v>4.2073830192615146E-3</v>
      </c>
      <c r="BR90" s="188">
        <f>opex_orig!BI90</f>
        <v>3.681218E-3</v>
      </c>
      <c r="BS90" s="188">
        <f>opex_orig!BJ90</f>
        <v>5.9434889999999997E-3</v>
      </c>
      <c r="BT90" s="188">
        <f>opex_orig!BK90</f>
        <v>3.9567699999999999E-4</v>
      </c>
      <c r="BU90" s="188">
        <f>opex_orig!BL90</f>
        <v>0</v>
      </c>
      <c r="BV90" s="27">
        <f>opex_orig!BM90</f>
        <v>5.3485012168703601E-4</v>
      </c>
      <c r="BW90" s="27">
        <f>opex_orig!BN90</f>
        <v>1.3758313237966001E-3</v>
      </c>
      <c r="BX90" s="27">
        <f>opex_orig!BO90</f>
        <v>2.3179092224845401E-4</v>
      </c>
      <c r="BY90" s="27">
        <f>opex_orig!BP90</f>
        <v>2.4354424817162E-4</v>
      </c>
      <c r="BZ90" s="27">
        <f>opex_orig!BQ90</f>
        <v>2.7231612021225599E-4</v>
      </c>
      <c r="CA90" s="27">
        <f>opex_orig!BR90</f>
        <v>2.4262638000980199E-4</v>
      </c>
      <c r="CB90" s="27">
        <f>opex_orig!BS90</f>
        <v>1.2412945495646401E-3</v>
      </c>
      <c r="CC90" s="27">
        <f>opex_orig!BT90</f>
        <v>3.0046773286326802E-4</v>
      </c>
      <c r="CD90" s="27">
        <f>opex_orig!BU90</f>
        <v>1.9118957291166101E-4</v>
      </c>
      <c r="CE90" s="27">
        <f>opex_orig!BV90</f>
        <v>1.9118957291166101E-4</v>
      </c>
      <c r="CF90" s="27">
        <f>opex_orig!BW90</f>
        <v>1.03492004736503E-4</v>
      </c>
      <c r="CG90" s="27">
        <f>opex_orig!BX90</f>
        <v>1.1865586741825801E-5</v>
      </c>
      <c r="CH90" s="27">
        <f>opex_orig!BY90</f>
        <v>5.7442026160210103E-5</v>
      </c>
      <c r="CI90" s="27">
        <f>opex_orig!Y90</f>
        <v>7.99323E-4</v>
      </c>
      <c r="CJ90" s="27">
        <f>opex_orig!Z90</f>
        <v>4.2775809999999999E-3</v>
      </c>
      <c r="CK90" s="27">
        <f>opex_orig!AA90</f>
        <v>1.847294E-3</v>
      </c>
      <c r="CL90" s="27">
        <f>opex_orig!AB90</f>
        <v>4.8992156042393896E-4</v>
      </c>
      <c r="CM90" s="27">
        <f>opex_orig!AC90</f>
        <v>6.8609769655439304E-4</v>
      </c>
      <c r="CN90" s="27">
        <f>opex_orig!AD90</f>
        <v>2.3422591411693001E-4</v>
      </c>
      <c r="CO90" s="27">
        <f>opex_orig!AE90</f>
        <v>1.78424E-4</v>
      </c>
      <c r="CP90" s="27">
        <f>opex_orig!AF90</f>
        <v>7.5884399999999995E-4</v>
      </c>
    </row>
    <row r="91" spans="1:94" x14ac:dyDescent="0.25">
      <c r="A91" s="5" t="s">
        <v>201</v>
      </c>
      <c r="B91" s="2" t="s">
        <v>200</v>
      </c>
      <c r="C91" s="1" t="s">
        <v>329</v>
      </c>
      <c r="D91" s="188">
        <f>opex_orig!D91</f>
        <v>8.2328800000000004E-4</v>
      </c>
      <c r="E91" s="188">
        <f>opex_orig!E91</f>
        <v>1.02174E-4</v>
      </c>
      <c r="F91" s="188">
        <f>opex_orig!F91</f>
        <v>1.3365299999999999E-4</v>
      </c>
      <c r="G91" s="188">
        <f>opex_orig!G91</f>
        <v>8.1499999999999999E-6</v>
      </c>
      <c r="H91" s="188">
        <f>opex_orig!H91</f>
        <v>1.9599999999999999E-5</v>
      </c>
      <c r="I91" s="188">
        <f>opex_orig!I91</f>
        <v>1.0770200000000001E-4</v>
      </c>
      <c r="J91" s="188">
        <f>opex_orig!J91</f>
        <v>3.7364499999999998E-4</v>
      </c>
      <c r="K91" s="188">
        <f>opex_orig!K91</f>
        <v>2.55E-5</v>
      </c>
      <c r="L91" s="188">
        <f>opex_orig!L91</f>
        <v>1.62261E-4</v>
      </c>
      <c r="M91" s="188">
        <f>opex_orig!M91</f>
        <v>5.6403400000000004E-4</v>
      </c>
      <c r="N91" s="188">
        <f>opex_orig!N91</f>
        <v>4.4955499999999997E-4</v>
      </c>
      <c r="O91" s="188">
        <f>opex_orig!O91</f>
        <v>3.2459200000000001E-4</v>
      </c>
      <c r="P91" s="188">
        <f>opex_orig!P91</f>
        <v>3.4864599999999998E-4</v>
      </c>
      <c r="Q91" s="188">
        <f>opex_orig!Q91</f>
        <v>9.5562800000000003E-4</v>
      </c>
      <c r="R91" s="188">
        <f>opex_orig!R91</f>
        <v>4.4587099999999997E-4</v>
      </c>
      <c r="S91" s="188">
        <f>opex_orig!S91</f>
        <v>2.41287E-4</v>
      </c>
      <c r="T91" s="188">
        <f>opex_orig!T91</f>
        <v>2.48488E-4</v>
      </c>
      <c r="U91" s="188">
        <f>opex_orig!U91</f>
        <v>1.9560199999999999E-4</v>
      </c>
      <c r="V91" s="188">
        <f>opex_orig!V91</f>
        <v>2.40511E-4</v>
      </c>
      <c r="W91" s="188">
        <f>opex_orig!W91</f>
        <v>4.9520399999999996E-4</v>
      </c>
      <c r="X91" s="188">
        <f>opex_orig!X91</f>
        <v>1.8511100000000001E-4</v>
      </c>
      <c r="Y91" s="188">
        <f>opex_orig!Y91</f>
        <v>8.5516080000000005E-3</v>
      </c>
      <c r="Z91" s="188">
        <f>opex_orig!Z91</f>
        <v>6.0902356999999997E-2</v>
      </c>
      <c r="AA91" s="188">
        <f>opex_orig!AA91</f>
        <v>6.7477320000000002E-3</v>
      </c>
      <c r="AB91" s="188">
        <f>opex_orig!$AB91</f>
        <v>6.87240465499072E-5</v>
      </c>
      <c r="AC91" s="188">
        <f>opex_orig!$AB91</f>
        <v>6.87240465499072E-5</v>
      </c>
      <c r="AD91" s="188">
        <f>opex_orig!$AB91</f>
        <v>6.87240465499072E-5</v>
      </c>
      <c r="AE91" s="188">
        <f>opex_orig!$AC91</f>
        <v>2.4542061682552798E-4</v>
      </c>
      <c r="AF91" s="188">
        <f>opex_orig!$AD91</f>
        <v>2.01363432015958E-4</v>
      </c>
      <c r="AG91" s="188">
        <f>opex_orig!$AD91</f>
        <v>2.01363432015958E-4</v>
      </c>
      <c r="AH91" s="188">
        <f>opex_orig!$AD91</f>
        <v>2.01363432015958E-4</v>
      </c>
      <c r="AI91" s="188">
        <f>opex_orig!AE91</f>
        <v>1.8459800000000001E-4</v>
      </c>
      <c r="AJ91" s="188">
        <f>opex_orig!AF91</f>
        <v>2.4883129999999998E-3</v>
      </c>
      <c r="AK91" s="188">
        <f>opex_orig!AG91</f>
        <v>1.762734E-3</v>
      </c>
      <c r="AL91" s="188">
        <f>opex_orig!AH91</f>
        <v>6.5667999999999998E-4</v>
      </c>
      <c r="AM91" s="188">
        <f>opex_orig!AI91</f>
        <v>9.5029900000000004E-4</v>
      </c>
      <c r="AN91" s="188">
        <f>opex_orig!AJ91</f>
        <v>6.6475200000000001E-4</v>
      </c>
      <c r="AO91" s="188">
        <f>opex_orig!AK91</f>
        <v>5.0540199999999996E-4</v>
      </c>
      <c r="AP91" s="188">
        <f>opex_orig!$AL91</f>
        <v>5.7269915865769199E-4</v>
      </c>
      <c r="AQ91" s="188">
        <f>opex_orig!$AL91</f>
        <v>5.7269915865769199E-4</v>
      </c>
      <c r="AR91" s="188">
        <f>opex_orig!$AL91</f>
        <v>5.7269915865769199E-4</v>
      </c>
      <c r="AS91" s="188">
        <f>opex_orig!$AM91</f>
        <v>5.1089410714743005E-4</v>
      </c>
      <c r="AT91" s="188">
        <f>opex_orig!AN91</f>
        <v>9.4533099999999999E-4</v>
      </c>
      <c r="AU91" s="188">
        <f>opex_orig!$AO91</f>
        <v>3.7305482228500099E-4</v>
      </c>
      <c r="AV91" s="188">
        <f>opex_orig!$AO91</f>
        <v>3.7305482228500099E-4</v>
      </c>
      <c r="AW91" s="188">
        <f>opex_orig!$AO91</f>
        <v>3.7305482228500099E-4</v>
      </c>
      <c r="AX91" s="188">
        <f>opex_orig!$AP91</f>
        <v>4.0868688183574999E-4</v>
      </c>
      <c r="AY91" s="188">
        <f>opex_orig!AQ91</f>
        <v>7.3037999999999998E-4</v>
      </c>
      <c r="AZ91" s="188">
        <f>opex_orig!AR91</f>
        <v>0</v>
      </c>
      <c r="BA91" s="188">
        <f>opex_orig!AS91</f>
        <v>5.1946499999999999E-4</v>
      </c>
      <c r="BB91" s="188">
        <f>opex_orig!AT91</f>
        <v>5.5951899999999997E-4</v>
      </c>
      <c r="BC91" s="188">
        <f>opex_orig!AU91</f>
        <v>4.9499999999999997E-5</v>
      </c>
      <c r="BD91" s="188">
        <f>opex_orig!AV91</f>
        <v>3.7799999999999997E-5</v>
      </c>
      <c r="BE91" s="188">
        <f>opex_orig!AW91</f>
        <v>3.24567E-4</v>
      </c>
      <c r="BF91" s="188">
        <f>opex_orig!AX91</f>
        <v>0</v>
      </c>
      <c r="BG91" s="188">
        <f>opex_orig!AY91</f>
        <v>2.42768E-4</v>
      </c>
      <c r="BH91" s="188">
        <f>opex_orig!AZ91</f>
        <v>0</v>
      </c>
      <c r="BI91" s="188">
        <f>opex_orig!BA91</f>
        <v>7.1486E-4</v>
      </c>
      <c r="BJ91" s="188">
        <f>opex_orig!BB91</f>
        <v>9.4546699999999997E-4</v>
      </c>
      <c r="BK91" s="188">
        <f>opex_orig!BC91</f>
        <v>1.888998E-3</v>
      </c>
      <c r="BL91" s="188">
        <f>opex_orig!BD91</f>
        <v>2.227611E-3</v>
      </c>
      <c r="BM91" s="188">
        <f>opex_orig!BE91</f>
        <v>2.089526E-3</v>
      </c>
      <c r="BN91" s="188">
        <f>opex_orig!BF91</f>
        <v>3.4133499999999999E-3</v>
      </c>
      <c r="BO91" s="188">
        <f>opex_orig!BG91</f>
        <v>4.4791539999999998E-2</v>
      </c>
      <c r="BP91" s="188">
        <f>opex_orig!$BH91</f>
        <v>1.0570080160432699E-3</v>
      </c>
      <c r="BQ91" s="188">
        <f>opex_orig!$BH91</f>
        <v>1.0570080160432699E-3</v>
      </c>
      <c r="BR91" s="188">
        <f>opex_orig!BI91</f>
        <v>4.6904770000000002E-3</v>
      </c>
      <c r="BS91" s="188">
        <f>opex_orig!BJ91</f>
        <v>7.9890600000000005E-4</v>
      </c>
      <c r="BT91" s="188">
        <f>opex_orig!BK91</f>
        <v>2.8317099999999998E-4</v>
      </c>
      <c r="BU91" s="188">
        <f>opex_orig!BL91</f>
        <v>0</v>
      </c>
      <c r="BV91" s="27">
        <f>opex_orig!BM91</f>
        <v>6.3043084386420103E-4</v>
      </c>
      <c r="BW91" s="27">
        <f>opex_orig!BN91</f>
        <v>9.4077403005206502E-4</v>
      </c>
      <c r="BX91" s="27">
        <f>opex_orig!BO91</f>
        <v>3.6901047670596698E-4</v>
      </c>
      <c r="BY91" s="27">
        <f>opex_orig!BP91</f>
        <v>1.8202258459692401E-4</v>
      </c>
      <c r="BZ91" s="27">
        <f>opex_orig!BQ91</f>
        <v>1.4759518338021901E-4</v>
      </c>
      <c r="CA91" s="27">
        <f>opex_orig!BR91</f>
        <v>3.9968045626878699E-4</v>
      </c>
      <c r="CB91" s="27">
        <f>opex_orig!BS91</f>
        <v>4.4819146138886902E-4</v>
      </c>
      <c r="CC91" s="27">
        <f>opex_orig!BT91</f>
        <v>4.0574251908634401E-4</v>
      </c>
      <c r="CD91" s="27">
        <f>opex_orig!BU91</f>
        <v>1.79034854606857E-4</v>
      </c>
      <c r="CE91" s="27">
        <f>opex_orig!BV91</f>
        <v>1.79034854606857E-4</v>
      </c>
      <c r="CF91" s="27">
        <f>opex_orig!BW91</f>
        <v>1.64735017263028E-4</v>
      </c>
      <c r="CG91" s="27">
        <f>opex_orig!BX91</f>
        <v>3.9783008440760201E-6</v>
      </c>
      <c r="CH91" s="27">
        <f>opex_orig!BY91</f>
        <v>2.0219449033516401E-5</v>
      </c>
      <c r="CI91" s="27">
        <f>opex_orig!Y91</f>
        <v>8.5516080000000005E-3</v>
      </c>
      <c r="CJ91" s="27">
        <f>opex_orig!Z91</f>
        <v>6.0902356999999997E-2</v>
      </c>
      <c r="CK91" s="27">
        <f>opex_orig!AA91</f>
        <v>6.7477320000000002E-3</v>
      </c>
      <c r="CL91" s="27">
        <f>opex_orig!AB91</f>
        <v>6.87240465499072E-5</v>
      </c>
      <c r="CM91" s="27">
        <f>opex_orig!AC91</f>
        <v>2.4542061682552798E-4</v>
      </c>
      <c r="CN91" s="27">
        <f>opex_orig!AD91</f>
        <v>2.01363432015958E-4</v>
      </c>
      <c r="CO91" s="27">
        <f>opex_orig!AE91</f>
        <v>1.8459800000000001E-4</v>
      </c>
      <c r="CP91" s="27">
        <f>opex_orig!AF91</f>
        <v>2.4883129999999998E-3</v>
      </c>
    </row>
    <row r="92" spans="1:94" x14ac:dyDescent="0.25">
      <c r="A92" s="5" t="s">
        <v>203</v>
      </c>
      <c r="B92" s="2" t="s">
        <v>202</v>
      </c>
      <c r="C92" s="1" t="s">
        <v>329</v>
      </c>
      <c r="D92" s="188">
        <f>opex_orig!D92</f>
        <v>1.741701E-3</v>
      </c>
      <c r="E92" s="188">
        <f>opex_orig!E92</f>
        <v>7.5720500000000005E-4</v>
      </c>
      <c r="F92" s="188">
        <f>opex_orig!F92</f>
        <v>1.0221760000000001E-3</v>
      </c>
      <c r="G92" s="188">
        <f>opex_orig!G92</f>
        <v>2.1970299999999999E-4</v>
      </c>
      <c r="H92" s="188">
        <f>opex_orig!H92</f>
        <v>3.3743500000000002E-4</v>
      </c>
      <c r="I92" s="188">
        <f>opex_orig!I92</f>
        <v>8.3733799999999997E-4</v>
      </c>
      <c r="J92" s="188">
        <f>opex_orig!J92</f>
        <v>2.5698880000000002E-3</v>
      </c>
      <c r="K92" s="188">
        <f>opex_orig!K92</f>
        <v>7.2321600000000005E-4</v>
      </c>
      <c r="L92" s="188">
        <f>opex_orig!L92</f>
        <v>9.64502E-4</v>
      </c>
      <c r="M92" s="188">
        <f>opex_orig!M92</f>
        <v>2.657581E-3</v>
      </c>
      <c r="N92" s="188">
        <f>opex_orig!N92</f>
        <v>2.268132E-3</v>
      </c>
      <c r="O92" s="188">
        <f>opex_orig!O92</f>
        <v>1.9993250000000001E-3</v>
      </c>
      <c r="P92" s="188">
        <f>opex_orig!P92</f>
        <v>4.8612179999999996E-3</v>
      </c>
      <c r="Q92" s="188">
        <f>opex_orig!Q92</f>
        <v>2.8642350000000001E-3</v>
      </c>
      <c r="R92" s="188">
        <f>opex_orig!R92</f>
        <v>3.596892E-3</v>
      </c>
      <c r="S92" s="188">
        <f>opex_orig!S92</f>
        <v>1.6764080000000001E-3</v>
      </c>
      <c r="T92" s="188">
        <f>opex_orig!T92</f>
        <v>2.4970679999999999E-3</v>
      </c>
      <c r="U92" s="188">
        <f>opex_orig!U92</f>
        <v>1.610785E-3</v>
      </c>
      <c r="V92" s="188">
        <f>opex_orig!V92</f>
        <v>1.938756E-3</v>
      </c>
      <c r="W92" s="188">
        <f>opex_orig!W92</f>
        <v>1.213593E-3</v>
      </c>
      <c r="X92" s="188">
        <f>opex_orig!X92</f>
        <v>6.0171300000000003E-4</v>
      </c>
      <c r="Y92" s="188">
        <f>opex_orig!Y92</f>
        <v>2.1032189999999999E-3</v>
      </c>
      <c r="Z92" s="188">
        <f>opex_orig!Z92</f>
        <v>5.2078080000000004E-3</v>
      </c>
      <c r="AA92" s="188">
        <f>opex_orig!AA92</f>
        <v>8.781222E-3</v>
      </c>
      <c r="AB92" s="188">
        <f>opex_orig!$AB92</f>
        <v>2.1764730515531901E-3</v>
      </c>
      <c r="AC92" s="188">
        <f>opex_orig!$AB92</f>
        <v>2.1764730515531901E-3</v>
      </c>
      <c r="AD92" s="188">
        <f>opex_orig!$AB92</f>
        <v>2.1764730515531901E-3</v>
      </c>
      <c r="AE92" s="188">
        <f>opex_orig!$AC92</f>
        <v>2.8485414516050602E-3</v>
      </c>
      <c r="AF92" s="188">
        <f>opex_orig!$AD92</f>
        <v>1.2137852969441099E-3</v>
      </c>
      <c r="AG92" s="188">
        <f>opex_orig!$AD92</f>
        <v>1.2137852969441099E-3</v>
      </c>
      <c r="AH92" s="188">
        <f>opex_orig!$AD92</f>
        <v>1.2137852969441099E-3</v>
      </c>
      <c r="AI92" s="188">
        <f>opex_orig!AE92</f>
        <v>9.8069600000000009E-4</v>
      </c>
      <c r="AJ92" s="188">
        <f>opex_orig!AF92</f>
        <v>3.6959670000000001E-3</v>
      </c>
      <c r="AK92" s="188">
        <f>opex_orig!AG92</f>
        <v>2.3542285E-2</v>
      </c>
      <c r="AL92" s="188">
        <f>opex_orig!AH92</f>
        <v>1.1673964E-2</v>
      </c>
      <c r="AM92" s="188">
        <f>opex_orig!AI92</f>
        <v>1.4452326999999999E-2</v>
      </c>
      <c r="AN92" s="188">
        <f>opex_orig!AJ92</f>
        <v>5.203867E-3</v>
      </c>
      <c r="AO92" s="188">
        <f>opex_orig!AK92</f>
        <v>9.5487120000000009E-3</v>
      </c>
      <c r="AP92" s="211">
        <f>opex_concordance!M444</f>
        <v>1.4551002917508601E-2</v>
      </c>
      <c r="AQ92" s="211">
        <f>opex_concordance!M498</f>
        <v>1.1710509869159979E-2</v>
      </c>
      <c r="AR92" s="211">
        <f>opex_concordance!M552</f>
        <v>1.2851261203757078E-2</v>
      </c>
      <c r="AS92" s="188">
        <f>opex_orig!$AM92</f>
        <v>1.35512083126471E-2</v>
      </c>
      <c r="AT92" s="188">
        <f>opex_orig!AN92</f>
        <v>1.1282766E-2</v>
      </c>
      <c r="AU92" s="211">
        <f>opex_concordance!M602</f>
        <v>2.89704417220501E-2</v>
      </c>
      <c r="AV92" s="211">
        <f>opex_concordance!M648</f>
        <v>3.9356242982066476E-2</v>
      </c>
      <c r="AW92" s="211">
        <f>opex_concordance!M694</f>
        <v>3.2489472153276085E-2</v>
      </c>
      <c r="AX92" s="188">
        <f>opex_orig!$AP92</f>
        <v>3.2922441731574E-2</v>
      </c>
      <c r="AY92" s="188">
        <f>opex_orig!AQ92</f>
        <v>5.5802243000000001E-2</v>
      </c>
      <c r="AZ92" s="188">
        <f>opex_orig!AR92</f>
        <v>0</v>
      </c>
      <c r="BA92" s="188">
        <f>opex_orig!AS92</f>
        <v>3.6774895000000002E-2</v>
      </c>
      <c r="BB92" s="188">
        <f>opex_orig!AT92</f>
        <v>3.4043014000000003E-2</v>
      </c>
      <c r="BC92" s="188">
        <f>opex_orig!AU92</f>
        <v>9.0162850000000006E-3</v>
      </c>
      <c r="BD92" s="188">
        <f>opex_orig!AV92</f>
        <v>6.6224450000000002E-3</v>
      </c>
      <c r="BE92" s="188">
        <f>opex_orig!AW92</f>
        <v>1.9614573999999999E-2</v>
      </c>
      <c r="BF92" s="188">
        <f>opex_orig!AX92</f>
        <v>0</v>
      </c>
      <c r="BG92" s="188">
        <f>opex_orig!AY92</f>
        <v>3.3842417E-2</v>
      </c>
      <c r="BH92" s="188">
        <f>opex_orig!AZ92</f>
        <v>0</v>
      </c>
      <c r="BI92" s="188">
        <f>opex_orig!BA92</f>
        <v>1.3206450999999999E-2</v>
      </c>
      <c r="BJ92" s="188">
        <f>opex_orig!BB92</f>
        <v>1.5937873000000002E-2</v>
      </c>
      <c r="BK92" s="188">
        <f>opex_orig!BC92</f>
        <v>2.1572692000000001E-2</v>
      </c>
      <c r="BL92" s="188">
        <f>opex_orig!BD92</f>
        <v>1.7117316E-2</v>
      </c>
      <c r="BM92" s="188">
        <f>opex_orig!BE92</f>
        <v>0.110583705</v>
      </c>
      <c r="BN92" s="188">
        <f>opex_orig!BF92</f>
        <v>1.2100609E-2</v>
      </c>
      <c r="BO92" s="188">
        <f>opex_orig!BG92</f>
        <v>1.5891821E-2</v>
      </c>
      <c r="BP92" s="211">
        <f>opex_concordance!M76</f>
        <v>0.31519432208918574</v>
      </c>
      <c r="BQ92" s="211">
        <f>opex_concordance!M119</f>
        <v>0.29953142633326785</v>
      </c>
      <c r="BR92" s="188">
        <f>opex_orig!BI92</f>
        <v>3.9095446999999998E-2</v>
      </c>
      <c r="BS92" s="188">
        <f>opex_orig!BJ92</f>
        <v>5.4868243999999997E-2</v>
      </c>
      <c r="BT92" s="188">
        <f>opex_orig!BK92</f>
        <v>1.4120834000000001E-2</v>
      </c>
      <c r="BU92" s="188">
        <f>opex_orig!BL92</f>
        <v>0</v>
      </c>
      <c r="BV92" s="27">
        <f>opex_orig!BM92</f>
        <v>4.5359919658695498E-3</v>
      </c>
      <c r="BW92" s="27">
        <f>opex_orig!BN92</f>
        <v>9.3690310085893496E-3</v>
      </c>
      <c r="BX92" s="27">
        <f>opex_orig!BO92</f>
        <v>2.3091575718866201E-3</v>
      </c>
      <c r="BY92" s="27">
        <f>opex_orig!BP92</f>
        <v>1.6592660594785E-3</v>
      </c>
      <c r="BZ92" s="27">
        <f>opex_orig!BQ92</f>
        <v>1.73303965885086E-3</v>
      </c>
      <c r="CA92" s="27">
        <f>opex_orig!BR92</f>
        <v>4.63890111589212E-4</v>
      </c>
      <c r="CB92" s="27">
        <f>opex_orig!BS92</f>
        <v>6.8581466798074402E-3</v>
      </c>
      <c r="CC92" s="27">
        <f>opex_orig!BT92</f>
        <v>3.6680353116297598E-4</v>
      </c>
      <c r="CD92" s="27">
        <f>opex_orig!BU92</f>
        <v>1.29605818453029E-3</v>
      </c>
      <c r="CE92" s="27">
        <f>opex_orig!BV92</f>
        <v>1.2960581845303E-3</v>
      </c>
      <c r="CF92" s="27">
        <f>opex_orig!BW92</f>
        <v>9.7613359583853597E-4</v>
      </c>
      <c r="CG92" s="27">
        <f>opex_orig!BX92</f>
        <v>1.1080326310732399E-5</v>
      </c>
      <c r="CH92" s="27">
        <f>opex_orig!BY92</f>
        <v>1.52996485826194E-4</v>
      </c>
      <c r="CI92" s="27">
        <f>opex_orig!Y92</f>
        <v>2.1032189999999999E-3</v>
      </c>
      <c r="CJ92" s="27">
        <f>opex_orig!Z92</f>
        <v>5.2078080000000004E-3</v>
      </c>
      <c r="CK92" s="27">
        <f>opex_orig!AA92</f>
        <v>8.781222E-3</v>
      </c>
      <c r="CL92" s="27">
        <f>opex_orig!AB92</f>
        <v>2.1764730515531901E-3</v>
      </c>
      <c r="CM92" s="27">
        <f>opex_orig!AC92</f>
        <v>2.8485414516050602E-3</v>
      </c>
      <c r="CN92" s="27">
        <f>opex_orig!AD92</f>
        <v>1.2137852969441099E-3</v>
      </c>
      <c r="CO92" s="27">
        <f>opex_orig!AE92</f>
        <v>9.8069600000000009E-4</v>
      </c>
      <c r="CP92" s="27">
        <f>opex_orig!AF92</f>
        <v>3.6959670000000001E-3</v>
      </c>
    </row>
    <row r="93" spans="1:94" x14ac:dyDescent="0.25">
      <c r="A93" s="5" t="s">
        <v>205</v>
      </c>
      <c r="B93" s="2" t="s">
        <v>204</v>
      </c>
      <c r="C93" s="1" t="s">
        <v>329</v>
      </c>
      <c r="D93" s="188">
        <f>opex_orig!D93</f>
        <v>4.99E-5</v>
      </c>
      <c r="E93" s="188">
        <f>opex_orig!E93</f>
        <v>3.0599999999999998E-5</v>
      </c>
      <c r="F93" s="188">
        <f>opex_orig!F93</f>
        <v>3.3399999999999999E-5</v>
      </c>
      <c r="G93" s="188">
        <f>opex_orig!G93</f>
        <v>3.1200000000000002E-6</v>
      </c>
      <c r="H93" s="188">
        <f>opex_orig!H93</f>
        <v>7.9300000000000003E-6</v>
      </c>
      <c r="I93" s="188">
        <f>opex_orig!I93</f>
        <v>6.3200000000000005E-5</v>
      </c>
      <c r="J93" s="188">
        <f>opex_orig!J93</f>
        <v>4.9400000000000001E-5</v>
      </c>
      <c r="K93" s="188">
        <f>opex_orig!K93</f>
        <v>9.2599999999999994E-6</v>
      </c>
      <c r="L93" s="188">
        <f>opex_orig!L93</f>
        <v>6.7600000000000003E-5</v>
      </c>
      <c r="M93" s="188">
        <f>opex_orig!M93</f>
        <v>2.1018E-4</v>
      </c>
      <c r="N93" s="188">
        <f>opex_orig!N93</f>
        <v>1.2524500000000001E-4</v>
      </c>
      <c r="O93" s="188">
        <f>opex_orig!O93</f>
        <v>1.21684E-4</v>
      </c>
      <c r="P93" s="188">
        <f>opex_orig!P93</f>
        <v>2.40714E-4</v>
      </c>
      <c r="Q93" s="188">
        <f>opex_orig!Q93</f>
        <v>1.8363200000000001E-4</v>
      </c>
      <c r="R93" s="188">
        <f>opex_orig!R93</f>
        <v>2.0789100000000001E-4</v>
      </c>
      <c r="S93" s="188">
        <f>opex_orig!S93</f>
        <v>2.0619599999999999E-4</v>
      </c>
      <c r="T93" s="188">
        <f>opex_orig!T93</f>
        <v>1.8983100000000001E-4</v>
      </c>
      <c r="U93" s="188">
        <f>opex_orig!U93</f>
        <v>3.20384E-4</v>
      </c>
      <c r="V93" s="188">
        <f>opex_orig!V93</f>
        <v>3.7481800000000002E-4</v>
      </c>
      <c r="W93" s="188">
        <f>opex_orig!W93</f>
        <v>2.8939100000000001E-4</v>
      </c>
      <c r="X93" s="188">
        <f>opex_orig!X93</f>
        <v>9.2600000000000001E-5</v>
      </c>
      <c r="Y93" s="188">
        <f>opex_orig!Y93</f>
        <v>1.8894699999999999E-4</v>
      </c>
      <c r="Z93" s="188">
        <f>opex_orig!Z93</f>
        <v>1.135643E-3</v>
      </c>
      <c r="AA93" s="188">
        <f>opex_orig!AA93</f>
        <v>5.2434599999999997E-4</v>
      </c>
      <c r="AB93" s="188">
        <f>opex_orig!$AB93</f>
        <v>2.7002094192828799E-5</v>
      </c>
      <c r="AC93" s="188">
        <f>opex_orig!$AB93</f>
        <v>2.7002094192828799E-5</v>
      </c>
      <c r="AD93" s="188">
        <f>opex_orig!$AB93</f>
        <v>2.7002094192828799E-5</v>
      </c>
      <c r="AE93" s="188">
        <f>opex_orig!$AC93</f>
        <v>7.3438046268200206E-5</v>
      </c>
      <c r="AF93" s="188">
        <f>opex_orig!$AD93</f>
        <v>4.9975098923418402E-5</v>
      </c>
      <c r="AG93" s="188">
        <f>opex_orig!$AD93</f>
        <v>4.9975098923418402E-5</v>
      </c>
      <c r="AH93" s="188">
        <f>opex_orig!$AD93</f>
        <v>4.9975098923418402E-5</v>
      </c>
      <c r="AI93" s="188">
        <f>opex_orig!AE93</f>
        <v>4.88E-5</v>
      </c>
      <c r="AJ93" s="188">
        <f>opex_orig!AF93</f>
        <v>4.2540999999999998E-4</v>
      </c>
      <c r="AK93" s="188">
        <f>opex_orig!AG93</f>
        <v>4.3155999999999999E-4</v>
      </c>
      <c r="AL93" s="188">
        <f>opex_orig!AH93</f>
        <v>3.8915599999999999E-4</v>
      </c>
      <c r="AM93" s="188">
        <f>opex_orig!AI93</f>
        <v>6.6952600000000004E-4</v>
      </c>
      <c r="AN93" s="188">
        <f>opex_orig!AJ93</f>
        <v>4.1888800000000002E-4</v>
      </c>
      <c r="AO93" s="188">
        <f>opex_orig!AK93</f>
        <v>3.4016199999999997E-4</v>
      </c>
      <c r="AP93" s="188">
        <f>opex_orig!$AL93</f>
        <v>3.9013580316701201E-4</v>
      </c>
      <c r="AQ93" s="188">
        <f>opex_orig!$AL93</f>
        <v>3.9013580316701201E-4</v>
      </c>
      <c r="AR93" s="188">
        <f>opex_orig!$AL93</f>
        <v>3.9013580316701201E-4</v>
      </c>
      <c r="AS93" s="188">
        <f>opex_orig!$AM93</f>
        <v>3.5011238520042697E-4</v>
      </c>
      <c r="AT93" s="188">
        <f>opex_orig!AN93</f>
        <v>5.7171399999999997E-4</v>
      </c>
      <c r="AU93" s="188">
        <f>opex_orig!$AO93</f>
        <v>7.29802075624112E-4</v>
      </c>
      <c r="AV93" s="188">
        <f>opex_orig!$AO93</f>
        <v>7.29802075624112E-4</v>
      </c>
      <c r="AW93" s="188">
        <f>opex_orig!$AO93</f>
        <v>7.29802075624112E-4</v>
      </c>
      <c r="AX93" s="188">
        <f>opex_orig!$AP93</f>
        <v>8.4341223701442196E-4</v>
      </c>
      <c r="AY93" s="188">
        <f>opex_orig!AQ93</f>
        <v>1.0430350000000001E-3</v>
      </c>
      <c r="AZ93" s="188">
        <f>opex_orig!AR93</f>
        <v>0</v>
      </c>
      <c r="BA93" s="188">
        <f>opex_orig!AS93</f>
        <v>8.6028999999999999E-4</v>
      </c>
      <c r="BB93" s="188">
        <f>opex_orig!AT93</f>
        <v>8.7996600000000004E-4</v>
      </c>
      <c r="BC93" s="188">
        <f>opex_orig!AU93</f>
        <v>1.283E-4</v>
      </c>
      <c r="BD93" s="188">
        <f>opex_orig!AV93</f>
        <v>9.5000000000000005E-5</v>
      </c>
      <c r="BE93" s="188">
        <f>opex_orig!AW93</f>
        <v>6.2026699999999998E-4</v>
      </c>
      <c r="BF93" s="188">
        <f>opex_orig!AX93</f>
        <v>0</v>
      </c>
      <c r="BG93" s="188">
        <f>opex_orig!AY93</f>
        <v>5.1228500000000002E-4</v>
      </c>
      <c r="BH93" s="188">
        <f>opex_orig!AZ93</f>
        <v>0</v>
      </c>
      <c r="BI93" s="188">
        <f>opex_orig!BA93</f>
        <v>1.28987E-3</v>
      </c>
      <c r="BJ93" s="188">
        <f>opex_orig!BB93</f>
        <v>2.0588030000000001E-3</v>
      </c>
      <c r="BK93" s="188">
        <f>opex_orig!BC93</f>
        <v>1.345096E-2</v>
      </c>
      <c r="BL93" s="188">
        <f>opex_orig!BD93</f>
        <v>3.5273750000000001E-3</v>
      </c>
      <c r="BM93" s="188">
        <f>opex_orig!BE93</f>
        <v>4.9312799999999997E-3</v>
      </c>
      <c r="BN93" s="188">
        <f>opex_orig!BF93</f>
        <v>3.1614239999999999E-3</v>
      </c>
      <c r="BO93" s="188">
        <f>opex_orig!BG93</f>
        <v>1.3746089999999999E-3</v>
      </c>
      <c r="BP93" s="188">
        <f>opex_orig!$BH93</f>
        <v>1.37392451559817E-3</v>
      </c>
      <c r="BQ93" s="188">
        <f>opex_orig!$BH93</f>
        <v>1.37392451559817E-3</v>
      </c>
      <c r="BR93" s="188">
        <f>opex_orig!BI93</f>
        <v>4.2098351999999999E-2</v>
      </c>
      <c r="BS93" s="188">
        <f>opex_orig!BJ93</f>
        <v>2.2842690999999998E-2</v>
      </c>
      <c r="BT93" s="188">
        <f>opex_orig!BK93</f>
        <v>3.4603800000000001E-4</v>
      </c>
      <c r="BU93" s="188">
        <f>opex_orig!BL93</f>
        <v>0</v>
      </c>
      <c r="BV93" s="27">
        <f>opex_orig!BM93</f>
        <v>4.58947194473336E-4</v>
      </c>
      <c r="BW93" s="27">
        <f>opex_orig!BN93</f>
        <v>8.8599733737021696E-4</v>
      </c>
      <c r="BX93" s="27">
        <f>opex_orig!BO93</f>
        <v>2.4537747498524403E-4</v>
      </c>
      <c r="BY93" s="27">
        <f>opex_orig!BP93</f>
        <v>1.3022073236869901E-4</v>
      </c>
      <c r="BZ93" s="27">
        <f>opex_orig!BQ93</f>
        <v>1.06849828260614E-4</v>
      </c>
      <c r="CA93" s="27">
        <f>opex_orig!BR93</f>
        <v>7.5817431794916496E-5</v>
      </c>
      <c r="CB93" s="27">
        <f>opex_orig!BS93</f>
        <v>4.8941347213886995E-4</v>
      </c>
      <c r="CC93" s="27">
        <f>opex_orig!BT93</f>
        <v>9.1640739648459596E-5</v>
      </c>
      <c r="CD93" s="27">
        <f>opex_orig!BU93</f>
        <v>1.24132558900916E-4</v>
      </c>
      <c r="CE93" s="27">
        <f>opex_orig!BV93</f>
        <v>1.24132558900916E-4</v>
      </c>
      <c r="CF93" s="27">
        <f>opex_orig!BW93</f>
        <v>2.1887386302202401E-4</v>
      </c>
      <c r="CG93" s="27">
        <f>opex_orig!BX93</f>
        <v>4.4364884252703903E-6</v>
      </c>
      <c r="CH93" s="27">
        <f>opex_orig!BY93</f>
        <v>2.0596282527033301E-6</v>
      </c>
      <c r="CI93" s="27">
        <f>opex_orig!Y93</f>
        <v>1.8894699999999999E-4</v>
      </c>
      <c r="CJ93" s="27">
        <f>opex_orig!Z93</f>
        <v>1.135643E-3</v>
      </c>
      <c r="CK93" s="27">
        <f>opex_orig!AA93</f>
        <v>5.2434599999999997E-4</v>
      </c>
      <c r="CL93" s="27">
        <f>opex_orig!AB93</f>
        <v>2.7002094192828799E-5</v>
      </c>
      <c r="CM93" s="27">
        <f>opex_orig!AC93</f>
        <v>7.3438046268200206E-5</v>
      </c>
      <c r="CN93" s="27">
        <f>opex_orig!AD93</f>
        <v>4.9975098923418402E-5</v>
      </c>
      <c r="CO93" s="27">
        <f>opex_orig!AE93</f>
        <v>4.88E-5</v>
      </c>
      <c r="CP93" s="27">
        <f>opex_orig!AF93</f>
        <v>4.2540999999999998E-4</v>
      </c>
    </row>
    <row r="94" spans="1:94" x14ac:dyDescent="0.25">
      <c r="A94" s="5" t="s">
        <v>207</v>
      </c>
      <c r="B94" s="2" t="s">
        <v>206</v>
      </c>
      <c r="C94" s="1" t="s">
        <v>329</v>
      </c>
      <c r="D94" s="188">
        <f>opex_orig!D94</f>
        <v>4.95923E-4</v>
      </c>
      <c r="E94" s="188">
        <f>opex_orig!E94</f>
        <v>7.9889499999999999E-4</v>
      </c>
      <c r="F94" s="188">
        <f>opex_orig!F94</f>
        <v>6.19029E-4</v>
      </c>
      <c r="G94" s="188">
        <f>opex_orig!G94</f>
        <v>3.6600000000000002E-5</v>
      </c>
      <c r="H94" s="188">
        <f>opex_orig!H94</f>
        <v>9.5199999999999997E-5</v>
      </c>
      <c r="I94" s="188">
        <f>opex_orig!I94</f>
        <v>1.6236449999999999E-3</v>
      </c>
      <c r="J94" s="188">
        <f>opex_orig!J94</f>
        <v>1.8011200000000001E-4</v>
      </c>
      <c r="K94" s="188">
        <f>opex_orig!K94</f>
        <v>1.03229E-4</v>
      </c>
      <c r="L94" s="188">
        <f>opex_orig!L94</f>
        <v>3.1980699999999999E-3</v>
      </c>
      <c r="M94" s="188">
        <f>opex_orig!M94</f>
        <v>1.0735144E-2</v>
      </c>
      <c r="N94" s="188">
        <f>opex_orig!N94</f>
        <v>4.3213440000000004E-3</v>
      </c>
      <c r="O94" s="188">
        <f>opex_orig!O94</f>
        <v>1.4912899999999999E-4</v>
      </c>
      <c r="P94" s="188">
        <f>opex_orig!P94</f>
        <v>5.083522E-3</v>
      </c>
      <c r="Q94" s="188">
        <f>opex_orig!Q94</f>
        <v>2.4399123000000002E-2</v>
      </c>
      <c r="R94" s="188">
        <f>opex_orig!R94</f>
        <v>9.6237189999999993E-3</v>
      </c>
      <c r="S94" s="188">
        <f>opex_orig!S94</f>
        <v>6.1297959999999999E-3</v>
      </c>
      <c r="T94" s="188">
        <f>opex_orig!T94</f>
        <v>5.779668E-3</v>
      </c>
      <c r="U94" s="188">
        <f>opex_orig!U94</f>
        <v>7.5377899999999999E-3</v>
      </c>
      <c r="V94" s="188">
        <f>opex_orig!V94</f>
        <v>7.3897060000000002E-3</v>
      </c>
      <c r="W94" s="188">
        <f>opex_orig!W94</f>
        <v>1.1480185E-2</v>
      </c>
      <c r="X94" s="188">
        <f>opex_orig!X94</f>
        <v>4.3962599999999998E-4</v>
      </c>
      <c r="Y94" s="188">
        <f>opex_orig!Y94</f>
        <v>9.0199999999999997E-5</v>
      </c>
      <c r="Z94" s="188">
        <f>opex_orig!Z94</f>
        <v>2.98559E-4</v>
      </c>
      <c r="AA94" s="188">
        <f>opex_orig!AA94</f>
        <v>5.2665199999999996E-4</v>
      </c>
      <c r="AB94" s="188">
        <f>opex_orig!$AB94</f>
        <v>1.23264937575068E-4</v>
      </c>
      <c r="AC94" s="188">
        <f>opex_orig!$AB94</f>
        <v>1.23264937575068E-4</v>
      </c>
      <c r="AD94" s="188">
        <f>opex_orig!$AB94</f>
        <v>1.23264937575068E-4</v>
      </c>
      <c r="AE94" s="188">
        <f>opex_orig!$AC94</f>
        <v>5.8664611997044603E-4</v>
      </c>
      <c r="AF94" s="188">
        <f>opex_orig!$AD94</f>
        <v>4.2323247920165102E-4</v>
      </c>
      <c r="AG94" s="188">
        <f>opex_orig!$AD94</f>
        <v>4.2323247920165102E-4</v>
      </c>
      <c r="AH94" s="188">
        <f>opex_orig!$AD94</f>
        <v>4.2323247920165102E-4</v>
      </c>
      <c r="AI94" s="188">
        <f>opex_orig!AE94</f>
        <v>3.5366299999999999E-4</v>
      </c>
      <c r="AJ94" s="188">
        <f>opex_orig!AF94</f>
        <v>4.8116369999999997E-3</v>
      </c>
      <c r="AK94" s="188">
        <f>opex_orig!AG94</f>
        <v>5.1385700000000003E-3</v>
      </c>
      <c r="AL94" s="188">
        <f>opex_orig!AH94</f>
        <v>9.0603199999999997E-4</v>
      </c>
      <c r="AM94" s="188">
        <f>opex_orig!AI94</f>
        <v>1.4065200000000001E-3</v>
      </c>
      <c r="AN94" s="188">
        <f>opex_orig!AJ94</f>
        <v>1.0631729999999999E-3</v>
      </c>
      <c r="AO94" s="188">
        <f>opex_orig!AK94</f>
        <v>6.0861900000000002E-4</v>
      </c>
      <c r="AP94" s="188">
        <f>opex_orig!$AL94</f>
        <v>6.6370374998748604E-4</v>
      </c>
      <c r="AQ94" s="188">
        <f>opex_orig!$AL94</f>
        <v>6.6370374998748604E-4</v>
      </c>
      <c r="AR94" s="188">
        <f>opex_orig!$AL94</f>
        <v>6.6370374998748604E-4</v>
      </c>
      <c r="AS94" s="188">
        <f>opex_orig!$AM94</f>
        <v>5.7061805323427002E-4</v>
      </c>
      <c r="AT94" s="188">
        <f>opex_orig!AN94</f>
        <v>2.5844330000000001E-3</v>
      </c>
      <c r="AU94" s="188">
        <f>opex_orig!$AO94</f>
        <v>3.11043436662274E-3</v>
      </c>
      <c r="AV94" s="188">
        <f>opex_orig!$AO94</f>
        <v>3.11043436662274E-3</v>
      </c>
      <c r="AW94" s="188">
        <f>opex_orig!$AO94</f>
        <v>3.11043436662274E-3</v>
      </c>
      <c r="AX94" s="188">
        <f>opex_orig!$AP94</f>
        <v>3.3856155683121502E-3</v>
      </c>
      <c r="AY94" s="188">
        <f>opex_orig!AQ94</f>
        <v>3.7252980000000002E-3</v>
      </c>
      <c r="AZ94" s="188">
        <f>opex_orig!AR94</f>
        <v>0</v>
      </c>
      <c r="BA94" s="188">
        <f>opex_orig!AS94</f>
        <v>2.2423510000000001E-3</v>
      </c>
      <c r="BB94" s="188">
        <f>opex_orig!AT94</f>
        <v>2.2694820000000002E-3</v>
      </c>
      <c r="BC94" s="188">
        <f>opex_orig!AU94</f>
        <v>2.6129300000000001E-4</v>
      </c>
      <c r="BD94" s="188">
        <f>opex_orig!AV94</f>
        <v>1.9319500000000001E-4</v>
      </c>
      <c r="BE94" s="188">
        <f>opex_orig!AW94</f>
        <v>1.7338239999999999E-3</v>
      </c>
      <c r="BF94" s="188">
        <f>opex_orig!AX94</f>
        <v>0</v>
      </c>
      <c r="BG94" s="188">
        <f>opex_orig!AY94</f>
        <v>1.5048069999999999E-3</v>
      </c>
      <c r="BH94" s="188">
        <f>opex_orig!AZ94</f>
        <v>0</v>
      </c>
      <c r="BI94" s="188">
        <f>opex_orig!BA94</f>
        <v>6.5629310000000001E-3</v>
      </c>
      <c r="BJ94" s="188">
        <f>opex_orig!BB94</f>
        <v>3.3829369999999999E-3</v>
      </c>
      <c r="BK94" s="188">
        <f>opex_orig!BC94</f>
        <v>2.0164879999999999E-3</v>
      </c>
      <c r="BL94" s="188">
        <f>opex_orig!BD94</f>
        <v>7.3815899999999995E-4</v>
      </c>
      <c r="BM94" s="188">
        <f>opex_orig!BE94</f>
        <v>2.4918760000000001E-3</v>
      </c>
      <c r="BN94" s="188">
        <f>opex_orig!BF94</f>
        <v>1.0071399999999999E-3</v>
      </c>
      <c r="BO94" s="188">
        <f>opex_orig!BG94</f>
        <v>1.8146359999999999E-3</v>
      </c>
      <c r="BP94" s="188">
        <f>opex_orig!$BH94</f>
        <v>1.27436700766495E-3</v>
      </c>
      <c r="BQ94" s="188">
        <f>opex_orig!$BH94</f>
        <v>1.27436700766495E-3</v>
      </c>
      <c r="BR94" s="188">
        <f>opex_orig!BI94</f>
        <v>1.6188960000000001E-3</v>
      </c>
      <c r="BS94" s="188">
        <f>opex_orig!BJ94</f>
        <v>7.3146218999999998E-2</v>
      </c>
      <c r="BT94" s="188">
        <f>opex_orig!BK94</f>
        <v>1.133399E-3</v>
      </c>
      <c r="BU94" s="188">
        <f>opex_orig!BL94</f>
        <v>0</v>
      </c>
      <c r="BV94" s="27">
        <f>opex_orig!BM94</f>
        <v>3.3714839416411899E-4</v>
      </c>
      <c r="BW94" s="27">
        <f>opex_orig!BN94</f>
        <v>4.48386335750305E-4</v>
      </c>
      <c r="BX94" s="27">
        <f>opex_orig!BO94</f>
        <v>1.5707957642028801E-4</v>
      </c>
      <c r="BY94" s="27">
        <f>opex_orig!BP94</f>
        <v>1.10597392919944E-4</v>
      </c>
      <c r="BZ94" s="27">
        <f>opex_orig!BQ94</f>
        <v>8.8305544445632203E-5</v>
      </c>
      <c r="CA94" s="27">
        <f>opex_orig!BR94</f>
        <v>6.4641441257008397E-5</v>
      </c>
      <c r="CB94" s="27">
        <f>opex_orig!BS94</f>
        <v>3.2435886235003899E-4</v>
      </c>
      <c r="CC94" s="27">
        <f>opex_orig!BT94</f>
        <v>2.2979877715031301E-4</v>
      </c>
      <c r="CD94" s="27">
        <f>opex_orig!BU94</f>
        <v>8.2335771885369305E-5</v>
      </c>
      <c r="CE94" s="27">
        <f>opex_orig!BV94</f>
        <v>8.2335771885369604E-5</v>
      </c>
      <c r="CF94" s="27">
        <f>opex_orig!BW94</f>
        <v>7.7590769598448797E-4</v>
      </c>
      <c r="CG94" s="27">
        <f>opex_orig!BX94</f>
        <v>4.5693350800034599E-6</v>
      </c>
      <c r="CH94" s="27">
        <f>opex_orig!BY94</f>
        <v>9.8986665829497905E-5</v>
      </c>
      <c r="CI94" s="27">
        <f>opex_orig!Y94</f>
        <v>9.0199999999999997E-5</v>
      </c>
      <c r="CJ94" s="27">
        <f>opex_orig!Z94</f>
        <v>2.98559E-4</v>
      </c>
      <c r="CK94" s="27">
        <f>opex_orig!AA94</f>
        <v>5.2665199999999996E-4</v>
      </c>
      <c r="CL94" s="27">
        <f>opex_orig!AB94</f>
        <v>1.23264937575068E-4</v>
      </c>
      <c r="CM94" s="27">
        <f>opex_orig!AC94</f>
        <v>5.8664611997044603E-4</v>
      </c>
      <c r="CN94" s="27">
        <f>opex_orig!AD94</f>
        <v>4.2323247920165102E-4</v>
      </c>
      <c r="CO94" s="27">
        <f>opex_orig!AE94</f>
        <v>3.5366299999999999E-4</v>
      </c>
      <c r="CP94" s="27">
        <f>opex_orig!AF94</f>
        <v>4.8116369999999997E-3</v>
      </c>
    </row>
    <row r="95" spans="1:94" x14ac:dyDescent="0.25">
      <c r="A95" s="6" t="s">
        <v>209</v>
      </c>
      <c r="B95" s="2" t="s">
        <v>208</v>
      </c>
      <c r="C95" s="1" t="s">
        <v>330</v>
      </c>
      <c r="D95" s="188">
        <f>opex_orig!D95</f>
        <v>5.7599999999999997E-5</v>
      </c>
      <c r="E95" s="188">
        <f>opex_orig!E95</f>
        <v>5.5399999999999998E-5</v>
      </c>
      <c r="F95" s="188">
        <f>opex_orig!F95</f>
        <v>7.2999999999999999E-5</v>
      </c>
      <c r="G95" s="188">
        <f>opex_orig!G95</f>
        <v>2.72E-5</v>
      </c>
      <c r="H95" s="188">
        <f>opex_orig!H95</f>
        <v>2.0400000000000001E-5</v>
      </c>
      <c r="I95" s="188">
        <f>opex_orig!I95</f>
        <v>7.0300000000000001E-5</v>
      </c>
      <c r="J95" s="188">
        <f>opex_orig!J95</f>
        <v>2.4562500000000002E-4</v>
      </c>
      <c r="K95" s="188">
        <f>opex_orig!K95</f>
        <v>4.49E-5</v>
      </c>
      <c r="L95" s="188">
        <f>opex_orig!L95</f>
        <v>1.72072E-4</v>
      </c>
      <c r="M95" s="188">
        <f>opex_orig!M95</f>
        <v>2.1534700000000001E-4</v>
      </c>
      <c r="N95" s="188">
        <f>opex_orig!N95</f>
        <v>2.5254999999999999E-4</v>
      </c>
      <c r="O95" s="188">
        <f>opex_orig!O95</f>
        <v>1.16005E-4</v>
      </c>
      <c r="P95" s="188">
        <f>opex_orig!P95</f>
        <v>1.18867E-4</v>
      </c>
      <c r="Q95" s="188">
        <f>opex_orig!Q95</f>
        <v>1.07963E-4</v>
      </c>
      <c r="R95" s="188">
        <f>opex_orig!R95</f>
        <v>1.2162700000000001E-4</v>
      </c>
      <c r="S95" s="188">
        <f>opex_orig!S95</f>
        <v>4.6E-5</v>
      </c>
      <c r="T95" s="188">
        <f>opex_orig!T95</f>
        <v>9.0799999999999998E-5</v>
      </c>
      <c r="U95" s="188">
        <f>opex_orig!U95</f>
        <v>7.1299999999999998E-5</v>
      </c>
      <c r="V95" s="188">
        <f>opex_orig!V95</f>
        <v>8.9300000000000002E-5</v>
      </c>
      <c r="W95" s="188">
        <f>opex_orig!W95</f>
        <v>4.4400000000000002E-5</v>
      </c>
      <c r="X95" s="188">
        <f>opex_orig!X95</f>
        <v>5.3600000000000002E-5</v>
      </c>
      <c r="Y95" s="188">
        <f>opex_orig!Y95</f>
        <v>6.1199999999999997E-5</v>
      </c>
      <c r="Z95" s="188">
        <f>opex_orig!Z95</f>
        <v>7.7600000000000002E-5</v>
      </c>
      <c r="AA95" s="188">
        <f>opex_orig!AA95</f>
        <v>1.4605099999999999E-4</v>
      </c>
      <c r="AB95" s="188">
        <f>opex_orig!$AB95</f>
        <v>1.2976488083071499E-4</v>
      </c>
      <c r="AC95" s="188">
        <f>opex_orig!$AB95</f>
        <v>1.2976488083071499E-4</v>
      </c>
      <c r="AD95" s="188">
        <f>opex_orig!$AB95</f>
        <v>1.2976488083071499E-4</v>
      </c>
      <c r="AE95" s="188">
        <f>opex_orig!$AC95</f>
        <v>3.6315192537078302E-4</v>
      </c>
      <c r="AF95" s="188">
        <f>opex_orig!$AD95</f>
        <v>1.12732231398091E-4</v>
      </c>
      <c r="AG95" s="188">
        <f>opex_orig!$AD95</f>
        <v>1.12732231398091E-4</v>
      </c>
      <c r="AH95" s="188">
        <f>opex_orig!$AD95</f>
        <v>1.12732231398091E-4</v>
      </c>
      <c r="AI95" s="188">
        <f>opex_orig!AE95</f>
        <v>8.1600000000000005E-5</v>
      </c>
      <c r="AJ95" s="188">
        <f>opex_orig!AF95</f>
        <v>4.5013200000000001E-4</v>
      </c>
      <c r="AK95" s="188">
        <f>opex_orig!AG95</f>
        <v>1.91812E-4</v>
      </c>
      <c r="AL95" s="188">
        <f>opex_orig!AH95</f>
        <v>9.6500000000000001E-5</v>
      </c>
      <c r="AM95" s="188">
        <f>opex_orig!AI95</f>
        <v>1.4170400000000001E-4</v>
      </c>
      <c r="AN95" s="188">
        <f>opex_orig!AJ95</f>
        <v>7.2299999999999996E-5</v>
      </c>
      <c r="AO95" s="188">
        <f>opex_orig!AK95</f>
        <v>1.42607E-4</v>
      </c>
      <c r="AP95" s="188">
        <f>opex_orig!$AL95</f>
        <v>9.2644119956756404E-5</v>
      </c>
      <c r="AQ95" s="188">
        <f>opex_orig!$AL95</f>
        <v>9.2644119956756404E-5</v>
      </c>
      <c r="AR95" s="188">
        <f>opex_orig!$AL95</f>
        <v>9.2644119956756404E-5</v>
      </c>
      <c r="AS95" s="188">
        <f>opex_orig!$AM95</f>
        <v>1.05646760220718E-4</v>
      </c>
      <c r="AT95" s="188">
        <f>opex_orig!AN95</f>
        <v>1.10845E-4</v>
      </c>
      <c r="AU95" s="310">
        <f>opex_concordance!M594</f>
        <v>0.12297476016742501</v>
      </c>
      <c r="AV95" s="310">
        <f>opex_concordance!M640</f>
        <v>0</v>
      </c>
      <c r="AW95" s="310">
        <f>opex_concordance!M686</f>
        <v>0.10193530062531227</v>
      </c>
      <c r="AX95" s="188">
        <f>opex_orig!$AP95</f>
        <v>0.136364807713034</v>
      </c>
      <c r="AY95" s="188">
        <f>opex_orig!AQ95</f>
        <v>0.12237052900000001</v>
      </c>
      <c r="AZ95" s="188">
        <f>opex_orig!AR95</f>
        <v>0</v>
      </c>
      <c r="BA95" s="188">
        <f>opex_orig!AS95</f>
        <v>0.11727006700000001</v>
      </c>
      <c r="BB95" s="188">
        <f>opex_orig!AT95</f>
        <v>0.14173768</v>
      </c>
      <c r="BC95" s="188">
        <f>opex_orig!AU95</f>
        <v>3.8638969999999998E-3</v>
      </c>
      <c r="BD95" s="188">
        <f>opex_orig!AV95</f>
        <v>6.2118500000000001E-4</v>
      </c>
      <c r="BE95" s="188">
        <f>opex_orig!AW95</f>
        <v>9.8234679000000005E-2</v>
      </c>
      <c r="BF95" s="188">
        <f>opex_orig!AX95</f>
        <v>0</v>
      </c>
      <c r="BG95" s="188">
        <f>opex_orig!AY95</f>
        <v>0.106040537</v>
      </c>
      <c r="BH95" s="188">
        <f>opex_orig!AZ95</f>
        <v>0</v>
      </c>
      <c r="BI95" s="188">
        <f>opex_orig!BA95</f>
        <v>5.1296332E-2</v>
      </c>
      <c r="BJ95" s="188">
        <f>opex_orig!BB95</f>
        <v>2.5658400000000002E-4</v>
      </c>
      <c r="BK95" s="188">
        <f>opex_orig!BC95</f>
        <v>5.74539E-4</v>
      </c>
      <c r="BL95" s="188">
        <f>opex_orig!BD95</f>
        <v>4.57E-5</v>
      </c>
      <c r="BM95" s="188">
        <f>opex_orig!BE95</f>
        <v>3.5849599999999998E-4</v>
      </c>
      <c r="BN95" s="188">
        <f>opex_orig!BF95</f>
        <v>1.4747600000000001E-4</v>
      </c>
      <c r="BO95" s="188">
        <f>opex_orig!BG95</f>
        <v>1.80082E-4</v>
      </c>
      <c r="BP95" s="188">
        <f>opex_orig!$BH95</f>
        <v>1.58470330732762E-4</v>
      </c>
      <c r="BQ95" s="188">
        <f>opex_orig!$BH95</f>
        <v>1.58470330732762E-4</v>
      </c>
      <c r="BR95" s="188">
        <f>opex_orig!BI95</f>
        <v>2.7923100000000001E-4</v>
      </c>
      <c r="BS95" s="188">
        <f>opex_orig!BJ95</f>
        <v>2.1723900000000001E-4</v>
      </c>
      <c r="BT95" s="188">
        <f>opex_orig!BK95</f>
        <v>0.24740000000000001</v>
      </c>
      <c r="BU95" s="188">
        <f>opex_orig!BL95</f>
        <v>0</v>
      </c>
      <c r="BV95" s="27">
        <f>opex_orig!BM95</f>
        <v>3.2527713362672402E-5</v>
      </c>
      <c r="BW95" s="27">
        <f>opex_orig!BN95</f>
        <v>1.1960310775241401E-4</v>
      </c>
      <c r="BX95" s="27">
        <f>opex_orig!BO95</f>
        <v>1.6657657361941699E-5</v>
      </c>
      <c r="BY95" s="27">
        <f>opex_orig!BP95</f>
        <v>7.6344187058682603E-5</v>
      </c>
      <c r="BZ95" s="27">
        <f>opex_orig!BQ95</f>
        <v>5.0120977387598997E-5</v>
      </c>
      <c r="CA95" s="27">
        <f>opex_orig!BR95</f>
        <v>1.40430433945579E-4</v>
      </c>
      <c r="CB95" s="27">
        <f>opex_orig!BS95</f>
        <v>1.65614104721719E-4</v>
      </c>
      <c r="CC95" s="27">
        <f>opex_orig!BT95</f>
        <v>1.9447323019069899E-4</v>
      </c>
      <c r="CD95" s="27">
        <f>opex_orig!BU95</f>
        <v>1.7321434691212701E-5</v>
      </c>
      <c r="CE95" s="27">
        <f>opex_orig!BV95</f>
        <v>1.7321434691212701E-5</v>
      </c>
      <c r="CF95" s="27">
        <f>opex_orig!BW95</f>
        <v>2.8398620266961299E-5</v>
      </c>
      <c r="CG95" s="27">
        <f>opex_orig!BX95</f>
        <v>4.5170987136897202E-7</v>
      </c>
      <c r="CH95" s="27">
        <f>opex_orig!BY95</f>
        <v>2.5835854846045901E-6</v>
      </c>
      <c r="CI95" s="27">
        <f>opex_orig!Y95</f>
        <v>6.1199999999999997E-5</v>
      </c>
      <c r="CJ95" s="27">
        <f>opex_orig!Z95</f>
        <v>7.7600000000000002E-5</v>
      </c>
      <c r="CK95" s="27">
        <f>opex_orig!AA95</f>
        <v>1.4605099999999999E-4</v>
      </c>
      <c r="CL95" s="27">
        <f>opex_orig!AB95</f>
        <v>1.2976488083071499E-4</v>
      </c>
      <c r="CM95" s="27">
        <f>opex_orig!AC95</f>
        <v>3.6315192537078302E-4</v>
      </c>
      <c r="CN95" s="27">
        <f>opex_orig!AD95</f>
        <v>1.12732231398091E-4</v>
      </c>
      <c r="CO95" s="27">
        <f>opex_orig!AE95</f>
        <v>8.1600000000000005E-5</v>
      </c>
      <c r="CP95" s="27">
        <f>opex_orig!AF95</f>
        <v>4.5013200000000001E-4</v>
      </c>
    </row>
    <row r="96" spans="1:94" x14ac:dyDescent="0.25">
      <c r="A96" s="6" t="s">
        <v>211</v>
      </c>
      <c r="B96" s="2" t="s">
        <v>210</v>
      </c>
      <c r="C96" s="1" t="s">
        <v>330</v>
      </c>
      <c r="D96" s="188">
        <f>opex_orig!D96</f>
        <v>4.21E-5</v>
      </c>
      <c r="E96" s="188">
        <f>opex_orig!E96</f>
        <v>1.47E-5</v>
      </c>
      <c r="F96" s="188">
        <f>opex_orig!F96</f>
        <v>2.2200000000000001E-5</v>
      </c>
      <c r="G96" s="188">
        <f>opex_orig!G96</f>
        <v>1.9899999999999999E-5</v>
      </c>
      <c r="H96" s="188">
        <f>opex_orig!H96</f>
        <v>3.3399999999999999E-5</v>
      </c>
      <c r="I96" s="188">
        <f>opex_orig!I96</f>
        <v>2.3499999999999999E-5</v>
      </c>
      <c r="J96" s="188">
        <f>opex_orig!J96</f>
        <v>7.6299999999999998E-5</v>
      </c>
      <c r="K96" s="188">
        <f>opex_orig!K96</f>
        <v>3.3000000000000003E-5</v>
      </c>
      <c r="L96" s="188">
        <f>opex_orig!L96</f>
        <v>3.4100000000000002E-5</v>
      </c>
      <c r="M96" s="188">
        <f>opex_orig!M96</f>
        <v>4.4400000000000002E-5</v>
      </c>
      <c r="N96" s="188">
        <f>opex_orig!N96</f>
        <v>1.28577E-4</v>
      </c>
      <c r="O96" s="188">
        <f>opex_orig!O96</f>
        <v>4.88E-5</v>
      </c>
      <c r="P96" s="188">
        <f>opex_orig!P96</f>
        <v>1.9005899999999999E-4</v>
      </c>
      <c r="Q96" s="188">
        <f>opex_orig!Q96</f>
        <v>9.3499999999999996E-5</v>
      </c>
      <c r="R96" s="188">
        <f>opex_orig!R96</f>
        <v>7.7000000000000001E-5</v>
      </c>
      <c r="S96" s="188">
        <f>opex_orig!S96</f>
        <v>1.48942E-4</v>
      </c>
      <c r="T96" s="188">
        <f>opex_orig!T96</f>
        <v>1.62631E-4</v>
      </c>
      <c r="U96" s="188">
        <f>opex_orig!U96</f>
        <v>8.0599999999999994E-5</v>
      </c>
      <c r="V96" s="188">
        <f>opex_orig!V96</f>
        <v>4.4100000000000001E-5</v>
      </c>
      <c r="W96" s="188">
        <f>opex_orig!W96</f>
        <v>1.03158E-4</v>
      </c>
      <c r="X96" s="188">
        <f>opex_orig!X96</f>
        <v>2.87E-5</v>
      </c>
      <c r="Y96" s="188">
        <f>opex_orig!Y96</f>
        <v>2.9E-5</v>
      </c>
      <c r="Z96" s="188">
        <f>opex_orig!Z96</f>
        <v>9.8599999999999998E-5</v>
      </c>
      <c r="AA96" s="188">
        <f>opex_orig!AA96</f>
        <v>1.2539300000000001E-4</v>
      </c>
      <c r="AB96" s="188">
        <f>opex_orig!$AB96</f>
        <v>1.0765062339575799E-3</v>
      </c>
      <c r="AC96" s="188">
        <f>opex_orig!$AB96</f>
        <v>1.0765062339575799E-3</v>
      </c>
      <c r="AD96" s="188">
        <f>opex_orig!$AB96</f>
        <v>1.0765062339575799E-3</v>
      </c>
      <c r="AE96" s="188">
        <f>opex_orig!$AC96</f>
        <v>4.94856892725176E-5</v>
      </c>
      <c r="AF96" s="188">
        <f>opex_orig!$AD96</f>
        <v>1.12809939112791E-5</v>
      </c>
      <c r="AG96" s="188">
        <f>opex_orig!$AD96</f>
        <v>1.12809939112791E-5</v>
      </c>
      <c r="AH96" s="188">
        <f>opex_orig!$AD96</f>
        <v>1.12809939112791E-5</v>
      </c>
      <c r="AI96" s="188">
        <f>opex_orig!AE96</f>
        <v>1.5800000000000001E-5</v>
      </c>
      <c r="AJ96" s="188">
        <f>opex_orig!AF96</f>
        <v>9.6100000000000005E-5</v>
      </c>
      <c r="AK96" s="188">
        <f>opex_orig!AG96</f>
        <v>8.5905300000000003E-4</v>
      </c>
      <c r="AL96" s="188">
        <f>opex_orig!AH96</f>
        <v>6.0099999999999997E-5</v>
      </c>
      <c r="AM96" s="188">
        <f>opex_orig!AI96</f>
        <v>5.8E-5</v>
      </c>
      <c r="AN96" s="188">
        <f>opex_orig!AJ96</f>
        <v>7.1299999999999998E-5</v>
      </c>
      <c r="AO96" s="188">
        <f>opex_orig!AK96</f>
        <v>9.4599999999999996E-5</v>
      </c>
      <c r="AP96" s="188">
        <f>opex_orig!$AL96</f>
        <v>6.2103714690626001E-5</v>
      </c>
      <c r="AQ96" s="188">
        <f>opex_orig!$AL96</f>
        <v>6.2103714690626001E-5</v>
      </c>
      <c r="AR96" s="188">
        <f>opex_orig!$AL96</f>
        <v>6.2103714690626001E-5</v>
      </c>
      <c r="AS96" s="188">
        <f>opex_orig!$AM96</f>
        <v>5.20202641766741E-5</v>
      </c>
      <c r="AT96" s="188">
        <f>opex_orig!AN96</f>
        <v>8.8599999999999999E-5</v>
      </c>
      <c r="AU96" s="188">
        <f>opex_orig!$AO96</f>
        <v>6.7495591055406203E-4</v>
      </c>
      <c r="AV96" s="188">
        <f>opex_orig!$AO96</f>
        <v>6.7495591055406203E-4</v>
      </c>
      <c r="AW96" s="188">
        <f>opex_orig!$AO96</f>
        <v>6.7495591055406203E-4</v>
      </c>
      <c r="AX96" s="188">
        <f>opex_orig!$AP96</f>
        <v>7.6090137713652895E-4</v>
      </c>
      <c r="AY96" s="188">
        <f>opex_orig!AQ96</f>
        <v>2.232992E-3</v>
      </c>
      <c r="AZ96" s="188">
        <f>opex_orig!AR96</f>
        <v>0</v>
      </c>
      <c r="BA96" s="188">
        <f>opex_orig!AS96</f>
        <v>4.5549000000000002E-4</v>
      </c>
      <c r="BB96" s="188">
        <f>opex_orig!AT96</f>
        <v>4.6203200000000002E-4</v>
      </c>
      <c r="BC96" s="188">
        <f>opex_orig!AU96</f>
        <v>4.2567700000000001E-4</v>
      </c>
      <c r="BD96" s="188">
        <f>opex_orig!AV96</f>
        <v>4.3495200000000001E-4</v>
      </c>
      <c r="BE96" s="188">
        <f>opex_orig!AW96</f>
        <v>7.4190250000000001E-3</v>
      </c>
      <c r="BF96" s="188">
        <f>opex_orig!AX96</f>
        <v>0</v>
      </c>
      <c r="BG96" s="188">
        <f>opex_orig!AY96</f>
        <v>5.1216E-4</v>
      </c>
      <c r="BH96" s="188">
        <f>opex_orig!AZ96</f>
        <v>0</v>
      </c>
      <c r="BI96" s="188">
        <f>opex_orig!BA96</f>
        <v>1.0888829999999999E-3</v>
      </c>
      <c r="BJ96" s="188">
        <f>opex_orig!BB96</f>
        <v>7.6319799999999998E-4</v>
      </c>
      <c r="BK96" s="188">
        <f>opex_orig!BC96</f>
        <v>5.7866999999999999E-4</v>
      </c>
      <c r="BL96" s="188">
        <f>opex_orig!BD96</f>
        <v>3.4400000000000003E-5</v>
      </c>
      <c r="BM96" s="188">
        <f>opex_orig!BE96</f>
        <v>4.6558100000000001E-4</v>
      </c>
      <c r="BN96" s="188">
        <f>opex_orig!BF96</f>
        <v>2.0400000000000001E-5</v>
      </c>
      <c r="BO96" s="188">
        <f>opex_orig!BG96</f>
        <v>2.6883199999999999E-4</v>
      </c>
      <c r="BP96" s="188">
        <f>opex_orig!$BH96</f>
        <v>1.12892214175054E-4</v>
      </c>
      <c r="BQ96" s="188">
        <f>opex_orig!$BH96</f>
        <v>1.12892214175054E-4</v>
      </c>
      <c r="BR96" s="188">
        <f>opex_orig!BI96</f>
        <v>2.0505799999999999E-4</v>
      </c>
      <c r="BS96" s="188">
        <f>opex_orig!BJ96</f>
        <v>2.7518200000000001E-4</v>
      </c>
      <c r="BT96" s="188">
        <f>opex_orig!BK96</f>
        <v>1.1263180000000001E-3</v>
      </c>
      <c r="BU96" s="188">
        <f>opex_orig!BL96</f>
        <v>0</v>
      </c>
      <c r="BV96" s="27">
        <f>opex_orig!BM96</f>
        <v>1.58975362030599E-5</v>
      </c>
      <c r="BW96" s="27">
        <f>opex_orig!BN96</f>
        <v>1.2355511858528801E-4</v>
      </c>
      <c r="BX96" s="27">
        <f>opex_orig!BO96</f>
        <v>5.3944695680493603E-6</v>
      </c>
      <c r="BY96" s="27">
        <f>opex_orig!BP96</f>
        <v>1.03434838803883E-5</v>
      </c>
      <c r="BZ96" s="27">
        <f>opex_orig!BQ96</f>
        <v>9.6352110114722606E-6</v>
      </c>
      <c r="CA96" s="27">
        <f>opex_orig!BR96</f>
        <v>6.21818087418901E-4</v>
      </c>
      <c r="CB96" s="27">
        <f>opex_orig!BS96</f>
        <v>2.8572184755178799E-4</v>
      </c>
      <c r="CC96" s="27">
        <f>opex_orig!BT96</f>
        <v>1.6571756397194999E-3</v>
      </c>
      <c r="CD96" s="27">
        <f>opex_orig!BU96</f>
        <v>5.31056529141152E-6</v>
      </c>
      <c r="CE96" s="27">
        <f>opex_orig!BV96</f>
        <v>5.3105652914115301E-6</v>
      </c>
      <c r="CF96" s="27">
        <f>opex_orig!BW96</f>
        <v>8.6382214202418298E-4</v>
      </c>
      <c r="CG96" s="27">
        <f>opex_orig!BX96</f>
        <v>1.9538283965824601E-5</v>
      </c>
      <c r="CH96" s="27">
        <f>opex_orig!BY96</f>
        <v>1.5246008765371601E-4</v>
      </c>
      <c r="CI96" s="27">
        <f>opex_orig!Y96</f>
        <v>2.9E-5</v>
      </c>
      <c r="CJ96" s="27">
        <f>opex_orig!Z96</f>
        <v>9.8599999999999998E-5</v>
      </c>
      <c r="CK96" s="27">
        <f>opex_orig!AA96</f>
        <v>1.2539300000000001E-4</v>
      </c>
      <c r="CL96" s="27">
        <f>opex_orig!AB96</f>
        <v>1.0765062339575799E-3</v>
      </c>
      <c r="CM96" s="27">
        <f>opex_orig!AC96</f>
        <v>4.94856892725176E-5</v>
      </c>
      <c r="CN96" s="27">
        <f>opex_orig!AD96</f>
        <v>1.12809939112791E-5</v>
      </c>
      <c r="CO96" s="27">
        <f>opex_orig!AE96</f>
        <v>1.5800000000000001E-5</v>
      </c>
      <c r="CP96" s="27">
        <f>opex_orig!AF96</f>
        <v>9.6100000000000005E-5</v>
      </c>
    </row>
    <row r="97" spans="1:94" x14ac:dyDescent="0.25">
      <c r="A97" s="5" t="s">
        <v>2</v>
      </c>
      <c r="B97" s="2" t="s">
        <v>3</v>
      </c>
      <c r="C97" s="1" t="s">
        <v>330</v>
      </c>
      <c r="D97" s="188">
        <f>opex_orig!D97</f>
        <v>9.9430400000000011E-4</v>
      </c>
      <c r="E97" s="188">
        <f>opex_orig!E97</f>
        <v>1.697648E-3</v>
      </c>
      <c r="F97" s="188">
        <f>opex_orig!F97</f>
        <v>9.9679499999999997E-4</v>
      </c>
      <c r="G97" s="188">
        <f>opex_orig!G97</f>
        <v>1.17791E-4</v>
      </c>
      <c r="H97" s="188">
        <f>opex_orig!H97</f>
        <v>2.9655099999999999E-4</v>
      </c>
      <c r="I97" s="188">
        <f>opex_orig!I97</f>
        <v>5.3586049999999998E-3</v>
      </c>
      <c r="J97" s="188">
        <f>opex_orig!J97</f>
        <v>2.1951368999999998E-2</v>
      </c>
      <c r="K97" s="188">
        <f>opex_orig!K97</f>
        <v>3.80594E-4</v>
      </c>
      <c r="L97" s="188">
        <f>opex_orig!L97</f>
        <v>2.0490220000000002E-3</v>
      </c>
      <c r="M97" s="188">
        <f>opex_orig!M97</f>
        <v>7.3513340000000002E-3</v>
      </c>
      <c r="N97" s="188">
        <f>opex_orig!N97</f>
        <v>3.116808E-3</v>
      </c>
      <c r="O97" s="188">
        <f>opex_orig!O97</f>
        <v>2.0783759999999998E-3</v>
      </c>
      <c r="P97" s="188">
        <f>opex_orig!P97</f>
        <v>1.6125877E-2</v>
      </c>
      <c r="Q97" s="188">
        <f>opex_orig!Q97</f>
        <v>1.6864697000000001E-2</v>
      </c>
      <c r="R97" s="188">
        <f>opex_orig!R97</f>
        <v>7.2617299999999999E-4</v>
      </c>
      <c r="S97" s="188">
        <f>opex_orig!S97</f>
        <v>7.9774549999999996E-3</v>
      </c>
      <c r="T97" s="188">
        <f>opex_orig!T97</f>
        <v>8.1236309999999992E-3</v>
      </c>
      <c r="U97" s="188">
        <f>opex_orig!U97</f>
        <v>2.7546643999999999E-2</v>
      </c>
      <c r="V97" s="188">
        <f>opex_orig!V97</f>
        <v>1.3299770000000001E-2</v>
      </c>
      <c r="W97" s="188">
        <f>opex_orig!W97</f>
        <v>6.4762099999999996E-3</v>
      </c>
      <c r="X97" s="188">
        <f>opex_orig!X97</f>
        <v>3.917785E-3</v>
      </c>
      <c r="Y97" s="188">
        <f>opex_orig!Y97</f>
        <v>1.6750148999999999E-2</v>
      </c>
      <c r="Z97" s="188">
        <f>opex_orig!Z97</f>
        <v>3.6012158000000002E-2</v>
      </c>
      <c r="AA97" s="188">
        <f>opex_orig!AA97</f>
        <v>3.5943500000000002E-4</v>
      </c>
      <c r="AB97" s="273">
        <f>opex_concordance!M163</f>
        <v>2.4474877346843799E-4</v>
      </c>
      <c r="AC97" s="273">
        <f>opex_concordance!M208</f>
        <v>7.3951129641367831E-3</v>
      </c>
      <c r="AD97" s="273">
        <f>opex_concordance!M253</f>
        <v>6.5967413845289006E-3</v>
      </c>
      <c r="AE97" s="188">
        <f>opex_orig!$AC97</f>
        <v>2.5889863919273102E-3</v>
      </c>
      <c r="AF97" s="273">
        <f>opex_concordance!M295</f>
        <v>4.5176509017278103E-3</v>
      </c>
      <c r="AG97" s="273">
        <f>opex_concordance!M331</f>
        <v>1.1139980150779451E-3</v>
      </c>
      <c r="AH97" s="273">
        <f>opex_concordance!M367</f>
        <v>1.3471102307565242E-3</v>
      </c>
      <c r="AI97" s="188">
        <f>opex_orig!AE97</f>
        <v>4.5805129999999996E-3</v>
      </c>
      <c r="AJ97" s="188">
        <f>opex_orig!AF97</f>
        <v>1.5491984E-2</v>
      </c>
      <c r="AK97" s="188">
        <f>opex_orig!AG97</f>
        <v>4.0929260000000002E-3</v>
      </c>
      <c r="AL97" s="188">
        <f>opex_orig!AH97</f>
        <v>2.6119060000000002E-3</v>
      </c>
      <c r="AM97" s="188">
        <f>opex_orig!AI97</f>
        <v>6.793688E-3</v>
      </c>
      <c r="AN97" s="188">
        <f>opex_orig!AJ97</f>
        <v>2.1401620000000001E-3</v>
      </c>
      <c r="AO97" s="188">
        <f>opex_orig!AK97</f>
        <v>3.3156510000000002E-3</v>
      </c>
      <c r="AP97" s="273">
        <f>opex_concordance!M405</f>
        <v>8.51974436228768E-3</v>
      </c>
      <c r="AQ97" s="273">
        <f>opex_concordance!M459</f>
        <v>1.1328311983508451E-2</v>
      </c>
      <c r="AR97" s="273">
        <f>opex_concordance!M513</f>
        <v>2.3298174839807766E-2</v>
      </c>
      <c r="AS97" s="188">
        <f>opex_orig!$AM97</f>
        <v>3.7324439747756901E-3</v>
      </c>
      <c r="AT97" s="188">
        <f>opex_orig!AN97</f>
        <v>1.2414853999999999E-2</v>
      </c>
      <c r="AU97" s="273">
        <f>opex_concordance!M572</f>
        <v>2.61380390360051E-3</v>
      </c>
      <c r="AV97" s="273">
        <f>opex_concordance!M618</f>
        <v>3.5677521695546943E-2</v>
      </c>
      <c r="AW97" s="273">
        <f>opex_concordance!M664</f>
        <v>3.0951634340759646E-3</v>
      </c>
      <c r="AX97" s="188">
        <f>opex_orig!$AP97</f>
        <v>1.11759578541454E-2</v>
      </c>
      <c r="AY97" s="188">
        <f>opex_orig!AQ97</f>
        <v>1.507043E-3</v>
      </c>
      <c r="AZ97" s="188">
        <f>opex_orig!AR97</f>
        <v>0</v>
      </c>
      <c r="BA97" s="188">
        <f>opex_orig!AS97</f>
        <v>9.3702620000000007E-3</v>
      </c>
      <c r="BB97" s="188">
        <f>opex_orig!AT97</f>
        <v>7.6860100000000005E-4</v>
      </c>
      <c r="BC97" s="188">
        <f>opex_orig!AU97</f>
        <v>2.6032600000000001E-4</v>
      </c>
      <c r="BD97" s="188">
        <f>opex_orig!AV97</f>
        <v>1.4449299999999999E-4</v>
      </c>
      <c r="BE97" s="188">
        <f>opex_orig!AW97</f>
        <v>1.312798E-3</v>
      </c>
      <c r="BF97" s="188">
        <f>opex_orig!AX97</f>
        <v>0</v>
      </c>
      <c r="BG97" s="188">
        <f>opex_orig!AY97</f>
        <v>2.589329E-3</v>
      </c>
      <c r="BH97" s="188">
        <f>opex_orig!AZ97</f>
        <v>0</v>
      </c>
      <c r="BI97" s="188">
        <f>opex_orig!BA97</f>
        <v>8.14348E-4</v>
      </c>
      <c r="BJ97" s="188">
        <f>opex_orig!BB97</f>
        <v>4.9775569999999996E-3</v>
      </c>
      <c r="BK97" s="188">
        <f>opex_orig!BC97</f>
        <v>8.6544859999999994E-3</v>
      </c>
      <c r="BL97" s="188">
        <f>opex_orig!BD97</f>
        <v>3.3020100000000002E-4</v>
      </c>
      <c r="BM97" s="188">
        <f>opex_orig!BE97</f>
        <v>5.0410489999999997E-3</v>
      </c>
      <c r="BN97" s="188">
        <f>opex_orig!BF97</f>
        <v>1.251327E-3</v>
      </c>
      <c r="BO97" s="188">
        <f>opex_orig!BG97</f>
        <v>1.2624358E-2</v>
      </c>
      <c r="BP97" s="188">
        <f>opex_orig!$BH97</f>
        <v>1.6045727041877E-3</v>
      </c>
      <c r="BQ97" s="188">
        <f>opex_orig!$BH97</f>
        <v>1.6045727041877E-3</v>
      </c>
      <c r="BR97" s="188">
        <f>opex_orig!BI97</f>
        <v>3.055557E-3</v>
      </c>
      <c r="BS97" s="188">
        <f>opex_orig!BJ97</f>
        <v>6.1397159999999999E-3</v>
      </c>
      <c r="BT97" s="188">
        <f>opex_orig!BK97</f>
        <v>1.787961E-3</v>
      </c>
      <c r="BU97" s="188">
        <f>opex_orig!BL97</f>
        <v>0</v>
      </c>
      <c r="BV97" s="27">
        <f>opex_orig!BM97</f>
        <v>1.8991982309404101E-4</v>
      </c>
      <c r="BW97" s="27">
        <f>opex_orig!BN97</f>
        <v>2.7073148132958802E-4</v>
      </c>
      <c r="BX97" s="27">
        <f>opex_orig!BO97</f>
        <v>6.4513514082323298E-5</v>
      </c>
      <c r="BY97" s="27">
        <f>opex_orig!BP97</f>
        <v>1.1142013391870899E-4</v>
      </c>
      <c r="BZ97" s="27">
        <f>opex_orig!BQ97</f>
        <v>1.3144560234639799E-4</v>
      </c>
      <c r="CA97" s="27">
        <f>opex_orig!BR97</f>
        <v>2.16865250690182E-4</v>
      </c>
      <c r="CB97" s="27">
        <f>opex_orig!BS97</f>
        <v>2.7800594975965201E-4</v>
      </c>
      <c r="CC97" s="27">
        <f>opex_orig!BT97</f>
        <v>1.33986353189564E-5</v>
      </c>
      <c r="CD97" s="27">
        <f>opex_orig!BU97</f>
        <v>1.09293291087792E-4</v>
      </c>
      <c r="CE97" s="27">
        <f>opex_orig!BV97</f>
        <v>1.09293291087792E-4</v>
      </c>
      <c r="CF97" s="27">
        <f>opex_orig!BW97</f>
        <v>2.9421101607451899E-5</v>
      </c>
      <c r="CG97" s="27">
        <f>opex_orig!BX97</f>
        <v>4.9118954075536801E-7</v>
      </c>
      <c r="CH97" s="27">
        <f>opex_orig!BY97</f>
        <v>8.7838194362857807E-6</v>
      </c>
      <c r="CI97" s="27">
        <f>opex_orig!Y97</f>
        <v>1.6750148999999999E-2</v>
      </c>
      <c r="CJ97" s="27">
        <f>opex_orig!Z97</f>
        <v>3.6012158000000002E-2</v>
      </c>
      <c r="CK97" s="27">
        <f>opex_orig!AA97</f>
        <v>3.5943500000000002E-4</v>
      </c>
      <c r="CL97" s="27">
        <f>opex_orig!AB97</f>
        <v>2.4474877346843799E-4</v>
      </c>
      <c r="CM97" s="27">
        <f>opex_orig!AC97</f>
        <v>2.5889863919273102E-3</v>
      </c>
      <c r="CN97" s="27">
        <f>opex_orig!AD97</f>
        <v>4.5176509017278103E-3</v>
      </c>
      <c r="CO97" s="27">
        <f>opex_orig!AE97</f>
        <v>4.5805129999999996E-3</v>
      </c>
      <c r="CP97" s="27">
        <f>opex_orig!AF97</f>
        <v>1.5491984E-2</v>
      </c>
    </row>
    <row r="98" spans="1:94" x14ac:dyDescent="0.25">
      <c r="A98" s="5" t="s">
        <v>4</v>
      </c>
      <c r="B98" s="2" t="s">
        <v>5</v>
      </c>
      <c r="C98" s="1" t="s">
        <v>330</v>
      </c>
      <c r="D98" s="188">
        <f>opex_orig!D98</f>
        <v>4.8099999999999997E-5</v>
      </c>
      <c r="E98" s="188">
        <f>opex_orig!E98</f>
        <v>3.0800000000000003E-5</v>
      </c>
      <c r="F98" s="188">
        <f>opex_orig!F98</f>
        <v>3.6100000000000003E-5</v>
      </c>
      <c r="G98" s="188">
        <f>opex_orig!G98</f>
        <v>1.13E-6</v>
      </c>
      <c r="H98" s="188">
        <f>opex_orig!H98</f>
        <v>6.5200000000000003E-6</v>
      </c>
      <c r="I98" s="188">
        <f>opex_orig!I98</f>
        <v>6.5099999999999997E-5</v>
      </c>
      <c r="J98" s="188">
        <f>opex_orig!J98</f>
        <v>2.2781599999999999E-4</v>
      </c>
      <c r="K98" s="188">
        <f>opex_orig!K98</f>
        <v>4.5199999999999999E-6</v>
      </c>
      <c r="L98" s="188">
        <f>opex_orig!L98</f>
        <v>4.1499999999999999E-5</v>
      </c>
      <c r="M98" s="188">
        <f>opex_orig!M98</f>
        <v>1.53213E-4</v>
      </c>
      <c r="N98" s="188">
        <f>opex_orig!N98</f>
        <v>9.2499999999999999E-5</v>
      </c>
      <c r="O98" s="188">
        <f>opex_orig!O98</f>
        <v>8.1699999999999994E-5</v>
      </c>
      <c r="P98" s="188">
        <f>opex_orig!P98</f>
        <v>2.12065E-4</v>
      </c>
      <c r="Q98" s="188">
        <f>opex_orig!Q98</f>
        <v>3.75072E-4</v>
      </c>
      <c r="R98" s="188">
        <f>opex_orig!R98</f>
        <v>2.34E-5</v>
      </c>
      <c r="S98" s="188">
        <f>opex_orig!S98</f>
        <v>9.2800000000000006E-5</v>
      </c>
      <c r="T98" s="188">
        <f>opex_orig!T98</f>
        <v>9.1600000000000004E-5</v>
      </c>
      <c r="U98" s="188">
        <f>opex_orig!U98</f>
        <v>1.0644E-4</v>
      </c>
      <c r="V98" s="188">
        <f>opex_orig!V98</f>
        <v>3.8099999999999998E-5</v>
      </c>
      <c r="W98" s="188">
        <f>opex_orig!W98</f>
        <v>8.8900000000000006E-5</v>
      </c>
      <c r="X98" s="188">
        <f>opex_orig!X98</f>
        <v>3.6399999999999997E-5</v>
      </c>
      <c r="Y98" s="188">
        <f>opex_orig!Y98</f>
        <v>1.204501E-3</v>
      </c>
      <c r="Z98" s="188">
        <f>opex_orig!Z98</f>
        <v>2.7642370000000001E-3</v>
      </c>
      <c r="AA98" s="188">
        <f>opex_orig!AA98</f>
        <v>1.56E-5</v>
      </c>
      <c r="AB98" s="273">
        <f>opex_concordance!M164</f>
        <v>2.2462004639810701E-5</v>
      </c>
      <c r="AC98" s="273">
        <f>opex_concordance!M209</f>
        <v>6.7869211092812926E-4</v>
      </c>
      <c r="AD98" s="273">
        <f>opex_concordance!M254</f>
        <v>6.0542095262441724E-4</v>
      </c>
      <c r="AE98" s="188">
        <f>opex_orig!$AC98</f>
        <v>8.1662075691264595E-5</v>
      </c>
      <c r="AF98" s="273">
        <f>opex_concordance!M296</f>
        <v>7.0137183206178306E-5</v>
      </c>
      <c r="AG98" s="273">
        <f>opex_concordance!M332</f>
        <v>1.7294980195339657E-5</v>
      </c>
      <c r="AH98" s="273">
        <f>opex_concordance!M368</f>
        <v>2.0914081036529829E-5</v>
      </c>
      <c r="AI98" s="188">
        <f>opex_orig!AE98</f>
        <v>3.3399999999999999E-5</v>
      </c>
      <c r="AJ98" s="188">
        <f>opex_orig!AF98</f>
        <v>4.1412799999999999E-4</v>
      </c>
      <c r="AK98" s="188">
        <f>opex_orig!AG98</f>
        <v>6.3499999999999999E-5</v>
      </c>
      <c r="AL98" s="188">
        <f>opex_orig!AH98</f>
        <v>3.15E-5</v>
      </c>
      <c r="AM98" s="188">
        <f>opex_orig!AI98</f>
        <v>4.8199999999999999E-5</v>
      </c>
      <c r="AN98" s="188">
        <f>opex_orig!AJ98</f>
        <v>1.1600000000000001E-5</v>
      </c>
      <c r="AO98" s="188">
        <f>opex_orig!AK98</f>
        <v>2.5700000000000001E-5</v>
      </c>
      <c r="AP98" s="273">
        <f>opex_concordance!M406</f>
        <v>5.0144068549209901E-5</v>
      </c>
      <c r="AQ98" s="273">
        <f>opex_concordance!M460</f>
        <v>6.6674260223384716E-5</v>
      </c>
      <c r="AR98" s="273">
        <f>opex_concordance!M514</f>
        <v>1.3712445192722909E-4</v>
      </c>
      <c r="AS98" s="188">
        <f>opex_orig!$AM98</f>
        <v>2.37528491962638E-5</v>
      </c>
      <c r="AT98" s="188">
        <f>opex_orig!AN98</f>
        <v>1.39787E-4</v>
      </c>
      <c r="AU98" s="273">
        <f>opex_concordance!M573</f>
        <v>4.9562343982420399E-5</v>
      </c>
      <c r="AV98" s="273">
        <f>opex_concordance!M619</f>
        <v>6.7650889964590967E-4</v>
      </c>
      <c r="AW98" s="273">
        <f>opex_concordance!M665</f>
        <v>5.8689771864740668E-5</v>
      </c>
      <c r="AX98" s="188">
        <f>opex_orig!$AP98</f>
        <v>1.80554883626878E-4</v>
      </c>
      <c r="AY98" s="188">
        <f>opex_orig!AQ98</f>
        <v>3.1699999999999998E-5</v>
      </c>
      <c r="AZ98" s="188">
        <f>opex_orig!AR98</f>
        <v>0</v>
      </c>
      <c r="BA98" s="188">
        <f>opex_orig!AS98</f>
        <v>1.22328E-4</v>
      </c>
      <c r="BB98" s="188">
        <f>opex_orig!AT98</f>
        <v>1.7200000000000001E-5</v>
      </c>
      <c r="BC98" s="188">
        <f>opex_orig!AU98</f>
        <v>4.7700000000000001E-6</v>
      </c>
      <c r="BD98" s="188">
        <f>opex_orig!AV98</f>
        <v>2.96E-6</v>
      </c>
      <c r="BE98" s="188">
        <f>opex_orig!AW98</f>
        <v>4.1900000000000002E-5</v>
      </c>
      <c r="BF98" s="188">
        <f>opex_orig!AX98</f>
        <v>0</v>
      </c>
      <c r="BG98" s="188">
        <f>opex_orig!AY98</f>
        <v>5.2899999999999998E-5</v>
      </c>
      <c r="BH98" s="188">
        <f>opex_orig!AZ98</f>
        <v>0</v>
      </c>
      <c r="BI98" s="188">
        <f>opex_orig!BA98</f>
        <v>1.9300000000000002E-5</v>
      </c>
      <c r="BJ98" s="188">
        <f>opex_orig!BB98</f>
        <v>7.7100000000000004E-5</v>
      </c>
      <c r="BK98" s="188">
        <f>opex_orig!BC98</f>
        <v>1.7424000000000001E-4</v>
      </c>
      <c r="BL98" s="188">
        <f>opex_orig!BD98</f>
        <v>7.7399999999999998E-5</v>
      </c>
      <c r="BM98" s="188">
        <f>opex_orig!BE98</f>
        <v>1.3097599999999999E-4</v>
      </c>
      <c r="BN98" s="188">
        <f>opex_orig!BF98</f>
        <v>3.4499999999999998E-5</v>
      </c>
      <c r="BO98" s="188">
        <f>opex_orig!BG98</f>
        <v>1.7616999999999999E-4</v>
      </c>
      <c r="BP98" s="188">
        <f>opex_orig!$BH98</f>
        <v>5.1804932393656702E-5</v>
      </c>
      <c r="BQ98" s="188">
        <f>opex_orig!$BH98</f>
        <v>5.1804932393656702E-5</v>
      </c>
      <c r="BR98" s="188">
        <f>opex_orig!BI98</f>
        <v>7.2799999999999994E-5</v>
      </c>
      <c r="BS98" s="188">
        <f>opex_orig!BJ98</f>
        <v>8.4099999999999998E-5</v>
      </c>
      <c r="BT98" s="188">
        <f>opex_orig!BK98</f>
        <v>2.5299999999999998E-5</v>
      </c>
      <c r="BU98" s="188">
        <f>opex_orig!BL98</f>
        <v>0</v>
      </c>
      <c r="BV98" s="27">
        <f>opex_orig!BM98</f>
        <v>2.3579645993773599E-5</v>
      </c>
      <c r="BW98" s="27">
        <f>opex_orig!BN98</f>
        <v>6.05139389176341E-5</v>
      </c>
      <c r="BX98" s="27">
        <f>opex_orig!BO98</f>
        <v>9.2080171365813103E-6</v>
      </c>
      <c r="BY98" s="27">
        <f>opex_orig!BP98</f>
        <v>1.9212620331360002E-5</v>
      </c>
      <c r="BZ98" s="27">
        <f>opex_orig!BQ98</f>
        <v>1.3964880589648299E-5</v>
      </c>
      <c r="CA98" s="27">
        <f>opex_orig!BR98</f>
        <v>1.13947611275732E-4</v>
      </c>
      <c r="CB98" s="27">
        <f>opex_orig!BS98</f>
        <v>2.97040786233609E-5</v>
      </c>
      <c r="CC98" s="27">
        <f>opex_orig!BT98</f>
        <v>4.0520545377474001E-5</v>
      </c>
      <c r="CD98" s="27">
        <f>opex_orig!BU98</f>
        <v>9.8995838179648392E-6</v>
      </c>
      <c r="CE98" s="27">
        <f>opex_orig!BV98</f>
        <v>9.8995838179648596E-6</v>
      </c>
      <c r="CF98" s="27">
        <f>opex_orig!BW98</f>
        <v>8.5998822282437506E-5</v>
      </c>
      <c r="CG98" s="27">
        <f>opex_orig!BX98</f>
        <v>1.2577426912922799E-6</v>
      </c>
      <c r="CH98" s="27">
        <f>opex_orig!BY98</f>
        <v>2.9430564572967001E-5</v>
      </c>
      <c r="CI98" s="27">
        <f>opex_orig!Y98</f>
        <v>1.204501E-3</v>
      </c>
      <c r="CJ98" s="27">
        <f>opex_orig!Z98</f>
        <v>2.7642370000000001E-3</v>
      </c>
      <c r="CK98" s="27">
        <f>opex_orig!AA98</f>
        <v>1.56E-5</v>
      </c>
      <c r="CL98" s="27">
        <f>opex_orig!AB98</f>
        <v>2.2462004639810701E-5</v>
      </c>
      <c r="CM98" s="27">
        <f>opex_orig!AC98</f>
        <v>8.1662075691264595E-5</v>
      </c>
      <c r="CN98" s="27">
        <f>opex_orig!AD98</f>
        <v>7.0137183206178306E-5</v>
      </c>
      <c r="CO98" s="27">
        <f>opex_orig!AE98</f>
        <v>3.3399999999999999E-5</v>
      </c>
      <c r="CP98" s="27">
        <f>opex_orig!AF98</f>
        <v>4.1412799999999999E-4</v>
      </c>
    </row>
    <row r="99" spans="1:94" x14ac:dyDescent="0.25">
      <c r="A99" s="5" t="s">
        <v>6</v>
      </c>
      <c r="B99" s="2" t="s">
        <v>7</v>
      </c>
      <c r="C99" s="1" t="s">
        <v>330</v>
      </c>
      <c r="D99" s="188">
        <f>opex_orig!D99</f>
        <v>7.2493500000000001E-4</v>
      </c>
      <c r="E99" s="188">
        <f>opex_orig!E99</f>
        <v>1.2331530000000001E-3</v>
      </c>
      <c r="F99" s="188">
        <f>opex_orig!F99</f>
        <v>6.17087E-4</v>
      </c>
      <c r="G99" s="188">
        <f>opex_orig!G99</f>
        <v>1.00021E-4</v>
      </c>
      <c r="H99" s="188">
        <f>opex_orig!H99</f>
        <v>2.1207100000000001E-4</v>
      </c>
      <c r="I99" s="188">
        <f>opex_orig!I99</f>
        <v>3.9983010000000001E-3</v>
      </c>
      <c r="J99" s="188">
        <f>opex_orig!J99</f>
        <v>1.6506237999999999E-2</v>
      </c>
      <c r="K99" s="188">
        <f>opex_orig!K99</f>
        <v>3.1130699999999998E-4</v>
      </c>
      <c r="L99" s="188">
        <f>opex_orig!L99</f>
        <v>1.4629700000000001E-3</v>
      </c>
      <c r="M99" s="188">
        <f>opex_orig!M99</f>
        <v>5.1071179999999999E-3</v>
      </c>
      <c r="N99" s="188">
        <f>opex_orig!N99</f>
        <v>2.0849330000000002E-3</v>
      </c>
      <c r="O99" s="188">
        <f>opex_orig!O99</f>
        <v>1.2842960000000001E-3</v>
      </c>
      <c r="P99" s="188">
        <f>opex_orig!P99</f>
        <v>1.1523181E-2</v>
      </c>
      <c r="Q99" s="188">
        <f>opex_orig!Q99</f>
        <v>1.0838975000000001E-2</v>
      </c>
      <c r="R99" s="188">
        <f>opex_orig!R99</f>
        <v>5.0633500000000001E-4</v>
      </c>
      <c r="S99" s="188">
        <f>opex_orig!S99</f>
        <v>5.8293470000000003E-3</v>
      </c>
      <c r="T99" s="188">
        <f>opex_orig!T99</f>
        <v>5.9762060000000004E-3</v>
      </c>
      <c r="U99" s="188">
        <f>opex_orig!U99</f>
        <v>2.1646003E-2</v>
      </c>
      <c r="V99" s="188">
        <f>opex_orig!V99</f>
        <v>1.0784795999999999E-2</v>
      </c>
      <c r="W99" s="188">
        <f>opex_orig!W99</f>
        <v>4.6246949999999998E-3</v>
      </c>
      <c r="X99" s="188">
        <f>opex_orig!X99</f>
        <v>2.9604309999999999E-3</v>
      </c>
      <c r="Y99" s="188">
        <f>opex_orig!Y99</f>
        <v>7.1044300000000001E-3</v>
      </c>
      <c r="Z99" s="188">
        <f>opex_orig!Z99</f>
        <v>1.4454524999999999E-2</v>
      </c>
      <c r="AA99" s="188">
        <f>opex_orig!AA99</f>
        <v>3.2325000000000002E-4</v>
      </c>
      <c r="AB99" s="273">
        <f>opex_concordance!M165</f>
        <v>2.9041342622646802E-4</v>
      </c>
      <c r="AC99" s="273">
        <f>opex_concordance!M210</f>
        <v>8.7748758157666033E-3</v>
      </c>
      <c r="AD99" s="273">
        <f>opex_concordance!M255</f>
        <v>7.8275459372548206E-3</v>
      </c>
      <c r="AE99" s="188">
        <f>opex_orig!$AC99</f>
        <v>1.8950531346734001E-3</v>
      </c>
      <c r="AF99" s="273">
        <f>opex_concordance!M297</f>
        <v>3.3409401562030502E-3</v>
      </c>
      <c r="AG99" s="273">
        <f>opex_concordance!M333</f>
        <v>8.2383539221256947E-4</v>
      </c>
      <c r="AH99" s="273">
        <f>opex_concordance!M369</f>
        <v>9.9622896117208511E-4</v>
      </c>
      <c r="AI99" s="188">
        <f>opex_orig!AE99</f>
        <v>3.6213999999999999E-3</v>
      </c>
      <c r="AJ99" s="188">
        <f>opex_orig!AF99</f>
        <v>1.0070653000000001E-2</v>
      </c>
      <c r="AK99" s="188">
        <f>opex_orig!AG99</f>
        <v>2.91647E-3</v>
      </c>
      <c r="AL99" s="188">
        <f>opex_orig!AH99</f>
        <v>2.0390690000000001E-3</v>
      </c>
      <c r="AM99" s="188">
        <f>opex_orig!AI99</f>
        <v>5.2215760000000003E-3</v>
      </c>
      <c r="AN99" s="188">
        <f>opex_orig!AJ99</f>
        <v>2.10034E-3</v>
      </c>
      <c r="AO99" s="188">
        <f>opex_orig!AK99</f>
        <v>2.5886189999999999E-3</v>
      </c>
      <c r="AP99" s="273">
        <f>opex_concordance!M407</f>
        <v>6.5666744549239204E-3</v>
      </c>
      <c r="AQ99" s="273">
        <f>opex_concordance!M461</f>
        <v>8.7314048117212283E-3</v>
      </c>
      <c r="AR99" s="273">
        <f>opex_concordance!M515</f>
        <v>1.7957291094804203E-2</v>
      </c>
      <c r="AS99" s="188">
        <f>opex_orig!$AM99</f>
        <v>2.9144996357411898E-3</v>
      </c>
      <c r="AT99" s="188">
        <f>opex_orig!AN99</f>
        <v>9.0411150000000006E-3</v>
      </c>
      <c r="AU99" s="273">
        <f>opex_concordance!M574</f>
        <v>1.77290468245335E-3</v>
      </c>
      <c r="AV99" s="273">
        <f>opex_concordance!M620</f>
        <v>2.4199537381222627E-2</v>
      </c>
      <c r="AW99" s="273">
        <f>opex_concordance!M666</f>
        <v>2.0994037608072836E-3</v>
      </c>
      <c r="AX99" s="188">
        <f>opex_orig!$AP99</f>
        <v>7.6997117953459598E-3</v>
      </c>
      <c r="AY99" s="188">
        <f>opex_orig!AQ99</f>
        <v>1.030621E-3</v>
      </c>
      <c r="AZ99" s="188">
        <f>opex_orig!AR99</f>
        <v>0</v>
      </c>
      <c r="BA99" s="188">
        <f>opex_orig!AS99</f>
        <v>6.6655100000000004E-3</v>
      </c>
      <c r="BB99" s="188">
        <f>opex_orig!AT99</f>
        <v>5.4628200000000004E-4</v>
      </c>
      <c r="BC99" s="188">
        <f>opex_orig!AU99</f>
        <v>2.67893E-4</v>
      </c>
      <c r="BD99" s="188">
        <f>opex_orig!AV99</f>
        <v>1.6584799999999999E-4</v>
      </c>
      <c r="BE99" s="188">
        <f>opex_orig!AW99</f>
        <v>9.1505199999999997E-4</v>
      </c>
      <c r="BF99" s="188">
        <f>opex_orig!AX99</f>
        <v>0</v>
      </c>
      <c r="BG99" s="188">
        <f>opex_orig!AY99</f>
        <v>1.7937809999999999E-3</v>
      </c>
      <c r="BH99" s="188">
        <f>opex_orig!AZ99</f>
        <v>0</v>
      </c>
      <c r="BI99" s="188">
        <f>opex_orig!BA99</f>
        <v>5.7350399999999996E-4</v>
      </c>
      <c r="BJ99" s="188">
        <f>opex_orig!BB99</f>
        <v>3.5535749999999998E-3</v>
      </c>
      <c r="BK99" s="188">
        <f>opex_orig!BC99</f>
        <v>6.0788209999999999E-3</v>
      </c>
      <c r="BL99" s="188">
        <f>opex_orig!BD99</f>
        <v>2.1502399999999999E-4</v>
      </c>
      <c r="BM99" s="188">
        <f>opex_orig!BE99</f>
        <v>3.6137650000000001E-3</v>
      </c>
      <c r="BN99" s="188">
        <f>opex_orig!BF99</f>
        <v>8.7796700000000001E-4</v>
      </c>
      <c r="BO99" s="188">
        <f>opex_orig!BG99</f>
        <v>8.8443949999999997E-3</v>
      </c>
      <c r="BP99" s="188">
        <f>opex_orig!$BH99</f>
        <v>1.1561089349864601E-3</v>
      </c>
      <c r="BQ99" s="188">
        <f>opex_orig!$BH99</f>
        <v>1.1561089349864601E-3</v>
      </c>
      <c r="BR99" s="188">
        <f>opex_orig!BI99</f>
        <v>2.091472E-3</v>
      </c>
      <c r="BS99" s="188">
        <f>opex_orig!BJ99</f>
        <v>4.3644820000000003E-3</v>
      </c>
      <c r="BT99" s="188">
        <f>opex_orig!BK99</f>
        <v>1.266774E-3</v>
      </c>
      <c r="BU99" s="188">
        <f>opex_orig!BL99</f>
        <v>0</v>
      </c>
      <c r="BV99" s="27">
        <f>opex_orig!BM99</f>
        <v>1.8746122812531799E-4</v>
      </c>
      <c r="BW99" s="27">
        <f>opex_orig!BN99</f>
        <v>2.5056600662024198E-4</v>
      </c>
      <c r="BX99" s="27">
        <f>opex_orig!BO99</f>
        <v>6.2092507854592298E-5</v>
      </c>
      <c r="BY99" s="27">
        <f>opex_orig!BP99</f>
        <v>1.15353801384932E-4</v>
      </c>
      <c r="BZ99" s="27">
        <f>opex_orig!BQ99</f>
        <v>1.29981245048177E-4</v>
      </c>
      <c r="CA99" s="27">
        <f>opex_orig!BR99</f>
        <v>1.0165320550290701E-4</v>
      </c>
      <c r="CB99" s="27">
        <f>opex_orig!BS99</f>
        <v>2.69205840586952E-4</v>
      </c>
      <c r="CC99" s="27">
        <f>opex_orig!BT99</f>
        <v>3.9264082380793804E-6</v>
      </c>
      <c r="CD99" s="27">
        <f>opex_orig!BU99</f>
        <v>1.08138825132048E-4</v>
      </c>
      <c r="CE99" s="27">
        <f>opex_orig!BV99</f>
        <v>1.08138825132048E-4</v>
      </c>
      <c r="CF99" s="27">
        <f>opex_orig!BW99</f>
        <v>3.5987338402436403E-5</v>
      </c>
      <c r="CG99" s="27">
        <f>opex_orig!BX99</f>
        <v>6.9119741922349399E-7</v>
      </c>
      <c r="CH99" s="27">
        <f>opex_orig!BY99</f>
        <v>7.5109562984773999E-6</v>
      </c>
      <c r="CI99" s="27">
        <f>opex_orig!Y99</f>
        <v>7.1044300000000001E-3</v>
      </c>
      <c r="CJ99" s="27">
        <f>opex_orig!Z99</f>
        <v>1.4454524999999999E-2</v>
      </c>
      <c r="CK99" s="27">
        <f>opex_orig!AA99</f>
        <v>3.2325000000000002E-4</v>
      </c>
      <c r="CL99" s="27">
        <f>opex_orig!AB99</f>
        <v>2.9041342622646802E-4</v>
      </c>
      <c r="CM99" s="27">
        <f>opex_orig!AC99</f>
        <v>1.8950531346734001E-3</v>
      </c>
      <c r="CN99" s="27">
        <f>opex_orig!AD99</f>
        <v>3.3409401562030502E-3</v>
      </c>
      <c r="CO99" s="27">
        <f>opex_orig!AE99</f>
        <v>3.6213999999999999E-3</v>
      </c>
      <c r="CP99" s="27">
        <f>opex_orig!AF99</f>
        <v>1.0070653000000001E-2</v>
      </c>
    </row>
    <row r="100" spans="1:94" x14ac:dyDescent="0.25">
      <c r="A100" s="5" t="s">
        <v>8</v>
      </c>
      <c r="B100" s="2" t="s">
        <v>9</v>
      </c>
      <c r="C100" s="1" t="s">
        <v>330</v>
      </c>
      <c r="D100" s="188">
        <f>opex_orig!D100</f>
        <v>4.8199999999999999E-5</v>
      </c>
      <c r="E100" s="188">
        <f>opex_orig!E100</f>
        <v>7.7700000000000005E-5</v>
      </c>
      <c r="F100" s="188">
        <f>opex_orig!F100</f>
        <v>4.2200000000000003E-5</v>
      </c>
      <c r="G100" s="188">
        <f>opex_orig!G100</f>
        <v>6.1800000000000001E-6</v>
      </c>
      <c r="H100" s="188">
        <f>opex_orig!H100</f>
        <v>1.3499999999999999E-5</v>
      </c>
      <c r="I100" s="188">
        <f>opex_orig!I100</f>
        <v>2.4537799999999998E-4</v>
      </c>
      <c r="J100" s="188">
        <f>opex_orig!J100</f>
        <v>1.002743E-3</v>
      </c>
      <c r="K100" s="188">
        <f>opex_orig!K100</f>
        <v>1.9400000000000001E-5</v>
      </c>
      <c r="L100" s="188">
        <f>opex_orig!L100</f>
        <v>9.5299999999999999E-5</v>
      </c>
      <c r="M100" s="188">
        <f>opex_orig!M100</f>
        <v>3.24154E-4</v>
      </c>
      <c r="N100" s="188">
        <f>opex_orig!N100</f>
        <v>1.4013200000000001E-4</v>
      </c>
      <c r="O100" s="188">
        <f>opex_orig!O100</f>
        <v>8.5000000000000006E-5</v>
      </c>
      <c r="P100" s="188">
        <f>opex_orig!P100</f>
        <v>7.2398099999999995E-4</v>
      </c>
      <c r="Q100" s="188">
        <f>opex_orig!Q100</f>
        <v>7.1124100000000004E-4</v>
      </c>
      <c r="R100" s="188">
        <f>opex_orig!R100</f>
        <v>3.5899999999999998E-5</v>
      </c>
      <c r="S100" s="188">
        <f>opex_orig!S100</f>
        <v>3.65683E-4</v>
      </c>
      <c r="T100" s="188">
        <f>opex_orig!T100</f>
        <v>3.7456300000000001E-4</v>
      </c>
      <c r="U100" s="188">
        <f>opex_orig!U100</f>
        <v>1.3076839999999999E-3</v>
      </c>
      <c r="V100" s="188">
        <f>opex_orig!V100</f>
        <v>6.4959000000000002E-4</v>
      </c>
      <c r="W100" s="188">
        <f>opex_orig!W100</f>
        <v>2.9200999999999999E-4</v>
      </c>
      <c r="X100" s="188">
        <f>opex_orig!X100</f>
        <v>1.8412999999999999E-4</v>
      </c>
      <c r="Y100" s="188">
        <f>opex_orig!Y100</f>
        <v>4.5204099999999998E-4</v>
      </c>
      <c r="Z100" s="188">
        <f>opex_orig!Z100</f>
        <v>9.2654E-4</v>
      </c>
      <c r="AA100" s="188">
        <f>opex_orig!AA100</f>
        <v>2.4000000000000001E-5</v>
      </c>
      <c r="AB100" s="273">
        <f>opex_concordance!M166</f>
        <v>2.0023637119714199E-5</v>
      </c>
      <c r="AC100" s="273">
        <f>opex_concordance!M211</f>
        <v>6.0501654964274841E-4</v>
      </c>
      <c r="AD100" s="273">
        <f>opex_concordance!M256</f>
        <v>5.3969935695486436E-4</v>
      </c>
      <c r="AE100" s="188">
        <f>opex_orig!$AC100</f>
        <v>1.3524637682202099E-4</v>
      </c>
      <c r="AF100" s="273">
        <f>opex_concordance!M298</f>
        <v>2.12120146280756E-4</v>
      </c>
      <c r="AG100" s="273">
        <f>opex_concordance!M334</f>
        <v>5.2306259836152964E-5</v>
      </c>
      <c r="AH100" s="273">
        <f>opex_concordance!M370</f>
        <v>6.325172648800507E-5</v>
      </c>
      <c r="AI100" s="188">
        <f>opex_orig!AE100</f>
        <v>2.2357E-4</v>
      </c>
      <c r="AJ100" s="188">
        <f>opex_orig!AF100</f>
        <v>6.5277499999999997E-4</v>
      </c>
      <c r="AK100" s="188">
        <f>opex_orig!AG100</f>
        <v>1.88223E-4</v>
      </c>
      <c r="AL100" s="188">
        <f>opex_orig!AH100</f>
        <v>1.29682E-4</v>
      </c>
      <c r="AM100" s="188">
        <f>opex_orig!AI100</f>
        <v>3.20515E-4</v>
      </c>
      <c r="AN100" s="188">
        <f>opex_orig!AJ100</f>
        <v>1.17834E-4</v>
      </c>
      <c r="AO100" s="188">
        <f>opex_orig!AK100</f>
        <v>1.6039599999999999E-4</v>
      </c>
      <c r="AP100" s="273">
        <f>opex_concordance!M408</f>
        <v>4.0098674309218797E-4</v>
      </c>
      <c r="AQ100" s="273">
        <f>opex_concordance!M462</f>
        <v>5.3317361810836382E-4</v>
      </c>
      <c r="AR100" s="273">
        <f>opex_concordance!M516</f>
        <v>1.0965422026463639E-3</v>
      </c>
      <c r="AS100" s="188">
        <f>opex_orig!$AM100</f>
        <v>1.7875135940595299E-4</v>
      </c>
      <c r="AT100" s="188">
        <f>opex_orig!AN100</f>
        <v>5.6571900000000001E-4</v>
      </c>
      <c r="AU100" s="273">
        <f>opex_concordance!M575</f>
        <v>1.14901289678793E-4</v>
      </c>
      <c r="AV100" s="273">
        <f>opex_concordance!M621</f>
        <v>1.5683629708083899E-3</v>
      </c>
      <c r="AW100" s="273">
        <f>opex_concordance!M667</f>
        <v>1.3606157288696336E-4</v>
      </c>
      <c r="AX100" s="188">
        <f>opex_orig!$AP100</f>
        <v>4.9161600000427095E-4</v>
      </c>
      <c r="AY100" s="188">
        <f>opex_orig!AQ100</f>
        <v>7.0199999999999999E-5</v>
      </c>
      <c r="AZ100" s="188">
        <f>opex_orig!AR100</f>
        <v>0</v>
      </c>
      <c r="BA100" s="188">
        <f>opex_orig!AS100</f>
        <v>4.2334600000000001E-4</v>
      </c>
      <c r="BB100" s="188">
        <f>opex_orig!AT100</f>
        <v>3.7799999999999997E-5</v>
      </c>
      <c r="BC100" s="188">
        <f>opex_orig!AU100</f>
        <v>1.6799999999999998E-5</v>
      </c>
      <c r="BD100" s="188">
        <f>opex_orig!AV100</f>
        <v>1.0000000000000001E-5</v>
      </c>
      <c r="BE100" s="188">
        <f>opex_orig!AW100</f>
        <v>6.3499999999999999E-5</v>
      </c>
      <c r="BF100" s="188">
        <f>opex_orig!AX100</f>
        <v>0</v>
      </c>
      <c r="BG100" s="188">
        <f>opex_orig!AY100</f>
        <v>1.21752E-4</v>
      </c>
      <c r="BH100" s="188">
        <f>opex_orig!AZ100</f>
        <v>0</v>
      </c>
      <c r="BI100" s="188">
        <f>opex_orig!BA100</f>
        <v>3.8699999999999999E-5</v>
      </c>
      <c r="BJ100" s="188">
        <f>opex_orig!BB100</f>
        <v>2.2399799999999999E-4</v>
      </c>
      <c r="BK100" s="188">
        <f>opex_orig!BC100</f>
        <v>3.95003E-4</v>
      </c>
      <c r="BL100" s="188">
        <f>opex_orig!BD100</f>
        <v>3.1399999999999998E-5</v>
      </c>
      <c r="BM100" s="188">
        <f>opex_orig!BE100</f>
        <v>2.41778E-4</v>
      </c>
      <c r="BN100" s="188">
        <f>opex_orig!BF100</f>
        <v>6.05E-5</v>
      </c>
      <c r="BO100" s="188">
        <f>opex_orig!BG100</f>
        <v>5.7001199999999995E-4</v>
      </c>
      <c r="BP100" s="188">
        <f>opex_orig!$BH100</f>
        <v>8.0033938129402298E-5</v>
      </c>
      <c r="BQ100" s="188">
        <f>opex_orig!$BH100</f>
        <v>8.0033938129402298E-5</v>
      </c>
      <c r="BR100" s="188">
        <f>opex_orig!BI100</f>
        <v>1.38035E-4</v>
      </c>
      <c r="BS100" s="188">
        <f>opex_orig!BJ100</f>
        <v>2.8047499999999997E-4</v>
      </c>
      <c r="BT100" s="188">
        <f>opex_orig!BK100</f>
        <v>8.3599999999999999E-5</v>
      </c>
      <c r="BU100" s="188">
        <f>opex_orig!BL100</f>
        <v>0</v>
      </c>
      <c r="BV100" s="27">
        <f>opex_orig!BM100</f>
        <v>1.6033133331581301E-5</v>
      </c>
      <c r="BW100" s="27">
        <f>opex_orig!BN100</f>
        <v>3.0847902754961799E-5</v>
      </c>
      <c r="BX100" s="27">
        <f>opex_orig!BO100</f>
        <v>5.8578971003157802E-6</v>
      </c>
      <c r="BY100" s="27">
        <f>opex_orig!BP100</f>
        <v>1.3349235421173399E-5</v>
      </c>
      <c r="BZ100" s="27">
        <f>opex_orig!BQ100</f>
        <v>1.07625233550481E-5</v>
      </c>
      <c r="CA100" s="27">
        <f>opex_orig!BR100</f>
        <v>1.6363267123522601E-5</v>
      </c>
      <c r="CB100" s="27">
        <f>opex_orig!BS100</f>
        <v>2.4355034982207401E-5</v>
      </c>
      <c r="CC100" s="27">
        <f>opex_orig!BT100</f>
        <v>2.4009505349464399E-5</v>
      </c>
      <c r="CD100" s="27">
        <f>opex_orig!BU100</f>
        <v>8.7588035791569004E-6</v>
      </c>
      <c r="CE100" s="27">
        <f>opex_orig!BV100</f>
        <v>8.7588035791569004E-6</v>
      </c>
      <c r="CF100" s="27">
        <f>opex_orig!BW100</f>
        <v>1.5349405288377001E-5</v>
      </c>
      <c r="CG100" s="27">
        <f>opex_orig!BX100</f>
        <v>2.2912547658778201E-7</v>
      </c>
      <c r="CH100" s="27">
        <f>opex_orig!BY100</f>
        <v>2.7661046274818299E-5</v>
      </c>
      <c r="CI100" s="27">
        <f>opex_orig!Y100</f>
        <v>4.5204099999999998E-4</v>
      </c>
      <c r="CJ100" s="27">
        <f>opex_orig!Z100</f>
        <v>9.2654E-4</v>
      </c>
      <c r="CK100" s="27">
        <f>opex_orig!AA100</f>
        <v>2.4000000000000001E-5</v>
      </c>
      <c r="CL100" s="27">
        <f>opex_orig!AB100</f>
        <v>2.0023637119714199E-5</v>
      </c>
      <c r="CM100" s="27">
        <f>opex_orig!AC100</f>
        <v>1.3524637682202099E-4</v>
      </c>
      <c r="CN100" s="27">
        <f>opex_orig!AD100</f>
        <v>2.12120146280756E-4</v>
      </c>
      <c r="CO100" s="27">
        <f>opex_orig!AE100</f>
        <v>2.2357E-4</v>
      </c>
      <c r="CP100" s="27">
        <f>opex_orig!AF100</f>
        <v>6.5277499999999997E-4</v>
      </c>
    </row>
    <row r="101" spans="1:94" x14ac:dyDescent="0.25">
      <c r="A101" s="1" t="s">
        <v>342</v>
      </c>
      <c r="B101" s="2" t="s">
        <v>336</v>
      </c>
      <c r="C101" s="1" t="s">
        <v>330</v>
      </c>
      <c r="D101" s="188">
        <f>opex_orig!D101</f>
        <v>1.1E-5</v>
      </c>
      <c r="E101" s="188">
        <f>opex_orig!E101</f>
        <v>1.49E-5</v>
      </c>
      <c r="F101" s="188">
        <f>opex_orig!F101</f>
        <v>8.5599999999999994E-6</v>
      </c>
      <c r="G101" s="188">
        <f>opex_orig!G101</f>
        <v>5.9599999999999999E-7</v>
      </c>
      <c r="H101" s="188">
        <f>opex_orig!H101</f>
        <v>2.4600000000000002E-6</v>
      </c>
      <c r="I101" s="188">
        <f>opex_orig!I101</f>
        <v>4.5200000000000001E-5</v>
      </c>
      <c r="J101" s="188">
        <f>opex_orig!J101</f>
        <v>1.8327400000000001E-4</v>
      </c>
      <c r="K101" s="188">
        <f>opex_orig!K101</f>
        <v>1.9599999999999999E-6</v>
      </c>
      <c r="L101" s="188">
        <f>opex_orig!L101</f>
        <v>1.77E-5</v>
      </c>
      <c r="M101" s="188">
        <f>opex_orig!M101</f>
        <v>6.2299999999999996E-5</v>
      </c>
      <c r="N101" s="188">
        <f>opex_orig!N101</f>
        <v>2.8900000000000001E-5</v>
      </c>
      <c r="O101" s="188">
        <f>opex_orig!O101</f>
        <v>1.8300000000000001E-5</v>
      </c>
      <c r="P101" s="188">
        <f>opex_orig!P101</f>
        <v>1.4081200000000001E-4</v>
      </c>
      <c r="Q101" s="188">
        <f>opex_orig!Q101</f>
        <v>1.4733500000000001E-4</v>
      </c>
      <c r="R101" s="188">
        <f>opex_orig!R101</f>
        <v>8.3000000000000002E-6</v>
      </c>
      <c r="S101" s="188">
        <f>opex_orig!S101</f>
        <v>7.0099999999999996E-5</v>
      </c>
      <c r="T101" s="188">
        <f>opex_orig!T101</f>
        <v>7.2299999999999996E-5</v>
      </c>
      <c r="U101" s="188">
        <f>opex_orig!U101</f>
        <v>2.3645E-4</v>
      </c>
      <c r="V101" s="188">
        <f>opex_orig!V101</f>
        <v>1.17173E-4</v>
      </c>
      <c r="W101" s="188">
        <f>opex_orig!W101</f>
        <v>5.7099999999999999E-5</v>
      </c>
      <c r="X101" s="188">
        <f>opex_orig!X101</f>
        <v>3.43E-5</v>
      </c>
      <c r="Y101" s="188">
        <f>opex_orig!Y101</f>
        <v>9.1500000000000001E-5</v>
      </c>
      <c r="Z101" s="188">
        <f>opex_orig!Z101</f>
        <v>1.9926300000000001E-4</v>
      </c>
      <c r="AA101" s="188">
        <f>opex_orig!AA101</f>
        <v>7.4499999999999998E-6</v>
      </c>
      <c r="AB101" s="273">
        <f>opex_concordance!M167</f>
        <v>1.3729815519649202E-5</v>
      </c>
      <c r="AC101" s="273">
        <f>opex_concordance!M212</f>
        <v>4.1484799006626138E-4</v>
      </c>
      <c r="AD101" s="273">
        <f>opex_concordance!M257</f>
        <v>3.7006127122470316E-4</v>
      </c>
      <c r="AE101" s="188">
        <f>opex_orig!$AC101</f>
        <v>2.9736475108600101E-5</v>
      </c>
      <c r="AF101" s="273">
        <f>opex_concordance!M299</f>
        <v>4.0171547932160302E-5</v>
      </c>
      <c r="AG101" s="273">
        <f>opex_concordance!M335</f>
        <v>9.905817344567227E-6</v>
      </c>
      <c r="AH101" s="273">
        <f>opex_concordance!M371</f>
        <v>1.1978681926051955E-5</v>
      </c>
      <c r="AI101" s="188">
        <f>opex_orig!AE101</f>
        <v>4.0200000000000001E-5</v>
      </c>
      <c r="AJ101" s="188">
        <f>opex_orig!AF101</f>
        <v>1.3089899999999999E-4</v>
      </c>
      <c r="AK101" s="188">
        <f>opex_orig!AG101</f>
        <v>3.8399999999999998E-5</v>
      </c>
      <c r="AL101" s="188">
        <f>opex_orig!AH101</f>
        <v>2.8E-5</v>
      </c>
      <c r="AM101" s="188">
        <f>opex_orig!AI101</f>
        <v>6.1299999999999999E-5</v>
      </c>
      <c r="AN101" s="188">
        <f>opex_orig!AJ101</f>
        <v>1.9199999999999999E-5</v>
      </c>
      <c r="AO101" s="188">
        <f>opex_orig!AK101</f>
        <v>3.15E-5</v>
      </c>
      <c r="AP101" s="273">
        <f>opex_concordance!M409</f>
        <v>7.4378301385586503E-5</v>
      </c>
      <c r="AQ101" s="273">
        <f>opex_concordance!M463</f>
        <v>9.8897404319898768E-5</v>
      </c>
      <c r="AR101" s="273">
        <f>opex_concordance!M517</f>
        <v>2.0339561802345044E-4</v>
      </c>
      <c r="AS101" s="188">
        <f>opex_orig!$AM101</f>
        <v>3.4168970306975598E-5</v>
      </c>
      <c r="AT101" s="188">
        <f>opex_orig!AN101</f>
        <v>1.0964E-4</v>
      </c>
      <c r="AU101" s="273">
        <f>opex_concordance!M576</f>
        <v>2.3859152415101702E-5</v>
      </c>
      <c r="AV101" s="273">
        <f>opex_concordance!M622</f>
        <v>3.2566920064453847E-4</v>
      </c>
      <c r="AW101" s="273">
        <f>opex_concordance!M668</f>
        <v>2.825306673600976E-5</v>
      </c>
      <c r="AX101" s="188">
        <f>opex_orig!$AP101</f>
        <v>9.7940968819567703E-5</v>
      </c>
      <c r="AY101" s="188">
        <f>opex_orig!AQ101</f>
        <v>1.43E-5</v>
      </c>
      <c r="AZ101" s="188">
        <f>opex_orig!AR101</f>
        <v>0</v>
      </c>
      <c r="BA101" s="188">
        <f>opex_orig!AS101</f>
        <v>8.2799999999999993E-5</v>
      </c>
      <c r="BB101" s="188">
        <f>opex_orig!AT101</f>
        <v>7.7400000000000004E-6</v>
      </c>
      <c r="BC101" s="188">
        <f>opex_orig!AU101</f>
        <v>3.2799999999999999E-6</v>
      </c>
      <c r="BD101" s="188">
        <f>opex_orig!AV101</f>
        <v>2.1799999999999999E-6</v>
      </c>
      <c r="BE101" s="188">
        <f>opex_orig!AW101</f>
        <v>1.22E-5</v>
      </c>
      <c r="BF101" s="188">
        <f>opex_orig!AX101</f>
        <v>0</v>
      </c>
      <c r="BG101" s="188">
        <f>opex_orig!AY101</f>
        <v>3.0000000000000001E-5</v>
      </c>
      <c r="BH101" s="188">
        <f>opex_orig!AZ101</f>
        <v>0</v>
      </c>
      <c r="BI101" s="188">
        <f>opex_orig!BA101</f>
        <v>8.7700000000000007E-6</v>
      </c>
      <c r="BJ101" s="188">
        <f>opex_orig!BB101</f>
        <v>4.6100000000000002E-5</v>
      </c>
      <c r="BK101" s="188">
        <f>opex_orig!BC101</f>
        <v>8.7800000000000006E-5</v>
      </c>
      <c r="BL101" s="188">
        <f>opex_orig!BD101</f>
        <v>2.1100000000000001E-5</v>
      </c>
      <c r="BM101" s="188">
        <f>opex_orig!BE101</f>
        <v>6.3800000000000006E-5</v>
      </c>
      <c r="BN101" s="188">
        <f>opex_orig!BF101</f>
        <v>1.5099999999999999E-5</v>
      </c>
      <c r="BO101" s="188">
        <f>opex_orig!BG101</f>
        <v>1.14746E-4</v>
      </c>
      <c r="BP101" s="188">
        <f>opex_orig!$BH101</f>
        <v>2.21581955974504E-5</v>
      </c>
      <c r="BQ101" s="188">
        <f>opex_orig!$BH101</f>
        <v>2.21581955974504E-5</v>
      </c>
      <c r="BR101" s="188">
        <f>opex_orig!BI101</f>
        <v>3.1300000000000002E-5</v>
      </c>
      <c r="BS101" s="188">
        <f>opex_orig!BJ101</f>
        <v>5.5399999999999998E-5</v>
      </c>
      <c r="BT101" s="188">
        <f>opex_orig!BK101</f>
        <v>1.6200000000000001E-5</v>
      </c>
      <c r="BU101" s="188">
        <f>opex_orig!BL101</f>
        <v>0</v>
      </c>
      <c r="BV101" s="27">
        <f>opex_orig!BM101</f>
        <v>7.8445408799459797E-6</v>
      </c>
      <c r="BW101" s="27">
        <f>opex_orig!BN101</f>
        <v>1.9045928145342499E-5</v>
      </c>
      <c r="BX101" s="27">
        <f>opex_orig!BO101</f>
        <v>2.89913625340271E-6</v>
      </c>
      <c r="BY101" s="27">
        <f>opex_orig!BP101</f>
        <v>5.0857510227404399E-6</v>
      </c>
      <c r="BZ101" s="27">
        <f>opex_orig!BQ101</f>
        <v>4.9125021418168396E-6</v>
      </c>
      <c r="CA101" s="27">
        <f>opex_orig!BR101</f>
        <v>3.9616562900569101E-5</v>
      </c>
      <c r="CB101" s="27">
        <f>opex_orig!BS101</f>
        <v>1.28844128304467E-5</v>
      </c>
      <c r="CC101" s="27">
        <f>opex_orig!BT101</f>
        <v>5.3451246604056898E-6</v>
      </c>
      <c r="CD101" s="27">
        <f>opex_orig!BU101</f>
        <v>3.0581003649247699E-6</v>
      </c>
      <c r="CE101" s="27">
        <f>opex_orig!BV101</f>
        <v>3.05810036492478E-6</v>
      </c>
      <c r="CF101" s="27">
        <f>opex_orig!BW101</f>
        <v>2.2265101869356799E-5</v>
      </c>
      <c r="CG101" s="27">
        <f>opex_orig!BX101</f>
        <v>5.9707827764642605E-7</v>
      </c>
      <c r="CH101" s="27">
        <f>opex_orig!BY101</f>
        <v>2.03537873231578E-5</v>
      </c>
      <c r="CI101" s="27">
        <f>opex_orig!Y101</f>
        <v>9.1500000000000001E-5</v>
      </c>
      <c r="CJ101" s="27">
        <f>opex_orig!Z101</f>
        <v>1.9926300000000001E-4</v>
      </c>
      <c r="CK101" s="27">
        <f>opex_orig!AA101</f>
        <v>7.4499999999999998E-6</v>
      </c>
      <c r="CL101" s="27">
        <f>opex_orig!AB101</f>
        <v>1.37298155196492E-5</v>
      </c>
      <c r="CM101" s="27">
        <f>opex_orig!AC101</f>
        <v>2.9736475108600101E-5</v>
      </c>
      <c r="CN101" s="27">
        <f>opex_orig!AD101</f>
        <v>4.0171547932160302E-5</v>
      </c>
      <c r="CO101" s="27">
        <f>opex_orig!AE101</f>
        <v>4.0200000000000001E-5</v>
      </c>
      <c r="CP101" s="27">
        <f>opex_orig!AF101</f>
        <v>1.3089899999999999E-4</v>
      </c>
    </row>
    <row r="102" spans="1:94" x14ac:dyDescent="0.25">
      <c r="A102" s="1" t="s">
        <v>343</v>
      </c>
      <c r="B102" s="2" t="s">
        <v>337</v>
      </c>
      <c r="C102" s="1" t="s">
        <v>330</v>
      </c>
      <c r="D102" s="188">
        <f>opex_orig!D102</f>
        <v>1.8699999999999999E-7</v>
      </c>
      <c r="E102" s="188">
        <f>opex_orig!E102</f>
        <v>3.9500000000000003E-8</v>
      </c>
      <c r="F102" s="188">
        <f>opex_orig!F102</f>
        <v>2.1299999999999999E-8</v>
      </c>
      <c r="G102" s="188">
        <f>opex_orig!G102</f>
        <v>4.9200000000000004E-9</v>
      </c>
      <c r="H102" s="188">
        <f>opex_orig!H102</f>
        <v>7.5200000000000005E-9</v>
      </c>
      <c r="I102" s="188">
        <f>opex_orig!I102</f>
        <v>5.4100000000000001E-8</v>
      </c>
      <c r="J102" s="188">
        <f>opex_orig!J102</f>
        <v>1.3E-7</v>
      </c>
      <c r="K102" s="188">
        <f>opex_orig!K102</f>
        <v>1.52E-8</v>
      </c>
      <c r="L102" s="188">
        <f>opex_orig!L102</f>
        <v>3.5299999999999998E-8</v>
      </c>
      <c r="M102" s="188">
        <f>opex_orig!M102</f>
        <v>8.9599999999999995E-8</v>
      </c>
      <c r="N102" s="188">
        <f>opex_orig!N102</f>
        <v>1.09E-7</v>
      </c>
      <c r="O102" s="188">
        <f>opex_orig!O102</f>
        <v>9.1300000000000004E-8</v>
      </c>
      <c r="P102" s="188">
        <f>opex_orig!P102</f>
        <v>8.1899999999999999E-8</v>
      </c>
      <c r="Q102" s="188">
        <f>opex_orig!Q102</f>
        <v>1.11E-8</v>
      </c>
      <c r="R102" s="188">
        <f>opex_orig!R102</f>
        <v>4.8200000000000001E-8</v>
      </c>
      <c r="S102" s="188">
        <f>opex_orig!S102</f>
        <v>4.7899999999999999E-8</v>
      </c>
      <c r="T102" s="188">
        <f>opex_orig!T102</f>
        <v>5.8799999999999997E-8</v>
      </c>
      <c r="U102" s="188">
        <f>opex_orig!U102</f>
        <v>1.6E-7</v>
      </c>
      <c r="V102" s="188">
        <f>opex_orig!V102</f>
        <v>2.3999999999999998E-7</v>
      </c>
      <c r="W102" s="188">
        <f>opex_orig!W102</f>
        <v>4.8E-8</v>
      </c>
      <c r="X102" s="188">
        <f>opex_orig!X102</f>
        <v>4.1899999999999998E-8</v>
      </c>
      <c r="Y102" s="188">
        <f>opex_orig!Y102</f>
        <v>2.14E-8</v>
      </c>
      <c r="Z102" s="188">
        <f>opex_orig!Z102</f>
        <v>1.08E-7</v>
      </c>
      <c r="AA102" s="188">
        <f>opex_orig!AA102</f>
        <v>1.14E-7</v>
      </c>
      <c r="AB102" s="273">
        <f>opex_concordance!M168</f>
        <v>5.3072151691515196E-8</v>
      </c>
      <c r="AC102" s="273">
        <f>opex_concordance!M213</f>
        <v>1.6035813027646092E-6</v>
      </c>
      <c r="AD102" s="273">
        <f>opex_concordance!M258</f>
        <v>1.4304597096359383E-6</v>
      </c>
      <c r="AE102" s="188">
        <f>opex_orig!$AC102</f>
        <v>2.9506289366623298E-7</v>
      </c>
      <c r="AF102" s="273">
        <f>opex_concordance!M300</f>
        <v>9.4850640097901204E-8</v>
      </c>
      <c r="AG102" s="273">
        <f>opex_concordance!M336</f>
        <v>2.3389019447590055E-8</v>
      </c>
      <c r="AH102" s="273">
        <f>opex_concordance!M372</f>
        <v>2.8283342482443582E-8</v>
      </c>
      <c r="AI102" s="188">
        <f>opex_orig!AE102</f>
        <v>7.4299999999999997E-8</v>
      </c>
      <c r="AJ102" s="188">
        <f>opex_orig!AF102</f>
        <v>1.36E-7</v>
      </c>
      <c r="AK102" s="188">
        <f>opex_orig!AG102</f>
        <v>7.4999999999999997E-8</v>
      </c>
      <c r="AL102" s="188">
        <f>opex_orig!AH102</f>
        <v>5.9499999999999997E-8</v>
      </c>
      <c r="AM102" s="188">
        <f>opex_orig!AI102</f>
        <v>1.1999999999999999E-7</v>
      </c>
      <c r="AN102" s="188">
        <f>opex_orig!AJ102</f>
        <v>6.4599999999999996E-8</v>
      </c>
      <c r="AO102" s="188">
        <f>opex_orig!AK102</f>
        <v>8.4299999999999994E-8</v>
      </c>
      <c r="AP102" s="273">
        <f>opex_concordance!M410</f>
        <v>6.4999995235635296E-8</v>
      </c>
      <c r="AQ102" s="273">
        <f>opex_concordance!M464</f>
        <v>8.6427502239999246E-8</v>
      </c>
      <c r="AR102" s="273">
        <f>opex_concordance!M518</f>
        <v>1.7774961186509929E-7</v>
      </c>
      <c r="AS102" s="188">
        <f>opex_orig!$AM102</f>
        <v>7.4591819959577701E-8</v>
      </c>
      <c r="AT102" s="188">
        <f>opex_orig!AN102</f>
        <v>8.3000000000000002E-8</v>
      </c>
      <c r="AU102" s="273">
        <f>opex_concordance!M577</f>
        <v>2.20018358998826E-8</v>
      </c>
      <c r="AV102" s="273">
        <f>opex_concordance!M623</f>
        <v>3.0031747086253451E-7</v>
      </c>
      <c r="AW102" s="273">
        <f>opex_concordance!M669</f>
        <v>2.6053705813986213E-8</v>
      </c>
      <c r="AX102" s="188">
        <f>opex_orig!$AP102</f>
        <v>3.53731854988277E-8</v>
      </c>
      <c r="AY102" s="188">
        <f>opex_orig!AQ102</f>
        <v>3.8199999999999998E-8</v>
      </c>
      <c r="AZ102" s="188">
        <f>opex_orig!AR102</f>
        <v>0</v>
      </c>
      <c r="BA102" s="188">
        <f>opex_orig!AS102</f>
        <v>3.5000000000000002E-8</v>
      </c>
      <c r="BB102" s="188">
        <f>opex_orig!AT102</f>
        <v>2.8200000000000001E-8</v>
      </c>
      <c r="BC102" s="188">
        <f>opex_orig!AU102</f>
        <v>3.6400000000000002E-8</v>
      </c>
      <c r="BD102" s="188">
        <f>opex_orig!AV102</f>
        <v>2.6700000000000001E-8</v>
      </c>
      <c r="BE102" s="188">
        <f>opex_orig!AW102</f>
        <v>2.7599999999999999E-8</v>
      </c>
      <c r="BF102" s="188">
        <f>opex_orig!AX102</f>
        <v>0</v>
      </c>
      <c r="BG102" s="188">
        <f>opex_orig!AY102</f>
        <v>2.7199999999999999E-8</v>
      </c>
      <c r="BH102" s="188">
        <f>opex_orig!AZ102</f>
        <v>0</v>
      </c>
      <c r="BI102" s="188">
        <f>opex_orig!BA102</f>
        <v>3.3699999999999997E-8</v>
      </c>
      <c r="BJ102" s="188">
        <f>opex_orig!BB102</f>
        <v>1.04E-7</v>
      </c>
      <c r="BK102" s="188">
        <f>opex_orig!BC102</f>
        <v>4.2100000000000002E-7</v>
      </c>
      <c r="BL102" s="188">
        <f>opex_orig!BD102</f>
        <v>6.2799999999999996E-7</v>
      </c>
      <c r="BM102" s="188">
        <f>opex_orig!BE102</f>
        <v>6.3300000000000002E-7</v>
      </c>
      <c r="BN102" s="188">
        <f>opex_orig!BF102</f>
        <v>1.74E-7</v>
      </c>
      <c r="BO102" s="188">
        <f>opex_orig!BG102</f>
        <v>9.8500000000000002E-8</v>
      </c>
      <c r="BP102" s="188">
        <f>opex_orig!$BH102</f>
        <v>2.6004803163151601E-7</v>
      </c>
      <c r="BQ102" s="188">
        <f>opex_orig!$BH102</f>
        <v>2.6004803163151601E-7</v>
      </c>
      <c r="BR102" s="188">
        <f>opex_orig!BI102</f>
        <v>1.8699999999999999E-7</v>
      </c>
      <c r="BS102" s="188">
        <f>opex_orig!BJ102</f>
        <v>5.32E-8</v>
      </c>
      <c r="BT102" s="188">
        <f>opex_orig!BK102</f>
        <v>1.7199999999999999E-8</v>
      </c>
      <c r="BU102" s="188">
        <f>opex_orig!BL102</f>
        <v>0</v>
      </c>
      <c r="BV102" s="27">
        <f>opex_orig!BM102</f>
        <v>1.9500961058771599E-7</v>
      </c>
      <c r="BW102" s="27">
        <f>opex_orig!BN102</f>
        <v>4.9060162978389902E-7</v>
      </c>
      <c r="BX102" s="27">
        <f>opex_orig!BO102</f>
        <v>8.3638148968482297E-8</v>
      </c>
      <c r="BY102" s="27">
        <f>opex_orig!BP102</f>
        <v>1.43311945526179E-7</v>
      </c>
      <c r="BZ102" s="27">
        <f>opex_orig!BQ102</f>
        <v>1.71994460392354E-7</v>
      </c>
      <c r="CA102" s="27">
        <f>opex_orig!BR102</f>
        <v>4.4375563891499602E-6</v>
      </c>
      <c r="CB102" s="27">
        <f>opex_orig!BS102</f>
        <v>2.3008161225727099E-7</v>
      </c>
      <c r="CC102" s="27">
        <f>opex_orig!BT102</f>
        <v>1.1970313167089199E-7</v>
      </c>
      <c r="CD102" s="27">
        <f>opex_orig!BU102</f>
        <v>8.4683923467902103E-8</v>
      </c>
      <c r="CE102" s="27">
        <f>opex_orig!BV102</f>
        <v>8.4683923467902196E-8</v>
      </c>
      <c r="CF102" s="27">
        <f>opex_orig!BW102</f>
        <v>8.6848090917193805E-8</v>
      </c>
      <c r="CG102" s="27">
        <f>opex_orig!BX102</f>
        <v>1.9042928898912899E-8</v>
      </c>
      <c r="CH102" s="27">
        <f>opex_orig!BY102</f>
        <v>9.5429961220499305E-9</v>
      </c>
      <c r="CI102" s="27">
        <f>opex_orig!Y102</f>
        <v>2.14E-8</v>
      </c>
      <c r="CJ102" s="27">
        <f>opex_orig!Z102</f>
        <v>1.08E-7</v>
      </c>
      <c r="CK102" s="27">
        <f>opex_orig!AA102</f>
        <v>1.14E-7</v>
      </c>
      <c r="CL102" s="27">
        <f>opex_orig!AB102</f>
        <v>5.3072151691515202E-8</v>
      </c>
      <c r="CM102" s="27">
        <f>opex_orig!AC102</f>
        <v>2.9506289366623298E-7</v>
      </c>
      <c r="CN102" s="27">
        <f>opex_orig!AD102</f>
        <v>9.4850640097901204E-8</v>
      </c>
      <c r="CO102" s="27">
        <f>opex_orig!AE102</f>
        <v>7.4299999999999997E-8</v>
      </c>
      <c r="CP102" s="27">
        <f>opex_orig!AF102</f>
        <v>1.36E-7</v>
      </c>
    </row>
    <row r="103" spans="1:94" x14ac:dyDescent="0.25">
      <c r="A103" s="1" t="s">
        <v>10</v>
      </c>
      <c r="B103" s="2" t="s">
        <v>11</v>
      </c>
      <c r="C103" s="1" t="s">
        <v>330</v>
      </c>
      <c r="D103" s="188">
        <f>opex_orig!D103</f>
        <v>5.3399999999999997E-6</v>
      </c>
      <c r="E103" s="188">
        <f>opex_orig!E103</f>
        <v>4.1300000000000003E-6</v>
      </c>
      <c r="F103" s="188">
        <f>opex_orig!F103</f>
        <v>3.6799999999999999E-6</v>
      </c>
      <c r="G103" s="188">
        <f>opex_orig!G103</f>
        <v>2.1E-7</v>
      </c>
      <c r="H103" s="188">
        <f>opex_orig!H103</f>
        <v>5.4600000000000005E-7</v>
      </c>
      <c r="I103" s="188">
        <f>opex_orig!I103</f>
        <v>5.5799999999999999E-6</v>
      </c>
      <c r="J103" s="188">
        <f>opex_orig!J103</f>
        <v>1.9000000000000001E-5</v>
      </c>
      <c r="K103" s="188">
        <f>opex_orig!K103</f>
        <v>6.7599999999999997E-7</v>
      </c>
      <c r="L103" s="188">
        <f>opex_orig!L103</f>
        <v>4.07E-6</v>
      </c>
      <c r="M103" s="188">
        <f>opex_orig!M103</f>
        <v>1.3499999999999999E-5</v>
      </c>
      <c r="N103" s="188">
        <f>opex_orig!N103</f>
        <v>1.56E-5</v>
      </c>
      <c r="O103" s="188">
        <f>opex_orig!O103</f>
        <v>8.9400000000000008E-6</v>
      </c>
      <c r="P103" s="188">
        <f>opex_orig!P103</f>
        <v>1.8099999999999999E-5</v>
      </c>
      <c r="Q103" s="188">
        <f>opex_orig!Q103</f>
        <v>3.01E-5</v>
      </c>
      <c r="R103" s="188">
        <f>opex_orig!R103</f>
        <v>3.3100000000000001E-6</v>
      </c>
      <c r="S103" s="188">
        <f>opex_orig!S103</f>
        <v>8.3999999999999992E-6</v>
      </c>
      <c r="T103" s="188">
        <f>opex_orig!T103</f>
        <v>7.9200000000000004E-6</v>
      </c>
      <c r="U103" s="188">
        <f>opex_orig!U103</f>
        <v>9.4199999999999996E-6</v>
      </c>
      <c r="V103" s="188">
        <f>opex_orig!V103</f>
        <v>9.7699999999999996E-6</v>
      </c>
      <c r="W103" s="188">
        <f>opex_orig!W103</f>
        <v>8.0900000000000005E-6</v>
      </c>
      <c r="X103" s="188">
        <f>opex_orig!X103</f>
        <v>3.3900000000000002E-6</v>
      </c>
      <c r="Y103" s="188">
        <f>opex_orig!Y103</f>
        <v>9.5400000000000001E-5</v>
      </c>
      <c r="Z103" s="188">
        <f>opex_orig!Z103</f>
        <v>2.2221599999999999E-4</v>
      </c>
      <c r="AA103" s="188">
        <f>opex_orig!AA103</f>
        <v>2.8499999999999998E-6</v>
      </c>
      <c r="AB103" s="273">
        <f>opex_concordance!M169</f>
        <v>1.0694007351382899E-5</v>
      </c>
      <c r="AC103" s="273">
        <f>opex_concordance!M214</f>
        <v>3.2312068935856826E-4</v>
      </c>
      <c r="AD103" s="273">
        <f>opex_concordance!M259</f>
        <v>2.8823679016483903E-4</v>
      </c>
      <c r="AE103" s="188">
        <f>opex_orig!$AC103</f>
        <v>3.98844551923785E-5</v>
      </c>
      <c r="AF103" s="273">
        <f>opex_concordance!M301</f>
        <v>1.5827195035048702E-5</v>
      </c>
      <c r="AG103" s="273">
        <f>opex_concordance!M337</f>
        <v>3.9027946684752641E-6</v>
      </c>
      <c r="AH103" s="273">
        <f>opex_concordance!M373</f>
        <v>4.7194829391838582E-6</v>
      </c>
      <c r="AI103" s="188">
        <f>opex_orig!AE103</f>
        <v>1.08E-5</v>
      </c>
      <c r="AJ103" s="188">
        <f>opex_orig!AF103</f>
        <v>4.8900000000000003E-5</v>
      </c>
      <c r="AK103" s="188">
        <f>opex_orig!AG103</f>
        <v>9.4900000000000006E-6</v>
      </c>
      <c r="AL103" s="188">
        <f>opex_orig!AH103</f>
        <v>1.03E-5</v>
      </c>
      <c r="AM103" s="188">
        <f>opex_orig!AI103</f>
        <v>5.0300000000000001E-6</v>
      </c>
      <c r="AN103" s="188">
        <f>opex_orig!AJ103</f>
        <v>3.2799999999999999E-6</v>
      </c>
      <c r="AO103" s="188">
        <f>opex_orig!AK103</f>
        <v>4.16E-6</v>
      </c>
      <c r="AP103" s="273">
        <f>opex_concordance!M411</f>
        <v>5.18878179465611E-6</v>
      </c>
      <c r="AQ103" s="273">
        <f>opex_concordance!M465</f>
        <v>6.8992843546340795E-6</v>
      </c>
      <c r="AR103" s="273">
        <f>opex_concordance!M519</f>
        <v>1.4189292579319715E-5</v>
      </c>
      <c r="AS103" s="188">
        <f>opex_orig!$AM103</f>
        <v>3.26341870373815E-6</v>
      </c>
      <c r="AT103" s="188">
        <f>opex_orig!AN103</f>
        <v>1.27E-5</v>
      </c>
      <c r="AU103" s="273">
        <f>opex_concordance!M578</f>
        <v>4.8587582379900104E-6</v>
      </c>
      <c r="AV103" s="273">
        <f>opex_concordance!M624</f>
        <v>6.6320373999946547E-5</v>
      </c>
      <c r="AW103" s="273">
        <f>opex_concordance!M670</f>
        <v>5.7535497642062319E-6</v>
      </c>
      <c r="AX103" s="188">
        <f>opex_orig!$AP103</f>
        <v>1.6287050169252899E-5</v>
      </c>
      <c r="AY103" s="188">
        <f>opex_orig!AQ103</f>
        <v>5.4099999999999999E-6</v>
      </c>
      <c r="AZ103" s="188">
        <f>opex_orig!AR103</f>
        <v>0</v>
      </c>
      <c r="BA103" s="188">
        <f>opex_orig!AS103</f>
        <v>1.2500000000000001E-5</v>
      </c>
      <c r="BB103" s="188">
        <f>opex_orig!AT103</f>
        <v>3.4199999999999999E-6</v>
      </c>
      <c r="BC103" s="188">
        <f>opex_orig!AU103</f>
        <v>3.19E-6</v>
      </c>
      <c r="BD103" s="188">
        <f>opex_orig!AV103</f>
        <v>9.6099999999999999E-7</v>
      </c>
      <c r="BE103" s="188">
        <f>opex_orig!AW103</f>
        <v>4.2899999999999996E-6</v>
      </c>
      <c r="BF103" s="188">
        <f>opex_orig!AX103</f>
        <v>0</v>
      </c>
      <c r="BG103" s="188">
        <f>opex_orig!AY103</f>
        <v>5.4500000000000003E-6</v>
      </c>
      <c r="BH103" s="188">
        <f>opex_orig!AZ103</f>
        <v>0</v>
      </c>
      <c r="BI103" s="188">
        <f>opex_orig!BA103</f>
        <v>2.5299999999999999E-6</v>
      </c>
      <c r="BJ103" s="188">
        <f>opex_orig!BB103</f>
        <v>7.34E-6</v>
      </c>
      <c r="BK103" s="188">
        <f>opex_orig!BC103</f>
        <v>1.9000000000000001E-5</v>
      </c>
      <c r="BL103" s="188">
        <f>opex_orig!BD103</f>
        <v>1.6099999999999998E-5</v>
      </c>
      <c r="BM103" s="188">
        <f>opex_orig!BE103</f>
        <v>1.7900000000000001E-5</v>
      </c>
      <c r="BN103" s="188">
        <f>opex_orig!BF103</f>
        <v>3.9199999999999997E-6</v>
      </c>
      <c r="BO103" s="188">
        <f>opex_orig!BG103</f>
        <v>1.6200000000000001E-5</v>
      </c>
      <c r="BP103" s="188">
        <f>opex_orig!$BH103</f>
        <v>7.5750670053210299E-6</v>
      </c>
      <c r="BQ103" s="188">
        <f>opex_orig!$BH103</f>
        <v>7.5750670053210299E-6</v>
      </c>
      <c r="BR103" s="188">
        <f>opex_orig!BI103</f>
        <v>8.8200000000000003E-6</v>
      </c>
      <c r="BS103" s="188">
        <f>opex_orig!BJ103</f>
        <v>8.6000000000000007E-6</v>
      </c>
      <c r="BT103" s="188">
        <f>opex_orig!BK103</f>
        <v>2.88E-6</v>
      </c>
      <c r="BU103" s="188">
        <f>opex_orig!BL103</f>
        <v>0</v>
      </c>
      <c r="BV103" s="27">
        <f>opex_orig!BM103</f>
        <v>4.2554420751478397E-6</v>
      </c>
      <c r="BW103" s="27">
        <f>opex_orig!BN103</f>
        <v>2.1260893491208402E-5</v>
      </c>
      <c r="BX103" s="27">
        <f>opex_orig!BO103</f>
        <v>2.1426557612251E-6</v>
      </c>
      <c r="BY103" s="27">
        <f>opex_orig!BP103</f>
        <v>1.24192989379644E-5</v>
      </c>
      <c r="BZ103" s="27">
        <f>opex_orig!BQ103</f>
        <v>3.8929024247553602E-6</v>
      </c>
      <c r="CA103" s="27">
        <f>opex_orig!BR103</f>
        <v>9.1225953534647798E-6</v>
      </c>
      <c r="CB103" s="27">
        <f>opex_orig!BS103</f>
        <v>7.4545739663570798E-6</v>
      </c>
      <c r="CC103" s="27">
        <f>opex_orig!BT103</f>
        <v>6.5837920458583699E-6</v>
      </c>
      <c r="CD103" s="27">
        <f>opex_orig!BU103</f>
        <v>1.5339128785290201E-6</v>
      </c>
      <c r="CE103" s="27">
        <f>opex_orig!BV103</f>
        <v>1.5339128785290301E-6</v>
      </c>
      <c r="CF103" s="27">
        <f>opex_orig!BW103</f>
        <v>2.43857467993004E-5</v>
      </c>
      <c r="CG103" s="27">
        <f>opex_orig!BX103</f>
        <v>2.82229570066155E-7</v>
      </c>
      <c r="CH103" s="27">
        <f>opex_orig!BY103</f>
        <v>1.2671156162909099E-5</v>
      </c>
      <c r="CI103" s="27">
        <f>opex_orig!Y103</f>
        <v>9.5400000000000001E-5</v>
      </c>
      <c r="CJ103" s="27">
        <f>opex_orig!Z103</f>
        <v>2.2221599999999999E-4</v>
      </c>
      <c r="CK103" s="27">
        <f>opex_orig!AA103</f>
        <v>2.8499999999999998E-6</v>
      </c>
      <c r="CL103" s="27">
        <f>opex_orig!AB103</f>
        <v>1.0694007351382899E-5</v>
      </c>
      <c r="CM103" s="27">
        <f>opex_orig!AC103</f>
        <v>3.98844551923785E-5</v>
      </c>
      <c r="CN103" s="27">
        <f>opex_orig!AD103</f>
        <v>1.5827195035048702E-5</v>
      </c>
      <c r="CO103" s="27">
        <f>opex_orig!AE103</f>
        <v>1.08E-5</v>
      </c>
      <c r="CP103" s="27">
        <f>opex_orig!AF103</f>
        <v>4.8900000000000003E-5</v>
      </c>
    </row>
    <row r="104" spans="1:94" x14ac:dyDescent="0.25">
      <c r="A104" s="1" t="s">
        <v>12</v>
      </c>
      <c r="B104" s="2" t="s">
        <v>13</v>
      </c>
      <c r="C104" s="1" t="s">
        <v>330</v>
      </c>
      <c r="D104" s="188">
        <f>opex_orig!D104</f>
        <v>1.3159200000000001E-4</v>
      </c>
      <c r="E104" s="188">
        <f>opex_orig!E104</f>
        <v>2.0636999999999999E-4</v>
      </c>
      <c r="F104" s="188">
        <f>opex_orig!F104</f>
        <v>1.08961E-4</v>
      </c>
      <c r="G104" s="188">
        <f>opex_orig!G104</f>
        <v>1.77E-5</v>
      </c>
      <c r="H104" s="188">
        <f>opex_orig!H104</f>
        <v>3.7100000000000001E-5</v>
      </c>
      <c r="I104" s="188">
        <f>opex_orig!I104</f>
        <v>6.5478900000000002E-4</v>
      </c>
      <c r="J104" s="188">
        <f>opex_orig!J104</f>
        <v>2.67446E-3</v>
      </c>
      <c r="K104" s="188">
        <f>opex_orig!K104</f>
        <v>5.4799999999999997E-5</v>
      </c>
      <c r="L104" s="188">
        <f>opex_orig!L104</f>
        <v>2.4587799999999999E-4</v>
      </c>
      <c r="M104" s="188">
        <f>opex_orig!M104</f>
        <v>8.5206500000000005E-4</v>
      </c>
      <c r="N104" s="188">
        <f>opex_orig!N104</f>
        <v>3.61131E-4</v>
      </c>
      <c r="O104" s="188">
        <f>opex_orig!O104</f>
        <v>2.2488599999999999E-4</v>
      </c>
      <c r="P104" s="188">
        <f>opex_orig!P104</f>
        <v>1.6166500000000001E-3</v>
      </c>
      <c r="Q104" s="188">
        <f>opex_orig!Q104</f>
        <v>1.3506530000000001E-3</v>
      </c>
      <c r="R104" s="188">
        <f>opex_orig!R104</f>
        <v>7.75E-5</v>
      </c>
      <c r="S104" s="188">
        <f>opex_orig!S104</f>
        <v>8.3496000000000004E-4</v>
      </c>
      <c r="T104" s="188">
        <f>opex_orig!T104</f>
        <v>8.65221E-4</v>
      </c>
      <c r="U104" s="188">
        <f>opex_orig!U104</f>
        <v>3.3113589999999998E-3</v>
      </c>
      <c r="V104" s="188">
        <f>opex_orig!V104</f>
        <v>1.71003E-3</v>
      </c>
      <c r="W104" s="188">
        <f>opex_orig!W104</f>
        <v>6.4930399999999996E-4</v>
      </c>
      <c r="X104" s="188">
        <f>opex_orig!X104</f>
        <v>4.4107599999999999E-4</v>
      </c>
      <c r="Y104" s="188">
        <f>opex_orig!Y104</f>
        <v>2.5293149999999999E-3</v>
      </c>
      <c r="Z104" s="188">
        <f>opex_orig!Z104</f>
        <v>5.5662970000000004E-3</v>
      </c>
      <c r="AA104" s="188">
        <f>opex_orig!AA104</f>
        <v>7.8399999999999995E-5</v>
      </c>
      <c r="AB104" s="273">
        <f>opex_concordance!M170</f>
        <v>6.1171648027476502E-5</v>
      </c>
      <c r="AC104" s="273">
        <f>opex_concordance!M215</f>
        <v>1.8483085367696037E-3</v>
      </c>
      <c r="AD104" s="273">
        <f>opex_concordance!M260</f>
        <v>1.6487663508341478E-3</v>
      </c>
      <c r="AE104" s="188">
        <f>opex_orig!$AC104</f>
        <v>3.1907494513485002E-4</v>
      </c>
      <c r="AF104" s="273">
        <f>opex_concordance!M302</f>
        <v>5.3236548635258595E-4</v>
      </c>
      <c r="AG104" s="273">
        <f>opex_concordance!M338</f>
        <v>1.3127488333947355E-4</v>
      </c>
      <c r="AH104" s="273">
        <f>opex_concordance!M374</f>
        <v>1.5874511084797632E-4</v>
      </c>
      <c r="AI104" s="188">
        <f>opex_orig!AE104</f>
        <v>5.7953499999999995E-4</v>
      </c>
      <c r="AJ104" s="188">
        <f>opex_orig!AF104</f>
        <v>1.5575599999999999E-3</v>
      </c>
      <c r="AK104" s="188">
        <f>opex_orig!AG104</f>
        <v>3.7638100000000001E-4</v>
      </c>
      <c r="AL104" s="188">
        <f>opex_orig!AH104</f>
        <v>3.10107E-4</v>
      </c>
      <c r="AM104" s="188">
        <f>opex_orig!AI104</f>
        <v>7.7879399999999997E-4</v>
      </c>
      <c r="AN104" s="188">
        <f>opex_orig!AJ104</f>
        <v>4.0116499999999999E-4</v>
      </c>
      <c r="AO104" s="188">
        <f>opex_orig!AK104</f>
        <v>3.9632900000000001E-4</v>
      </c>
      <c r="AP104" s="273">
        <f>opex_concordance!M412</f>
        <v>9.789230328172431E-4</v>
      </c>
      <c r="AQ104" s="273">
        <f>opex_concordance!M466</f>
        <v>1.3016289048159069E-3</v>
      </c>
      <c r="AR104" s="273">
        <f>opex_concordance!M520</f>
        <v>2.6769723366637434E-3</v>
      </c>
      <c r="AS104" s="188">
        <f>opex_orig!$AM104</f>
        <v>4.4417351056326801E-4</v>
      </c>
      <c r="AT104" s="188">
        <f>opex_orig!AN104</f>
        <v>1.26775E-3</v>
      </c>
      <c r="AU104" s="273">
        <f>opex_concordance!M579</f>
        <v>2.42048182205621E-4</v>
      </c>
      <c r="AV104" s="273">
        <f>opex_concordance!M625</f>
        <v>3.3038741965734737E-3</v>
      </c>
      <c r="AW104" s="273">
        <f>opex_concordance!M671</f>
        <v>2.8662390541823069E-4</v>
      </c>
      <c r="AX104" s="188">
        <f>opex_orig!$AP104</f>
        <v>1.0409959591858101E-3</v>
      </c>
      <c r="AY104" s="188">
        <f>opex_orig!AQ104</f>
        <v>1.4248200000000001E-4</v>
      </c>
      <c r="AZ104" s="188">
        <f>opex_orig!AR104</f>
        <v>0</v>
      </c>
      <c r="BA104" s="188">
        <f>opex_orig!AS104</f>
        <v>8.9841499999999996E-4</v>
      </c>
      <c r="BB104" s="188">
        <f>opex_orig!AT104</f>
        <v>8.4699999999999999E-5</v>
      </c>
      <c r="BC104" s="188">
        <f>opex_orig!AU104</f>
        <v>5.5300000000000002E-5</v>
      </c>
      <c r="BD104" s="188">
        <f>opex_orig!AV104</f>
        <v>3.7799999999999997E-5</v>
      </c>
      <c r="BE104" s="188">
        <f>opex_orig!AW104</f>
        <v>1.2945799999999999E-4</v>
      </c>
      <c r="BF104" s="188">
        <f>opex_orig!AX104</f>
        <v>0</v>
      </c>
      <c r="BG104" s="188">
        <f>opex_orig!AY104</f>
        <v>2.4476599999999999E-4</v>
      </c>
      <c r="BH104" s="188">
        <f>opex_orig!AZ104</f>
        <v>0</v>
      </c>
      <c r="BI104" s="188">
        <f>opex_orig!BA104</f>
        <v>8.6199999999999995E-5</v>
      </c>
      <c r="BJ104" s="188">
        <f>opex_orig!BB104</f>
        <v>5.1333599999999998E-4</v>
      </c>
      <c r="BK104" s="188">
        <f>opex_orig!BC104</f>
        <v>8.7532099999999998E-4</v>
      </c>
      <c r="BL104" s="188">
        <f>opex_orig!BD104</f>
        <v>4.4400000000000002E-5</v>
      </c>
      <c r="BM104" s="188">
        <f>opex_orig!BE104</f>
        <v>5.3711600000000003E-4</v>
      </c>
      <c r="BN104" s="188">
        <f>opex_orig!BF104</f>
        <v>1.2824099999999999E-4</v>
      </c>
      <c r="BO104" s="188">
        <f>opex_orig!BG104</f>
        <v>1.103487E-3</v>
      </c>
      <c r="BP104" s="188">
        <f>opex_orig!$BH104</f>
        <v>1.7796016698912599E-4</v>
      </c>
      <c r="BQ104" s="188">
        <f>opex_orig!$BH104</f>
        <v>1.7796016698912599E-4</v>
      </c>
      <c r="BR104" s="188">
        <f>opex_orig!BI104</f>
        <v>3.00439E-4</v>
      </c>
      <c r="BS104" s="188">
        <f>opex_orig!BJ104</f>
        <v>5.6052000000000001E-4</v>
      </c>
      <c r="BT104" s="188">
        <f>opex_orig!BK104</f>
        <v>1.8005199999999999E-4</v>
      </c>
      <c r="BU104" s="188">
        <f>opex_orig!BL104</f>
        <v>0</v>
      </c>
      <c r="BV104" s="27">
        <f>opex_orig!BM104</f>
        <v>4.9219570414099599E-5</v>
      </c>
      <c r="BW104" s="27">
        <f>opex_orig!BN104</f>
        <v>6.8056238741679706E-5</v>
      </c>
      <c r="BX104" s="27">
        <f>opex_orig!BO104</f>
        <v>1.6237821031665601E-5</v>
      </c>
      <c r="BY104" s="27">
        <f>opex_orig!BP104</f>
        <v>2.9707768620171099E-5</v>
      </c>
      <c r="BZ104" s="27">
        <f>opex_orig!BQ104</f>
        <v>3.31850212466671E-5</v>
      </c>
      <c r="CA104" s="27">
        <f>opex_orig!BR104</f>
        <v>3.1847587090800998E-5</v>
      </c>
      <c r="CB104" s="27">
        <f>opex_orig!BS104</f>
        <v>7.2020617487036497E-5</v>
      </c>
      <c r="CC104" s="27">
        <f>opex_orig!BT104</f>
        <v>7.6389029008288393E-6</v>
      </c>
      <c r="CD104" s="27">
        <f>opex_orig!BU104</f>
        <v>2.76980504104791E-5</v>
      </c>
      <c r="CE104" s="27">
        <f>opex_orig!BV104</f>
        <v>2.7698050410479202E-5</v>
      </c>
      <c r="CF104" s="27">
        <f>opex_orig!BW104</f>
        <v>7.5338154761772099E-6</v>
      </c>
      <c r="CG104" s="27">
        <f>opex_orig!BX104</f>
        <v>5.22621742982634E-7</v>
      </c>
      <c r="CH104" s="27">
        <f>opex_orig!BY104</f>
        <v>6.8488631211214596E-6</v>
      </c>
      <c r="CI104" s="27">
        <f>opex_orig!Y104</f>
        <v>2.5293149999999999E-3</v>
      </c>
      <c r="CJ104" s="27">
        <f>opex_orig!Z104</f>
        <v>5.5662970000000004E-3</v>
      </c>
      <c r="CK104" s="27">
        <f>opex_orig!AA104</f>
        <v>7.8399999999999995E-5</v>
      </c>
      <c r="CL104" s="27">
        <f>opex_orig!AB104</f>
        <v>6.1171648027476502E-5</v>
      </c>
      <c r="CM104" s="27">
        <f>opex_orig!AC104</f>
        <v>3.1907494513485002E-4</v>
      </c>
      <c r="CN104" s="27">
        <f>opex_orig!AD104</f>
        <v>5.3236548635258595E-4</v>
      </c>
      <c r="CO104" s="27">
        <f>opex_orig!AE104</f>
        <v>5.7953499999999995E-4</v>
      </c>
      <c r="CP104" s="27">
        <f>opex_orig!AF104</f>
        <v>1.5575599999999999E-3</v>
      </c>
    </row>
    <row r="105" spans="1:94" x14ac:dyDescent="0.25">
      <c r="A105" s="1" t="s">
        <v>340</v>
      </c>
      <c r="B105" s="2" t="s">
        <v>338</v>
      </c>
      <c r="C105" s="1" t="s">
        <v>330</v>
      </c>
      <c r="D105" s="188">
        <f>opex_orig!D105</f>
        <v>2.87E-5</v>
      </c>
      <c r="E105" s="188">
        <f>opex_orig!E105</f>
        <v>4.6499999999999999E-5</v>
      </c>
      <c r="F105" s="188">
        <f>opex_orig!F105</f>
        <v>2.8600000000000001E-5</v>
      </c>
      <c r="G105" s="188">
        <f>opex_orig!G105</f>
        <v>3.3000000000000002E-6</v>
      </c>
      <c r="H105" s="188">
        <f>opex_orig!H105</f>
        <v>8.4600000000000003E-6</v>
      </c>
      <c r="I105" s="188">
        <f>opex_orig!I105</f>
        <v>1.4426599999999999E-4</v>
      </c>
      <c r="J105" s="188">
        <f>opex_orig!J105</f>
        <v>5.8767100000000001E-4</v>
      </c>
      <c r="K105" s="188">
        <f>opex_orig!K105</f>
        <v>1.08E-5</v>
      </c>
      <c r="L105" s="188">
        <f>opex_orig!L105</f>
        <v>5.5999999999999999E-5</v>
      </c>
      <c r="M105" s="188">
        <f>opex_orig!M105</f>
        <v>2.01213E-4</v>
      </c>
      <c r="N105" s="188">
        <f>opex_orig!N105</f>
        <v>8.81E-5</v>
      </c>
      <c r="O105" s="188">
        <f>opex_orig!O105</f>
        <v>5.91E-5</v>
      </c>
      <c r="P105" s="188">
        <f>opex_orig!P105</f>
        <v>4.7193199999999999E-4</v>
      </c>
      <c r="Q105" s="188">
        <f>opex_orig!Q105</f>
        <v>5.2879000000000001E-4</v>
      </c>
      <c r="R105" s="188">
        <f>opex_orig!R105</f>
        <v>2.37E-5</v>
      </c>
      <c r="S105" s="188">
        <f>opex_orig!S105</f>
        <v>2.3050699999999999E-4</v>
      </c>
      <c r="T105" s="188">
        <f>opex_orig!T105</f>
        <v>2.3484800000000001E-4</v>
      </c>
      <c r="U105" s="188">
        <f>opex_orig!U105</f>
        <v>7.5236200000000002E-4</v>
      </c>
      <c r="V105" s="188">
        <f>opex_orig!V105</f>
        <v>3.58205E-4</v>
      </c>
      <c r="W105" s="188">
        <f>opex_orig!W105</f>
        <v>1.9051100000000001E-4</v>
      </c>
      <c r="X105" s="188">
        <f>opex_orig!X105</f>
        <v>1.1086699999999999E-4</v>
      </c>
      <c r="Y105" s="188">
        <f>opex_orig!Y105</f>
        <v>3.2062399999999998E-4</v>
      </c>
      <c r="Z105" s="188">
        <f>opex_orig!Z105</f>
        <v>6.5712599999999996E-4</v>
      </c>
      <c r="AA105" s="188">
        <f>opex_orig!AA105</f>
        <v>1.26E-5</v>
      </c>
      <c r="AB105" s="273">
        <f>opex_concordance!M171</f>
        <v>9.8509742840008501E-6</v>
      </c>
      <c r="AC105" s="273">
        <f>opex_concordance!M216</f>
        <v>2.9764834611678711E-4</v>
      </c>
      <c r="AD105" s="273">
        <f>opex_concordance!M261</f>
        <v>2.6551442451080781E-4</v>
      </c>
      <c r="AE105" s="188">
        <f>opex_orig!$AC105</f>
        <v>7.8473144864104794E-5</v>
      </c>
      <c r="AF105" s="273">
        <f>opex_concordance!M303</f>
        <v>1.2474597341853799E-4</v>
      </c>
      <c r="AG105" s="273">
        <f>opex_concordance!M339</f>
        <v>3.0760846687836938E-5</v>
      </c>
      <c r="AH105" s="273">
        <f>opex_concordance!M375</f>
        <v>3.7197778379361552E-5</v>
      </c>
      <c r="AI105" s="188">
        <f>opex_orig!AE105</f>
        <v>1.2244099999999999E-4</v>
      </c>
      <c r="AJ105" s="188">
        <f>opex_orig!AF105</f>
        <v>4.4308200000000002E-4</v>
      </c>
      <c r="AK105" s="188">
        <f>opex_orig!AG105</f>
        <v>1.2504500000000001E-4</v>
      </c>
      <c r="AL105" s="188">
        <f>opex_orig!AH105</f>
        <v>7.1799999999999997E-5</v>
      </c>
      <c r="AM105" s="188">
        <f>opex_orig!AI105</f>
        <v>1.8995000000000001E-4</v>
      </c>
      <c r="AN105" s="188">
        <f>opex_orig!AJ105</f>
        <v>4.2899999999999999E-5</v>
      </c>
      <c r="AO105" s="188">
        <f>opex_orig!AK105</f>
        <v>9.2499999999999999E-5</v>
      </c>
      <c r="AP105" s="273">
        <f>opex_concordance!M413</f>
        <v>2.3676548956555398E-4</v>
      </c>
      <c r="AQ105" s="273">
        <f>opex_concordance!M467</f>
        <v>3.1481617507200788E-4</v>
      </c>
      <c r="AR105" s="273">
        <f>opex_concordance!M521</f>
        <v>6.4746118397028692E-4</v>
      </c>
      <c r="AS105" s="188">
        <f>opex_orig!$AM105</f>
        <v>1.0360380788966E-4</v>
      </c>
      <c r="AT105" s="188">
        <f>opex_orig!AN105</f>
        <v>3.6151899999999998E-4</v>
      </c>
      <c r="AU105" s="273">
        <f>opex_concordance!M580</f>
        <v>7.4704670047328204E-5</v>
      </c>
      <c r="AV105" s="273">
        <f>opex_concordance!M626</f>
        <v>1.0196929780006882E-3</v>
      </c>
      <c r="AW105" s="273">
        <f>opex_concordance!M672</f>
        <v>8.8462322198957138E-5</v>
      </c>
      <c r="AX105" s="188">
        <f>opex_orig!$AP105</f>
        <v>3.3074452182893499E-4</v>
      </c>
      <c r="AY105" s="188">
        <f>opex_orig!AQ105</f>
        <v>4.1399999999999997E-5</v>
      </c>
      <c r="AZ105" s="188">
        <f>opex_orig!AR105</f>
        <v>0</v>
      </c>
      <c r="BA105" s="188">
        <f>opex_orig!AS105</f>
        <v>2.75543E-4</v>
      </c>
      <c r="BB105" s="188">
        <f>opex_orig!AT105</f>
        <v>1.73E-5</v>
      </c>
      <c r="BC105" s="188">
        <f>opex_orig!AU105</f>
        <v>5.66E-6</v>
      </c>
      <c r="BD105" s="188">
        <f>opex_orig!AV105</f>
        <v>3.1599999999999998E-6</v>
      </c>
      <c r="BE105" s="188">
        <f>opex_orig!AW105</f>
        <v>3.57E-5</v>
      </c>
      <c r="BF105" s="188">
        <f>opex_orig!AX105</f>
        <v>0</v>
      </c>
      <c r="BG105" s="188">
        <f>opex_orig!AY105</f>
        <v>7.8399999999999995E-5</v>
      </c>
      <c r="BH105" s="188">
        <f>opex_orig!AZ105</f>
        <v>0</v>
      </c>
      <c r="BI105" s="188">
        <f>opex_orig!BA105</f>
        <v>2.1299999999999999E-5</v>
      </c>
      <c r="BJ105" s="188">
        <f>opex_orig!BB105</f>
        <v>1.4376699999999999E-4</v>
      </c>
      <c r="BK105" s="188">
        <f>opex_orig!BC105</f>
        <v>2.5259000000000002E-4</v>
      </c>
      <c r="BL105" s="188">
        <f>opex_orig!BD105</f>
        <v>9.6500000000000008E-6</v>
      </c>
      <c r="BM105" s="188">
        <f>opex_orig!BE105</f>
        <v>1.4544100000000001E-4</v>
      </c>
      <c r="BN105" s="188">
        <f>opex_orig!BF105</f>
        <v>3.8099999999999998E-5</v>
      </c>
      <c r="BO105" s="188">
        <f>opex_orig!BG105</f>
        <v>3.9050100000000002E-4</v>
      </c>
      <c r="BP105" s="188">
        <f>opex_orig!$BH105</f>
        <v>4.6156623488737801E-5</v>
      </c>
      <c r="BQ105" s="188">
        <f>opex_orig!$BH105</f>
        <v>4.6156623488737801E-5</v>
      </c>
      <c r="BR105" s="188">
        <f>opex_orig!BI105</f>
        <v>8.9800000000000001E-5</v>
      </c>
      <c r="BS105" s="188">
        <f>opex_orig!BJ105</f>
        <v>1.87011E-4</v>
      </c>
      <c r="BT105" s="188">
        <f>opex_orig!BK105</f>
        <v>4.5000000000000003E-5</v>
      </c>
      <c r="BU105" s="188">
        <f>opex_orig!BL105</f>
        <v>0</v>
      </c>
      <c r="BV105" s="27">
        <f>opex_orig!BM105</f>
        <v>7.3175954428389101E-6</v>
      </c>
      <c r="BW105" s="27">
        <f>opex_orig!BN105</f>
        <v>1.0969799370608301E-5</v>
      </c>
      <c r="BX105" s="27">
        <f>opex_orig!BO105</f>
        <v>2.5020293226442801E-6</v>
      </c>
      <c r="BY105" s="27">
        <f>opex_orig!BP105</f>
        <v>5.1153043173806399E-6</v>
      </c>
      <c r="BZ105" s="27">
        <f>opex_orig!BQ105</f>
        <v>6.2866686897159602E-6</v>
      </c>
      <c r="CA105" s="27">
        <f>opex_orig!BR105</f>
        <v>4.9676368070355897E-6</v>
      </c>
      <c r="CB105" s="27">
        <f>opex_orig!BS105</f>
        <v>1.1196199732864201E-5</v>
      </c>
      <c r="CC105" s="27">
        <f>opex_orig!BT105</f>
        <v>4.3521133923624599E-7</v>
      </c>
      <c r="CD105" s="27">
        <f>opex_orig!BU105</f>
        <v>4.1843232825974304E-6</v>
      </c>
      <c r="CE105" s="27">
        <f>opex_orig!BV105</f>
        <v>4.1843232825974397E-6</v>
      </c>
      <c r="CF105" s="27">
        <f>opex_orig!BW105</f>
        <v>1.57625790016914E-6</v>
      </c>
      <c r="CG105" s="27">
        <f>opex_orig!BX105</f>
        <v>1.63786029178587E-7</v>
      </c>
      <c r="CH105" s="27">
        <f>opex_orig!BY105</f>
        <v>1.60688724913883E-6</v>
      </c>
      <c r="CI105" s="27">
        <f>opex_orig!Y105</f>
        <v>3.2062399999999998E-4</v>
      </c>
      <c r="CJ105" s="27">
        <f>opex_orig!Z105</f>
        <v>6.5712599999999996E-4</v>
      </c>
      <c r="CK105" s="27">
        <f>opex_orig!AA105</f>
        <v>1.26E-5</v>
      </c>
      <c r="CL105" s="27">
        <f>opex_orig!AB105</f>
        <v>9.8509742840008501E-6</v>
      </c>
      <c r="CM105" s="27">
        <f>opex_orig!AC105</f>
        <v>7.8473144864104794E-5</v>
      </c>
      <c r="CN105" s="27">
        <f>opex_orig!AD105</f>
        <v>1.2474597341853799E-4</v>
      </c>
      <c r="CO105" s="27">
        <f>opex_orig!AE105</f>
        <v>1.2244099999999999E-4</v>
      </c>
      <c r="CP105" s="27">
        <f>opex_orig!AF105</f>
        <v>4.4308200000000002E-4</v>
      </c>
    </row>
    <row r="106" spans="1:94" x14ac:dyDescent="0.25">
      <c r="A106" s="1" t="s">
        <v>341</v>
      </c>
      <c r="B106" s="2" t="s">
        <v>339</v>
      </c>
      <c r="C106" s="1" t="s">
        <v>330</v>
      </c>
      <c r="D106" s="188">
        <f>opex_orig!D106</f>
        <v>1.5E-5</v>
      </c>
      <c r="E106" s="188">
        <f>opex_orig!E106</f>
        <v>2.4499999999999999E-5</v>
      </c>
      <c r="F106" s="188">
        <f>opex_orig!F106</f>
        <v>1.5099999999999999E-5</v>
      </c>
      <c r="G106" s="188">
        <f>opex_orig!G106</f>
        <v>1.72E-6</v>
      </c>
      <c r="H106" s="188">
        <f>opex_orig!H106</f>
        <v>4.4499999999999997E-6</v>
      </c>
      <c r="I106" s="188">
        <f>opex_orig!I106</f>
        <v>7.6299999999999998E-5</v>
      </c>
      <c r="J106" s="188">
        <f>opex_orig!J106</f>
        <v>3.1063800000000002E-4</v>
      </c>
      <c r="K106" s="188">
        <f>opex_orig!K106</f>
        <v>5.6500000000000001E-6</v>
      </c>
      <c r="L106" s="188">
        <f>opex_orig!L106</f>
        <v>2.9600000000000001E-5</v>
      </c>
      <c r="M106" s="188">
        <f>opex_orig!M106</f>
        <v>1.06483E-4</v>
      </c>
      <c r="N106" s="188">
        <f>opex_orig!N106</f>
        <v>4.6100000000000002E-5</v>
      </c>
      <c r="O106" s="188">
        <f>opex_orig!O106</f>
        <v>3.1099999999999997E-5</v>
      </c>
      <c r="P106" s="188">
        <f>opex_orig!P106</f>
        <v>2.4963600000000002E-4</v>
      </c>
      <c r="Q106" s="188">
        <f>opex_orig!Q106</f>
        <v>2.79609E-4</v>
      </c>
      <c r="R106" s="188">
        <f>opex_orig!R106</f>
        <v>1.26E-5</v>
      </c>
      <c r="S106" s="188">
        <f>opex_orig!S106</f>
        <v>1.21922E-4</v>
      </c>
      <c r="T106" s="188">
        <f>opex_orig!T106</f>
        <v>1.24194E-4</v>
      </c>
      <c r="U106" s="188">
        <f>opex_orig!U106</f>
        <v>3.9785200000000003E-4</v>
      </c>
      <c r="V106" s="188">
        <f>opex_orig!V106</f>
        <v>1.8934299999999999E-4</v>
      </c>
      <c r="W106" s="188">
        <f>opex_orig!W106</f>
        <v>1.0076100000000001E-4</v>
      </c>
      <c r="X106" s="188">
        <f>opex_orig!X106</f>
        <v>5.8600000000000001E-5</v>
      </c>
      <c r="Y106" s="188">
        <f>opex_orig!Y106</f>
        <v>1.69536E-4</v>
      </c>
      <c r="Z106" s="188">
        <f>opex_orig!Z106</f>
        <v>3.4743099999999999E-4</v>
      </c>
      <c r="AA106" s="188">
        <f>opex_orig!AA106</f>
        <v>6.55E-6</v>
      </c>
      <c r="AB106" s="273">
        <f>opex_concordance!M172</f>
        <v>3.2366965306455799E-6</v>
      </c>
      <c r="AC106" s="273">
        <f>opex_concordance!M217</f>
        <v>9.7797166194339905E-5</v>
      </c>
      <c r="AD106" s="273">
        <f>opex_concordance!M262</f>
        <v>8.7239047821517494E-5</v>
      </c>
      <c r="AE106" s="188">
        <f>opex_orig!$AC106</f>
        <v>3.9625853836620697E-5</v>
      </c>
      <c r="AF106" s="273">
        <f>opex_concordance!M304</f>
        <v>6.5658863174722495E-5</v>
      </c>
      <c r="AG106" s="273">
        <f>opex_concordance!M340</f>
        <v>1.619068069667376E-5</v>
      </c>
      <c r="AH106" s="273">
        <f>opex_concordance!M376</f>
        <v>1.9578698807533623E-5</v>
      </c>
      <c r="AI106" s="188">
        <f>opex_orig!AE106</f>
        <v>6.4599999999999998E-5</v>
      </c>
      <c r="AJ106" s="188">
        <f>opex_orig!AF106</f>
        <v>2.34436E-4</v>
      </c>
      <c r="AK106" s="188">
        <f>opex_orig!AG106</f>
        <v>6.6199999999999996E-5</v>
      </c>
      <c r="AL106" s="188">
        <f>opex_orig!AH106</f>
        <v>3.8000000000000002E-5</v>
      </c>
      <c r="AM106" s="188">
        <f>opex_orig!AI106</f>
        <v>1.00413E-4</v>
      </c>
      <c r="AN106" s="188">
        <f>opex_orig!AJ106</f>
        <v>2.27E-5</v>
      </c>
      <c r="AO106" s="188">
        <f>opex_orig!AK106</f>
        <v>4.8699999999999998E-5</v>
      </c>
      <c r="AP106" s="273">
        <f>opex_concordance!M414</f>
        <v>1.2517820002296901E-4</v>
      </c>
      <c r="AQ106" s="273">
        <f>opex_concordance!M468</f>
        <v>1.6644369162896431E-4</v>
      </c>
      <c r="AR106" s="273">
        <f>opex_concordance!M522</f>
        <v>3.4231350921478315E-4</v>
      </c>
      <c r="AS106" s="188">
        <f>opex_orig!$AM106</f>
        <v>5.4638240587505797E-5</v>
      </c>
      <c r="AT106" s="188">
        <f>opex_orig!AN106</f>
        <v>1.9116599999999999E-4</v>
      </c>
      <c r="AU106" s="273">
        <f>opex_concordance!M581</f>
        <v>3.9476265143633502E-5</v>
      </c>
      <c r="AV106" s="273">
        <f>opex_concordance!M627</f>
        <v>5.3883740252321855E-4</v>
      </c>
      <c r="AW106" s="273">
        <f>opex_concordance!M673</f>
        <v>4.6746235330872251E-5</v>
      </c>
      <c r="AX106" s="188">
        <f>opex_orig!$AP106</f>
        <v>1.7480100000861001E-4</v>
      </c>
      <c r="AY106" s="188">
        <f>opex_orig!AQ106</f>
        <v>2.1800000000000001E-5</v>
      </c>
      <c r="AZ106" s="188">
        <f>opex_orig!AR106</f>
        <v>0</v>
      </c>
      <c r="BA106" s="188">
        <f>opex_orig!AS106</f>
        <v>1.45618E-4</v>
      </c>
      <c r="BB106" s="188">
        <f>opex_orig!AT106</f>
        <v>9.1200000000000008E-6</v>
      </c>
      <c r="BC106" s="188">
        <f>opex_orig!AU106</f>
        <v>2.8700000000000001E-6</v>
      </c>
      <c r="BD106" s="188">
        <f>opex_orig!AV106</f>
        <v>1.5200000000000001E-6</v>
      </c>
      <c r="BE106" s="188">
        <f>opex_orig!AW106</f>
        <v>1.88E-5</v>
      </c>
      <c r="BF106" s="188">
        <f>opex_orig!AX106</f>
        <v>0</v>
      </c>
      <c r="BG106" s="188">
        <f>opex_orig!AY106</f>
        <v>4.1300000000000001E-5</v>
      </c>
      <c r="BH106" s="188">
        <f>opex_orig!AZ106</f>
        <v>0</v>
      </c>
      <c r="BI106" s="188">
        <f>opex_orig!BA106</f>
        <v>1.1199999999999999E-5</v>
      </c>
      <c r="BJ106" s="188">
        <f>opex_orig!BB106</f>
        <v>7.6100000000000007E-5</v>
      </c>
      <c r="BK106" s="188">
        <f>opex_orig!BC106</f>
        <v>1.34358E-4</v>
      </c>
      <c r="BL106" s="188">
        <f>opex_orig!BD106</f>
        <v>6.1999999999999999E-6</v>
      </c>
      <c r="BM106" s="188">
        <f>opex_orig!BE106</f>
        <v>7.8200000000000003E-5</v>
      </c>
      <c r="BN106" s="188">
        <f>opex_orig!BF106</f>
        <v>2.0400000000000001E-5</v>
      </c>
      <c r="BO106" s="188">
        <f>opex_orig!BG106</f>
        <v>2.0661200000000001E-4</v>
      </c>
      <c r="BP106" s="188">
        <f>opex_orig!$BH106</f>
        <v>2.4905623271607702E-5</v>
      </c>
      <c r="BQ106" s="188">
        <f>opex_orig!$BH106</f>
        <v>2.4905623271607702E-5</v>
      </c>
      <c r="BR106" s="188">
        <f>opex_orig!BI106</f>
        <v>4.7800000000000003E-5</v>
      </c>
      <c r="BS106" s="188">
        <f>opex_orig!BJ106</f>
        <v>9.8900000000000005E-5</v>
      </c>
      <c r="BT106" s="188">
        <f>opex_orig!BK106</f>
        <v>2.3799999999999999E-5</v>
      </c>
      <c r="BU106" s="188">
        <f>opex_orig!BL106</f>
        <v>0</v>
      </c>
      <c r="BV106" s="27">
        <f>opex_orig!BM106</f>
        <v>4.0866358473783604E-6</v>
      </c>
      <c r="BW106" s="27">
        <f>opex_orig!BN106</f>
        <v>6.0304705138217297E-6</v>
      </c>
      <c r="BX106" s="27">
        <f>opex_orig!BO106</f>
        <v>1.3680766769776799E-6</v>
      </c>
      <c r="BY106" s="27">
        <f>opex_orig!BP106</f>
        <v>2.2999022576593502E-6</v>
      </c>
      <c r="BZ106" s="27">
        <f>opex_orig!BQ106</f>
        <v>2.7916364135244501E-6</v>
      </c>
      <c r="CA106" s="27">
        <f>opex_orig!BR106</f>
        <v>1.2677775618125299E-5</v>
      </c>
      <c r="CB106" s="27">
        <f>opex_orig!BS106</f>
        <v>5.7370339799257003E-6</v>
      </c>
      <c r="CC106" s="27">
        <f>opex_orig!BT106</f>
        <v>5.5174522588964505E-7</v>
      </c>
      <c r="CD106" s="27">
        <f>opex_orig!BU106</f>
        <v>2.30784782207681E-6</v>
      </c>
      <c r="CE106" s="27">
        <f>opex_orig!BV106</f>
        <v>2.3078478220768202E-6</v>
      </c>
      <c r="CF106" s="27">
        <f>opex_orig!BW106</f>
        <v>2.4899076663526301E-6</v>
      </c>
      <c r="CG106" s="27">
        <f>opex_orig!BX106</f>
        <v>6.84749441285248E-8</v>
      </c>
      <c r="CH106" s="27">
        <f>opex_orig!BY106</f>
        <v>8.0589234711712495E-8</v>
      </c>
      <c r="CI106" s="27">
        <f>opex_orig!Y106</f>
        <v>1.69536E-4</v>
      </c>
      <c r="CJ106" s="27">
        <f>opex_orig!Z106</f>
        <v>3.4743099999999999E-4</v>
      </c>
      <c r="CK106" s="27">
        <f>opex_orig!AA106</f>
        <v>6.55E-6</v>
      </c>
      <c r="CL106" s="27">
        <f>opex_orig!AB106</f>
        <v>3.2366965306455799E-6</v>
      </c>
      <c r="CM106" s="27">
        <f>opex_orig!AC106</f>
        <v>3.9625853836620697E-5</v>
      </c>
      <c r="CN106" s="27">
        <f>opex_orig!AD106</f>
        <v>6.5658863174722495E-5</v>
      </c>
      <c r="CO106" s="27">
        <f>opex_orig!AE106</f>
        <v>6.4599999999999998E-5</v>
      </c>
      <c r="CP106" s="27">
        <f>opex_orig!AF106</f>
        <v>2.34436E-4</v>
      </c>
    </row>
    <row r="107" spans="1:94" x14ac:dyDescent="0.25">
      <c r="A107" s="5" t="s">
        <v>14</v>
      </c>
      <c r="B107" s="2" t="s">
        <v>15</v>
      </c>
      <c r="C107" s="1" t="s">
        <v>330</v>
      </c>
      <c r="D107" s="188">
        <f>opex_orig!D107</f>
        <v>7.8199999999999999E-9</v>
      </c>
      <c r="E107" s="188">
        <f>opex_orig!E107</f>
        <v>1.0999999999999999E-9</v>
      </c>
      <c r="F107" s="188">
        <f>opex_orig!F107</f>
        <v>5.9000000000000003E-10</v>
      </c>
      <c r="G107" s="188">
        <f>opex_orig!G107</f>
        <v>1.5E-10</v>
      </c>
      <c r="H107" s="188">
        <f>opex_orig!H107</f>
        <v>2.4599999999999998E-10</v>
      </c>
      <c r="I107" s="188">
        <f>opex_orig!I107</f>
        <v>1.62E-9</v>
      </c>
      <c r="J107" s="188">
        <f>opex_orig!J107</f>
        <v>4.9E-9</v>
      </c>
      <c r="K107" s="188">
        <f>opex_orig!K107</f>
        <v>4.6900000000000003E-10</v>
      </c>
      <c r="L107" s="188">
        <f>opex_orig!L107</f>
        <v>1.08E-9</v>
      </c>
      <c r="M107" s="188">
        <f>opex_orig!M107</f>
        <v>2.6299999999999998E-9</v>
      </c>
      <c r="N107" s="188">
        <f>opex_orig!N107</f>
        <v>1.5300000000000001E-9</v>
      </c>
      <c r="O107" s="188">
        <f>opex_orig!O107</f>
        <v>2.9499999999999999E-9</v>
      </c>
      <c r="P107" s="188">
        <f>opex_orig!P107</f>
        <v>2.4699999999999999E-9</v>
      </c>
      <c r="Q107" s="188">
        <f>opex_orig!Q107</f>
        <v>2.3600000000000001E-10</v>
      </c>
      <c r="R107" s="188">
        <f>opex_orig!R107</f>
        <v>1.37E-9</v>
      </c>
      <c r="S107" s="188">
        <f>opex_orig!S107</f>
        <v>1.15E-9</v>
      </c>
      <c r="T107" s="188">
        <f>opex_orig!T107</f>
        <v>1.4800000000000001E-9</v>
      </c>
      <c r="U107" s="188">
        <f>opex_orig!U107</f>
        <v>4.0899999999999997E-9</v>
      </c>
      <c r="V107" s="188">
        <f>opex_orig!V107</f>
        <v>5.8699999999999998E-9</v>
      </c>
      <c r="W107" s="188">
        <f>opex_orig!W107</f>
        <v>1.1599999999999999E-9</v>
      </c>
      <c r="X107" s="188">
        <f>opex_orig!X107</f>
        <v>8.7399999999999998E-10</v>
      </c>
      <c r="Y107" s="188">
        <f>opex_orig!Y107</f>
        <v>4.9600000000000004E-10</v>
      </c>
      <c r="Z107" s="188">
        <f>opex_orig!Z107</f>
        <v>2.8699999999999998E-9</v>
      </c>
      <c r="AA107" s="188">
        <f>opex_orig!AA107</f>
        <v>2.9600000000000001E-9</v>
      </c>
      <c r="AB107" s="273">
        <f>opex_concordance!M173</f>
        <v>1.51912372898467E-9</v>
      </c>
      <c r="AC107" s="273">
        <f>opex_concordance!M218</f>
        <v>4.5900502066422248E-8</v>
      </c>
      <c r="AD107" s="273">
        <f>opex_concordance!M263</f>
        <v>4.0945113755617446E-8</v>
      </c>
      <c r="AE107" s="188">
        <f>opex_orig!$AC107</f>
        <v>2.1970401333417899E-9</v>
      </c>
      <c r="AF107" s="273">
        <f>opex_concordance!M305</f>
        <v>1.9287146365628901E-9</v>
      </c>
      <c r="AG107" s="273">
        <f>opex_concordance!M341</f>
        <v>4.7559767753659275E-10</v>
      </c>
      <c r="AH107" s="273">
        <f>opex_concordance!M377</f>
        <v>5.751199629280834E-10</v>
      </c>
      <c r="AI107" s="188">
        <f>opex_orig!AE107</f>
        <v>1.8199999999999999E-9</v>
      </c>
      <c r="AJ107" s="188">
        <f>opex_orig!AF107</f>
        <v>4.0300000000000004E-9</v>
      </c>
      <c r="AK107" s="188">
        <f>opex_orig!AG107</f>
        <v>2.0099999999999999E-9</v>
      </c>
      <c r="AL107" s="188">
        <f>opex_orig!AH107</f>
        <v>8.67E-10</v>
      </c>
      <c r="AM107" s="188">
        <f>opex_orig!AI107</f>
        <v>1.79E-9</v>
      </c>
      <c r="AN107" s="188">
        <f>opex_orig!AJ107</f>
        <v>4.7400000000000002E-10</v>
      </c>
      <c r="AO107" s="188">
        <f>opex_orig!AK107</f>
        <v>1.0399999999999999E-9</v>
      </c>
      <c r="AP107" s="273">
        <f>opex_concordance!M415</f>
        <v>8.8864751107379086E-10</v>
      </c>
      <c r="AQ107" s="273">
        <f>opex_concordance!M469</f>
        <v>1.1815936982068176E-9</v>
      </c>
      <c r="AR107" s="273">
        <f>opex_concordance!M523</f>
        <v>2.4301040270177646E-9</v>
      </c>
      <c r="AS107" s="188">
        <f>opex_orig!$AM107</f>
        <v>9.6369735256330706E-10</v>
      </c>
      <c r="AT107" s="188">
        <f>opex_orig!AN107</f>
        <v>9.8100000000000002E-10</v>
      </c>
      <c r="AU107" s="273">
        <f>opex_concordance!M582</f>
        <v>1.91337258228685E-10</v>
      </c>
      <c r="AV107" s="273">
        <f>opex_concordance!M628</f>
        <v>2.6116875761861751E-9</v>
      </c>
      <c r="AW107" s="273">
        <f>opex_concordance!M674</f>
        <v>2.2657403045040758E-10</v>
      </c>
      <c r="AX107" s="188">
        <f>opex_orig!$AP107</f>
        <v>2.7597077293991601E-10</v>
      </c>
      <c r="AY107" s="188">
        <f>opex_orig!AQ107</f>
        <v>3.1100000000000001E-10</v>
      </c>
      <c r="AZ107" s="188">
        <f>opex_orig!AR107</f>
        <v>0</v>
      </c>
      <c r="BA107" s="188">
        <f>opex_orig!AS107</f>
        <v>3.5700000000000001E-10</v>
      </c>
      <c r="BB107" s="188">
        <f>opex_orig!AT107</f>
        <v>3.4799999999999999E-10</v>
      </c>
      <c r="BC107" s="188">
        <f>opex_orig!AU107</f>
        <v>2.6800000000000001E-10</v>
      </c>
      <c r="BD107" s="188">
        <f>opex_orig!AV107</f>
        <v>2.7099999999999999E-10</v>
      </c>
      <c r="BE107" s="188">
        <f>opex_orig!AW107</f>
        <v>2.32E-10</v>
      </c>
      <c r="BF107" s="188">
        <f>opex_orig!AX107</f>
        <v>0</v>
      </c>
      <c r="BG107" s="188">
        <f>opex_orig!AY107</f>
        <v>4.8999999999999996E-10</v>
      </c>
      <c r="BH107" s="188">
        <f>opex_orig!AZ107</f>
        <v>0</v>
      </c>
      <c r="BI107" s="188">
        <f>opex_orig!BA107</f>
        <v>2.18E-10</v>
      </c>
      <c r="BJ107" s="188">
        <f>opex_orig!BB107</f>
        <v>1.87E-9</v>
      </c>
      <c r="BK107" s="188">
        <f>opex_orig!BC107</f>
        <v>1.2100000000000001E-8</v>
      </c>
      <c r="BL107" s="188">
        <f>opex_orig!BD107</f>
        <v>1.51E-8</v>
      </c>
      <c r="BM107" s="188">
        <f>opex_orig!BE107</f>
        <v>1.8299999999999998E-8</v>
      </c>
      <c r="BN107" s="188">
        <f>opex_orig!BF107</f>
        <v>2.2699999999999998E-9</v>
      </c>
      <c r="BO107" s="188">
        <f>opex_orig!BG107</f>
        <v>1.9599999999999998E-9</v>
      </c>
      <c r="BP107" s="188">
        <f>opex_orig!$BH107</f>
        <v>7.5692860948222299E-9</v>
      </c>
      <c r="BQ107" s="188">
        <f>opex_orig!$BH107</f>
        <v>7.5692860948222299E-9</v>
      </c>
      <c r="BR107" s="188">
        <f>opex_orig!BI107</f>
        <v>3.84E-9</v>
      </c>
      <c r="BS107" s="188">
        <f>opex_orig!BJ107</f>
        <v>1.2E-9</v>
      </c>
      <c r="BT107" s="188">
        <f>opex_orig!BK107</f>
        <v>2.3400000000000002E-10</v>
      </c>
      <c r="BU107" s="188">
        <f>opex_orig!BL107</f>
        <v>0</v>
      </c>
      <c r="BV107" s="27">
        <f>opex_orig!BM107</f>
        <v>4.8692393645159699E-9</v>
      </c>
      <c r="BW107" s="27">
        <f>opex_orig!BN107</f>
        <v>1.22609455796522E-8</v>
      </c>
      <c r="BX107" s="27">
        <f>opex_orig!BO107</f>
        <v>1.82969134166997E-9</v>
      </c>
      <c r="BY107" s="27">
        <f>opex_orig!BP107</f>
        <v>2.27318835464568E-9</v>
      </c>
      <c r="BZ107" s="27">
        <f>opex_orig!BQ107</f>
        <v>2.2417184298853799E-9</v>
      </c>
      <c r="CA107" s="27">
        <f>opex_orig!BR107</f>
        <v>2.39072984269333E-9</v>
      </c>
      <c r="CB107" s="27">
        <f>opex_orig!BS107</f>
        <v>6.5884949058357697E-9</v>
      </c>
      <c r="CC107" s="27">
        <f>opex_orig!BT107</f>
        <v>2.0923102705572401E-9</v>
      </c>
      <c r="CD107" s="27">
        <f>opex_orig!BU107</f>
        <v>2.4067358790456902E-9</v>
      </c>
      <c r="CE107" s="27">
        <f>opex_orig!BV107</f>
        <v>2.4067358790457001E-9</v>
      </c>
      <c r="CF107" s="27">
        <f>opex_orig!BW107</f>
        <v>5.7112957158898599E-7</v>
      </c>
      <c r="CG107" s="27">
        <f>opex_orig!BX107</f>
        <v>7.0842074222433996E-10</v>
      </c>
      <c r="CH107" s="27">
        <f>opex_orig!BY107</f>
        <v>2.3971334822999999E-10</v>
      </c>
      <c r="CI107" s="27">
        <f>opex_orig!Y107</f>
        <v>4.9600000000000004E-10</v>
      </c>
      <c r="CJ107" s="27">
        <f>opex_orig!Z107</f>
        <v>2.8699999999999998E-9</v>
      </c>
      <c r="CK107" s="27">
        <f>opex_orig!AA107</f>
        <v>2.9600000000000001E-9</v>
      </c>
      <c r="CL107" s="27">
        <f>opex_orig!AB107</f>
        <v>1.51912372898467E-9</v>
      </c>
      <c r="CM107" s="27">
        <f>opex_orig!AC107</f>
        <v>2.1970401333417899E-9</v>
      </c>
      <c r="CN107" s="27">
        <f>opex_orig!AD107</f>
        <v>1.9287146365628901E-9</v>
      </c>
      <c r="CO107" s="27">
        <f>opex_orig!AE107</f>
        <v>1.8199999999999999E-9</v>
      </c>
      <c r="CP107" s="27">
        <f>opex_orig!AF107</f>
        <v>4.0300000000000004E-9</v>
      </c>
    </row>
    <row r="108" spans="1:94" x14ac:dyDescent="0.25">
      <c r="A108" s="5" t="s">
        <v>16</v>
      </c>
      <c r="B108" s="2" t="s">
        <v>17</v>
      </c>
      <c r="C108" s="1" t="s">
        <v>330</v>
      </c>
      <c r="D108" s="188">
        <f>opex_orig!D108</f>
        <v>5.17E-11</v>
      </c>
      <c r="E108" s="188">
        <f>opex_orig!E108</f>
        <v>6.4199999999999995E-11</v>
      </c>
      <c r="F108" s="188">
        <f>opex_orig!F108</f>
        <v>1.7199999999999999E-11</v>
      </c>
      <c r="G108" s="188">
        <f>opex_orig!G108</f>
        <v>9.6199999999999998E-12</v>
      </c>
      <c r="H108" s="188">
        <f>opex_orig!H108</f>
        <v>1.1300000000000001E-11</v>
      </c>
      <c r="I108" s="188">
        <f>opex_orig!I108</f>
        <v>1.5100000000000001E-11</v>
      </c>
      <c r="J108" s="188">
        <f>opex_orig!J108</f>
        <v>6.6099999999999997E-11</v>
      </c>
      <c r="K108" s="188">
        <f>opex_orig!K108</f>
        <v>2.92E-11</v>
      </c>
      <c r="L108" s="188">
        <f>opex_orig!L108</f>
        <v>1.1100000000000001E-11</v>
      </c>
      <c r="M108" s="188">
        <f>opex_orig!M108</f>
        <v>3.0499999999999998E-11</v>
      </c>
      <c r="N108" s="188">
        <f>opex_orig!N108</f>
        <v>3.6399999999999998E-10</v>
      </c>
      <c r="O108" s="188">
        <f>opex_orig!O108</f>
        <v>8.3999999999999994E-11</v>
      </c>
      <c r="P108" s="188">
        <f>opex_orig!P108</f>
        <v>1.8900000000000001E-11</v>
      </c>
      <c r="Q108" s="188">
        <f>opex_orig!Q108</f>
        <v>7.2299999999999997E-12</v>
      </c>
      <c r="R108" s="188">
        <f>opex_orig!R108</f>
        <v>1.1200000000000001E-11</v>
      </c>
      <c r="S108" s="188">
        <f>opex_orig!S108</f>
        <v>1.7300000000000001E-11</v>
      </c>
      <c r="T108" s="188">
        <f>opex_orig!T108</f>
        <v>5.21E-11</v>
      </c>
      <c r="U108" s="188">
        <f>opex_orig!U108</f>
        <v>9.3199999999999999E-11</v>
      </c>
      <c r="V108" s="188">
        <f>opex_orig!V108</f>
        <v>2.17E-10</v>
      </c>
      <c r="W108" s="188">
        <f>opex_orig!W108</f>
        <v>2.4200000000000001E-11</v>
      </c>
      <c r="X108" s="188">
        <f>opex_orig!X108</f>
        <v>1.7500000000000001E-11</v>
      </c>
      <c r="Y108" s="188">
        <f>opex_orig!Y108</f>
        <v>2.17E-11</v>
      </c>
      <c r="Z108" s="188">
        <f>opex_orig!Z108</f>
        <v>2.3000000000000001E-11</v>
      </c>
      <c r="AA108" s="188">
        <f>opex_orig!AA108</f>
        <v>9.0999999999999996E-11</v>
      </c>
      <c r="AB108" s="273">
        <f>opex_concordance!M174</f>
        <v>9.9952413843299992E-10</v>
      </c>
      <c r="AC108" s="273">
        <f>opex_concordance!M219</f>
        <v>3.0200739351393411E-8</v>
      </c>
      <c r="AD108" s="273">
        <f>opex_concordance!M264</f>
        <v>2.6940287198974889E-8</v>
      </c>
      <c r="AE108" s="188">
        <f>opex_orig!$AC108</f>
        <v>1.19199716888E-9</v>
      </c>
      <c r="AF108" s="273">
        <f>opex_concordance!M306</f>
        <v>3.1313078810900002E-10</v>
      </c>
      <c r="AG108" s="273">
        <f>opex_concordance!M342</f>
        <v>7.7214261128456634E-11</v>
      </c>
      <c r="AH108" s="273">
        <f>opex_concordance!M378</f>
        <v>9.3371908853151627E-11</v>
      </c>
      <c r="AI108" s="188">
        <f>opex_orig!AE108</f>
        <v>1.88E-10</v>
      </c>
      <c r="AJ108" s="188">
        <f>opex_orig!AF108</f>
        <v>1.37E-11</v>
      </c>
      <c r="AK108" s="188">
        <f>opex_orig!AG108</f>
        <v>5.88E-12</v>
      </c>
      <c r="AL108" s="188">
        <f>opex_orig!AH108</f>
        <v>2.1399999999999998E-11</v>
      </c>
      <c r="AM108" s="188">
        <f>opex_orig!AI108</f>
        <v>5.1500000000000003E-11</v>
      </c>
      <c r="AN108" s="188">
        <f>opex_orig!AJ108</f>
        <v>5.2400000000000001E-11</v>
      </c>
      <c r="AO108" s="188">
        <f>opex_orig!AK108</f>
        <v>8.8200000000000003E-11</v>
      </c>
      <c r="AP108" s="273">
        <f>opex_concordance!M416</f>
        <v>5.5549515684600003E-11</v>
      </c>
      <c r="AQ108" s="273">
        <f>opex_concordance!M470</f>
        <v>7.3861634510236994E-11</v>
      </c>
      <c r="AR108" s="273">
        <f>opex_concordance!M524</f>
        <v>1.5190623963028645E-10</v>
      </c>
      <c r="AS108" s="188">
        <f>opex_orig!$AM108</f>
        <v>7.9924600161099899E-11</v>
      </c>
      <c r="AT108" s="188">
        <f>opex_orig!AN108</f>
        <v>5.1600000000000001E-11</v>
      </c>
      <c r="AU108" s="273">
        <f>opex_concordance!M583</f>
        <v>2.1652850795599999E-11</v>
      </c>
      <c r="AV108" s="273">
        <f>opex_concordance!M629</f>
        <v>2.9555394456574003E-10</v>
      </c>
      <c r="AW108" s="273">
        <f>opex_concordance!M675</f>
        <v>2.5640451425497174E-11</v>
      </c>
      <c r="AX108" s="188">
        <f>opex_orig!$AP108</f>
        <v>8.1055261112500105E-11</v>
      </c>
      <c r="AY108" s="188">
        <f>opex_orig!AQ108</f>
        <v>1.06E-10</v>
      </c>
      <c r="AZ108" s="188">
        <f>opex_orig!AR108</f>
        <v>0</v>
      </c>
      <c r="BA108" s="188">
        <f>opex_orig!AS108</f>
        <v>7.8000000000000002E-11</v>
      </c>
      <c r="BB108" s="188">
        <f>opex_orig!AT108</f>
        <v>3.5199999999999999E-11</v>
      </c>
      <c r="BC108" s="188">
        <f>opex_orig!AU108</f>
        <v>1.34E-10</v>
      </c>
      <c r="BD108" s="188">
        <f>opex_orig!AV108</f>
        <v>6.6300000000000006E-11</v>
      </c>
      <c r="BE108" s="188">
        <f>opex_orig!AW108</f>
        <v>8.9399999999999996E-11</v>
      </c>
      <c r="BF108" s="188">
        <f>opex_orig!AX108</f>
        <v>0</v>
      </c>
      <c r="BG108" s="188">
        <f>opex_orig!AY108</f>
        <v>5.5200000000000001E-11</v>
      </c>
      <c r="BH108" s="188">
        <f>opex_orig!AZ108</f>
        <v>0</v>
      </c>
      <c r="BI108" s="188">
        <f>opex_orig!BA108</f>
        <v>1.7700000000000001E-11</v>
      </c>
      <c r="BJ108" s="188">
        <f>opex_orig!BB108</f>
        <v>4.9400000000000004E-12</v>
      </c>
      <c r="BK108" s="188">
        <f>opex_orig!BC108</f>
        <v>6.03E-12</v>
      </c>
      <c r="BL108" s="188">
        <f>opex_orig!BD108</f>
        <v>2.9500000000000002E-11</v>
      </c>
      <c r="BM108" s="188">
        <f>opex_orig!BE108</f>
        <v>6.2699999999999997E-12</v>
      </c>
      <c r="BN108" s="188">
        <f>opex_orig!BF108</f>
        <v>5.6400000000000002E-12</v>
      </c>
      <c r="BO108" s="188">
        <f>opex_orig!BG108</f>
        <v>2.1399999999999998E-11</v>
      </c>
      <c r="BP108" s="188">
        <f>opex_orig!$BH108</f>
        <v>4.16621556622001E-12</v>
      </c>
      <c r="BQ108" s="188">
        <f>opex_orig!$BH108</f>
        <v>4.16621556622001E-12</v>
      </c>
      <c r="BR108" s="188">
        <f>opex_orig!BI108</f>
        <v>1.8399999999999999E-11</v>
      </c>
      <c r="BS108" s="188">
        <f>opex_orig!BJ108</f>
        <v>1.2100000000000001E-11</v>
      </c>
      <c r="BT108" s="188">
        <f>opex_orig!BK108</f>
        <v>3.83E-11</v>
      </c>
      <c r="BU108" s="188">
        <f>opex_orig!BL108</f>
        <v>0</v>
      </c>
      <c r="BV108" s="27">
        <f>opex_orig!BM108</f>
        <v>1.9716718901899999E-11</v>
      </c>
      <c r="BW108" s="27">
        <f>opex_orig!BN108</f>
        <v>4.1727841845300002E-10</v>
      </c>
      <c r="BX108" s="27">
        <f>opex_orig!BO108</f>
        <v>3.0198870579599998E-11</v>
      </c>
      <c r="BY108" s="27">
        <f>opex_orig!BP108</f>
        <v>3.9571996026199998E-10</v>
      </c>
      <c r="BZ108" s="27">
        <f>opex_orig!BQ108</f>
        <v>1.4036476238700001E-10</v>
      </c>
      <c r="CA108" s="27">
        <f>opex_orig!BR108</f>
        <v>7.8746353926700099E-12</v>
      </c>
      <c r="CB108" s="27">
        <f>opex_orig!BS108</f>
        <v>2.8371055136199999E-10</v>
      </c>
      <c r="CC108" s="27">
        <f>opex_orig!BT108</f>
        <v>1.1285629620000001E-11</v>
      </c>
      <c r="CD108" s="27">
        <f>opex_orig!BU108</f>
        <v>3.7688175598400003E-12</v>
      </c>
      <c r="CE108" s="27">
        <f>opex_orig!BV108</f>
        <v>3.76881755984001E-12</v>
      </c>
      <c r="CF108" s="27">
        <f>opex_orig!BW108</f>
        <v>1.4882192841399999E-11</v>
      </c>
      <c r="CG108" s="27">
        <f>opex_orig!BX108</f>
        <v>4.9783048631700004E-13</v>
      </c>
      <c r="CH108" s="27">
        <f>opex_orig!BY108</f>
        <v>2.33142580246E-9</v>
      </c>
      <c r="CI108" s="27">
        <f>opex_orig!Y108</f>
        <v>2.17E-11</v>
      </c>
      <c r="CJ108" s="27">
        <f>opex_orig!Z108</f>
        <v>2.3000000000000001E-11</v>
      </c>
      <c r="CK108" s="27">
        <f>opex_orig!AA108</f>
        <v>9.0999999999999996E-11</v>
      </c>
      <c r="CL108" s="27">
        <f>opex_orig!AB108</f>
        <v>9.9952413843299992E-10</v>
      </c>
      <c r="CM108" s="27">
        <f>opex_orig!AC108</f>
        <v>1.19199716888E-9</v>
      </c>
      <c r="CN108" s="27">
        <f>opex_orig!AD108</f>
        <v>3.1313078810900002E-10</v>
      </c>
      <c r="CO108" s="27">
        <f>opex_orig!AE108</f>
        <v>1.88E-10</v>
      </c>
      <c r="CP108" s="27">
        <f>opex_orig!AF108</f>
        <v>1.37E-11</v>
      </c>
    </row>
    <row r="109" spans="1:94" x14ac:dyDescent="0.25">
      <c r="A109" s="5" t="s">
        <v>18</v>
      </c>
      <c r="B109" s="2" t="s">
        <v>19</v>
      </c>
      <c r="C109" s="1" t="s">
        <v>330</v>
      </c>
      <c r="D109" s="188">
        <f>opex_orig!D109</f>
        <v>8.0099999999999996E-8</v>
      </c>
      <c r="E109" s="188">
        <f>opex_orig!E109</f>
        <v>2.3499999999999999E-8</v>
      </c>
      <c r="F109" s="188">
        <f>opex_orig!F109</f>
        <v>1.9000000000000001E-8</v>
      </c>
      <c r="G109" s="188">
        <f>opex_orig!G109</f>
        <v>2.76E-9</v>
      </c>
      <c r="H109" s="188">
        <f>opex_orig!H109</f>
        <v>5.1799999999999999E-9</v>
      </c>
      <c r="I109" s="188">
        <f>opex_orig!I109</f>
        <v>3.2700000000000002E-8</v>
      </c>
      <c r="J109" s="188">
        <f>opex_orig!J109</f>
        <v>3.8500000000000001E-8</v>
      </c>
      <c r="K109" s="188">
        <f>opex_orig!K109</f>
        <v>6.82E-9</v>
      </c>
      <c r="L109" s="188">
        <f>opex_orig!L109</f>
        <v>5.32E-8</v>
      </c>
      <c r="M109" s="188">
        <f>opex_orig!M109</f>
        <v>1.8300000000000001E-7</v>
      </c>
      <c r="N109" s="188">
        <f>opex_orig!N109</f>
        <v>1.1300000000000001E-7</v>
      </c>
      <c r="O109" s="188">
        <f>opex_orig!O109</f>
        <v>5.4599999999999999E-8</v>
      </c>
      <c r="P109" s="188">
        <f>opex_orig!P109</f>
        <v>1.8E-7</v>
      </c>
      <c r="Q109" s="188">
        <f>opex_orig!Q109</f>
        <v>1.1300000000000001E-7</v>
      </c>
      <c r="R109" s="188">
        <f>opex_orig!R109</f>
        <v>1.4000000000000001E-7</v>
      </c>
      <c r="S109" s="188">
        <f>opex_orig!S109</f>
        <v>8.5300000000000003E-8</v>
      </c>
      <c r="T109" s="188">
        <f>opex_orig!T109</f>
        <v>9.0800000000000006E-8</v>
      </c>
      <c r="U109" s="188">
        <f>opex_orig!U109</f>
        <v>1.2200000000000001E-7</v>
      </c>
      <c r="V109" s="188">
        <f>opex_orig!V109</f>
        <v>1.54E-7</v>
      </c>
      <c r="W109" s="188">
        <f>opex_orig!W109</f>
        <v>1.11E-7</v>
      </c>
      <c r="X109" s="188">
        <f>opex_orig!X109</f>
        <v>2.6300000000000001E-8</v>
      </c>
      <c r="Y109" s="188">
        <f>opex_orig!Y109</f>
        <v>1.59E-8</v>
      </c>
      <c r="Z109" s="188">
        <f>opex_orig!Z109</f>
        <v>6.9899999999999997E-8</v>
      </c>
      <c r="AA109" s="188">
        <f>opex_orig!AA109</f>
        <v>8.0200000000000003E-8</v>
      </c>
      <c r="AB109" s="273">
        <f>opex_concordance!M175</f>
        <v>1.11890862601421E-7</v>
      </c>
      <c r="AC109" s="273">
        <f>opex_concordance!M220</f>
        <v>3.3807955679047388E-6</v>
      </c>
      <c r="AD109" s="273">
        <f>opex_concordance!M265</f>
        <v>3.0158070801062296E-6</v>
      </c>
      <c r="AE109" s="188">
        <f>opex_orig!$AC109</f>
        <v>1.55986072982575E-7</v>
      </c>
      <c r="AF109" s="273">
        <f>opex_concordance!M307</f>
        <v>5.5313346936039598E-8</v>
      </c>
      <c r="AG109" s="273">
        <f>opex_concordance!M343</f>
        <v>1.3639601650162746E-8</v>
      </c>
      <c r="AH109" s="273">
        <f>opex_concordance!M379</f>
        <v>1.6493787850324127E-8</v>
      </c>
      <c r="AI109" s="188">
        <f>opex_orig!AE109</f>
        <v>4.3900000000000003E-8</v>
      </c>
      <c r="AJ109" s="188">
        <f>opex_orig!AF109</f>
        <v>3.9200000000000002E-7</v>
      </c>
      <c r="AK109" s="188">
        <f>opex_orig!AG109</f>
        <v>2.4900000000000002E-7</v>
      </c>
      <c r="AL109" s="188">
        <f>opex_orig!AH109</f>
        <v>1.29E-7</v>
      </c>
      <c r="AM109" s="188">
        <f>opex_orig!AI109</f>
        <v>2.1E-7</v>
      </c>
      <c r="AN109" s="188">
        <f>opex_orig!AJ109</f>
        <v>1.2800000000000001E-7</v>
      </c>
      <c r="AO109" s="188">
        <f>opex_orig!AK109</f>
        <v>1.48E-7</v>
      </c>
      <c r="AP109" s="273">
        <f>opex_concordance!M417</f>
        <v>1.01749429181875E-7</v>
      </c>
      <c r="AQ109" s="273">
        <f>opex_concordance!M471</f>
        <v>1.3529153327866698E-7</v>
      </c>
      <c r="AR109" s="273">
        <f>opex_concordance!M525</f>
        <v>2.7824496723437211E-7</v>
      </c>
      <c r="AS109" s="188">
        <f>opex_orig!$AM109</f>
        <v>1.08724494505503E-7</v>
      </c>
      <c r="AT109" s="188">
        <f>opex_orig!AN109</f>
        <v>1.5099999999999999E-7</v>
      </c>
      <c r="AU109" s="273">
        <f>opex_concordance!M584</f>
        <v>6.7931192020269998E-8</v>
      </c>
      <c r="AV109" s="273">
        <f>opex_concordance!M630</f>
        <v>9.272373393310116E-7</v>
      </c>
      <c r="AW109" s="273">
        <f>opex_concordance!M676</f>
        <v>8.0441436821141194E-8</v>
      </c>
      <c r="AX109" s="188">
        <f>opex_orig!$AP109</f>
        <v>8.1165344025774196E-8</v>
      </c>
      <c r="AY109" s="188">
        <f>opex_orig!AQ109</f>
        <v>8.8300000000000003E-8</v>
      </c>
      <c r="AZ109" s="188">
        <f>opex_orig!AR109</f>
        <v>0</v>
      </c>
      <c r="BA109" s="188">
        <f>opex_orig!AS109</f>
        <v>8.5899999999999995E-8</v>
      </c>
      <c r="BB109" s="188">
        <f>opex_orig!AT109</f>
        <v>8.0299999999999998E-8</v>
      </c>
      <c r="BC109" s="188">
        <f>opex_orig!AU109</f>
        <v>2.96E-8</v>
      </c>
      <c r="BD109" s="188">
        <f>opex_orig!AV109</f>
        <v>2.77E-8</v>
      </c>
      <c r="BE109" s="188">
        <f>opex_orig!AW109</f>
        <v>4.1099999999999997E-8</v>
      </c>
      <c r="BF109" s="188">
        <f>opex_orig!AX109</f>
        <v>0</v>
      </c>
      <c r="BG109" s="188">
        <f>opex_orig!AY109</f>
        <v>5.5000000000000003E-8</v>
      </c>
      <c r="BH109" s="188">
        <f>opex_orig!AZ109</f>
        <v>0</v>
      </c>
      <c r="BI109" s="188">
        <f>opex_orig!BA109</f>
        <v>1.05E-7</v>
      </c>
      <c r="BJ109" s="188">
        <f>opex_orig!BB109</f>
        <v>2.84E-7</v>
      </c>
      <c r="BK109" s="188">
        <f>opex_orig!BC109</f>
        <v>1.22E-6</v>
      </c>
      <c r="BL109" s="188">
        <f>opex_orig!BD109</f>
        <v>1.66E-6</v>
      </c>
      <c r="BM109" s="188">
        <f>opex_orig!BE109</f>
        <v>1.9E-6</v>
      </c>
      <c r="BN109" s="188">
        <f>opex_orig!BF109</f>
        <v>3.3700000000000001E-7</v>
      </c>
      <c r="BO109" s="188">
        <f>opex_orig!BG109</f>
        <v>2.41E-7</v>
      </c>
      <c r="BP109" s="188">
        <f>opex_orig!$BH109</f>
        <v>9.1657257804976497E-7</v>
      </c>
      <c r="BQ109" s="188">
        <f>opex_orig!$BH109</f>
        <v>9.1657257804976497E-7</v>
      </c>
      <c r="BR109" s="188">
        <f>opex_orig!BI109</f>
        <v>4.7999999999999996E-7</v>
      </c>
      <c r="BS109" s="188">
        <f>opex_orig!BJ109</f>
        <v>4.3300000000000003E-7</v>
      </c>
      <c r="BT109" s="188">
        <f>opex_orig!BK109</f>
        <v>2.3800000000000001E-8</v>
      </c>
      <c r="BU109" s="188">
        <f>opex_orig!BL109</f>
        <v>0</v>
      </c>
      <c r="BV109" s="27">
        <f>opex_orig!BM109</f>
        <v>3.1697177889978902E-7</v>
      </c>
      <c r="BW109" s="27">
        <f>opex_orig!BN109</f>
        <v>1.12652743857778E-6</v>
      </c>
      <c r="BX109" s="27">
        <f>opex_orig!BO109</f>
        <v>1.2218494877673401E-7</v>
      </c>
      <c r="BY109" s="27">
        <f>opex_orig!BP109</f>
        <v>1.2746094004728601E-7</v>
      </c>
      <c r="BZ109" s="27">
        <f>opex_orig!BQ109</f>
        <v>1.8885193587374199E-7</v>
      </c>
      <c r="CA109" s="27">
        <f>opex_orig!BR109</f>
        <v>2.6386051629361E-7</v>
      </c>
      <c r="CB109" s="27">
        <f>opex_orig!BS109</f>
        <v>5.4827016606244495E-7</v>
      </c>
      <c r="CC109" s="27">
        <f>opex_orig!BT109</f>
        <v>2.6735876804137799E-7</v>
      </c>
      <c r="CD109" s="27">
        <f>opex_orig!BU109</f>
        <v>1.07342421215263E-7</v>
      </c>
      <c r="CE109" s="27">
        <f>opex_orig!BV109</f>
        <v>1.07342421215264E-7</v>
      </c>
      <c r="CF109" s="27">
        <f>opex_orig!BW109</f>
        <v>2.94031428437894E-7</v>
      </c>
      <c r="CG109" s="27">
        <f>opex_orig!BX109</f>
        <v>2.3577408212464302E-9</v>
      </c>
      <c r="CH109" s="27">
        <f>opex_orig!BY109</f>
        <v>1.5989544305676501E-7</v>
      </c>
      <c r="CI109" s="27">
        <f>opex_orig!Y109</f>
        <v>1.59E-8</v>
      </c>
      <c r="CJ109" s="27">
        <f>opex_orig!Z109</f>
        <v>6.9899999999999997E-8</v>
      </c>
      <c r="CK109" s="27">
        <f>opex_orig!AA109</f>
        <v>8.0200000000000003E-8</v>
      </c>
      <c r="CL109" s="27">
        <f>opex_orig!AB109</f>
        <v>1.11890862601421E-7</v>
      </c>
      <c r="CM109" s="27">
        <f>opex_orig!AC109</f>
        <v>1.55986072982575E-7</v>
      </c>
      <c r="CN109" s="27">
        <f>opex_orig!AD109</f>
        <v>5.5313346936039598E-8</v>
      </c>
      <c r="CO109" s="27">
        <f>opex_orig!AE109</f>
        <v>4.3900000000000003E-8</v>
      </c>
      <c r="CP109" s="27">
        <f>opex_orig!AF109</f>
        <v>3.9200000000000002E-7</v>
      </c>
    </row>
    <row r="110" spans="1:94" x14ac:dyDescent="0.25">
      <c r="A110" s="5" t="s">
        <v>20</v>
      </c>
      <c r="B110" s="2" t="s">
        <v>21</v>
      </c>
      <c r="C110" s="1" t="s">
        <v>330</v>
      </c>
      <c r="D110" s="188">
        <f>opex_orig!D110</f>
        <v>7.47E-5</v>
      </c>
      <c r="E110" s="188">
        <f>opex_orig!E110</f>
        <v>1.237E-4</v>
      </c>
      <c r="F110" s="188">
        <f>opex_orig!F110</f>
        <v>6.9900000000000005E-5</v>
      </c>
      <c r="G110" s="188">
        <f>opex_orig!G110</f>
        <v>9.2499999999999995E-6</v>
      </c>
      <c r="H110" s="188">
        <f>opex_orig!H110</f>
        <v>2.1699999999999999E-5</v>
      </c>
      <c r="I110" s="188">
        <f>opex_orig!I110</f>
        <v>3.92459E-4</v>
      </c>
      <c r="J110" s="188">
        <f>opex_orig!J110</f>
        <v>1.6085940000000001E-3</v>
      </c>
      <c r="K110" s="188">
        <f>opex_orig!K110</f>
        <v>2.94E-5</v>
      </c>
      <c r="L110" s="188">
        <f>opex_orig!L110</f>
        <v>1.48665E-4</v>
      </c>
      <c r="M110" s="188">
        <f>opex_orig!M110</f>
        <v>5.2787999999999999E-4</v>
      </c>
      <c r="N110" s="188">
        <f>opex_orig!N110</f>
        <v>2.2237599999999999E-4</v>
      </c>
      <c r="O110" s="188">
        <f>opex_orig!O110</f>
        <v>1.45823E-4</v>
      </c>
      <c r="P110" s="188">
        <f>opex_orig!P110</f>
        <v>1.127372E-3</v>
      </c>
      <c r="Q110" s="188">
        <f>opex_orig!Q110</f>
        <v>1.11958E-3</v>
      </c>
      <c r="R110" s="188">
        <f>opex_orig!R110</f>
        <v>5.1400000000000003E-5</v>
      </c>
      <c r="S110" s="188">
        <f>opex_orig!S110</f>
        <v>5.6357300000000005E-4</v>
      </c>
      <c r="T110" s="188">
        <f>opex_orig!T110</f>
        <v>5.7643199999999999E-4</v>
      </c>
      <c r="U110" s="188">
        <f>opex_orig!U110</f>
        <v>2.0223179999999999E-3</v>
      </c>
      <c r="V110" s="188">
        <f>opex_orig!V110</f>
        <v>9.9512699999999995E-4</v>
      </c>
      <c r="W110" s="188">
        <f>opex_orig!W110</f>
        <v>4.5275900000000001E-4</v>
      </c>
      <c r="X110" s="188">
        <f>opex_orig!X110</f>
        <v>2.8200499999999999E-4</v>
      </c>
      <c r="Y110" s="188">
        <f>opex_orig!Y110</f>
        <v>1.231745E-3</v>
      </c>
      <c r="Z110" s="188">
        <f>opex_orig!Z110</f>
        <v>2.6578890000000001E-3</v>
      </c>
      <c r="AA110" s="188">
        <f>opex_orig!AA110</f>
        <v>3.2299999999999999E-5</v>
      </c>
      <c r="AB110" s="273">
        <f>opex_concordance!M176</f>
        <v>1.52739607723571E-5</v>
      </c>
      <c r="AC110" s="273">
        <f>opex_concordance!M221</f>
        <v>4.6150452041362604E-4</v>
      </c>
      <c r="AD110" s="273">
        <f>opex_concordance!M266</f>
        <v>4.1168079294040907E-4</v>
      </c>
      <c r="AE110" s="188">
        <f>opex_orig!$AC110</f>
        <v>1.88059673135003E-4</v>
      </c>
      <c r="AF110" s="273">
        <f>opex_concordance!M308</f>
        <v>3.2757700900063201E-4</v>
      </c>
      <c r="AG110" s="273">
        <f>opex_concordance!M344</f>
        <v>8.0776524293257762E-5</v>
      </c>
      <c r="AH110" s="273">
        <f>opex_concordance!M380</f>
        <v>9.7679601585992757E-5</v>
      </c>
      <c r="AI110" s="188">
        <f>opex_orig!AE110</f>
        <v>3.4021300000000002E-4</v>
      </c>
      <c r="AJ110" s="188">
        <f>opex_orig!AF110</f>
        <v>1.072036E-3</v>
      </c>
      <c r="AK110" s="188">
        <f>opex_orig!AG110</f>
        <v>2.8143899999999997E-4</v>
      </c>
      <c r="AL110" s="188">
        <f>opex_orig!AH110</f>
        <v>1.9071E-4</v>
      </c>
      <c r="AM110" s="188">
        <f>opex_orig!AI110</f>
        <v>4.9223099999999998E-4</v>
      </c>
      <c r="AN110" s="188">
        <f>opex_orig!AJ110</f>
        <v>1.8111900000000001E-4</v>
      </c>
      <c r="AO110" s="188">
        <f>opex_orig!AK110</f>
        <v>2.4269E-4</v>
      </c>
      <c r="AP110" s="273">
        <f>opex_concordance!M418</f>
        <v>6.1772925140870898E-4</v>
      </c>
      <c r="AQ110" s="273">
        <f>opex_concordance!M472</f>
        <v>8.2136615650964891E-4</v>
      </c>
      <c r="AR110" s="273">
        <f>opex_concordance!M526</f>
        <v>1.6892483495971008E-3</v>
      </c>
      <c r="AS110" s="188">
        <f>opex_orig!$AM110</f>
        <v>2.7308135456141403E-4</v>
      </c>
      <c r="AT110" s="188">
        <f>opex_orig!AN110</f>
        <v>8.72747E-4</v>
      </c>
      <c r="AU110" s="273">
        <f>opex_concordance!M585</f>
        <v>1.79797761095058E-4</v>
      </c>
      <c r="AV110" s="273">
        <f>opex_concordance!M631</f>
        <v>2.4541774206716157E-3</v>
      </c>
      <c r="AW110" s="273">
        <f>opex_concordance!M677</f>
        <v>2.1290941332804925E-4</v>
      </c>
      <c r="AX110" s="188">
        <f>opex_orig!$AP110</f>
        <v>7.6828287713527296E-4</v>
      </c>
      <c r="AY110" s="188">
        <f>opex_orig!AQ110</f>
        <v>1.0458699999999999E-4</v>
      </c>
      <c r="AZ110" s="188">
        <f>opex_orig!AR110</f>
        <v>0</v>
      </c>
      <c r="BA110" s="188">
        <f>opex_orig!AS110</f>
        <v>6.4999000000000003E-4</v>
      </c>
      <c r="BB110" s="188">
        <f>opex_orig!AT110</f>
        <v>5.5800000000000001E-5</v>
      </c>
      <c r="BC110" s="188">
        <f>opex_orig!AU110</f>
        <v>2.3E-5</v>
      </c>
      <c r="BD110" s="188">
        <f>opex_orig!AV110</f>
        <v>1.3900000000000001E-5</v>
      </c>
      <c r="BE110" s="188">
        <f>opex_orig!AW110</f>
        <v>9.1199999999999994E-5</v>
      </c>
      <c r="BF110" s="188">
        <f>opex_orig!AX110</f>
        <v>0</v>
      </c>
      <c r="BG110" s="188">
        <f>opex_orig!AY110</f>
        <v>1.7880899999999999E-4</v>
      </c>
      <c r="BH110" s="188">
        <f>opex_orig!AZ110</f>
        <v>0</v>
      </c>
      <c r="BI110" s="188">
        <f>opex_orig!BA110</f>
        <v>5.77E-5</v>
      </c>
      <c r="BJ110" s="188">
        <f>opex_orig!BB110</f>
        <v>3.4972399999999999E-4</v>
      </c>
      <c r="BK110" s="188">
        <f>opex_orig!BC110</f>
        <v>6.0391799999999995E-4</v>
      </c>
      <c r="BL110" s="188">
        <f>opex_orig!BD110</f>
        <v>2.5899999999999999E-5</v>
      </c>
      <c r="BM110" s="188">
        <f>opex_orig!BE110</f>
        <v>3.5506200000000001E-4</v>
      </c>
      <c r="BN110" s="188">
        <f>opex_orig!BF110</f>
        <v>8.8399999999999994E-5</v>
      </c>
      <c r="BO110" s="188">
        <f>opex_orig!BG110</f>
        <v>8.5749700000000003E-4</v>
      </c>
      <c r="BP110" s="188">
        <f>opex_orig!$BH110</f>
        <v>1.1411645579594199E-4</v>
      </c>
      <c r="BQ110" s="188">
        <f>opex_orig!$BH110</f>
        <v>1.1411645579594199E-4</v>
      </c>
      <c r="BR110" s="188">
        <f>opex_orig!BI110</f>
        <v>2.1191299999999999E-4</v>
      </c>
      <c r="BS110" s="188">
        <f>opex_orig!BJ110</f>
        <v>4.2154099999999999E-4</v>
      </c>
      <c r="BT110" s="188">
        <f>opex_orig!BK110</f>
        <v>1.2663600000000001E-4</v>
      </c>
      <c r="BU110" s="188">
        <f>opex_orig!BL110</f>
        <v>0</v>
      </c>
      <c r="BV110" s="27">
        <f>opex_orig!BM110</f>
        <v>1.7832889504628599E-5</v>
      </c>
      <c r="BW110" s="27">
        <f>opex_orig!BN110</f>
        <v>2.3895597228507999E-5</v>
      </c>
      <c r="BX110" s="27">
        <f>opex_orig!BO110</f>
        <v>5.9452985368122303E-6</v>
      </c>
      <c r="BY110" s="27">
        <f>opex_orig!BP110</f>
        <v>1.0161124076629399E-5</v>
      </c>
      <c r="BZ110" s="27">
        <f>opex_orig!BQ110</f>
        <v>1.18767474417279E-5</v>
      </c>
      <c r="CA110" s="27">
        <f>opex_orig!BR110</f>
        <v>1.24404410962687E-5</v>
      </c>
      <c r="CB110" s="27">
        <f>opex_orig!BS110</f>
        <v>2.5880689739453401E-5</v>
      </c>
      <c r="CC110" s="27">
        <f>opex_orig!BT110</f>
        <v>1.6625500076322201E-6</v>
      </c>
      <c r="CD110" s="27">
        <f>opex_orig!BU110</f>
        <v>1.02961418905236E-5</v>
      </c>
      <c r="CE110" s="27">
        <f>opex_orig!BV110</f>
        <v>1.02961418905236E-5</v>
      </c>
      <c r="CF110" s="27">
        <f>opex_orig!BW110</f>
        <v>1.08196469162221E-6</v>
      </c>
      <c r="CG110" s="27">
        <f>opex_orig!BX110</f>
        <v>6.72108376096842E-8</v>
      </c>
      <c r="CH110" s="27">
        <f>opex_orig!BY110</f>
        <v>2.0632615417752799E-7</v>
      </c>
      <c r="CI110" s="27">
        <f>opex_orig!Y110</f>
        <v>1.231745E-3</v>
      </c>
      <c r="CJ110" s="27">
        <f>opex_orig!Z110</f>
        <v>2.6578890000000001E-3</v>
      </c>
      <c r="CK110" s="27">
        <f>opex_orig!AA110</f>
        <v>3.2299999999999999E-5</v>
      </c>
      <c r="CL110" s="27">
        <f>opex_orig!AB110</f>
        <v>1.52739607723571E-5</v>
      </c>
      <c r="CM110" s="27">
        <f>opex_orig!AC110</f>
        <v>1.88059673135003E-4</v>
      </c>
      <c r="CN110" s="27">
        <f>opex_orig!AD110</f>
        <v>3.2757700900063201E-4</v>
      </c>
      <c r="CO110" s="27">
        <f>opex_orig!AE110</f>
        <v>3.4021300000000002E-4</v>
      </c>
      <c r="CP110" s="27">
        <f>opex_orig!AF110</f>
        <v>1.072036E-3</v>
      </c>
    </row>
    <row r="111" spans="1:94" x14ac:dyDescent="0.25">
      <c r="A111" s="5" t="s">
        <v>213</v>
      </c>
      <c r="B111" s="2" t="s">
        <v>212</v>
      </c>
      <c r="C111" s="1" t="s">
        <v>330</v>
      </c>
      <c r="D111" s="188">
        <f>opex_orig!D111</f>
        <v>4.03683E-4</v>
      </c>
      <c r="E111" s="188">
        <f>opex_orig!E111</f>
        <v>6.6686899999999995E-4</v>
      </c>
      <c r="F111" s="188">
        <f>opex_orig!F111</f>
        <v>3.6106099999999998E-4</v>
      </c>
      <c r="G111" s="188">
        <f>opex_orig!G111</f>
        <v>5.0500000000000001E-5</v>
      </c>
      <c r="H111" s="188">
        <f>opex_orig!H111</f>
        <v>1.1563199999999999E-4</v>
      </c>
      <c r="I111" s="188">
        <f>opex_orig!I111</f>
        <v>2.1295490000000001E-3</v>
      </c>
      <c r="J111" s="188">
        <f>opex_orig!J111</f>
        <v>8.7544360000000009E-3</v>
      </c>
      <c r="K111" s="188">
        <f>opex_orig!K111</f>
        <v>1.5998799999999999E-4</v>
      </c>
      <c r="L111" s="188">
        <f>opex_orig!L111</f>
        <v>7.9732000000000002E-4</v>
      </c>
      <c r="M111" s="188">
        <f>opex_orig!M111</f>
        <v>2.8158720000000001E-3</v>
      </c>
      <c r="N111" s="188">
        <f>opex_orig!N111</f>
        <v>1.176702E-3</v>
      </c>
      <c r="O111" s="188">
        <f>opex_orig!O111</f>
        <v>7.5578400000000001E-4</v>
      </c>
      <c r="P111" s="188">
        <f>opex_orig!P111</f>
        <v>6.4618840000000002E-3</v>
      </c>
      <c r="Q111" s="188">
        <f>opex_orig!Q111</f>
        <v>6.5449059999999996E-3</v>
      </c>
      <c r="R111" s="188">
        <f>opex_orig!R111</f>
        <v>2.9455300000000002E-4</v>
      </c>
      <c r="S111" s="188">
        <f>opex_orig!S111</f>
        <v>3.2246660000000002E-3</v>
      </c>
      <c r="T111" s="188">
        <f>opex_orig!T111</f>
        <v>3.2922099999999998E-3</v>
      </c>
      <c r="U111" s="188">
        <f>opex_orig!U111</f>
        <v>1.1383087E-2</v>
      </c>
      <c r="V111" s="188">
        <f>opex_orig!V111</f>
        <v>5.5667659999999999E-3</v>
      </c>
      <c r="W111" s="188">
        <f>opex_orig!W111</f>
        <v>2.5983450000000002E-3</v>
      </c>
      <c r="X111" s="188">
        <f>opex_orig!X111</f>
        <v>1.606421E-3</v>
      </c>
      <c r="Y111" s="188">
        <f>opex_orig!Y111</f>
        <v>4.111824E-3</v>
      </c>
      <c r="Z111" s="188">
        <f>opex_orig!Z111</f>
        <v>8.4395419999999995E-3</v>
      </c>
      <c r="AA111" s="188">
        <f>opex_orig!AA111</f>
        <v>1.6672E-4</v>
      </c>
      <c r="AB111" s="273">
        <f>opex_concordance!M177</f>
        <v>1.0946893180591401E-4</v>
      </c>
      <c r="AC111" s="273">
        <f>opex_concordance!M222</f>
        <v>3.3076166441852062E-3</v>
      </c>
      <c r="AD111" s="273">
        <f>opex_concordance!M267</f>
        <v>2.9505285053343464E-3</v>
      </c>
      <c r="AE111" s="188">
        <f>opex_orig!$AC111</f>
        <v>1.04911341824612E-3</v>
      </c>
      <c r="AF111" s="273">
        <f>opex_concordance!M309</f>
        <v>1.8073528375023801E-3</v>
      </c>
      <c r="AG111" s="273">
        <f>opex_concordance!M345</f>
        <v>4.4567132727168184E-4</v>
      </c>
      <c r="AH111" s="273">
        <f>opex_concordance!M381</f>
        <v>5.3893130543909869E-4</v>
      </c>
      <c r="AI111" s="188">
        <f>opex_orig!AE111</f>
        <v>1.8901790000000001E-3</v>
      </c>
      <c r="AJ111" s="188">
        <f>opex_orig!AF111</f>
        <v>5.8343450000000003E-3</v>
      </c>
      <c r="AK111" s="188">
        <f>opex_orig!AG111</f>
        <v>1.6726709999999999E-3</v>
      </c>
      <c r="AL111" s="188">
        <f>opex_orig!AH111</f>
        <v>1.086942E-3</v>
      </c>
      <c r="AM111" s="188">
        <f>opex_orig!AI111</f>
        <v>2.7953850000000001E-3</v>
      </c>
      <c r="AN111" s="188">
        <f>opex_orig!AJ111</f>
        <v>9.4043499999999999E-4</v>
      </c>
      <c r="AO111" s="188">
        <f>opex_orig!AK111</f>
        <v>1.3741090000000001E-3</v>
      </c>
      <c r="AP111" s="273">
        <f>opex_concordance!M419</f>
        <v>3.5050658144862002E-3</v>
      </c>
      <c r="AQ111" s="273">
        <f>opex_concordance!M473</f>
        <v>4.6605247036506196E-3</v>
      </c>
      <c r="AR111" s="273">
        <f>opex_concordance!M527</f>
        <v>9.5849866731218814E-3</v>
      </c>
      <c r="AS111" s="188">
        <f>opex_orig!$AM111</f>
        <v>1.5447831808711101E-3</v>
      </c>
      <c r="AT111" s="188">
        <f>opex_orig!AN111</f>
        <v>5.0235260000000004E-3</v>
      </c>
      <c r="AU111" s="273">
        <f>opex_concordance!M586</f>
        <v>1.03280880735687E-3</v>
      </c>
      <c r="AV111" s="273">
        <f>opex_concordance!M632</f>
        <v>1.4097483970036377E-2</v>
      </c>
      <c r="AW111" s="273">
        <f>opex_concordance!M678</f>
        <v>1.2230114319284344E-3</v>
      </c>
      <c r="AX111" s="188">
        <f>opex_orig!$AP111</f>
        <v>4.4313708601779597E-3</v>
      </c>
      <c r="AY111" s="188">
        <f>opex_orig!AQ111</f>
        <v>6.0459100000000003E-4</v>
      </c>
      <c r="AZ111" s="188">
        <f>opex_orig!AR111</f>
        <v>0</v>
      </c>
      <c r="BA111" s="188">
        <f>opex_orig!AS111</f>
        <v>3.7804729999999999E-3</v>
      </c>
      <c r="BB111" s="188">
        <f>opex_orig!AT111</f>
        <v>3.1194399999999998E-4</v>
      </c>
      <c r="BC111" s="188">
        <f>opex_orig!AU111</f>
        <v>1.2003899999999999E-4</v>
      </c>
      <c r="BD111" s="188">
        <f>opex_orig!AV111</f>
        <v>6.9599999999999998E-5</v>
      </c>
      <c r="BE111" s="188">
        <f>opex_orig!AW111</f>
        <v>5.3455600000000005E-4</v>
      </c>
      <c r="BF111" s="188">
        <f>opex_orig!AX111</f>
        <v>0</v>
      </c>
      <c r="BG111" s="188">
        <f>opex_orig!AY111</f>
        <v>1.040036E-3</v>
      </c>
      <c r="BH111" s="188">
        <f>opex_orig!AZ111</f>
        <v>0</v>
      </c>
      <c r="BI111" s="188">
        <f>opex_orig!BA111</f>
        <v>3.2786799999999999E-4</v>
      </c>
      <c r="BJ111" s="188">
        <f>opex_orig!BB111</f>
        <v>1.987216E-3</v>
      </c>
      <c r="BK111" s="188">
        <f>opex_orig!BC111</f>
        <v>3.4500529999999998E-3</v>
      </c>
      <c r="BL111" s="188">
        <f>opex_orig!BD111</f>
        <v>1.59968E-4</v>
      </c>
      <c r="BM111" s="188">
        <f>opex_orig!BE111</f>
        <v>2.0435150000000001E-3</v>
      </c>
      <c r="BN111" s="188">
        <f>opex_orig!BF111</f>
        <v>5.01941E-4</v>
      </c>
      <c r="BO111" s="188">
        <f>opex_orig!BG111</f>
        <v>5.1288260000000004E-3</v>
      </c>
      <c r="BP111" s="188">
        <f>opex_orig!$BH111</f>
        <v>6.5341410040488E-4</v>
      </c>
      <c r="BQ111" s="188">
        <f>opex_orig!$BH111</f>
        <v>6.5341410040488E-4</v>
      </c>
      <c r="BR111" s="188">
        <f>opex_orig!BI111</f>
        <v>1.20488E-3</v>
      </c>
      <c r="BS111" s="188">
        <f>opex_orig!BJ111</f>
        <v>2.4994100000000001E-3</v>
      </c>
      <c r="BT111" s="188">
        <f>opex_orig!BK111</f>
        <v>7.2471099999999995E-4</v>
      </c>
      <c r="BU111" s="188">
        <f>opex_orig!BL111</f>
        <v>0</v>
      </c>
      <c r="BV111" s="27">
        <f>opex_orig!BM111</f>
        <v>9.9039112263292099E-5</v>
      </c>
      <c r="BW111" s="27">
        <f>opex_orig!BN111</f>
        <v>1.5132922127386901E-4</v>
      </c>
      <c r="BX111" s="27">
        <f>opex_orig!BO111</f>
        <v>3.37800687937365E-5</v>
      </c>
      <c r="BY111" s="27">
        <f>opex_orig!BP111</f>
        <v>6.2947833430436405E-5</v>
      </c>
      <c r="BZ111" s="27">
        <f>opex_orig!BQ111</f>
        <v>6.7878900421027604E-5</v>
      </c>
      <c r="CA111" s="27">
        <f>opex_orig!BR111</f>
        <v>1.75221660393749E-4</v>
      </c>
      <c r="CB111" s="27">
        <f>opex_orig!BS111</f>
        <v>1.4298951793509601E-4</v>
      </c>
      <c r="CC111" s="27">
        <f>opex_orig!BT111</f>
        <v>1.16678896134579E-4</v>
      </c>
      <c r="CD111" s="27">
        <f>opex_orig!BU111</f>
        <v>5.5396441434879999E-5</v>
      </c>
      <c r="CE111" s="27">
        <f>opex_orig!BV111</f>
        <v>5.5396441434879999E-5</v>
      </c>
      <c r="CF111" s="27">
        <f>opex_orig!BW111</f>
        <v>1.7751860952279799E-5</v>
      </c>
      <c r="CG111" s="27">
        <f>opex_orig!BX111</f>
        <v>7.1795866497410698E-7</v>
      </c>
      <c r="CH111" s="27">
        <f>opex_orig!BY111</f>
        <v>1.20946094627398E-5</v>
      </c>
      <c r="CI111" s="27">
        <f>opex_orig!Y111</f>
        <v>4.111824E-3</v>
      </c>
      <c r="CJ111" s="27">
        <f>opex_orig!Z111</f>
        <v>8.4395419999999995E-3</v>
      </c>
      <c r="CK111" s="27">
        <f>opex_orig!AA111</f>
        <v>1.6672E-4</v>
      </c>
      <c r="CL111" s="27">
        <f>opex_orig!AB111</f>
        <v>1.0946893180591399E-4</v>
      </c>
      <c r="CM111" s="27">
        <f>opex_orig!AC111</f>
        <v>1.04911341824612E-3</v>
      </c>
      <c r="CN111" s="27">
        <f>opex_orig!AD111</f>
        <v>1.8073528375023801E-3</v>
      </c>
      <c r="CO111" s="27">
        <f>opex_orig!AE111</f>
        <v>1.8901790000000001E-3</v>
      </c>
      <c r="CP111" s="27">
        <f>opex_orig!AF111</f>
        <v>5.8343450000000003E-3</v>
      </c>
    </row>
    <row r="112" spans="1:94" x14ac:dyDescent="0.25">
      <c r="A112" s="5" t="s">
        <v>215</v>
      </c>
      <c r="B112" s="2" t="s">
        <v>214</v>
      </c>
      <c r="C112" s="1" t="s">
        <v>330</v>
      </c>
      <c r="D112" s="188">
        <f>opex_orig!D112</f>
        <v>1.251629E-3</v>
      </c>
      <c r="E112" s="188">
        <f>opex_orig!E112</f>
        <v>1.1095289999999999E-3</v>
      </c>
      <c r="F112" s="188">
        <f>opex_orig!F112</f>
        <v>6.1430800000000004E-4</v>
      </c>
      <c r="G112" s="188">
        <f>opex_orig!G112</f>
        <v>1.26329E-4</v>
      </c>
      <c r="H112" s="188">
        <f>opex_orig!H112</f>
        <v>2.2720300000000001E-4</v>
      </c>
      <c r="I112" s="188">
        <f>opex_orig!I112</f>
        <v>3.2797270000000001E-3</v>
      </c>
      <c r="J112" s="188">
        <f>opex_orig!J112</f>
        <v>1.2896919999999999E-2</v>
      </c>
      <c r="K112" s="188">
        <f>opex_orig!K112</f>
        <v>3.9357299999999998E-4</v>
      </c>
      <c r="L112" s="188">
        <f>opex_orig!L112</f>
        <v>1.324422E-3</v>
      </c>
      <c r="M112" s="188">
        <f>opex_orig!M112</f>
        <v>4.2543060000000002E-3</v>
      </c>
      <c r="N112" s="188">
        <f>opex_orig!N112</f>
        <v>1.9904240000000002E-3</v>
      </c>
      <c r="O112" s="188">
        <f>opex_orig!O112</f>
        <v>1.348421E-3</v>
      </c>
      <c r="P112" s="188">
        <f>opex_orig!P112</f>
        <v>8.2302920000000002E-3</v>
      </c>
      <c r="Q112" s="188">
        <f>opex_orig!Q112</f>
        <v>7.0780909999999999E-3</v>
      </c>
      <c r="R112" s="188">
        <f>opex_orig!R112</f>
        <v>6.8190899999999997E-4</v>
      </c>
      <c r="S112" s="188">
        <f>opex_orig!S112</f>
        <v>4.3381310000000003E-3</v>
      </c>
      <c r="T112" s="188">
        <f>opex_orig!T112</f>
        <v>4.5970539999999997E-3</v>
      </c>
      <c r="U112" s="188">
        <f>opex_orig!U112</f>
        <v>1.6765799000000001E-2</v>
      </c>
      <c r="V112" s="188">
        <f>opex_orig!V112</f>
        <v>9.2168879999999995E-3</v>
      </c>
      <c r="W112" s="188">
        <f>opex_orig!W112</f>
        <v>3.421468E-3</v>
      </c>
      <c r="X112" s="188">
        <f>opex_orig!X112</f>
        <v>2.3611439999999999E-3</v>
      </c>
      <c r="Y112" s="188">
        <f>opex_orig!Y112</f>
        <v>4.8482849999999999E-3</v>
      </c>
      <c r="Z112" s="188">
        <f>opex_orig!Z112</f>
        <v>1.0916303E-2</v>
      </c>
      <c r="AA112" s="188">
        <f>opex_orig!AA112</f>
        <v>1.263068E-3</v>
      </c>
      <c r="AB112" s="273">
        <f>opex_concordance!M178</f>
        <v>6.4922659236433795E-4</v>
      </c>
      <c r="AC112" s="273">
        <f>opex_concordance!M223</f>
        <v>1.9616457814343236E-2</v>
      </c>
      <c r="AD112" s="273">
        <f>opex_concordance!M268</f>
        <v>1.7498677803747181E-2</v>
      </c>
      <c r="AE112" s="188">
        <f>opex_orig!$AC112</f>
        <v>2.0785644425696101E-3</v>
      </c>
      <c r="AF112" s="273">
        <f>opex_concordance!M310</f>
        <v>2.7859504172782195E-3</v>
      </c>
      <c r="AG112" s="273">
        <f>opex_concordance!M346</f>
        <v>6.8698164211106628E-4</v>
      </c>
      <c r="AH112" s="273">
        <f>opex_concordance!M382</f>
        <v>8.3073756497221616E-4</v>
      </c>
      <c r="AI112" s="188">
        <f>opex_orig!AE112</f>
        <v>3.0284140000000001E-3</v>
      </c>
      <c r="AJ112" s="188">
        <f>opex_orig!AF112</f>
        <v>7.2417330000000002E-3</v>
      </c>
      <c r="AK112" s="188">
        <f>opex_orig!AG112</f>
        <v>2.140159E-3</v>
      </c>
      <c r="AL112" s="188">
        <f>opex_orig!AH112</f>
        <v>1.6077859999999999E-3</v>
      </c>
      <c r="AM112" s="188">
        <f>opex_orig!AI112</f>
        <v>4.0072609999999998E-3</v>
      </c>
      <c r="AN112" s="188">
        <f>opex_orig!AJ112</f>
        <v>1.883909E-3</v>
      </c>
      <c r="AO112" s="188">
        <f>opex_orig!AK112</f>
        <v>2.140791E-3</v>
      </c>
      <c r="AP112" s="273">
        <f>opex_concordance!M420</f>
        <v>4.9252142432523998E-3</v>
      </c>
      <c r="AQ112" s="273">
        <f>opex_concordance!M474</f>
        <v>6.5488307114183212E-3</v>
      </c>
      <c r="AR112" s="273">
        <f>opex_concordance!M528</f>
        <v>1.3468538219378474E-2</v>
      </c>
      <c r="AS112" s="188">
        <f>opex_orig!$AM112</f>
        <v>2.3577699462270598E-3</v>
      </c>
      <c r="AT112" s="188">
        <f>opex_orig!AN112</f>
        <v>6.4613559999999997E-3</v>
      </c>
      <c r="AU112" s="273">
        <f>opex_concordance!M587</f>
        <v>1.6066188344992999E-3</v>
      </c>
      <c r="AV112" s="273">
        <f>opex_concordance!M633</f>
        <v>2.1929792914213913E-2</v>
      </c>
      <c r="AW112" s="273">
        <f>opex_concordance!M679</f>
        <v>1.9024946218000613E-3</v>
      </c>
      <c r="AX112" s="188">
        <f>opex_orig!$AP112</f>
        <v>5.6783107544196897E-3</v>
      </c>
      <c r="AY112" s="188">
        <f>opex_orig!AQ112</f>
        <v>1.245199E-3</v>
      </c>
      <c r="AZ112" s="188">
        <f>opex_orig!AR112</f>
        <v>0</v>
      </c>
      <c r="BA112" s="188">
        <f>opex_orig!AS112</f>
        <v>5.046376E-3</v>
      </c>
      <c r="BB112" s="188">
        <f>opex_orig!AT112</f>
        <v>9.2462100000000004E-4</v>
      </c>
      <c r="BC112" s="188">
        <f>opex_orig!AU112</f>
        <v>3.7537200000000001E-4</v>
      </c>
      <c r="BD112" s="188">
        <f>opex_orig!AV112</f>
        <v>2.8352500000000002E-4</v>
      </c>
      <c r="BE112" s="188">
        <f>opex_orig!AW112</f>
        <v>1.039299E-3</v>
      </c>
      <c r="BF112" s="188">
        <f>opex_orig!AX112</f>
        <v>0</v>
      </c>
      <c r="BG112" s="188">
        <f>opex_orig!AY112</f>
        <v>1.862612E-3</v>
      </c>
      <c r="BH112" s="188">
        <f>opex_orig!AZ112</f>
        <v>0</v>
      </c>
      <c r="BI112" s="188">
        <f>opex_orig!BA112</f>
        <v>7.02128E-4</v>
      </c>
      <c r="BJ112" s="188">
        <f>opex_orig!BB112</f>
        <v>2.6002360000000001E-3</v>
      </c>
      <c r="BK112" s="188">
        <f>opex_orig!BC112</f>
        <v>4.6053839999999997E-3</v>
      </c>
      <c r="BL112" s="188">
        <f>opex_orig!BD112</f>
        <v>4.72662E-4</v>
      </c>
      <c r="BM112" s="188">
        <f>opex_orig!BE112</f>
        <v>2.967033E-3</v>
      </c>
      <c r="BN112" s="188">
        <f>opex_orig!BF112</f>
        <v>7.2067699999999997E-4</v>
      </c>
      <c r="BO112" s="188">
        <f>opex_orig!BG112</f>
        <v>6.1857459999999998E-3</v>
      </c>
      <c r="BP112" s="188">
        <f>opex_orig!$BH112</f>
        <v>1.0670970389916701E-3</v>
      </c>
      <c r="BQ112" s="188">
        <f>opex_orig!$BH112</f>
        <v>1.0670970389916701E-3</v>
      </c>
      <c r="BR112" s="188">
        <f>opex_orig!BI112</f>
        <v>1.5637890000000001E-3</v>
      </c>
      <c r="BS112" s="188">
        <f>opex_orig!BJ112</f>
        <v>3.1288359999999999E-3</v>
      </c>
      <c r="BT112" s="188">
        <f>opex_orig!BK112</f>
        <v>1.6712140000000001E-3</v>
      </c>
      <c r="BU112" s="188">
        <f>opex_orig!BL112</f>
        <v>0</v>
      </c>
      <c r="BV112" s="27">
        <f>opex_orig!BM112</f>
        <v>7.5171489717313505E-4</v>
      </c>
      <c r="BW112" s="27">
        <f>opex_orig!BN112</f>
        <v>1.0211896024248199E-3</v>
      </c>
      <c r="BX112" s="27">
        <f>opex_orig!BO112</f>
        <v>2.5008401482366901E-4</v>
      </c>
      <c r="BY112" s="27">
        <f>opex_orig!BP112</f>
        <v>4.3793325184165999E-4</v>
      </c>
      <c r="BZ112" s="27">
        <f>opex_orig!BQ112</f>
        <v>5.1409632399214997E-4</v>
      </c>
      <c r="CA112" s="27">
        <f>opex_orig!BR112</f>
        <v>5.8291047446742299E-4</v>
      </c>
      <c r="CB112" s="27">
        <f>opex_orig!BS112</f>
        <v>1.0730161344223201E-3</v>
      </c>
      <c r="CC112" s="27">
        <f>opex_orig!BT112</f>
        <v>2.5372005800634498E-4</v>
      </c>
      <c r="CD112" s="27">
        <f>opex_orig!BU112</f>
        <v>4.3098925709542601E-4</v>
      </c>
      <c r="CE112" s="27">
        <f>opex_orig!BV112</f>
        <v>4.3098925709542801E-4</v>
      </c>
      <c r="CF112" s="27">
        <f>opex_orig!BW112</f>
        <v>3.2389763264302701E-4</v>
      </c>
      <c r="CG112" s="27">
        <f>opex_orig!BX112</f>
        <v>4.2915553951296899E-6</v>
      </c>
      <c r="CH112" s="27">
        <f>opex_orig!BY112</f>
        <v>4.0735217937139901E-5</v>
      </c>
      <c r="CI112" s="27">
        <f>opex_orig!Y112</f>
        <v>4.8482849999999999E-3</v>
      </c>
      <c r="CJ112" s="27">
        <f>opex_orig!Z112</f>
        <v>1.0916303E-2</v>
      </c>
      <c r="CK112" s="27">
        <f>opex_orig!AA112</f>
        <v>1.263068E-3</v>
      </c>
      <c r="CL112" s="27">
        <f>opex_orig!AB112</f>
        <v>6.4922659236433795E-4</v>
      </c>
      <c r="CM112" s="27">
        <f>opex_orig!AC112</f>
        <v>2.0785644425696101E-3</v>
      </c>
      <c r="CN112" s="27">
        <f>opex_orig!AD112</f>
        <v>2.7859504172782199E-3</v>
      </c>
      <c r="CO112" s="27">
        <f>opex_orig!AE112</f>
        <v>3.0284140000000001E-3</v>
      </c>
      <c r="CP112" s="27">
        <f>opex_orig!AF112</f>
        <v>7.2417330000000002E-3</v>
      </c>
    </row>
    <row r="113" spans="1:94" x14ac:dyDescent="0.25">
      <c r="A113" s="5" t="s">
        <v>217</v>
      </c>
      <c r="B113" s="2" t="s">
        <v>216</v>
      </c>
      <c r="C113" s="1" t="s">
        <v>330</v>
      </c>
      <c r="D113" s="188">
        <f>opex_orig!D113</f>
        <v>2.6100000000000001E-5</v>
      </c>
      <c r="E113" s="188">
        <f>opex_orig!E113</f>
        <v>9.0799999999999995E-6</v>
      </c>
      <c r="F113" s="188">
        <f>opex_orig!F113</f>
        <v>3.0960100000000001E-4</v>
      </c>
      <c r="G113" s="188">
        <f>opex_orig!G113</f>
        <v>7.4499999999999996E-7</v>
      </c>
      <c r="H113" s="188">
        <f>opex_orig!H113</f>
        <v>1.4500000000000001E-6</v>
      </c>
      <c r="I113" s="188">
        <f>opex_orig!I113</f>
        <v>1.9899999999999999E-5</v>
      </c>
      <c r="J113" s="188">
        <f>opex_orig!J113</f>
        <v>6.4399999999999993E-5</v>
      </c>
      <c r="K113" s="188">
        <f>opex_orig!K113</f>
        <v>2.26E-6</v>
      </c>
      <c r="L113" s="188">
        <f>opex_orig!L113</f>
        <v>1.3499999999999999E-5</v>
      </c>
      <c r="M113" s="188">
        <f>opex_orig!M113</f>
        <v>3.5299999999999997E-5</v>
      </c>
      <c r="N113" s="188">
        <f>opex_orig!N113</f>
        <v>2.1299999999999999E-5</v>
      </c>
      <c r="O113" s="188">
        <f>opex_orig!O113</f>
        <v>5.2764299999999995E-4</v>
      </c>
      <c r="P113" s="188">
        <f>opex_orig!P113</f>
        <v>3.1000000000000001E-5</v>
      </c>
      <c r="Q113" s="188">
        <f>opex_orig!Q113</f>
        <v>4.2967359999999998E-3</v>
      </c>
      <c r="R113" s="188">
        <f>opex_orig!R113</f>
        <v>1.5660500000000001E-4</v>
      </c>
      <c r="S113" s="188">
        <f>opex_orig!S113</f>
        <v>1.0200000000000001E-5</v>
      </c>
      <c r="T113" s="188">
        <f>opex_orig!T113</f>
        <v>9.9199999999999999E-6</v>
      </c>
      <c r="U113" s="188">
        <f>opex_orig!U113</f>
        <v>2.2099999999999998E-5</v>
      </c>
      <c r="V113" s="188">
        <f>opex_orig!V113</f>
        <v>2.97E-5</v>
      </c>
      <c r="W113" s="188">
        <f>opex_orig!W113</f>
        <v>9.2199999999999998E-6</v>
      </c>
      <c r="X113" s="188">
        <f>opex_orig!X113</f>
        <v>6.7599999999999997E-6</v>
      </c>
      <c r="Y113" s="188">
        <f>opex_orig!Y113</f>
        <v>1.1711744E-2</v>
      </c>
      <c r="Z113" s="188">
        <f>opex_orig!Z113</f>
        <v>1.0705177999999999E-2</v>
      </c>
      <c r="AA113" s="188">
        <f>opex_orig!AA113</f>
        <v>4.9299999999999999E-5</v>
      </c>
      <c r="AB113" s="188">
        <f>opex_orig!$AB113</f>
        <v>1.8846425861964202E-5</v>
      </c>
      <c r="AC113" s="188">
        <f>opex_orig!$AB113</f>
        <v>1.8846425861964202E-5</v>
      </c>
      <c r="AD113" s="188">
        <f>opex_orig!$AB113</f>
        <v>1.8846425861964202E-5</v>
      </c>
      <c r="AE113" s="188">
        <f>opex_orig!$AC113</f>
        <v>2.56900711080358E-5</v>
      </c>
      <c r="AF113" s="188">
        <f>opex_orig!$AD113</f>
        <v>1.7221821664401401E-5</v>
      </c>
      <c r="AG113" s="188">
        <f>opex_orig!$AD113</f>
        <v>1.7221821664401401E-5</v>
      </c>
      <c r="AH113" s="188">
        <f>opex_orig!$AD113</f>
        <v>1.7221821664401401E-5</v>
      </c>
      <c r="AI113" s="188">
        <f>opex_orig!AE113</f>
        <v>1.6099999999999998E-5</v>
      </c>
      <c r="AJ113" s="188">
        <f>opex_orig!AF113</f>
        <v>4.7899999999999999E-5</v>
      </c>
      <c r="AK113" s="188">
        <f>opex_orig!AG113</f>
        <v>1.27E-5</v>
      </c>
      <c r="AL113" s="188">
        <f>opex_orig!AH113</f>
        <v>1.0200000000000001E-5</v>
      </c>
      <c r="AM113" s="188">
        <f>opex_orig!AI113</f>
        <v>1.31E-5</v>
      </c>
      <c r="AN113" s="188">
        <f>opex_orig!AJ113</f>
        <v>6.5200000000000003E-6</v>
      </c>
      <c r="AO113" s="188">
        <f>opex_orig!AK113</f>
        <v>9.2299999999999997E-6</v>
      </c>
      <c r="AP113" s="188">
        <f>opex_orig!$AL113</f>
        <v>1.13696909621767E-5</v>
      </c>
      <c r="AQ113" s="188">
        <f>opex_orig!$AL113</f>
        <v>1.13696909621767E-5</v>
      </c>
      <c r="AR113" s="188">
        <f>opex_orig!$AL113</f>
        <v>1.13696909621767E-5</v>
      </c>
      <c r="AS113" s="188">
        <f>opex_orig!$AM113</f>
        <v>6.9689989554070301E-6</v>
      </c>
      <c r="AT113" s="188">
        <f>opex_orig!AN113</f>
        <v>1.88E-5</v>
      </c>
      <c r="AU113" s="188">
        <f>opex_orig!$AO113</f>
        <v>1.6646719731240801E-4</v>
      </c>
      <c r="AV113" s="188">
        <f>opex_orig!$AO113</f>
        <v>1.6646719731240801E-4</v>
      </c>
      <c r="AW113" s="188">
        <f>opex_orig!$AO113</f>
        <v>1.6646719731240801E-4</v>
      </c>
      <c r="AX113" s="188">
        <f>opex_orig!$AP113</f>
        <v>4.6802133798897101E-4</v>
      </c>
      <c r="AY113" s="188">
        <f>opex_orig!AQ113</f>
        <v>7.2000000000000002E-5</v>
      </c>
      <c r="AZ113" s="188">
        <f>opex_orig!AR113</f>
        <v>0</v>
      </c>
      <c r="BA113" s="188">
        <f>opex_orig!AS113</f>
        <v>5.5699999999999999E-5</v>
      </c>
      <c r="BB113" s="188">
        <f>opex_orig!AT113</f>
        <v>6.5099999999999997E-5</v>
      </c>
      <c r="BC113" s="188">
        <f>opex_orig!AU113</f>
        <v>3.54E-6</v>
      </c>
      <c r="BD113" s="188">
        <f>opex_orig!AV113</f>
        <v>1.7600000000000001E-6</v>
      </c>
      <c r="BE113" s="188">
        <f>opex_orig!AW113</f>
        <v>6.3899999999999995E-5</v>
      </c>
      <c r="BF113" s="188">
        <f>opex_orig!AX113</f>
        <v>0</v>
      </c>
      <c r="BG113" s="188">
        <f>opex_orig!AY113</f>
        <v>9.1700000000000006E-5</v>
      </c>
      <c r="BH113" s="188">
        <f>opex_orig!AZ113</f>
        <v>0</v>
      </c>
      <c r="BI113" s="188">
        <f>opex_orig!BA113</f>
        <v>5.49E-5</v>
      </c>
      <c r="BJ113" s="188">
        <f>opex_orig!BB113</f>
        <v>1.15E-5</v>
      </c>
      <c r="BK113" s="188">
        <f>opex_orig!BC113</f>
        <v>4.4799999999999998E-5</v>
      </c>
      <c r="BL113" s="188">
        <f>opex_orig!BD113</f>
        <v>5.0300000000000003E-5</v>
      </c>
      <c r="BM113" s="188">
        <f>opex_orig!BE113</f>
        <v>6.19E-5</v>
      </c>
      <c r="BN113" s="188">
        <f>opex_orig!BF113</f>
        <v>1.0699999999999999E-5</v>
      </c>
      <c r="BO113" s="188">
        <f>opex_orig!BG113</f>
        <v>2.4700000000000001E-5</v>
      </c>
      <c r="BP113" s="188">
        <f>opex_orig!$BH113</f>
        <v>2.3872299092623499E-5</v>
      </c>
      <c r="BQ113" s="188">
        <f>opex_orig!$BH113</f>
        <v>2.3872299092623499E-5</v>
      </c>
      <c r="BR113" s="188">
        <f>opex_orig!BI113</f>
        <v>1.5699999999999999E-5</v>
      </c>
      <c r="BS113" s="188">
        <f>opex_orig!BJ113</f>
        <v>1.3900000000000001E-5</v>
      </c>
      <c r="BT113" s="188">
        <f>opex_orig!BK113</f>
        <v>1.0293699999999999E-4</v>
      </c>
      <c r="BU113" s="188">
        <f>opex_orig!BL113</f>
        <v>0</v>
      </c>
      <c r="BV113" s="27">
        <f>opex_orig!BM113</f>
        <v>3.15989525652443E-3</v>
      </c>
      <c r="BW113" s="27">
        <f>opex_orig!BN113</f>
        <v>2.6822856029032002E-2</v>
      </c>
      <c r="BX113" s="27">
        <f>opex_orig!BO113</f>
        <v>2.8777829354581502E-4</v>
      </c>
      <c r="BY113" s="27">
        <f>opex_orig!BP113</f>
        <v>2.6440655436770302E-4</v>
      </c>
      <c r="BZ113" s="27">
        <f>opex_orig!BQ113</f>
        <v>3.1661788754176301E-4</v>
      </c>
      <c r="CA113" s="27">
        <f>opex_orig!BR113</f>
        <v>8.9515164827490695E-3</v>
      </c>
      <c r="CB113" s="27">
        <f>opex_orig!BS113</f>
        <v>1.5705286465449601E-2</v>
      </c>
      <c r="CC113" s="27">
        <f>opex_orig!BT113</f>
        <v>0.71169451156609698</v>
      </c>
      <c r="CD113" s="27">
        <f>opex_orig!BU113</f>
        <v>4.1175951021386501E-4</v>
      </c>
      <c r="CE113" s="27">
        <f>opex_orig!BV113</f>
        <v>4.1175951021386501E-4</v>
      </c>
      <c r="CF113" s="27">
        <f>opex_orig!BW113</f>
        <v>7.3412308534686693E-2</v>
      </c>
      <c r="CG113" s="27">
        <f>opex_orig!BX113</f>
        <v>7.5822326762960102E-4</v>
      </c>
      <c r="CH113" s="27">
        <f>opex_orig!BY113</f>
        <v>9.0513793312426207E-6</v>
      </c>
      <c r="CI113" s="27">
        <f>opex_orig!Y113</f>
        <v>1.1711744E-2</v>
      </c>
      <c r="CJ113" s="27">
        <f>opex_orig!Z113</f>
        <v>1.0705177999999999E-2</v>
      </c>
      <c r="CK113" s="27">
        <f>opex_orig!AA113</f>
        <v>4.9299999999999999E-5</v>
      </c>
      <c r="CL113" s="27">
        <f>opex_orig!AB113</f>
        <v>1.8846425861964202E-5</v>
      </c>
      <c r="CM113" s="27">
        <f>opex_orig!AC113</f>
        <v>2.56900711080358E-5</v>
      </c>
      <c r="CN113" s="27">
        <f>opex_orig!AD113</f>
        <v>1.7221821664401401E-5</v>
      </c>
      <c r="CO113" s="27">
        <f>opex_orig!AE113</f>
        <v>1.6099999999999998E-5</v>
      </c>
      <c r="CP113" s="27">
        <f>opex_orig!AF113</f>
        <v>4.7899999999999999E-5</v>
      </c>
    </row>
    <row r="114" spans="1:94" x14ac:dyDescent="0.25">
      <c r="A114" s="5" t="s">
        <v>219</v>
      </c>
      <c r="B114" s="2" t="s">
        <v>218</v>
      </c>
      <c r="C114" s="1" t="s">
        <v>330</v>
      </c>
      <c r="D114" s="188">
        <f>opex_orig!D114</f>
        <v>2.1848899999999999E-4</v>
      </c>
      <c r="E114" s="188">
        <f>opex_orig!E114</f>
        <v>1.5162199999999999E-4</v>
      </c>
      <c r="F114" s="188">
        <f>opex_orig!F114</f>
        <v>1.5533699999999999E-4</v>
      </c>
      <c r="G114" s="188">
        <f>opex_orig!G114</f>
        <v>2.02E-5</v>
      </c>
      <c r="H114" s="188">
        <f>opex_orig!H114</f>
        <v>5.6700000000000003E-5</v>
      </c>
      <c r="I114" s="188">
        <f>opex_orig!I114</f>
        <v>3.02618E-4</v>
      </c>
      <c r="J114" s="188">
        <f>opex_orig!J114</f>
        <v>1.1298040000000001E-3</v>
      </c>
      <c r="K114" s="188">
        <f>opex_orig!K114</f>
        <v>4.3699999999999998E-5</v>
      </c>
      <c r="L114" s="188">
        <f>opex_orig!L114</f>
        <v>1.80106E-4</v>
      </c>
      <c r="M114" s="188">
        <f>opex_orig!M114</f>
        <v>6.7089600000000004E-4</v>
      </c>
      <c r="N114" s="188">
        <f>opex_orig!N114</f>
        <v>5.4719399999999998E-4</v>
      </c>
      <c r="O114" s="188">
        <f>opex_orig!O114</f>
        <v>3.8222100000000003E-4</v>
      </c>
      <c r="P114" s="188">
        <f>opex_orig!P114</f>
        <v>4.2431899999999999E-4</v>
      </c>
      <c r="Q114" s="188">
        <f>opex_orig!Q114</f>
        <v>6.9351299999999999E-4</v>
      </c>
      <c r="R114" s="188">
        <f>opex_orig!R114</f>
        <v>5.3300000000000001E-5</v>
      </c>
      <c r="S114" s="188">
        <f>opex_orig!S114</f>
        <v>1.8740299999999999E-4</v>
      </c>
      <c r="T114" s="188">
        <f>opex_orig!T114</f>
        <v>1.80519E-4</v>
      </c>
      <c r="U114" s="188">
        <f>opex_orig!U114</f>
        <v>3.1333899999999999E-4</v>
      </c>
      <c r="V114" s="188">
        <f>opex_orig!V114</f>
        <v>1.87856E-4</v>
      </c>
      <c r="W114" s="188">
        <f>opex_orig!W114</f>
        <v>1.9148400000000001E-4</v>
      </c>
      <c r="X114" s="188">
        <f>opex_orig!X114</f>
        <v>9.3700000000000001E-5</v>
      </c>
      <c r="Y114" s="188">
        <f>opex_orig!Y114</f>
        <v>7.4971780000000002E-3</v>
      </c>
      <c r="Z114" s="188">
        <f>opex_orig!Z114</f>
        <v>1.8039617000000001E-2</v>
      </c>
      <c r="AA114" s="188">
        <f>opex_orig!AA114</f>
        <v>2.1017900000000001E-4</v>
      </c>
      <c r="AB114" s="188">
        <f>opex_orig!$AB114</f>
        <v>1.0904684827404501E-3</v>
      </c>
      <c r="AC114" s="188">
        <f>opex_orig!$AB114</f>
        <v>1.0904684827404501E-3</v>
      </c>
      <c r="AD114" s="188">
        <f>opex_orig!$AB114</f>
        <v>1.0904684827404501E-3</v>
      </c>
      <c r="AE114" s="188">
        <f>opex_orig!$AC114</f>
        <v>6.0285697224132502E-4</v>
      </c>
      <c r="AF114" s="188">
        <f>opex_orig!$AD114</f>
        <v>3.2520877792445397E-4</v>
      </c>
      <c r="AG114" s="188">
        <f>opex_orig!$AD114</f>
        <v>3.2520877792445397E-4</v>
      </c>
      <c r="AH114" s="188">
        <f>opex_orig!$AD114</f>
        <v>3.2520877792445397E-4</v>
      </c>
      <c r="AI114" s="188">
        <f>opex_orig!AE114</f>
        <v>1.7122099999999999E-4</v>
      </c>
      <c r="AJ114" s="188">
        <f>opex_orig!AF114</f>
        <v>1.442416E-3</v>
      </c>
      <c r="AK114" s="188">
        <f>opex_orig!AG114</f>
        <v>3.5500000000000002E-5</v>
      </c>
      <c r="AL114" s="188">
        <f>opex_orig!AH114</f>
        <v>4.1900000000000002E-5</v>
      </c>
      <c r="AM114" s="188">
        <f>opex_orig!AI114</f>
        <v>9.5799999999999998E-5</v>
      </c>
      <c r="AN114" s="188">
        <f>opex_orig!AJ114</f>
        <v>3.01E-5</v>
      </c>
      <c r="AO114" s="188">
        <f>opex_orig!AK114</f>
        <v>6.2000000000000003E-5</v>
      </c>
      <c r="AP114" s="188">
        <f>opex_orig!$AL114</f>
        <v>1.17608084528371E-4</v>
      </c>
      <c r="AQ114" s="188">
        <f>opex_orig!$AL114</f>
        <v>1.17608084528371E-4</v>
      </c>
      <c r="AR114" s="188">
        <f>opex_orig!$AL114</f>
        <v>1.17608084528371E-4</v>
      </c>
      <c r="AS114" s="188">
        <f>opex_orig!$AM114</f>
        <v>5.7025977729590599E-5</v>
      </c>
      <c r="AT114" s="188">
        <f>opex_orig!AN114</f>
        <v>2.36085E-4</v>
      </c>
      <c r="AU114" s="188">
        <f>opex_orig!$AO114</f>
        <v>3.1863774514212799E-4</v>
      </c>
      <c r="AV114" s="188">
        <f>opex_orig!$AO114</f>
        <v>3.1863774514212799E-4</v>
      </c>
      <c r="AW114" s="188">
        <f>opex_orig!$AO114</f>
        <v>3.1863774514212799E-4</v>
      </c>
      <c r="AX114" s="188">
        <f>opex_orig!$AP114</f>
        <v>5.8474256436928098E-4</v>
      </c>
      <c r="AY114" s="188">
        <f>opex_orig!AQ114</f>
        <v>3.5357800000000001E-4</v>
      </c>
      <c r="AZ114" s="188">
        <f>opex_orig!AR114</f>
        <v>0</v>
      </c>
      <c r="BA114" s="188">
        <f>opex_orig!AS114</f>
        <v>3.7606100000000002E-4</v>
      </c>
      <c r="BB114" s="188">
        <f>opex_orig!AT114</f>
        <v>2.9237300000000001E-4</v>
      </c>
      <c r="BC114" s="188">
        <f>opex_orig!AU114</f>
        <v>4.2599999999999999E-5</v>
      </c>
      <c r="BD114" s="188">
        <f>opex_orig!AV114</f>
        <v>1.08E-5</v>
      </c>
      <c r="BE114" s="188">
        <f>opex_orig!AW114</f>
        <v>2.76307E-4</v>
      </c>
      <c r="BF114" s="188">
        <f>opex_orig!AX114</f>
        <v>0</v>
      </c>
      <c r="BG114" s="188">
        <f>opex_orig!AY114</f>
        <v>3.45259E-4</v>
      </c>
      <c r="BH114" s="188">
        <f>opex_orig!AZ114</f>
        <v>0</v>
      </c>
      <c r="BI114" s="188">
        <f>opex_orig!BA114</f>
        <v>1.6679999999999999E-4</v>
      </c>
      <c r="BJ114" s="188">
        <f>opex_orig!BB114</f>
        <v>1.8548100000000001E-4</v>
      </c>
      <c r="BK114" s="188">
        <f>opex_orig!BC114</f>
        <v>3.84516E-4</v>
      </c>
      <c r="BL114" s="188">
        <f>opex_orig!BD114</f>
        <v>1.3260999999999999E-4</v>
      </c>
      <c r="BM114" s="188">
        <f>opex_orig!BE114</f>
        <v>2.7313100000000002E-4</v>
      </c>
      <c r="BN114" s="188">
        <f>opex_orig!BF114</f>
        <v>8.1000000000000004E-5</v>
      </c>
      <c r="BO114" s="188">
        <f>opex_orig!BG114</f>
        <v>1.08631E-4</v>
      </c>
      <c r="BP114" s="188">
        <f>opex_orig!$BH114</f>
        <v>1.01497536847174E-4</v>
      </c>
      <c r="BQ114" s="188">
        <f>opex_orig!$BH114</f>
        <v>1.01497536847174E-4</v>
      </c>
      <c r="BR114" s="188">
        <f>opex_orig!BI114</f>
        <v>1.7796700000000001E-4</v>
      </c>
      <c r="BS114" s="188">
        <f>opex_orig!BJ114</f>
        <v>6.6799999999999997E-5</v>
      </c>
      <c r="BT114" s="188">
        <f>opex_orig!BK114</f>
        <v>4.5287300000000001E-4</v>
      </c>
      <c r="BU114" s="188">
        <f>opex_orig!BL114</f>
        <v>0</v>
      </c>
      <c r="BV114" s="27">
        <f>opex_orig!BM114</f>
        <v>5.6010257896148699E-5</v>
      </c>
      <c r="BW114" s="27">
        <f>opex_orig!BN114</f>
        <v>3.2580703061185301E-4</v>
      </c>
      <c r="BX114" s="27">
        <f>opex_orig!BO114</f>
        <v>3.04609981249283E-5</v>
      </c>
      <c r="BY114" s="27">
        <f>opex_orig!BP114</f>
        <v>1.7072108634105299E-4</v>
      </c>
      <c r="BZ114" s="27">
        <f>opex_orig!BQ114</f>
        <v>5.8351677511747901E-5</v>
      </c>
      <c r="CA114" s="27">
        <f>opex_orig!BR114</f>
        <v>4.9605798173275097E-5</v>
      </c>
      <c r="CB114" s="27">
        <f>opex_orig!BS114</f>
        <v>3.2459631548366E-4</v>
      </c>
      <c r="CC114" s="27">
        <f>opex_orig!BT114</f>
        <v>8.5957439749670506E-5</v>
      </c>
      <c r="CD114" s="27">
        <f>opex_orig!BU114</f>
        <v>3.1163714778236402E-5</v>
      </c>
      <c r="CE114" s="27">
        <f>opex_orig!BV114</f>
        <v>3.1163714778236497E-5</v>
      </c>
      <c r="CF114" s="27">
        <f>opex_orig!BW114</f>
        <v>9.1820158470360598E-6</v>
      </c>
      <c r="CG114" s="27">
        <f>opex_orig!BX114</f>
        <v>1.55806937452359E-5</v>
      </c>
      <c r="CH114" s="27">
        <f>opex_orig!BY114</f>
        <v>9.8494867558395995E-5</v>
      </c>
      <c r="CI114" s="27">
        <f>opex_orig!Y114</f>
        <v>7.4971780000000002E-3</v>
      </c>
      <c r="CJ114" s="27">
        <f>opex_orig!Z114</f>
        <v>1.8039617000000001E-2</v>
      </c>
      <c r="CK114" s="27">
        <f>opex_orig!AA114</f>
        <v>2.1017900000000001E-4</v>
      </c>
      <c r="CL114" s="27">
        <f>opex_orig!AB114</f>
        <v>1.0904684827404501E-3</v>
      </c>
      <c r="CM114" s="27">
        <f>opex_orig!AC114</f>
        <v>6.0285697224132502E-4</v>
      </c>
      <c r="CN114" s="27">
        <f>opex_orig!AD114</f>
        <v>3.2520877792445397E-4</v>
      </c>
      <c r="CO114" s="27">
        <f>opex_orig!AE114</f>
        <v>1.7122099999999999E-4</v>
      </c>
      <c r="CP114" s="27">
        <f>opex_orig!AF114</f>
        <v>1.442416E-3</v>
      </c>
    </row>
    <row r="115" spans="1:94" x14ac:dyDescent="0.25">
      <c r="A115" s="5" t="s">
        <v>221</v>
      </c>
      <c r="B115" s="2" t="s">
        <v>220</v>
      </c>
      <c r="C115" s="1" t="s">
        <v>330</v>
      </c>
      <c r="D115" s="188">
        <f>opex_orig!D115</f>
        <v>2.02062E-4</v>
      </c>
      <c r="E115" s="188">
        <f>opex_orig!E115</f>
        <v>2.3005399999999999E-4</v>
      </c>
      <c r="F115" s="188">
        <f>opex_orig!F115</f>
        <v>1.1582399999999999E-4</v>
      </c>
      <c r="G115" s="188">
        <f>opex_orig!G115</f>
        <v>1.7E-5</v>
      </c>
      <c r="H115" s="188">
        <f>opex_orig!H115</f>
        <v>3.7400000000000001E-5</v>
      </c>
      <c r="I115" s="188">
        <f>opex_orig!I115</f>
        <v>4.3637800000000002E-4</v>
      </c>
      <c r="J115" s="188">
        <f>opex_orig!J115</f>
        <v>3.65817E-4</v>
      </c>
      <c r="K115" s="188">
        <f>opex_orig!K115</f>
        <v>4.7599999999999998E-5</v>
      </c>
      <c r="L115" s="188">
        <f>opex_orig!L115</f>
        <v>5.9913999999999996E-4</v>
      </c>
      <c r="M115" s="188">
        <f>opex_orig!M115</f>
        <v>1.8053559999999999E-3</v>
      </c>
      <c r="N115" s="188">
        <f>opex_orig!N115</f>
        <v>1.2448820000000001E-3</v>
      </c>
      <c r="O115" s="188">
        <f>opex_orig!O115</f>
        <v>2.3968200000000001E-4</v>
      </c>
      <c r="P115" s="188">
        <f>opex_orig!P115</f>
        <v>3.0907500000000002E-4</v>
      </c>
      <c r="Q115" s="188">
        <f>opex_orig!Q115</f>
        <v>1.1862300000000001E-4</v>
      </c>
      <c r="R115" s="188">
        <f>opex_orig!R115</f>
        <v>5.0300000000000003E-5</v>
      </c>
      <c r="S115" s="188">
        <f>opex_orig!S115</f>
        <v>1.0346800000000001E-4</v>
      </c>
      <c r="T115" s="188">
        <f>opex_orig!T115</f>
        <v>9.3800000000000003E-5</v>
      </c>
      <c r="U115" s="188">
        <f>opex_orig!U115</f>
        <v>1.170529E-3</v>
      </c>
      <c r="V115" s="188">
        <f>opex_orig!V115</f>
        <v>1.48112E-3</v>
      </c>
      <c r="W115" s="188">
        <f>opex_orig!W115</f>
        <v>5.7408999999999997E-4</v>
      </c>
      <c r="X115" s="188">
        <f>opex_orig!X115</f>
        <v>6.0699999999999998E-5</v>
      </c>
      <c r="Y115" s="188">
        <f>opex_orig!Y115</f>
        <v>7.5934500000000003E-4</v>
      </c>
      <c r="Z115" s="188">
        <f>opex_orig!Z115</f>
        <v>4.2594679999999998E-3</v>
      </c>
      <c r="AA115" s="188">
        <f>opex_orig!AA115</f>
        <v>6.5106779999999998E-3</v>
      </c>
      <c r="AB115" s="188">
        <f>opex_orig!$AB115</f>
        <v>1.3220498934009799E-4</v>
      </c>
      <c r="AC115" s="188">
        <f>opex_orig!$AB115</f>
        <v>1.3220498934009799E-4</v>
      </c>
      <c r="AD115" s="188">
        <f>opex_orig!$AB115</f>
        <v>1.3220498934009799E-4</v>
      </c>
      <c r="AE115" s="188">
        <f>opex_orig!$AC115</f>
        <v>2.3888610735493202E-3</v>
      </c>
      <c r="AF115" s="188">
        <f>opex_orig!$AD115</f>
        <v>1.6975919049231E-3</v>
      </c>
      <c r="AG115" s="188">
        <f>opex_orig!$AD115</f>
        <v>1.6975919049231E-3</v>
      </c>
      <c r="AH115" s="188">
        <f>opex_orig!$AD115</f>
        <v>1.6975919049231E-3</v>
      </c>
      <c r="AI115" s="188">
        <f>opex_orig!AE115</f>
        <v>1.5141320000000001E-3</v>
      </c>
      <c r="AJ115" s="188">
        <f>opex_orig!AF115</f>
        <v>1.0731339999999999E-3</v>
      </c>
      <c r="AK115" s="188">
        <f>opex_orig!AG115</f>
        <v>1.2855000000000001E-4</v>
      </c>
      <c r="AL115" s="188">
        <f>opex_orig!AH115</f>
        <v>7.1500000000000003E-5</v>
      </c>
      <c r="AM115" s="188">
        <f>opex_orig!AI115</f>
        <v>1.2849700000000001E-4</v>
      </c>
      <c r="AN115" s="188">
        <f>opex_orig!AJ115</f>
        <v>8.1699999999999994E-5</v>
      </c>
      <c r="AO115" s="188">
        <f>opex_orig!AK115</f>
        <v>1.39025E-4</v>
      </c>
      <c r="AP115" s="188">
        <f>opex_orig!$AL115</f>
        <v>1.7378815917905299E-4</v>
      </c>
      <c r="AQ115" s="188">
        <f>opex_orig!$AL115</f>
        <v>1.7378815917905299E-4</v>
      </c>
      <c r="AR115" s="188">
        <f>opex_orig!$AL115</f>
        <v>1.7378815917905299E-4</v>
      </c>
      <c r="AS115" s="188">
        <f>opex_orig!$AM115</f>
        <v>1.30747460515533E-4</v>
      </c>
      <c r="AT115" s="188">
        <f>opex_orig!AN115</f>
        <v>2.4184799999999999E-4</v>
      </c>
      <c r="AU115" s="188">
        <f>opex_orig!$AO115</f>
        <v>3.3838702307089702E-4</v>
      </c>
      <c r="AV115" s="188">
        <f>opex_orig!$AO115</f>
        <v>3.3838702307089702E-4</v>
      </c>
      <c r="AW115" s="188">
        <f>opex_orig!$AO115</f>
        <v>3.3838702307089702E-4</v>
      </c>
      <c r="AX115" s="188">
        <f>opex_orig!$AP115</f>
        <v>4.8247187049231701E-4</v>
      </c>
      <c r="AY115" s="188">
        <f>opex_orig!AQ115</f>
        <v>5.8319000000000003E-4</v>
      </c>
      <c r="AZ115" s="188">
        <f>opex_orig!AR115</f>
        <v>0</v>
      </c>
      <c r="BA115" s="188">
        <f>opex_orig!AS115</f>
        <v>2.6133500000000002E-4</v>
      </c>
      <c r="BB115" s="188">
        <f>opex_orig!AT115</f>
        <v>1.8762100000000001E-4</v>
      </c>
      <c r="BC115" s="188">
        <f>opex_orig!AU115</f>
        <v>1.46491E-4</v>
      </c>
      <c r="BD115" s="188">
        <f>opex_orig!AV115</f>
        <v>5.8300000000000001E-5</v>
      </c>
      <c r="BE115" s="188">
        <f>opex_orig!AW115</f>
        <v>2.85059E-4</v>
      </c>
      <c r="BF115" s="188">
        <f>opex_orig!AX115</f>
        <v>0</v>
      </c>
      <c r="BG115" s="188">
        <f>opex_orig!AY115</f>
        <v>3.2691000000000003E-4</v>
      </c>
      <c r="BH115" s="188">
        <f>opex_orig!AZ115</f>
        <v>0</v>
      </c>
      <c r="BI115" s="188">
        <f>opex_orig!BA115</f>
        <v>4.8453100000000001E-4</v>
      </c>
      <c r="BJ115" s="188">
        <f>opex_orig!BB115</f>
        <v>5.5027400000000001E-4</v>
      </c>
      <c r="BK115" s="188">
        <f>opex_orig!BC115</f>
        <v>9.0365900000000002E-4</v>
      </c>
      <c r="BL115" s="188">
        <f>opex_orig!BD115</f>
        <v>1.04806E-4</v>
      </c>
      <c r="BM115" s="188">
        <f>opex_orig!BE115</f>
        <v>2.4626900000000002E-4</v>
      </c>
      <c r="BN115" s="188">
        <f>opex_orig!BF115</f>
        <v>7.2200000000000007E-5</v>
      </c>
      <c r="BO115" s="188">
        <f>opex_orig!BG115</f>
        <v>2.1379299999999999E-4</v>
      </c>
      <c r="BP115" s="188">
        <f>opex_orig!$BH115</f>
        <v>5.2888875406946999E-4</v>
      </c>
      <c r="BQ115" s="188">
        <f>opex_orig!$BH115</f>
        <v>5.2888875406946999E-4</v>
      </c>
      <c r="BR115" s="188">
        <f>opex_orig!BI115</f>
        <v>4.0178399999999997E-4</v>
      </c>
      <c r="BS115" s="188">
        <f>opex_orig!BJ115</f>
        <v>1.8045600000000001E-4</v>
      </c>
      <c r="BT115" s="188">
        <f>opex_orig!BK115</f>
        <v>3.6441799999999998E-4</v>
      </c>
      <c r="BU115" s="188">
        <f>opex_orig!BL115</f>
        <v>0</v>
      </c>
      <c r="BV115" s="27">
        <f>opex_orig!BM115</f>
        <v>6.8661508659314803E-4</v>
      </c>
      <c r="BW115" s="27">
        <f>opex_orig!BN115</f>
        <v>1.2148241093597901E-3</v>
      </c>
      <c r="BX115" s="27">
        <f>opex_orig!BO115</f>
        <v>4.7435586280217197E-4</v>
      </c>
      <c r="BY115" s="27">
        <f>opex_orig!BP115</f>
        <v>7.3455384727238603E-4</v>
      </c>
      <c r="BZ115" s="27">
        <f>opex_orig!BQ115</f>
        <v>5.1782695927648798E-4</v>
      </c>
      <c r="CA115" s="27">
        <f>opex_orig!BR115</f>
        <v>2.13441745430597E-4</v>
      </c>
      <c r="CB115" s="27">
        <f>opex_orig!BS115</f>
        <v>6.30941336281931E-4</v>
      </c>
      <c r="CC115" s="27">
        <f>opex_orig!BT115</f>
        <v>6.1466949114440898E-4</v>
      </c>
      <c r="CD115" s="27">
        <f>opex_orig!BU115</f>
        <v>4.0780985947006199E-4</v>
      </c>
      <c r="CE115" s="27">
        <f>opex_orig!BV115</f>
        <v>4.0780985947006302E-4</v>
      </c>
      <c r="CF115" s="27">
        <f>opex_orig!BW115</f>
        <v>2.5127218565855801E-3</v>
      </c>
      <c r="CG115" s="27">
        <f>opex_orig!BX115</f>
        <v>2.86292475873035E-5</v>
      </c>
      <c r="CH115" s="27">
        <f>opex_orig!BY115</f>
        <v>5.2957210579137796E-6</v>
      </c>
      <c r="CI115" s="27">
        <f>opex_orig!Y115</f>
        <v>7.5934500000000003E-4</v>
      </c>
      <c r="CJ115" s="27">
        <f>opex_orig!Z115</f>
        <v>4.2594679999999998E-3</v>
      </c>
      <c r="CK115" s="27">
        <f>opex_orig!AA115</f>
        <v>6.5106779999999998E-3</v>
      </c>
      <c r="CL115" s="27">
        <f>opex_orig!AB115</f>
        <v>1.3220498934009799E-4</v>
      </c>
      <c r="CM115" s="27">
        <f>opex_orig!AC115</f>
        <v>2.3888610735493202E-3</v>
      </c>
      <c r="CN115" s="27">
        <f>opex_orig!AD115</f>
        <v>1.6975919049231E-3</v>
      </c>
      <c r="CO115" s="27">
        <f>opex_orig!AE115</f>
        <v>1.5141320000000001E-3</v>
      </c>
      <c r="CP115" s="27">
        <f>opex_orig!AF115</f>
        <v>1.0731339999999999E-3</v>
      </c>
    </row>
    <row r="116" spans="1:94" s="8" customFormat="1" x14ac:dyDescent="0.25">
      <c r="A116" s="7" t="s">
        <v>223</v>
      </c>
      <c r="B116" s="2" t="s">
        <v>222</v>
      </c>
      <c r="C116" s="1" t="s">
        <v>331</v>
      </c>
      <c r="D116" s="188">
        <f>opex_orig!D116</f>
        <v>3.1338149999999999E-3</v>
      </c>
      <c r="E116" s="188">
        <f>opex_orig!E116</f>
        <v>7.2314600000000003E-4</v>
      </c>
      <c r="F116" s="188">
        <f>opex_orig!F116</f>
        <v>5.0439500000000004E-4</v>
      </c>
      <c r="G116" s="188">
        <f>opex_orig!G116</f>
        <v>1.00917E-4</v>
      </c>
      <c r="H116" s="188">
        <f>opex_orig!H116</f>
        <v>1.8015500000000001E-4</v>
      </c>
      <c r="I116" s="188">
        <f>opex_orig!I116</f>
        <v>1.107972E-3</v>
      </c>
      <c r="J116" s="188">
        <f>opex_orig!J116</f>
        <v>3.1787149999999999E-3</v>
      </c>
      <c r="K116" s="188">
        <f>opex_orig!K116</f>
        <v>3.0298499999999997E-4</v>
      </c>
      <c r="L116" s="188">
        <f>opex_orig!L116</f>
        <v>1.342431E-3</v>
      </c>
      <c r="M116" s="188">
        <f>opex_orig!M116</f>
        <v>7.0982830000000004E-3</v>
      </c>
      <c r="N116" s="188">
        <f>opex_orig!N116</f>
        <v>2.2503480000000001E-3</v>
      </c>
      <c r="O116" s="188">
        <f>opex_orig!O116</f>
        <v>1.928744E-3</v>
      </c>
      <c r="P116" s="188">
        <f>opex_orig!P116</f>
        <v>2.7838369999999999E-3</v>
      </c>
      <c r="Q116" s="188">
        <f>opex_orig!Q116</f>
        <v>7.5237299999999997E-4</v>
      </c>
      <c r="R116" s="188">
        <f>opex_orig!R116</f>
        <v>6.2637999999999995E-4</v>
      </c>
      <c r="S116" s="188">
        <f>opex_orig!S116</f>
        <v>5.8455879999999997E-3</v>
      </c>
      <c r="T116" s="188">
        <f>opex_orig!T116</f>
        <v>5.0653390000000003E-3</v>
      </c>
      <c r="U116" s="188">
        <f>opex_orig!U116</f>
        <v>7.9952860000000008E-3</v>
      </c>
      <c r="V116" s="188">
        <f>opex_orig!V116</f>
        <v>8.2884689999999997E-3</v>
      </c>
      <c r="W116" s="188">
        <f>opex_orig!W116</f>
        <v>6.2757259999999997E-3</v>
      </c>
      <c r="X116" s="188">
        <f>opex_orig!X116</f>
        <v>6.9343400000000004E-4</v>
      </c>
      <c r="Y116" s="188">
        <f>opex_orig!Y116</f>
        <v>4.6793629999999998E-3</v>
      </c>
      <c r="Z116" s="188">
        <f>opex_orig!Z116</f>
        <v>1.1933747E-2</v>
      </c>
      <c r="AA116" s="188">
        <f>opex_orig!AA116</f>
        <v>6.4723421000000003E-2</v>
      </c>
      <c r="AB116" s="188">
        <f>opex_orig!$AB116</f>
        <v>1.88465808675112E-3</v>
      </c>
      <c r="AC116" s="188">
        <f>opex_orig!$AB116</f>
        <v>1.88465808675112E-3</v>
      </c>
      <c r="AD116" s="188">
        <f>opex_orig!$AB116</f>
        <v>1.88465808675112E-3</v>
      </c>
      <c r="AE116" s="188">
        <f>opex_orig!$AC116</f>
        <v>3.8614117390545601E-3</v>
      </c>
      <c r="AF116" s="296">
        <f>opex_concordance!$M$317</f>
        <v>9.3494861544835706E-3</v>
      </c>
      <c r="AG116" s="296">
        <f>opex_concordance!$M$353</f>
        <v>4.1431636348678155E-3</v>
      </c>
      <c r="AH116" s="296">
        <f>opex_concordance!$M$389</f>
        <v>3.3240424016378637E-3</v>
      </c>
      <c r="AI116" s="188">
        <f>opex_orig!AE116</f>
        <v>7.7562680000000002E-3</v>
      </c>
      <c r="AJ116" s="188">
        <f>opex_orig!AF116</f>
        <v>2.2719982999999999E-2</v>
      </c>
      <c r="AK116" s="188">
        <f>opex_orig!AG116</f>
        <v>2.7830379999999998E-3</v>
      </c>
      <c r="AL116" s="188">
        <f>opex_orig!AH116</f>
        <v>7.8066239999999999E-3</v>
      </c>
      <c r="AM116" s="188">
        <f>opex_orig!AI116</f>
        <v>3.0571869999999998E-3</v>
      </c>
      <c r="AN116" s="188">
        <f>opex_orig!AJ116</f>
        <v>3.232361E-3</v>
      </c>
      <c r="AO116" s="188">
        <f>opex_orig!AK116</f>
        <v>7.2555680000000004E-3</v>
      </c>
      <c r="AP116" s="296">
        <f>opex_concordance!M445</f>
        <v>6.2928505605343004E-3</v>
      </c>
      <c r="AQ116" s="296">
        <f>opex_concordance!M499</f>
        <v>5.0644267623377905E-3</v>
      </c>
      <c r="AR116" s="296">
        <f>opex_concordance!M553</f>
        <v>5.5577657930593032E-3</v>
      </c>
      <c r="AS116" s="188">
        <f>opex_orig!$AM116</f>
        <v>5.8458010913237197E-3</v>
      </c>
      <c r="AT116" s="188">
        <f>opex_orig!AN116</f>
        <v>6.85588E-3</v>
      </c>
      <c r="AU116" s="188">
        <f>opex_orig!$AO116</f>
        <v>3.6743748816919098E-3</v>
      </c>
      <c r="AV116" s="188">
        <f>opex_orig!$AO116</f>
        <v>3.6743748816919098E-3</v>
      </c>
      <c r="AW116" s="188">
        <f>opex_orig!$AO116</f>
        <v>3.6743748816919098E-3</v>
      </c>
      <c r="AX116" s="188">
        <f>opex_orig!$AP116</f>
        <v>3.5222725677823202E-3</v>
      </c>
      <c r="AY116" s="188">
        <f>opex_orig!AQ116</f>
        <v>3.4989320000000002E-3</v>
      </c>
      <c r="AZ116" s="188">
        <f>opex_orig!AR116</f>
        <v>0</v>
      </c>
      <c r="BA116" s="188">
        <f>opex_orig!AS116</f>
        <v>3.319766E-3</v>
      </c>
      <c r="BB116" s="188">
        <f>opex_orig!AT116</f>
        <v>3.6239240000000002E-3</v>
      </c>
      <c r="BC116" s="188">
        <f>opex_orig!AU116</f>
        <v>3.9227100000000003E-4</v>
      </c>
      <c r="BD116" s="188">
        <f>opex_orig!AV116</f>
        <v>2.7088600000000002E-4</v>
      </c>
      <c r="BE116" s="188">
        <f>opex_orig!AW116</f>
        <v>2.3073709999999999E-3</v>
      </c>
      <c r="BF116" s="188">
        <f>opex_orig!AX116</f>
        <v>0</v>
      </c>
      <c r="BG116" s="188">
        <f>opex_orig!AY116</f>
        <v>3.0581380000000002E-3</v>
      </c>
      <c r="BH116" s="188">
        <f>opex_orig!AZ116</f>
        <v>0</v>
      </c>
      <c r="BI116" s="188">
        <f>opex_orig!BA116</f>
        <v>3.04725E-3</v>
      </c>
      <c r="BJ116" s="188">
        <f>opex_orig!BB116</f>
        <v>3.0326540000000001E-3</v>
      </c>
      <c r="BK116" s="188">
        <f>opex_orig!BC116</f>
        <v>6.596111E-3</v>
      </c>
      <c r="BL116" s="188">
        <f>opex_orig!BD116</f>
        <v>1.5355760000000001E-3</v>
      </c>
      <c r="BM116" s="188">
        <f>opex_orig!BE116</f>
        <v>3.1564010000000003E-2</v>
      </c>
      <c r="BN116" s="188">
        <f>opex_orig!BF116</f>
        <v>5.1427579999999999E-3</v>
      </c>
      <c r="BO116" s="188">
        <f>opex_orig!BG116</f>
        <v>3.9761309999999999E-3</v>
      </c>
      <c r="BP116" s="188">
        <f>opex_orig!$BH116</f>
        <v>3.4494809387046301E-3</v>
      </c>
      <c r="BQ116" s="188">
        <f>opex_orig!$BH116</f>
        <v>3.4494809387046301E-3</v>
      </c>
      <c r="BR116" s="188">
        <f>opex_orig!BI116</f>
        <v>2.4077539999999998E-3</v>
      </c>
      <c r="BS116" s="188">
        <f>opex_orig!BJ116</f>
        <v>7.9364559999999997E-3</v>
      </c>
      <c r="BT116" s="188">
        <f>opex_orig!BK116</f>
        <v>1.5142462000000001E-2</v>
      </c>
      <c r="BU116" s="188">
        <f>opex_orig!BL116</f>
        <v>0</v>
      </c>
      <c r="BV116" s="27">
        <f>opex_orig!BM116</f>
        <v>7.2359561828253703E-3</v>
      </c>
      <c r="BW116" s="27">
        <f>opex_orig!BN116</f>
        <v>8.4904844071271302E-3</v>
      </c>
      <c r="BX116" s="27">
        <f>opex_orig!BO116</f>
        <v>4.1783345150354003E-3</v>
      </c>
      <c r="BY116" s="27">
        <f>opex_orig!BP116</f>
        <v>7.00929536695783E-3</v>
      </c>
      <c r="BZ116" s="27">
        <f>opex_orig!BQ116</f>
        <v>7.6910829748098502E-3</v>
      </c>
      <c r="CA116" s="27">
        <f>opex_orig!BR116</f>
        <v>2.9804848118935599E-2</v>
      </c>
      <c r="CB116" s="27">
        <f>opex_orig!BS116</f>
        <v>5.7598205705822799E-3</v>
      </c>
      <c r="CC116" s="27">
        <f>opex_orig!BT116</f>
        <v>4.2467168198911899E-3</v>
      </c>
      <c r="CD116" s="27">
        <f>opex_orig!BU116</f>
        <v>9.1497606308390805E-3</v>
      </c>
      <c r="CE116" s="27">
        <f>opex_orig!BV116</f>
        <v>9.1497606308390805E-3</v>
      </c>
      <c r="CF116" s="27">
        <f>opex_orig!BW116</f>
        <v>2.3158337335053699E-3</v>
      </c>
      <c r="CG116" s="27">
        <f>opex_orig!BX116</f>
        <v>1.6581518145475699E-5</v>
      </c>
      <c r="CH116" s="27">
        <f>opex_orig!BY116</f>
        <v>9.3171355641026997E-5</v>
      </c>
      <c r="CI116" s="27">
        <f>opex_orig!Y116</f>
        <v>4.6793629999999998E-3</v>
      </c>
      <c r="CJ116" s="27">
        <f>opex_orig!Z116</f>
        <v>1.1933747E-2</v>
      </c>
      <c r="CK116" s="27">
        <f>opex_orig!AA116</f>
        <v>6.4723421000000003E-2</v>
      </c>
      <c r="CL116" s="27">
        <f>opex_orig!AB116</f>
        <v>1.88465808675112E-3</v>
      </c>
      <c r="CM116" s="27">
        <f>opex_orig!AC116</f>
        <v>3.8614117390545601E-3</v>
      </c>
      <c r="CN116" s="27">
        <f>opex_orig!AD116</f>
        <v>9.3494861544835706E-3</v>
      </c>
      <c r="CO116" s="27">
        <f>opex_orig!AE116</f>
        <v>7.7562680000000002E-3</v>
      </c>
      <c r="CP116" s="27">
        <f>opex_orig!AF116</f>
        <v>2.2719982999999999E-2</v>
      </c>
    </row>
    <row r="117" spans="1:94" x14ac:dyDescent="0.25">
      <c r="A117" s="5" t="s">
        <v>225</v>
      </c>
      <c r="B117" s="2" t="s">
        <v>224</v>
      </c>
      <c r="C117" s="1" t="s">
        <v>331</v>
      </c>
      <c r="D117" s="188">
        <f>opex_orig!D117</f>
        <v>1.2799999999999999E-5</v>
      </c>
      <c r="E117" s="188">
        <f>opex_orig!E117</f>
        <v>3.01E-6</v>
      </c>
      <c r="F117" s="188">
        <f>opex_orig!F117</f>
        <v>2.0600000000000002E-6</v>
      </c>
      <c r="G117" s="188">
        <f>opex_orig!G117</f>
        <v>3.8099999999999998E-7</v>
      </c>
      <c r="H117" s="188">
        <f>opex_orig!H117</f>
        <v>7.0699999999999996E-7</v>
      </c>
      <c r="I117" s="188">
        <f>opex_orig!I117</f>
        <v>4.5399999999999997E-6</v>
      </c>
      <c r="J117" s="188">
        <f>opex_orig!J117</f>
        <v>1.27E-5</v>
      </c>
      <c r="K117" s="188">
        <f>opex_orig!K117</f>
        <v>1.1799999999999999E-6</v>
      </c>
      <c r="L117" s="188">
        <f>opex_orig!L117</f>
        <v>5.2800000000000003E-6</v>
      </c>
      <c r="M117" s="188">
        <f>opex_orig!M117</f>
        <v>2.7399999999999999E-5</v>
      </c>
      <c r="N117" s="188">
        <f>opex_orig!N117</f>
        <v>9.5200000000000003E-6</v>
      </c>
      <c r="O117" s="188">
        <f>opex_orig!O117</f>
        <v>7.9300000000000003E-6</v>
      </c>
      <c r="P117" s="188">
        <f>opex_orig!P117</f>
        <v>1.1399999999999999E-5</v>
      </c>
      <c r="Q117" s="188">
        <f>opex_orig!Q117</f>
        <v>1.7999999999999999E-6</v>
      </c>
      <c r="R117" s="188">
        <f>opex_orig!R117</f>
        <v>2.0899999999999999E-6</v>
      </c>
      <c r="S117" s="188">
        <f>opex_orig!S117</f>
        <v>2.27E-5</v>
      </c>
      <c r="T117" s="188">
        <f>opex_orig!T117</f>
        <v>1.95E-5</v>
      </c>
      <c r="U117" s="188">
        <f>opex_orig!U117</f>
        <v>3.1000000000000001E-5</v>
      </c>
      <c r="V117" s="188">
        <f>opex_orig!V117</f>
        <v>3.2400000000000001E-5</v>
      </c>
      <c r="W117" s="188">
        <f>opex_orig!W117</f>
        <v>2.4000000000000001E-5</v>
      </c>
      <c r="X117" s="188">
        <f>opex_orig!X117</f>
        <v>2.8100000000000002E-6</v>
      </c>
      <c r="Y117" s="188">
        <f>opex_orig!Y117</f>
        <v>1.7600000000000001E-5</v>
      </c>
      <c r="Z117" s="188">
        <f>opex_orig!Z117</f>
        <v>4.6600000000000001E-5</v>
      </c>
      <c r="AA117" s="188">
        <f>opex_orig!AA117</f>
        <v>2.4898200000000002E-4</v>
      </c>
      <c r="AB117" s="188">
        <f>opex_orig!$AB117</f>
        <v>5.6084333865515804E-6</v>
      </c>
      <c r="AC117" s="188">
        <f>opex_orig!$AB117</f>
        <v>5.6084333865515804E-6</v>
      </c>
      <c r="AD117" s="188">
        <f>opex_orig!$AB117</f>
        <v>5.6084333865515804E-6</v>
      </c>
      <c r="AE117" s="188">
        <f>opex_orig!$AC117</f>
        <v>1.8063171686576498E-5</v>
      </c>
      <c r="AF117" s="188">
        <f>opex_orig!$AD117</f>
        <v>3.6586364932319903E-5</v>
      </c>
      <c r="AG117" s="188">
        <f>opex_orig!$AD117</f>
        <v>3.6586364932319903E-5</v>
      </c>
      <c r="AH117" s="188">
        <f>opex_orig!$AD117</f>
        <v>3.6586364932319903E-5</v>
      </c>
      <c r="AI117" s="188">
        <f>opex_orig!AE117</f>
        <v>3.0000000000000001E-5</v>
      </c>
      <c r="AJ117" s="188">
        <f>opex_orig!AF117</f>
        <v>8.8499999999999996E-5</v>
      </c>
      <c r="AK117" s="188">
        <f>opex_orig!AG117</f>
        <v>1.06E-5</v>
      </c>
      <c r="AL117" s="188">
        <f>opex_orig!AH117</f>
        <v>3.7200000000000003E-5</v>
      </c>
      <c r="AM117" s="188">
        <f>opex_orig!AI117</f>
        <v>1.26E-5</v>
      </c>
      <c r="AN117" s="188">
        <f>opex_orig!AJ117</f>
        <v>1.5500000000000001E-5</v>
      </c>
      <c r="AO117" s="188">
        <f>opex_orig!AK117</f>
        <v>2.9799999999999999E-5</v>
      </c>
      <c r="AP117" s="188">
        <f>opex_orig!$AL117</f>
        <v>2.5894474739554E-5</v>
      </c>
      <c r="AQ117" s="188">
        <f>opex_orig!$AL117</f>
        <v>2.5894474739554E-5</v>
      </c>
      <c r="AR117" s="188">
        <f>opex_orig!$AL117</f>
        <v>2.5894474739554E-5</v>
      </c>
      <c r="AS117" s="188">
        <f>opex_orig!$AM117</f>
        <v>2.4121786479497401E-5</v>
      </c>
      <c r="AT117" s="188">
        <f>opex_orig!AN117</f>
        <v>2.7800000000000001E-5</v>
      </c>
      <c r="AU117" s="188">
        <f>opex_orig!$AO117</f>
        <v>1.19309592254275E-5</v>
      </c>
      <c r="AV117" s="188">
        <f>opex_orig!$AO117</f>
        <v>1.19309592254275E-5</v>
      </c>
      <c r="AW117" s="188">
        <f>opex_orig!$AO117</f>
        <v>1.19309592254275E-5</v>
      </c>
      <c r="AX117" s="188">
        <f>opex_orig!$AP117</f>
        <v>1.3541682457562601E-5</v>
      </c>
      <c r="AY117" s="188">
        <f>opex_orig!AQ117</f>
        <v>1.3499999999999999E-5</v>
      </c>
      <c r="AZ117" s="188">
        <f>opex_orig!AR117</f>
        <v>0</v>
      </c>
      <c r="BA117" s="188">
        <f>opex_orig!AS117</f>
        <v>1.2799999999999999E-5</v>
      </c>
      <c r="BB117" s="188">
        <f>opex_orig!AT117</f>
        <v>1.4E-5</v>
      </c>
      <c r="BC117" s="188">
        <f>opex_orig!AU117</f>
        <v>1.7600000000000001E-6</v>
      </c>
      <c r="BD117" s="188">
        <f>opex_orig!AV117</f>
        <v>1.08E-6</v>
      </c>
      <c r="BE117" s="188">
        <f>opex_orig!AW117</f>
        <v>8.5699999999999993E-6</v>
      </c>
      <c r="BF117" s="188">
        <f>opex_orig!AX117</f>
        <v>0</v>
      </c>
      <c r="BG117" s="188">
        <f>opex_orig!AY117</f>
        <v>1.1199999999999999E-5</v>
      </c>
      <c r="BH117" s="188">
        <f>opex_orig!AZ117</f>
        <v>0</v>
      </c>
      <c r="BI117" s="188">
        <f>opex_orig!BA117</f>
        <v>1.1199999999999999E-5</v>
      </c>
      <c r="BJ117" s="188">
        <f>opex_orig!BB117</f>
        <v>1.11E-5</v>
      </c>
      <c r="BK117" s="188">
        <f>opex_orig!BC117</f>
        <v>2.48E-5</v>
      </c>
      <c r="BL117" s="188">
        <f>opex_orig!BD117</f>
        <v>5.4399999999999996E-6</v>
      </c>
      <c r="BM117" s="188">
        <f>opex_orig!BE117</f>
        <v>1.21718E-4</v>
      </c>
      <c r="BN117" s="188">
        <f>opex_orig!BF117</f>
        <v>1.88E-5</v>
      </c>
      <c r="BO117" s="188">
        <f>opex_orig!BG117</f>
        <v>1.5800000000000001E-5</v>
      </c>
      <c r="BP117" s="188">
        <f>opex_orig!$BH117</f>
        <v>1.31488596527563E-5</v>
      </c>
      <c r="BQ117" s="188">
        <f>opex_orig!$BH117</f>
        <v>1.31488596527563E-5</v>
      </c>
      <c r="BR117" s="188">
        <f>opex_orig!BI117</f>
        <v>9.73E-6</v>
      </c>
      <c r="BS117" s="188">
        <f>opex_orig!BJ117</f>
        <v>2.7100000000000001E-5</v>
      </c>
      <c r="BT117" s="188">
        <f>opex_orig!BK117</f>
        <v>5.8699999999999997E-5</v>
      </c>
      <c r="BU117" s="188">
        <f>opex_orig!BL117</f>
        <v>0</v>
      </c>
      <c r="BV117" s="27">
        <f>opex_orig!BM117</f>
        <v>2.74745557241701E-5</v>
      </c>
      <c r="BW117" s="27">
        <f>opex_orig!BN117</f>
        <v>3.3593733734968998E-5</v>
      </c>
      <c r="BX117" s="27">
        <f>opex_orig!BO117</f>
        <v>1.6234424122470299E-5</v>
      </c>
      <c r="BY117" s="27">
        <f>opex_orig!BP117</f>
        <v>2.7718450157704001E-5</v>
      </c>
      <c r="BZ117" s="27">
        <f>opex_orig!BQ117</f>
        <v>3.0193646286308799E-5</v>
      </c>
      <c r="CA117" s="27">
        <f>opex_orig!BR117</f>
        <v>2.23114748335165E-4</v>
      </c>
      <c r="CB117" s="27">
        <f>opex_orig!BS117</f>
        <v>2.17486232235888E-5</v>
      </c>
      <c r="CC117" s="27">
        <f>opex_orig!BT117</f>
        <v>1.3050326829500401E-5</v>
      </c>
      <c r="CD117" s="27">
        <f>opex_orig!BU117</f>
        <v>3.5437060354442702E-5</v>
      </c>
      <c r="CE117" s="27">
        <f>opex_orig!BV117</f>
        <v>3.5437060354442601E-5</v>
      </c>
      <c r="CF117" s="27">
        <f>opex_orig!BW117</f>
        <v>5.0249283497734302E-6</v>
      </c>
      <c r="CG117" s="27">
        <f>opex_orig!BX117</f>
        <v>3.4650778491314201E-8</v>
      </c>
      <c r="CH117" s="27">
        <f>opex_orig!BY117</f>
        <v>3.1897515368980098E-8</v>
      </c>
      <c r="CI117" s="27">
        <f>opex_orig!Y117</f>
        <v>1.7600000000000001E-5</v>
      </c>
      <c r="CJ117" s="27">
        <f>opex_orig!Z117</f>
        <v>4.6600000000000001E-5</v>
      </c>
      <c r="CK117" s="27">
        <f>opex_orig!AA117</f>
        <v>2.4898200000000002E-4</v>
      </c>
      <c r="CL117" s="27">
        <f>opex_orig!AB117</f>
        <v>5.6084333865515804E-6</v>
      </c>
      <c r="CM117" s="27">
        <f>opex_orig!AC117</f>
        <v>1.8063171686576498E-5</v>
      </c>
      <c r="CN117" s="27">
        <f>opex_orig!AD117</f>
        <v>3.6586364932319903E-5</v>
      </c>
      <c r="CO117" s="27">
        <f>opex_orig!AE117</f>
        <v>3.0000000000000001E-5</v>
      </c>
      <c r="CP117" s="27">
        <f>opex_orig!AF117</f>
        <v>8.8499999999999996E-5</v>
      </c>
    </row>
    <row r="118" spans="1:94" x14ac:dyDescent="0.25">
      <c r="A118" s="5" t="s">
        <v>227</v>
      </c>
      <c r="B118" s="2" t="s">
        <v>226</v>
      </c>
      <c r="C118" s="1" t="s">
        <v>332</v>
      </c>
      <c r="D118" s="188">
        <f>opex_orig!D118</f>
        <v>6.3400799999999997E-3</v>
      </c>
      <c r="E118" s="188">
        <f>opex_orig!E118</f>
        <v>5.6428069999999997E-3</v>
      </c>
      <c r="F118" s="188">
        <f>opex_orig!F118</f>
        <v>1.0900749E-2</v>
      </c>
      <c r="G118" s="188">
        <f>opex_orig!G118</f>
        <v>4.4137760000000003E-3</v>
      </c>
      <c r="H118" s="188">
        <f>opex_orig!H118</f>
        <v>5.8615719999999998E-3</v>
      </c>
      <c r="I118" s="188">
        <f>opex_orig!I118</f>
        <v>3.554237E-3</v>
      </c>
      <c r="J118" s="188">
        <f>opex_orig!J118</f>
        <v>4.1518175999999997E-2</v>
      </c>
      <c r="K118" s="188">
        <f>opex_orig!K118</f>
        <v>1.4167216E-2</v>
      </c>
      <c r="L118" s="188">
        <f>opex_orig!L118</f>
        <v>3.376324E-3</v>
      </c>
      <c r="M118" s="188">
        <f>opex_orig!M118</f>
        <v>4.3705380000000002E-3</v>
      </c>
      <c r="N118" s="188">
        <f>opex_orig!N118</f>
        <v>2.0340494000000001E-2</v>
      </c>
      <c r="O118" s="188">
        <f>opex_orig!O118</f>
        <v>6.1438700000000001E-3</v>
      </c>
      <c r="P118" s="188">
        <f>opex_orig!P118</f>
        <v>4.9782180000000004E-3</v>
      </c>
      <c r="Q118" s="188">
        <f>opex_orig!Q118</f>
        <v>1.6421649999999999E-2</v>
      </c>
      <c r="R118" s="188">
        <f>opex_orig!R118</f>
        <v>2.2644093000000001E-2</v>
      </c>
      <c r="S118" s="188">
        <f>opex_orig!S118</f>
        <v>5.0963969999999999E-3</v>
      </c>
      <c r="T118" s="188">
        <f>opex_orig!T118</f>
        <v>1.6933027999999999E-2</v>
      </c>
      <c r="U118" s="188">
        <f>opex_orig!U118</f>
        <v>7.0270469999999998E-3</v>
      </c>
      <c r="V118" s="188">
        <f>opex_orig!V118</f>
        <v>9.7906980000000005E-3</v>
      </c>
      <c r="W118" s="188">
        <f>opex_orig!W118</f>
        <v>3.870657E-3</v>
      </c>
      <c r="X118" s="188">
        <f>opex_orig!X118</f>
        <v>2.5731909999999998E-3</v>
      </c>
      <c r="Y118" s="188">
        <f>opex_orig!Y118</f>
        <v>1.0231779E-2</v>
      </c>
      <c r="Z118" s="188">
        <f>opex_orig!Z118</f>
        <v>1.0472739E-2</v>
      </c>
      <c r="AA118" s="188">
        <f>opex_orig!AA118</f>
        <v>4.6224438E-2</v>
      </c>
      <c r="AB118" s="246">
        <f>opex_concordance!M160</f>
        <v>0.24062650606124397</v>
      </c>
      <c r="AC118" s="246">
        <f>opex_concordance!M205</f>
        <v>0.20669734244665436</v>
      </c>
      <c r="AD118" s="246">
        <f>opex_concordance!M250</f>
        <v>0.12249190477104857</v>
      </c>
      <c r="AE118" s="188">
        <f>opex_orig!$AC118</f>
        <v>4.6401681099970803E-2</v>
      </c>
      <c r="AF118" s="238">
        <f>opex_concordance!$M$318</f>
        <v>1.0960305363634499E-2</v>
      </c>
      <c r="AG118" s="238">
        <f>opex_concordance!$M$354</f>
        <v>4.8569876311202907E-3</v>
      </c>
      <c r="AH118" s="238">
        <f>opex_concordance!$M$390</f>
        <v>3.896740330071367E-3</v>
      </c>
      <c r="AI118" s="188">
        <f>opex_orig!AE118</f>
        <v>7.1311439999999999E-3</v>
      </c>
      <c r="AJ118" s="188">
        <f>opex_orig!AF118</f>
        <v>3.1047010000000001E-3</v>
      </c>
      <c r="AK118" s="188">
        <f>opex_orig!AG118</f>
        <v>4.5085330000000003E-3</v>
      </c>
      <c r="AL118" s="188">
        <f>opex_orig!AH118</f>
        <v>5.4401789999999998E-3</v>
      </c>
      <c r="AM118" s="188">
        <f>opex_orig!AI118</f>
        <v>1.3632224E-2</v>
      </c>
      <c r="AN118" s="188">
        <f>opex_orig!AJ118</f>
        <v>6.8156670000000001E-3</v>
      </c>
      <c r="AO118" s="188">
        <f>opex_orig!AK118</f>
        <v>2.1156702999999999E-2</v>
      </c>
      <c r="AP118" s="238">
        <f>opex_concordance!M446</f>
        <v>8.7274057296664997E-3</v>
      </c>
      <c r="AQ118" s="238">
        <f>opex_concordance!M500</f>
        <v>7.0237337940773237E-3</v>
      </c>
      <c r="AR118" s="238">
        <f>opex_concordance!M554</f>
        <v>7.7079340371896407E-3</v>
      </c>
      <c r="AS118" s="188">
        <f>opex_orig!$AM118</f>
        <v>1.53067325731444E-2</v>
      </c>
      <c r="AT118" s="188">
        <f>opex_orig!AN118</f>
        <v>9.5218149999999994E-3</v>
      </c>
      <c r="AU118" s="238">
        <f>opex_concordance!M566</f>
        <v>6.0069637361832703E-3</v>
      </c>
      <c r="AV118" s="238">
        <f>opex_concordance!M612</f>
        <v>5.4402927106159639E-3</v>
      </c>
      <c r="AW118" s="238">
        <f>opex_concordance!M658</f>
        <v>4.9792465824657047E-3</v>
      </c>
      <c r="AX118" s="188">
        <f>opex_orig!$AP118</f>
        <v>9.2892937849749398E-3</v>
      </c>
      <c r="AY118" s="188">
        <f>opex_orig!AQ118</f>
        <v>1.5829472000000001E-2</v>
      </c>
      <c r="AZ118" s="188">
        <f>opex_orig!AR118</f>
        <v>0</v>
      </c>
      <c r="BA118" s="188">
        <f>opex_orig!AS118</f>
        <v>1.3096956999999999E-2</v>
      </c>
      <c r="BB118" s="188">
        <f>opex_orig!AT118</f>
        <v>9.3400559999999994E-3</v>
      </c>
      <c r="BC118" s="188">
        <f>opex_orig!AU118</f>
        <v>8.5057829999999994E-3</v>
      </c>
      <c r="BD118" s="188">
        <f>opex_orig!AV118</f>
        <v>7.9143159999999994E-3</v>
      </c>
      <c r="BE118" s="188">
        <f>opex_orig!AW118</f>
        <v>9.5380870000000006E-3</v>
      </c>
      <c r="BF118" s="188">
        <f>opex_orig!AX118</f>
        <v>0</v>
      </c>
      <c r="BG118" s="188">
        <f>opex_orig!AY118</f>
        <v>3.9557759999999997E-2</v>
      </c>
      <c r="BH118" s="188">
        <f>opex_orig!AZ118</f>
        <v>0</v>
      </c>
      <c r="BI118" s="188">
        <f>opex_orig!BA118</f>
        <v>5.1682159999999998E-3</v>
      </c>
      <c r="BJ118" s="188">
        <f>opex_orig!BB118</f>
        <v>8.0799930000000006E-3</v>
      </c>
      <c r="BK118" s="188">
        <f>opex_orig!BC118</f>
        <v>1.820201E-3</v>
      </c>
      <c r="BL118" s="188">
        <f>opex_orig!BD118</f>
        <v>2.8007240000000001E-3</v>
      </c>
      <c r="BM118" s="188">
        <f>opex_orig!BE118</f>
        <v>1.725288E-3</v>
      </c>
      <c r="BN118" s="188">
        <f>opex_orig!BF118</f>
        <v>1.807003E-3</v>
      </c>
      <c r="BO118" s="188">
        <f>opex_orig!BG118</f>
        <v>3.607393E-3</v>
      </c>
      <c r="BP118" s="246">
        <f>opex_concordance!M107</f>
        <v>1.7141242837654683E-2</v>
      </c>
      <c r="BQ118" s="246">
        <f>opex_concordance!M150</f>
        <v>1.4694990529223927E-2</v>
      </c>
      <c r="BR118" s="188">
        <f>opex_orig!BI118</f>
        <v>4.8198299999999998E-3</v>
      </c>
      <c r="BS118" s="188">
        <f>opex_orig!BJ118</f>
        <v>3.6306870000000001E-3</v>
      </c>
      <c r="BT118" s="188">
        <f>opex_orig!BK118</f>
        <v>2.4241413999999999E-2</v>
      </c>
      <c r="BU118" s="188">
        <f>opex_orig!BL118</f>
        <v>0</v>
      </c>
      <c r="BV118" s="27">
        <f>opex_orig!BM118</f>
        <v>5.6007320938512798E-3</v>
      </c>
      <c r="BW118" s="27">
        <f>opex_orig!BN118</f>
        <v>1.60737486685603E-2</v>
      </c>
      <c r="BX118" s="27">
        <f>opex_orig!BO118</f>
        <v>3.51313178275885E-3</v>
      </c>
      <c r="BY118" s="27">
        <f>opex_orig!BP118</f>
        <v>1.07860983141567E-2</v>
      </c>
      <c r="BZ118" s="27">
        <f>opex_orig!BQ118</f>
        <v>3.2894485936884599E-2</v>
      </c>
      <c r="CA118" s="27">
        <f>opex_orig!BR118</f>
        <v>8.6312403709191306E-3</v>
      </c>
      <c r="CB118" s="27">
        <f>opex_orig!BS118</f>
        <v>9.3652897424366499E-2</v>
      </c>
      <c r="CC118" s="27">
        <f>opex_orig!BT118</f>
        <v>4.4330213693547001E-3</v>
      </c>
      <c r="CD118" s="27">
        <f>opex_orig!BU118</f>
        <v>2.8249797531524098E-3</v>
      </c>
      <c r="CE118" s="27">
        <f>opex_orig!BV118</f>
        <v>2.8249797531524198E-3</v>
      </c>
      <c r="CF118" s="27">
        <f>opex_orig!BW118</f>
        <v>1.73836651831532E-2</v>
      </c>
      <c r="CG118" s="27">
        <f>opex_orig!BX118</f>
        <v>2.50150258372995E-2</v>
      </c>
      <c r="CH118" s="27">
        <f>opex_orig!BY118</f>
        <v>5.1819394862894297E-3</v>
      </c>
      <c r="CI118" s="27">
        <f>opex_orig!Y118</f>
        <v>1.0231779E-2</v>
      </c>
      <c r="CJ118" s="27">
        <f>opex_orig!Z118</f>
        <v>1.0472739E-2</v>
      </c>
      <c r="CK118" s="27">
        <f>opex_orig!AA118</f>
        <v>4.6224438E-2</v>
      </c>
      <c r="CL118" s="27">
        <f>opex_orig!AB118</f>
        <v>0.240626506061244</v>
      </c>
      <c r="CM118" s="27">
        <f>opex_orig!AC118</f>
        <v>4.6401681099970803E-2</v>
      </c>
      <c r="CN118" s="27">
        <f>opex_orig!AD118</f>
        <v>1.0960305363634499E-2</v>
      </c>
      <c r="CO118" s="27">
        <f>opex_orig!AE118</f>
        <v>7.1311439999999999E-3</v>
      </c>
      <c r="CP118" s="27">
        <f>opex_orig!AF118</f>
        <v>3.1047010000000001E-3</v>
      </c>
    </row>
    <row r="119" spans="1:94" x14ac:dyDescent="0.25">
      <c r="A119" s="5" t="s">
        <v>229</v>
      </c>
      <c r="B119" s="2" t="s">
        <v>228</v>
      </c>
      <c r="C119" s="1" t="s">
        <v>332</v>
      </c>
      <c r="D119" s="188">
        <f>opex_orig!D119</f>
        <v>1.0825850000000001E-3</v>
      </c>
      <c r="E119" s="188">
        <f>opex_orig!E119</f>
        <v>9.59303E-4</v>
      </c>
      <c r="F119" s="188">
        <f>opex_orig!F119</f>
        <v>1.9393069999999999E-3</v>
      </c>
      <c r="G119" s="188">
        <f>opex_orig!G119</f>
        <v>7.4770200000000005E-4</v>
      </c>
      <c r="H119" s="188">
        <f>opex_orig!H119</f>
        <v>1.0164289999999999E-3</v>
      </c>
      <c r="I119" s="188">
        <f>opex_orig!I119</f>
        <v>5.9778399999999997E-4</v>
      </c>
      <c r="J119" s="188">
        <f>opex_orig!J119</f>
        <v>6.2125289999999996E-3</v>
      </c>
      <c r="K119" s="188">
        <f>opex_orig!K119</f>
        <v>2.3934709999999999E-3</v>
      </c>
      <c r="L119" s="188">
        <f>opex_orig!L119</f>
        <v>5.7797700000000003E-4</v>
      </c>
      <c r="M119" s="188">
        <f>opex_orig!M119</f>
        <v>7.5378800000000003E-4</v>
      </c>
      <c r="N119" s="188">
        <f>opex_orig!N119</f>
        <v>3.5894529999999998E-3</v>
      </c>
      <c r="O119" s="188">
        <f>opex_orig!O119</f>
        <v>1.5035129999999999E-3</v>
      </c>
      <c r="P119" s="188">
        <f>opex_orig!P119</f>
        <v>9.5973300000000005E-4</v>
      </c>
      <c r="Q119" s="188">
        <f>opex_orig!Q119</f>
        <v>3.1038160000000001E-3</v>
      </c>
      <c r="R119" s="188">
        <f>opex_orig!R119</f>
        <v>4.0824399999999997E-3</v>
      </c>
      <c r="S119" s="188">
        <f>opex_orig!S119</f>
        <v>1.4378380000000001E-3</v>
      </c>
      <c r="T119" s="188">
        <f>opex_orig!T119</f>
        <v>3.5712109999999999E-3</v>
      </c>
      <c r="U119" s="188">
        <f>opex_orig!U119</f>
        <v>1.134255E-3</v>
      </c>
      <c r="V119" s="188">
        <f>opex_orig!V119</f>
        <v>1.6084230000000001E-3</v>
      </c>
      <c r="W119" s="188">
        <f>opex_orig!W119</f>
        <v>6.6303399999999995E-4</v>
      </c>
      <c r="X119" s="188">
        <f>opex_orig!X119</f>
        <v>4.5750899999999999E-4</v>
      </c>
      <c r="Y119" s="188">
        <f>opex_orig!Y119</f>
        <v>1.772715E-3</v>
      </c>
      <c r="Z119" s="188">
        <f>opex_orig!Z119</f>
        <v>3.4129849999999999E-3</v>
      </c>
      <c r="AA119" s="188">
        <f>opex_orig!AA119</f>
        <v>7.771165E-3</v>
      </c>
      <c r="AB119" s="274">
        <f>opex_concordance!M192</f>
        <v>4.1115712416530302E-2</v>
      </c>
      <c r="AC119" s="274">
        <f>opex_concordance!M237</f>
        <v>3.2657380679857392E-2</v>
      </c>
      <c r="AD119" s="274">
        <f>opex_concordance!M282</f>
        <v>0</v>
      </c>
      <c r="AE119" s="188">
        <f>opex_orig!$AC119</f>
        <v>7.9536751311474908E-3</v>
      </c>
      <c r="AF119" s="188">
        <f>opex_orig!$AD119</f>
        <v>1.8983040392490001E-3</v>
      </c>
      <c r="AG119" s="188">
        <f>opex_orig!$AD119</f>
        <v>1.8983040392490001E-3</v>
      </c>
      <c r="AH119" s="188">
        <f>opex_orig!$AD119</f>
        <v>1.8983040392490001E-3</v>
      </c>
      <c r="AI119" s="188">
        <f>opex_orig!AE119</f>
        <v>1.2270180000000001E-3</v>
      </c>
      <c r="AJ119" s="188">
        <f>opex_orig!AF119</f>
        <v>5.6115400000000001E-4</v>
      </c>
      <c r="AK119" s="188">
        <f>opex_orig!AG119</f>
        <v>5.3992899999999997E-4</v>
      </c>
      <c r="AL119" s="188">
        <f>opex_orig!AH119</f>
        <v>6.30666E-4</v>
      </c>
      <c r="AM119" s="188">
        <f>opex_orig!AI119</f>
        <v>1.8154250000000001E-3</v>
      </c>
      <c r="AN119" s="188">
        <f>opex_orig!AJ119</f>
        <v>9.778670000000001E-4</v>
      </c>
      <c r="AO119" s="188">
        <f>opex_orig!AK119</f>
        <v>2.8009129999999999E-3</v>
      </c>
      <c r="AP119" s="188">
        <f>opex_orig!$AL119</f>
        <v>1.08380136630958E-3</v>
      </c>
      <c r="AQ119" s="188">
        <f>opex_orig!$AL119</f>
        <v>1.08380136630958E-3</v>
      </c>
      <c r="AR119" s="188">
        <f>opex_orig!$AL119</f>
        <v>1.08380136630958E-3</v>
      </c>
      <c r="AS119" s="188">
        <f>opex_orig!$AM119</f>
        <v>2.2250270587862902E-3</v>
      </c>
      <c r="AT119" s="188">
        <f>opex_orig!AN119</f>
        <v>1.175358E-3</v>
      </c>
      <c r="AU119" s="188">
        <f>opex_orig!$AO119</f>
        <v>9.4937693008211401E-4</v>
      </c>
      <c r="AV119" s="188">
        <f>opex_orig!$AO119</f>
        <v>9.4937693008211401E-4</v>
      </c>
      <c r="AW119" s="188">
        <f>opex_orig!$AO119</f>
        <v>9.4937693008211401E-4</v>
      </c>
      <c r="AX119" s="188">
        <f>opex_orig!$AP119</f>
        <v>1.5382397665302499E-3</v>
      </c>
      <c r="AY119" s="188">
        <f>opex_orig!AQ119</f>
        <v>2.4490409999999999E-3</v>
      </c>
      <c r="AZ119" s="188">
        <f>opex_orig!AR119</f>
        <v>0</v>
      </c>
      <c r="BA119" s="188">
        <f>opex_orig!AS119</f>
        <v>2.2939530000000001E-3</v>
      </c>
      <c r="BB119" s="188">
        <f>opex_orig!AT119</f>
        <v>1.832293E-3</v>
      </c>
      <c r="BC119" s="188">
        <f>opex_orig!AU119</f>
        <v>1.3149909999999999E-3</v>
      </c>
      <c r="BD119" s="188">
        <f>opex_orig!AV119</f>
        <v>1.250794E-3</v>
      </c>
      <c r="BE119" s="188">
        <f>opex_orig!AW119</f>
        <v>1.755085E-3</v>
      </c>
      <c r="BF119" s="188">
        <f>opex_orig!AX119</f>
        <v>0</v>
      </c>
      <c r="BG119" s="188">
        <f>opex_orig!AY119</f>
        <v>7.4764890000000002E-3</v>
      </c>
      <c r="BH119" s="188">
        <f>opex_orig!AZ119</f>
        <v>0</v>
      </c>
      <c r="BI119" s="188">
        <f>opex_orig!BA119</f>
        <v>9.2348099999999998E-4</v>
      </c>
      <c r="BJ119" s="188">
        <f>opex_orig!BB119</f>
        <v>7.8964499999999995E-4</v>
      </c>
      <c r="BK119" s="188">
        <f>opex_orig!BC119</f>
        <v>3.3084599999999998E-4</v>
      </c>
      <c r="BL119" s="188">
        <f>opex_orig!BD119</f>
        <v>5.1916600000000005E-4</v>
      </c>
      <c r="BM119" s="188">
        <f>opex_orig!BE119</f>
        <v>3.4774699999999998E-4</v>
      </c>
      <c r="BN119" s="188">
        <f>opex_orig!BF119</f>
        <v>3.6966599999999999E-4</v>
      </c>
      <c r="BO119" s="188">
        <f>opex_orig!BG119</f>
        <v>6.7194100000000001E-4</v>
      </c>
      <c r="BP119" s="188">
        <f>opex_orig!$BH119</f>
        <v>2.1795551431961599E-3</v>
      </c>
      <c r="BQ119" s="188">
        <f>opex_orig!$BH119</f>
        <v>2.1795551431961599E-3</v>
      </c>
      <c r="BR119" s="188">
        <f>opex_orig!BI119</f>
        <v>1.171783E-3</v>
      </c>
      <c r="BS119" s="188">
        <f>opex_orig!BJ119</f>
        <v>8.5212799999999996E-4</v>
      </c>
      <c r="BT119" s="188">
        <f>opex_orig!BK119</f>
        <v>1.0152072999999999E-2</v>
      </c>
      <c r="BU119" s="188">
        <f>opex_orig!BL119</f>
        <v>0</v>
      </c>
      <c r="BV119" s="27">
        <f>opex_orig!BM119</f>
        <v>6.9891710473587402E-4</v>
      </c>
      <c r="BW119" s="27">
        <f>opex_orig!BN119</f>
        <v>2.7599531680010301E-3</v>
      </c>
      <c r="BX119" s="27">
        <f>opex_orig!BO119</f>
        <v>3.2728100450470202E-4</v>
      </c>
      <c r="BY119" s="27">
        <f>opex_orig!BP119</f>
        <v>1.58671887809436E-3</v>
      </c>
      <c r="BZ119" s="27">
        <f>opex_orig!BQ119</f>
        <v>5.3322783199215096E-3</v>
      </c>
      <c r="CA119" s="27">
        <f>opex_orig!BR119</f>
        <v>2.7293928207193703E-4</v>
      </c>
      <c r="CB119" s="27">
        <f>opex_orig!BS119</f>
        <v>1.6313251670235999E-2</v>
      </c>
      <c r="CC119" s="27">
        <f>opex_orig!BT119</f>
        <v>5.2051993722639696E-4</v>
      </c>
      <c r="CD119" s="27">
        <f>opex_orig!BU119</f>
        <v>4.9088240193533896E-4</v>
      </c>
      <c r="CE119" s="27">
        <f>opex_orig!BV119</f>
        <v>4.9088240193533896E-4</v>
      </c>
      <c r="CF119" s="27">
        <f>opex_orig!BW119</f>
        <v>1.4379490678363301E-3</v>
      </c>
      <c r="CG119" s="27">
        <f>opex_orig!BX119</f>
        <v>1.4802481556884699E-3</v>
      </c>
      <c r="CH119" s="27">
        <f>opex_orig!BY119</f>
        <v>3.7790012060312499E-3</v>
      </c>
      <c r="CI119" s="27">
        <f>opex_orig!Y119</f>
        <v>1.772715E-3</v>
      </c>
      <c r="CJ119" s="27">
        <f>opex_orig!Z119</f>
        <v>3.4129849999999999E-3</v>
      </c>
      <c r="CK119" s="27">
        <f>opex_orig!AA119</f>
        <v>7.771165E-3</v>
      </c>
      <c r="CL119" s="27">
        <f>opex_orig!AB119</f>
        <v>4.1115712416530302E-2</v>
      </c>
      <c r="CM119" s="27">
        <f>opex_orig!AC119</f>
        <v>7.9536751311474908E-3</v>
      </c>
      <c r="CN119" s="27">
        <f>opex_orig!AD119</f>
        <v>1.8983040392490001E-3</v>
      </c>
      <c r="CO119" s="27">
        <f>opex_orig!AE119</f>
        <v>1.2270180000000001E-3</v>
      </c>
      <c r="CP119" s="27">
        <f>opex_orig!AF119</f>
        <v>5.6115400000000001E-4</v>
      </c>
    </row>
    <row r="120" spans="1:94" x14ac:dyDescent="0.25">
      <c r="A120" s="5" t="s">
        <v>231</v>
      </c>
      <c r="B120" s="2" t="s">
        <v>230</v>
      </c>
      <c r="C120" s="1" t="s">
        <v>332</v>
      </c>
      <c r="D120" s="188">
        <f>opex_orig!D120</f>
        <v>5.2897758000000003E-2</v>
      </c>
      <c r="E120" s="188">
        <f>opex_orig!E120</f>
        <v>4.6278545999999997E-2</v>
      </c>
      <c r="F120" s="188">
        <f>opex_orig!F120</f>
        <v>6.3282281999999995E-2</v>
      </c>
      <c r="G120" s="188">
        <f>opex_orig!G120</f>
        <v>1.8859728999999999E-2</v>
      </c>
      <c r="H120" s="188">
        <f>opex_orig!H120</f>
        <v>2.8394804999999999E-2</v>
      </c>
      <c r="I120" s="188">
        <f>opex_orig!I120</f>
        <v>6.1372449000000003E-2</v>
      </c>
      <c r="J120" s="188">
        <f>opex_orig!J120</f>
        <v>0.15818348600000001</v>
      </c>
      <c r="K120" s="188">
        <f>opex_orig!K120</f>
        <v>5.4125582999999998E-2</v>
      </c>
      <c r="L120" s="188">
        <f>opex_orig!L120</f>
        <v>8.3851055999999993E-2</v>
      </c>
      <c r="M120" s="188">
        <f>opex_orig!M120</f>
        <v>0.19932937100000001</v>
      </c>
      <c r="N120" s="188">
        <f>opex_orig!N120</f>
        <v>0.19275814099999999</v>
      </c>
      <c r="O120" s="188">
        <f>opex_orig!O120</f>
        <v>0.11826442099999999</v>
      </c>
      <c r="P120" s="188">
        <f>opex_orig!P120</f>
        <v>5.6693235000000002E-2</v>
      </c>
      <c r="Q120" s="188">
        <f>opex_orig!Q120</f>
        <v>9.8802100000000004E-2</v>
      </c>
      <c r="R120" s="188">
        <f>opex_orig!R120</f>
        <v>0.12718723700000001</v>
      </c>
      <c r="S120" s="188">
        <f>opex_orig!S120</f>
        <v>3.6350274000000002E-2</v>
      </c>
      <c r="T120" s="188">
        <f>opex_orig!T120</f>
        <v>8.8520909999999994E-2</v>
      </c>
      <c r="U120" s="188">
        <f>opex_orig!U120</f>
        <v>4.4718923000000001E-2</v>
      </c>
      <c r="V120" s="188">
        <f>opex_orig!V120</f>
        <v>5.4536973000000002E-2</v>
      </c>
      <c r="W120" s="188">
        <f>opex_orig!W120</f>
        <v>4.4759300000000002E-2</v>
      </c>
      <c r="X120" s="188">
        <f>opex_orig!X120</f>
        <v>5.5580422999999997E-2</v>
      </c>
      <c r="Y120" s="188">
        <f>opex_orig!Y120</f>
        <v>4.8460617999999997E-2</v>
      </c>
      <c r="Z120" s="188">
        <f>opex_orig!Z120</f>
        <v>3.7175910999999999E-2</v>
      </c>
      <c r="AA120" s="188">
        <f>opex_orig!AA120</f>
        <v>0.14436406399999999</v>
      </c>
      <c r="AB120" s="247">
        <f>opex_concordance!M161</f>
        <v>0.357646054898278</v>
      </c>
      <c r="AC120" s="247">
        <f>opex_concordance!M206</f>
        <v>0.30721673307756514</v>
      </c>
      <c r="AD120" s="247">
        <f>opex_concordance!M251</f>
        <v>0.16082230744495032</v>
      </c>
      <c r="AE120" s="188">
        <f>opex_orig!$AC120</f>
        <v>0.169727892590811</v>
      </c>
      <c r="AF120" s="231">
        <f>opex_concordance!$M$319</f>
        <v>5.2021404617691697E-2</v>
      </c>
      <c r="AG120" s="231">
        <f>opex_concordance!$M$355</f>
        <v>2.3052945187089811E-2</v>
      </c>
      <c r="AH120" s="231">
        <f>opex_concordance!$M$391</f>
        <v>1.849527897948082E-2</v>
      </c>
      <c r="AI120" s="188">
        <f>opex_orig!AE120</f>
        <v>3.9522473000000002E-2</v>
      </c>
      <c r="AJ120" s="188">
        <f>opex_orig!AF120</f>
        <v>7.5482272000000003E-2</v>
      </c>
      <c r="AK120" s="188">
        <f>opex_orig!AG120</f>
        <v>5.5607954000000001E-2</v>
      </c>
      <c r="AL120" s="188">
        <f>opex_orig!AH120</f>
        <v>2.940361E-2</v>
      </c>
      <c r="AM120" s="188">
        <f>opex_orig!AI120</f>
        <v>5.9315211E-2</v>
      </c>
      <c r="AN120" s="188">
        <f>opex_orig!AJ120</f>
        <v>3.3940799000000001E-2</v>
      </c>
      <c r="AO120" s="188">
        <f>opex_orig!AK120</f>
        <v>7.7683123000000007E-2</v>
      </c>
      <c r="AP120" s="231">
        <f>opex_concordance!M447</f>
        <v>3.8934471268083401E-2</v>
      </c>
      <c r="AQ120" s="231">
        <f>opex_concordance!M501</f>
        <v>3.1334095156203987E-2</v>
      </c>
      <c r="AR120" s="231">
        <f>opex_concordance!M555</f>
        <v>3.4386431157556609E-2</v>
      </c>
      <c r="AS120" s="188">
        <f>opex_orig!$AM120</f>
        <v>6.21944831505633E-2</v>
      </c>
      <c r="AT120" s="188">
        <f>opex_orig!AN120</f>
        <v>4.3413438999999998E-2</v>
      </c>
      <c r="AU120" s="231">
        <f>opex_concordance!M567</f>
        <v>3.5708672953641503E-2</v>
      </c>
      <c r="AV120" s="231">
        <f>opex_concordance!M613</f>
        <v>3.2340070908917891E-2</v>
      </c>
      <c r="AW120" s="231">
        <f>opex_concordance!M659</f>
        <v>2.9599360938006549E-2</v>
      </c>
      <c r="AX120" s="188">
        <f>opex_orig!$AP120</f>
        <v>5.0841793572019699E-2</v>
      </c>
      <c r="AY120" s="188">
        <f>opex_orig!AQ120</f>
        <v>6.2399393999999997E-2</v>
      </c>
      <c r="AZ120" s="188">
        <f>opex_orig!AR120</f>
        <v>0</v>
      </c>
      <c r="BA120" s="188">
        <f>opex_orig!AS120</f>
        <v>4.8955772000000002E-2</v>
      </c>
      <c r="BB120" s="188">
        <f>opex_orig!AT120</f>
        <v>3.6499759E-2</v>
      </c>
      <c r="BC120" s="188">
        <f>opex_orig!AU120</f>
        <v>3.6206851999999998E-2</v>
      </c>
      <c r="BD120" s="188">
        <f>opex_orig!AV120</f>
        <v>3.6250612000000002E-2</v>
      </c>
      <c r="BE120" s="188">
        <f>opex_orig!AW120</f>
        <v>4.7021668000000003E-2</v>
      </c>
      <c r="BF120" s="188">
        <f>opex_orig!AX120</f>
        <v>0</v>
      </c>
      <c r="BG120" s="188">
        <f>opex_orig!AY120</f>
        <v>0.173477718</v>
      </c>
      <c r="BH120" s="188">
        <f>opex_orig!AZ120</f>
        <v>0</v>
      </c>
      <c r="BI120" s="188">
        <f>opex_orig!BA120</f>
        <v>3.3094944000000001E-2</v>
      </c>
      <c r="BJ120" s="188">
        <f>opex_orig!BB120</f>
        <v>2.3265233999999999E-2</v>
      </c>
      <c r="BK120" s="188">
        <f>opex_orig!BC120</f>
        <v>3.2609791999999999E-2</v>
      </c>
      <c r="BL120" s="188">
        <f>opex_orig!BD120</f>
        <v>3.1222646E-2</v>
      </c>
      <c r="BM120" s="188">
        <f>opex_orig!BE120</f>
        <v>1.6184898999999999E-2</v>
      </c>
      <c r="BN120" s="188">
        <f>opex_orig!BF120</f>
        <v>3.8281326999999997E-2</v>
      </c>
      <c r="BO120" s="188">
        <f>opex_orig!BG120</f>
        <v>6.0106680000000003E-2</v>
      </c>
      <c r="BP120" s="247">
        <f>opex_concordance!M108</f>
        <v>3.6935275961190693E-2</v>
      </c>
      <c r="BQ120" s="247">
        <f>opex_concordance!M151</f>
        <v>3.1664187689568489E-2</v>
      </c>
      <c r="BR120" s="188">
        <f>opex_orig!BI120</f>
        <v>2.2503537000000001E-2</v>
      </c>
      <c r="BS120" s="188">
        <f>opex_orig!BJ120</f>
        <v>2.6395842999999999E-2</v>
      </c>
      <c r="BT120" s="188">
        <f>opex_orig!BK120</f>
        <v>5.8830331E-2</v>
      </c>
      <c r="BU120" s="188">
        <f>opex_orig!BL120</f>
        <v>0</v>
      </c>
      <c r="BV120" s="27">
        <f>opex_orig!BM120</f>
        <v>2.3965573699748301E-2</v>
      </c>
      <c r="BW120" s="27">
        <f>opex_orig!BN120</f>
        <v>8.1483341738130904E-2</v>
      </c>
      <c r="BX120" s="27">
        <f>opex_orig!BO120</f>
        <v>7.4399545275371801E-3</v>
      </c>
      <c r="BY120" s="27">
        <f>opex_orig!BP120</f>
        <v>2.6161791863222698E-2</v>
      </c>
      <c r="BZ120" s="27">
        <f>opex_orig!BQ120</f>
        <v>4.3736272762718298E-2</v>
      </c>
      <c r="CA120" s="27">
        <f>opex_orig!BR120</f>
        <v>1.9635223058099002E-2</v>
      </c>
      <c r="CB120" s="27">
        <f>opex_orig!BS120</f>
        <v>0.225370319324109</v>
      </c>
      <c r="CC120" s="27">
        <f>opex_orig!BT120</f>
        <v>2.16536653370639E-2</v>
      </c>
      <c r="CD120" s="27">
        <f>opex_orig!BU120</f>
        <v>1.7168994231766301E-2</v>
      </c>
      <c r="CE120" s="27">
        <f>opex_orig!BV120</f>
        <v>1.7168994231766401E-2</v>
      </c>
      <c r="CF120" s="27">
        <f>opex_orig!BW120</f>
        <v>4.5566789678724101E-2</v>
      </c>
      <c r="CG120" s="27">
        <f>opex_orig!BX120</f>
        <v>0.12161765813971399</v>
      </c>
      <c r="CH120" s="27">
        <f>opex_orig!BY120</f>
        <v>3.8426005168540701E-2</v>
      </c>
      <c r="CI120" s="27">
        <f>opex_orig!Y120</f>
        <v>4.8460617999999997E-2</v>
      </c>
      <c r="CJ120" s="27">
        <f>opex_orig!Z120</f>
        <v>3.7175910999999999E-2</v>
      </c>
      <c r="CK120" s="27">
        <f>opex_orig!AA120</f>
        <v>0.14436406399999999</v>
      </c>
      <c r="CL120" s="27">
        <f>opex_orig!AB120</f>
        <v>0.357646054898278</v>
      </c>
      <c r="CM120" s="27">
        <f>opex_orig!AC120</f>
        <v>0.169727892590811</v>
      </c>
      <c r="CN120" s="27">
        <f>opex_orig!AD120</f>
        <v>5.2021404617691697E-2</v>
      </c>
      <c r="CO120" s="27">
        <f>opex_orig!AE120</f>
        <v>3.9522473000000002E-2</v>
      </c>
      <c r="CP120" s="27">
        <f>opex_orig!AF120</f>
        <v>7.5482272000000003E-2</v>
      </c>
    </row>
    <row r="121" spans="1:94" x14ac:dyDescent="0.25">
      <c r="A121" s="5" t="s">
        <v>233</v>
      </c>
      <c r="B121" s="2" t="s">
        <v>232</v>
      </c>
      <c r="C121" s="1" t="s">
        <v>332</v>
      </c>
      <c r="D121" s="188">
        <f>opex_orig!D121</f>
        <v>2.7047005999999998E-2</v>
      </c>
      <c r="E121" s="188">
        <f>opex_orig!E121</f>
        <v>1.3680804E-2</v>
      </c>
      <c r="F121" s="188">
        <f>opex_orig!F121</f>
        <v>1.8247267000000001E-2</v>
      </c>
      <c r="G121" s="188">
        <f>opex_orig!G121</f>
        <v>5.3808329999999998E-3</v>
      </c>
      <c r="H121" s="188">
        <f>opex_orig!H121</f>
        <v>5.6697509999999998E-3</v>
      </c>
      <c r="I121" s="188">
        <f>opex_orig!I121</f>
        <v>1.4300277E-2</v>
      </c>
      <c r="J121" s="188">
        <f>opex_orig!J121</f>
        <v>4.8329324E-2</v>
      </c>
      <c r="K121" s="188">
        <f>opex_orig!K121</f>
        <v>1.2623667E-2</v>
      </c>
      <c r="L121" s="188">
        <f>opex_orig!L121</f>
        <v>2.1350544999999999E-2</v>
      </c>
      <c r="M121" s="188">
        <f>opex_orig!M121</f>
        <v>4.3004753E-2</v>
      </c>
      <c r="N121" s="188">
        <f>opex_orig!N121</f>
        <v>6.1013228000000003E-2</v>
      </c>
      <c r="O121" s="188">
        <f>opex_orig!O121</f>
        <v>2.9716441E-2</v>
      </c>
      <c r="P121" s="188">
        <f>opex_orig!P121</f>
        <v>1.4192654000000001E-2</v>
      </c>
      <c r="Q121" s="188">
        <f>opex_orig!Q121</f>
        <v>2.5603428000000001E-2</v>
      </c>
      <c r="R121" s="188">
        <f>opex_orig!R121</f>
        <v>3.2690811E-2</v>
      </c>
      <c r="S121" s="188">
        <f>opex_orig!S121</f>
        <v>7.5607069999999998E-3</v>
      </c>
      <c r="T121" s="188">
        <f>opex_orig!T121</f>
        <v>3.0930454E-2</v>
      </c>
      <c r="U121" s="188">
        <f>opex_orig!U121</f>
        <v>1.4920900000000001E-2</v>
      </c>
      <c r="V121" s="188">
        <f>opex_orig!V121</f>
        <v>2.3022616999999999E-2</v>
      </c>
      <c r="W121" s="188">
        <f>opex_orig!W121</f>
        <v>9.2359550000000006E-3</v>
      </c>
      <c r="X121" s="188">
        <f>opex_orig!X121</f>
        <v>2.2061883000000001E-2</v>
      </c>
      <c r="Y121" s="188">
        <f>opex_orig!Y121</f>
        <v>1.6837237000000001E-2</v>
      </c>
      <c r="Z121" s="188">
        <f>opex_orig!Z121</f>
        <v>9.4606180000000005E-3</v>
      </c>
      <c r="AA121" s="188">
        <f>opex_orig!AA121</f>
        <v>3.7355025E-2</v>
      </c>
      <c r="AB121" s="226">
        <f>opex_concordance!M162</f>
        <v>5.3624669526973701E-2</v>
      </c>
      <c r="AC121" s="226">
        <f>opex_concordance!M207</f>
        <v>4.6063406988025024E-2</v>
      </c>
      <c r="AD121" s="226">
        <f>opex_concordance!M252</f>
        <v>6.1238415363907159E-2</v>
      </c>
      <c r="AE121" s="188">
        <f>opex_orig!$AC121</f>
        <v>4.1410988565069799E-2</v>
      </c>
      <c r="AF121" s="226">
        <f>opex_concordance!$M$320</f>
        <v>2.7457674285480502E-2</v>
      </c>
      <c r="AG121" s="226">
        <f>opex_concordance!$M$356</f>
        <v>1.2167688760423826E-2</v>
      </c>
      <c r="AH121" s="226">
        <f>opex_concordance!$M$392</f>
        <v>9.7620844683030863E-3</v>
      </c>
      <c r="AI121" s="188">
        <f>opex_orig!AE121</f>
        <v>1.8418985999999998E-2</v>
      </c>
      <c r="AJ121" s="188">
        <f>opex_orig!AF121</f>
        <v>2.4101309000000001E-2</v>
      </c>
      <c r="AK121" s="188">
        <f>opex_orig!AG121</f>
        <v>1.1468366000000001E-2</v>
      </c>
      <c r="AL121" s="188">
        <f>opex_orig!AH121</f>
        <v>7.4705350000000004E-3</v>
      </c>
      <c r="AM121" s="188">
        <f>opex_orig!AI121</f>
        <v>2.4030131999999999E-2</v>
      </c>
      <c r="AN121" s="188">
        <f>opex_orig!AJ121</f>
        <v>1.0192769000000001E-2</v>
      </c>
      <c r="AO121" s="188">
        <f>opex_orig!AK121</f>
        <v>3.5758106999999997E-2</v>
      </c>
      <c r="AP121" s="226">
        <f>opex_concordance!M448</f>
        <v>1.16259332753585E-2</v>
      </c>
      <c r="AQ121" s="226">
        <f>opex_concordance!M502</f>
        <v>9.3564414172072567E-3</v>
      </c>
      <c r="AR121" s="226">
        <f>opex_concordance!M556</f>
        <v>1.0267876799014796E-2</v>
      </c>
      <c r="AS121" s="188">
        <f>opex_orig!$AM121</f>
        <v>2.6735464761741701E-2</v>
      </c>
      <c r="AT121" s="188">
        <f>opex_orig!AN121</f>
        <v>1.2361874E-2</v>
      </c>
      <c r="AU121" s="226">
        <f>opex_concordance!M568</f>
        <v>7.8379204446527798E-3</v>
      </c>
      <c r="AV121" s="226">
        <f>opex_concordance!M614</f>
        <v>7.0985248678270699E-3</v>
      </c>
      <c r="AW121" s="226">
        <f>opex_concordance!M660</f>
        <v>6.4969492578412875E-3</v>
      </c>
      <c r="AX121" s="188">
        <f>opex_orig!$AP121</f>
        <v>1.34679420555038E-2</v>
      </c>
      <c r="AY121" s="188">
        <f>opex_orig!AQ121</f>
        <v>1.6855917000000002E-2</v>
      </c>
      <c r="AZ121" s="188">
        <f>opex_orig!AR121</f>
        <v>0</v>
      </c>
      <c r="BA121" s="188">
        <f>opex_orig!AS121</f>
        <v>1.3217791E-2</v>
      </c>
      <c r="BB121" s="188">
        <f>opex_orig!AT121</f>
        <v>8.7980990000000002E-3</v>
      </c>
      <c r="BC121" s="188">
        <f>opex_orig!AU121</f>
        <v>1.5454346000000001E-2</v>
      </c>
      <c r="BD121" s="188">
        <f>opex_orig!AV121</f>
        <v>1.6485316E-2</v>
      </c>
      <c r="BE121" s="188">
        <f>opex_orig!AW121</f>
        <v>1.3031205000000001E-2</v>
      </c>
      <c r="BF121" s="188">
        <f>opex_orig!AX121</f>
        <v>0</v>
      </c>
      <c r="BG121" s="188">
        <f>opex_orig!AY121</f>
        <v>3.5406733000000003E-2</v>
      </c>
      <c r="BH121" s="188">
        <f>opex_orig!AZ121</f>
        <v>0</v>
      </c>
      <c r="BI121" s="188">
        <f>opex_orig!BA121</f>
        <v>6.8954999999999997E-3</v>
      </c>
      <c r="BJ121" s="188">
        <f>opex_orig!BB121</f>
        <v>5.0690370000000002E-3</v>
      </c>
      <c r="BK121" s="188">
        <f>opex_orig!BC121</f>
        <v>7.3100459999999997E-3</v>
      </c>
      <c r="BL121" s="188">
        <f>opex_orig!BD121</f>
        <v>8.9717000000000009E-3</v>
      </c>
      <c r="BM121" s="188">
        <f>opex_orig!BE121</f>
        <v>4.0568649999999998E-3</v>
      </c>
      <c r="BN121" s="188">
        <f>opex_orig!BF121</f>
        <v>9.2111180000000008E-3</v>
      </c>
      <c r="BO121" s="188">
        <f>opex_orig!BG121</f>
        <v>1.3582240000000001E-2</v>
      </c>
      <c r="BP121" s="327">
        <f>opex_concordance!M109</f>
        <v>7.3399211585520102E-3</v>
      </c>
      <c r="BQ121" s="327">
        <f>opex_concordance!M152</f>
        <v>6.2924300724118238E-3</v>
      </c>
      <c r="BR121" s="188">
        <f>opex_orig!BI121</f>
        <v>7.5583179999999996E-3</v>
      </c>
      <c r="BS121" s="188">
        <f>opex_orig!BJ121</f>
        <v>1.0024137000000001E-2</v>
      </c>
      <c r="BT121" s="188">
        <f>opex_orig!BK121</f>
        <v>1.3196041E-2</v>
      </c>
      <c r="BU121" s="188">
        <f>opex_orig!BL121</f>
        <v>0</v>
      </c>
      <c r="BV121" s="27">
        <f>opex_orig!BM121</f>
        <v>7.3206236622921804E-3</v>
      </c>
      <c r="BW121" s="27">
        <f>opex_orig!BN121</f>
        <v>1.5881573944063299E-2</v>
      </c>
      <c r="BX121" s="27">
        <f>opex_orig!BO121</f>
        <v>3.4981227957675801E-3</v>
      </c>
      <c r="BY121" s="27">
        <f>opex_orig!BP121</f>
        <v>6.8176716485519404E-3</v>
      </c>
      <c r="BZ121" s="27">
        <f>opex_orig!BQ121</f>
        <v>1.17878746149614E-2</v>
      </c>
      <c r="CA121" s="27">
        <f>opex_orig!BR121</f>
        <v>1.36597751768648E-2</v>
      </c>
      <c r="CB121" s="27">
        <f>opex_orig!BS121</f>
        <v>4.4527794788358402E-2</v>
      </c>
      <c r="CC121" s="27">
        <f>opex_orig!BT121</f>
        <v>1.01487524800248E-2</v>
      </c>
      <c r="CD121" s="27">
        <f>opex_orig!BU121</f>
        <v>4.7867435537118997E-3</v>
      </c>
      <c r="CE121" s="27">
        <f>opex_orig!BV121</f>
        <v>4.7867435537119196E-3</v>
      </c>
      <c r="CF121" s="27">
        <f>opex_orig!BW121</f>
        <v>9.5861292219202292E-3</v>
      </c>
      <c r="CG121" s="27">
        <f>opex_orig!BX121</f>
        <v>4.9828546844768201E-2</v>
      </c>
      <c r="CH121" s="27">
        <f>opex_orig!BY121</f>
        <v>0.67565041258360403</v>
      </c>
      <c r="CI121" s="27">
        <f>opex_orig!Y121</f>
        <v>1.6837237000000001E-2</v>
      </c>
      <c r="CJ121" s="27">
        <f>opex_orig!Z121</f>
        <v>9.4606180000000005E-3</v>
      </c>
      <c r="CK121" s="27">
        <f>opex_orig!AA121</f>
        <v>3.7355025E-2</v>
      </c>
      <c r="CL121" s="27">
        <f>opex_orig!AB121</f>
        <v>5.3624669526973701E-2</v>
      </c>
      <c r="CM121" s="27">
        <f>opex_orig!AC121</f>
        <v>4.1410988565069799E-2</v>
      </c>
      <c r="CN121" s="27">
        <f>opex_orig!AD121</f>
        <v>2.7457674285480502E-2</v>
      </c>
      <c r="CO121" s="27">
        <f>opex_orig!AE121</f>
        <v>1.8418985999999998E-2</v>
      </c>
      <c r="CP121" s="27">
        <f>opex_orig!AF121</f>
        <v>2.4101309000000001E-2</v>
      </c>
    </row>
    <row r="122" spans="1:94" x14ac:dyDescent="0.25">
      <c r="A122" s="6" t="s">
        <v>235</v>
      </c>
      <c r="B122" s="2" t="s">
        <v>234</v>
      </c>
      <c r="C122" s="1" t="s">
        <v>332</v>
      </c>
      <c r="D122" s="188">
        <f>opex_orig!D122</f>
        <v>6.3601800000000002E-4</v>
      </c>
      <c r="E122" s="188">
        <f>opex_orig!E122</f>
        <v>6.3840399999999997E-4</v>
      </c>
      <c r="F122" s="188">
        <f>opex_orig!F122</f>
        <v>4.1790399999999998E-4</v>
      </c>
      <c r="G122" s="188">
        <f>opex_orig!G122</f>
        <v>6.1699999999999995E-5</v>
      </c>
      <c r="H122" s="188">
        <f>opex_orig!H122</f>
        <v>1.1585400000000001E-4</v>
      </c>
      <c r="I122" s="188">
        <f>opex_orig!I122</f>
        <v>1.270817E-3</v>
      </c>
      <c r="J122" s="188">
        <f>opex_orig!J122</f>
        <v>1.540977E-3</v>
      </c>
      <c r="K122" s="188">
        <f>opex_orig!K122</f>
        <v>1.53659E-4</v>
      </c>
      <c r="L122" s="188">
        <f>opex_orig!L122</f>
        <v>2.7754939999999999E-3</v>
      </c>
      <c r="M122" s="188">
        <f>opex_orig!M122</f>
        <v>8.4789940000000001E-3</v>
      </c>
      <c r="N122" s="188">
        <f>opex_orig!N122</f>
        <v>3.6861860000000001E-3</v>
      </c>
      <c r="O122" s="188">
        <f>opex_orig!O122</f>
        <v>5.0403700000000004E-4</v>
      </c>
      <c r="P122" s="188">
        <f>opex_orig!P122</f>
        <v>1.405377E-3</v>
      </c>
      <c r="Q122" s="188">
        <f>opex_orig!Q122</f>
        <v>3.3681999999999999E-4</v>
      </c>
      <c r="R122" s="188">
        <f>opex_orig!R122</f>
        <v>1.67713E-4</v>
      </c>
      <c r="S122" s="188">
        <f>opex_orig!S122</f>
        <v>3.040896E-3</v>
      </c>
      <c r="T122" s="188">
        <f>opex_orig!T122</f>
        <v>3.4201000000000001E-3</v>
      </c>
      <c r="U122" s="188">
        <f>opex_orig!U122</f>
        <v>1.0460929999999999E-3</v>
      </c>
      <c r="V122" s="188">
        <f>opex_orig!V122</f>
        <v>1.2675500000000001E-3</v>
      </c>
      <c r="W122" s="188">
        <f>opex_orig!W122</f>
        <v>6.65268E-4</v>
      </c>
      <c r="X122" s="188">
        <f>opex_orig!X122</f>
        <v>1.1286650000000001E-3</v>
      </c>
      <c r="Y122" s="188">
        <f>opex_orig!Y122</f>
        <v>2.2492899999999999E-4</v>
      </c>
      <c r="Z122" s="188">
        <f>opex_orig!Z122</f>
        <v>9.5444400000000004E-4</v>
      </c>
      <c r="AA122" s="188">
        <f>opex_orig!AA122</f>
        <v>2.0024079999999998E-3</v>
      </c>
      <c r="AB122" s="188">
        <f>opex_orig!$AB122</f>
        <v>8.7640671672479002E-4</v>
      </c>
      <c r="AC122" s="188">
        <f>opex_orig!$AB122</f>
        <v>8.7640671672479002E-4</v>
      </c>
      <c r="AD122" s="188">
        <f>opex_orig!$AB122</f>
        <v>8.7640671672479002E-4</v>
      </c>
      <c r="AE122" s="188">
        <f>opex_orig!$AC122</f>
        <v>1.2806693118066299E-3</v>
      </c>
      <c r="AF122" s="188">
        <f>opex_orig!$AD122</f>
        <v>1.0303402224011099E-3</v>
      </c>
      <c r="AG122" s="188">
        <f>opex_orig!$AD122</f>
        <v>1.0303402224011099E-3</v>
      </c>
      <c r="AH122" s="188">
        <f>opex_orig!$AD122</f>
        <v>1.0303402224011099E-3</v>
      </c>
      <c r="AI122" s="188">
        <f>opex_orig!AE122</f>
        <v>9.8945499999999998E-4</v>
      </c>
      <c r="AJ122" s="188">
        <f>opex_orig!AF122</f>
        <v>7.5197959999999996E-3</v>
      </c>
      <c r="AK122" s="188">
        <f>opex_orig!AG122</f>
        <v>1.1124590000000001E-3</v>
      </c>
      <c r="AL122" s="188">
        <f>opex_orig!AH122</f>
        <v>1.23485E-4</v>
      </c>
      <c r="AM122" s="188">
        <f>opex_orig!AI122</f>
        <v>2.0772400000000001E-4</v>
      </c>
      <c r="AN122" s="188">
        <f>opex_orig!AJ122</f>
        <v>1.5065799999999999E-4</v>
      </c>
      <c r="AO122" s="188">
        <f>opex_orig!AK122</f>
        <v>1.66253E-4</v>
      </c>
      <c r="AP122" s="188">
        <f>opex_orig!$AL122</f>
        <v>1.9468287615884901E-4</v>
      </c>
      <c r="AQ122" s="188">
        <f>opex_orig!$AL122</f>
        <v>1.9468287615884901E-4</v>
      </c>
      <c r="AR122" s="188">
        <f>opex_orig!$AL122</f>
        <v>1.9468287615884901E-4</v>
      </c>
      <c r="AS122" s="188">
        <f>opex_orig!$AM122</f>
        <v>1.7532261087102201E-4</v>
      </c>
      <c r="AT122" s="188">
        <f>opex_orig!AN122</f>
        <v>2.69349E-4</v>
      </c>
      <c r="AU122" s="188">
        <f>opex_orig!$AO122</f>
        <v>1.0666872770045399E-3</v>
      </c>
      <c r="AV122" s="188">
        <f>opex_orig!$AO122</f>
        <v>1.0666872770045399E-3</v>
      </c>
      <c r="AW122" s="188">
        <f>opex_orig!$AO122</f>
        <v>1.0666872770045399E-3</v>
      </c>
      <c r="AX122" s="188">
        <f>opex_orig!$AP122</f>
        <v>1.32780377541732E-3</v>
      </c>
      <c r="AY122" s="188">
        <f>opex_orig!AQ122</f>
        <v>4.8336070000000002E-3</v>
      </c>
      <c r="AZ122" s="188">
        <f>opex_orig!AR122</f>
        <v>0</v>
      </c>
      <c r="BA122" s="188">
        <f>opex_orig!AS122</f>
        <v>2.3437559999999998E-3</v>
      </c>
      <c r="BB122" s="188">
        <f>opex_orig!AT122</f>
        <v>2.497151E-3</v>
      </c>
      <c r="BC122" s="188">
        <f>opex_orig!AU122</f>
        <v>6.7650499999999999E-4</v>
      </c>
      <c r="BD122" s="188">
        <f>opex_orig!AV122</f>
        <v>5.9042600000000002E-4</v>
      </c>
      <c r="BE122" s="188">
        <f>opex_orig!AW122</f>
        <v>1.7573389999999999E-3</v>
      </c>
      <c r="BF122" s="188">
        <f>opex_orig!AX122</f>
        <v>0</v>
      </c>
      <c r="BG122" s="188">
        <f>opex_orig!AY122</f>
        <v>5.1771170000000002E-3</v>
      </c>
      <c r="BH122" s="188">
        <f>opex_orig!AZ122</f>
        <v>0</v>
      </c>
      <c r="BI122" s="188">
        <f>opex_orig!BA122</f>
        <v>2.401748E-3</v>
      </c>
      <c r="BJ122" s="188">
        <f>opex_orig!BB122</f>
        <v>8.9070600000000001E-4</v>
      </c>
      <c r="BK122" s="188">
        <f>opex_orig!BC122</f>
        <v>8.2441100000000005E-4</v>
      </c>
      <c r="BL122" s="188">
        <f>opex_orig!BD122</f>
        <v>1.0273299999999999E-4</v>
      </c>
      <c r="BM122" s="188">
        <f>opex_orig!BE122</f>
        <v>1.456316E-3</v>
      </c>
      <c r="BN122" s="188">
        <f>opex_orig!BF122</f>
        <v>1.6199000000000001E-4</v>
      </c>
      <c r="BO122" s="188">
        <f>opex_orig!BG122</f>
        <v>4.6446370000000001E-3</v>
      </c>
      <c r="BP122" s="188">
        <f>opex_orig!$BH122</f>
        <v>1.66048719596853E-3</v>
      </c>
      <c r="BQ122" s="188">
        <f>opex_orig!$BH122</f>
        <v>1.66048719596853E-3</v>
      </c>
      <c r="BR122" s="188">
        <f>opex_orig!BI122</f>
        <v>1.0168589999999999E-3</v>
      </c>
      <c r="BS122" s="188">
        <f>opex_orig!BJ122</f>
        <v>9.99923E-4</v>
      </c>
      <c r="BT122" s="188">
        <f>opex_orig!BK122</f>
        <v>1.9419540000000001E-3</v>
      </c>
      <c r="BU122" s="188">
        <f>opex_orig!BL122</f>
        <v>0</v>
      </c>
      <c r="BV122" s="27">
        <f>opex_orig!BM122</f>
        <v>2.9297467684564998E-3</v>
      </c>
      <c r="BW122" s="27">
        <f>opex_orig!BN122</f>
        <v>1.7342055752926401E-3</v>
      </c>
      <c r="BX122" s="27">
        <f>opex_orig!BO122</f>
        <v>1.3519142268663901E-3</v>
      </c>
      <c r="BY122" s="27">
        <f>opex_orig!BP122</f>
        <v>1.3086217574843099E-3</v>
      </c>
      <c r="BZ122" s="27">
        <f>opex_orig!BQ122</f>
        <v>1.07527844912141E-3</v>
      </c>
      <c r="CA122" s="27">
        <f>opex_orig!BR122</f>
        <v>6.4091055778930602E-4</v>
      </c>
      <c r="CB122" s="27">
        <f>opex_orig!BS122</f>
        <v>1.9013122446813399E-3</v>
      </c>
      <c r="CC122" s="27">
        <f>opex_orig!BT122</f>
        <v>3.2315041847901598E-3</v>
      </c>
      <c r="CD122" s="27">
        <f>opex_orig!BU122</f>
        <v>5.4876639564093097E-3</v>
      </c>
      <c r="CE122" s="27">
        <f>opex_orig!BV122</f>
        <v>5.4876639564093296E-3</v>
      </c>
      <c r="CF122" s="27">
        <f>opex_orig!BW122</f>
        <v>1.74792733450863E-3</v>
      </c>
      <c r="CG122" s="27">
        <f>opex_orig!BX122</f>
        <v>3.1675541870723001E-6</v>
      </c>
      <c r="CH122" s="27">
        <f>opex_orig!BY122</f>
        <v>2.1065767314186299E-3</v>
      </c>
      <c r="CI122" s="27">
        <f>opex_orig!Y122</f>
        <v>2.2492899999999999E-4</v>
      </c>
      <c r="CJ122" s="27">
        <f>opex_orig!Z122</f>
        <v>9.5444400000000004E-4</v>
      </c>
      <c r="CK122" s="27">
        <f>opex_orig!AA122</f>
        <v>2.0024079999999998E-3</v>
      </c>
      <c r="CL122" s="27">
        <f>opex_orig!AB122</f>
        <v>8.7640671672479002E-4</v>
      </c>
      <c r="CM122" s="27">
        <f>opex_orig!AC122</f>
        <v>1.2806693118066299E-3</v>
      </c>
      <c r="CN122" s="27">
        <f>opex_orig!AD122</f>
        <v>1.0303402224011099E-3</v>
      </c>
      <c r="CO122" s="27">
        <f>opex_orig!AE122</f>
        <v>9.8945499999999998E-4</v>
      </c>
      <c r="CP122" s="27">
        <f>opex_orig!AF122</f>
        <v>7.5197959999999996E-3</v>
      </c>
    </row>
    <row r="123" spans="1:94" x14ac:dyDescent="0.25">
      <c r="A123" s="5" t="s">
        <v>237</v>
      </c>
      <c r="B123" s="2" t="s">
        <v>236</v>
      </c>
      <c r="C123" s="1" t="s">
        <v>333</v>
      </c>
      <c r="D123" s="188">
        <f>opex_orig!D123</f>
        <v>3.448193E-3</v>
      </c>
      <c r="E123" s="188">
        <f>opex_orig!E123</f>
        <v>2.3110040000000002E-3</v>
      </c>
      <c r="F123" s="188">
        <f>opex_orig!F123</f>
        <v>3.766742E-3</v>
      </c>
      <c r="G123" s="188">
        <f>opex_orig!G123</f>
        <v>1.0225290000000001E-3</v>
      </c>
      <c r="H123" s="188">
        <f>opex_orig!H123</f>
        <v>1.393149E-3</v>
      </c>
      <c r="I123" s="188">
        <f>opex_orig!I123</f>
        <v>2.3489359999999998E-3</v>
      </c>
      <c r="J123" s="188">
        <f>opex_orig!J123</f>
        <v>9.2288309999999998E-3</v>
      </c>
      <c r="K123" s="188">
        <f>opex_orig!K123</f>
        <v>3.2219990000000001E-3</v>
      </c>
      <c r="L123" s="188">
        <f>opex_orig!L123</f>
        <v>1.7149540000000001E-3</v>
      </c>
      <c r="M123" s="188">
        <f>opex_orig!M123</f>
        <v>2.4381559999999999E-3</v>
      </c>
      <c r="N123" s="188">
        <f>opex_orig!N123</f>
        <v>6.3753129999999996E-3</v>
      </c>
      <c r="O123" s="188">
        <f>opex_orig!O123</f>
        <v>2.906301E-3</v>
      </c>
      <c r="P123" s="188">
        <f>opex_orig!P123</f>
        <v>2.3134140000000002E-3</v>
      </c>
      <c r="Q123" s="188">
        <f>opex_orig!Q123</f>
        <v>5.2272519999999999E-3</v>
      </c>
      <c r="R123" s="188">
        <f>opex_orig!R123</f>
        <v>7.74693E-3</v>
      </c>
      <c r="S123" s="188">
        <f>opex_orig!S123</f>
        <v>1.665202E-3</v>
      </c>
      <c r="T123" s="188">
        <f>opex_orig!T123</f>
        <v>5.1308609999999996E-3</v>
      </c>
      <c r="U123" s="188">
        <f>opex_orig!U123</f>
        <v>4.4612469999999998E-3</v>
      </c>
      <c r="V123" s="188">
        <f>opex_orig!V123</f>
        <v>5.6526129999999999E-3</v>
      </c>
      <c r="W123" s="188">
        <f>opex_orig!W123</f>
        <v>2.8104110000000001E-3</v>
      </c>
      <c r="X123" s="188">
        <f>opex_orig!X123</f>
        <v>1.7811260000000001E-3</v>
      </c>
      <c r="Y123" s="188">
        <f>opex_orig!Y123</f>
        <v>1.5367845E-2</v>
      </c>
      <c r="Z123" s="188">
        <f>opex_orig!Z123</f>
        <v>1.5436791E-2</v>
      </c>
      <c r="AA123" s="188">
        <f>opex_orig!AA123</f>
        <v>4.1934870999999999E-2</v>
      </c>
      <c r="AB123" s="254">
        <f>opex_concordance!M195</f>
        <v>1.4535611744200599E-2</v>
      </c>
      <c r="AC123" s="254">
        <f>opex_concordance!M224</f>
        <v>2.1644560069678416E-2</v>
      </c>
      <c r="AD123" s="254">
        <f>opex_concordance!M285</f>
        <v>2.5622983159442628E-2</v>
      </c>
      <c r="AE123" s="188">
        <f>opex_orig!$AC123</f>
        <v>1.9229450169041401E-2</v>
      </c>
      <c r="AF123" s="188">
        <f>opex_orig!$AD123</f>
        <v>4.3368112600819103E-3</v>
      </c>
      <c r="AG123" s="188">
        <f>opex_orig!$AD123</f>
        <v>4.3368112600819103E-3</v>
      </c>
      <c r="AH123" s="188">
        <f>opex_orig!$AD123</f>
        <v>4.3368112600819103E-3</v>
      </c>
      <c r="AI123" s="188">
        <f>opex_orig!AE123</f>
        <v>3.3597689999999999E-3</v>
      </c>
      <c r="AJ123" s="188">
        <f>opex_orig!AF123</f>
        <v>2.0337596999999999E-2</v>
      </c>
      <c r="AK123" s="188">
        <f>opex_orig!AG123</f>
        <v>8.99499E-4</v>
      </c>
      <c r="AL123" s="188">
        <f>opex_orig!AH123</f>
        <v>1.6684429999999999E-3</v>
      </c>
      <c r="AM123" s="188">
        <f>opex_orig!AI123</f>
        <v>3.7368240000000001E-3</v>
      </c>
      <c r="AN123" s="188">
        <f>opex_orig!AJ123</f>
        <v>2.464211E-3</v>
      </c>
      <c r="AO123" s="188">
        <f>opex_orig!AK123</f>
        <v>5.5260400000000003E-3</v>
      </c>
      <c r="AP123" s="188">
        <f>opex_orig!$AL123</f>
        <v>2.84086392656226E-3</v>
      </c>
      <c r="AQ123" s="188">
        <f>opex_orig!$AL123</f>
        <v>2.84086392656226E-3</v>
      </c>
      <c r="AR123" s="188">
        <f>opex_orig!$AL123</f>
        <v>2.84086392656226E-3</v>
      </c>
      <c r="AS123" s="188">
        <f>opex_orig!$AM123</f>
        <v>4.6158598009367197E-3</v>
      </c>
      <c r="AT123" s="188">
        <f>opex_orig!AN123</f>
        <v>3.2285399999999998E-3</v>
      </c>
      <c r="AU123" s="188">
        <f>opex_orig!$AO123</f>
        <v>4.52605322254028E-3</v>
      </c>
      <c r="AV123" s="188">
        <f>opex_orig!$AO123</f>
        <v>4.52605322254028E-3</v>
      </c>
      <c r="AW123" s="188">
        <f>opex_orig!$AO123</f>
        <v>4.52605322254028E-3</v>
      </c>
      <c r="AX123" s="188">
        <f>opex_orig!$AP123</f>
        <v>5.7844543444071196E-3</v>
      </c>
      <c r="AY123" s="188">
        <f>opex_orig!AQ123</f>
        <v>3.9981349999999999E-3</v>
      </c>
      <c r="AZ123" s="188">
        <f>opex_orig!AR123</f>
        <v>0</v>
      </c>
      <c r="BA123" s="188">
        <f>opex_orig!AS123</f>
        <v>3.2267720000000001E-3</v>
      </c>
      <c r="BB123" s="188">
        <f>opex_orig!AT123</f>
        <v>2.4369439999999999E-3</v>
      </c>
      <c r="BC123" s="188">
        <f>opex_orig!AU123</f>
        <v>1.987698E-3</v>
      </c>
      <c r="BD123" s="188">
        <f>opex_orig!AV123</f>
        <v>1.8890479999999999E-3</v>
      </c>
      <c r="BE123" s="188">
        <f>opex_orig!AW123</f>
        <v>2.9090050000000001E-3</v>
      </c>
      <c r="BF123" s="188">
        <f>opex_orig!AX123</f>
        <v>0</v>
      </c>
      <c r="BG123" s="188">
        <f>opex_orig!AY123</f>
        <v>1.0537479000000001E-2</v>
      </c>
      <c r="BH123" s="188">
        <f>opex_orig!AZ123</f>
        <v>0</v>
      </c>
      <c r="BI123" s="188">
        <f>opex_orig!BA123</f>
        <v>1.745576E-3</v>
      </c>
      <c r="BJ123" s="188">
        <f>opex_orig!BB123</f>
        <v>9.8828999999999996E-4</v>
      </c>
      <c r="BK123" s="188">
        <f>opex_orig!BC123</f>
        <v>2.044761E-3</v>
      </c>
      <c r="BL123" s="188">
        <f>opex_orig!BD123</f>
        <v>1.5036889999999999E-3</v>
      </c>
      <c r="BM123" s="188">
        <f>opex_orig!BE123</f>
        <v>1.4659639999999999E-3</v>
      </c>
      <c r="BN123" s="188">
        <f>opex_orig!BF123</f>
        <v>8.9982899999999999E-4</v>
      </c>
      <c r="BO123" s="188">
        <f>opex_orig!BG123</f>
        <v>1.5195740000000001E-3</v>
      </c>
      <c r="BP123" s="188">
        <f>opex_orig!$BH123</f>
        <v>3.4514886087290502E-3</v>
      </c>
      <c r="BQ123" s="188">
        <f>opex_orig!$BH123</f>
        <v>3.4514886087290502E-3</v>
      </c>
      <c r="BR123" s="188">
        <f>opex_orig!BI123</f>
        <v>1.388495E-3</v>
      </c>
      <c r="BS123" s="188">
        <f>opex_orig!BJ123</f>
        <v>1.5173070000000001E-3</v>
      </c>
      <c r="BT123" s="188">
        <f>opex_orig!BK123</f>
        <v>2.9180790000000001E-3</v>
      </c>
      <c r="BU123" s="188">
        <f>opex_orig!BL123</f>
        <v>0</v>
      </c>
      <c r="BV123" s="27">
        <f>opex_orig!BM123</f>
        <v>1.5873600319641998E-2</v>
      </c>
      <c r="BW123" s="27">
        <f>opex_orig!BN123</f>
        <v>5.2947482641924497E-2</v>
      </c>
      <c r="BX123" s="27">
        <f>opex_orig!BO123</f>
        <v>3.0334280676113001E-3</v>
      </c>
      <c r="BY123" s="27">
        <f>opex_orig!BP123</f>
        <v>4.0771797757612601E-3</v>
      </c>
      <c r="BZ123" s="27">
        <f>opex_orig!BQ123</f>
        <v>5.7667470529491997E-3</v>
      </c>
      <c r="CA123" s="27">
        <f>opex_orig!BR123</f>
        <v>1.4332833667677501E-3</v>
      </c>
      <c r="CB123" s="27">
        <f>opex_orig!BS123</f>
        <v>4.0962333344819503E-2</v>
      </c>
      <c r="CC123" s="27">
        <f>opex_orig!BT123</f>
        <v>2.0846614070915898E-3</v>
      </c>
      <c r="CD123" s="27">
        <f>opex_orig!BU123</f>
        <v>3.7079157077593802E-3</v>
      </c>
      <c r="CE123" s="27">
        <f>opex_orig!BV123</f>
        <v>3.7079157077593802E-3</v>
      </c>
      <c r="CF123" s="27">
        <f>opex_orig!BW123</f>
        <v>1.3368263496317001E-3</v>
      </c>
      <c r="CG123" s="27">
        <f>opex_orig!BX123</f>
        <v>1.2146404041005501E-2</v>
      </c>
      <c r="CH123" s="27">
        <f>opex_orig!BY123</f>
        <v>1.54477973395384E-3</v>
      </c>
      <c r="CI123" s="27">
        <f>opex_orig!Y123</f>
        <v>1.5367845E-2</v>
      </c>
      <c r="CJ123" s="27">
        <f>opex_orig!Z123</f>
        <v>1.5436791E-2</v>
      </c>
      <c r="CK123" s="27">
        <f>opex_orig!AA123</f>
        <v>4.1934870999999999E-2</v>
      </c>
      <c r="CL123" s="27">
        <f>opex_orig!AB123</f>
        <v>1.4535611744200601E-2</v>
      </c>
      <c r="CM123" s="27">
        <f>opex_orig!AC123</f>
        <v>1.9229450169041401E-2</v>
      </c>
      <c r="CN123" s="27">
        <f>opex_orig!AD123</f>
        <v>4.3368112600819103E-3</v>
      </c>
      <c r="CO123" s="27">
        <f>opex_orig!AE123</f>
        <v>3.3597689999999999E-3</v>
      </c>
      <c r="CP123" s="27">
        <f>opex_orig!AF123</f>
        <v>2.0337596999999999E-2</v>
      </c>
    </row>
    <row r="124" spans="1:94" x14ac:dyDescent="0.25">
      <c r="A124" s="5" t="s">
        <v>239</v>
      </c>
      <c r="B124" s="2" t="s">
        <v>238</v>
      </c>
      <c r="C124" s="1" t="s">
        <v>333</v>
      </c>
      <c r="D124" s="188">
        <f>opex_orig!D124</f>
        <v>1.7270707E-2</v>
      </c>
      <c r="E124" s="188">
        <f>opex_orig!E124</f>
        <v>2.2416934999999999E-2</v>
      </c>
      <c r="F124" s="188">
        <f>opex_orig!F124</f>
        <v>1.7898491999999998E-2</v>
      </c>
      <c r="G124" s="188">
        <f>opex_orig!G124</f>
        <v>5.365201E-3</v>
      </c>
      <c r="H124" s="188">
        <f>opex_orig!H124</f>
        <v>7.5185429999999999E-3</v>
      </c>
      <c r="I124" s="188">
        <f>opex_orig!I124</f>
        <v>5.8809425999999998E-2</v>
      </c>
      <c r="J124" s="188">
        <f>opex_orig!J124</f>
        <v>8.2560713999999993E-2</v>
      </c>
      <c r="K124" s="188">
        <f>opex_orig!K124</f>
        <v>1.6656901000000002E-2</v>
      </c>
      <c r="L124" s="188">
        <f>opex_orig!L124</f>
        <v>2.2148866E-2</v>
      </c>
      <c r="M124" s="188">
        <f>opex_orig!M124</f>
        <v>4.2818881000000003E-2</v>
      </c>
      <c r="N124" s="188">
        <f>opex_orig!N124</f>
        <v>4.3011425999999998E-2</v>
      </c>
      <c r="O124" s="188">
        <f>opex_orig!O124</f>
        <v>1.523249E-2</v>
      </c>
      <c r="P124" s="188">
        <f>opex_orig!P124</f>
        <v>2.9560468999999999E-2</v>
      </c>
      <c r="Q124" s="188">
        <f>opex_orig!Q124</f>
        <v>1.8033820999999998E-2</v>
      </c>
      <c r="R124" s="188">
        <f>opex_orig!R124</f>
        <v>2.8983867999999999E-2</v>
      </c>
      <c r="S124" s="188">
        <f>opex_orig!S124</f>
        <v>4.2644287000000003E-2</v>
      </c>
      <c r="T124" s="188">
        <f>opex_orig!T124</f>
        <v>6.1622964000000002E-2</v>
      </c>
      <c r="U124" s="188">
        <f>opex_orig!U124</f>
        <v>0.20064143300000001</v>
      </c>
      <c r="V124" s="188">
        <f>opex_orig!V124</f>
        <v>0.28683148000000003</v>
      </c>
      <c r="W124" s="188">
        <f>opex_orig!W124</f>
        <v>3.8606641999999997E-2</v>
      </c>
      <c r="X124" s="188">
        <f>opex_orig!X124</f>
        <v>2.0610397999999999E-2</v>
      </c>
      <c r="Y124" s="188">
        <f>opex_orig!Y124</f>
        <v>4.0072492000000001E-2</v>
      </c>
      <c r="Z124" s="188">
        <f>opex_orig!Z124</f>
        <v>0.22639365</v>
      </c>
      <c r="AA124" s="188">
        <f>opex_orig!AA124</f>
        <v>0.12693434000000001</v>
      </c>
      <c r="AB124" s="217">
        <f>opex_concordance!M196</f>
        <v>5.6700519893351398E-2</v>
      </c>
      <c r="AC124" s="217">
        <f>opex_concordance!M225</f>
        <v>6.895359983579194E-2</v>
      </c>
      <c r="AD124" s="217">
        <f>opex_concordance!M286</f>
        <v>9.9950142582656359E-2</v>
      </c>
      <c r="AE124" s="188">
        <f>opex_orig!$AC124</f>
        <v>7.5949282296661202E-2</v>
      </c>
      <c r="AF124" s="217">
        <f>opex_concordance!$M$321</f>
        <v>4.4291695162636098E-2</v>
      </c>
      <c r="AG124" s="217">
        <f>opex_concordance!$M$357</f>
        <v>1.9627575001700277E-2</v>
      </c>
      <c r="AH124" s="217">
        <f>opex_concordance!$M$393</f>
        <v>1.5747119181562481E-2</v>
      </c>
      <c r="AI124" s="188">
        <f>opex_orig!AE124</f>
        <v>4.1029897000000003E-2</v>
      </c>
      <c r="AJ124" s="188">
        <f>opex_orig!AF124</f>
        <v>2.2112364999999998E-2</v>
      </c>
      <c r="AK124" s="188">
        <f>opex_orig!AG124</f>
        <v>3.3451370000000002E-3</v>
      </c>
      <c r="AL124" s="188">
        <f>opex_orig!AH124</f>
        <v>5.991405E-3</v>
      </c>
      <c r="AM124" s="188">
        <f>opex_orig!AI124</f>
        <v>1.3793730000000001E-2</v>
      </c>
      <c r="AN124" s="188">
        <f>opex_orig!AJ124</f>
        <v>8.7423589999999999E-3</v>
      </c>
      <c r="AO124" s="188">
        <f>opex_orig!AK124</f>
        <v>2.0739205E-2</v>
      </c>
      <c r="AP124" s="217">
        <f>opex_concordance!M449</f>
        <v>1.06413366651971E-2</v>
      </c>
      <c r="AQ124" s="217">
        <f>opex_concordance!M503</f>
        <v>8.5640473543510936E-3</v>
      </c>
      <c r="AR124" s="217">
        <f>opex_concordance!M557</f>
        <v>9.3982935620894048E-3</v>
      </c>
      <c r="AS124" s="188">
        <f>opex_orig!$AM124</f>
        <v>1.7976153505367898E-2</v>
      </c>
      <c r="AT124" s="188">
        <f>opex_orig!AN124</f>
        <v>1.0670377E-2</v>
      </c>
      <c r="AU124" s="217">
        <f>opex_concordance!M603</f>
        <v>1.08120372992614E-2</v>
      </c>
      <c r="AV124" s="217">
        <f>opex_concordance!M649</f>
        <v>1.4688114567373789E-2</v>
      </c>
      <c r="AW124" s="217">
        <f>opex_concordance!M695</f>
        <v>1.2125372064560894E-2</v>
      </c>
      <c r="AX124" s="188">
        <f>opex_orig!$AP124</f>
        <v>1.47048362740355E-2</v>
      </c>
      <c r="AY124" s="188">
        <f>opex_orig!AQ124</f>
        <v>1.5146366E-2</v>
      </c>
      <c r="AZ124" s="188">
        <f>opex_orig!AR124</f>
        <v>0</v>
      </c>
      <c r="BA124" s="188">
        <f>opex_orig!AS124</f>
        <v>1.5389915000000001E-2</v>
      </c>
      <c r="BB124" s="188">
        <f>opex_orig!AT124</f>
        <v>1.3049721E-2</v>
      </c>
      <c r="BC124" s="188">
        <f>opex_orig!AU124</f>
        <v>1.3352179E-2</v>
      </c>
      <c r="BD124" s="188">
        <f>opex_orig!AV124</f>
        <v>1.3191230999999999E-2</v>
      </c>
      <c r="BE124" s="188">
        <f>opex_orig!AW124</f>
        <v>1.4406624E-2</v>
      </c>
      <c r="BF124" s="188">
        <f>opex_orig!AX124</f>
        <v>0</v>
      </c>
      <c r="BG124" s="188">
        <f>opex_orig!AY124</f>
        <v>3.7070625000000003E-2</v>
      </c>
      <c r="BH124" s="188">
        <f>opex_orig!AZ124</f>
        <v>0</v>
      </c>
      <c r="BI124" s="188">
        <f>opex_orig!BA124</f>
        <v>8.9064869999999994E-3</v>
      </c>
      <c r="BJ124" s="188">
        <f>opex_orig!BB124</f>
        <v>3.037578E-3</v>
      </c>
      <c r="BK124" s="188">
        <f>opex_orig!BC124</f>
        <v>2.7740322000000001E-2</v>
      </c>
      <c r="BL124" s="188">
        <f>opex_orig!BD124</f>
        <v>4.9751550000000002E-3</v>
      </c>
      <c r="BM124" s="188">
        <f>opex_orig!BE124</f>
        <v>2.1812964000000001E-2</v>
      </c>
      <c r="BN124" s="188">
        <f>opex_orig!BF124</f>
        <v>6.1841170000000003E-3</v>
      </c>
      <c r="BO124" s="188">
        <f>opex_orig!BG124</f>
        <v>1.3693965000000001E-2</v>
      </c>
      <c r="BP124" s="207">
        <f>opex_concordance!M102</f>
        <v>1.1975334938031927E-2</v>
      </c>
      <c r="BQ124" s="207">
        <f>opex_concordance!M145</f>
        <v>7.8669096122205903E-3</v>
      </c>
      <c r="BR124" s="188">
        <f>opex_orig!BI124</f>
        <v>6.913705E-3</v>
      </c>
      <c r="BS124" s="188">
        <f>opex_orig!BJ124</f>
        <v>6.9737169999999999E-3</v>
      </c>
      <c r="BT124" s="188">
        <f>opex_orig!BK124</f>
        <v>1.1536670000000001E-2</v>
      </c>
      <c r="BU124" s="188">
        <f>opex_orig!BL124</f>
        <v>0</v>
      </c>
      <c r="BV124" s="27">
        <f>opex_orig!BM124</f>
        <v>0.12875309609659699</v>
      </c>
      <c r="BW124" s="27">
        <f>opex_orig!BN124</f>
        <v>0.104911299632202</v>
      </c>
      <c r="BX124" s="27">
        <f>opex_orig!BO124</f>
        <v>4.1794605091217199E-2</v>
      </c>
      <c r="BY124" s="27">
        <f>opex_orig!BP124</f>
        <v>7.24151515758472E-2</v>
      </c>
      <c r="BZ124" s="27">
        <f>opex_orig!BQ124</f>
        <v>7.9171232948198403E-2</v>
      </c>
      <c r="CA124" s="27">
        <f>opex_orig!BR124</f>
        <v>2.1947916366098399E-2</v>
      </c>
      <c r="CB124" s="27">
        <f>opex_orig!BS124</f>
        <v>9.9322587884996802E-2</v>
      </c>
      <c r="CC124" s="27">
        <f>opex_orig!BT124</f>
        <v>6.5428152753507799E-3</v>
      </c>
      <c r="CD124" s="27">
        <f>opex_orig!BU124</f>
        <v>7.5745891607497298E-2</v>
      </c>
      <c r="CE124" s="27">
        <f>opex_orig!BV124</f>
        <v>7.5745891607497395E-2</v>
      </c>
      <c r="CF124" s="27">
        <f>opex_orig!BW124</f>
        <v>2.0189265978785498E-2</v>
      </c>
      <c r="CG124" s="27">
        <f>opex_orig!BX124</f>
        <v>2.9441747226081401E-2</v>
      </c>
      <c r="CH124" s="27">
        <f>opex_orig!BY124</f>
        <v>5.05699974144754E-3</v>
      </c>
      <c r="CI124" s="27">
        <f>opex_orig!Y124</f>
        <v>4.0072492000000001E-2</v>
      </c>
      <c r="CJ124" s="27">
        <f>opex_orig!Z124</f>
        <v>0.22639365</v>
      </c>
      <c r="CK124" s="27">
        <f>opex_orig!AA124</f>
        <v>0.12693434000000001</v>
      </c>
      <c r="CL124" s="27">
        <f>opex_orig!AB124</f>
        <v>5.6700519893351398E-2</v>
      </c>
      <c r="CM124" s="27">
        <f>opex_orig!AC124</f>
        <v>7.5949282296661202E-2</v>
      </c>
      <c r="CN124" s="27">
        <f>opex_orig!AD124</f>
        <v>4.4291695162636098E-2</v>
      </c>
      <c r="CO124" s="27">
        <f>opex_orig!AE124</f>
        <v>4.1029897000000003E-2</v>
      </c>
      <c r="CP124" s="27">
        <f>opex_orig!AF124</f>
        <v>2.2112364999999998E-2</v>
      </c>
    </row>
    <row r="125" spans="1:94" x14ac:dyDescent="0.25">
      <c r="A125" s="5" t="s">
        <v>241</v>
      </c>
      <c r="B125" s="2" t="s">
        <v>240</v>
      </c>
      <c r="C125" s="1" t="s">
        <v>333</v>
      </c>
      <c r="D125" s="188">
        <f>opex_orig!D125</f>
        <v>9.3365500000000003E-4</v>
      </c>
      <c r="E125" s="188">
        <f>opex_orig!E125</f>
        <v>6.9481600000000001E-4</v>
      </c>
      <c r="F125" s="188">
        <f>opex_orig!F125</f>
        <v>8.6928099999999996E-4</v>
      </c>
      <c r="G125" s="188">
        <f>opex_orig!G125</f>
        <v>4.0564799999999999E-4</v>
      </c>
      <c r="H125" s="188">
        <f>opex_orig!H125</f>
        <v>4.5867199999999998E-4</v>
      </c>
      <c r="I125" s="188">
        <f>opex_orig!I125</f>
        <v>4.50748E-4</v>
      </c>
      <c r="J125" s="188">
        <f>opex_orig!J125</f>
        <v>2.8936830000000002E-3</v>
      </c>
      <c r="K125" s="188">
        <f>opex_orig!K125</f>
        <v>1.2430150000000001E-3</v>
      </c>
      <c r="L125" s="188">
        <f>opex_orig!L125</f>
        <v>4.34793E-4</v>
      </c>
      <c r="M125" s="188">
        <f>opex_orig!M125</f>
        <v>4.9619599999999996E-4</v>
      </c>
      <c r="N125" s="188">
        <f>opex_orig!N125</f>
        <v>1.789821E-3</v>
      </c>
      <c r="O125" s="188">
        <f>opex_orig!O125</f>
        <v>6.35858E-4</v>
      </c>
      <c r="P125" s="188">
        <f>opex_orig!P125</f>
        <v>4.86176E-4</v>
      </c>
      <c r="Q125" s="188">
        <f>opex_orig!Q125</f>
        <v>7.8445200000000004E-4</v>
      </c>
      <c r="R125" s="188">
        <f>opex_orig!R125</f>
        <v>1.658893E-3</v>
      </c>
      <c r="S125" s="188">
        <f>opex_orig!S125</f>
        <v>3.7809600000000002E-4</v>
      </c>
      <c r="T125" s="188">
        <f>opex_orig!T125</f>
        <v>1.543989E-3</v>
      </c>
      <c r="U125" s="188">
        <f>opex_orig!U125</f>
        <v>7.29961E-4</v>
      </c>
      <c r="V125" s="188">
        <f>opex_orig!V125</f>
        <v>8.8647900000000002E-4</v>
      </c>
      <c r="W125" s="188">
        <f>opex_orig!W125</f>
        <v>4.2826300000000002E-4</v>
      </c>
      <c r="X125" s="188">
        <f>opex_orig!X125</f>
        <v>4.0865399999999999E-4</v>
      </c>
      <c r="Y125" s="188">
        <f>opex_orig!Y125</f>
        <v>1.2735120000000001E-3</v>
      </c>
      <c r="Z125" s="188">
        <f>opex_orig!Z125</f>
        <v>5.9049325E-2</v>
      </c>
      <c r="AA125" s="188">
        <f>opex_orig!AA125</f>
        <v>4.3606189999999996E-3</v>
      </c>
      <c r="AB125" s="219">
        <f>opex_concordance!M197</f>
        <v>1.48073809005072E-2</v>
      </c>
      <c r="AC125" s="219">
        <f>opex_concordance!M226</f>
        <v>2.1949485145702115E-2</v>
      </c>
      <c r="AD125" s="219">
        <f>opex_concordance!M287</f>
        <v>2.6102050476171017E-2</v>
      </c>
      <c r="AE125" s="188">
        <f>opex_orig!$AC125</f>
        <v>3.7684563367535902E-3</v>
      </c>
      <c r="AF125" s="188">
        <f>opex_orig!$AD125</f>
        <v>1.30885671614047E-3</v>
      </c>
      <c r="AG125" s="188">
        <f>opex_orig!$AD125</f>
        <v>1.30885671614047E-3</v>
      </c>
      <c r="AH125" s="188">
        <f>opex_orig!$AD125</f>
        <v>1.30885671614047E-3</v>
      </c>
      <c r="AI125" s="188">
        <f>opex_orig!AE125</f>
        <v>1.0365089999999999E-3</v>
      </c>
      <c r="AJ125" s="188">
        <f>opex_orig!AF125</f>
        <v>4.8954800000000002E-4</v>
      </c>
      <c r="AK125" s="188">
        <f>opex_orig!AG125</f>
        <v>2.3696000000000001E-4</v>
      </c>
      <c r="AL125" s="188">
        <f>opex_orig!AH125</f>
        <v>5.3655300000000005E-4</v>
      </c>
      <c r="AM125" s="188">
        <f>opex_orig!AI125</f>
        <v>1.2066659999999999E-3</v>
      </c>
      <c r="AN125" s="188">
        <f>opex_orig!AJ125</f>
        <v>8.4165800000000001E-4</v>
      </c>
      <c r="AO125" s="188">
        <f>opex_orig!AK125</f>
        <v>1.8623870000000001E-3</v>
      </c>
      <c r="AP125" s="188">
        <f>opex_orig!$AL125</f>
        <v>8.49969672861967E-4</v>
      </c>
      <c r="AQ125" s="188">
        <f>opex_orig!$AL125</f>
        <v>8.49969672861967E-4</v>
      </c>
      <c r="AR125" s="188">
        <f>opex_orig!$AL125</f>
        <v>8.49969672861967E-4</v>
      </c>
      <c r="AS125" s="188">
        <f>opex_orig!$AM125</f>
        <v>1.5372697127169399E-3</v>
      </c>
      <c r="AT125" s="188">
        <f>opex_orig!AN125</f>
        <v>8.6436599999999998E-4</v>
      </c>
      <c r="AU125" s="188">
        <f>opex_orig!$AO125</f>
        <v>5.7857580334563698E-4</v>
      </c>
      <c r="AV125" s="188">
        <f>opex_orig!$AO125</f>
        <v>5.7857580334563698E-4</v>
      </c>
      <c r="AW125" s="188">
        <f>opex_orig!$AO125</f>
        <v>5.7857580334563698E-4</v>
      </c>
      <c r="AX125" s="188">
        <f>opex_orig!$AP125</f>
        <v>8.2868777730947703E-4</v>
      </c>
      <c r="AY125" s="188">
        <f>opex_orig!AQ125</f>
        <v>9.5926599999999996E-4</v>
      </c>
      <c r="AZ125" s="188">
        <f>opex_orig!AR125</f>
        <v>0</v>
      </c>
      <c r="BA125" s="188">
        <f>opex_orig!AS125</f>
        <v>8.8075700000000002E-4</v>
      </c>
      <c r="BB125" s="188">
        <f>opex_orig!AT125</f>
        <v>6.3765600000000001E-4</v>
      </c>
      <c r="BC125" s="188">
        <f>opex_orig!AU125</f>
        <v>8.8524700000000003E-4</v>
      </c>
      <c r="BD125" s="188">
        <f>opex_orig!AV125</f>
        <v>8.94858E-4</v>
      </c>
      <c r="BE125" s="188">
        <f>opex_orig!AW125</f>
        <v>7.8425200000000004E-4</v>
      </c>
      <c r="BF125" s="188">
        <f>opex_orig!AX125</f>
        <v>0</v>
      </c>
      <c r="BG125" s="188">
        <f>opex_orig!AY125</f>
        <v>2.9226149999999999E-3</v>
      </c>
      <c r="BH125" s="188">
        <f>opex_orig!AZ125</f>
        <v>0</v>
      </c>
      <c r="BI125" s="188">
        <f>opex_orig!BA125</f>
        <v>4.6856699999999997E-4</v>
      </c>
      <c r="BJ125" s="188">
        <f>opex_orig!BB125</f>
        <v>2.5419100000000002E-4</v>
      </c>
      <c r="BK125" s="188">
        <f>opex_orig!BC125</f>
        <v>2.25157E-4</v>
      </c>
      <c r="BL125" s="188">
        <f>opex_orig!BD125</f>
        <v>3.60026E-4</v>
      </c>
      <c r="BM125" s="188">
        <f>opex_orig!BE125</f>
        <v>2.1306799999999999E-4</v>
      </c>
      <c r="BN125" s="188">
        <f>opex_orig!BF125</f>
        <v>2.2238600000000001E-4</v>
      </c>
      <c r="BO125" s="188">
        <f>opex_orig!BG125</f>
        <v>3.3962499999999997E-4</v>
      </c>
      <c r="BP125" s="188">
        <f>opex_orig!$BH125</f>
        <v>2.9058190007262802E-4</v>
      </c>
      <c r="BQ125" s="188">
        <f>opex_orig!$BH125</f>
        <v>2.9058190007262802E-4</v>
      </c>
      <c r="BR125" s="188">
        <f>opex_orig!BI125</f>
        <v>3.6383500000000002E-4</v>
      </c>
      <c r="BS125" s="188">
        <f>opex_orig!BJ125</f>
        <v>4.1944900000000002E-4</v>
      </c>
      <c r="BT125" s="188">
        <f>opex_orig!BK125</f>
        <v>7.7690799999999998E-4</v>
      </c>
      <c r="BU125" s="188">
        <f>opex_orig!BL125</f>
        <v>0</v>
      </c>
      <c r="BV125" s="27">
        <f>opex_orig!BM125</f>
        <v>1.0930863295916999E-3</v>
      </c>
      <c r="BW125" s="27">
        <f>opex_orig!BN125</f>
        <v>1.31531528272625E-3</v>
      </c>
      <c r="BX125" s="27">
        <f>opex_orig!BO125</f>
        <v>9.7582138433409198E-4</v>
      </c>
      <c r="BY125" s="27">
        <f>opex_orig!BP125</f>
        <v>1.57584573059786E-3</v>
      </c>
      <c r="BZ125" s="27">
        <f>opex_orig!BQ125</f>
        <v>2.0642955772295301E-3</v>
      </c>
      <c r="CA125" s="27">
        <f>opex_orig!BR125</f>
        <v>1.7718604561677801E-4</v>
      </c>
      <c r="CB125" s="27">
        <f>opex_orig!BS125</f>
        <v>5.15194087609746E-3</v>
      </c>
      <c r="CC125" s="27">
        <f>opex_orig!BT125</f>
        <v>6.0737785386151403E-4</v>
      </c>
      <c r="CD125" s="27">
        <f>opex_orig!BU125</f>
        <v>1.2842948344536799E-4</v>
      </c>
      <c r="CE125" s="27">
        <f>opex_orig!BV125</f>
        <v>1.28429483445369E-4</v>
      </c>
      <c r="CF125" s="27">
        <f>opex_orig!BW125</f>
        <v>7.0185341422322495E-4</v>
      </c>
      <c r="CG125" s="27">
        <f>opex_orig!BX125</f>
        <v>1.7268269304223499E-3</v>
      </c>
      <c r="CH125" s="27">
        <f>opex_orig!BY125</f>
        <v>8.2592417337134003E-2</v>
      </c>
      <c r="CI125" s="27">
        <f>opex_orig!Y125</f>
        <v>1.2735120000000001E-3</v>
      </c>
      <c r="CJ125" s="27">
        <f>opex_orig!Z125</f>
        <v>5.9049325E-2</v>
      </c>
      <c r="CK125" s="27">
        <f>opex_orig!AA125</f>
        <v>4.3606189999999996E-3</v>
      </c>
      <c r="CL125" s="27">
        <f>opex_orig!AB125</f>
        <v>1.48073809005072E-2</v>
      </c>
      <c r="CM125" s="27">
        <f>opex_orig!AC125</f>
        <v>3.7684563367535902E-3</v>
      </c>
      <c r="CN125" s="27">
        <f>opex_orig!AD125</f>
        <v>1.30885671614047E-3</v>
      </c>
      <c r="CO125" s="27">
        <f>opex_orig!AE125</f>
        <v>1.0365089999999999E-3</v>
      </c>
      <c r="CP125" s="27">
        <f>opex_orig!AF125</f>
        <v>4.8954800000000002E-4</v>
      </c>
    </row>
    <row r="126" spans="1:94" x14ac:dyDescent="0.25">
      <c r="A126" s="5" t="s">
        <v>243</v>
      </c>
      <c r="B126" s="2" t="s">
        <v>242</v>
      </c>
      <c r="C126" s="1" t="s">
        <v>333</v>
      </c>
      <c r="D126" s="188">
        <f>opex_orig!D126</f>
        <v>1.85162E-4</v>
      </c>
      <c r="E126" s="188">
        <f>opex_orig!E126</f>
        <v>8.4499999999999994E-5</v>
      </c>
      <c r="F126" s="188">
        <f>opex_orig!F126</f>
        <v>2.2302300000000001E-4</v>
      </c>
      <c r="G126" s="188">
        <f>opex_orig!G126</f>
        <v>1.28291E-4</v>
      </c>
      <c r="H126" s="188">
        <f>opex_orig!H126</f>
        <v>1.3699999999999999E-5</v>
      </c>
      <c r="I126" s="188">
        <f>opex_orig!I126</f>
        <v>9.3999999999999994E-5</v>
      </c>
      <c r="J126" s="188">
        <f>opex_orig!J126</f>
        <v>5.363339E-3</v>
      </c>
      <c r="K126" s="188">
        <f>opex_orig!K126</f>
        <v>6.1099999999999994E-5</v>
      </c>
      <c r="L126" s="188">
        <f>opex_orig!L126</f>
        <v>2.1951100000000001E-4</v>
      </c>
      <c r="M126" s="188">
        <f>opex_orig!M126</f>
        <v>3.0090100000000001E-4</v>
      </c>
      <c r="N126" s="188">
        <f>opex_orig!N126</f>
        <v>7.9800000000000002E-5</v>
      </c>
      <c r="O126" s="188">
        <f>opex_orig!O126</f>
        <v>4.3600000000000003E-5</v>
      </c>
      <c r="P126" s="188">
        <f>opex_orig!P126</f>
        <v>1.05604E-4</v>
      </c>
      <c r="Q126" s="188">
        <f>opex_orig!Q126</f>
        <v>1.15065E-4</v>
      </c>
      <c r="R126" s="188">
        <f>opex_orig!R126</f>
        <v>1.33499E-4</v>
      </c>
      <c r="S126" s="188">
        <f>opex_orig!S126</f>
        <v>1.8188500000000001E-4</v>
      </c>
      <c r="T126" s="188">
        <f>opex_orig!T126</f>
        <v>5.1844700000000001E-4</v>
      </c>
      <c r="U126" s="188">
        <f>opex_orig!U126</f>
        <v>7.8235999999999996E-4</v>
      </c>
      <c r="V126" s="188">
        <f>opex_orig!V126</f>
        <v>8.4310799999999997E-4</v>
      </c>
      <c r="W126" s="188">
        <f>opex_orig!W126</f>
        <v>1.83893E-4</v>
      </c>
      <c r="X126" s="188">
        <f>opex_orig!X126</f>
        <v>4.7299999999999998E-5</v>
      </c>
      <c r="Y126" s="188">
        <f>opex_orig!Y126</f>
        <v>3.2299999999999999E-5</v>
      </c>
      <c r="Z126" s="188">
        <f>opex_orig!Z126</f>
        <v>2.05899E-4</v>
      </c>
      <c r="AA126" s="188">
        <f>opex_orig!AA126</f>
        <v>1.9924799999999999E-4</v>
      </c>
      <c r="AB126" s="188">
        <f>opex_orig!$AB126</f>
        <v>4.3640384546201401E-4</v>
      </c>
      <c r="AC126" s="188">
        <f>opex_orig!$AB126</f>
        <v>4.3640384546201401E-4</v>
      </c>
      <c r="AD126" s="188">
        <f>opex_orig!$AB126</f>
        <v>4.3640384546201401E-4</v>
      </c>
      <c r="AE126" s="188">
        <f>opex_orig!$AC126</f>
        <v>1.6182903425994201E-3</v>
      </c>
      <c r="AF126" s="188">
        <f>opex_orig!$AD126</f>
        <v>1.55772246939226E-3</v>
      </c>
      <c r="AG126" s="188">
        <f>opex_orig!$AD126</f>
        <v>1.55772246939226E-3</v>
      </c>
      <c r="AH126" s="188">
        <f>opex_orig!$AD126</f>
        <v>1.55772246939226E-3</v>
      </c>
      <c r="AI126" s="188">
        <f>opex_orig!AE126</f>
        <v>1.2215889999999999E-3</v>
      </c>
      <c r="AJ126" s="188">
        <f>opex_orig!AF126</f>
        <v>1.361929E-3</v>
      </c>
      <c r="AK126" s="188">
        <f>opex_orig!AG126</f>
        <v>5.1900000000000001E-5</v>
      </c>
      <c r="AL126" s="188">
        <f>opex_orig!AH126</f>
        <v>4.5500000000000001E-5</v>
      </c>
      <c r="AM126" s="188">
        <f>opex_orig!AI126</f>
        <v>6.7000000000000002E-5</v>
      </c>
      <c r="AN126" s="188">
        <f>opex_orig!AJ126</f>
        <v>1.03677E-4</v>
      </c>
      <c r="AO126" s="188">
        <f>opex_orig!AK126</f>
        <v>9.2399999999999996E-5</v>
      </c>
      <c r="AP126" s="188">
        <f>opex_orig!$AL126</f>
        <v>6.8685984965705904E-5</v>
      </c>
      <c r="AQ126" s="188">
        <f>opex_orig!$AL126</f>
        <v>6.8685984965705904E-5</v>
      </c>
      <c r="AR126" s="188">
        <f>opex_orig!$AL126</f>
        <v>6.8685984965705904E-5</v>
      </c>
      <c r="AS126" s="188">
        <f>opex_orig!$AM126</f>
        <v>7.7715175616453505E-5</v>
      </c>
      <c r="AT126" s="188">
        <f>opex_orig!AN126</f>
        <v>8.7100000000000003E-5</v>
      </c>
      <c r="AU126" s="188">
        <f>opex_orig!$AO126</f>
        <v>5.9564886090533502E-5</v>
      </c>
      <c r="AV126" s="188">
        <f>opex_orig!$AO126</f>
        <v>5.9564886090533502E-5</v>
      </c>
      <c r="AW126" s="188">
        <f>opex_orig!$AO126</f>
        <v>5.9564886090533502E-5</v>
      </c>
      <c r="AX126" s="188">
        <f>opex_orig!$AP126</f>
        <v>4.9619154386365698E-5</v>
      </c>
      <c r="AY126" s="188">
        <f>opex_orig!AQ126</f>
        <v>8.7299999999999994E-5</v>
      </c>
      <c r="AZ126" s="188">
        <f>opex_orig!AR126</f>
        <v>0</v>
      </c>
      <c r="BA126" s="188">
        <f>opex_orig!AS126</f>
        <v>1.02154E-4</v>
      </c>
      <c r="BB126" s="188">
        <f>opex_orig!AT126</f>
        <v>6.9999999999999994E-5</v>
      </c>
      <c r="BC126" s="188">
        <f>opex_orig!AU126</f>
        <v>5.3399999999999997E-5</v>
      </c>
      <c r="BD126" s="188">
        <f>opex_orig!AV126</f>
        <v>3.9499999999999998E-5</v>
      </c>
      <c r="BE126" s="188">
        <f>opex_orig!AW126</f>
        <v>6.0999999999999999E-5</v>
      </c>
      <c r="BF126" s="188">
        <f>opex_orig!AX126</f>
        <v>0</v>
      </c>
      <c r="BG126" s="188">
        <f>opex_orig!AY126</f>
        <v>1.10027E-4</v>
      </c>
      <c r="BH126" s="188">
        <f>opex_orig!AZ126</f>
        <v>0</v>
      </c>
      <c r="BI126" s="188">
        <f>opex_orig!BA126</f>
        <v>8.9400000000000005E-5</v>
      </c>
      <c r="BJ126" s="188">
        <f>opex_orig!BB126</f>
        <v>4.9700000000000002E-5</v>
      </c>
      <c r="BK126" s="188">
        <f>opex_orig!BC126</f>
        <v>1.91361E-4</v>
      </c>
      <c r="BL126" s="188">
        <f>opex_orig!BD126</f>
        <v>1.4810999999999999E-4</v>
      </c>
      <c r="BM126" s="188">
        <f>opex_orig!BE126</f>
        <v>5.4400000000000001E-5</v>
      </c>
      <c r="BN126" s="188">
        <f>opex_orig!BF126</f>
        <v>1.3555899999999999E-4</v>
      </c>
      <c r="BO126" s="188">
        <f>opex_orig!BG126</f>
        <v>3.4600000000000001E-5</v>
      </c>
      <c r="BP126" s="188">
        <f>opex_orig!$BH126</f>
        <v>7.6597037632502297E-5</v>
      </c>
      <c r="BQ126" s="188">
        <f>opex_orig!$BH126</f>
        <v>7.6597037632502297E-5</v>
      </c>
      <c r="BR126" s="188">
        <f>opex_orig!BI126</f>
        <v>1.11266E-4</v>
      </c>
      <c r="BS126" s="188">
        <f>opex_orig!BJ126</f>
        <v>4.1100000000000003E-5</v>
      </c>
      <c r="BT126" s="188">
        <f>opex_orig!BK126</f>
        <v>4.7599999999999998E-5</v>
      </c>
      <c r="BU126" s="188">
        <f>opex_orig!BL126</f>
        <v>0</v>
      </c>
      <c r="BV126" s="27">
        <f>opex_orig!BM126</f>
        <v>2.13628311488247E-4</v>
      </c>
      <c r="BW126" s="27">
        <f>opex_orig!BN126</f>
        <v>2.6997342164931698E-4</v>
      </c>
      <c r="BX126" s="27">
        <f>opex_orig!BO126</f>
        <v>3.6888396858349998E-5</v>
      </c>
      <c r="BY126" s="27">
        <f>opex_orig!BP126</f>
        <v>5.57424322215016E-5</v>
      </c>
      <c r="BZ126" s="27">
        <f>opex_orig!BQ126</f>
        <v>9.4177155224901295E-5</v>
      </c>
      <c r="CA126" s="27">
        <f>opex_orig!BR126</f>
        <v>5.63814784493878E-4</v>
      </c>
      <c r="CB126" s="27">
        <f>opex_orig!BS126</f>
        <v>4.6736659071911299E-4</v>
      </c>
      <c r="CC126" s="27">
        <f>opex_orig!BT126</f>
        <v>2.0001004104855101E-4</v>
      </c>
      <c r="CD126" s="27">
        <f>opex_orig!BU126</f>
        <v>3.3593493266794803E-5</v>
      </c>
      <c r="CE126" s="27">
        <f>opex_orig!BV126</f>
        <v>3.3593493266794897E-5</v>
      </c>
      <c r="CF126" s="27">
        <f>opex_orig!BW126</f>
        <v>8.5199592517718695E-4</v>
      </c>
      <c r="CG126" s="27">
        <f>opex_orig!BX126</f>
        <v>4.5503871456084701E-3</v>
      </c>
      <c r="CH126" s="27">
        <f>opex_orig!BY126</f>
        <v>1.59233986582802E-4</v>
      </c>
      <c r="CI126" s="27">
        <f>opex_orig!Y126</f>
        <v>3.2299999999999999E-5</v>
      </c>
      <c r="CJ126" s="27">
        <f>opex_orig!Z126</f>
        <v>2.05899E-4</v>
      </c>
      <c r="CK126" s="27">
        <f>opex_orig!AA126</f>
        <v>1.9924799999999999E-4</v>
      </c>
      <c r="CL126" s="27">
        <f>opex_orig!AB126</f>
        <v>4.3640384546201401E-4</v>
      </c>
      <c r="CM126" s="27">
        <f>opex_orig!AC126</f>
        <v>1.6182903425994201E-3</v>
      </c>
      <c r="CN126" s="27">
        <f>opex_orig!AD126</f>
        <v>1.55772246939226E-3</v>
      </c>
      <c r="CO126" s="27">
        <f>opex_orig!AE126</f>
        <v>1.2215889999999999E-3</v>
      </c>
      <c r="CP126" s="27">
        <f>opex_orig!AF126</f>
        <v>1.361929E-3</v>
      </c>
    </row>
    <row r="127" spans="1:94" x14ac:dyDescent="0.25">
      <c r="A127" s="5" t="s">
        <v>245</v>
      </c>
      <c r="B127" s="2" t="s">
        <v>244</v>
      </c>
      <c r="C127" s="1" t="s">
        <v>333</v>
      </c>
      <c r="D127" s="188">
        <f>opex_orig!D127</f>
        <v>3.0199999999999999E-5</v>
      </c>
      <c r="E127" s="188">
        <f>opex_orig!E127</f>
        <v>1.1800000000000001E-5</v>
      </c>
      <c r="F127" s="188">
        <f>opex_orig!F127</f>
        <v>2.4499999999999999E-5</v>
      </c>
      <c r="G127" s="188">
        <f>opex_orig!G127</f>
        <v>1.5400000000000002E-5</v>
      </c>
      <c r="H127" s="188">
        <f>opex_orig!H127</f>
        <v>1.6700000000000001E-6</v>
      </c>
      <c r="I127" s="188">
        <f>opex_orig!I127</f>
        <v>1.9899999999999999E-5</v>
      </c>
      <c r="J127" s="188">
        <f>opex_orig!J127</f>
        <v>1.353976E-3</v>
      </c>
      <c r="K127" s="188">
        <f>opex_orig!K127</f>
        <v>1.1600000000000001E-5</v>
      </c>
      <c r="L127" s="188">
        <f>opex_orig!L127</f>
        <v>3.3500000000000001E-5</v>
      </c>
      <c r="M127" s="188">
        <f>opex_orig!M127</f>
        <v>4.2299999999999998E-5</v>
      </c>
      <c r="N127" s="188">
        <f>opex_orig!N127</f>
        <v>1.4100000000000001E-5</v>
      </c>
      <c r="O127" s="188">
        <f>opex_orig!O127</f>
        <v>5.1499999999999998E-6</v>
      </c>
      <c r="P127" s="188">
        <f>opex_orig!P127</f>
        <v>2.1500000000000001E-5</v>
      </c>
      <c r="Q127" s="188">
        <f>opex_orig!Q127</f>
        <v>2.9899999999999998E-5</v>
      </c>
      <c r="R127" s="188">
        <f>opex_orig!R127</f>
        <v>2.51E-5</v>
      </c>
      <c r="S127" s="188">
        <f>opex_orig!S127</f>
        <v>1.7600000000000001E-5</v>
      </c>
      <c r="T127" s="188">
        <f>opex_orig!T127</f>
        <v>4.5200000000000001E-5</v>
      </c>
      <c r="U127" s="188">
        <f>opex_orig!U127</f>
        <v>8.25E-5</v>
      </c>
      <c r="V127" s="188">
        <f>opex_orig!V127</f>
        <v>9.4400000000000004E-5</v>
      </c>
      <c r="W127" s="188">
        <f>opex_orig!W127</f>
        <v>2.1299999999999999E-5</v>
      </c>
      <c r="X127" s="188">
        <f>opex_orig!X127</f>
        <v>6.1099999999999999E-6</v>
      </c>
      <c r="Y127" s="188">
        <f>opex_orig!Y127</f>
        <v>6.9399999999999996E-6</v>
      </c>
      <c r="Z127" s="188">
        <f>opex_orig!Z127</f>
        <v>4.1499999999999999E-5</v>
      </c>
      <c r="AA127" s="188">
        <f>opex_orig!AA127</f>
        <v>2.6299999999999999E-5</v>
      </c>
      <c r="AB127" s="188">
        <f>opex_orig!$AB127</f>
        <v>2.56598517958552E-5</v>
      </c>
      <c r="AC127" s="188">
        <f>opex_orig!$AB127</f>
        <v>2.56598517958552E-5</v>
      </c>
      <c r="AD127" s="188">
        <f>opex_orig!$AB127</f>
        <v>2.56598517958552E-5</v>
      </c>
      <c r="AE127" s="188">
        <f>opex_orig!$AC127</f>
        <v>7.0278906283682699E-4</v>
      </c>
      <c r="AF127" s="188">
        <f>opex_orig!$AD127</f>
        <v>4.4305920752965399E-4</v>
      </c>
      <c r="AG127" s="188">
        <f>opex_orig!$AD127</f>
        <v>4.4305920752965399E-4</v>
      </c>
      <c r="AH127" s="188">
        <f>opex_orig!$AD127</f>
        <v>4.4305920752965399E-4</v>
      </c>
      <c r="AI127" s="188">
        <f>opex_orig!AE127</f>
        <v>3.2393100000000001E-4</v>
      </c>
      <c r="AJ127" s="188">
        <f>opex_orig!AF127</f>
        <v>4.1809099999999999E-4</v>
      </c>
      <c r="AK127" s="188">
        <f>opex_orig!AG127</f>
        <v>4.3200000000000001E-6</v>
      </c>
      <c r="AL127" s="188">
        <f>opex_orig!AH127</f>
        <v>5.8000000000000004E-6</v>
      </c>
      <c r="AM127" s="188">
        <f>opex_orig!AI127</f>
        <v>7.5800000000000003E-6</v>
      </c>
      <c r="AN127" s="188">
        <f>opex_orig!AJ127</f>
        <v>1.11E-5</v>
      </c>
      <c r="AO127" s="188">
        <f>opex_orig!AK127</f>
        <v>1.17E-5</v>
      </c>
      <c r="AP127" s="188">
        <f>opex_orig!$AL127</f>
        <v>8.1025116081592503E-6</v>
      </c>
      <c r="AQ127" s="188">
        <f>opex_orig!$AL127</f>
        <v>8.1025116081592503E-6</v>
      </c>
      <c r="AR127" s="188">
        <f>opex_orig!$AL127</f>
        <v>8.1025116081592503E-6</v>
      </c>
      <c r="AS127" s="188">
        <f>opex_orig!$AM127</f>
        <v>9.4930508661316502E-6</v>
      </c>
      <c r="AT127" s="188">
        <f>opex_orig!AN127</f>
        <v>1.0900000000000001E-5</v>
      </c>
      <c r="AU127" s="188">
        <f>opex_orig!$AO127</f>
        <v>7.9637374823292501E-6</v>
      </c>
      <c r="AV127" s="188">
        <f>opex_orig!$AO127</f>
        <v>7.9637374823292501E-6</v>
      </c>
      <c r="AW127" s="188">
        <f>opex_orig!$AO127</f>
        <v>7.9637374823292501E-6</v>
      </c>
      <c r="AX127" s="188">
        <f>opex_orig!$AP127</f>
        <v>7.7318416276896201E-6</v>
      </c>
      <c r="AY127" s="188">
        <f>opex_orig!AQ127</f>
        <v>1.0900000000000001E-5</v>
      </c>
      <c r="AZ127" s="188">
        <f>opex_orig!AR127</f>
        <v>0</v>
      </c>
      <c r="BA127" s="188">
        <f>opex_orig!AS127</f>
        <v>1.04E-5</v>
      </c>
      <c r="BB127" s="188">
        <f>opex_orig!AT127</f>
        <v>7.2099999999999996E-6</v>
      </c>
      <c r="BC127" s="188">
        <f>opex_orig!AU127</f>
        <v>6.0599999999999996E-6</v>
      </c>
      <c r="BD127" s="188">
        <f>opex_orig!AV127</f>
        <v>4.5199999999999999E-6</v>
      </c>
      <c r="BE127" s="188">
        <f>opex_orig!AW127</f>
        <v>7.6299999999999998E-6</v>
      </c>
      <c r="BF127" s="188">
        <f>opex_orig!AX127</f>
        <v>0</v>
      </c>
      <c r="BG127" s="188">
        <f>opex_orig!AY127</f>
        <v>3.57E-5</v>
      </c>
      <c r="BH127" s="188">
        <f>opex_orig!AZ127</f>
        <v>0</v>
      </c>
      <c r="BI127" s="188">
        <f>opex_orig!BA127</f>
        <v>9.9599999999999995E-6</v>
      </c>
      <c r="BJ127" s="188">
        <f>opex_orig!BB127</f>
        <v>4.6399999999999996E-6</v>
      </c>
      <c r="BK127" s="188">
        <f>opex_orig!BC127</f>
        <v>2.4199999999999999E-5</v>
      </c>
      <c r="BL127" s="188">
        <f>opex_orig!BD127</f>
        <v>3.0800000000000003E-5</v>
      </c>
      <c r="BM127" s="188">
        <f>opex_orig!BE127</f>
        <v>4.8999999999999997E-6</v>
      </c>
      <c r="BN127" s="188">
        <f>opex_orig!BF127</f>
        <v>2.16E-5</v>
      </c>
      <c r="BO127" s="188">
        <f>opex_orig!BG127</f>
        <v>4.95E-6</v>
      </c>
      <c r="BP127" s="188">
        <f>opex_orig!$BH127</f>
        <v>7.1706078664653302E-6</v>
      </c>
      <c r="BQ127" s="188">
        <f>opex_orig!$BH127</f>
        <v>7.1706078664653302E-6</v>
      </c>
      <c r="BR127" s="188">
        <f>opex_orig!BI127</f>
        <v>9.91E-6</v>
      </c>
      <c r="BS127" s="188">
        <f>opex_orig!BJ127</f>
        <v>4.8899999999999998E-6</v>
      </c>
      <c r="BT127" s="188">
        <f>opex_orig!BK127</f>
        <v>6.02E-6</v>
      </c>
      <c r="BU127" s="188">
        <f>opex_orig!BL127</f>
        <v>0</v>
      </c>
      <c r="BV127" s="27">
        <f>opex_orig!BM127</f>
        <v>2.8537688557155799E-5</v>
      </c>
      <c r="BW127" s="27">
        <f>opex_orig!BN127</f>
        <v>3.9272731158092397E-5</v>
      </c>
      <c r="BX127" s="27">
        <f>opex_orig!BO127</f>
        <v>6.8724759913631701E-6</v>
      </c>
      <c r="BY127" s="27">
        <f>opex_orig!BP127</f>
        <v>1.22567828829872E-5</v>
      </c>
      <c r="BZ127" s="27">
        <f>opex_orig!BQ127</f>
        <v>1.2602076932610301E-5</v>
      </c>
      <c r="CA127" s="27">
        <f>opex_orig!BR127</f>
        <v>9.8652487574231494E-5</v>
      </c>
      <c r="CB127" s="27">
        <f>opex_orig!BS127</f>
        <v>6.6579454711897395E-5</v>
      </c>
      <c r="CC127" s="27">
        <f>opex_orig!BT127</f>
        <v>9.1268529087479904E-5</v>
      </c>
      <c r="CD127" s="27">
        <f>opex_orig!BU127</f>
        <v>9.6938426385921507E-6</v>
      </c>
      <c r="CE127" s="27">
        <f>opex_orig!BV127</f>
        <v>9.6938426385921693E-6</v>
      </c>
      <c r="CF127" s="27">
        <f>opex_orig!BW127</f>
        <v>9.3271420923262701E-6</v>
      </c>
      <c r="CG127" s="27">
        <f>opex_orig!BX127</f>
        <v>5.0710939687464603E-3</v>
      </c>
      <c r="CH127" s="27">
        <f>opex_orig!BY127</f>
        <v>2.8457455962281798E-4</v>
      </c>
      <c r="CI127" s="27">
        <f>opex_orig!Y127</f>
        <v>6.9399999999999996E-6</v>
      </c>
      <c r="CJ127" s="27">
        <f>opex_orig!Z127</f>
        <v>4.1499999999999999E-5</v>
      </c>
      <c r="CK127" s="27">
        <f>opex_orig!AA127</f>
        <v>2.6299999999999999E-5</v>
      </c>
      <c r="CL127" s="27">
        <f>opex_orig!AB127</f>
        <v>2.56598517958552E-5</v>
      </c>
      <c r="CM127" s="27">
        <f>opex_orig!AC127</f>
        <v>7.0278906283682699E-4</v>
      </c>
      <c r="CN127" s="27">
        <f>opex_orig!AD127</f>
        <v>4.4305920752965399E-4</v>
      </c>
      <c r="CO127" s="27">
        <f>opex_orig!AE127</f>
        <v>3.2393100000000001E-4</v>
      </c>
      <c r="CP127" s="27">
        <f>opex_orig!AF127</f>
        <v>4.1809099999999999E-4</v>
      </c>
    </row>
    <row r="128" spans="1:94" x14ac:dyDescent="0.25">
      <c r="A128" s="5" t="s">
        <v>247</v>
      </c>
      <c r="B128" s="2" t="s">
        <v>246</v>
      </c>
      <c r="C128" s="1" t="s">
        <v>333</v>
      </c>
      <c r="D128" s="188">
        <f>opex_orig!D128</f>
        <v>7.6484899999999995E-4</v>
      </c>
      <c r="E128" s="188">
        <f>opex_orig!E128</f>
        <v>8.3257299999999997E-4</v>
      </c>
      <c r="F128" s="188">
        <f>opex_orig!F128</f>
        <v>1.2935259999999999E-3</v>
      </c>
      <c r="G128" s="188">
        <f>opex_orig!G128</f>
        <v>3.4633800000000002E-4</v>
      </c>
      <c r="H128" s="188">
        <f>opex_orig!H128</f>
        <v>4.94277E-4</v>
      </c>
      <c r="I128" s="188">
        <f>opex_orig!I128</f>
        <v>7.6541800000000002E-4</v>
      </c>
      <c r="J128" s="188">
        <f>opex_orig!J128</f>
        <v>2.9148120000000001E-3</v>
      </c>
      <c r="K128" s="188">
        <f>opex_orig!K128</f>
        <v>1.0940909999999999E-3</v>
      </c>
      <c r="L128" s="188">
        <f>opex_orig!L128</f>
        <v>9.9410600000000003E-4</v>
      </c>
      <c r="M128" s="188">
        <f>opex_orig!M128</f>
        <v>2.7481789999999999E-3</v>
      </c>
      <c r="N128" s="188">
        <f>opex_orig!N128</f>
        <v>3.012505E-3</v>
      </c>
      <c r="O128" s="188">
        <f>opex_orig!O128</f>
        <v>7.5805299999999996E-4</v>
      </c>
      <c r="P128" s="188">
        <f>opex_orig!P128</f>
        <v>9.8597799999999998E-4</v>
      </c>
      <c r="Q128" s="188">
        <f>opex_orig!Q128</f>
        <v>1.7963479999999999E-3</v>
      </c>
      <c r="R128" s="188">
        <f>opex_orig!R128</f>
        <v>2.622096E-3</v>
      </c>
      <c r="S128" s="188">
        <f>opex_orig!S128</f>
        <v>4.3032200000000002E-4</v>
      </c>
      <c r="T128" s="188">
        <f>opex_orig!T128</f>
        <v>1.8150449999999999E-3</v>
      </c>
      <c r="U128" s="188">
        <f>opex_orig!U128</f>
        <v>8.0444999999999996E-4</v>
      </c>
      <c r="V128" s="188">
        <f>opex_orig!V128</f>
        <v>1.0751350000000001E-3</v>
      </c>
      <c r="W128" s="188">
        <f>opex_orig!W128</f>
        <v>5.0953000000000001E-4</v>
      </c>
      <c r="X128" s="188">
        <f>opex_orig!X128</f>
        <v>1.1640279999999999E-3</v>
      </c>
      <c r="Y128" s="188">
        <f>opex_orig!Y128</f>
        <v>1.206904E-3</v>
      </c>
      <c r="Z128" s="188">
        <f>opex_orig!Z128</f>
        <v>1.0191410000000001E-3</v>
      </c>
      <c r="AA128" s="188">
        <f>opex_orig!AA128</f>
        <v>4.5103749999999996E-3</v>
      </c>
      <c r="AB128" s="188">
        <f>opex_orig!$AB128</f>
        <v>4.6961865990394099E-3</v>
      </c>
      <c r="AC128" s="188">
        <f>opex_orig!$AB128</f>
        <v>4.6961865990394099E-3</v>
      </c>
      <c r="AD128" s="188">
        <f>opex_orig!$AB128</f>
        <v>4.6961865990394099E-3</v>
      </c>
      <c r="AE128" s="188">
        <f>opex_orig!$AC128</f>
        <v>3.9510069457153098E-3</v>
      </c>
      <c r="AF128" s="188">
        <f>opex_orig!$AD128</f>
        <v>1.2890116050297E-3</v>
      </c>
      <c r="AG128" s="188">
        <f>opex_orig!$AD128</f>
        <v>1.2890116050297E-3</v>
      </c>
      <c r="AH128" s="188">
        <f>opex_orig!$AD128</f>
        <v>1.2890116050297E-3</v>
      </c>
      <c r="AI128" s="188">
        <f>opex_orig!AE128</f>
        <v>9.1388799999999996E-4</v>
      </c>
      <c r="AJ128" s="188">
        <f>opex_orig!AF128</f>
        <v>1.0803480000000001E-3</v>
      </c>
      <c r="AK128" s="188">
        <f>opex_orig!AG128</f>
        <v>3.0626900000000002E-4</v>
      </c>
      <c r="AL128" s="188">
        <f>opex_orig!AH128</f>
        <v>6.4069500000000004E-4</v>
      </c>
      <c r="AM128" s="188">
        <f>opex_orig!AI128</f>
        <v>1.5412920000000001E-3</v>
      </c>
      <c r="AN128" s="188">
        <f>opex_orig!AJ128</f>
        <v>1.1224060000000001E-3</v>
      </c>
      <c r="AO128" s="188">
        <f>opex_orig!AK128</f>
        <v>2.268197E-3</v>
      </c>
      <c r="AP128" s="188">
        <f>opex_orig!$AL128</f>
        <v>1.19816973926377E-3</v>
      </c>
      <c r="AQ128" s="188">
        <f>opex_orig!$AL128</f>
        <v>1.19816973926377E-3</v>
      </c>
      <c r="AR128" s="188">
        <f>opex_orig!$AL128</f>
        <v>1.19816973926377E-3</v>
      </c>
      <c r="AS128" s="188">
        <f>opex_orig!$AM128</f>
        <v>1.90964238504414E-3</v>
      </c>
      <c r="AT128" s="188">
        <f>opex_orig!AN128</f>
        <v>1.3865730000000001E-3</v>
      </c>
      <c r="AU128" s="188">
        <f>opex_orig!$AO128</f>
        <v>6.8154970479117002E-4</v>
      </c>
      <c r="AV128" s="188">
        <f>opex_orig!$AO128</f>
        <v>6.8154970479117002E-4</v>
      </c>
      <c r="AW128" s="188">
        <f>opex_orig!$AO128</f>
        <v>6.8154970479117002E-4</v>
      </c>
      <c r="AX128" s="188">
        <f>opex_orig!$AP128</f>
        <v>1.1102282720144899E-3</v>
      </c>
      <c r="AY128" s="188">
        <f>opex_orig!AQ128</f>
        <v>1.3232129999999999E-3</v>
      </c>
      <c r="AZ128" s="188">
        <f>opex_orig!AR128</f>
        <v>0</v>
      </c>
      <c r="BA128" s="188">
        <f>opex_orig!AS128</f>
        <v>1.018054E-3</v>
      </c>
      <c r="BB128" s="188">
        <f>opex_orig!AT128</f>
        <v>7.5449499999999999E-4</v>
      </c>
      <c r="BC128" s="188">
        <f>opex_orig!AU128</f>
        <v>8.1497099999999995E-4</v>
      </c>
      <c r="BD128" s="188">
        <f>opex_orig!AV128</f>
        <v>8.7048900000000001E-4</v>
      </c>
      <c r="BE128" s="188">
        <f>opex_orig!AW128</f>
        <v>1.063533E-3</v>
      </c>
      <c r="BF128" s="188">
        <f>opex_orig!AX128</f>
        <v>0</v>
      </c>
      <c r="BG128" s="188">
        <f>opex_orig!AY128</f>
        <v>3.3580630000000001E-3</v>
      </c>
      <c r="BH128" s="188">
        <f>opex_orig!AZ128</f>
        <v>0</v>
      </c>
      <c r="BI128" s="188">
        <f>opex_orig!BA128</f>
        <v>6.8038899999999999E-4</v>
      </c>
      <c r="BJ128" s="188">
        <f>opex_orig!BB128</f>
        <v>3.7747699999999998E-4</v>
      </c>
      <c r="BK128" s="188">
        <f>opex_orig!BC128</f>
        <v>9.3853700000000003E-4</v>
      </c>
      <c r="BL128" s="188">
        <f>opex_orig!BD128</f>
        <v>2.5647280000000001E-3</v>
      </c>
      <c r="BM128" s="188">
        <f>opex_orig!BE128</f>
        <v>5.9221399999999998E-4</v>
      </c>
      <c r="BN128" s="188">
        <f>opex_orig!BF128</f>
        <v>2.606241E-3</v>
      </c>
      <c r="BO128" s="188">
        <f>opex_orig!BG128</f>
        <v>6.3056799999999997E-4</v>
      </c>
      <c r="BP128" s="188">
        <f>opex_orig!$BH128</f>
        <v>3.9709589293945798E-4</v>
      </c>
      <c r="BQ128" s="188">
        <f>opex_orig!$BH128</f>
        <v>3.9709589293945798E-4</v>
      </c>
      <c r="BR128" s="188">
        <f>opex_orig!BI128</f>
        <v>6.8915100000000004E-4</v>
      </c>
      <c r="BS128" s="188">
        <f>opex_orig!BJ128</f>
        <v>1.585089E-3</v>
      </c>
      <c r="BT128" s="188">
        <f>opex_orig!BK128</f>
        <v>8.9284900000000003E-4</v>
      </c>
      <c r="BU128" s="188">
        <f>opex_orig!BL128</f>
        <v>0</v>
      </c>
      <c r="BV128" s="27">
        <f>opex_orig!BM128</f>
        <v>4.3651645219977298E-4</v>
      </c>
      <c r="BW128" s="27">
        <f>opex_orig!BN128</f>
        <v>1.3788962523253801E-3</v>
      </c>
      <c r="BX128" s="27">
        <f>opex_orig!BO128</f>
        <v>1.8158500379523E-4</v>
      </c>
      <c r="BY128" s="27">
        <f>opex_orig!BP128</f>
        <v>6.2184905299859504E-4</v>
      </c>
      <c r="BZ128" s="27">
        <f>opex_orig!BQ128</f>
        <v>1.04233991725125E-3</v>
      </c>
      <c r="CA128" s="27">
        <f>opex_orig!BR128</f>
        <v>1.20514395761784E-4</v>
      </c>
      <c r="CB128" s="27">
        <f>opex_orig!BS128</f>
        <v>4.3027948339879399E-3</v>
      </c>
      <c r="CC128" s="27">
        <f>opex_orig!BT128</f>
        <v>4.0941938068393701E-4</v>
      </c>
      <c r="CD128" s="27">
        <f>opex_orig!BU128</f>
        <v>3.9790982590792598E-4</v>
      </c>
      <c r="CE128" s="27">
        <f>opex_orig!BV128</f>
        <v>3.9790982590792598E-4</v>
      </c>
      <c r="CF128" s="27">
        <f>opex_orig!BW128</f>
        <v>1.4950258522201501E-4</v>
      </c>
      <c r="CG128" s="27">
        <f>opex_orig!BX128</f>
        <v>6.2792805393488296E-4</v>
      </c>
      <c r="CH128" s="27">
        <f>opex_orig!BY128</f>
        <v>1.0061063617771201E-2</v>
      </c>
      <c r="CI128" s="27">
        <f>opex_orig!Y128</f>
        <v>1.206904E-3</v>
      </c>
      <c r="CJ128" s="27">
        <f>opex_orig!Z128</f>
        <v>1.0191410000000001E-3</v>
      </c>
      <c r="CK128" s="27">
        <f>opex_orig!AA128</f>
        <v>4.5103749999999996E-3</v>
      </c>
      <c r="CL128" s="27">
        <f>opex_orig!AB128</f>
        <v>4.6961865990394099E-3</v>
      </c>
      <c r="CM128" s="27">
        <f>opex_orig!AC128</f>
        <v>3.9510069457153098E-3</v>
      </c>
      <c r="CN128" s="27">
        <f>opex_orig!AD128</f>
        <v>1.2890116050297E-3</v>
      </c>
      <c r="CO128" s="27">
        <f>opex_orig!AE128</f>
        <v>9.1388799999999996E-4</v>
      </c>
      <c r="CP128" s="27">
        <f>opex_orig!AF128</f>
        <v>1.0803480000000001E-3</v>
      </c>
    </row>
    <row r="129" spans="1:94" x14ac:dyDescent="0.25">
      <c r="A129" s="5" t="s">
        <v>249</v>
      </c>
      <c r="B129" s="2" t="s">
        <v>248</v>
      </c>
      <c r="C129" s="1" t="s">
        <v>333</v>
      </c>
      <c r="D129" s="188">
        <f>opex_orig!D129</f>
        <v>2.854859E-3</v>
      </c>
      <c r="E129" s="188">
        <f>opex_orig!E129</f>
        <v>2.8185939999999998E-3</v>
      </c>
      <c r="F129" s="188">
        <f>opex_orig!F129</f>
        <v>2.2087399999999998E-3</v>
      </c>
      <c r="G129" s="188">
        <f>opex_orig!G129</f>
        <v>5.95018E-4</v>
      </c>
      <c r="H129" s="188">
        <f>opex_orig!H129</f>
        <v>8.7890799999999997E-4</v>
      </c>
      <c r="I129" s="188">
        <f>opex_orig!I129</f>
        <v>7.5376660000000002E-3</v>
      </c>
      <c r="J129" s="188">
        <f>opex_orig!J129</f>
        <v>1.0400997E-2</v>
      </c>
      <c r="K129" s="188">
        <f>opex_orig!K129</f>
        <v>1.745704E-3</v>
      </c>
      <c r="L129" s="188">
        <f>opex_orig!L129</f>
        <v>3.8818699999999999E-3</v>
      </c>
      <c r="M129" s="188">
        <f>opex_orig!M129</f>
        <v>8.7406040000000008E-3</v>
      </c>
      <c r="N129" s="188">
        <f>opex_orig!N129</f>
        <v>6.7026860000000002E-3</v>
      </c>
      <c r="O129" s="188">
        <f>opex_orig!O129</f>
        <v>3.7908460000000001E-3</v>
      </c>
      <c r="P129" s="188">
        <f>opex_orig!P129</f>
        <v>2.5712510000000001E-3</v>
      </c>
      <c r="Q129" s="188">
        <f>opex_orig!Q129</f>
        <v>2.2137070000000001E-3</v>
      </c>
      <c r="R129" s="188">
        <f>opex_orig!R129</f>
        <v>3.2166809999999999E-3</v>
      </c>
      <c r="S129" s="188">
        <f>opex_orig!S129</f>
        <v>3.802873E-3</v>
      </c>
      <c r="T129" s="188">
        <f>opex_orig!T129</f>
        <v>6.5518399999999997E-3</v>
      </c>
      <c r="U129" s="188">
        <f>opex_orig!U129</f>
        <v>1.2220593E-2</v>
      </c>
      <c r="V129" s="188">
        <f>opex_orig!V129</f>
        <v>1.6969841999999999E-2</v>
      </c>
      <c r="W129" s="188">
        <f>opex_orig!W129</f>
        <v>3.206141E-3</v>
      </c>
      <c r="X129" s="188">
        <f>opex_orig!X129</f>
        <v>1.9574950000000001E-3</v>
      </c>
      <c r="Y129" s="188">
        <f>opex_orig!Y129</f>
        <v>7.8107250000000001E-3</v>
      </c>
      <c r="Z129" s="188">
        <f>opex_orig!Z129</f>
        <v>4.7694319999999998E-2</v>
      </c>
      <c r="AA129" s="188">
        <f>opex_orig!AA129</f>
        <v>8.1183078000000006E-2</v>
      </c>
      <c r="AB129" s="276">
        <f>opex_concordance!M198</f>
        <v>8.6195502111505104E-3</v>
      </c>
      <c r="AC129" s="276">
        <f>opex_concordance!M227</f>
        <v>1.5006737230463283E-2</v>
      </c>
      <c r="AD129" s="276">
        <f>opex_concordance!M288</f>
        <v>1.5194309932665717E-2</v>
      </c>
      <c r="AE129" s="188">
        <f>opex_orig!$AC129</f>
        <v>7.8861902575557905E-3</v>
      </c>
      <c r="AF129" s="257">
        <f>opex_concordance!$M$322</f>
        <v>5.5702518711760098E-3</v>
      </c>
      <c r="AG129" s="257">
        <f>opex_concordance!$M$358</f>
        <v>2.4684206819904756E-3</v>
      </c>
      <c r="AH129" s="257">
        <f>opex_concordance!$M$394</f>
        <v>1.980403318605101E-3</v>
      </c>
      <c r="AI129" s="188">
        <f>opex_orig!AE129</f>
        <v>4.8860470000000001E-3</v>
      </c>
      <c r="AJ129" s="188">
        <f>opex_orig!AF129</f>
        <v>1.0977143E-2</v>
      </c>
      <c r="AK129" s="188">
        <f>opex_orig!AG129</f>
        <v>7.0704139999999997E-3</v>
      </c>
      <c r="AL129" s="188">
        <f>opex_orig!AH129</f>
        <v>2.0845799000000002E-2</v>
      </c>
      <c r="AM129" s="188">
        <f>opex_orig!AI129</f>
        <v>4.0658342E-2</v>
      </c>
      <c r="AN129" s="188">
        <f>opex_orig!AJ129</f>
        <v>5.2466252999999997E-2</v>
      </c>
      <c r="AO129" s="188">
        <f>opex_orig!AK129</f>
        <v>4.8092540000000003E-2</v>
      </c>
      <c r="AP129" s="257">
        <f>opex_concordance!M404</f>
        <v>4.8979815221200297E-2</v>
      </c>
      <c r="AQ129" s="257">
        <f>opex_concordance!M458</f>
        <v>0.12753339019704485</v>
      </c>
      <c r="AR129" s="257">
        <f>opex_concordance!M512</f>
        <v>9.1974723220508356E-2</v>
      </c>
      <c r="AS129" s="188">
        <f>opex_orig!$AM129</f>
        <v>4.8415993644779998E-2</v>
      </c>
      <c r="AT129" s="188">
        <f>opex_orig!AN129</f>
        <v>6.1433205999999997E-2</v>
      </c>
      <c r="AU129" s="257">
        <f>opex_concordance!M571</f>
        <v>1.8017444205891301E-2</v>
      </c>
      <c r="AV129" s="257">
        <f>opex_concordance!M617</f>
        <v>2.4476634456808144E-2</v>
      </c>
      <c r="AW129" s="257">
        <f>opex_concordance!M663</f>
        <v>5.771368727568256E-2</v>
      </c>
      <c r="AX129" s="188">
        <f>opex_orig!$AP129</f>
        <v>1.9683711835593899E-2</v>
      </c>
      <c r="AY129" s="188">
        <f>opex_orig!AQ129</f>
        <v>1.7804176000000001E-2</v>
      </c>
      <c r="AZ129" s="188">
        <f>opex_orig!AR129</f>
        <v>0</v>
      </c>
      <c r="BA129" s="188">
        <f>opex_orig!AS129</f>
        <v>1.0593816000000001E-2</v>
      </c>
      <c r="BB129" s="188">
        <f>opex_orig!AT129</f>
        <v>1.0310395999999999E-2</v>
      </c>
      <c r="BC129" s="188">
        <f>opex_orig!AU129</f>
        <v>3.9662609999999996E-3</v>
      </c>
      <c r="BD129" s="188">
        <f>opex_orig!AV129</f>
        <v>3.5165420000000001E-3</v>
      </c>
      <c r="BE129" s="188">
        <f>opex_orig!AW129</f>
        <v>7.3690170000000003E-3</v>
      </c>
      <c r="BF129" s="188">
        <f>opex_orig!AX129</f>
        <v>0</v>
      </c>
      <c r="BG129" s="188">
        <f>opex_orig!AY129</f>
        <v>1.9210640000000001E-2</v>
      </c>
      <c r="BH129" s="188">
        <f>opex_orig!AZ129</f>
        <v>0</v>
      </c>
      <c r="BI129" s="188">
        <f>opex_orig!BA129</f>
        <v>2.1830626999999998E-2</v>
      </c>
      <c r="BJ129" s="188">
        <f>opex_orig!BB129</f>
        <v>1.0247832E-2</v>
      </c>
      <c r="BK129" s="188">
        <f>opex_orig!BC129</f>
        <v>4.9927579999999999E-3</v>
      </c>
      <c r="BL129" s="188">
        <f>opex_orig!BD129</f>
        <v>2.0797950000000002E-3</v>
      </c>
      <c r="BM129" s="188">
        <f>opex_orig!BE129</f>
        <v>1.9607270000000002E-3</v>
      </c>
      <c r="BN129" s="188">
        <f>opex_orig!BF129</f>
        <v>6.6239080000000004E-3</v>
      </c>
      <c r="BO129" s="188">
        <f>opex_orig!BG129</f>
        <v>4.0945189999999996E-3</v>
      </c>
      <c r="BP129" s="188">
        <f>opex_orig!$BH129</f>
        <v>3.0630563033745301E-3</v>
      </c>
      <c r="BQ129" s="188">
        <f>opex_orig!$BH129</f>
        <v>3.0630563033745301E-3</v>
      </c>
      <c r="BR129" s="188">
        <f>opex_orig!BI129</f>
        <v>1.8553420000000001E-3</v>
      </c>
      <c r="BS129" s="188">
        <f>opex_orig!BJ129</f>
        <v>3.8129129999999998E-3</v>
      </c>
      <c r="BT129" s="188">
        <f>opex_orig!BK129</f>
        <v>1.4652884999999999E-2</v>
      </c>
      <c r="BU129" s="188">
        <f>opex_orig!BL129</f>
        <v>0</v>
      </c>
      <c r="BV129" s="27">
        <f>opex_orig!BM129</f>
        <v>1.24887011462232E-2</v>
      </c>
      <c r="BW129" s="27">
        <f>opex_orig!BN129</f>
        <v>1.11684149702888E-2</v>
      </c>
      <c r="BX129" s="27">
        <f>opex_orig!BO129</f>
        <v>3.8837158532219499E-3</v>
      </c>
      <c r="BY129" s="27">
        <f>opex_orig!BP129</f>
        <v>6.5277647407708597E-3</v>
      </c>
      <c r="BZ129" s="27">
        <f>opex_orig!BQ129</f>
        <v>7.1654778110933296E-3</v>
      </c>
      <c r="CA129" s="27">
        <f>opex_orig!BR129</f>
        <v>5.62290737218951E-3</v>
      </c>
      <c r="CB129" s="27">
        <f>opex_orig!BS129</f>
        <v>1.1643511537964699E-2</v>
      </c>
      <c r="CC129" s="27">
        <f>opex_orig!BT129</f>
        <v>1.6858343766597901E-2</v>
      </c>
      <c r="CD129" s="27">
        <f>opex_orig!BU129</f>
        <v>6.9076222185073697E-3</v>
      </c>
      <c r="CE129" s="27">
        <f>opex_orig!BV129</f>
        <v>6.9076222185073697E-3</v>
      </c>
      <c r="CF129" s="27">
        <f>opex_orig!BW129</f>
        <v>5.7522940539109604E-4</v>
      </c>
      <c r="CG129" s="27">
        <f>opex_orig!BX129</f>
        <v>4.99276597520989E-3</v>
      </c>
      <c r="CH129" s="27">
        <f>opex_orig!BY129</f>
        <v>2.6019611283292399E-3</v>
      </c>
      <c r="CI129" s="27">
        <f>opex_orig!Y129</f>
        <v>7.8107250000000001E-3</v>
      </c>
      <c r="CJ129" s="27">
        <f>opex_orig!Z129</f>
        <v>4.7694319999999998E-2</v>
      </c>
      <c r="CK129" s="27">
        <f>opex_orig!AA129</f>
        <v>8.1183078000000006E-2</v>
      </c>
      <c r="CL129" s="27">
        <f>opex_orig!AB129</f>
        <v>8.6195502111505104E-3</v>
      </c>
      <c r="CM129" s="27">
        <f>opex_orig!AC129</f>
        <v>7.8861902575557905E-3</v>
      </c>
      <c r="CN129" s="27">
        <f>opex_orig!AD129</f>
        <v>5.5702518711760098E-3</v>
      </c>
      <c r="CO129" s="27">
        <f>opex_orig!AE129</f>
        <v>4.8860470000000001E-3</v>
      </c>
      <c r="CP129" s="27">
        <f>opex_orig!AF129</f>
        <v>1.0977143E-2</v>
      </c>
    </row>
    <row r="130" spans="1:94" x14ac:dyDescent="0.25">
      <c r="A130" s="9" t="s">
        <v>251</v>
      </c>
      <c r="B130" s="2" t="s">
        <v>250</v>
      </c>
      <c r="C130" s="1" t="s">
        <v>333</v>
      </c>
      <c r="D130" s="188">
        <f>opex_orig!D130</f>
        <v>5.2077899999999997E-4</v>
      </c>
      <c r="E130" s="188">
        <f>opex_orig!E130</f>
        <v>4.6802999999999998E-4</v>
      </c>
      <c r="F130" s="188">
        <f>opex_orig!F130</f>
        <v>2.0494400000000001E-4</v>
      </c>
      <c r="G130" s="188">
        <f>opex_orig!G130</f>
        <v>4.7299999999999998E-5</v>
      </c>
      <c r="H130" s="188">
        <f>opex_orig!H130</f>
        <v>8.42E-5</v>
      </c>
      <c r="I130" s="188">
        <f>opex_orig!I130</f>
        <v>1.365836E-3</v>
      </c>
      <c r="J130" s="188">
        <f>opex_orig!J130</f>
        <v>1.723535E-3</v>
      </c>
      <c r="K130" s="188">
        <f>opex_orig!K130</f>
        <v>1.2924400000000001E-4</v>
      </c>
      <c r="L130" s="188">
        <f>opex_orig!L130</f>
        <v>1.0939929999999999E-3</v>
      </c>
      <c r="M130" s="188">
        <f>opex_orig!M130</f>
        <v>2.868743E-3</v>
      </c>
      <c r="N130" s="188">
        <f>opex_orig!N130</f>
        <v>1.5763280000000001E-3</v>
      </c>
      <c r="O130" s="188">
        <f>opex_orig!O130</f>
        <v>1.5258769999999999E-3</v>
      </c>
      <c r="P130" s="188">
        <f>opex_orig!P130</f>
        <v>1.775006E-3</v>
      </c>
      <c r="Q130" s="188">
        <f>opex_orig!Q130</f>
        <v>5.13248E-4</v>
      </c>
      <c r="R130" s="188">
        <f>opex_orig!R130</f>
        <v>4.3209800000000001E-4</v>
      </c>
      <c r="S130" s="188">
        <f>opex_orig!S130</f>
        <v>1.3058119999999999E-3</v>
      </c>
      <c r="T130" s="188">
        <f>opex_orig!T130</f>
        <v>1.481509E-3</v>
      </c>
      <c r="U130" s="188">
        <f>opex_orig!U130</f>
        <v>1.2509699999999999E-3</v>
      </c>
      <c r="V130" s="188">
        <f>opex_orig!V130</f>
        <v>1.692296E-3</v>
      </c>
      <c r="W130" s="188">
        <f>opex_orig!W130</f>
        <v>1.22072E-3</v>
      </c>
      <c r="X130" s="188">
        <f>opex_orig!X130</f>
        <v>2.0230754E-2</v>
      </c>
      <c r="Y130" s="188">
        <f>opex_orig!Y130</f>
        <v>7.3999999999999996E-5</v>
      </c>
      <c r="Z130" s="188">
        <f>opex_orig!Z130</f>
        <v>3.7654399999999998E-4</v>
      </c>
      <c r="AA130" s="188">
        <f>opex_orig!AA130</f>
        <v>8.8513700000000003E-4</v>
      </c>
      <c r="AB130" s="188">
        <f>opex_orig!$AB130</f>
        <v>3.36609779159709E-4</v>
      </c>
      <c r="AC130" s="188">
        <f>opex_orig!$AB130</f>
        <v>3.36609779159709E-4</v>
      </c>
      <c r="AD130" s="188">
        <f>opex_orig!$AB130</f>
        <v>3.36609779159709E-4</v>
      </c>
      <c r="AE130" s="188">
        <f>opex_orig!$AC130</f>
        <v>3.5107474686844501E-4</v>
      </c>
      <c r="AF130" s="188">
        <f>opex_orig!$AD130</f>
        <v>4.79708025818266E-4</v>
      </c>
      <c r="AG130" s="188">
        <f>opex_orig!$AD130</f>
        <v>4.79708025818266E-4</v>
      </c>
      <c r="AH130" s="188">
        <f>opex_orig!$AD130</f>
        <v>4.79708025818266E-4</v>
      </c>
      <c r="AI130" s="188">
        <f>opex_orig!AE130</f>
        <v>5.2962300000000001E-4</v>
      </c>
      <c r="AJ130" s="188">
        <f>opex_orig!AF130</f>
        <v>7.5091700000000003E-4</v>
      </c>
      <c r="AK130" s="188">
        <f>opex_orig!AG130</f>
        <v>6.4364269999999998E-3</v>
      </c>
      <c r="AL130" s="188">
        <f>opex_orig!AH130</f>
        <v>1.6000000000000001E-3</v>
      </c>
      <c r="AM130" s="188">
        <f>opex_orig!AI130</f>
        <v>3.2685430000000001E-3</v>
      </c>
      <c r="AN130" s="188">
        <f>opex_orig!AJ130</f>
        <v>1.143313E-3</v>
      </c>
      <c r="AO130" s="188">
        <f>opex_orig!AK130</f>
        <v>1.3452970000000001E-3</v>
      </c>
      <c r="AP130" s="188">
        <f>opex_orig!$AL130</f>
        <v>1.1189684497528E-3</v>
      </c>
      <c r="AQ130" s="188">
        <f>opex_orig!$AL130</f>
        <v>1.1189684497528E-3</v>
      </c>
      <c r="AR130" s="188">
        <f>opex_orig!$AL130</f>
        <v>1.1189684497528E-3</v>
      </c>
      <c r="AS130" s="188">
        <f>opex_orig!$AM130</f>
        <v>1.0918042999814299E-3</v>
      </c>
      <c r="AT130" s="188">
        <f>opex_orig!AN130</f>
        <v>1.4952539999999999E-3</v>
      </c>
      <c r="AU130" s="188">
        <f>opex_orig!$AO130</f>
        <v>6.1144602789129602E-5</v>
      </c>
      <c r="AV130" s="188">
        <f>opex_orig!$AO130</f>
        <v>6.1144602789129602E-5</v>
      </c>
      <c r="AW130" s="188">
        <f>opex_orig!$AO130</f>
        <v>6.1144602789129602E-5</v>
      </c>
      <c r="AX130" s="188">
        <f>opex_orig!$AP130</f>
        <v>7.6589913860256804E-5</v>
      </c>
      <c r="AY130" s="188">
        <f>opex_orig!AQ130</f>
        <v>1.62258E-4</v>
      </c>
      <c r="AZ130" s="188">
        <f>opex_orig!AR130</f>
        <v>0</v>
      </c>
      <c r="BA130" s="188">
        <f>opex_orig!AS130</f>
        <v>9.4300000000000002E-5</v>
      </c>
      <c r="BB130" s="188">
        <f>opex_orig!AT130</f>
        <v>9.7100000000000002E-5</v>
      </c>
      <c r="BC130" s="188">
        <f>opex_orig!AU130</f>
        <v>3.8399999999999998E-5</v>
      </c>
      <c r="BD130" s="188">
        <f>opex_orig!AV130</f>
        <v>3.5500000000000002E-5</v>
      </c>
      <c r="BE130" s="188">
        <f>opex_orig!AW130</f>
        <v>6.4999999999999994E-5</v>
      </c>
      <c r="BF130" s="188">
        <f>opex_orig!AX130</f>
        <v>0</v>
      </c>
      <c r="BG130" s="188">
        <f>opex_orig!AY130</f>
        <v>2.0941300000000001E-4</v>
      </c>
      <c r="BH130" s="188">
        <f>opex_orig!AZ130</f>
        <v>0</v>
      </c>
      <c r="BI130" s="188">
        <f>opex_orig!BA130</f>
        <v>1.6789999999999999E-4</v>
      </c>
      <c r="BJ130" s="188">
        <f>opex_orig!BB130</f>
        <v>2.8974399999999998E-3</v>
      </c>
      <c r="BK130" s="188">
        <f>opex_orig!BC130</f>
        <v>1.3896340000000001E-3</v>
      </c>
      <c r="BL130" s="188">
        <f>opex_orig!BD130</f>
        <v>5.1371189999999999E-3</v>
      </c>
      <c r="BM130" s="188">
        <f>opex_orig!BE130</f>
        <v>3.1334819999999999E-3</v>
      </c>
      <c r="BN130" s="188">
        <f>opex_orig!BF130</f>
        <v>7.6569949999999998E-3</v>
      </c>
      <c r="BO130" s="188">
        <f>opex_orig!BG130</f>
        <v>4.405389E-3</v>
      </c>
      <c r="BP130" s="188">
        <f>opex_orig!$BH130</f>
        <v>1.7708151828157799E-3</v>
      </c>
      <c r="BQ130" s="188">
        <f>opex_orig!$BH130</f>
        <v>1.7708151828157799E-3</v>
      </c>
      <c r="BR130" s="188">
        <f>opex_orig!BI130</f>
        <v>1.8473129999999999E-3</v>
      </c>
      <c r="BS130" s="188">
        <f>opex_orig!BJ130</f>
        <v>4.4074989999999996E-3</v>
      </c>
      <c r="BT130" s="188">
        <f>opex_orig!BK130</f>
        <v>1.4651930000000001E-3</v>
      </c>
      <c r="BU130" s="188">
        <f>opex_orig!BL130</f>
        <v>0</v>
      </c>
      <c r="BV130" s="27">
        <f>opex_orig!BM130</f>
        <v>8.2380234674688697E-3</v>
      </c>
      <c r="BW130" s="27">
        <f>opex_orig!BN130</f>
        <v>7.5069060538666002E-3</v>
      </c>
      <c r="BX130" s="27">
        <f>opex_orig!BO130</f>
        <v>5.03024065880215E-3</v>
      </c>
      <c r="BY130" s="27">
        <f>opex_orig!BP130</f>
        <v>4.3390724122297298E-3</v>
      </c>
      <c r="BZ130" s="27">
        <f>opex_orig!BQ130</f>
        <v>4.4065699529427802E-3</v>
      </c>
      <c r="CA130" s="27">
        <f>opex_orig!BR130</f>
        <v>1.32387960396945E-3</v>
      </c>
      <c r="CB130" s="27">
        <f>opex_orig!BS130</f>
        <v>4.3681031455330499E-3</v>
      </c>
      <c r="CC130" s="27">
        <f>opex_orig!BT130</f>
        <v>2.4860660506927199E-3</v>
      </c>
      <c r="CD130" s="27">
        <f>opex_orig!BU130</f>
        <v>4.8858656175671498E-3</v>
      </c>
      <c r="CE130" s="27">
        <f>opex_orig!BV130</f>
        <v>4.8858656175671498E-3</v>
      </c>
      <c r="CF130" s="27">
        <f>opex_orig!BW130</f>
        <v>3.6593601572017402E-2</v>
      </c>
      <c r="CG130" s="27">
        <f>opex_orig!BX130</f>
        <v>4.4863204701593398E-5</v>
      </c>
      <c r="CH130" s="27">
        <f>opex_orig!BY130</f>
        <v>1.83564597554879E-4</v>
      </c>
      <c r="CI130" s="27">
        <f>opex_orig!Y130</f>
        <v>7.3999999999999996E-5</v>
      </c>
      <c r="CJ130" s="27">
        <f>opex_orig!Z130</f>
        <v>3.7654399999999998E-4</v>
      </c>
      <c r="CK130" s="27">
        <f>opex_orig!AA130</f>
        <v>8.8513700000000003E-4</v>
      </c>
      <c r="CL130" s="27">
        <f>opex_orig!AB130</f>
        <v>3.36609779159709E-4</v>
      </c>
      <c r="CM130" s="27">
        <f>opex_orig!AC130</f>
        <v>3.5107474686844501E-4</v>
      </c>
      <c r="CN130" s="27">
        <f>opex_orig!AD130</f>
        <v>4.79708025818266E-4</v>
      </c>
      <c r="CO130" s="27">
        <f>opex_orig!AE130</f>
        <v>5.2962300000000001E-4</v>
      </c>
      <c r="CP130" s="27">
        <f>opex_orig!AF130</f>
        <v>7.5091700000000003E-4</v>
      </c>
    </row>
    <row r="131" spans="1:94" x14ac:dyDescent="0.25">
      <c r="A131" s="5" t="s">
        <v>253</v>
      </c>
      <c r="B131" s="2" t="s">
        <v>252</v>
      </c>
      <c r="C131" s="1" t="s">
        <v>334</v>
      </c>
      <c r="D131" s="188">
        <f>opex_orig!D131</f>
        <v>6.7638699999999997E-4</v>
      </c>
      <c r="E131" s="188">
        <f>opex_orig!E131</f>
        <v>1.095581E-3</v>
      </c>
      <c r="F131" s="188">
        <f>opex_orig!F131</f>
        <v>5.3172699999999996E-4</v>
      </c>
      <c r="G131" s="188">
        <f>opex_orig!G131</f>
        <v>8.4900000000000004E-5</v>
      </c>
      <c r="H131" s="188">
        <f>opex_orig!H131</f>
        <v>1.80094E-4</v>
      </c>
      <c r="I131" s="188">
        <f>opex_orig!I131</f>
        <v>3.851925E-3</v>
      </c>
      <c r="J131" s="188">
        <f>opex_orig!J131</f>
        <v>1.4797E-3</v>
      </c>
      <c r="K131" s="188">
        <f>opex_orig!K131</f>
        <v>2.52778E-4</v>
      </c>
      <c r="L131" s="188">
        <f>opex_orig!L131</f>
        <v>1.443417E-3</v>
      </c>
      <c r="M131" s="188">
        <f>opex_orig!M131</f>
        <v>3.3130709999999999E-3</v>
      </c>
      <c r="N131" s="188">
        <f>opex_orig!N131</f>
        <v>2.0456070000000001E-3</v>
      </c>
      <c r="O131" s="188">
        <f>opex_orig!O131</f>
        <v>8.8266500000000003E-4</v>
      </c>
      <c r="P131" s="188">
        <f>opex_orig!P131</f>
        <v>5.7998829999999996E-3</v>
      </c>
      <c r="Q131" s="188">
        <f>opex_orig!Q131</f>
        <v>1.075117E-3</v>
      </c>
      <c r="R131" s="188">
        <f>opex_orig!R131</f>
        <v>8.0072400000000005E-4</v>
      </c>
      <c r="S131" s="188">
        <f>opex_orig!S131</f>
        <v>1.437846E-3</v>
      </c>
      <c r="T131" s="188">
        <f>opex_orig!T131</f>
        <v>1.6211750000000001E-3</v>
      </c>
      <c r="U131" s="188">
        <f>opex_orig!U131</f>
        <v>2.1629962999999999E-2</v>
      </c>
      <c r="V131" s="188">
        <f>opex_orig!V131</f>
        <v>2.9647026E-2</v>
      </c>
      <c r="W131" s="188">
        <f>opex_orig!W131</f>
        <v>5.3182070000000001E-3</v>
      </c>
      <c r="X131" s="188">
        <f>opex_orig!X131</f>
        <v>1.6774680000000001E-3</v>
      </c>
      <c r="Y131" s="188">
        <f>opex_orig!Y131</f>
        <v>7.7100000000000004E-5</v>
      </c>
      <c r="Z131" s="188">
        <f>opex_orig!Z131</f>
        <v>4.6593699999999998E-4</v>
      </c>
      <c r="AA131" s="188">
        <f>opex_orig!AA131</f>
        <v>2.6088000000000001E-4</v>
      </c>
      <c r="AB131" s="188">
        <f>opex_orig!$AB131</f>
        <v>4.8432597859398598E-5</v>
      </c>
      <c r="AC131" s="188">
        <f>opex_orig!$AB131</f>
        <v>4.8432597859398598E-5</v>
      </c>
      <c r="AD131" s="188">
        <f>opex_orig!$AB131</f>
        <v>4.8432597859398598E-5</v>
      </c>
      <c r="AE131" s="188">
        <f>opex_orig!$AC131</f>
        <v>2.3215590762168501E-3</v>
      </c>
      <c r="AF131" s="188">
        <f>opex_orig!$AD131</f>
        <v>4.5585224191631501E-3</v>
      </c>
      <c r="AG131" s="188">
        <f>opex_orig!$AD131</f>
        <v>4.5585224191631501E-3</v>
      </c>
      <c r="AH131" s="188">
        <f>opex_orig!$AD131</f>
        <v>4.5585224191631501E-3</v>
      </c>
      <c r="AI131" s="188">
        <f>opex_orig!AE131</f>
        <v>5.3442020000000002E-3</v>
      </c>
      <c r="AJ131" s="188">
        <f>opex_orig!AF131</f>
        <v>5.1714000000000003E-4</v>
      </c>
      <c r="AK131" s="188">
        <f>opex_orig!AG131</f>
        <v>8.4139699999999998E-3</v>
      </c>
      <c r="AL131" s="188">
        <f>opex_orig!AH131</f>
        <v>2.550213E-3</v>
      </c>
      <c r="AM131" s="188">
        <f>opex_orig!AI131</f>
        <v>5.3405600000000003E-3</v>
      </c>
      <c r="AN131" s="188">
        <f>opex_orig!AJ131</f>
        <v>4.0849930000000003E-3</v>
      </c>
      <c r="AO131" s="188">
        <f>opex_orig!AK131</f>
        <v>3.3617310000000002E-3</v>
      </c>
      <c r="AP131" s="302">
        <f>opex_concordance!M451</f>
        <v>5.3180374349479304E-3</v>
      </c>
      <c r="AQ131" s="302">
        <f>opex_concordance!M505</f>
        <v>4.2799063555670645E-3</v>
      </c>
      <c r="AR131" s="302">
        <f>opex_concordance!M559</f>
        <v>4.6968232056114395E-3</v>
      </c>
      <c r="AS131" s="188">
        <f>opex_orig!$AM131</f>
        <v>5.1959187684598599E-3</v>
      </c>
      <c r="AT131" s="188">
        <f>opex_orig!AN131</f>
        <v>4.2258479999999999E-3</v>
      </c>
      <c r="AU131" s="188">
        <f>opex_orig!$AO131</f>
        <v>8.7225225424363494E-5</v>
      </c>
      <c r="AV131" s="188">
        <f>opex_orig!$AO131</f>
        <v>8.7225225424363494E-5</v>
      </c>
      <c r="AW131" s="188">
        <f>opex_orig!$AO131</f>
        <v>8.7225225424363494E-5</v>
      </c>
      <c r="AX131" s="188">
        <f>opex_orig!$AP131</f>
        <v>1.0457168004955801E-4</v>
      </c>
      <c r="AY131" s="188">
        <f>opex_orig!AQ131</f>
        <v>1.7123799999999999E-4</v>
      </c>
      <c r="AZ131" s="188">
        <f>opex_orig!AR131</f>
        <v>0</v>
      </c>
      <c r="BA131" s="188">
        <f>opex_orig!AS131</f>
        <v>3.4164999999999998E-4</v>
      </c>
      <c r="BB131" s="188">
        <f>opex_orig!AT131</f>
        <v>3.9607999999999999E-4</v>
      </c>
      <c r="BC131" s="188">
        <f>opex_orig!AU131</f>
        <v>3.4199999999999998E-5</v>
      </c>
      <c r="BD131" s="188">
        <f>opex_orig!AV131</f>
        <v>3.01E-5</v>
      </c>
      <c r="BE131" s="188">
        <f>opex_orig!AW131</f>
        <v>2.2566400000000001E-4</v>
      </c>
      <c r="BF131" s="188">
        <f>opex_orig!AX131</f>
        <v>0</v>
      </c>
      <c r="BG131" s="188">
        <f>opex_orig!AY131</f>
        <v>5.8600000000000001E-5</v>
      </c>
      <c r="BH131" s="188">
        <f>opex_orig!AZ131</f>
        <v>0</v>
      </c>
      <c r="BI131" s="188">
        <f>opex_orig!BA131</f>
        <v>5.66E-5</v>
      </c>
      <c r="BJ131" s="188">
        <f>opex_orig!BB131</f>
        <v>1.0041069999999999E-2</v>
      </c>
      <c r="BK131" s="188">
        <f>opex_orig!BC131</f>
        <v>5.9674230000000003E-3</v>
      </c>
      <c r="BL131" s="188">
        <f>opex_orig!BD131</f>
        <v>1.588786E-3</v>
      </c>
      <c r="BM131" s="188">
        <f>opex_orig!BE131</f>
        <v>2.5104979999999999E-3</v>
      </c>
      <c r="BN131" s="188">
        <f>opex_orig!BF131</f>
        <v>1.7092159999999999E-3</v>
      </c>
      <c r="BO131" s="188">
        <f>opex_orig!BG131</f>
        <v>8.3102569999999997E-3</v>
      </c>
      <c r="BP131" s="188">
        <f>opex_orig!$BH131</f>
        <v>1.9136604500758899E-3</v>
      </c>
      <c r="BQ131" s="188">
        <f>opex_orig!$BH131</f>
        <v>1.9136604500758899E-3</v>
      </c>
      <c r="BR131" s="188">
        <f>opex_orig!BI131</f>
        <v>8.3457779999999999E-3</v>
      </c>
      <c r="BS131" s="188">
        <f>opex_orig!BJ131</f>
        <v>4.5251579999999996E-3</v>
      </c>
      <c r="BT131" s="188">
        <f>opex_orig!BK131</f>
        <v>9.0236329999999997E-3</v>
      </c>
      <c r="BU131" s="188">
        <f>opex_orig!BL131</f>
        <v>0</v>
      </c>
      <c r="BV131" s="27">
        <f>opex_orig!BM131</f>
        <v>1.88587397642383E-2</v>
      </c>
      <c r="BW131" s="27">
        <f>opex_orig!BN131</f>
        <v>2.11576640719272E-2</v>
      </c>
      <c r="BX131" s="27">
        <f>opex_orig!BO131</f>
        <v>8.9971428734370792E-3</v>
      </c>
      <c r="BY131" s="27">
        <f>opex_orig!BP131</f>
        <v>1.3993753621588801E-2</v>
      </c>
      <c r="BZ131" s="27">
        <f>opex_orig!BQ131</f>
        <v>1.4582814217131999E-2</v>
      </c>
      <c r="CA131" s="27">
        <f>opex_orig!BR131</f>
        <v>5.0519003609725702E-3</v>
      </c>
      <c r="CB131" s="27">
        <f>opex_orig!BS131</f>
        <v>1.2420415256605999E-2</v>
      </c>
      <c r="CC131" s="27">
        <f>opex_orig!BT131</f>
        <v>7.6817228091249704E-3</v>
      </c>
      <c r="CD131" s="27">
        <f>opex_orig!BU131</f>
        <v>1.66234787904035E-2</v>
      </c>
      <c r="CE131" s="27">
        <f>opex_orig!BV131</f>
        <v>1.66234787904035E-2</v>
      </c>
      <c r="CF131" s="27">
        <f>opex_orig!BW131</f>
        <v>2.4361261309939802E-2</v>
      </c>
      <c r="CG131" s="27">
        <f>opex_orig!BX131</f>
        <v>8.2665801994508803E-5</v>
      </c>
      <c r="CH131" s="27">
        <f>opex_orig!BY131</f>
        <v>6.0716512214742298E-6</v>
      </c>
      <c r="CI131" s="27">
        <f>opex_orig!Y131</f>
        <v>7.7100000000000004E-5</v>
      </c>
      <c r="CJ131" s="27">
        <f>opex_orig!Z131</f>
        <v>4.6593699999999998E-4</v>
      </c>
      <c r="CK131" s="27">
        <f>opex_orig!AA131</f>
        <v>2.6088000000000001E-4</v>
      </c>
      <c r="CL131" s="27">
        <f>opex_orig!AB131</f>
        <v>4.8432597859398598E-5</v>
      </c>
      <c r="CM131" s="27">
        <f>opex_orig!AC131</f>
        <v>2.3215590762168501E-3</v>
      </c>
      <c r="CN131" s="27">
        <f>opex_orig!AD131</f>
        <v>4.5585224191631501E-3</v>
      </c>
      <c r="CO131" s="27">
        <f>opex_orig!AE131</f>
        <v>5.3442020000000002E-3</v>
      </c>
      <c r="CP131" s="27">
        <f>opex_orig!AF131</f>
        <v>5.1714000000000003E-4</v>
      </c>
    </row>
    <row r="132" spans="1:94" x14ac:dyDescent="0.25">
      <c r="A132" s="5" t="s">
        <v>255</v>
      </c>
      <c r="B132" s="2" t="s">
        <v>254</v>
      </c>
      <c r="C132" s="1" t="s">
        <v>334</v>
      </c>
      <c r="D132" s="188">
        <f>opex_orig!D132</f>
        <v>1.7841800000000001E-4</v>
      </c>
      <c r="E132" s="188">
        <f>opex_orig!E132</f>
        <v>1.7676200000000001E-4</v>
      </c>
      <c r="F132" s="188">
        <f>opex_orig!F132</f>
        <v>9.2899999999999995E-5</v>
      </c>
      <c r="G132" s="188">
        <f>opex_orig!G132</f>
        <v>1.84E-5</v>
      </c>
      <c r="H132" s="188">
        <f>opex_orig!H132</f>
        <v>3.6000000000000001E-5</v>
      </c>
      <c r="I132" s="188">
        <f>opex_orig!I132</f>
        <v>3.15168E-4</v>
      </c>
      <c r="J132" s="188">
        <f>opex_orig!J132</f>
        <v>2.0568499999999999E-4</v>
      </c>
      <c r="K132" s="188">
        <f>opex_orig!K132</f>
        <v>4.8000000000000001E-5</v>
      </c>
      <c r="L132" s="188">
        <f>opex_orig!L132</f>
        <v>6.4778299999999997E-4</v>
      </c>
      <c r="M132" s="188">
        <f>opex_orig!M132</f>
        <v>2.6616510000000001E-3</v>
      </c>
      <c r="N132" s="188">
        <f>opex_orig!N132</f>
        <v>1.033869E-3</v>
      </c>
      <c r="O132" s="188">
        <f>opex_orig!O132</f>
        <v>8.7420800000000002E-4</v>
      </c>
      <c r="P132" s="188">
        <f>opex_orig!P132</f>
        <v>2.4501319999999998E-3</v>
      </c>
      <c r="Q132" s="188">
        <f>opex_orig!Q132</f>
        <v>1.12309E-4</v>
      </c>
      <c r="R132" s="188">
        <f>opex_orig!R132</f>
        <v>2.7919000000000002E-4</v>
      </c>
      <c r="S132" s="188">
        <f>opex_orig!S132</f>
        <v>4.8465879999999998E-3</v>
      </c>
      <c r="T132" s="188">
        <f>opex_orig!T132</f>
        <v>5.4768660000000004E-3</v>
      </c>
      <c r="U132" s="188">
        <f>opex_orig!U132</f>
        <v>4.3831850000000004E-3</v>
      </c>
      <c r="V132" s="188">
        <f>opex_orig!V132</f>
        <v>6.0095050000000001E-3</v>
      </c>
      <c r="W132" s="188">
        <f>opex_orig!W132</f>
        <v>9.2227300000000004E-4</v>
      </c>
      <c r="X132" s="188">
        <f>opex_orig!X132</f>
        <v>1.943637E-3</v>
      </c>
      <c r="Y132" s="188">
        <f>opex_orig!Y132</f>
        <v>1.91E-5</v>
      </c>
      <c r="Z132" s="188">
        <f>opex_orig!Z132</f>
        <v>5.0886599999999996E-4</v>
      </c>
      <c r="AA132" s="188">
        <f>opex_orig!AA132</f>
        <v>7.2899999999999997E-5</v>
      </c>
      <c r="AB132" s="188">
        <f>opex_orig!$AB132</f>
        <v>4.2525934886827399E-4</v>
      </c>
      <c r="AC132" s="188">
        <f>opex_orig!$AB132</f>
        <v>4.2525934886827399E-4</v>
      </c>
      <c r="AD132" s="188">
        <f>opex_orig!$AB132</f>
        <v>4.2525934886827399E-4</v>
      </c>
      <c r="AE132" s="188">
        <f>opex_orig!$AC132</f>
        <v>4.4177013981379198E-3</v>
      </c>
      <c r="AF132" s="302">
        <f>opex_concordance!$M$323</f>
        <v>8.0393532307613397E-3</v>
      </c>
      <c r="AG132" s="302">
        <f>opex_concordance!$M$359</f>
        <v>3.5625867992300684E-3</v>
      </c>
      <c r="AH132" s="302">
        <f>opex_concordance!$M$395</f>
        <v>2.8582480982636553E-3</v>
      </c>
      <c r="AI132" s="188">
        <f>opex_orig!AE132</f>
        <v>7.4497599999999997E-3</v>
      </c>
      <c r="AJ132" s="188">
        <f>opex_orig!AF132</f>
        <v>1.579312E-3</v>
      </c>
      <c r="AK132" s="188">
        <f>opex_orig!AG132</f>
        <v>8.5071099999999998E-4</v>
      </c>
      <c r="AL132" s="188">
        <f>opex_orig!AH132</f>
        <v>6.7220699999999997E-4</v>
      </c>
      <c r="AM132" s="188">
        <f>opex_orig!AI132</f>
        <v>1.3598569999999999E-3</v>
      </c>
      <c r="AN132" s="188">
        <f>opex_orig!AJ132</f>
        <v>1.5437669999999999E-3</v>
      </c>
      <c r="AO132" s="188">
        <f>opex_orig!AK132</f>
        <v>8.1395899999999995E-4</v>
      </c>
      <c r="AP132" s="188">
        <f>opex_orig!$AL132</f>
        <v>8.4095280130187897E-4</v>
      </c>
      <c r="AQ132" s="188">
        <f>opex_orig!$AL132</f>
        <v>8.4095280130187897E-4</v>
      </c>
      <c r="AR132" s="188">
        <f>opex_orig!$AL132</f>
        <v>8.4095280130187897E-4</v>
      </c>
      <c r="AS132" s="188">
        <f>opex_orig!$AM132</f>
        <v>8.0681992461796202E-4</v>
      </c>
      <c r="AT132" s="188">
        <f>opex_orig!AN132</f>
        <v>2.4974490000000001E-3</v>
      </c>
      <c r="AU132" s="188">
        <f>opex_orig!$AO132</f>
        <v>4.09430318212092E-4</v>
      </c>
      <c r="AV132" s="188">
        <f>opex_orig!$AO132</f>
        <v>4.09430318212092E-4</v>
      </c>
      <c r="AW132" s="188">
        <f>opex_orig!$AO132</f>
        <v>4.09430318212092E-4</v>
      </c>
      <c r="AX132" s="188">
        <f>opex_orig!$AP132</f>
        <v>4.9408685995334803E-4</v>
      </c>
      <c r="AY132" s="188">
        <f>opex_orig!AQ132</f>
        <v>2.48774E-4</v>
      </c>
      <c r="AZ132" s="188">
        <f>opex_orig!AR132</f>
        <v>0</v>
      </c>
      <c r="BA132" s="188">
        <f>opex_orig!AS132</f>
        <v>1.100625E-3</v>
      </c>
      <c r="BB132" s="188">
        <f>opex_orig!AT132</f>
        <v>1.2614480000000001E-3</v>
      </c>
      <c r="BC132" s="188">
        <f>opex_orig!AU132</f>
        <v>3.58921E-4</v>
      </c>
      <c r="BD132" s="188">
        <f>opex_orig!AV132</f>
        <v>3.2182599999999999E-4</v>
      </c>
      <c r="BE132" s="188">
        <f>opex_orig!AW132</f>
        <v>1.1047990000000001E-3</v>
      </c>
      <c r="BF132" s="188">
        <f>opex_orig!AX132</f>
        <v>0</v>
      </c>
      <c r="BG132" s="188">
        <f>opex_orig!AY132</f>
        <v>1.27708E-4</v>
      </c>
      <c r="BH132" s="188">
        <f>opex_orig!AZ132</f>
        <v>0</v>
      </c>
      <c r="BI132" s="188">
        <f>opex_orig!BA132</f>
        <v>4.39899E-4</v>
      </c>
      <c r="BJ132" s="188">
        <f>opex_orig!BB132</f>
        <v>2.8030279999999999E-3</v>
      </c>
      <c r="BK132" s="188">
        <f>opex_orig!BC132</f>
        <v>2.554705E-3</v>
      </c>
      <c r="BL132" s="188">
        <f>opex_orig!BD132</f>
        <v>1.357437E-3</v>
      </c>
      <c r="BM132" s="188">
        <f>opex_orig!BE132</f>
        <v>1.0656579999999999E-3</v>
      </c>
      <c r="BN132" s="188">
        <f>opex_orig!BF132</f>
        <v>4.5911200000000002E-4</v>
      </c>
      <c r="BO132" s="188">
        <f>opex_orig!BG132</f>
        <v>1.12017E-3</v>
      </c>
      <c r="BP132" s="188">
        <f>opex_orig!$BH132</f>
        <v>8.6111300589345905E-4</v>
      </c>
      <c r="BQ132" s="188">
        <f>opex_orig!$BH132</f>
        <v>8.6111300589345905E-4</v>
      </c>
      <c r="BR132" s="188">
        <f>opex_orig!BI132</f>
        <v>1.9921600000000002E-3</v>
      </c>
      <c r="BS132" s="188">
        <f>opex_orig!BJ132</f>
        <v>1.1804890000000001E-3</v>
      </c>
      <c r="BT132" s="188">
        <f>opex_orig!BK132</f>
        <v>9.5116019999999992E-3</v>
      </c>
      <c r="BU132" s="188">
        <f>opex_orig!BL132</f>
        <v>0</v>
      </c>
      <c r="BV132" s="27">
        <f>opex_orig!BM132</f>
        <v>1.6162176008146E-3</v>
      </c>
      <c r="BW132" s="27">
        <f>opex_orig!BN132</f>
        <v>1.4492948841073701E-3</v>
      </c>
      <c r="BX132" s="27">
        <f>opex_orig!BO132</f>
        <v>2.20696878734007E-3</v>
      </c>
      <c r="BY132" s="27">
        <f>opex_orig!BP132</f>
        <v>1.99290753563391E-3</v>
      </c>
      <c r="BZ132" s="27">
        <f>opex_orig!BQ132</f>
        <v>2.0839771822968901E-3</v>
      </c>
      <c r="CA132" s="27">
        <f>opex_orig!BR132</f>
        <v>4.54425780569099E-3</v>
      </c>
      <c r="CB132" s="27">
        <f>opex_orig!BS132</f>
        <v>9.5834311901994002E-4</v>
      </c>
      <c r="CC132" s="27">
        <f>opex_orig!BT132</f>
        <v>4.5418507877782201E-4</v>
      </c>
      <c r="CD132" s="27">
        <f>opex_orig!BU132</f>
        <v>2.3894908081873302E-3</v>
      </c>
      <c r="CE132" s="27">
        <f>opex_orig!BV132</f>
        <v>2.3894908081873302E-3</v>
      </c>
      <c r="CF132" s="27">
        <f>opex_orig!BW132</f>
        <v>1.90171263018208E-3</v>
      </c>
      <c r="CG132" s="27">
        <f>opex_orig!BX132</f>
        <v>1.30839294627246E-5</v>
      </c>
      <c r="CH132" s="27">
        <f>opex_orig!BY132</f>
        <v>6.9056727201352E-6</v>
      </c>
      <c r="CI132" s="27">
        <f>opex_orig!Y132</f>
        <v>1.91E-5</v>
      </c>
      <c r="CJ132" s="27">
        <f>opex_orig!Z132</f>
        <v>5.0886599999999996E-4</v>
      </c>
      <c r="CK132" s="27">
        <f>opex_orig!AA132</f>
        <v>7.2899999999999997E-5</v>
      </c>
      <c r="CL132" s="27">
        <f>opex_orig!AB132</f>
        <v>4.2525934886827399E-4</v>
      </c>
      <c r="CM132" s="27">
        <f>opex_orig!AC132</f>
        <v>4.4177013981379198E-3</v>
      </c>
      <c r="CN132" s="27">
        <f>opex_orig!AD132</f>
        <v>8.0393532307613397E-3</v>
      </c>
      <c r="CO132" s="27">
        <f>opex_orig!AE132</f>
        <v>7.4497599999999997E-3</v>
      </c>
      <c r="CP132" s="27">
        <f>opex_orig!AF132</f>
        <v>1.579312E-3</v>
      </c>
    </row>
    <row r="133" spans="1:94" x14ac:dyDescent="0.25">
      <c r="A133" s="5" t="s">
        <v>257</v>
      </c>
      <c r="B133" s="2" t="s">
        <v>256</v>
      </c>
      <c r="C133" s="1" t="s">
        <v>334</v>
      </c>
      <c r="D133" s="188">
        <f>opex_orig!D133</f>
        <v>3.3699999999999999E-5</v>
      </c>
      <c r="E133" s="188">
        <f>opex_orig!E133</f>
        <v>4.0199999999999996E-6</v>
      </c>
      <c r="F133" s="188">
        <f>opex_orig!F133</f>
        <v>2.5000000000000002E-6</v>
      </c>
      <c r="G133" s="188">
        <f>opex_orig!G133</f>
        <v>4.6499999999999999E-7</v>
      </c>
      <c r="H133" s="188">
        <f>opex_orig!H133</f>
        <v>8.7300000000000005E-7</v>
      </c>
      <c r="I133" s="188">
        <f>opex_orig!I133</f>
        <v>5.0900000000000004E-6</v>
      </c>
      <c r="J133" s="188">
        <f>opex_orig!J133</f>
        <v>1.8899999999999999E-5</v>
      </c>
      <c r="K133" s="188">
        <f>opex_orig!K133</f>
        <v>1.48E-6</v>
      </c>
      <c r="L133" s="188">
        <f>opex_orig!L133</f>
        <v>4.78E-6</v>
      </c>
      <c r="M133" s="188">
        <f>opex_orig!M133</f>
        <v>1.11E-5</v>
      </c>
      <c r="N133" s="188">
        <f>opex_orig!N133</f>
        <v>6.5899999999999996E-6</v>
      </c>
      <c r="O133" s="188">
        <f>opex_orig!O133</f>
        <v>2.23E-5</v>
      </c>
      <c r="P133" s="188">
        <f>opex_orig!P133</f>
        <v>5.6200000000000004E-6</v>
      </c>
      <c r="Q133" s="188">
        <f>opex_orig!Q133</f>
        <v>2.96E-6</v>
      </c>
      <c r="R133" s="188">
        <f>opex_orig!R133</f>
        <v>1.0899999999999999E-6</v>
      </c>
      <c r="S133" s="188">
        <f>opex_orig!S133</f>
        <v>3.63E-6</v>
      </c>
      <c r="T133" s="188">
        <f>opex_orig!T133</f>
        <v>4.3599999999999998E-6</v>
      </c>
      <c r="U133" s="188">
        <f>opex_orig!U133</f>
        <v>5.6899999999999997E-6</v>
      </c>
      <c r="V133" s="188">
        <f>opex_orig!V133</f>
        <v>7.6199999999999999E-6</v>
      </c>
      <c r="W133" s="188">
        <f>opex_orig!W133</f>
        <v>5.2800000000000003E-6</v>
      </c>
      <c r="X133" s="188">
        <f>opex_orig!X133</f>
        <v>1.6178000000000001E-4</v>
      </c>
      <c r="Y133" s="188">
        <f>opex_orig!Y133</f>
        <v>6.5099999999999999E-7</v>
      </c>
      <c r="Z133" s="188">
        <f>opex_orig!Z133</f>
        <v>3.05E-6</v>
      </c>
      <c r="AA133" s="188">
        <f>opex_orig!AA133</f>
        <v>3.6200000000000001E-6</v>
      </c>
      <c r="AB133" s="188">
        <f>opex_orig!$AB133</f>
        <v>4.4194144857413097E-5</v>
      </c>
      <c r="AC133" s="188">
        <f>opex_orig!$AB133</f>
        <v>4.4194144857413097E-5</v>
      </c>
      <c r="AD133" s="188">
        <f>opex_orig!$AB133</f>
        <v>4.4194144857413097E-5</v>
      </c>
      <c r="AE133" s="188">
        <f>opex_orig!$AC133</f>
        <v>4.0454753274555798E-2</v>
      </c>
      <c r="AF133" s="299">
        <f>opex_concordance!$M$324</f>
        <v>8.8305151998102391E-2</v>
      </c>
      <c r="AG133" s="299">
        <f>opex_concordance!$M$360</f>
        <v>3.9131850508657362E-2</v>
      </c>
      <c r="AH133" s="299">
        <f>opex_concordance!$M$396</f>
        <v>3.1395315707698629E-2</v>
      </c>
      <c r="AI133" s="188">
        <f>opex_orig!AE133</f>
        <v>0.106262758</v>
      </c>
      <c r="AJ133" s="188">
        <f>opex_orig!AF133</f>
        <v>4.5189599999999998E-3</v>
      </c>
      <c r="AK133" s="188">
        <f>opex_orig!AG133</f>
        <v>5.0210599999999999E-4</v>
      </c>
      <c r="AL133" s="188">
        <f>opex_orig!AH133</f>
        <v>1.13472E-4</v>
      </c>
      <c r="AM133" s="188">
        <f>opex_orig!AI133</f>
        <v>2.3728099999999999E-4</v>
      </c>
      <c r="AN133" s="188">
        <f>opex_orig!AJ133</f>
        <v>1.50314E-4</v>
      </c>
      <c r="AO133" s="188">
        <f>opex_orig!AK133</f>
        <v>1.9608399999999999E-4</v>
      </c>
      <c r="AP133" s="188">
        <f>opex_orig!$AL133</f>
        <v>2.1050262636114001E-4</v>
      </c>
      <c r="AQ133" s="188">
        <f>opex_orig!$AL133</f>
        <v>2.1050262636114001E-4</v>
      </c>
      <c r="AR133" s="188">
        <f>opex_orig!$AL133</f>
        <v>2.1050262636114001E-4</v>
      </c>
      <c r="AS133" s="188">
        <f>opex_orig!$AM133</f>
        <v>2.04862703590957E-4</v>
      </c>
      <c r="AT133" s="188">
        <f>opex_orig!AN133</f>
        <v>2.0859000000000001E-4</v>
      </c>
      <c r="AU133" s="188">
        <f>opex_orig!$AO133</f>
        <v>7.2929009368409505E-4</v>
      </c>
      <c r="AV133" s="188">
        <f>opex_orig!$AO133</f>
        <v>7.2929009368409505E-4</v>
      </c>
      <c r="AW133" s="188">
        <f>opex_orig!$AO133</f>
        <v>7.2929009368409505E-4</v>
      </c>
      <c r="AX133" s="188">
        <f>opex_orig!$AP133</f>
        <v>8.7652854039615296E-4</v>
      </c>
      <c r="AY133" s="188">
        <f>opex_orig!AQ133</f>
        <v>1.647449E-3</v>
      </c>
      <c r="AZ133" s="188">
        <f>opex_orig!AR133</f>
        <v>0</v>
      </c>
      <c r="BA133" s="188">
        <f>opex_orig!AS133</f>
        <v>9.4530600000000003E-4</v>
      </c>
      <c r="BB133" s="188">
        <f>opex_orig!AT133</f>
        <v>1.029505E-3</v>
      </c>
      <c r="BC133" s="188">
        <f>opex_orig!AU133</f>
        <v>3.9402399999999998E-4</v>
      </c>
      <c r="BD133" s="188">
        <f>opex_orig!AV133</f>
        <v>3.4205900000000003E-4</v>
      </c>
      <c r="BE133" s="188">
        <f>opex_orig!AW133</f>
        <v>1.072136E-3</v>
      </c>
      <c r="BF133" s="188">
        <f>opex_orig!AX133</f>
        <v>0</v>
      </c>
      <c r="BG133" s="188">
        <f>opex_orig!AY133</f>
        <v>1.1145199999999999E-3</v>
      </c>
      <c r="BH133" s="188">
        <f>opex_orig!AZ133</f>
        <v>0</v>
      </c>
      <c r="BI133" s="188">
        <f>opex_orig!BA133</f>
        <v>1.314731E-3</v>
      </c>
      <c r="BJ133" s="188">
        <f>opex_orig!BB133</f>
        <v>4.3281299999999999E-4</v>
      </c>
      <c r="BK133" s="188">
        <f>opex_orig!BC133</f>
        <v>8.3799999999999994E-6</v>
      </c>
      <c r="BL133" s="188">
        <f>opex_orig!BD133</f>
        <v>2.9799999999999999E-5</v>
      </c>
      <c r="BM133" s="188">
        <f>opex_orig!BE133</f>
        <v>4.2500000000000003E-5</v>
      </c>
      <c r="BN133" s="188">
        <f>opex_orig!BF133</f>
        <v>1.39E-6</v>
      </c>
      <c r="BO133" s="188">
        <f>opex_orig!BG133</f>
        <v>6.5400000000000001E-6</v>
      </c>
      <c r="BP133" s="188">
        <f>opex_orig!$BH133</f>
        <v>2.1716551421394E-4</v>
      </c>
      <c r="BQ133" s="188">
        <f>opex_orig!$BH133</f>
        <v>2.1716551421394E-4</v>
      </c>
      <c r="BR133" s="188">
        <f>opex_orig!BI133</f>
        <v>3.45E-6</v>
      </c>
      <c r="BS133" s="188">
        <f>opex_orig!BJ133</f>
        <v>1.2999999999999999E-5</v>
      </c>
      <c r="BT133" s="188">
        <f>opex_orig!BK133</f>
        <v>3.1399999999999998E-5</v>
      </c>
      <c r="BU133" s="188">
        <f>opex_orig!BL133</f>
        <v>0</v>
      </c>
      <c r="BV133" s="27">
        <f>opex_orig!BM133</f>
        <v>2.9864269213563998E-4</v>
      </c>
      <c r="BW133" s="27">
        <f>opex_orig!BN133</f>
        <v>2.4798571052720401E-4</v>
      </c>
      <c r="BX133" s="27">
        <f>opex_orig!BO133</f>
        <v>2.2525702307959501E-4</v>
      </c>
      <c r="BY133" s="27">
        <f>opex_orig!BP133</f>
        <v>2.3665334549423901E-4</v>
      </c>
      <c r="BZ133" s="27">
        <f>opex_orig!BQ133</f>
        <v>2.49531031947237E-4</v>
      </c>
      <c r="CA133" s="27">
        <f>opex_orig!BR133</f>
        <v>7.3704203853832997E-6</v>
      </c>
      <c r="CB133" s="27">
        <f>opex_orig!BS133</f>
        <v>1.71178947030437E-4</v>
      </c>
      <c r="CC133" s="27">
        <f>opex_orig!BT133</f>
        <v>1.3328004323353199E-4</v>
      </c>
      <c r="CD133" s="27">
        <f>opex_orig!BU133</f>
        <v>2.6124797463882299E-6</v>
      </c>
      <c r="CE133" s="27">
        <f>opex_orig!BV133</f>
        <v>2.6124797463882401E-6</v>
      </c>
      <c r="CF133" s="27">
        <f>opex_orig!BW133</f>
        <v>2.3589609221748701E-3</v>
      </c>
      <c r="CG133" s="27">
        <f>opex_orig!BX133</f>
        <v>1.2366803417393599E-5</v>
      </c>
      <c r="CH133" s="27">
        <f>opex_orig!BY133</f>
        <v>9.9205915198633699E-7</v>
      </c>
      <c r="CI133" s="27">
        <f>opex_orig!Y133</f>
        <v>6.5099999999999999E-7</v>
      </c>
      <c r="CJ133" s="27">
        <f>opex_orig!Z133</f>
        <v>3.05E-6</v>
      </c>
      <c r="CK133" s="27">
        <f>opex_orig!AA133</f>
        <v>3.6200000000000001E-6</v>
      </c>
      <c r="CL133" s="27">
        <f>opex_orig!AB133</f>
        <v>4.4194144857413097E-5</v>
      </c>
      <c r="CM133" s="27">
        <f>opex_orig!AC133</f>
        <v>4.0454753274555798E-2</v>
      </c>
      <c r="CN133" s="27">
        <f>opex_orig!AD133</f>
        <v>8.8305151998102405E-2</v>
      </c>
      <c r="CO133" s="27">
        <f>opex_orig!AE133</f>
        <v>0.106262758</v>
      </c>
      <c r="CP133" s="27">
        <f>opex_orig!AF133</f>
        <v>4.5189599999999998E-3</v>
      </c>
    </row>
    <row r="134" spans="1:94" x14ac:dyDescent="0.25">
      <c r="A134" s="5" t="s">
        <v>259</v>
      </c>
      <c r="B134" s="2" t="s">
        <v>258</v>
      </c>
      <c r="C134" s="1" t="s">
        <v>334</v>
      </c>
      <c r="D134" s="188">
        <f>opex_orig!D134</f>
        <v>2.6966080000000001E-3</v>
      </c>
      <c r="E134" s="188">
        <f>opex_orig!E134</f>
        <v>1.7397420000000001E-3</v>
      </c>
      <c r="F134" s="188">
        <f>opex_orig!F134</f>
        <v>9.9671000000000004E-4</v>
      </c>
      <c r="G134" s="188">
        <f>opex_orig!G134</f>
        <v>2.0263599999999999E-4</v>
      </c>
      <c r="H134" s="188">
        <f>opex_orig!H134</f>
        <v>3.8819199999999999E-4</v>
      </c>
      <c r="I134" s="188">
        <f>opex_orig!I134</f>
        <v>5.350128E-3</v>
      </c>
      <c r="J134" s="188">
        <f>opex_orig!J134</f>
        <v>7.1146810000000003E-3</v>
      </c>
      <c r="K134" s="188">
        <f>opex_orig!K134</f>
        <v>6.0796400000000001E-4</v>
      </c>
      <c r="L134" s="188">
        <f>opex_orig!L134</f>
        <v>3.1180050000000001E-3</v>
      </c>
      <c r="M134" s="188">
        <f>opex_orig!M134</f>
        <v>8.3374380000000008E-3</v>
      </c>
      <c r="N134" s="188">
        <f>opex_orig!N134</f>
        <v>4.7497679999999997E-3</v>
      </c>
      <c r="O134" s="188">
        <f>opex_orig!O134</f>
        <v>2.6029966000000002E-2</v>
      </c>
      <c r="P134" s="188">
        <f>opex_orig!P134</f>
        <v>9.0954940000000008E-3</v>
      </c>
      <c r="Q134" s="188">
        <f>opex_orig!Q134</f>
        <v>1.3352710000000001E-3</v>
      </c>
      <c r="R134" s="188">
        <f>opex_orig!R134</f>
        <v>4.1377949999999997E-3</v>
      </c>
      <c r="S134" s="188">
        <f>opex_orig!S134</f>
        <v>2.2127779999999999E-3</v>
      </c>
      <c r="T134" s="188">
        <f>opex_orig!T134</f>
        <v>2.3964609999999999E-3</v>
      </c>
      <c r="U134" s="188">
        <f>opex_orig!U134</f>
        <v>5.8910669999999998E-3</v>
      </c>
      <c r="V134" s="188">
        <f>opex_orig!V134</f>
        <v>5.9671059999999998E-3</v>
      </c>
      <c r="W134" s="188">
        <f>opex_orig!W134</f>
        <v>4.9672980000000002E-3</v>
      </c>
      <c r="X134" s="188">
        <f>opex_orig!X134</f>
        <v>4.7671470000000002E-3</v>
      </c>
      <c r="Y134" s="188">
        <f>opex_orig!Y134</f>
        <v>4.7509240000000001E-3</v>
      </c>
      <c r="Z134" s="188">
        <f>opex_orig!Z134</f>
        <v>6.4368799999999999E-3</v>
      </c>
      <c r="AA134" s="188">
        <f>opex_orig!AA134</f>
        <v>1.4869189999999999E-2</v>
      </c>
      <c r="AB134" s="208">
        <f>opex_concordance!M199</f>
        <v>8.53981541354361E-3</v>
      </c>
      <c r="AC134" s="208">
        <f>opex_concordance!M244</f>
        <v>1.2935261912901851E-2</v>
      </c>
      <c r="AD134" s="208">
        <f>opex_concordance!M289</f>
        <v>1.5053755588462192E-2</v>
      </c>
      <c r="AE134" s="188">
        <f>opex_orig!$AC134</f>
        <v>2.3865367896454201E-3</v>
      </c>
      <c r="AF134" s="188">
        <f>opex_orig!$AD134</f>
        <v>2.8258122565272899E-3</v>
      </c>
      <c r="AG134" s="188">
        <f>opex_orig!$AD134</f>
        <v>2.8258122565272899E-3</v>
      </c>
      <c r="AH134" s="188">
        <f>opex_orig!$AD134</f>
        <v>2.8258122565272899E-3</v>
      </c>
      <c r="AI134" s="188">
        <f>opex_orig!AE134</f>
        <v>2.540507E-3</v>
      </c>
      <c r="AJ134" s="188">
        <f>opex_orig!AF134</f>
        <v>8.7599410000000003E-3</v>
      </c>
      <c r="AK134" s="188">
        <f>opex_orig!AG134</f>
        <v>1.874791E-3</v>
      </c>
      <c r="AL134" s="188">
        <f>opex_orig!AH134</f>
        <v>7.0690599999999998E-4</v>
      </c>
      <c r="AM134" s="188">
        <f>opex_orig!AI134</f>
        <v>1.598246E-3</v>
      </c>
      <c r="AN134" s="188">
        <f>opex_orig!AJ134</f>
        <v>6.1035099999999997E-4</v>
      </c>
      <c r="AO134" s="188">
        <f>opex_orig!AK134</f>
        <v>1.315121E-3</v>
      </c>
      <c r="AP134" s="188">
        <f>opex_orig!$AL134</f>
        <v>1.54476722476357E-3</v>
      </c>
      <c r="AQ134" s="188">
        <f>opex_orig!$AL134</f>
        <v>1.54476722476357E-3</v>
      </c>
      <c r="AR134" s="188">
        <f>opex_orig!$AL134</f>
        <v>1.54476722476357E-3</v>
      </c>
      <c r="AS134" s="188">
        <f>opex_orig!$AM134</f>
        <v>1.2845531852082601E-3</v>
      </c>
      <c r="AT134" s="188">
        <f>opex_orig!AN134</f>
        <v>2.0298650000000001E-3</v>
      </c>
      <c r="AU134" s="188">
        <f>opex_orig!$AO134</f>
        <v>9.2803477064927399E-4</v>
      </c>
      <c r="AV134" s="188">
        <f>opex_orig!$AO134</f>
        <v>9.2803477064927399E-4</v>
      </c>
      <c r="AW134" s="188">
        <f>opex_orig!$AO134</f>
        <v>9.2803477064927399E-4</v>
      </c>
      <c r="AX134" s="188">
        <f>opex_orig!$AP134</f>
        <v>1.1241400962766399E-3</v>
      </c>
      <c r="AY134" s="188">
        <f>opex_orig!AQ134</f>
        <v>1.1843540000000001E-3</v>
      </c>
      <c r="AZ134" s="188">
        <f>opex_orig!AR134</f>
        <v>0</v>
      </c>
      <c r="BA134" s="188">
        <f>opex_orig!AS134</f>
        <v>1.2126839999999999E-3</v>
      </c>
      <c r="BB134" s="188">
        <f>opex_orig!AT134</f>
        <v>6.3656699999999999E-4</v>
      </c>
      <c r="BC134" s="188">
        <f>opex_orig!AU134</f>
        <v>1.72325E-4</v>
      </c>
      <c r="BD134" s="188">
        <f>opex_orig!AV134</f>
        <v>1.52814E-4</v>
      </c>
      <c r="BE134" s="188">
        <f>opex_orig!AW134</f>
        <v>5.4564100000000003E-4</v>
      </c>
      <c r="BF134" s="188">
        <f>opex_orig!AX134</f>
        <v>0</v>
      </c>
      <c r="BG134" s="188">
        <f>opex_orig!AY134</f>
        <v>1.500288E-3</v>
      </c>
      <c r="BH134" s="188">
        <f>opex_orig!AZ134</f>
        <v>0</v>
      </c>
      <c r="BI134" s="188">
        <f>opex_orig!BA134</f>
        <v>5.8759700000000003E-4</v>
      </c>
      <c r="BJ134" s="188">
        <f>opex_orig!BB134</f>
        <v>6.8815599999999999E-4</v>
      </c>
      <c r="BK134" s="188">
        <f>opex_orig!BC134</f>
        <v>5.4593230000000003E-3</v>
      </c>
      <c r="BL134" s="188">
        <f>opex_orig!BD134</f>
        <v>2.3061520000000001E-3</v>
      </c>
      <c r="BM134" s="188">
        <f>opex_orig!BE134</f>
        <v>8.9437200000000005E-3</v>
      </c>
      <c r="BN134" s="188">
        <f>opex_orig!BF134</f>
        <v>2.5619050000000002E-3</v>
      </c>
      <c r="BO134" s="188">
        <f>opex_orig!BG134</f>
        <v>1.0800702000000001E-2</v>
      </c>
      <c r="BP134" s="188">
        <f>opex_orig!$BH134</f>
        <v>2.3763527019328799E-3</v>
      </c>
      <c r="BQ134" s="188">
        <f>opex_orig!$BH134</f>
        <v>2.3763527019328799E-3</v>
      </c>
      <c r="BR134" s="188">
        <f>opex_orig!BI134</f>
        <v>6.7659700000000003E-4</v>
      </c>
      <c r="BS134" s="188">
        <f>opex_orig!BJ134</f>
        <v>8.7464859999999995E-3</v>
      </c>
      <c r="BT134" s="188">
        <f>opex_orig!BK134</f>
        <v>2.6530680000000002E-3</v>
      </c>
      <c r="BU134" s="188">
        <f>opex_orig!BL134</f>
        <v>0</v>
      </c>
      <c r="BV134" s="27">
        <f>opex_orig!BM134</f>
        <v>3.4716403063582701E-3</v>
      </c>
      <c r="BW134" s="27">
        <f>opex_orig!BN134</f>
        <v>2.8530030498825098E-3</v>
      </c>
      <c r="BX134" s="27">
        <f>opex_orig!BO134</f>
        <v>1.38485804657518E-3</v>
      </c>
      <c r="BY134" s="27">
        <f>opex_orig!BP134</f>
        <v>2.22855820501433E-3</v>
      </c>
      <c r="BZ134" s="27">
        <f>opex_orig!BQ134</f>
        <v>3.14312872147303E-3</v>
      </c>
      <c r="CA134" s="27">
        <f>opex_orig!BR134</f>
        <v>7.6756323689436898E-3</v>
      </c>
      <c r="CB134" s="27">
        <f>opex_orig!BS134</f>
        <v>4.0958797802387696E-3</v>
      </c>
      <c r="CC134" s="27">
        <f>opex_orig!BT134</f>
        <v>1.1409057935692899E-3</v>
      </c>
      <c r="CD134" s="27">
        <f>opex_orig!BU134</f>
        <v>2.8599243964498098E-3</v>
      </c>
      <c r="CE134" s="27">
        <f>opex_orig!BV134</f>
        <v>2.8599243964498198E-3</v>
      </c>
      <c r="CF134" s="27">
        <f>opex_orig!BW134</f>
        <v>1.1030836524414099E-2</v>
      </c>
      <c r="CG134" s="27">
        <f>opex_orig!BX134</f>
        <v>2.0768312043669998E-5</v>
      </c>
      <c r="CH134" s="27">
        <f>opex_orig!BY134</f>
        <v>7.2704342588888699E-6</v>
      </c>
      <c r="CI134" s="27">
        <f>opex_orig!Y134</f>
        <v>4.7509240000000001E-3</v>
      </c>
      <c r="CJ134" s="27">
        <f>opex_orig!Z134</f>
        <v>6.4368799999999999E-3</v>
      </c>
      <c r="CK134" s="27">
        <f>opex_orig!AA134</f>
        <v>1.4869189999999999E-2</v>
      </c>
      <c r="CL134" s="27">
        <f>opex_orig!AB134</f>
        <v>8.53981541354361E-3</v>
      </c>
      <c r="CM134" s="27">
        <f>opex_orig!AC134</f>
        <v>2.3865367896454201E-3</v>
      </c>
      <c r="CN134" s="27">
        <f>opex_orig!AD134</f>
        <v>2.8258122565272899E-3</v>
      </c>
      <c r="CO134" s="27">
        <f>opex_orig!AE134</f>
        <v>2.540507E-3</v>
      </c>
      <c r="CP134" s="27">
        <f>opex_orig!AF134</f>
        <v>8.7599410000000003E-3</v>
      </c>
    </row>
    <row r="135" spans="1:94" x14ac:dyDescent="0.25">
      <c r="A135" s="5" t="s">
        <v>261</v>
      </c>
      <c r="B135" s="2" t="s">
        <v>260</v>
      </c>
      <c r="C135" s="1" t="s">
        <v>335</v>
      </c>
      <c r="D135" s="188">
        <f>opex_orig!D135</f>
        <v>8.4713200000000001E-4</v>
      </c>
      <c r="E135" s="188">
        <f>opex_orig!E135</f>
        <v>1.3093530000000001E-3</v>
      </c>
      <c r="F135" s="188">
        <f>opex_orig!F135</f>
        <v>7.0543699999999995E-4</v>
      </c>
      <c r="G135" s="188">
        <f>opex_orig!G135</f>
        <v>1.1302E-4</v>
      </c>
      <c r="H135" s="188">
        <f>opex_orig!H135</f>
        <v>2.3818999999999999E-4</v>
      </c>
      <c r="I135" s="188">
        <f>opex_orig!I135</f>
        <v>3.4887939999999999E-3</v>
      </c>
      <c r="J135" s="188">
        <f>opex_orig!J135</f>
        <v>4.8531210000000002E-3</v>
      </c>
      <c r="K135" s="188">
        <f>opex_orig!K135</f>
        <v>3.0251699999999998E-4</v>
      </c>
      <c r="L135" s="188">
        <f>opex_orig!L135</f>
        <v>3.7073280000000002E-3</v>
      </c>
      <c r="M135" s="188">
        <f>opex_orig!M135</f>
        <v>1.0200806999999999E-2</v>
      </c>
      <c r="N135" s="188">
        <f>opex_orig!N135</f>
        <v>5.988869E-3</v>
      </c>
      <c r="O135" s="188">
        <f>opex_orig!O135</f>
        <v>8.0723700000000004E-4</v>
      </c>
      <c r="P135" s="188">
        <f>opex_orig!P135</f>
        <v>1.522125E-3</v>
      </c>
      <c r="Q135" s="188">
        <f>opex_orig!Q135</f>
        <v>2.8190700000000002E-4</v>
      </c>
      <c r="R135" s="188">
        <f>opex_orig!R135</f>
        <v>3.83693E-4</v>
      </c>
      <c r="S135" s="188">
        <f>opex_orig!S135</f>
        <v>2.5653080000000001E-3</v>
      </c>
      <c r="T135" s="188">
        <f>opex_orig!T135</f>
        <v>2.9087800000000001E-3</v>
      </c>
      <c r="U135" s="188">
        <f>opex_orig!U135</f>
        <v>1.3232560000000001E-3</v>
      </c>
      <c r="V135" s="188">
        <f>opex_orig!V135</f>
        <v>1.745288E-3</v>
      </c>
      <c r="W135" s="188">
        <f>opex_orig!W135</f>
        <v>1.6872079999999999E-3</v>
      </c>
      <c r="X135" s="188">
        <f>opex_orig!X135</f>
        <v>3.1763859999999998E-3</v>
      </c>
      <c r="Y135" s="188">
        <f>opex_orig!Y135</f>
        <v>2.4446E-4</v>
      </c>
      <c r="Z135" s="188">
        <f>opex_orig!Z135</f>
        <v>1.834926E-3</v>
      </c>
      <c r="AA135" s="188">
        <f>opex_orig!AA135</f>
        <v>2.372093E-3</v>
      </c>
      <c r="AB135" s="188">
        <f>opex_orig!$AB135</f>
        <v>2.6358258976167699E-4</v>
      </c>
      <c r="AC135" s="188">
        <f>opex_orig!$AB135</f>
        <v>2.6358258976167699E-4</v>
      </c>
      <c r="AD135" s="188">
        <f>opex_orig!$AB135</f>
        <v>2.6358258976167699E-4</v>
      </c>
      <c r="AE135" s="188">
        <f>opex_orig!$AC135</f>
        <v>1.06082841810517E-3</v>
      </c>
      <c r="AF135" s="188">
        <f>opex_orig!$AD135</f>
        <v>1.0910998237931E-3</v>
      </c>
      <c r="AG135" s="188">
        <f>opex_orig!$AD135</f>
        <v>1.0910998237931E-3</v>
      </c>
      <c r="AH135" s="188">
        <f>opex_orig!$AD135</f>
        <v>1.0910998237931E-3</v>
      </c>
      <c r="AI135" s="188">
        <f>opex_orig!AE135</f>
        <v>1.1022880000000001E-3</v>
      </c>
      <c r="AJ135" s="188">
        <f>opex_orig!AF135</f>
        <v>6.3848029999999997E-3</v>
      </c>
      <c r="AK135" s="188">
        <f>opex_orig!AG135</f>
        <v>1.57155E-4</v>
      </c>
      <c r="AL135" s="188">
        <f>opex_orig!AH135</f>
        <v>1.5108499999999999E-4</v>
      </c>
      <c r="AM135" s="188">
        <f>opex_orig!AI135</f>
        <v>3.2147300000000002E-4</v>
      </c>
      <c r="AN135" s="188">
        <f>opex_orig!AJ135</f>
        <v>3.6480200000000001E-4</v>
      </c>
      <c r="AO135" s="188">
        <f>opex_orig!AK135</f>
        <v>3.7278300000000001E-4</v>
      </c>
      <c r="AP135" s="188">
        <f>opex_orig!$AL135</f>
        <v>6.86149754086509E-4</v>
      </c>
      <c r="AQ135" s="188">
        <f>opex_orig!$AL135</f>
        <v>6.86149754086509E-4</v>
      </c>
      <c r="AR135" s="188">
        <f>opex_orig!$AL135</f>
        <v>6.86149754086509E-4</v>
      </c>
      <c r="AS135" s="188">
        <f>opex_orig!$AM135</f>
        <v>6.8649699430410702E-4</v>
      </c>
      <c r="AT135" s="188">
        <f>opex_orig!AN135</f>
        <v>1.023801E-3</v>
      </c>
      <c r="AU135" s="188">
        <f>opex_orig!$AO135</f>
        <v>7.1951009809092701E-4</v>
      </c>
      <c r="AV135" s="188">
        <f>opex_orig!$AO135</f>
        <v>7.1951009809092701E-4</v>
      </c>
      <c r="AW135" s="188">
        <f>opex_orig!$AO135</f>
        <v>7.1951009809092701E-4</v>
      </c>
      <c r="AX135" s="188">
        <f>opex_orig!$AP135</f>
        <v>8.3310532107905701E-4</v>
      </c>
      <c r="AY135" s="188">
        <f>opex_orig!AQ135</f>
        <v>2.0959400000000001E-3</v>
      </c>
      <c r="AZ135" s="188">
        <f>opex_orig!AR135</f>
        <v>0</v>
      </c>
      <c r="BA135" s="188">
        <f>opex_orig!AS135</f>
        <v>1.063088E-3</v>
      </c>
      <c r="BB135" s="188">
        <f>opex_orig!AT135</f>
        <v>1.1782629999999999E-3</v>
      </c>
      <c r="BC135" s="188">
        <f>opex_orig!AU135</f>
        <v>1.9360199999999999E-4</v>
      </c>
      <c r="BD135" s="188">
        <f>opex_orig!AV135</f>
        <v>1.5788600000000001E-4</v>
      </c>
      <c r="BE135" s="188">
        <f>opex_orig!AW135</f>
        <v>8.50065E-4</v>
      </c>
      <c r="BF135" s="188">
        <f>opex_orig!AX135</f>
        <v>0</v>
      </c>
      <c r="BG135" s="188">
        <f>opex_orig!AY135</f>
        <v>2.3504929999999999E-3</v>
      </c>
      <c r="BH135" s="188">
        <f>opex_orig!AZ135</f>
        <v>0</v>
      </c>
      <c r="BI135" s="188">
        <f>opex_orig!BA135</f>
        <v>1.276513E-3</v>
      </c>
      <c r="BJ135" s="188">
        <f>opex_orig!BB135</f>
        <v>6.6615900000000004E-4</v>
      </c>
      <c r="BK135" s="188">
        <f>opex_orig!BC135</f>
        <v>5.6823639999999996E-3</v>
      </c>
      <c r="BL135" s="188">
        <f>opex_orig!BD135</f>
        <v>3.31002E-4</v>
      </c>
      <c r="BM135" s="188">
        <f>opex_orig!BE135</f>
        <v>1.427864E-3</v>
      </c>
      <c r="BN135" s="188">
        <f>opex_orig!BF135</f>
        <v>8.6047399999999996E-4</v>
      </c>
      <c r="BO135" s="188">
        <f>opex_orig!BG135</f>
        <v>3.4901839999999999E-3</v>
      </c>
      <c r="BP135" s="188">
        <f>opex_orig!$BH135</f>
        <v>1.4468681419810101E-3</v>
      </c>
      <c r="BQ135" s="188">
        <f>opex_orig!$BH135</f>
        <v>1.4468681419810101E-3</v>
      </c>
      <c r="BR135" s="188">
        <f>opex_orig!BI135</f>
        <v>1.5566399999999999E-4</v>
      </c>
      <c r="BS135" s="188">
        <f>opex_orig!BJ135</f>
        <v>2.9120639999999998E-3</v>
      </c>
      <c r="BT135" s="188">
        <f>opex_orig!BK135</f>
        <v>4.0177579999999997E-3</v>
      </c>
      <c r="BU135" s="188">
        <f>opex_orig!BL135</f>
        <v>0</v>
      </c>
      <c r="BV135" s="27">
        <f>opex_orig!BM135</f>
        <v>1.8486940662318699E-4</v>
      </c>
      <c r="BW135" s="27">
        <f>opex_orig!BN135</f>
        <v>1.7576815144218201E-4</v>
      </c>
      <c r="BX135" s="27">
        <f>opex_orig!BO135</f>
        <v>1.1275241202503E-4</v>
      </c>
      <c r="BY135" s="27">
        <f>opex_orig!BP135</f>
        <v>1.2788401710895901E-4</v>
      </c>
      <c r="BZ135" s="27">
        <f>opex_orig!BQ135</f>
        <v>1.4491103099860801E-4</v>
      </c>
      <c r="CA135" s="27">
        <f>opex_orig!BR135</f>
        <v>1.03410332204303E-2</v>
      </c>
      <c r="CB135" s="27">
        <f>opex_orig!BS135</f>
        <v>2.3070253281087401E-4</v>
      </c>
      <c r="CC135" s="27">
        <f>opex_orig!BT135</f>
        <v>2.1183193403486901E-4</v>
      </c>
      <c r="CD135" s="27">
        <f>opex_orig!BU135</f>
        <v>1.4341962122937899E-4</v>
      </c>
      <c r="CE135" s="27">
        <f>opex_orig!BV135</f>
        <v>1.4341962122937899E-4</v>
      </c>
      <c r="CF135" s="27">
        <f>opex_orig!BW135</f>
        <v>2.4942438737497702E-3</v>
      </c>
      <c r="CG135" s="27">
        <f>opex_orig!BX135</f>
        <v>5.3202803169035101E-5</v>
      </c>
      <c r="CH135" s="27">
        <f>opex_orig!BY135</f>
        <v>1.30266321691755E-3</v>
      </c>
      <c r="CI135" s="27">
        <f>opex_orig!Y135</f>
        <v>2.4446E-4</v>
      </c>
      <c r="CJ135" s="27">
        <f>opex_orig!Z135</f>
        <v>1.834926E-3</v>
      </c>
      <c r="CK135" s="27">
        <f>opex_orig!AA135</f>
        <v>2.372093E-3</v>
      </c>
      <c r="CL135" s="27">
        <f>opex_orig!AB135</f>
        <v>2.6358258976167699E-4</v>
      </c>
      <c r="CM135" s="27">
        <f>opex_orig!AC135</f>
        <v>1.06082841810517E-3</v>
      </c>
      <c r="CN135" s="27">
        <f>opex_orig!AD135</f>
        <v>1.0910998237931E-3</v>
      </c>
      <c r="CO135" s="27">
        <f>opex_orig!AE135</f>
        <v>1.1022880000000001E-3</v>
      </c>
      <c r="CP135" s="27">
        <f>opex_orig!AF135</f>
        <v>6.3848029999999997E-3</v>
      </c>
    </row>
    <row r="136" spans="1:94" x14ac:dyDescent="0.25">
      <c r="A136" s="5" t="s">
        <v>263</v>
      </c>
      <c r="B136" s="2" t="s">
        <v>262</v>
      </c>
      <c r="C136" s="1" t="s">
        <v>335</v>
      </c>
      <c r="D136" s="188">
        <f>opex_orig!D136</f>
        <v>1.797344E-3</v>
      </c>
      <c r="E136" s="188">
        <f>opex_orig!E136</f>
        <v>7.2147900000000002E-4</v>
      </c>
      <c r="F136" s="188">
        <f>opex_orig!F136</f>
        <v>4.9409699999999998E-4</v>
      </c>
      <c r="G136" s="188">
        <f>opex_orig!G136</f>
        <v>5.9200000000000002E-5</v>
      </c>
      <c r="H136" s="188">
        <f>opex_orig!H136</f>
        <v>1.2736E-4</v>
      </c>
      <c r="I136" s="188">
        <f>opex_orig!I136</f>
        <v>1.251051E-3</v>
      </c>
      <c r="J136" s="188">
        <f>opex_orig!J136</f>
        <v>1.2461709999999999E-3</v>
      </c>
      <c r="K136" s="188">
        <f>opex_orig!K136</f>
        <v>1.72363E-4</v>
      </c>
      <c r="L136" s="188">
        <f>opex_orig!L136</f>
        <v>2.1878209999999999E-3</v>
      </c>
      <c r="M136" s="188">
        <f>opex_orig!M136</f>
        <v>7.1871239999999996E-3</v>
      </c>
      <c r="N136" s="188">
        <f>opex_orig!N136</f>
        <v>3.3407749999999998E-3</v>
      </c>
      <c r="O136" s="188">
        <f>opex_orig!O136</f>
        <v>2.8850437E-2</v>
      </c>
      <c r="P136" s="188">
        <f>opex_orig!P136</f>
        <v>1.9561719999999999E-3</v>
      </c>
      <c r="Q136" s="188">
        <f>opex_orig!Q136</f>
        <v>1.7622199999999999E-4</v>
      </c>
      <c r="R136" s="188">
        <f>opex_orig!R136</f>
        <v>6.5625199999999996E-4</v>
      </c>
      <c r="S136" s="188">
        <f>opex_orig!S136</f>
        <v>1.9115650000000001E-3</v>
      </c>
      <c r="T136" s="188">
        <f>opex_orig!T136</f>
        <v>2.048036E-3</v>
      </c>
      <c r="U136" s="188">
        <f>opex_orig!U136</f>
        <v>3.1777799999999998E-3</v>
      </c>
      <c r="V136" s="188">
        <f>opex_orig!V136</f>
        <v>3.7474449999999999E-3</v>
      </c>
      <c r="W136" s="188">
        <f>opex_orig!W136</f>
        <v>4.9167239999999999E-3</v>
      </c>
      <c r="X136" s="188">
        <f>opex_orig!X136</f>
        <v>2.8857206E-2</v>
      </c>
      <c r="Y136" s="188">
        <f>opex_orig!Y136</f>
        <v>1.9809999999999999E-4</v>
      </c>
      <c r="Z136" s="188">
        <f>opex_orig!Z136</f>
        <v>9.6736900000000004E-4</v>
      </c>
      <c r="AA136" s="188">
        <f>opex_orig!AA136</f>
        <v>1.1357159999999999E-3</v>
      </c>
      <c r="AB136" s="188">
        <f>opex_orig!$AB136</f>
        <v>1.4960155830675499E-4</v>
      </c>
      <c r="AC136" s="188">
        <f>opex_orig!$AB136</f>
        <v>1.4960155830675499E-4</v>
      </c>
      <c r="AD136" s="188">
        <f>opex_orig!$AB136</f>
        <v>1.4960155830675499E-4</v>
      </c>
      <c r="AE136" s="188">
        <f>opex_orig!$AC136</f>
        <v>6.6282191227511999E-4</v>
      </c>
      <c r="AF136" s="188">
        <f>opex_orig!$AD136</f>
        <v>1.1938653550007199E-3</v>
      </c>
      <c r="AG136" s="188">
        <f>opex_orig!$AD136</f>
        <v>1.1938653550007199E-3</v>
      </c>
      <c r="AH136" s="188">
        <f>opex_orig!$AD136</f>
        <v>1.1938653550007199E-3</v>
      </c>
      <c r="AI136" s="188">
        <f>opex_orig!AE136</f>
        <v>1.090852E-3</v>
      </c>
      <c r="AJ136" s="188">
        <f>opex_orig!AF136</f>
        <v>4.0592170000000004E-3</v>
      </c>
      <c r="AK136" s="188">
        <f>opex_orig!AG136</f>
        <v>4.2586499999999999E-4</v>
      </c>
      <c r="AL136" s="188">
        <f>opex_orig!AH136</f>
        <v>8.4359099999999998E-4</v>
      </c>
      <c r="AM136" s="188">
        <f>opex_orig!AI136</f>
        <v>1.66092E-3</v>
      </c>
      <c r="AN136" s="188">
        <f>opex_orig!AJ136</f>
        <v>1.091358E-3</v>
      </c>
      <c r="AO136" s="188">
        <f>opex_orig!AK136</f>
        <v>1.198632E-3</v>
      </c>
      <c r="AP136" s="188">
        <f>opex_orig!$AL136</f>
        <v>1.0408441900777699E-3</v>
      </c>
      <c r="AQ136" s="188">
        <f>opex_orig!$AL136</f>
        <v>1.0408441900777699E-3</v>
      </c>
      <c r="AR136" s="188">
        <f>opex_orig!$AL136</f>
        <v>1.0408441900777699E-3</v>
      </c>
      <c r="AS136" s="188">
        <f>opex_orig!$AM136</f>
        <v>9.7633186542052895E-4</v>
      </c>
      <c r="AT136" s="188">
        <f>opex_orig!AN136</f>
        <v>2.3786800000000002E-3</v>
      </c>
      <c r="AU136" s="188">
        <f>opex_orig!$AO136</f>
        <v>2.5564109694789999E-4</v>
      </c>
      <c r="AV136" s="188">
        <f>opex_orig!$AO136</f>
        <v>2.5564109694789999E-4</v>
      </c>
      <c r="AW136" s="188">
        <f>opex_orig!$AO136</f>
        <v>2.5564109694789999E-4</v>
      </c>
      <c r="AX136" s="188">
        <f>opex_orig!$AP136</f>
        <v>3.0576479487317301E-4</v>
      </c>
      <c r="AY136" s="188">
        <f>opex_orig!AQ136</f>
        <v>5.38643E-4</v>
      </c>
      <c r="AZ136" s="188">
        <f>opex_orig!AR136</f>
        <v>0</v>
      </c>
      <c r="BA136" s="188">
        <f>opex_orig!AS136</f>
        <v>3.1528699999999998E-4</v>
      </c>
      <c r="BB136" s="188">
        <f>opex_orig!AT136</f>
        <v>3.22329E-4</v>
      </c>
      <c r="BC136" s="188">
        <f>opex_orig!AU136</f>
        <v>6.9800000000000003E-5</v>
      </c>
      <c r="BD136" s="188">
        <f>opex_orig!AV136</f>
        <v>5.8199999999999998E-5</v>
      </c>
      <c r="BE136" s="188">
        <f>opex_orig!AW136</f>
        <v>2.2099199999999999E-4</v>
      </c>
      <c r="BF136" s="188">
        <f>opex_orig!AX136</f>
        <v>0</v>
      </c>
      <c r="BG136" s="188">
        <f>opex_orig!AY136</f>
        <v>5.2748300000000003E-4</v>
      </c>
      <c r="BH136" s="188">
        <f>opex_orig!AZ136</f>
        <v>0</v>
      </c>
      <c r="BI136" s="188">
        <f>opex_orig!BA136</f>
        <v>5.1469299999999999E-4</v>
      </c>
      <c r="BJ136" s="188">
        <f>opex_orig!BB136</f>
        <v>5.2769299999999998E-4</v>
      </c>
      <c r="BK136" s="188">
        <f>opex_orig!BC136</f>
        <v>3.919329E-3</v>
      </c>
      <c r="BL136" s="188">
        <f>opex_orig!BD136</f>
        <v>0.100960508</v>
      </c>
      <c r="BM136" s="188">
        <f>opex_orig!BE136</f>
        <v>4.5373389999999996E-3</v>
      </c>
      <c r="BN136" s="188">
        <f>opex_orig!BF136</f>
        <v>1.3795859999999999E-3</v>
      </c>
      <c r="BO136" s="188">
        <f>opex_orig!BG136</f>
        <v>2.506604E-3</v>
      </c>
      <c r="BP136" s="354">
        <f>opex_concordance!M103</f>
        <v>3.2054804537612583E-3</v>
      </c>
      <c r="BQ136" s="354">
        <f>opex_concordance!M146</f>
        <v>2.105763648697074E-3</v>
      </c>
      <c r="BR136" s="188">
        <f>opex_orig!BI136</f>
        <v>3.6133139999999998E-3</v>
      </c>
      <c r="BS136" s="188">
        <f>opex_orig!BJ136</f>
        <v>2.533488E-3</v>
      </c>
      <c r="BT136" s="188">
        <f>opex_orig!BK136</f>
        <v>2.1084799999999998E-3</v>
      </c>
      <c r="BU136" s="188">
        <f>opex_orig!BL136</f>
        <v>0</v>
      </c>
      <c r="BV136" s="27">
        <f>opex_orig!BM136</f>
        <v>1.9617939705464799E-3</v>
      </c>
      <c r="BW136" s="27">
        <f>opex_orig!BN136</f>
        <v>1.1213775237672401E-3</v>
      </c>
      <c r="BX136" s="27">
        <f>opex_orig!BO136</f>
        <v>9.9799791070215109E-4</v>
      </c>
      <c r="BY136" s="27">
        <f>opex_orig!BP136</f>
        <v>8.3541995756067897E-4</v>
      </c>
      <c r="BZ136" s="27">
        <f>opex_orig!BQ136</f>
        <v>6.80213761210968E-4</v>
      </c>
      <c r="CA136" s="27">
        <f>opex_orig!BR136</f>
        <v>1.68380714826097E-3</v>
      </c>
      <c r="CB136" s="27">
        <f>opex_orig!BS136</f>
        <v>6.2290463151473002E-4</v>
      </c>
      <c r="CC136" s="27">
        <f>opex_orig!BT136</f>
        <v>2.5822555188074799E-3</v>
      </c>
      <c r="CD136" s="27">
        <f>opex_orig!BU136</f>
        <v>9.70932418694744E-5</v>
      </c>
      <c r="CE136" s="27">
        <f>opex_orig!BV136</f>
        <v>9.7093241869474495E-5</v>
      </c>
      <c r="CF136" s="27">
        <f>opex_orig!BW136</f>
        <v>4.3338343501535901E-3</v>
      </c>
      <c r="CG136" s="27">
        <f>opex_orig!BX136</f>
        <v>4.1902666300105103E-5</v>
      </c>
      <c r="CH136" s="27">
        <f>opex_orig!BY136</f>
        <v>1.0842155558097401E-4</v>
      </c>
      <c r="CI136" s="27">
        <f>opex_orig!Y136</f>
        <v>1.9809999999999999E-4</v>
      </c>
      <c r="CJ136" s="27">
        <f>opex_orig!Z136</f>
        <v>9.6736900000000004E-4</v>
      </c>
      <c r="CK136" s="27">
        <f>opex_orig!AA136</f>
        <v>1.1357159999999999E-3</v>
      </c>
      <c r="CL136" s="27">
        <f>opex_orig!AB136</f>
        <v>1.4960155830675499E-4</v>
      </c>
      <c r="CM136" s="27">
        <f>opex_orig!AC136</f>
        <v>6.6282191227511999E-4</v>
      </c>
      <c r="CN136" s="27">
        <f>opex_orig!AD136</f>
        <v>1.1938653550007199E-3</v>
      </c>
      <c r="CO136" s="27">
        <f>opex_orig!AE136</f>
        <v>1.090852E-3</v>
      </c>
      <c r="CP136" s="27">
        <f>opex_orig!AF136</f>
        <v>4.0592170000000004E-3</v>
      </c>
    </row>
    <row r="137" spans="1:94" x14ac:dyDescent="0.25">
      <c r="A137" s="5" t="s">
        <v>265</v>
      </c>
      <c r="B137" s="2" t="s">
        <v>264</v>
      </c>
      <c r="C137" s="1" t="s">
        <v>335</v>
      </c>
      <c r="D137" s="188">
        <f>opex_orig!D137</f>
        <v>5.7319300000000005E-4</v>
      </c>
      <c r="E137" s="188">
        <f>opex_orig!E137</f>
        <v>5.8499999999999999E-5</v>
      </c>
      <c r="F137" s="188">
        <f>opex_orig!F137</f>
        <v>3.9199999999999997E-5</v>
      </c>
      <c r="G137" s="188">
        <f>opex_orig!G137</f>
        <v>2.0000000000000002E-5</v>
      </c>
      <c r="H137" s="188">
        <f>opex_orig!H137</f>
        <v>1.2099999999999999E-5</v>
      </c>
      <c r="I137" s="188">
        <f>opex_orig!I137</f>
        <v>5.8300000000000001E-5</v>
      </c>
      <c r="J137" s="188">
        <f>opex_orig!J137</f>
        <v>2.8076000000000002E-4</v>
      </c>
      <c r="K137" s="188">
        <f>opex_orig!K137</f>
        <v>1.7099999999999999E-5</v>
      </c>
      <c r="L137" s="188">
        <f>opex_orig!L137</f>
        <v>2.4057899999999999E-4</v>
      </c>
      <c r="M137" s="188">
        <f>opex_orig!M137</f>
        <v>2.7142900000000001E-4</v>
      </c>
      <c r="N137" s="188">
        <f>opex_orig!N137</f>
        <v>2.9870999999999999E-4</v>
      </c>
      <c r="O137" s="188">
        <f>opex_orig!O137</f>
        <v>2.7596600000000002E-3</v>
      </c>
      <c r="P137" s="188">
        <f>opex_orig!P137</f>
        <v>1.175836E-3</v>
      </c>
      <c r="Q137" s="188">
        <f>opex_orig!Q137</f>
        <v>7.7000000000000001E-5</v>
      </c>
      <c r="R137" s="188">
        <f>opex_orig!R137</f>
        <v>7.2100000000000004E-5</v>
      </c>
      <c r="S137" s="188">
        <f>opex_orig!S137</f>
        <v>5.5600000000000003E-5</v>
      </c>
      <c r="T137" s="188">
        <f>opex_orig!T137</f>
        <v>6.0999999999999999E-5</v>
      </c>
      <c r="U137" s="188">
        <f>opex_orig!U137</f>
        <v>5.6799999999999998E-5</v>
      </c>
      <c r="V137" s="188">
        <f>opex_orig!V137</f>
        <v>6.7299999999999996E-5</v>
      </c>
      <c r="W137" s="188">
        <f>opex_orig!W137</f>
        <v>4.3900000000000003E-5</v>
      </c>
      <c r="X137" s="188">
        <f>opex_orig!X137</f>
        <v>1.05241E-4</v>
      </c>
      <c r="Y137" s="188">
        <f>opex_orig!Y137</f>
        <v>6.9900000000000005E-5</v>
      </c>
      <c r="Z137" s="188">
        <f>opex_orig!Z137</f>
        <v>4.56732E-4</v>
      </c>
      <c r="AA137" s="188">
        <f>opex_orig!AA137</f>
        <v>1.38341E-4</v>
      </c>
      <c r="AB137" s="188">
        <f>opex_orig!$AB137</f>
        <v>3.0303699308794999E-5</v>
      </c>
      <c r="AC137" s="188">
        <f>opex_orig!$AB137</f>
        <v>3.0303699308794999E-5</v>
      </c>
      <c r="AD137" s="188">
        <f>opex_orig!$AB137</f>
        <v>3.0303699308794999E-5</v>
      </c>
      <c r="AE137" s="188">
        <f>opex_orig!$AC137</f>
        <v>4.3149265432748798E-4</v>
      </c>
      <c r="AF137" s="188">
        <f>opex_orig!$AD137</f>
        <v>1.6469590935389801E-3</v>
      </c>
      <c r="AG137" s="188">
        <f>opex_orig!$AD137</f>
        <v>1.6469590935389801E-3</v>
      </c>
      <c r="AH137" s="188">
        <f>opex_orig!$AD137</f>
        <v>1.6469590935389801E-3</v>
      </c>
      <c r="AI137" s="188">
        <f>opex_orig!AE137</f>
        <v>1.480299E-3</v>
      </c>
      <c r="AJ137" s="188">
        <f>opex_orig!AF137</f>
        <v>2.7584340000000001E-3</v>
      </c>
      <c r="AK137" s="188">
        <f>opex_orig!AG137</f>
        <v>3.2134600000000002E-4</v>
      </c>
      <c r="AL137" s="188">
        <f>opex_orig!AH137</f>
        <v>2.05606E-4</v>
      </c>
      <c r="AM137" s="188">
        <f>opex_orig!AI137</f>
        <v>2.1553499999999999E-4</v>
      </c>
      <c r="AN137" s="188">
        <f>opex_orig!AJ137</f>
        <v>8.9245500000000001E-4</v>
      </c>
      <c r="AO137" s="188">
        <f>opex_orig!AK137</f>
        <v>8.5972100000000003E-4</v>
      </c>
      <c r="AP137" s="188">
        <f>opex_orig!$AL137</f>
        <v>8.8470407843702298E-4</v>
      </c>
      <c r="AQ137" s="188">
        <f>opex_orig!$AL137</f>
        <v>8.8470407843702298E-4</v>
      </c>
      <c r="AR137" s="188">
        <f>opex_orig!$AL137</f>
        <v>8.8470407843702298E-4</v>
      </c>
      <c r="AS137" s="188">
        <f>opex_orig!$AM137</f>
        <v>8.4283152749599604E-4</v>
      </c>
      <c r="AT137" s="188">
        <f>opex_orig!AN137</f>
        <v>1.5827300000000001E-3</v>
      </c>
      <c r="AU137" s="188">
        <f>opex_orig!$AO137</f>
        <v>2.1720555973695499E-4</v>
      </c>
      <c r="AV137" s="188">
        <f>opex_orig!$AO137</f>
        <v>2.1720555973695499E-4</v>
      </c>
      <c r="AW137" s="188">
        <f>opex_orig!$AO137</f>
        <v>2.1720555973695499E-4</v>
      </c>
      <c r="AX137" s="188">
        <f>opex_orig!$AP137</f>
        <v>2.5843160810165599E-4</v>
      </c>
      <c r="AY137" s="188">
        <f>opex_orig!AQ137</f>
        <v>1.82616E-4</v>
      </c>
      <c r="AZ137" s="188">
        <f>opex_orig!AR137</f>
        <v>0</v>
      </c>
      <c r="BA137" s="188">
        <f>opex_orig!AS137</f>
        <v>1.8246000000000001E-4</v>
      </c>
      <c r="BB137" s="188">
        <f>opex_orig!AT137</f>
        <v>1.8984399999999999E-4</v>
      </c>
      <c r="BC137" s="188">
        <f>opex_orig!AU137</f>
        <v>2.9300000000000001E-5</v>
      </c>
      <c r="BD137" s="188">
        <f>opex_orig!AV137</f>
        <v>2.2799999999999999E-5</v>
      </c>
      <c r="BE137" s="188">
        <f>opex_orig!AW137</f>
        <v>7.8100000000000001E-5</v>
      </c>
      <c r="BF137" s="188">
        <f>opex_orig!AX137</f>
        <v>0</v>
      </c>
      <c r="BG137" s="188">
        <f>opex_orig!AY137</f>
        <v>8.3499999999999997E-5</v>
      </c>
      <c r="BH137" s="188">
        <f>opex_orig!AZ137</f>
        <v>0</v>
      </c>
      <c r="BI137" s="188">
        <f>opex_orig!BA137</f>
        <v>1.08007E-4</v>
      </c>
      <c r="BJ137" s="188">
        <f>opex_orig!BB137</f>
        <v>1.29276E-4</v>
      </c>
      <c r="BK137" s="188">
        <f>opex_orig!BC137</f>
        <v>2.1430920000000001E-3</v>
      </c>
      <c r="BL137" s="188">
        <f>opex_orig!BD137</f>
        <v>1.17102E-4</v>
      </c>
      <c r="BM137" s="188">
        <f>opex_orig!BE137</f>
        <v>9.1799999999999995E-5</v>
      </c>
      <c r="BN137" s="188">
        <f>opex_orig!BF137</f>
        <v>1.3837019999999999E-3</v>
      </c>
      <c r="BO137" s="188">
        <f>opex_orig!BG137</f>
        <v>9.3917600000000001E-4</v>
      </c>
      <c r="BP137" s="326">
        <f>opex_concordance!M106</f>
        <v>5.1588333605838291E-3</v>
      </c>
      <c r="BQ137" s="326">
        <f>opex_concordance!M149</f>
        <v>3.4290432752436704E-3</v>
      </c>
      <c r="BR137" s="188">
        <f>opex_orig!BI137</f>
        <v>2.7759099999999999E-4</v>
      </c>
      <c r="BS137" s="188">
        <f>opex_orig!BJ137</f>
        <v>1.4007000000000001E-4</v>
      </c>
      <c r="BT137" s="188">
        <f>opex_orig!BK137</f>
        <v>3.6300000000000001E-5</v>
      </c>
      <c r="BU137" s="188">
        <f>opex_orig!BL137</f>
        <v>0</v>
      </c>
      <c r="BV137" s="27">
        <f>opex_orig!BM137</f>
        <v>4.6305943475033903E-5</v>
      </c>
      <c r="BW137" s="27">
        <f>opex_orig!BN137</f>
        <v>7.0516115204946305E-5</v>
      </c>
      <c r="BX137" s="27">
        <f>opex_orig!BO137</f>
        <v>2.2491688371882301E-5</v>
      </c>
      <c r="BY137" s="27">
        <f>opex_orig!BP137</f>
        <v>2.4489170962318699E-5</v>
      </c>
      <c r="BZ137" s="27">
        <f>opex_orig!BQ137</f>
        <v>2.1492293904240999E-5</v>
      </c>
      <c r="CA137" s="27">
        <f>opex_orig!BR137</f>
        <v>2.07165589363515E-5</v>
      </c>
      <c r="CB137" s="27">
        <f>opex_orig!BS137</f>
        <v>3.7762293671244497E-5</v>
      </c>
      <c r="CC137" s="27">
        <f>opex_orig!BT137</f>
        <v>3.0985933257110298E-4</v>
      </c>
      <c r="CD137" s="27">
        <f>opex_orig!BU137</f>
        <v>1.9464092928666602E-5</v>
      </c>
      <c r="CE137" s="27">
        <f>opex_orig!BV137</f>
        <v>1.94640929286667E-5</v>
      </c>
      <c r="CF137" s="27">
        <f>opex_orig!BW137</f>
        <v>2.4100716838055202E-3</v>
      </c>
      <c r="CG137" s="27">
        <f>opex_orig!BX137</f>
        <v>8.8019947467268398E-6</v>
      </c>
      <c r="CH137" s="27">
        <f>opex_orig!BY137</f>
        <v>2.4266902608108699E-5</v>
      </c>
      <c r="CI137" s="27">
        <f>opex_orig!Y137</f>
        <v>6.9900000000000005E-5</v>
      </c>
      <c r="CJ137" s="27">
        <f>opex_orig!Z137</f>
        <v>4.56732E-4</v>
      </c>
      <c r="CK137" s="27">
        <f>opex_orig!AA137</f>
        <v>1.38341E-4</v>
      </c>
      <c r="CL137" s="27">
        <f>opex_orig!AB137</f>
        <v>3.0303699308794999E-5</v>
      </c>
      <c r="CM137" s="27">
        <f>opex_orig!AC137</f>
        <v>4.3149265432748798E-4</v>
      </c>
      <c r="CN137" s="27">
        <f>opex_orig!AD137</f>
        <v>1.6469590935389801E-3</v>
      </c>
      <c r="CO137" s="27">
        <f>opex_orig!AE137</f>
        <v>1.480299E-3</v>
      </c>
      <c r="CP137" s="27">
        <f>opex_orig!AF137</f>
        <v>2.7584340000000001E-3</v>
      </c>
    </row>
    <row r="138" spans="1:94" x14ac:dyDescent="0.25">
      <c r="A138" s="5" t="s">
        <v>267</v>
      </c>
      <c r="B138" s="2" t="s">
        <v>266</v>
      </c>
      <c r="C138" s="1" t="s">
        <v>335</v>
      </c>
      <c r="D138" s="188">
        <f>opex_orig!D138</f>
        <v>0.28456901299999998</v>
      </c>
      <c r="E138" s="188">
        <f>opex_orig!E138</f>
        <v>2.6622863E-2</v>
      </c>
      <c r="F138" s="188">
        <f>opex_orig!F138</f>
        <v>1.3583289E-2</v>
      </c>
      <c r="G138" s="188">
        <f>opex_orig!G138</f>
        <v>2.139784E-3</v>
      </c>
      <c r="H138" s="188">
        <f>opex_orig!H138</f>
        <v>4.6907299999999997E-3</v>
      </c>
      <c r="I138" s="188">
        <f>opex_orig!I138</f>
        <v>2.3096483000000001E-2</v>
      </c>
      <c r="J138" s="188">
        <f>opex_orig!J138</f>
        <v>0.139136172</v>
      </c>
      <c r="K138" s="188">
        <f>opex_orig!K138</f>
        <v>7.0937159999999999E-3</v>
      </c>
      <c r="L138" s="188">
        <f>opex_orig!L138</f>
        <v>2.0290374999999999E-2</v>
      </c>
      <c r="M138" s="188">
        <f>opex_orig!M138</f>
        <v>3.6457121000000002E-2</v>
      </c>
      <c r="N138" s="188">
        <f>opex_orig!N138</f>
        <v>2.2012245999999999E-2</v>
      </c>
      <c r="O138" s="188">
        <f>opex_orig!O138</f>
        <v>0.107272519</v>
      </c>
      <c r="P138" s="188">
        <f>opex_orig!P138</f>
        <v>2.6706654999999999E-2</v>
      </c>
      <c r="Q138" s="188">
        <f>opex_orig!Q138</f>
        <v>6.0268250000000004E-3</v>
      </c>
      <c r="R138" s="188">
        <f>opex_orig!R138</f>
        <v>2.0092460000000001E-3</v>
      </c>
      <c r="S138" s="188">
        <f>opex_orig!S138</f>
        <v>9.5769380000000001E-3</v>
      </c>
      <c r="T138" s="188">
        <f>opex_orig!T138</f>
        <v>7.9459160000000008E-3</v>
      </c>
      <c r="U138" s="188">
        <f>opex_orig!U138</f>
        <v>1.2439156999999999E-2</v>
      </c>
      <c r="V138" s="188">
        <f>opex_orig!V138</f>
        <v>1.4279811E-2</v>
      </c>
      <c r="W138" s="188">
        <f>opex_orig!W138</f>
        <v>9.583421E-3</v>
      </c>
      <c r="X138" s="188">
        <f>opex_orig!X138</f>
        <v>3.7228004000000002E-2</v>
      </c>
      <c r="Y138" s="188">
        <f>opex_orig!Y138</f>
        <v>1.9970650000000001E-3</v>
      </c>
      <c r="Z138" s="188">
        <f>opex_orig!Z138</f>
        <v>7.1748560000000003E-3</v>
      </c>
      <c r="AA138" s="188">
        <f>opex_orig!AA138</f>
        <v>2.8680569999999998E-3</v>
      </c>
      <c r="AB138" s="188">
        <f>opex_orig!$AB138</f>
        <v>2.7523979603527099E-3</v>
      </c>
      <c r="AC138" s="188">
        <f>opex_orig!$AB138</f>
        <v>2.7523979603527099E-3</v>
      </c>
      <c r="AD138" s="188">
        <f>opex_orig!$AB138</f>
        <v>2.7523979603527099E-3</v>
      </c>
      <c r="AE138" s="188">
        <f>opex_orig!$AC138</f>
        <v>3.2864332707457103E-2</v>
      </c>
      <c r="AF138" s="208">
        <f>opex_concordance!$M$325</f>
        <v>4.1270669160376701E-2</v>
      </c>
      <c r="AG138" s="208">
        <f>opex_concordance!$M$361</f>
        <v>1.8288827089169398E-2</v>
      </c>
      <c r="AH138" s="208">
        <f>opex_concordance!$M$397</f>
        <v>1.4673047477296135E-2</v>
      </c>
      <c r="AI138" s="188">
        <f>opex_orig!AE138</f>
        <v>3.8156677999999999E-2</v>
      </c>
      <c r="AJ138" s="188">
        <f>opex_orig!AF138</f>
        <v>6.7545684999999994E-2</v>
      </c>
      <c r="AK138" s="188">
        <f>opex_orig!AG138</f>
        <v>1.492541E-2</v>
      </c>
      <c r="AL138" s="188">
        <f>opex_orig!AH138</f>
        <v>1.1441420000000001E-2</v>
      </c>
      <c r="AM138" s="188">
        <f>opex_orig!AI138</f>
        <v>2.4164973999999999E-2</v>
      </c>
      <c r="AN138" s="188">
        <f>opex_orig!AJ138</f>
        <v>6.0963450000000004E-3</v>
      </c>
      <c r="AO138" s="188">
        <f>opex_orig!AK138</f>
        <v>1.0751223000000001E-2</v>
      </c>
      <c r="AP138" s="208">
        <f>opex_concordance!M452</f>
        <v>1.7195063170659601E-2</v>
      </c>
      <c r="AQ138" s="208">
        <f>opex_concordance!M506</f>
        <v>1.3838424615979361E-2</v>
      </c>
      <c r="AR138" s="208">
        <f>opex_concordance!M560</f>
        <v>1.5186461680614207E-2</v>
      </c>
      <c r="AS138" s="188">
        <f>opex_orig!$AM138</f>
        <v>1.6633478857704598E-2</v>
      </c>
      <c r="AT138" s="188">
        <f>opex_orig!AN138</f>
        <v>1.7201658000000002E-2</v>
      </c>
      <c r="AU138" s="208">
        <f>opex_concordance!M569</f>
        <v>5.7703633663306999E-3</v>
      </c>
      <c r="AV138" s="208">
        <f>opex_concordance!M615</f>
        <v>5.815672866583842E-3</v>
      </c>
      <c r="AW138" s="208">
        <f>opex_concordance!M661</f>
        <v>5.1345077391726397E-3</v>
      </c>
      <c r="AX138" s="188">
        <f>opex_orig!$AP138</f>
        <v>6.9467099744618E-3</v>
      </c>
      <c r="AY138" s="188">
        <f>opex_orig!AQ138</f>
        <v>8.2253420000000001E-3</v>
      </c>
      <c r="AZ138" s="188">
        <f>opex_orig!AR138</f>
        <v>0</v>
      </c>
      <c r="BA138" s="188">
        <f>opex_orig!AS138</f>
        <v>9.1798309999999994E-3</v>
      </c>
      <c r="BB138" s="188">
        <f>opex_orig!AT138</f>
        <v>1.0108331999999999E-2</v>
      </c>
      <c r="BC138" s="188">
        <f>opex_orig!AU138</f>
        <v>1.2166810000000001E-3</v>
      </c>
      <c r="BD138" s="188">
        <f>opex_orig!AV138</f>
        <v>9.5820699999999998E-4</v>
      </c>
      <c r="BE138" s="188">
        <f>opex_orig!AW138</f>
        <v>4.3933779999999999E-3</v>
      </c>
      <c r="BF138" s="188">
        <f>opex_orig!AX138</f>
        <v>0</v>
      </c>
      <c r="BG138" s="188">
        <f>opex_orig!AY138</f>
        <v>4.797305E-3</v>
      </c>
      <c r="BH138" s="188">
        <f>opex_orig!AZ138</f>
        <v>0</v>
      </c>
      <c r="BI138" s="188">
        <f>opex_orig!BA138</f>
        <v>5.4301410000000003E-3</v>
      </c>
      <c r="BJ138" s="188">
        <f>opex_orig!BB138</f>
        <v>2.4273009000000002E-2</v>
      </c>
      <c r="BK138" s="188">
        <f>opex_orig!BC138</f>
        <v>3.1095550999999999E-2</v>
      </c>
      <c r="BL138" s="188">
        <f>opex_orig!BD138</f>
        <v>7.4830920000000002E-3</v>
      </c>
      <c r="BM138" s="188">
        <f>opex_orig!BE138</f>
        <v>1.1989088E-2</v>
      </c>
      <c r="BN138" s="188">
        <f>opex_orig!BF138</f>
        <v>4.2948730000000003E-3</v>
      </c>
      <c r="BO138" s="188">
        <f>opex_orig!BG138</f>
        <v>1.6605590999999999E-2</v>
      </c>
      <c r="BP138" s="248">
        <f>opex_concordance!M110</f>
        <v>1.5230709337231542E-2</v>
      </c>
      <c r="BQ138" s="248">
        <f>opex_concordance!M153</f>
        <v>1.3057112111632801E-2</v>
      </c>
      <c r="BR138" s="188">
        <f>opex_orig!BI138</f>
        <v>7.6245949999999996E-3</v>
      </c>
      <c r="BS138" s="188">
        <f>opex_orig!BJ138</f>
        <v>3.6045252999999999E-2</v>
      </c>
      <c r="BT138" s="188">
        <f>opex_orig!BK138</f>
        <v>6.8829160000000002E-3</v>
      </c>
      <c r="BU138" s="188">
        <f>opex_orig!BL138</f>
        <v>0</v>
      </c>
      <c r="BV138" s="27">
        <f>opex_orig!BM138</f>
        <v>1.2614634716876899E-2</v>
      </c>
      <c r="BW138" s="27">
        <f>opex_orig!BN138</f>
        <v>1.67888310715298E-2</v>
      </c>
      <c r="BX138" s="27">
        <f>opex_orig!BO138</f>
        <v>7.9455618422627702E-3</v>
      </c>
      <c r="BY138" s="27">
        <f>opex_orig!BP138</f>
        <v>7.6307150830147797E-3</v>
      </c>
      <c r="BZ138" s="27">
        <f>opex_orig!BQ138</f>
        <v>7.9956982698718808E-3</v>
      </c>
      <c r="CA138" s="27">
        <f>opex_orig!BR138</f>
        <v>1.1569284697528499E-2</v>
      </c>
      <c r="CB138" s="27">
        <f>opex_orig!BS138</f>
        <v>1.0080028698602099E-2</v>
      </c>
      <c r="CC138" s="27">
        <f>opex_orig!BT138</f>
        <v>1.5281348986481799E-2</v>
      </c>
      <c r="CD138" s="27">
        <f>opex_orig!BU138</f>
        <v>9.0722446373195601E-3</v>
      </c>
      <c r="CE138" s="27">
        <f>opex_orig!BV138</f>
        <v>9.0722446373195601E-3</v>
      </c>
      <c r="CF138" s="27">
        <f>opex_orig!BW138</f>
        <v>6.14616381630207E-2</v>
      </c>
      <c r="CG138" s="27">
        <f>opex_orig!BX138</f>
        <v>1.2390393633699101E-4</v>
      </c>
      <c r="CH138" s="27">
        <f>opex_orig!BY138</f>
        <v>1.3907558653986001E-4</v>
      </c>
      <c r="CI138" s="27">
        <f>opex_orig!Y138</f>
        <v>1.9970650000000001E-3</v>
      </c>
      <c r="CJ138" s="27">
        <f>opex_orig!Z138</f>
        <v>7.1748560000000003E-3</v>
      </c>
      <c r="CK138" s="27">
        <f>opex_orig!AA138</f>
        <v>2.8680569999999998E-3</v>
      </c>
      <c r="CL138" s="27">
        <f>opex_orig!AB138</f>
        <v>2.7523979603527099E-3</v>
      </c>
      <c r="CM138" s="27">
        <f>opex_orig!AC138</f>
        <v>3.2864332707457103E-2</v>
      </c>
      <c r="CN138" s="27">
        <f>opex_orig!AD138</f>
        <v>4.1270669160376701E-2</v>
      </c>
      <c r="CO138" s="27">
        <f>opex_orig!AE138</f>
        <v>3.8156677999999999E-2</v>
      </c>
      <c r="CP138" s="27">
        <f>opex_orig!AF138</f>
        <v>6.7545684999999994E-2</v>
      </c>
    </row>
    <row r="139" spans="1:94" x14ac:dyDescent="0.25">
      <c r="A139" s="5" t="s">
        <v>269</v>
      </c>
      <c r="B139" s="2" t="s">
        <v>268</v>
      </c>
      <c r="C139" s="1" t="s">
        <v>335</v>
      </c>
      <c r="D139" s="188">
        <f>opex_orig!D139</f>
        <v>1.6117400000000001E-4</v>
      </c>
      <c r="E139" s="188">
        <f>opex_orig!E139</f>
        <v>1.57035E-4</v>
      </c>
      <c r="F139" s="188">
        <f>opex_orig!F139</f>
        <v>8.7600000000000002E-5</v>
      </c>
      <c r="G139" s="188">
        <f>opex_orig!G139</f>
        <v>8.5199999999999997E-6</v>
      </c>
      <c r="H139" s="188">
        <f>opex_orig!H139</f>
        <v>2.2099999999999998E-5</v>
      </c>
      <c r="I139" s="188">
        <f>opex_orig!I139</f>
        <v>3.2239200000000001E-4</v>
      </c>
      <c r="J139" s="188">
        <f>opex_orig!J139</f>
        <v>3.39923E-4</v>
      </c>
      <c r="K139" s="188">
        <f>opex_orig!K139</f>
        <v>2.48E-5</v>
      </c>
      <c r="L139" s="188">
        <f>opex_orig!L139</f>
        <v>2.7365000000000001E-4</v>
      </c>
      <c r="M139" s="188">
        <f>opex_orig!M139</f>
        <v>8.7032400000000001E-4</v>
      </c>
      <c r="N139" s="188">
        <f>opex_orig!N139</f>
        <v>7.9120299999999998E-4</v>
      </c>
      <c r="O139" s="188">
        <f>opex_orig!O139</f>
        <v>1.667008E-3</v>
      </c>
      <c r="P139" s="188">
        <f>opex_orig!P139</f>
        <v>8.5979399999999999E-4</v>
      </c>
      <c r="Q139" s="188">
        <f>opex_orig!Q139</f>
        <v>6.3360399999999996E-4</v>
      </c>
      <c r="R139" s="188">
        <f>opex_orig!R139</f>
        <v>3.1119699999999998E-4</v>
      </c>
      <c r="S139" s="188">
        <f>opex_orig!S139</f>
        <v>3.0181869999999999E-3</v>
      </c>
      <c r="T139" s="188">
        <f>opex_orig!T139</f>
        <v>2.5450199999999998E-4</v>
      </c>
      <c r="U139" s="188">
        <f>opex_orig!U139</f>
        <v>1.443511E-3</v>
      </c>
      <c r="V139" s="188">
        <f>opex_orig!V139</f>
        <v>5.9446399999999995E-4</v>
      </c>
      <c r="W139" s="188">
        <f>opex_orig!W139</f>
        <v>9.4430100000000004E-4</v>
      </c>
      <c r="X139" s="188">
        <f>opex_orig!X139</f>
        <v>1.229415E-3</v>
      </c>
      <c r="Y139" s="188">
        <f>opex_orig!Y139</f>
        <v>3.0785300000000002E-4</v>
      </c>
      <c r="Z139" s="188">
        <f>opex_orig!Z139</f>
        <v>1.9781759999999999E-3</v>
      </c>
      <c r="AA139" s="188">
        <f>opex_orig!AA139</f>
        <v>1.8460690000000001E-3</v>
      </c>
      <c r="AB139" s="188">
        <f>opex_orig!$AB139</f>
        <v>5.3292914984749497E-5</v>
      </c>
      <c r="AC139" s="188">
        <f>opex_orig!$AB139</f>
        <v>5.3292914984749497E-5</v>
      </c>
      <c r="AD139" s="188">
        <f>opex_orig!$AB139</f>
        <v>5.3292914984749497E-5</v>
      </c>
      <c r="AE139" s="188">
        <f>opex_orig!$AC139</f>
        <v>1.3016700166762899E-3</v>
      </c>
      <c r="AF139" s="188">
        <f>opex_orig!$AD139</f>
        <v>4.4101454799743599E-4</v>
      </c>
      <c r="AG139" s="188">
        <f>opex_orig!$AD139</f>
        <v>4.4101454799743599E-4</v>
      </c>
      <c r="AH139" s="188">
        <f>opex_orig!$AD139</f>
        <v>4.4101454799743599E-4</v>
      </c>
      <c r="AI139" s="188">
        <f>opex_orig!AE139</f>
        <v>3.7402699999999997E-4</v>
      </c>
      <c r="AJ139" s="188">
        <f>opex_orig!AF139</f>
        <v>3.69594E-4</v>
      </c>
      <c r="AK139" s="188">
        <f>opex_orig!AG139</f>
        <v>3.7610600000000002E-4</v>
      </c>
      <c r="AL139" s="188">
        <f>opex_orig!AH139</f>
        <v>3.37144E-4</v>
      </c>
      <c r="AM139" s="188">
        <f>opex_orig!AI139</f>
        <v>8.6352499999999997E-4</v>
      </c>
      <c r="AN139" s="188">
        <f>opex_orig!AJ139</f>
        <v>8.8200000000000003E-5</v>
      </c>
      <c r="AO139" s="188">
        <f>opex_orig!AK139</f>
        <v>1.80228E-4</v>
      </c>
      <c r="AP139" s="188">
        <f>opex_orig!$AL139</f>
        <v>1.69805912048654E-4</v>
      </c>
      <c r="AQ139" s="188">
        <f>opex_orig!$AL139</f>
        <v>1.69805912048654E-4</v>
      </c>
      <c r="AR139" s="188">
        <f>opex_orig!$AL139</f>
        <v>1.69805912048654E-4</v>
      </c>
      <c r="AS139" s="188">
        <f>opex_orig!$AM139</f>
        <v>1.54710973948073E-4</v>
      </c>
      <c r="AT139" s="188">
        <f>opex_orig!AN139</f>
        <v>2.5228400000000003E-4</v>
      </c>
      <c r="AU139" s="188">
        <f>opex_orig!$AO139</f>
        <v>1.4302074110098001E-4</v>
      </c>
      <c r="AV139" s="188">
        <f>opex_orig!$AO139</f>
        <v>1.4302074110098001E-4</v>
      </c>
      <c r="AW139" s="188">
        <f>opex_orig!$AO139</f>
        <v>1.4302074110098001E-4</v>
      </c>
      <c r="AX139" s="188">
        <f>opex_orig!$AP139</f>
        <v>1.52776747214973E-4</v>
      </c>
      <c r="AY139" s="188">
        <f>opex_orig!AQ139</f>
        <v>2.6498899999999998E-4</v>
      </c>
      <c r="AZ139" s="188">
        <f>opex_orig!AR139</f>
        <v>0</v>
      </c>
      <c r="BA139" s="188">
        <f>opex_orig!AS139</f>
        <v>1.26E-4</v>
      </c>
      <c r="BB139" s="188">
        <f>opex_orig!AT139</f>
        <v>9.5099999999999994E-5</v>
      </c>
      <c r="BC139" s="188">
        <f>opex_orig!AU139</f>
        <v>1.00503E-4</v>
      </c>
      <c r="BD139" s="188">
        <f>opex_orig!AV139</f>
        <v>3.8600000000000003E-5</v>
      </c>
      <c r="BE139" s="188">
        <f>opex_orig!AW139</f>
        <v>1.13076E-4</v>
      </c>
      <c r="BF139" s="188">
        <f>opex_orig!AX139</f>
        <v>0</v>
      </c>
      <c r="BG139" s="188">
        <f>opex_orig!AY139</f>
        <v>1.7985000000000001E-4</v>
      </c>
      <c r="BH139" s="188">
        <f>opex_orig!AZ139</f>
        <v>0</v>
      </c>
      <c r="BI139" s="188">
        <f>opex_orig!BA139</f>
        <v>1.49753E-4</v>
      </c>
      <c r="BJ139" s="188">
        <f>opex_orig!BB139</f>
        <v>3.53529E-4</v>
      </c>
      <c r="BK139" s="188">
        <f>opex_orig!BC139</f>
        <v>3.8860499999999998E-4</v>
      </c>
      <c r="BL139" s="188">
        <f>opex_orig!BD139</f>
        <v>4.6488500000000001E-4</v>
      </c>
      <c r="BM139" s="188">
        <f>opex_orig!BE139</f>
        <v>3.3768699999999998E-4</v>
      </c>
      <c r="BN139" s="188">
        <f>opex_orig!BF139</f>
        <v>2.04487E-4</v>
      </c>
      <c r="BO139" s="188">
        <f>opex_orig!BG139</f>
        <v>6.9983000000000003E-4</v>
      </c>
      <c r="BP139" s="188">
        <f>opex_orig!$BH139</f>
        <v>3.02684636446934E-4</v>
      </c>
      <c r="BQ139" s="188">
        <f>opex_orig!$BH139</f>
        <v>3.02684636446934E-4</v>
      </c>
      <c r="BR139" s="188">
        <f>opex_orig!BI139</f>
        <v>1.1142630000000001E-3</v>
      </c>
      <c r="BS139" s="188">
        <f>opex_orig!BJ139</f>
        <v>7.1110399999999995E-4</v>
      </c>
      <c r="BT139" s="188">
        <f>opex_orig!BK139</f>
        <v>1.7485720000000001E-3</v>
      </c>
      <c r="BU139" s="188">
        <f>opex_orig!BL139</f>
        <v>0</v>
      </c>
      <c r="BV139" s="27">
        <f>opex_orig!BM139</f>
        <v>4.19567624319692E-4</v>
      </c>
      <c r="BW139" s="27">
        <f>opex_orig!BN139</f>
        <v>1.82776473926188E-3</v>
      </c>
      <c r="BX139" s="27">
        <f>opex_orig!BO139</f>
        <v>1.2334401553297099E-4</v>
      </c>
      <c r="BY139" s="27">
        <f>opex_orig!BP139</f>
        <v>4.3510606340114598E-4</v>
      </c>
      <c r="BZ139" s="27">
        <f>opex_orig!BQ139</f>
        <v>2.0580948192420399E-4</v>
      </c>
      <c r="CA139" s="27">
        <f>opex_orig!BR139</f>
        <v>1.7042890316509699E-3</v>
      </c>
      <c r="CB139" s="27">
        <f>opex_orig!BS139</f>
        <v>9.6921718949433599E-4</v>
      </c>
      <c r="CC139" s="27">
        <f>opex_orig!BT139</f>
        <v>3.8031371422002499E-4</v>
      </c>
      <c r="CD139" s="27">
        <f>opex_orig!BU139</f>
        <v>1.5169185065842599E-4</v>
      </c>
      <c r="CE139" s="27">
        <f>opex_orig!BV139</f>
        <v>1.5169185065842699E-4</v>
      </c>
      <c r="CF139" s="27">
        <f>opex_orig!BW139</f>
        <v>1.3569121697856799E-3</v>
      </c>
      <c r="CG139" s="27">
        <f>opex_orig!BX139</f>
        <v>1.6135417053105101E-5</v>
      </c>
      <c r="CH139" s="27">
        <f>opex_orig!BY139</f>
        <v>7.1914509364717402E-6</v>
      </c>
      <c r="CI139" s="27">
        <f>opex_orig!Y139</f>
        <v>3.0785300000000002E-4</v>
      </c>
      <c r="CJ139" s="27">
        <f>opex_orig!Z139</f>
        <v>1.9781759999999999E-3</v>
      </c>
      <c r="CK139" s="27">
        <f>opex_orig!AA139</f>
        <v>1.8460690000000001E-3</v>
      </c>
      <c r="CL139" s="27">
        <f>opex_orig!AB139</f>
        <v>5.3292914984749497E-5</v>
      </c>
      <c r="CM139" s="27">
        <f>opex_orig!AC139</f>
        <v>1.3016700166762899E-3</v>
      </c>
      <c r="CN139" s="27">
        <f>opex_orig!AD139</f>
        <v>4.4101454799743599E-4</v>
      </c>
      <c r="CO139" s="27">
        <f>opex_orig!AE139</f>
        <v>3.7402699999999997E-4</v>
      </c>
      <c r="CP139" s="27">
        <f>opex_orig!AF139</f>
        <v>3.69594E-4</v>
      </c>
    </row>
    <row r="140" spans="1:94" x14ac:dyDescent="0.25">
      <c r="A140" s="5" t="s">
        <v>271</v>
      </c>
      <c r="B140" s="2" t="s">
        <v>270</v>
      </c>
      <c r="C140" s="1" t="s">
        <v>335</v>
      </c>
      <c r="D140" s="188">
        <f>opex_orig!D140</f>
        <v>1.64289E-4</v>
      </c>
      <c r="E140" s="188">
        <f>opex_orig!E140</f>
        <v>3.0300000000000001E-5</v>
      </c>
      <c r="F140" s="188">
        <f>opex_orig!F140</f>
        <v>3.7599999999999999E-5</v>
      </c>
      <c r="G140" s="188">
        <f>opex_orig!G140</f>
        <v>2.7300000000000001E-6</v>
      </c>
      <c r="H140" s="188">
        <f>opex_orig!H140</f>
        <v>6.1700000000000002E-6</v>
      </c>
      <c r="I140" s="188">
        <f>opex_orig!I140</f>
        <v>4.6600000000000001E-5</v>
      </c>
      <c r="J140" s="188">
        <f>opex_orig!J140</f>
        <v>1.0724E-4</v>
      </c>
      <c r="K140" s="188">
        <f>opex_orig!K140</f>
        <v>7.0899999999999999E-6</v>
      </c>
      <c r="L140" s="188">
        <f>opex_orig!L140</f>
        <v>5.77E-5</v>
      </c>
      <c r="M140" s="188">
        <f>opex_orig!M140</f>
        <v>2.1648500000000001E-4</v>
      </c>
      <c r="N140" s="188">
        <f>opex_orig!N140</f>
        <v>1.96498E-4</v>
      </c>
      <c r="O140" s="188">
        <f>opex_orig!O140</f>
        <v>2.24513E-4</v>
      </c>
      <c r="P140" s="188">
        <f>opex_orig!P140</f>
        <v>7.1500000000000003E-5</v>
      </c>
      <c r="Q140" s="188">
        <f>opex_orig!Q140</f>
        <v>9.7399999999999999E-6</v>
      </c>
      <c r="R140" s="188">
        <f>opex_orig!R140</f>
        <v>1.8300000000000001E-5</v>
      </c>
      <c r="S140" s="188">
        <f>opex_orig!S140</f>
        <v>6.3E-5</v>
      </c>
      <c r="T140" s="188">
        <f>opex_orig!T140</f>
        <v>6.9099999999999999E-5</v>
      </c>
      <c r="U140" s="188">
        <f>opex_orig!U140</f>
        <v>4.99E-5</v>
      </c>
      <c r="V140" s="188">
        <f>opex_orig!V140</f>
        <v>6.4300000000000004E-5</v>
      </c>
      <c r="W140" s="188">
        <f>opex_orig!W140</f>
        <v>1.5815299999999999E-4</v>
      </c>
      <c r="X140" s="188">
        <f>opex_orig!X140</f>
        <v>3.4775300000000002E-4</v>
      </c>
      <c r="Y140" s="188">
        <f>opex_orig!Y140</f>
        <v>1.03E-5</v>
      </c>
      <c r="Z140" s="188">
        <f>opex_orig!Z140</f>
        <v>8.4800000000000001E-5</v>
      </c>
      <c r="AA140" s="188">
        <f>opex_orig!AA140</f>
        <v>3.79E-5</v>
      </c>
      <c r="AB140" s="188">
        <f>opex_orig!$AB140</f>
        <v>7.7391153840255593E-6</v>
      </c>
      <c r="AC140" s="188">
        <f>opex_orig!$AB140</f>
        <v>7.7391153840255593E-6</v>
      </c>
      <c r="AD140" s="188">
        <f>opex_orig!$AB140</f>
        <v>7.7391153840255593E-6</v>
      </c>
      <c r="AE140" s="188">
        <f>opex_orig!$AC140</f>
        <v>8.1167824764465197E-5</v>
      </c>
      <c r="AF140" s="188">
        <f>opex_orig!$AD140</f>
        <v>6.0249276851774801E-5</v>
      </c>
      <c r="AG140" s="188">
        <f>opex_orig!$AD140</f>
        <v>6.0249276851774801E-5</v>
      </c>
      <c r="AH140" s="188">
        <f>opex_orig!$AD140</f>
        <v>6.0249276851774801E-5</v>
      </c>
      <c r="AI140" s="188">
        <f>opex_orig!AE140</f>
        <v>5.3499999999999999E-5</v>
      </c>
      <c r="AJ140" s="188">
        <f>opex_orig!AF140</f>
        <v>2.26608E-4</v>
      </c>
      <c r="AK140" s="188">
        <f>opex_orig!AG140</f>
        <v>4.5200000000000001E-5</v>
      </c>
      <c r="AL140" s="188">
        <f>opex_orig!AH140</f>
        <v>1.2500000000000001E-5</v>
      </c>
      <c r="AM140" s="188">
        <f>opex_orig!AI140</f>
        <v>2.5899999999999999E-5</v>
      </c>
      <c r="AN140" s="188">
        <f>opex_orig!AJ140</f>
        <v>2.2500000000000001E-5</v>
      </c>
      <c r="AO140" s="188">
        <f>opex_orig!AK140</f>
        <v>2.19E-5</v>
      </c>
      <c r="AP140" s="188">
        <f>opex_orig!$AL140</f>
        <v>2.24671836341656E-5</v>
      </c>
      <c r="AQ140" s="188">
        <f>opex_orig!$AL140</f>
        <v>2.24671836341656E-5</v>
      </c>
      <c r="AR140" s="188">
        <f>opex_orig!$AL140</f>
        <v>2.24671836341656E-5</v>
      </c>
      <c r="AS140" s="188">
        <f>opex_orig!$AM140</f>
        <v>2.2997510643762799E-5</v>
      </c>
      <c r="AT140" s="188">
        <f>opex_orig!AN140</f>
        <v>3.5299999999999997E-5</v>
      </c>
      <c r="AU140" s="188">
        <f>opex_orig!$AO140</f>
        <v>1.20258121022864E-4</v>
      </c>
      <c r="AV140" s="188">
        <f>opex_orig!$AO140</f>
        <v>1.20258121022864E-4</v>
      </c>
      <c r="AW140" s="188">
        <f>opex_orig!$AO140</f>
        <v>1.20258121022864E-4</v>
      </c>
      <c r="AX140" s="188">
        <f>opex_orig!$AP140</f>
        <v>1.22085882460346E-4</v>
      </c>
      <c r="AY140" s="188">
        <f>opex_orig!AQ140</f>
        <v>3.1442599999999997E-4</v>
      </c>
      <c r="AZ140" s="188">
        <f>opex_orig!AR140</f>
        <v>0</v>
      </c>
      <c r="BA140" s="188">
        <f>opex_orig!AS140</f>
        <v>8.8999999999999995E-5</v>
      </c>
      <c r="BB140" s="188">
        <f>opex_orig!AT140</f>
        <v>8.7700000000000004E-5</v>
      </c>
      <c r="BC140" s="188">
        <f>opex_orig!AU140</f>
        <v>1.0200000000000001E-5</v>
      </c>
      <c r="BD140" s="188">
        <f>opex_orig!AV140</f>
        <v>7.1999999999999997E-6</v>
      </c>
      <c r="BE140" s="188">
        <f>opex_orig!AW140</f>
        <v>8.14E-5</v>
      </c>
      <c r="BF140" s="188">
        <f>opex_orig!AX140</f>
        <v>0</v>
      </c>
      <c r="BG140" s="188">
        <f>opex_orig!AY140</f>
        <v>3.4490200000000001E-4</v>
      </c>
      <c r="BH140" s="188">
        <f>opex_orig!AZ140</f>
        <v>0</v>
      </c>
      <c r="BI140" s="188">
        <f>opex_orig!BA140</f>
        <v>1.1314100000000001E-4</v>
      </c>
      <c r="BJ140" s="188">
        <f>opex_orig!BB140</f>
        <v>3.7499999999999997E-5</v>
      </c>
      <c r="BK140" s="188">
        <f>opex_orig!BC140</f>
        <v>1.0773E-4</v>
      </c>
      <c r="BL140" s="188">
        <f>opex_orig!BD140</f>
        <v>1.7532800000000001E-4</v>
      </c>
      <c r="BM140" s="188">
        <f>opex_orig!BE140</f>
        <v>1.14967E-4</v>
      </c>
      <c r="BN140" s="188">
        <f>opex_orig!BF140</f>
        <v>5.5800000000000001E-5</v>
      </c>
      <c r="BO140" s="188">
        <f>opex_orig!BG140</f>
        <v>1.43425E-4</v>
      </c>
      <c r="BP140" s="188">
        <f>opex_orig!$BH140</f>
        <v>8.7925245681687799E-5</v>
      </c>
      <c r="BQ140" s="188">
        <f>opex_orig!$BH140</f>
        <v>8.7925245681687799E-5</v>
      </c>
      <c r="BR140" s="188">
        <f>opex_orig!BI140</f>
        <v>9.7100000000000002E-5</v>
      </c>
      <c r="BS140" s="188">
        <f>opex_orig!BJ140</f>
        <v>1.3857999999999999E-4</v>
      </c>
      <c r="BT140" s="188">
        <f>opex_orig!BK140</f>
        <v>1.25535E-4</v>
      </c>
      <c r="BU140" s="188">
        <f>opex_orig!BL140</f>
        <v>0</v>
      </c>
      <c r="BV140" s="27">
        <f>opex_orig!BM140</f>
        <v>1.2765948808514399E-4</v>
      </c>
      <c r="BW140" s="27">
        <f>opex_orig!BN140</f>
        <v>2.7490565031252099E-4</v>
      </c>
      <c r="BX140" s="27">
        <f>opex_orig!BO140</f>
        <v>2.9668935543952201E-5</v>
      </c>
      <c r="BY140" s="27">
        <f>opex_orig!BP140</f>
        <v>3.8887045338731097E-5</v>
      </c>
      <c r="BZ140" s="27">
        <f>opex_orig!BQ140</f>
        <v>3.0466651449050099E-5</v>
      </c>
      <c r="CA140" s="27">
        <f>opex_orig!BR140</f>
        <v>2.3599667497067599E-6</v>
      </c>
      <c r="CB140" s="27">
        <f>opex_orig!BS140</f>
        <v>1.6896071231978701E-4</v>
      </c>
      <c r="CC140" s="27">
        <f>opex_orig!BT140</f>
        <v>1.0964689490564E-5</v>
      </c>
      <c r="CD140" s="27">
        <f>opex_orig!BU140</f>
        <v>8.2993699253959595E-5</v>
      </c>
      <c r="CE140" s="27">
        <f>opex_orig!BV140</f>
        <v>8.2993699253959799E-5</v>
      </c>
      <c r="CF140" s="27">
        <f>opex_orig!BW140</f>
        <v>4.8817150702566503E-3</v>
      </c>
      <c r="CG140" s="27">
        <f>opex_orig!BX140</f>
        <v>3.2172258733394502E-6</v>
      </c>
      <c r="CH140" s="27">
        <f>opex_orig!BY140</f>
        <v>2.7845697410377499E-6</v>
      </c>
      <c r="CI140" s="27">
        <f>opex_orig!Y140</f>
        <v>1.03E-5</v>
      </c>
      <c r="CJ140" s="27">
        <f>opex_orig!Z140</f>
        <v>8.4800000000000001E-5</v>
      </c>
      <c r="CK140" s="27">
        <f>opex_orig!AA140</f>
        <v>3.79E-5</v>
      </c>
      <c r="CL140" s="27">
        <f>opex_orig!AB140</f>
        <v>7.7391153840255593E-6</v>
      </c>
      <c r="CM140" s="27">
        <f>opex_orig!AC140</f>
        <v>8.1167824764465197E-5</v>
      </c>
      <c r="CN140" s="27">
        <f>opex_orig!AD140</f>
        <v>6.0249276851774801E-5</v>
      </c>
      <c r="CO140" s="27">
        <f>opex_orig!AE140</f>
        <v>5.3499999999999999E-5</v>
      </c>
      <c r="CP140" s="27">
        <f>opex_orig!AF140</f>
        <v>2.26608E-4</v>
      </c>
    </row>
    <row r="141" spans="1:94" x14ac:dyDescent="0.25">
      <c r="A141" s="5" t="s">
        <v>273</v>
      </c>
      <c r="B141" s="2" t="s">
        <v>272</v>
      </c>
      <c r="C141" s="1" t="s">
        <v>335</v>
      </c>
      <c r="D141" s="188">
        <f>opex_orig!D141</f>
        <v>1.45E-5</v>
      </c>
      <c r="E141" s="188">
        <f>opex_orig!E141</f>
        <v>5.3700000000000003E-6</v>
      </c>
      <c r="F141" s="188">
        <f>opex_orig!F141</f>
        <v>1.63E-5</v>
      </c>
      <c r="G141" s="188">
        <f>opex_orig!G141</f>
        <v>5.5899999999999996E-7</v>
      </c>
      <c r="H141" s="188">
        <f>opex_orig!H141</f>
        <v>7.8199999999999999E-7</v>
      </c>
      <c r="I141" s="188">
        <f>opex_orig!I141</f>
        <v>9.4599999999999992E-6</v>
      </c>
      <c r="J141" s="188">
        <f>opex_orig!J141</f>
        <v>2.69E-5</v>
      </c>
      <c r="K141" s="188">
        <f>opex_orig!K141</f>
        <v>1.0899999999999999E-6</v>
      </c>
      <c r="L141" s="188">
        <f>opex_orig!L141</f>
        <v>2.76E-5</v>
      </c>
      <c r="M141" s="188">
        <f>opex_orig!M141</f>
        <v>3.2400000000000001E-5</v>
      </c>
      <c r="N141" s="188">
        <f>opex_orig!N141</f>
        <v>1.6900000000000001E-5</v>
      </c>
      <c r="O141" s="188">
        <f>opex_orig!O141</f>
        <v>3.8999999999999999E-5</v>
      </c>
      <c r="P141" s="188">
        <f>opex_orig!P141</f>
        <v>2.4300000000000001E-5</v>
      </c>
      <c r="Q141" s="188">
        <f>opex_orig!Q141</f>
        <v>2.4700000000000001E-5</v>
      </c>
      <c r="R141" s="188">
        <f>opex_orig!R141</f>
        <v>7.1600000000000001E-6</v>
      </c>
      <c r="S141" s="188">
        <f>opex_orig!S141</f>
        <v>9.4199999999999996E-6</v>
      </c>
      <c r="T141" s="188">
        <f>opex_orig!T141</f>
        <v>1.0699999999999999E-5</v>
      </c>
      <c r="U141" s="188">
        <f>opex_orig!U141</f>
        <v>1.2999999999999999E-5</v>
      </c>
      <c r="V141" s="188">
        <f>opex_orig!V141</f>
        <v>1.3699999999999999E-5</v>
      </c>
      <c r="W141" s="188">
        <f>opex_orig!W141</f>
        <v>1.3200000000000001E-5</v>
      </c>
      <c r="X141" s="188">
        <f>opex_orig!X141</f>
        <v>1.7399999999999999E-5</v>
      </c>
      <c r="Y141" s="188">
        <f>opex_orig!Y141</f>
        <v>1.2999999999999999E-5</v>
      </c>
      <c r="Z141" s="188">
        <f>opex_orig!Z141</f>
        <v>4.2700000000000001E-5</v>
      </c>
      <c r="AA141" s="188">
        <f>opex_orig!AA141</f>
        <v>5.5000000000000002E-5</v>
      </c>
      <c r="AB141" s="188">
        <f>opex_orig!$AB141</f>
        <v>1.0000365215506399E-5</v>
      </c>
      <c r="AC141" s="188">
        <f>opex_orig!$AB141</f>
        <v>1.0000365215506399E-5</v>
      </c>
      <c r="AD141" s="188">
        <f>opex_orig!$AB141</f>
        <v>1.0000365215506399E-5</v>
      </c>
      <c r="AE141" s="188">
        <f>opex_orig!$AC141</f>
        <v>1.0308235224472701E-5</v>
      </c>
      <c r="AF141" s="188">
        <f>opex_orig!$AD141</f>
        <v>1.18728989322633E-5</v>
      </c>
      <c r="AG141" s="188">
        <f>opex_orig!$AD141</f>
        <v>1.18728989322633E-5</v>
      </c>
      <c r="AH141" s="188">
        <f>opex_orig!$AD141</f>
        <v>1.18728989322633E-5</v>
      </c>
      <c r="AI141" s="188">
        <f>opex_orig!AE141</f>
        <v>1.0499999999999999E-5</v>
      </c>
      <c r="AJ141" s="188">
        <f>opex_orig!AF141</f>
        <v>3.0836500000000001E-4</v>
      </c>
      <c r="AK141" s="188">
        <f>opex_orig!AG141</f>
        <v>9.1500000000000005E-6</v>
      </c>
      <c r="AL141" s="188">
        <f>opex_orig!AH141</f>
        <v>5.6699999999999999E-6</v>
      </c>
      <c r="AM141" s="188">
        <f>opex_orig!AI141</f>
        <v>6.6599999999999998E-6</v>
      </c>
      <c r="AN141" s="188">
        <f>opex_orig!AJ141</f>
        <v>5.5799999999999999E-6</v>
      </c>
      <c r="AO141" s="188">
        <f>opex_orig!AK141</f>
        <v>7.2599999999999999E-6</v>
      </c>
      <c r="AP141" s="188">
        <f>opex_orig!$AL141</f>
        <v>6.1988308567455897E-6</v>
      </c>
      <c r="AQ141" s="188">
        <f>opex_orig!$AL141</f>
        <v>6.1988308567455897E-6</v>
      </c>
      <c r="AR141" s="188">
        <f>opex_orig!$AL141</f>
        <v>6.1988308567455897E-6</v>
      </c>
      <c r="AS141" s="188">
        <f>opex_orig!$AM141</f>
        <v>5.7574081594838301E-6</v>
      </c>
      <c r="AT141" s="188">
        <f>opex_orig!AN141</f>
        <v>9.4199999999999996E-6</v>
      </c>
      <c r="AU141" s="188">
        <f>opex_orig!$AO141</f>
        <v>9.1599806739617094E-6</v>
      </c>
      <c r="AV141" s="188">
        <f>opex_orig!$AO141</f>
        <v>9.1599806739617094E-6</v>
      </c>
      <c r="AW141" s="188">
        <f>opex_orig!$AO141</f>
        <v>9.1599806739617094E-6</v>
      </c>
      <c r="AX141" s="188">
        <f>opex_orig!$AP141</f>
        <v>7.3244227061987001E-6</v>
      </c>
      <c r="AY141" s="188">
        <f>opex_orig!AQ141</f>
        <v>5.3100000000000003E-5</v>
      </c>
      <c r="AZ141" s="188">
        <f>opex_orig!AR141</f>
        <v>0</v>
      </c>
      <c r="BA141" s="188">
        <f>opex_orig!AS141</f>
        <v>7.5800000000000003E-6</v>
      </c>
      <c r="BB141" s="188">
        <f>opex_orig!AT141</f>
        <v>6.8199999999999999E-6</v>
      </c>
      <c r="BC141" s="188">
        <f>opex_orig!AU141</f>
        <v>1.8199999999999999E-6</v>
      </c>
      <c r="BD141" s="188">
        <f>opex_orig!AV141</f>
        <v>1.5200000000000001E-6</v>
      </c>
      <c r="BE141" s="188">
        <f>opex_orig!AW141</f>
        <v>4.5000000000000001E-6</v>
      </c>
      <c r="BF141" s="188">
        <f>opex_orig!AX141</f>
        <v>0</v>
      </c>
      <c r="BG141" s="188">
        <f>opex_orig!AY141</f>
        <v>1.2999999999999999E-5</v>
      </c>
      <c r="BH141" s="188">
        <f>opex_orig!AZ141</f>
        <v>0</v>
      </c>
      <c r="BI141" s="188">
        <f>opex_orig!BA141</f>
        <v>7.5599999999999996E-6</v>
      </c>
      <c r="BJ141" s="188">
        <f>opex_orig!BB141</f>
        <v>1.03E-5</v>
      </c>
      <c r="BK141" s="188">
        <f>opex_orig!BC141</f>
        <v>1.5099999999999999E-5</v>
      </c>
      <c r="BL141" s="188">
        <f>opex_orig!BD141</f>
        <v>2.8E-5</v>
      </c>
      <c r="BM141" s="188">
        <f>opex_orig!BE141</f>
        <v>3.01E-5</v>
      </c>
      <c r="BN141" s="188">
        <f>opex_orig!BF141</f>
        <v>9.2799999999999992E-6</v>
      </c>
      <c r="BO141" s="188">
        <f>opex_orig!BG141</f>
        <v>3.6699999999999998E-5</v>
      </c>
      <c r="BP141" s="188">
        <f>opex_orig!$BH141</f>
        <v>9.9273457764468902E-6</v>
      </c>
      <c r="BQ141" s="188">
        <f>opex_orig!$BH141</f>
        <v>9.9273457764468902E-6</v>
      </c>
      <c r="BR141" s="188">
        <f>opex_orig!BI141</f>
        <v>7.0899999999999999E-6</v>
      </c>
      <c r="BS141" s="188">
        <f>opex_orig!BJ141</f>
        <v>2.1100000000000001E-5</v>
      </c>
      <c r="BT141" s="188">
        <f>opex_orig!BK141</f>
        <v>1.31E-5</v>
      </c>
      <c r="BU141" s="188">
        <f>opex_orig!BL141</f>
        <v>0</v>
      </c>
      <c r="BV141" s="27">
        <f>opex_orig!BM141</f>
        <v>1.16189935261666E-5</v>
      </c>
      <c r="BW141" s="27">
        <f>opex_orig!BN141</f>
        <v>2.87214870720668E-5</v>
      </c>
      <c r="BX141" s="27">
        <f>opex_orig!BO141</f>
        <v>6.19314847993937E-6</v>
      </c>
      <c r="BY141" s="27">
        <f>opex_orig!BP141</f>
        <v>8.7057018189532508E-6</v>
      </c>
      <c r="BZ141" s="27">
        <f>opex_orig!BQ141</f>
        <v>9.2110907310636403E-6</v>
      </c>
      <c r="CA141" s="27">
        <f>opex_orig!BR141</f>
        <v>7.69798570580495E-7</v>
      </c>
      <c r="CB141" s="27">
        <f>opex_orig!BS141</f>
        <v>1.1991599944111699E-5</v>
      </c>
      <c r="CC141" s="27">
        <f>opex_orig!BT141</f>
        <v>3.5432301612228902E-6</v>
      </c>
      <c r="CD141" s="27">
        <f>opex_orig!BU141</f>
        <v>1.4372908389005E-5</v>
      </c>
      <c r="CE141" s="27">
        <f>opex_orig!BV141</f>
        <v>1.4372908389005E-5</v>
      </c>
      <c r="CF141" s="27">
        <f>opex_orig!BW141</f>
        <v>1.1017644264690499E-5</v>
      </c>
      <c r="CG141" s="27">
        <f>opex_orig!BX141</f>
        <v>6.8123674395350903E-7</v>
      </c>
      <c r="CH141" s="27">
        <f>opex_orig!BY141</f>
        <v>1.9845224535434202E-6</v>
      </c>
      <c r="CI141" s="27">
        <f>opex_orig!Y141</f>
        <v>1.2999999999999999E-5</v>
      </c>
      <c r="CJ141" s="27">
        <f>opex_orig!Z141</f>
        <v>4.2700000000000001E-5</v>
      </c>
      <c r="CK141" s="27">
        <f>opex_orig!AA141</f>
        <v>5.5000000000000002E-5</v>
      </c>
      <c r="CL141" s="27">
        <f>opex_orig!AB141</f>
        <v>1.0000365215506399E-5</v>
      </c>
      <c r="CM141" s="27">
        <f>opex_orig!AC141</f>
        <v>1.0308235224472701E-5</v>
      </c>
      <c r="CN141" s="27">
        <f>opex_orig!AD141</f>
        <v>1.18728989322633E-5</v>
      </c>
      <c r="CO141" s="27">
        <f>opex_orig!AE141</f>
        <v>1.0499999999999999E-5</v>
      </c>
      <c r="CP141" s="27">
        <f>opex_orig!AF141</f>
        <v>3.0836500000000001E-4</v>
      </c>
    </row>
    <row r="142" spans="1:94" x14ac:dyDescent="0.25">
      <c r="A142" s="6" t="s">
        <v>275</v>
      </c>
      <c r="B142" s="2" t="s">
        <v>274</v>
      </c>
      <c r="C142" s="1" t="s">
        <v>335</v>
      </c>
      <c r="D142" s="188">
        <f>opex_orig!D142</f>
        <v>1.3050900000000001E-4</v>
      </c>
      <c r="E142" s="188">
        <f>opex_orig!E142</f>
        <v>1.1476699999999999E-4</v>
      </c>
      <c r="F142" s="188">
        <f>opex_orig!F142</f>
        <v>2.41E-5</v>
      </c>
      <c r="G142" s="188">
        <f>opex_orig!G142</f>
        <v>5.3900000000000001E-6</v>
      </c>
      <c r="H142" s="188">
        <f>opex_orig!H142</f>
        <v>9.3300000000000005E-6</v>
      </c>
      <c r="I142" s="188">
        <f>opex_orig!I142</f>
        <v>1.0521100000000001E-4</v>
      </c>
      <c r="J142" s="188">
        <f>opex_orig!J142</f>
        <v>1.33552E-4</v>
      </c>
      <c r="K142" s="188">
        <f>opex_orig!K142</f>
        <v>1.49E-5</v>
      </c>
      <c r="L142" s="188">
        <f>opex_orig!L142</f>
        <v>1.2447200000000001E-4</v>
      </c>
      <c r="M142" s="188">
        <f>opex_orig!M142</f>
        <v>3.5459899999999998E-4</v>
      </c>
      <c r="N142" s="188">
        <f>opex_orig!N142</f>
        <v>6.80706E-4</v>
      </c>
      <c r="O142" s="188">
        <f>opex_orig!O142</f>
        <v>1.9991099999999999E-4</v>
      </c>
      <c r="P142" s="188">
        <f>opex_orig!P142</f>
        <v>1.35005E-4</v>
      </c>
      <c r="Q142" s="188">
        <f>opex_orig!Q142</f>
        <v>4.5399999999999999E-5</v>
      </c>
      <c r="R142" s="188">
        <f>opex_orig!R142</f>
        <v>1.42E-5</v>
      </c>
      <c r="S142" s="188">
        <f>opex_orig!S142</f>
        <v>4.7200000000000002E-5</v>
      </c>
      <c r="T142" s="188">
        <f>opex_orig!T142</f>
        <v>3.8000000000000002E-5</v>
      </c>
      <c r="U142" s="188">
        <f>opex_orig!U142</f>
        <v>3.1648000000000001E-4</v>
      </c>
      <c r="V142" s="188">
        <f>opex_orig!V142</f>
        <v>4.5941999999999999E-4</v>
      </c>
      <c r="W142" s="188">
        <f>opex_orig!W142</f>
        <v>9.1899999999999998E-5</v>
      </c>
      <c r="X142" s="188">
        <f>opex_orig!X142</f>
        <v>4.1900000000000002E-5</v>
      </c>
      <c r="Y142" s="188">
        <f>opex_orig!Y142</f>
        <v>3.79E-5</v>
      </c>
      <c r="Z142" s="188">
        <f>opex_orig!Z142</f>
        <v>1.1189E-4</v>
      </c>
      <c r="AA142" s="188">
        <f>opex_orig!AA142</f>
        <v>4.35E-5</v>
      </c>
      <c r="AB142" s="188">
        <f>opex_orig!$AB142</f>
        <v>2.75761222642569E-5</v>
      </c>
      <c r="AC142" s="188">
        <f>opex_orig!$AB142</f>
        <v>2.75761222642569E-5</v>
      </c>
      <c r="AD142" s="188">
        <f>opex_orig!$AB142</f>
        <v>2.75761222642569E-5</v>
      </c>
      <c r="AE142" s="188">
        <f>opex_orig!$AC142</f>
        <v>2.4280199962420398E-3</v>
      </c>
      <c r="AF142" s="188">
        <f>opex_orig!$AD142</f>
        <v>7.6919425609610001E-4</v>
      </c>
      <c r="AG142" s="188">
        <f>opex_orig!$AD142</f>
        <v>7.6919425609610001E-4</v>
      </c>
      <c r="AH142" s="188">
        <f>opex_orig!$AD142</f>
        <v>7.6919425609610001E-4</v>
      </c>
      <c r="AI142" s="188">
        <f>opex_orig!AE142</f>
        <v>6.0639299999999999E-4</v>
      </c>
      <c r="AJ142" s="188">
        <f>opex_orig!AF142</f>
        <v>2.11461E-4</v>
      </c>
      <c r="AK142" s="188">
        <f>opex_orig!AG142</f>
        <v>3.96E-5</v>
      </c>
      <c r="AL142" s="188">
        <f>opex_orig!AH142</f>
        <v>4.7500000000000003E-5</v>
      </c>
      <c r="AM142" s="188">
        <f>opex_orig!AI142</f>
        <v>5.3999999999999998E-5</v>
      </c>
      <c r="AN142" s="188">
        <f>opex_orig!AJ142</f>
        <v>8.2399999999999997E-5</v>
      </c>
      <c r="AO142" s="188">
        <f>opex_orig!AK142</f>
        <v>5.0500000000000001E-5</v>
      </c>
      <c r="AP142" s="284">
        <f>opex_concordance!M426</f>
        <v>1.2337059530660499E-4</v>
      </c>
      <c r="AQ142" s="284">
        <f>opex_concordance!M480</f>
        <v>8.2020101413530735E-5</v>
      </c>
      <c r="AR142" s="284">
        <f>opex_concordance!M534</f>
        <v>0</v>
      </c>
      <c r="AS142" s="188">
        <f>opex_orig!$AM142</f>
        <v>4.98469287170518E-5</v>
      </c>
      <c r="AT142" s="188">
        <f>opex_orig!AN142</f>
        <v>1.4221000000000001E-4</v>
      </c>
      <c r="AU142" s="188">
        <f>opex_orig!$AO142</f>
        <v>1.6969731242386801E-4</v>
      </c>
      <c r="AV142" s="188">
        <f>opex_orig!$AO142</f>
        <v>1.6969731242386801E-4</v>
      </c>
      <c r="AW142" s="188">
        <f>opex_orig!$AO142</f>
        <v>1.6969731242386801E-4</v>
      </c>
      <c r="AX142" s="188">
        <f>opex_orig!$AP142</f>
        <v>2.8146858651635702E-4</v>
      </c>
      <c r="AY142" s="188">
        <f>opex_orig!AQ142</f>
        <v>3.0149400000000002E-4</v>
      </c>
      <c r="AZ142" s="188">
        <f>opex_orig!AR142</f>
        <v>0</v>
      </c>
      <c r="BA142" s="188">
        <f>opex_orig!AS142</f>
        <v>2.02401E-4</v>
      </c>
      <c r="BB142" s="188">
        <f>opex_orig!AT142</f>
        <v>1.4061999999999999E-4</v>
      </c>
      <c r="BC142" s="188">
        <f>opex_orig!AU142</f>
        <v>2.27E-5</v>
      </c>
      <c r="BD142" s="188">
        <f>opex_orig!AV142</f>
        <v>1.77E-5</v>
      </c>
      <c r="BE142" s="188">
        <f>opex_orig!AW142</f>
        <v>2.0933200000000001E-4</v>
      </c>
      <c r="BF142" s="188">
        <f>opex_orig!AX142</f>
        <v>0</v>
      </c>
      <c r="BG142" s="188">
        <f>opex_orig!AY142</f>
        <v>1.05189E-4</v>
      </c>
      <c r="BH142" s="188">
        <f>opex_orig!AZ142</f>
        <v>0</v>
      </c>
      <c r="BI142" s="188">
        <f>opex_orig!BA142</f>
        <v>1.4192799999999999E-4</v>
      </c>
      <c r="BJ142" s="188">
        <f>opex_orig!BB142</f>
        <v>2.0523300000000001E-4</v>
      </c>
      <c r="BK142" s="188">
        <f>opex_orig!BC142</f>
        <v>3.3018499999999998E-4</v>
      </c>
      <c r="BL142" s="188">
        <f>opex_orig!BD142</f>
        <v>2.2500000000000001E-5</v>
      </c>
      <c r="BM142" s="188">
        <f>opex_orig!BE142</f>
        <v>5.1900000000000001E-5</v>
      </c>
      <c r="BN142" s="188">
        <f>opex_orig!BF142</f>
        <v>1.84E-5</v>
      </c>
      <c r="BO142" s="188">
        <f>opex_orig!BG142</f>
        <v>8.9599999999999996E-5</v>
      </c>
      <c r="BP142" s="188">
        <f>opex_orig!$BH142</f>
        <v>1.1153814470769501E-4</v>
      </c>
      <c r="BQ142" s="188">
        <f>opex_orig!$BH142</f>
        <v>1.1153814470769501E-4</v>
      </c>
      <c r="BR142" s="188">
        <f>opex_orig!BI142</f>
        <v>1.57243E-4</v>
      </c>
      <c r="BS142" s="188">
        <f>opex_orig!BJ142</f>
        <v>6.6600000000000006E-5</v>
      </c>
      <c r="BT142" s="188">
        <f>opex_orig!BK142</f>
        <v>2.7460800000000002E-4</v>
      </c>
      <c r="BU142" s="188">
        <f>opex_orig!BL142</f>
        <v>0</v>
      </c>
      <c r="BV142" s="27">
        <f>opex_orig!BM142</f>
        <v>1.3237033072663399E-4</v>
      </c>
      <c r="BW142" s="27">
        <f>opex_orig!BN142</f>
        <v>6.7235385602436803E-4</v>
      </c>
      <c r="BX142" s="27">
        <f>opex_orig!BO142</f>
        <v>1.3549451638241E-4</v>
      </c>
      <c r="BY142" s="27">
        <f>opex_orig!BP142</f>
        <v>5.63499419032785E-4</v>
      </c>
      <c r="BZ142" s="27">
        <f>opex_orig!BQ142</f>
        <v>6.5153000748886905E-5</v>
      </c>
      <c r="CA142" s="27">
        <f>opex_orig!BR142</f>
        <v>5.8907887144913697E-6</v>
      </c>
      <c r="CB142" s="27">
        <f>opex_orig!BS142</f>
        <v>1.5945601830570999E-4</v>
      </c>
      <c r="CC142" s="27">
        <f>opex_orig!BT142</f>
        <v>7.1595463043936703E-4</v>
      </c>
      <c r="CD142" s="27">
        <f>opex_orig!BU142</f>
        <v>7.3705015390773E-6</v>
      </c>
      <c r="CE142" s="27">
        <f>opex_orig!BV142</f>
        <v>7.3705015390773E-6</v>
      </c>
      <c r="CF142" s="27">
        <f>opex_orig!BW142</f>
        <v>1.47775754032937E-6</v>
      </c>
      <c r="CG142" s="27">
        <f>opex_orig!BX142</f>
        <v>7.1553735575872901E-6</v>
      </c>
      <c r="CH142" s="27">
        <f>opex_orig!BY142</f>
        <v>1.7497947856879199E-6</v>
      </c>
      <c r="CI142" s="27">
        <f>opex_orig!Y142</f>
        <v>3.79E-5</v>
      </c>
      <c r="CJ142" s="27">
        <f>opex_orig!Z142</f>
        <v>1.1189E-4</v>
      </c>
      <c r="CK142" s="27">
        <f>opex_orig!AA142</f>
        <v>4.35E-5</v>
      </c>
      <c r="CL142" s="27">
        <f>opex_orig!AB142</f>
        <v>2.75761222642569E-5</v>
      </c>
      <c r="CM142" s="27">
        <f>opex_orig!AC142</f>
        <v>2.4280199962420398E-3</v>
      </c>
      <c r="CN142" s="27">
        <f>opex_orig!AD142</f>
        <v>7.6919425609610001E-4</v>
      </c>
      <c r="CO142" s="27">
        <f>opex_orig!AE142</f>
        <v>6.0639299999999999E-4</v>
      </c>
      <c r="CP142" s="27">
        <f>opex_orig!AF142</f>
        <v>2.11461E-4</v>
      </c>
    </row>
    <row r="143" spans="1:94" x14ac:dyDescent="0.25">
      <c r="A143" s="6" t="s">
        <v>277</v>
      </c>
      <c r="B143" s="2" t="s">
        <v>276</v>
      </c>
      <c r="C143" s="1" t="s">
        <v>335</v>
      </c>
      <c r="D143" s="188">
        <f>opex_orig!D143</f>
        <v>1.10784E-4</v>
      </c>
      <c r="E143" s="188">
        <f>opex_orig!E143</f>
        <v>1.19021E-4</v>
      </c>
      <c r="F143" s="188">
        <f>opex_orig!F143</f>
        <v>2.3200000000000001E-5</v>
      </c>
      <c r="G143" s="188">
        <f>opex_orig!G143</f>
        <v>5.3199999999999999E-6</v>
      </c>
      <c r="H143" s="188">
        <f>opex_orig!H143</f>
        <v>9.1300000000000007E-6</v>
      </c>
      <c r="I143" s="188">
        <f>opex_orig!I143</f>
        <v>1.09349E-4</v>
      </c>
      <c r="J143" s="188">
        <f>opex_orig!J143</f>
        <v>1.14533E-4</v>
      </c>
      <c r="K143" s="188">
        <f>opex_orig!K143</f>
        <v>1.4600000000000001E-5</v>
      </c>
      <c r="L143" s="188">
        <f>opex_orig!L143</f>
        <v>1.3217099999999999E-4</v>
      </c>
      <c r="M143" s="188">
        <f>opex_orig!M143</f>
        <v>3.8090200000000002E-4</v>
      </c>
      <c r="N143" s="188">
        <f>opex_orig!N143</f>
        <v>7.2055100000000005E-4</v>
      </c>
      <c r="O143" s="188">
        <f>opex_orig!O143</f>
        <v>1.9455199999999999E-4</v>
      </c>
      <c r="P143" s="188">
        <f>opex_orig!P143</f>
        <v>1.3510099999999999E-4</v>
      </c>
      <c r="Q143" s="188">
        <f>opex_orig!Q143</f>
        <v>4.1399999999999997E-5</v>
      </c>
      <c r="R143" s="188">
        <f>opex_orig!R143</f>
        <v>1.2300000000000001E-5</v>
      </c>
      <c r="S143" s="188">
        <f>opex_orig!S143</f>
        <v>4.4700000000000002E-5</v>
      </c>
      <c r="T143" s="188">
        <f>opex_orig!T143</f>
        <v>3.43E-5</v>
      </c>
      <c r="U143" s="188">
        <f>opex_orig!U143</f>
        <v>3.2673799999999997E-4</v>
      </c>
      <c r="V143" s="188">
        <f>opex_orig!V143</f>
        <v>4.8804000000000002E-4</v>
      </c>
      <c r="W143" s="188">
        <f>opex_orig!W143</f>
        <v>9.5600000000000006E-5</v>
      </c>
      <c r="X143" s="188">
        <f>opex_orig!X143</f>
        <v>3.9499999999999998E-5</v>
      </c>
      <c r="Y143" s="188">
        <f>opex_orig!Y143</f>
        <v>3.5599999999999998E-5</v>
      </c>
      <c r="Z143" s="188">
        <f>opex_orig!Z143</f>
        <v>1.09067E-4</v>
      </c>
      <c r="AA143" s="188">
        <f>opex_orig!AA143</f>
        <v>3.9900000000000001E-5</v>
      </c>
      <c r="AB143" s="188">
        <f>opex_orig!$AB143</f>
        <v>3.2498482502795903E-5</v>
      </c>
      <c r="AC143" s="188">
        <f>opex_orig!$AB143</f>
        <v>3.2498482502795903E-5</v>
      </c>
      <c r="AD143" s="188">
        <f>opex_orig!$AB143</f>
        <v>3.2498482502795903E-5</v>
      </c>
      <c r="AE143" s="188">
        <f>opex_orig!$AC143</f>
        <v>2.5880470555588102E-3</v>
      </c>
      <c r="AF143" s="188">
        <f>opex_orig!$AD143</f>
        <v>8.3627912108958898E-4</v>
      </c>
      <c r="AG143" s="188">
        <f>opex_orig!$AD143</f>
        <v>8.3627912108958898E-4</v>
      </c>
      <c r="AH143" s="188">
        <f>opex_orig!$AD143</f>
        <v>8.3627912108958898E-4</v>
      </c>
      <c r="AI143" s="188">
        <f>opex_orig!AE143</f>
        <v>6.6561099999999998E-4</v>
      </c>
      <c r="AJ143" s="188">
        <f>opex_orig!AF143</f>
        <v>2.1672799999999999E-4</v>
      </c>
      <c r="AK143" s="188">
        <f>opex_orig!AG143</f>
        <v>3.8399999999999998E-5</v>
      </c>
      <c r="AL143" s="188">
        <f>opex_orig!AH143</f>
        <v>4.8000000000000001E-5</v>
      </c>
      <c r="AM143" s="188">
        <f>opex_orig!AI143</f>
        <v>5.1799999999999999E-5</v>
      </c>
      <c r="AN143" s="188">
        <f>opex_orig!AJ143</f>
        <v>8.5000000000000006E-5</v>
      </c>
      <c r="AO143" s="188">
        <f>opex_orig!AK143</f>
        <v>5.13E-5</v>
      </c>
      <c r="AP143" s="284">
        <f>opex_concordance!M427</f>
        <v>1.2555797471430999E-4</v>
      </c>
      <c r="AQ143" s="284">
        <f>opex_concordance!M481</f>
        <v>8.3474330279039219E-5</v>
      </c>
      <c r="AR143" s="284">
        <f>opex_concordance!M535</f>
        <v>0</v>
      </c>
      <c r="AS143" s="188">
        <f>opex_orig!$AM143</f>
        <v>4.9649270236720098E-5</v>
      </c>
      <c r="AT143" s="188">
        <f>opex_orig!AN143</f>
        <v>1.4533800000000001E-4</v>
      </c>
      <c r="AU143" s="188">
        <f>opex_orig!$AO143</f>
        <v>1.67055965540329E-4</v>
      </c>
      <c r="AV143" s="188">
        <f>opex_orig!$AO143</f>
        <v>1.67055965540329E-4</v>
      </c>
      <c r="AW143" s="188">
        <f>opex_orig!$AO143</f>
        <v>1.67055965540329E-4</v>
      </c>
      <c r="AX143" s="188">
        <f>opex_orig!$AP143</f>
        <v>2.8115435453907002E-4</v>
      </c>
      <c r="AY143" s="188">
        <f>opex_orig!AQ143</f>
        <v>3.0549499999999997E-4</v>
      </c>
      <c r="AZ143" s="188">
        <f>opex_orig!AR143</f>
        <v>0</v>
      </c>
      <c r="BA143" s="188">
        <f>opex_orig!AS143</f>
        <v>1.9642999999999999E-4</v>
      </c>
      <c r="BB143" s="188">
        <f>opex_orig!AT143</f>
        <v>1.3140999999999999E-4</v>
      </c>
      <c r="BC143" s="188">
        <f>opex_orig!AU143</f>
        <v>2.44E-5</v>
      </c>
      <c r="BD143" s="188">
        <f>opex_orig!AV143</f>
        <v>1.9400000000000001E-5</v>
      </c>
      <c r="BE143" s="188">
        <f>opex_orig!AW143</f>
        <v>2.1126200000000001E-4</v>
      </c>
      <c r="BF143" s="188">
        <f>opex_orig!AX143</f>
        <v>0</v>
      </c>
      <c r="BG143" s="188">
        <f>opex_orig!AY143</f>
        <v>9.4699999999999998E-5</v>
      </c>
      <c r="BH143" s="188">
        <f>opex_orig!AZ143</f>
        <v>0</v>
      </c>
      <c r="BI143" s="188">
        <f>opex_orig!BA143</f>
        <v>1.4771900000000001E-4</v>
      </c>
      <c r="BJ143" s="188">
        <f>opex_orig!BB143</f>
        <v>2.2347600000000001E-4</v>
      </c>
      <c r="BK143" s="188">
        <f>opex_orig!BC143</f>
        <v>3.5912299999999998E-4</v>
      </c>
      <c r="BL143" s="188">
        <f>opex_orig!BD143</f>
        <v>2.1399999999999998E-5</v>
      </c>
      <c r="BM143" s="188">
        <f>opex_orig!BE143</f>
        <v>5.1799999999999999E-5</v>
      </c>
      <c r="BN143" s="188">
        <f>opex_orig!BF143</f>
        <v>1.7799999999999999E-5</v>
      </c>
      <c r="BO143" s="188">
        <f>opex_orig!BG143</f>
        <v>8.8700000000000001E-5</v>
      </c>
      <c r="BP143" s="188">
        <f>opex_orig!$BH143</f>
        <v>1.20712569995955E-4</v>
      </c>
      <c r="BQ143" s="188">
        <f>opex_orig!$BH143</f>
        <v>1.20712569995955E-4</v>
      </c>
      <c r="BR143" s="188">
        <f>opex_orig!BI143</f>
        <v>1.70927E-4</v>
      </c>
      <c r="BS143" s="188">
        <f>opex_orig!BJ143</f>
        <v>6.5500000000000006E-5</v>
      </c>
      <c r="BT143" s="188">
        <f>opex_orig!BK143</f>
        <v>2.6389399999999998E-4</v>
      </c>
      <c r="BU143" s="188">
        <f>opex_orig!BL143</f>
        <v>0</v>
      </c>
      <c r="BV143" s="27">
        <f>opex_orig!BM143</f>
        <v>1.4435032833762899E-4</v>
      </c>
      <c r="BW143" s="27">
        <f>opex_orig!BN143</f>
        <v>7.14343498200954E-4</v>
      </c>
      <c r="BX143" s="27">
        <f>opex_orig!BO143</f>
        <v>1.49595826427949E-4</v>
      </c>
      <c r="BY143" s="27">
        <f>opex_orig!BP143</f>
        <v>5.9883256233951598E-4</v>
      </c>
      <c r="BZ143" s="27">
        <f>opex_orig!BQ143</f>
        <v>7.0810344800912995E-5</v>
      </c>
      <c r="CA143" s="27">
        <f>opex_orig!BR143</f>
        <v>8.1098978132677002E-6</v>
      </c>
      <c r="CB143" s="27">
        <f>opex_orig!BS143</f>
        <v>1.66361357976287E-4</v>
      </c>
      <c r="CC143" s="27">
        <f>opex_orig!BT143</f>
        <v>9.75790149970564E-4</v>
      </c>
      <c r="CD143" s="27">
        <f>opex_orig!BU143</f>
        <v>6.0979628860651099E-6</v>
      </c>
      <c r="CE143" s="27">
        <f>opex_orig!BV143</f>
        <v>6.0979628860651302E-6</v>
      </c>
      <c r="CF143" s="27">
        <f>opex_orig!BW143</f>
        <v>1.1610220052531901E-6</v>
      </c>
      <c r="CG143" s="27">
        <f>opex_orig!BX143</f>
        <v>7.4594929926488098E-6</v>
      </c>
      <c r="CH143" s="27">
        <f>opex_orig!BY143</f>
        <v>1.81300662326997E-6</v>
      </c>
      <c r="CI143" s="27">
        <f>opex_orig!Y143</f>
        <v>3.5599999999999998E-5</v>
      </c>
      <c r="CJ143" s="27">
        <f>opex_orig!Z143</f>
        <v>1.09067E-4</v>
      </c>
      <c r="CK143" s="27">
        <f>opex_orig!AA143</f>
        <v>3.9900000000000001E-5</v>
      </c>
      <c r="CL143" s="27">
        <f>opex_orig!AB143</f>
        <v>3.2498482502795903E-5</v>
      </c>
      <c r="CM143" s="27">
        <f>opex_orig!AC143</f>
        <v>2.5880470555588102E-3</v>
      </c>
      <c r="CN143" s="27">
        <f>opex_orig!AD143</f>
        <v>8.3627912108958898E-4</v>
      </c>
      <c r="CO143" s="27">
        <f>opex_orig!AE143</f>
        <v>6.6561099999999998E-4</v>
      </c>
      <c r="CP143" s="27">
        <f>opex_orig!AF143</f>
        <v>2.1672799999999999E-4</v>
      </c>
    </row>
    <row r="144" spans="1:94" x14ac:dyDescent="0.25">
      <c r="A144" s="6" t="s">
        <v>279</v>
      </c>
      <c r="B144" s="2" t="s">
        <v>278</v>
      </c>
      <c r="C144" s="1" t="s">
        <v>335</v>
      </c>
      <c r="D144" s="188">
        <f>opex_orig!D144</f>
        <v>2.7100000000000001E-5</v>
      </c>
      <c r="E144" s="188">
        <f>opex_orig!E144</f>
        <v>4.9499999999999997E-5</v>
      </c>
      <c r="F144" s="188">
        <f>opex_orig!F144</f>
        <v>8.4400000000000005E-6</v>
      </c>
      <c r="G144" s="188">
        <f>opex_orig!G144</f>
        <v>2.6000000000000001E-6</v>
      </c>
      <c r="H144" s="188">
        <f>opex_orig!H144</f>
        <v>4.9899999999999997E-6</v>
      </c>
      <c r="I144" s="188">
        <f>opex_orig!I144</f>
        <v>4.6600000000000001E-5</v>
      </c>
      <c r="J144" s="188">
        <f>opex_orig!J144</f>
        <v>2.4899999999999999E-5</v>
      </c>
      <c r="K144" s="188">
        <f>opex_orig!K144</f>
        <v>7.7300000000000005E-6</v>
      </c>
      <c r="L144" s="188">
        <f>opex_orig!L144</f>
        <v>5.9899999999999999E-5</v>
      </c>
      <c r="M144" s="188">
        <f>opex_orig!M144</f>
        <v>1.75732E-4</v>
      </c>
      <c r="N144" s="188">
        <f>opex_orig!N144</f>
        <v>3.1203600000000002E-4</v>
      </c>
      <c r="O144" s="188">
        <f>opex_orig!O144</f>
        <v>7.1699999999999995E-5</v>
      </c>
      <c r="P144" s="188">
        <f>opex_orig!P144</f>
        <v>5.1199999999999998E-5</v>
      </c>
      <c r="Q144" s="188">
        <f>opex_orig!Q144</f>
        <v>1.0900000000000001E-5</v>
      </c>
      <c r="R144" s="188">
        <f>opex_orig!R144</f>
        <v>4.6299999999999997E-6</v>
      </c>
      <c r="S144" s="188">
        <f>opex_orig!S144</f>
        <v>1.4100000000000001E-5</v>
      </c>
      <c r="T144" s="188">
        <f>opex_orig!T144</f>
        <v>1.1E-5</v>
      </c>
      <c r="U144" s="188">
        <f>opex_orig!U144</f>
        <v>1.3255600000000001E-4</v>
      </c>
      <c r="V144" s="188">
        <f>opex_orig!V144</f>
        <v>2.1290999999999999E-4</v>
      </c>
      <c r="W144" s="188">
        <f>opex_orig!W144</f>
        <v>4.0200000000000001E-5</v>
      </c>
      <c r="X144" s="188">
        <f>opex_orig!X144</f>
        <v>1.2799999999999999E-5</v>
      </c>
      <c r="Y144" s="188">
        <f>opex_orig!Y144</f>
        <v>1.1E-5</v>
      </c>
      <c r="Z144" s="188">
        <f>opex_orig!Z144</f>
        <v>3.8000000000000002E-5</v>
      </c>
      <c r="AA144" s="188">
        <f>opex_orig!AA144</f>
        <v>2.2900000000000001E-5</v>
      </c>
      <c r="AB144" s="188">
        <f>opex_orig!$AB144</f>
        <v>2.6276194728761701E-5</v>
      </c>
      <c r="AC144" s="188">
        <f>opex_orig!$AB144</f>
        <v>2.6276194728761701E-5</v>
      </c>
      <c r="AD144" s="188">
        <f>opex_orig!$AB144</f>
        <v>2.6276194728761701E-5</v>
      </c>
      <c r="AE144" s="188">
        <f>opex_orig!$AC144</f>
        <v>1.1296942913681101E-3</v>
      </c>
      <c r="AF144" s="188">
        <f>opex_orig!$AD144</f>
        <v>3.88593520839776E-4</v>
      </c>
      <c r="AG144" s="188">
        <f>opex_orig!$AD144</f>
        <v>3.88593520839776E-4</v>
      </c>
      <c r="AH144" s="188">
        <f>opex_orig!$AD144</f>
        <v>3.88593520839776E-4</v>
      </c>
      <c r="AI144" s="188">
        <f>opex_orig!AE144</f>
        <v>3.1760000000000002E-4</v>
      </c>
      <c r="AJ144" s="188">
        <f>opex_orig!AF144</f>
        <v>8.9599999999999996E-5</v>
      </c>
      <c r="AK144" s="188">
        <f>opex_orig!AG144</f>
        <v>1.36E-5</v>
      </c>
      <c r="AL144" s="188">
        <f>opex_orig!AH144</f>
        <v>1.8700000000000001E-5</v>
      </c>
      <c r="AM144" s="188">
        <f>opex_orig!AI144</f>
        <v>1.7799999999999999E-5</v>
      </c>
      <c r="AN144" s="188">
        <f>opex_orig!AJ144</f>
        <v>3.4100000000000002E-5</v>
      </c>
      <c r="AO144" s="188">
        <f>opex_orig!AK144</f>
        <v>2.09E-5</v>
      </c>
      <c r="AP144" s="284">
        <f>opex_concordance!M428</f>
        <v>4.9132521427501298E-5</v>
      </c>
      <c r="AQ144" s="284">
        <f>opex_concordance!M482</f>
        <v>3.2664626284496646E-5</v>
      </c>
      <c r="AR144" s="284">
        <f>opex_concordance!M536</f>
        <v>0</v>
      </c>
      <c r="AS144" s="188">
        <f>opex_orig!$AM144</f>
        <v>1.92403201310627E-5</v>
      </c>
      <c r="AT144" s="188">
        <f>opex_orig!AN144</f>
        <v>5.77E-5</v>
      </c>
      <c r="AU144" s="188">
        <f>opex_orig!$AO144</f>
        <v>6.42234940550313E-5</v>
      </c>
      <c r="AV144" s="188">
        <f>opex_orig!$AO144</f>
        <v>6.42234940550313E-5</v>
      </c>
      <c r="AW144" s="188">
        <f>opex_orig!$AO144</f>
        <v>6.42234940550313E-5</v>
      </c>
      <c r="AX144" s="188">
        <f>opex_orig!$AP144</f>
        <v>1.09189318881042E-4</v>
      </c>
      <c r="AY144" s="188">
        <f>opex_orig!AQ144</f>
        <v>1.2435500000000001E-4</v>
      </c>
      <c r="AZ144" s="188">
        <f>opex_orig!AR144</f>
        <v>0</v>
      </c>
      <c r="BA144" s="188">
        <f>opex_orig!AS144</f>
        <v>7.0199999999999999E-5</v>
      </c>
      <c r="BB144" s="188">
        <f>opex_orig!AT144</f>
        <v>4.3900000000000003E-5</v>
      </c>
      <c r="BC144" s="188">
        <f>opex_orig!AU144</f>
        <v>1.15E-5</v>
      </c>
      <c r="BD144" s="188">
        <f>opex_orig!AV144</f>
        <v>9.55E-6</v>
      </c>
      <c r="BE144" s="188">
        <f>opex_orig!AW144</f>
        <v>8.42E-5</v>
      </c>
      <c r="BF144" s="188">
        <f>opex_orig!AX144</f>
        <v>0</v>
      </c>
      <c r="BG144" s="188">
        <f>opex_orig!AY144</f>
        <v>4.5200000000000001E-5</v>
      </c>
      <c r="BH144" s="188">
        <f>opex_orig!AZ144</f>
        <v>0</v>
      </c>
      <c r="BI144" s="188">
        <f>opex_orig!BA144</f>
        <v>6.4399999999999993E-5</v>
      </c>
      <c r="BJ144" s="188">
        <f>opex_orig!BB144</f>
        <v>1.05719E-4</v>
      </c>
      <c r="BK144" s="188">
        <f>opex_orig!BC144</f>
        <v>1.69452E-4</v>
      </c>
      <c r="BL144" s="188">
        <f>opex_orig!BD144</f>
        <v>8.9900000000000003E-6</v>
      </c>
      <c r="BM144" s="188">
        <f>opex_orig!BE144</f>
        <v>2.02E-5</v>
      </c>
      <c r="BN144" s="188">
        <f>opex_orig!BF144</f>
        <v>6.7000000000000002E-6</v>
      </c>
      <c r="BO144" s="188">
        <f>opex_orig!BG144</f>
        <v>3.26E-5</v>
      </c>
      <c r="BP144" s="188">
        <f>opex_orig!$BH144</f>
        <v>5.68255332116226E-5</v>
      </c>
      <c r="BQ144" s="188">
        <f>opex_orig!$BH144</f>
        <v>5.68255332116226E-5</v>
      </c>
      <c r="BR144" s="188">
        <f>opex_orig!BI144</f>
        <v>8.0500000000000005E-5</v>
      </c>
      <c r="BS144" s="188">
        <f>opex_orig!BJ144</f>
        <v>2.41E-5</v>
      </c>
      <c r="BT144" s="188">
        <f>opex_orig!BK144</f>
        <v>9.59E-5</v>
      </c>
      <c r="BU144" s="188">
        <f>opex_orig!BL144</f>
        <v>0</v>
      </c>
      <c r="BV144" s="27">
        <f>opex_orig!BM144</f>
        <v>6.8776520887602494E-5</v>
      </c>
      <c r="BW144" s="27">
        <f>opex_orig!BN144</f>
        <v>3.1261948121059197E-4</v>
      </c>
      <c r="BX144" s="27">
        <f>opex_orig!BO144</f>
        <v>7.2517876183122499E-5</v>
      </c>
      <c r="BY144" s="27">
        <f>opex_orig!BP144</f>
        <v>2.5771341926903899E-4</v>
      </c>
      <c r="BZ144" s="27">
        <f>opex_orig!BQ144</f>
        <v>4.1690910931073E-5</v>
      </c>
      <c r="CA144" s="27">
        <f>opex_orig!BR144</f>
        <v>7.9375622120396392E-6</v>
      </c>
      <c r="CB144" s="27">
        <f>opex_orig!BS144</f>
        <v>1.5149455839243801E-4</v>
      </c>
      <c r="CC144" s="27">
        <f>opex_orig!BT144</f>
        <v>1.7371977739871901E-3</v>
      </c>
      <c r="CD144" s="27">
        <f>opex_orig!BU144</f>
        <v>1.36252964352462E-6</v>
      </c>
      <c r="CE144" s="27">
        <f>opex_orig!BV144</f>
        <v>1.36252964352462E-6</v>
      </c>
      <c r="CF144" s="27">
        <f>opex_orig!BW144</f>
        <v>2.8233739262875101E-7</v>
      </c>
      <c r="CG144" s="27">
        <f>opex_orig!BX144</f>
        <v>4.6562959418414199E-6</v>
      </c>
      <c r="CH144" s="27">
        <f>opex_orig!BY144</f>
        <v>2.0528902133965599E-6</v>
      </c>
      <c r="CI144" s="27">
        <f>opex_orig!Y144</f>
        <v>1.1E-5</v>
      </c>
      <c r="CJ144" s="27">
        <f>opex_orig!Z144</f>
        <v>3.8000000000000002E-5</v>
      </c>
      <c r="CK144" s="27">
        <f>opex_orig!AA144</f>
        <v>2.2900000000000001E-5</v>
      </c>
      <c r="CL144" s="27">
        <f>opex_orig!AB144</f>
        <v>2.6276194728761701E-5</v>
      </c>
      <c r="CM144" s="27">
        <f>opex_orig!AC144</f>
        <v>1.1296942913681101E-3</v>
      </c>
      <c r="CN144" s="27">
        <f>opex_orig!AD144</f>
        <v>3.88593520839776E-4</v>
      </c>
      <c r="CO144" s="27">
        <f>opex_orig!AE144</f>
        <v>3.1760000000000002E-4</v>
      </c>
      <c r="CP144" s="27">
        <f>opex_orig!AF144</f>
        <v>8.9599999999999996E-5</v>
      </c>
    </row>
    <row r="145" spans="1:94" x14ac:dyDescent="0.25">
      <c r="A145" s="6" t="s">
        <v>281</v>
      </c>
      <c r="B145" s="2" t="s">
        <v>280</v>
      </c>
      <c r="C145" s="1" t="s">
        <v>335</v>
      </c>
      <c r="D145" s="188">
        <f>opex_orig!D145</f>
        <v>1.6720400000000001E-4</v>
      </c>
      <c r="E145" s="188">
        <f>opex_orig!E145</f>
        <v>1.76157E-4</v>
      </c>
      <c r="F145" s="188">
        <f>opex_orig!F145</f>
        <v>2.7800000000000001E-5</v>
      </c>
      <c r="G145" s="188">
        <f>opex_orig!G145</f>
        <v>6.2400000000000004E-6</v>
      </c>
      <c r="H145" s="188">
        <f>opex_orig!H145</f>
        <v>1.0200000000000001E-5</v>
      </c>
      <c r="I145" s="188">
        <f>opex_orig!I145</f>
        <v>1.1409900000000001E-4</v>
      </c>
      <c r="J145" s="188">
        <f>opex_orig!J145</f>
        <v>9.2399999999999996E-5</v>
      </c>
      <c r="K145" s="188">
        <f>opex_orig!K145</f>
        <v>1.66E-5</v>
      </c>
      <c r="L145" s="188">
        <f>opex_orig!L145</f>
        <v>1.4626299999999999E-4</v>
      </c>
      <c r="M145" s="188">
        <f>opex_orig!M145</f>
        <v>3.9986500000000001E-4</v>
      </c>
      <c r="N145" s="188">
        <f>opex_orig!N145</f>
        <v>1.122191E-3</v>
      </c>
      <c r="O145" s="188">
        <f>opex_orig!O145</f>
        <v>2.9440500000000002E-4</v>
      </c>
      <c r="P145" s="188">
        <f>opex_orig!P145</f>
        <v>1.34714E-4</v>
      </c>
      <c r="Q145" s="188">
        <f>opex_orig!Q145</f>
        <v>2.16E-5</v>
      </c>
      <c r="R145" s="188">
        <f>opex_orig!R145</f>
        <v>1.84E-5</v>
      </c>
      <c r="S145" s="188">
        <f>opex_orig!S145</f>
        <v>4.2400000000000001E-5</v>
      </c>
      <c r="T145" s="188">
        <f>opex_orig!T145</f>
        <v>2.2099999999999998E-5</v>
      </c>
      <c r="U145" s="188">
        <f>opex_orig!U145</f>
        <v>3.3162000000000003E-4</v>
      </c>
      <c r="V145" s="188">
        <f>opex_orig!V145</f>
        <v>6.3807299999999996E-4</v>
      </c>
      <c r="W145" s="188">
        <f>opex_orig!W145</f>
        <v>1.10029E-4</v>
      </c>
      <c r="X145" s="188">
        <f>opex_orig!X145</f>
        <v>4.85E-5</v>
      </c>
      <c r="Y145" s="188">
        <f>opex_orig!Y145</f>
        <v>2.69E-5</v>
      </c>
      <c r="Z145" s="188">
        <f>opex_orig!Z145</f>
        <v>1.02124E-4</v>
      </c>
      <c r="AA145" s="188">
        <f>opex_orig!AA145</f>
        <v>5.5099999999999998E-5</v>
      </c>
      <c r="AB145" s="188">
        <f>opex_orig!$AB145</f>
        <v>3.2522581951519903E-5</v>
      </c>
      <c r="AC145" s="188">
        <f>opex_orig!$AB145</f>
        <v>3.2522581951519903E-5</v>
      </c>
      <c r="AD145" s="188">
        <f>opex_orig!$AB145</f>
        <v>3.2522581951519903E-5</v>
      </c>
      <c r="AE145" s="188">
        <f>opex_orig!$AC145</f>
        <v>4.1264233017965397E-3</v>
      </c>
      <c r="AF145" s="188">
        <f>opex_orig!$AD145</f>
        <v>1.0647293888047E-3</v>
      </c>
      <c r="AG145" s="188">
        <f>opex_orig!$AD145</f>
        <v>1.0647293888047E-3</v>
      </c>
      <c r="AH145" s="188">
        <f>opex_orig!$AD145</f>
        <v>1.0647293888047E-3</v>
      </c>
      <c r="AI145" s="188">
        <f>opex_orig!AE145</f>
        <v>7.75546E-4</v>
      </c>
      <c r="AJ145" s="188">
        <f>opex_orig!AF145</f>
        <v>2.12969E-4</v>
      </c>
      <c r="AK145" s="188">
        <f>opex_orig!AG145</f>
        <v>4.1399999999999997E-5</v>
      </c>
      <c r="AL145" s="188">
        <f>opex_orig!AH145</f>
        <v>6.5900000000000003E-5</v>
      </c>
      <c r="AM145" s="188">
        <f>opex_orig!AI145</f>
        <v>4.2500000000000003E-5</v>
      </c>
      <c r="AN145" s="188">
        <f>opex_orig!AJ145</f>
        <v>1.26568E-4</v>
      </c>
      <c r="AO145" s="188">
        <f>opex_orig!AK145</f>
        <v>5.13E-5</v>
      </c>
      <c r="AP145" s="284">
        <f>opex_concordance!M429</f>
        <v>1.5809233314637101E-4</v>
      </c>
      <c r="AQ145" s="284">
        <f>opex_concordance!M483</f>
        <v>1.0510404983571334E-4</v>
      </c>
      <c r="AR145" s="284">
        <f>opex_concordance!M537</f>
        <v>0</v>
      </c>
      <c r="AS145" s="188">
        <f>opex_orig!$AM145</f>
        <v>4.8385898280453403E-5</v>
      </c>
      <c r="AT145" s="188">
        <f>opex_orig!AN145</f>
        <v>1.6749199999999999E-4</v>
      </c>
      <c r="AU145" s="188">
        <f>opex_orig!$AO145</f>
        <v>2.2163692143224899E-4</v>
      </c>
      <c r="AV145" s="188">
        <f>opex_orig!$AO145</f>
        <v>2.2163692143224899E-4</v>
      </c>
      <c r="AW145" s="188">
        <f>opex_orig!$AO145</f>
        <v>2.2163692143224899E-4</v>
      </c>
      <c r="AX145" s="188">
        <f>opex_orig!$AP145</f>
        <v>3.6544321876864498E-4</v>
      </c>
      <c r="AY145" s="188">
        <f>opex_orig!AQ145</f>
        <v>4.2670799999999998E-4</v>
      </c>
      <c r="AZ145" s="188">
        <f>opex_orig!AR145</f>
        <v>0</v>
      </c>
      <c r="BA145" s="188">
        <f>opex_orig!AS145</f>
        <v>2.7539900000000001E-4</v>
      </c>
      <c r="BB145" s="188">
        <f>opex_orig!AT145</f>
        <v>1.9863699999999999E-4</v>
      </c>
      <c r="BC145" s="188">
        <f>opex_orig!AU145</f>
        <v>2.5000000000000001E-5</v>
      </c>
      <c r="BD145" s="188">
        <f>opex_orig!AV145</f>
        <v>1.9599999999999999E-5</v>
      </c>
      <c r="BE145" s="188">
        <f>opex_orig!AW145</f>
        <v>3.1157899999999998E-4</v>
      </c>
      <c r="BF145" s="188">
        <f>opex_orig!AX145</f>
        <v>0</v>
      </c>
      <c r="BG145" s="188">
        <f>opex_orig!AY145</f>
        <v>1.2319800000000001E-4</v>
      </c>
      <c r="BH145" s="188">
        <f>opex_orig!AZ145</f>
        <v>0</v>
      </c>
      <c r="BI145" s="188">
        <f>opex_orig!BA145</f>
        <v>1.76133E-4</v>
      </c>
      <c r="BJ145" s="188">
        <f>opex_orig!BB145</f>
        <v>2.1942399999999999E-4</v>
      </c>
      <c r="BK145" s="188">
        <f>opex_orig!BC145</f>
        <v>3.4939200000000002E-4</v>
      </c>
      <c r="BL145" s="188">
        <f>opex_orig!BD145</f>
        <v>3.7400000000000001E-5</v>
      </c>
      <c r="BM145" s="188">
        <f>opex_orig!BE145</f>
        <v>5.0599999999999997E-5</v>
      </c>
      <c r="BN145" s="188">
        <f>opex_orig!BF145</f>
        <v>2.5599999999999999E-5</v>
      </c>
      <c r="BO145" s="188">
        <f>opex_orig!BG145</f>
        <v>8.7000000000000001E-5</v>
      </c>
      <c r="BP145" s="188">
        <f>opex_orig!$BH145</f>
        <v>1.2382905040129999E-4</v>
      </c>
      <c r="BQ145" s="188">
        <f>opex_orig!$BH145</f>
        <v>1.2382905040129999E-4</v>
      </c>
      <c r="BR145" s="188">
        <f>opex_orig!BI145</f>
        <v>1.8370100000000001E-4</v>
      </c>
      <c r="BS145" s="188">
        <f>opex_orig!BJ145</f>
        <v>7.1899999999999999E-5</v>
      </c>
      <c r="BT145" s="188">
        <f>opex_orig!BK145</f>
        <v>3.5830500000000001E-4</v>
      </c>
      <c r="BU145" s="188">
        <f>opex_orig!BL145</f>
        <v>0</v>
      </c>
      <c r="BV145" s="27">
        <f>opex_orig!BM145</f>
        <v>1.7480490318179501E-4</v>
      </c>
      <c r="BW145" s="27">
        <f>opex_orig!BN145</f>
        <v>1.13162057853957E-3</v>
      </c>
      <c r="BX145" s="27">
        <f>opex_orig!BO145</f>
        <v>1.7459468186405299E-4</v>
      </c>
      <c r="BY145" s="27">
        <f>opex_orig!BP145</f>
        <v>9.914149881881391E-4</v>
      </c>
      <c r="BZ145" s="27">
        <f>opex_orig!BQ145</f>
        <v>7.4047444777351496E-5</v>
      </c>
      <c r="CA145" s="27">
        <f>opex_orig!BR145</f>
        <v>1.29041479310644E-5</v>
      </c>
      <c r="CB145" s="27">
        <f>opex_orig!BS145</f>
        <v>1.7116340292651499E-4</v>
      </c>
      <c r="CC145" s="27">
        <f>opex_orig!BT145</f>
        <v>5.1950850008415702E-3</v>
      </c>
      <c r="CD145" s="27">
        <f>opex_orig!BU145</f>
        <v>1.00130812514957E-5</v>
      </c>
      <c r="CE145" s="27">
        <f>opex_orig!BV145</f>
        <v>1.00130812514957E-5</v>
      </c>
      <c r="CF145" s="27">
        <f>opex_orig!BW145</f>
        <v>1.72155306224222E-6</v>
      </c>
      <c r="CG145" s="27">
        <f>opex_orig!BX145</f>
        <v>8.2575287423926993E-6</v>
      </c>
      <c r="CH145" s="27">
        <f>opex_orig!BY145</f>
        <v>2.2159292229306598E-6</v>
      </c>
      <c r="CI145" s="27">
        <f>opex_orig!Y145</f>
        <v>2.69E-5</v>
      </c>
      <c r="CJ145" s="27">
        <f>opex_orig!Z145</f>
        <v>1.02124E-4</v>
      </c>
      <c r="CK145" s="27">
        <f>opex_orig!AA145</f>
        <v>5.5099999999999998E-5</v>
      </c>
      <c r="CL145" s="27">
        <f>opex_orig!AB145</f>
        <v>3.2522581951519903E-5</v>
      </c>
      <c r="CM145" s="27">
        <f>opex_orig!AC145</f>
        <v>4.1264233017965397E-3</v>
      </c>
      <c r="CN145" s="27">
        <f>opex_orig!AD145</f>
        <v>1.0647293888047E-3</v>
      </c>
      <c r="CO145" s="27">
        <f>opex_orig!AE145</f>
        <v>7.75546E-4</v>
      </c>
      <c r="CP145" s="27">
        <f>opex_orig!AF145</f>
        <v>2.12969E-4</v>
      </c>
    </row>
    <row r="146" spans="1:94" x14ac:dyDescent="0.25">
      <c r="A146" s="6" t="s">
        <v>283</v>
      </c>
      <c r="B146" s="2" t="s">
        <v>282</v>
      </c>
      <c r="C146" s="1" t="s">
        <v>335</v>
      </c>
      <c r="D146" s="188">
        <f>opex_orig!D146</f>
        <v>2.44E-5</v>
      </c>
      <c r="E146" s="188">
        <f>opex_orig!E146</f>
        <v>2.9499999999999999E-5</v>
      </c>
      <c r="F146" s="188">
        <f>opex_orig!F146</f>
        <v>5.9699999999999996E-6</v>
      </c>
      <c r="G146" s="188">
        <f>opex_orig!G146</f>
        <v>1.81E-6</v>
      </c>
      <c r="H146" s="188">
        <f>opex_orig!H146</f>
        <v>8.2399999999999997E-7</v>
      </c>
      <c r="I146" s="188">
        <f>opex_orig!I146</f>
        <v>2.5599999999999999E-5</v>
      </c>
      <c r="J146" s="188">
        <f>opex_orig!J146</f>
        <v>2.58E-5</v>
      </c>
      <c r="K146" s="188">
        <f>opex_orig!K146</f>
        <v>5.75E-6</v>
      </c>
      <c r="L146" s="188">
        <f>opex_orig!L146</f>
        <v>3.0599999999999998E-5</v>
      </c>
      <c r="M146" s="188">
        <f>opex_orig!M146</f>
        <v>8.8200000000000003E-5</v>
      </c>
      <c r="N146" s="188">
        <f>opex_orig!N146</f>
        <v>4.1E-5</v>
      </c>
      <c r="O146" s="188">
        <f>opex_orig!O146</f>
        <v>2.3900000000000002E-5</v>
      </c>
      <c r="P146" s="188">
        <f>opex_orig!P146</f>
        <v>3.1399999999999998E-5</v>
      </c>
      <c r="Q146" s="188">
        <f>opex_orig!Q146</f>
        <v>1.01E-5</v>
      </c>
      <c r="R146" s="188">
        <f>opex_orig!R146</f>
        <v>4.5700000000000003E-6</v>
      </c>
      <c r="S146" s="188">
        <f>opex_orig!S146</f>
        <v>6.9600000000000003E-6</v>
      </c>
      <c r="T146" s="188">
        <f>opex_orig!T146</f>
        <v>1.0000000000000001E-5</v>
      </c>
      <c r="U146" s="188">
        <f>opex_orig!U146</f>
        <v>7.86E-5</v>
      </c>
      <c r="V146" s="188">
        <f>opex_orig!V146</f>
        <v>1.19879E-4</v>
      </c>
      <c r="W146" s="188">
        <f>opex_orig!W146</f>
        <v>2.2799999999999999E-5</v>
      </c>
      <c r="X146" s="188">
        <f>opex_orig!X146</f>
        <v>5.84E-6</v>
      </c>
      <c r="Y146" s="188">
        <f>opex_orig!Y146</f>
        <v>9.6199999999999994E-6</v>
      </c>
      <c r="Z146" s="188">
        <f>opex_orig!Z146</f>
        <v>2.5999999999999998E-5</v>
      </c>
      <c r="AA146" s="188">
        <f>opex_orig!AA146</f>
        <v>2.09E-5</v>
      </c>
      <c r="AB146" s="188">
        <f>opex_orig!$AB146</f>
        <v>1.5648001352756201E-5</v>
      </c>
      <c r="AC146" s="188">
        <f>opex_orig!$AB146</f>
        <v>1.5648001352756201E-5</v>
      </c>
      <c r="AD146" s="188">
        <f>opex_orig!$AB146</f>
        <v>1.5648001352756201E-5</v>
      </c>
      <c r="AE146" s="188">
        <f>opex_orig!$AC146</f>
        <v>1.11934697852692E-4</v>
      </c>
      <c r="AF146" s="188">
        <f>opex_orig!$AD146</f>
        <v>2.0235943989805401E-4</v>
      </c>
      <c r="AG146" s="188">
        <f>opex_orig!$AD146</f>
        <v>2.0235943989805401E-4</v>
      </c>
      <c r="AH146" s="188">
        <f>opex_orig!$AD146</f>
        <v>2.0235943989805401E-4</v>
      </c>
      <c r="AI146" s="188">
        <f>opex_orig!AE146</f>
        <v>1.58956E-4</v>
      </c>
      <c r="AJ146" s="188">
        <f>opex_orig!AF146</f>
        <v>4.9299999999999999E-5</v>
      </c>
      <c r="AK146" s="188">
        <f>opex_orig!AG146</f>
        <v>8.8899999999999996E-6</v>
      </c>
      <c r="AL146" s="188">
        <f>opex_orig!AH146</f>
        <v>1.1800000000000001E-5</v>
      </c>
      <c r="AM146" s="188">
        <f>opex_orig!AI146</f>
        <v>1.2099999999999999E-5</v>
      </c>
      <c r="AN146" s="188">
        <f>opex_orig!AJ146</f>
        <v>5.6799999999999998E-6</v>
      </c>
      <c r="AO146" s="188">
        <f>opex_orig!AK146</f>
        <v>1.2500000000000001E-5</v>
      </c>
      <c r="AP146" s="284">
        <f>opex_concordance!M430</f>
        <v>3.0744996846169401E-5</v>
      </c>
      <c r="AQ146" s="284">
        <f>opex_concordance!M484</f>
        <v>2.0440103681225325E-5</v>
      </c>
      <c r="AR146" s="284">
        <f>opex_concordance!M538</f>
        <v>0</v>
      </c>
      <c r="AS146" s="188">
        <f>opex_orig!$AM146</f>
        <v>1.1415543674242001E-5</v>
      </c>
      <c r="AT146" s="188">
        <f>opex_orig!AN146</f>
        <v>3.5299999999999997E-5</v>
      </c>
      <c r="AU146" s="188">
        <f>opex_orig!$AO146</f>
        <v>3.81666819874706E-5</v>
      </c>
      <c r="AV146" s="188">
        <f>opex_orig!$AO146</f>
        <v>3.81666819874706E-5</v>
      </c>
      <c r="AW146" s="188">
        <f>opex_orig!$AO146</f>
        <v>3.81666819874706E-5</v>
      </c>
      <c r="AX146" s="188">
        <f>opex_orig!$AP146</f>
        <v>6.6782222505662805E-5</v>
      </c>
      <c r="AY146" s="188">
        <f>opex_orig!AQ146</f>
        <v>7.3499999999999998E-5</v>
      </c>
      <c r="AZ146" s="188">
        <f>opex_orig!AR146</f>
        <v>0</v>
      </c>
      <c r="BA146" s="188">
        <f>opex_orig!AS146</f>
        <v>2.3600000000000001E-5</v>
      </c>
      <c r="BB146" s="188">
        <f>opex_orig!AT146</f>
        <v>3.0499999999999999E-5</v>
      </c>
      <c r="BC146" s="188">
        <f>opex_orig!AU146</f>
        <v>5.7400000000000001E-6</v>
      </c>
      <c r="BD146" s="188">
        <f>opex_orig!AV146</f>
        <v>4.6399999999999996E-6</v>
      </c>
      <c r="BE146" s="188">
        <f>opex_orig!AW146</f>
        <v>5.13E-5</v>
      </c>
      <c r="BF146" s="188">
        <f>opex_orig!AX146</f>
        <v>0</v>
      </c>
      <c r="BG146" s="188">
        <f>opex_orig!AY146</f>
        <v>1.27E-5</v>
      </c>
      <c r="BH146" s="188">
        <f>opex_orig!AZ146</f>
        <v>0</v>
      </c>
      <c r="BI146" s="188">
        <f>opex_orig!BA146</f>
        <v>3.4100000000000002E-5</v>
      </c>
      <c r="BJ146" s="188">
        <f>opex_orig!BB146</f>
        <v>5.13E-5</v>
      </c>
      <c r="BK146" s="188">
        <f>opex_orig!BC146</f>
        <v>8.2200000000000006E-5</v>
      </c>
      <c r="BL146" s="188">
        <f>opex_orig!BD146</f>
        <v>5.1900000000000003E-6</v>
      </c>
      <c r="BM146" s="188">
        <f>opex_orig!BE146</f>
        <v>1.2E-5</v>
      </c>
      <c r="BN146" s="188">
        <f>opex_orig!BF146</f>
        <v>4.7700000000000001E-6</v>
      </c>
      <c r="BO146" s="188">
        <f>opex_orig!BG146</f>
        <v>2.0999999999999999E-5</v>
      </c>
      <c r="BP146" s="188">
        <f>opex_orig!$BH146</f>
        <v>2.7689956282423299E-5</v>
      </c>
      <c r="BQ146" s="188">
        <f>opex_orig!$BH146</f>
        <v>2.7689956282423299E-5</v>
      </c>
      <c r="BR146" s="188">
        <f>opex_orig!BI146</f>
        <v>3.96E-5</v>
      </c>
      <c r="BS146" s="188">
        <f>opex_orig!BJ146</f>
        <v>1.52E-5</v>
      </c>
      <c r="BT146" s="188">
        <f>opex_orig!BK146</f>
        <v>6.02E-5</v>
      </c>
      <c r="BU146" s="188">
        <f>opex_orig!BL146</f>
        <v>0</v>
      </c>
      <c r="BV146" s="27">
        <f>opex_orig!BM146</f>
        <v>3.3642282720215702E-5</v>
      </c>
      <c r="BW146" s="27">
        <f>opex_orig!BN146</f>
        <v>1.8476862176250501E-4</v>
      </c>
      <c r="BX146" s="27">
        <f>opex_orig!BO146</f>
        <v>3.5611587615944599E-5</v>
      </c>
      <c r="BY146" s="27">
        <f>opex_orig!BP146</f>
        <v>1.57129671573601E-5</v>
      </c>
      <c r="BZ146" s="27">
        <f>opex_orig!BQ146</f>
        <v>2.75368899318521E-5</v>
      </c>
      <c r="CA146" s="27">
        <f>opex_orig!BR146</f>
        <v>1.53378372566094E-6</v>
      </c>
      <c r="CB146" s="27">
        <f>opex_orig!BS146</f>
        <v>1.34814709809548E-4</v>
      </c>
      <c r="CC146" s="27">
        <f>opex_orig!BT146</f>
        <v>1.7200415046981401E-4</v>
      </c>
      <c r="CD146" s="27">
        <f>opex_orig!BU146</f>
        <v>1.34590053272834E-6</v>
      </c>
      <c r="CE146" s="27">
        <f>opex_orig!BV146</f>
        <v>1.34590053272834E-6</v>
      </c>
      <c r="CF146" s="27">
        <f>opex_orig!BW146</f>
        <v>2.5762957422837099E-7</v>
      </c>
      <c r="CG146" s="27">
        <f>opex_orig!BX146</f>
        <v>3.2702837357668302E-6</v>
      </c>
      <c r="CH146" s="27">
        <f>opex_orig!BY146</f>
        <v>5.86207901803422E-8</v>
      </c>
      <c r="CI146" s="27">
        <f>opex_orig!Y146</f>
        <v>9.6199999999999994E-6</v>
      </c>
      <c r="CJ146" s="27">
        <f>opex_orig!Z146</f>
        <v>2.5999999999999998E-5</v>
      </c>
      <c r="CK146" s="27">
        <f>opex_orig!AA146</f>
        <v>2.09E-5</v>
      </c>
      <c r="CL146" s="27">
        <f>opex_orig!AB146</f>
        <v>1.5648001352756201E-5</v>
      </c>
      <c r="CM146" s="27">
        <f>opex_orig!AC146</f>
        <v>1.11934697852692E-4</v>
      </c>
      <c r="CN146" s="27">
        <f>opex_orig!AD146</f>
        <v>2.0235943989805401E-4</v>
      </c>
      <c r="CO146" s="27">
        <f>opex_orig!AE146</f>
        <v>1.58956E-4</v>
      </c>
      <c r="CP146" s="27">
        <f>opex_orig!AF146</f>
        <v>4.9299999999999999E-5</v>
      </c>
    </row>
    <row r="147" spans="1:94" x14ac:dyDescent="0.25">
      <c r="A147" s="6" t="s">
        <v>285</v>
      </c>
      <c r="B147" s="2" t="s">
        <v>284</v>
      </c>
      <c r="C147" s="1" t="s">
        <v>335</v>
      </c>
      <c r="D147" s="188">
        <f>opex_orig!D147</f>
        <v>3.1600000000000002E-5</v>
      </c>
      <c r="E147" s="188">
        <f>opex_orig!E147</f>
        <v>3.7499999999999997E-5</v>
      </c>
      <c r="F147" s="188">
        <f>opex_orig!F147</f>
        <v>6.9600000000000003E-6</v>
      </c>
      <c r="G147" s="188">
        <f>opex_orig!G147</f>
        <v>2.04E-6</v>
      </c>
      <c r="H147" s="188">
        <f>opex_orig!H147</f>
        <v>4.6999999999999999E-6</v>
      </c>
      <c r="I147" s="188">
        <f>opex_orig!I147</f>
        <v>3.3000000000000003E-5</v>
      </c>
      <c r="J147" s="188">
        <f>opex_orig!J147</f>
        <v>3.4799999999999999E-5</v>
      </c>
      <c r="K147" s="188">
        <f>opex_orig!K147</f>
        <v>6.2700000000000001E-6</v>
      </c>
      <c r="L147" s="188">
        <f>opex_orig!L147</f>
        <v>3.93E-5</v>
      </c>
      <c r="M147" s="188">
        <f>opex_orig!M147</f>
        <v>1.12781E-4</v>
      </c>
      <c r="N147" s="188">
        <f>opex_orig!N147</f>
        <v>2.3164E-4</v>
      </c>
      <c r="O147" s="188">
        <f>opex_orig!O147</f>
        <v>6.02E-5</v>
      </c>
      <c r="P147" s="188">
        <f>opex_orig!P147</f>
        <v>4.21E-5</v>
      </c>
      <c r="Q147" s="188">
        <f>opex_orig!Q147</f>
        <v>1.3699999999999999E-5</v>
      </c>
      <c r="R147" s="188">
        <f>opex_orig!R147</f>
        <v>5.4099999999999999E-6</v>
      </c>
      <c r="S147" s="188">
        <f>opex_orig!S147</f>
        <v>1.42E-5</v>
      </c>
      <c r="T147" s="188">
        <f>opex_orig!T147</f>
        <v>1.26E-5</v>
      </c>
      <c r="U147" s="188">
        <f>opex_orig!U147</f>
        <v>1.01722E-4</v>
      </c>
      <c r="V147" s="188">
        <f>opex_orig!V147</f>
        <v>1.5290900000000001E-4</v>
      </c>
      <c r="W147" s="188">
        <f>opex_orig!W147</f>
        <v>2.9600000000000001E-5</v>
      </c>
      <c r="X147" s="188">
        <f>opex_orig!X147</f>
        <v>1.24E-5</v>
      </c>
      <c r="Y147" s="188">
        <f>opex_orig!Y147</f>
        <v>1.24E-5</v>
      </c>
      <c r="Z147" s="188">
        <f>opex_orig!Z147</f>
        <v>3.4199999999999998E-5</v>
      </c>
      <c r="AA147" s="188">
        <f>opex_orig!AA147</f>
        <v>2.16E-5</v>
      </c>
      <c r="AB147" s="188">
        <f>opex_orig!$AB147</f>
        <v>1.52458046658861E-5</v>
      </c>
      <c r="AC147" s="188">
        <f>opex_orig!$AB147</f>
        <v>1.52458046658861E-5</v>
      </c>
      <c r="AD147" s="188">
        <f>opex_orig!$AB147</f>
        <v>1.52458046658861E-5</v>
      </c>
      <c r="AE147" s="188">
        <f>opex_orig!$AC147</f>
        <v>1.4275907378356799E-4</v>
      </c>
      <c r="AF147" s="188">
        <f>opex_orig!$AD147</f>
        <v>2.5685935897586999E-4</v>
      </c>
      <c r="AG147" s="188">
        <f>opex_orig!$AD147</f>
        <v>2.5685935897586999E-4</v>
      </c>
      <c r="AH147" s="188">
        <f>opex_orig!$AD147</f>
        <v>2.5685935897586999E-4</v>
      </c>
      <c r="AI147" s="188">
        <f>opex_orig!AE147</f>
        <v>2.0192300000000001E-4</v>
      </c>
      <c r="AJ147" s="188">
        <f>opex_orig!AF147</f>
        <v>6.4300000000000004E-5</v>
      </c>
      <c r="AK147" s="188">
        <f>opex_orig!AG147</f>
        <v>1.1800000000000001E-5</v>
      </c>
      <c r="AL147" s="188">
        <f>opex_orig!AH147</f>
        <v>1.5299999999999999E-5</v>
      </c>
      <c r="AM147" s="188">
        <f>opex_orig!AI147</f>
        <v>1.5800000000000001E-5</v>
      </c>
      <c r="AN147" s="188">
        <f>opex_orig!AJ147</f>
        <v>2.73E-5</v>
      </c>
      <c r="AO147" s="188">
        <f>opex_orig!AK147</f>
        <v>1.5500000000000001E-5</v>
      </c>
      <c r="AP147" s="284">
        <f>opex_concordance!M431</f>
        <v>3.9829477882566297E-5</v>
      </c>
      <c r="AQ147" s="284">
        <f>opex_concordance!M485</f>
        <v>2.6479711855626981E-5</v>
      </c>
      <c r="AR147" s="284">
        <f>opex_concordance!M539</f>
        <v>0</v>
      </c>
      <c r="AS147" s="188">
        <f>opex_orig!$AM147</f>
        <v>1.50239592426961E-5</v>
      </c>
      <c r="AT147" s="188">
        <f>opex_orig!AN147</f>
        <v>4.57E-5</v>
      </c>
      <c r="AU147" s="188">
        <f>opex_orig!$AO147</f>
        <v>4.9611908384660403E-5</v>
      </c>
      <c r="AV147" s="188">
        <f>opex_orig!$AO147</f>
        <v>4.9611908384660403E-5</v>
      </c>
      <c r="AW147" s="188">
        <f>opex_orig!$AO147</f>
        <v>4.9611908384660403E-5</v>
      </c>
      <c r="AX147" s="188">
        <f>opex_orig!$AP147</f>
        <v>8.5734260245084098E-5</v>
      </c>
      <c r="AY147" s="188">
        <f>opex_orig!AQ147</f>
        <v>9.3700000000000001E-5</v>
      </c>
      <c r="AZ147" s="188">
        <f>opex_orig!AR147</f>
        <v>0</v>
      </c>
      <c r="BA147" s="188">
        <f>opex_orig!AS147</f>
        <v>6.0800000000000001E-5</v>
      </c>
      <c r="BB147" s="188">
        <f>opex_orig!AT147</f>
        <v>3.9100000000000002E-5</v>
      </c>
      <c r="BC147" s="188">
        <f>opex_orig!AU147</f>
        <v>7.2899999999999997E-6</v>
      </c>
      <c r="BD147" s="188">
        <f>opex_orig!AV147</f>
        <v>5.8699999999999997E-6</v>
      </c>
      <c r="BE147" s="188">
        <f>opex_orig!AW147</f>
        <v>6.5199999999999999E-5</v>
      </c>
      <c r="BF147" s="188">
        <f>opex_orig!AX147</f>
        <v>0</v>
      </c>
      <c r="BG147" s="188">
        <f>opex_orig!AY147</f>
        <v>1.66E-5</v>
      </c>
      <c r="BH147" s="188">
        <f>opex_orig!AZ147</f>
        <v>0</v>
      </c>
      <c r="BI147" s="188">
        <f>opex_orig!BA147</f>
        <v>4.3800000000000001E-5</v>
      </c>
      <c r="BJ147" s="188">
        <f>opex_orig!BB147</f>
        <v>6.58E-5</v>
      </c>
      <c r="BK147" s="188">
        <f>opex_orig!BC147</f>
        <v>1.0553299999999999E-4</v>
      </c>
      <c r="BL147" s="188">
        <f>opex_orig!BD147</f>
        <v>6.8600000000000004E-6</v>
      </c>
      <c r="BM147" s="188">
        <f>opex_orig!BE147</f>
        <v>1.59E-5</v>
      </c>
      <c r="BN147" s="188">
        <f>opex_orig!BF147</f>
        <v>6.4999999999999996E-6</v>
      </c>
      <c r="BO147" s="188">
        <f>opex_orig!BG147</f>
        <v>2.7500000000000001E-5</v>
      </c>
      <c r="BP147" s="188">
        <f>opex_orig!$BH147</f>
        <v>3.5562747680392801E-5</v>
      </c>
      <c r="BQ147" s="188">
        <f>opex_orig!$BH147</f>
        <v>3.5562747680392801E-5</v>
      </c>
      <c r="BR147" s="188">
        <f>opex_orig!BI147</f>
        <v>5.0899999999999997E-5</v>
      </c>
      <c r="BS147" s="188">
        <f>opex_orig!BJ147</f>
        <v>2.0000000000000002E-5</v>
      </c>
      <c r="BT147" s="188">
        <f>opex_orig!BK147</f>
        <v>7.7299999999999995E-5</v>
      </c>
      <c r="BU147" s="188">
        <f>opex_orig!BL147</f>
        <v>0</v>
      </c>
      <c r="BV147" s="27">
        <f>opex_orig!BM147</f>
        <v>4.3719683304310201E-5</v>
      </c>
      <c r="BW147" s="27">
        <f>opex_orig!BN147</f>
        <v>2.3220458368928E-4</v>
      </c>
      <c r="BX147" s="27">
        <f>opex_orig!BO147</f>
        <v>4.5219309976742701E-5</v>
      </c>
      <c r="BY147" s="27">
        <f>opex_orig!BP147</f>
        <v>1.9357819924436999E-4</v>
      </c>
      <c r="BZ147" s="27">
        <f>opex_orig!BQ147</f>
        <v>2.9981196607720101E-5</v>
      </c>
      <c r="CA147" s="27">
        <f>opex_orig!BR147</f>
        <v>5.0164138031321796E-6</v>
      </c>
      <c r="CB147" s="27">
        <f>opex_orig!BS147</f>
        <v>1.34681836798255E-4</v>
      </c>
      <c r="CC147" s="27">
        <f>opex_orig!BT147</f>
        <v>3.3442825720528301E-4</v>
      </c>
      <c r="CD147" s="27">
        <f>opex_orig!BU147</f>
        <v>1.77282040800598E-6</v>
      </c>
      <c r="CE147" s="27">
        <f>opex_orig!BV147</f>
        <v>1.77282040800598E-6</v>
      </c>
      <c r="CF147" s="27">
        <f>opex_orig!BW147</f>
        <v>3.4009303322855798E-7</v>
      </c>
      <c r="CG147" s="27">
        <f>opex_orig!BX147</f>
        <v>4.0414081473989398E-6</v>
      </c>
      <c r="CH147" s="27">
        <f>opex_orig!BY147</f>
        <v>1.87612958051114E-6</v>
      </c>
      <c r="CI147" s="27">
        <f>opex_orig!Y147</f>
        <v>1.24E-5</v>
      </c>
      <c r="CJ147" s="27">
        <f>opex_orig!Z147</f>
        <v>3.4199999999999998E-5</v>
      </c>
      <c r="CK147" s="27">
        <f>opex_orig!AA147</f>
        <v>2.16E-5</v>
      </c>
      <c r="CL147" s="27">
        <f>opex_orig!AB147</f>
        <v>1.52458046658861E-5</v>
      </c>
      <c r="CM147" s="27">
        <f>opex_orig!AC147</f>
        <v>1.4275907378356799E-4</v>
      </c>
      <c r="CN147" s="27">
        <f>opex_orig!AD147</f>
        <v>2.5685935897586999E-4</v>
      </c>
      <c r="CO147" s="27">
        <f>opex_orig!AE147</f>
        <v>2.0192300000000001E-4</v>
      </c>
      <c r="CP147" s="27">
        <f>opex_orig!AF147</f>
        <v>6.4300000000000004E-5</v>
      </c>
    </row>
    <row r="148" spans="1:94" x14ac:dyDescent="0.25">
      <c r="A148" s="6" t="s">
        <v>287</v>
      </c>
      <c r="B148" s="2" t="s">
        <v>286</v>
      </c>
      <c r="C148" s="1" t="s">
        <v>335</v>
      </c>
      <c r="D148" s="188">
        <f>opex_orig!D148</f>
        <v>1.5517600000000001E-4</v>
      </c>
      <c r="E148" s="188">
        <f>opex_orig!E148</f>
        <v>6.3600000000000001E-5</v>
      </c>
      <c r="F148" s="188">
        <f>opex_orig!F148</f>
        <v>3.2499999999999997E-5</v>
      </c>
      <c r="G148" s="188">
        <f>opex_orig!G148</f>
        <v>7.2599999999999999E-6</v>
      </c>
      <c r="H148" s="188">
        <f>opex_orig!H148</f>
        <v>1.24E-5</v>
      </c>
      <c r="I148" s="188">
        <f>opex_orig!I148</f>
        <v>1.32356E-4</v>
      </c>
      <c r="J148" s="188">
        <f>opex_orig!J148</f>
        <v>1.7241500000000001E-4</v>
      </c>
      <c r="K148" s="188">
        <f>opex_orig!K148</f>
        <v>1.9599999999999999E-5</v>
      </c>
      <c r="L148" s="188">
        <f>opex_orig!L148</f>
        <v>2.1483900000000001E-4</v>
      </c>
      <c r="M148" s="188">
        <f>opex_orig!M148</f>
        <v>6.1291299999999998E-4</v>
      </c>
      <c r="N148" s="188">
        <f>opex_orig!N148</f>
        <v>2.4874000000000001E-4</v>
      </c>
      <c r="O148" s="188">
        <f>opex_orig!O148</f>
        <v>1.5157899999999999E-4</v>
      </c>
      <c r="P148" s="188">
        <f>opex_orig!P148</f>
        <v>1.6876200000000001E-4</v>
      </c>
      <c r="Q148" s="188">
        <f>opex_orig!Q148</f>
        <v>6.41E-5</v>
      </c>
      <c r="R148" s="188">
        <f>opex_orig!R148</f>
        <v>1.6799999999999998E-5</v>
      </c>
      <c r="S148" s="188">
        <f>opex_orig!S148</f>
        <v>4.6499999999999999E-5</v>
      </c>
      <c r="T148" s="188">
        <f>opex_orig!T148</f>
        <v>5.1100000000000002E-5</v>
      </c>
      <c r="U148" s="188">
        <f>opex_orig!U148</f>
        <v>3.2044499999999999E-4</v>
      </c>
      <c r="V148" s="188">
        <f>opex_orig!V148</f>
        <v>3.3275500000000001E-4</v>
      </c>
      <c r="W148" s="188">
        <f>opex_orig!W148</f>
        <v>9.8800000000000003E-5</v>
      </c>
      <c r="X148" s="188">
        <f>opex_orig!X148</f>
        <v>3.7599999999999999E-5</v>
      </c>
      <c r="Y148" s="188">
        <f>opex_orig!Y148</f>
        <v>5.4200000000000003E-5</v>
      </c>
      <c r="Z148" s="188">
        <f>opex_orig!Z148</f>
        <v>1.2278199999999999E-4</v>
      </c>
      <c r="AA148" s="188">
        <f>opex_orig!AA148</f>
        <v>5.0699999999999999E-5</v>
      </c>
      <c r="AB148" s="188">
        <f>opex_orig!$AB148</f>
        <v>4.6373012035470702E-5</v>
      </c>
      <c r="AC148" s="188">
        <f>opex_orig!$AB148</f>
        <v>4.6373012035470702E-5</v>
      </c>
      <c r="AD148" s="188">
        <f>opex_orig!$AB148</f>
        <v>4.6373012035470702E-5</v>
      </c>
      <c r="AE148" s="188">
        <f>opex_orig!$AC148</f>
        <v>6.6843420978802102E-4</v>
      </c>
      <c r="AF148" s="188">
        <f>opex_orig!$AD148</f>
        <v>7.0365034169448998E-4</v>
      </c>
      <c r="AG148" s="188">
        <f>opex_orig!$AD148</f>
        <v>7.0365034169448998E-4</v>
      </c>
      <c r="AH148" s="188">
        <f>opex_orig!$AD148</f>
        <v>7.0365034169448998E-4</v>
      </c>
      <c r="AI148" s="188">
        <f>opex_orig!AE148</f>
        <v>6.8214399999999998E-4</v>
      </c>
      <c r="AJ148" s="188">
        <f>opex_orig!AF148</f>
        <v>3.2903199999999999E-4</v>
      </c>
      <c r="AK148" s="188">
        <f>opex_orig!AG148</f>
        <v>4.7800000000000003E-5</v>
      </c>
      <c r="AL148" s="188">
        <f>opex_orig!AH148</f>
        <v>3.4600000000000001E-5</v>
      </c>
      <c r="AM148" s="188">
        <f>opex_orig!AI148</f>
        <v>7.5699999999999997E-5</v>
      </c>
      <c r="AN148" s="188">
        <f>opex_orig!AJ148</f>
        <v>3.5899999999999998E-5</v>
      </c>
      <c r="AO148" s="188">
        <f>opex_orig!AK148</f>
        <v>7.2600000000000003E-5</v>
      </c>
      <c r="AP148" s="284">
        <f>opex_concordance!M432</f>
        <v>9.0061005930271496E-5</v>
      </c>
      <c r="AQ148" s="284">
        <f>opex_concordance!M486</f>
        <v>5.9874987402366748E-5</v>
      </c>
      <c r="AR148" s="284">
        <f>opex_concordance!M540</f>
        <v>0</v>
      </c>
      <c r="AS148" s="188">
        <f>opex_orig!$AM148</f>
        <v>7.0761455048700404E-5</v>
      </c>
      <c r="AT148" s="188">
        <f>opex_orig!AN148</f>
        <v>1.25494E-4</v>
      </c>
      <c r="AU148" s="188">
        <f>opex_orig!$AO148</f>
        <v>1.9888616786550701E-4</v>
      </c>
      <c r="AV148" s="188">
        <f>opex_orig!$AO148</f>
        <v>1.9888616786550701E-4</v>
      </c>
      <c r="AW148" s="188">
        <f>opex_orig!$AO148</f>
        <v>1.9888616786550701E-4</v>
      </c>
      <c r="AX148" s="188">
        <f>opex_orig!$AP148</f>
        <v>2.6351484716787699E-4</v>
      </c>
      <c r="AY148" s="188">
        <f>opex_orig!AQ148</f>
        <v>2.5093099999999997E-4</v>
      </c>
      <c r="AZ148" s="188">
        <f>opex_orig!AR148</f>
        <v>0</v>
      </c>
      <c r="BA148" s="188">
        <f>opex_orig!AS148</f>
        <v>1.52979E-4</v>
      </c>
      <c r="BB148" s="188">
        <f>opex_orig!AT148</f>
        <v>1.2916699999999999E-4</v>
      </c>
      <c r="BC148" s="188">
        <f>opex_orig!AU148</f>
        <v>3.3500000000000001E-5</v>
      </c>
      <c r="BD148" s="188">
        <f>opex_orig!AV148</f>
        <v>2.6599999999999999E-5</v>
      </c>
      <c r="BE148" s="188">
        <f>opex_orig!AW148</f>
        <v>1.4906500000000001E-4</v>
      </c>
      <c r="BF148" s="188">
        <f>opex_orig!AX148</f>
        <v>0</v>
      </c>
      <c r="BG148" s="188">
        <f>opex_orig!AY148</f>
        <v>1.24034E-4</v>
      </c>
      <c r="BH148" s="188">
        <f>opex_orig!AZ148</f>
        <v>0</v>
      </c>
      <c r="BI148" s="188">
        <f>opex_orig!BA148</f>
        <v>1.77407E-4</v>
      </c>
      <c r="BJ148" s="188">
        <f>opex_orig!BB148</f>
        <v>3.2159799999999998E-4</v>
      </c>
      <c r="BK148" s="188">
        <f>opex_orig!BC148</f>
        <v>5.09137E-4</v>
      </c>
      <c r="BL148" s="188">
        <f>opex_orig!BD148</f>
        <v>2.51E-5</v>
      </c>
      <c r="BM148" s="188">
        <f>opex_orig!BE148</f>
        <v>6.8300000000000007E-5</v>
      </c>
      <c r="BN148" s="188">
        <f>opex_orig!BF148</f>
        <v>1.8700000000000001E-5</v>
      </c>
      <c r="BO148" s="188">
        <f>opex_orig!BG148</f>
        <v>9.8999999999999994E-5</v>
      </c>
      <c r="BP148" s="188">
        <f>opex_orig!$BH148</f>
        <v>1.7183390356607901E-4</v>
      </c>
      <c r="BQ148" s="188">
        <f>opex_orig!$BH148</f>
        <v>1.7183390356607901E-4</v>
      </c>
      <c r="BR148" s="188">
        <f>opex_orig!BI148</f>
        <v>2.0885500000000001E-4</v>
      </c>
      <c r="BS148" s="188">
        <f>opex_orig!BJ148</f>
        <v>7.8300000000000006E-5</v>
      </c>
      <c r="BT148" s="188">
        <f>opex_orig!BK148</f>
        <v>3.0713799999999999E-4</v>
      </c>
      <c r="BU148" s="188">
        <f>opex_orig!BL148</f>
        <v>0</v>
      </c>
      <c r="BV148" s="27">
        <f>opex_orig!BM148</f>
        <v>2.6444455417473102E-4</v>
      </c>
      <c r="BW148" s="27">
        <f>opex_orig!BN148</f>
        <v>2.07039085442104E-4</v>
      </c>
      <c r="BX148" s="27">
        <f>opex_orig!BO148</f>
        <v>3.1474432608470101E-4</v>
      </c>
      <c r="BY148" s="27">
        <f>opex_orig!BP148</f>
        <v>9.26943419708003E-5</v>
      </c>
      <c r="BZ148" s="27">
        <f>opex_orig!BQ148</f>
        <v>9.67416987784615E-5</v>
      </c>
      <c r="CA148" s="27">
        <f>opex_orig!BR148</f>
        <v>8.8540619175868908E-6</v>
      </c>
      <c r="CB148" s="27">
        <f>opex_orig!BS148</f>
        <v>1.85606905785175E-4</v>
      </c>
      <c r="CC148" s="27">
        <f>opex_orig!BT148</f>
        <v>1.07187893097031E-3</v>
      </c>
      <c r="CD148" s="27">
        <f>opex_orig!BU148</f>
        <v>8.6169419452209803E-6</v>
      </c>
      <c r="CE148" s="27">
        <f>opex_orig!BV148</f>
        <v>8.6169419452210007E-6</v>
      </c>
      <c r="CF148" s="27">
        <f>opex_orig!BW148</f>
        <v>1.8135971708957299E-6</v>
      </c>
      <c r="CG148" s="27">
        <f>opex_orig!BX148</f>
        <v>8.2200393851630904E-6</v>
      </c>
      <c r="CH148" s="27">
        <f>opex_orig!BY148</f>
        <v>1.7905612132233999E-6</v>
      </c>
      <c r="CI148" s="27">
        <f>opex_orig!Y148</f>
        <v>5.4200000000000003E-5</v>
      </c>
      <c r="CJ148" s="27">
        <f>opex_orig!Z148</f>
        <v>1.2278199999999999E-4</v>
      </c>
      <c r="CK148" s="27">
        <f>opex_orig!AA148</f>
        <v>5.0699999999999999E-5</v>
      </c>
      <c r="CL148" s="27">
        <f>opex_orig!AB148</f>
        <v>4.6373012035470702E-5</v>
      </c>
      <c r="CM148" s="27">
        <f>opex_orig!AC148</f>
        <v>6.6843420978802102E-4</v>
      </c>
      <c r="CN148" s="27">
        <f>opex_orig!AD148</f>
        <v>7.0365034169448998E-4</v>
      </c>
      <c r="CO148" s="27">
        <f>opex_orig!AE148</f>
        <v>6.8214399999999998E-4</v>
      </c>
      <c r="CP148" s="27">
        <f>opex_orig!AF148</f>
        <v>3.2903199999999999E-4</v>
      </c>
    </row>
    <row r="149" spans="1:94" x14ac:dyDescent="0.25">
      <c r="A149" s="6" t="s">
        <v>289</v>
      </c>
      <c r="B149" s="2" t="s">
        <v>288</v>
      </c>
      <c r="C149" s="1" t="s">
        <v>335</v>
      </c>
      <c r="D149" s="188">
        <f>opex_orig!D149</f>
        <v>3.89E-7</v>
      </c>
      <c r="E149" s="188">
        <f>opex_orig!E149</f>
        <v>6.0699999999999994E-8</v>
      </c>
      <c r="F149" s="188">
        <f>opex_orig!F149</f>
        <v>7.6899999999999994E-8</v>
      </c>
      <c r="G149" s="188">
        <f>opex_orig!G149</f>
        <v>1.26E-8</v>
      </c>
      <c r="H149" s="188">
        <f>opex_orig!H149</f>
        <v>1.74E-8</v>
      </c>
      <c r="I149" s="188">
        <f>opex_orig!I149</f>
        <v>6.6899999999999997E-8</v>
      </c>
      <c r="J149" s="188">
        <f>opex_orig!J149</f>
        <v>2.5600000000000002E-7</v>
      </c>
      <c r="K149" s="188">
        <f>opex_orig!K149</f>
        <v>2.81E-8</v>
      </c>
      <c r="L149" s="188">
        <f>opex_orig!L149</f>
        <v>1.66E-7</v>
      </c>
      <c r="M149" s="188">
        <f>opex_orig!M149</f>
        <v>1.37E-7</v>
      </c>
      <c r="N149" s="188">
        <f>opex_orig!N149</f>
        <v>9.9E-8</v>
      </c>
      <c r="O149" s="188">
        <f>opex_orig!O149</f>
        <v>1.8799999999999999E-7</v>
      </c>
      <c r="P149" s="188">
        <f>opex_orig!P149</f>
        <v>7.1400000000000004E-8</v>
      </c>
      <c r="Q149" s="188">
        <f>opex_orig!Q149</f>
        <v>6.3500000000000006E-8</v>
      </c>
      <c r="R149" s="188">
        <f>opex_orig!R149</f>
        <v>2.7500000000000001E-8</v>
      </c>
      <c r="S149" s="188">
        <f>opex_orig!S149</f>
        <v>4.0100000000000002E-8</v>
      </c>
      <c r="T149" s="188">
        <f>opex_orig!T149</f>
        <v>7.7799999999999995E-8</v>
      </c>
      <c r="U149" s="188">
        <f>opex_orig!U149</f>
        <v>9.0600000000000004E-8</v>
      </c>
      <c r="V149" s="188">
        <f>opex_orig!V149</f>
        <v>1.14E-7</v>
      </c>
      <c r="W149" s="188">
        <f>opex_orig!W149</f>
        <v>9.4500000000000006E-8</v>
      </c>
      <c r="X149" s="188">
        <f>opex_orig!X149</f>
        <v>2.2700000000000001E-7</v>
      </c>
      <c r="Y149" s="188">
        <f>opex_orig!Y149</f>
        <v>1.91E-7</v>
      </c>
      <c r="Z149" s="188">
        <f>opex_orig!Z149</f>
        <v>5.03E-8</v>
      </c>
      <c r="AA149" s="188">
        <f>opex_orig!AA149</f>
        <v>1.01E-7</v>
      </c>
      <c r="AB149" s="188">
        <f>opex_orig!$AB149</f>
        <v>5.2027513196844296E-7</v>
      </c>
      <c r="AC149" s="188">
        <f>opex_orig!$AB149</f>
        <v>5.2027513196844296E-7</v>
      </c>
      <c r="AD149" s="188">
        <f>opex_orig!$AB149</f>
        <v>5.2027513196844296E-7</v>
      </c>
      <c r="AE149" s="188">
        <f>opex_orig!$AC149</f>
        <v>1.11816421429884E-7</v>
      </c>
      <c r="AF149" s="188">
        <f>opex_orig!$AD149</f>
        <v>1.0455204547172699E-7</v>
      </c>
      <c r="AG149" s="188">
        <f>opex_orig!$AD149</f>
        <v>1.0455204547172699E-7</v>
      </c>
      <c r="AH149" s="188">
        <f>opex_orig!$AD149</f>
        <v>1.0455204547172699E-7</v>
      </c>
      <c r="AI149" s="188">
        <f>opex_orig!AE149</f>
        <v>9.53E-8</v>
      </c>
      <c r="AJ149" s="188">
        <f>opex_orig!AF149</f>
        <v>1.8099999999999999E-7</v>
      </c>
      <c r="AK149" s="188">
        <f>opex_orig!AG149</f>
        <v>5.3500000000000003E-8</v>
      </c>
      <c r="AL149" s="188">
        <f>opex_orig!AH149</f>
        <v>7.5899999999999998E-8</v>
      </c>
      <c r="AM149" s="188">
        <f>opex_orig!AI149</f>
        <v>9.9699999999999999E-8</v>
      </c>
      <c r="AN149" s="188">
        <f>opex_orig!AJ149</f>
        <v>8.7999999999999994E-8</v>
      </c>
      <c r="AO149" s="188">
        <f>opex_orig!AK149</f>
        <v>7.7700000000000001E-8</v>
      </c>
      <c r="AP149" s="284">
        <f>opex_concordance!M433</f>
        <v>7.73293616908977E-8</v>
      </c>
      <c r="AQ149" s="284">
        <f>opex_concordance!M487</f>
        <v>5.1410646697199333E-8</v>
      </c>
      <c r="AR149" s="284">
        <f>opex_concordance!M541</f>
        <v>0</v>
      </c>
      <c r="AS149" s="188">
        <f>opex_orig!$AM149</f>
        <v>7.8322233509304304E-8</v>
      </c>
      <c r="AT149" s="188">
        <f>opex_orig!AN149</f>
        <v>9.7699999999999995E-8</v>
      </c>
      <c r="AU149" s="188">
        <f>opex_orig!$AO149</f>
        <v>9.2889579621890903E-8</v>
      </c>
      <c r="AV149" s="188">
        <f>opex_orig!$AO149</f>
        <v>9.2889579621890903E-8</v>
      </c>
      <c r="AW149" s="188">
        <f>opex_orig!$AO149</f>
        <v>9.2889579621890903E-8</v>
      </c>
      <c r="AX149" s="188">
        <f>opex_orig!$AP149</f>
        <v>3.0014497438820999E-8</v>
      </c>
      <c r="AY149" s="188">
        <f>opex_orig!AQ149</f>
        <v>7.2200000000000003E-7</v>
      </c>
      <c r="AZ149" s="188">
        <f>opex_orig!AR149</f>
        <v>0</v>
      </c>
      <c r="BA149" s="188">
        <f>opex_orig!AS149</f>
        <v>2.5600000000000001E-8</v>
      </c>
      <c r="BB149" s="188">
        <f>opex_orig!AT149</f>
        <v>2.1200000000000001E-8</v>
      </c>
      <c r="BC149" s="188">
        <f>opex_orig!AU149</f>
        <v>1.2499999999999999E-8</v>
      </c>
      <c r="BD149" s="188">
        <f>opex_orig!AV149</f>
        <v>1.2100000000000001E-8</v>
      </c>
      <c r="BE149" s="188">
        <f>opex_orig!AW149</f>
        <v>1.33E-8</v>
      </c>
      <c r="BF149" s="188">
        <f>opex_orig!AX149</f>
        <v>0</v>
      </c>
      <c r="BG149" s="188">
        <f>opex_orig!AY149</f>
        <v>4.2799999999999999E-8</v>
      </c>
      <c r="BH149" s="188">
        <f>opex_orig!AZ149</f>
        <v>0</v>
      </c>
      <c r="BI149" s="188">
        <f>opex_orig!BA149</f>
        <v>1.4600000000000001E-7</v>
      </c>
      <c r="BJ149" s="188">
        <f>opex_orig!BB149</f>
        <v>5.8700000000000003E-8</v>
      </c>
      <c r="BK149" s="188">
        <f>opex_orig!BC149</f>
        <v>2.1500000000000001E-7</v>
      </c>
      <c r="BL149" s="188">
        <f>opex_orig!BD149</f>
        <v>2.2700000000000001E-7</v>
      </c>
      <c r="BM149" s="188">
        <f>opex_orig!BE149</f>
        <v>2.65E-7</v>
      </c>
      <c r="BN149" s="188">
        <f>opex_orig!BF149</f>
        <v>5.6799999999999999E-8</v>
      </c>
      <c r="BO149" s="188">
        <f>opex_orig!BG149</f>
        <v>7.8699999999999997E-8</v>
      </c>
      <c r="BP149" s="188">
        <f>opex_orig!$BH149</f>
        <v>1.83307895817942E-7</v>
      </c>
      <c r="BQ149" s="188">
        <f>opex_orig!$BH149</f>
        <v>1.83307895817942E-7</v>
      </c>
      <c r="BR149" s="188">
        <f>opex_orig!BI149</f>
        <v>1.02E-7</v>
      </c>
      <c r="BS149" s="188">
        <f>opex_orig!BJ149</f>
        <v>8.5300000000000003E-8</v>
      </c>
      <c r="BT149" s="188">
        <f>opex_orig!BK149</f>
        <v>2.7899999999999998E-8</v>
      </c>
      <c r="BU149" s="188">
        <f>opex_orig!BL149</f>
        <v>0</v>
      </c>
      <c r="BV149" s="27">
        <f>opex_orig!BM149</f>
        <v>2.49659085564416E-7</v>
      </c>
      <c r="BW149" s="27">
        <f>opex_orig!BN149</f>
        <v>2.1145341229193101E-7</v>
      </c>
      <c r="BX149" s="27">
        <f>opex_orig!BO149</f>
        <v>5.0133990853487902E-8</v>
      </c>
      <c r="BY149" s="27">
        <f>opex_orig!BP149</f>
        <v>5.4325972365743199E-8</v>
      </c>
      <c r="BZ149" s="27">
        <f>opex_orig!BQ149</f>
        <v>9.3280158062608006E-8</v>
      </c>
      <c r="CA149" s="27">
        <f>opex_orig!BR149</f>
        <v>5.6205622963838199E-6</v>
      </c>
      <c r="CB149" s="27">
        <f>opex_orig!BS149</f>
        <v>2.48935373602475E-7</v>
      </c>
      <c r="CC149" s="27">
        <f>opex_orig!BT149</f>
        <v>1.50126924453531E-4</v>
      </c>
      <c r="CD149" s="27">
        <f>opex_orig!BU149</f>
        <v>4.7065474189952198E-8</v>
      </c>
      <c r="CE149" s="27">
        <f>opex_orig!BV149</f>
        <v>4.7065474189952403E-8</v>
      </c>
      <c r="CF149" s="27">
        <f>opex_orig!BW149</f>
        <v>1.0486929814294901E-5</v>
      </c>
      <c r="CG149" s="27">
        <f>opex_orig!BX149</f>
        <v>3.29003758032536E-6</v>
      </c>
      <c r="CH149" s="27">
        <f>opex_orig!BY149</f>
        <v>1.4028810858436501E-8</v>
      </c>
      <c r="CI149" s="27">
        <f>opex_orig!Y149</f>
        <v>1.91E-7</v>
      </c>
      <c r="CJ149" s="27">
        <f>opex_orig!Z149</f>
        <v>5.03E-8</v>
      </c>
      <c r="CK149" s="27">
        <f>opex_orig!AA149</f>
        <v>1.01E-7</v>
      </c>
      <c r="CL149" s="27">
        <f>opex_orig!AB149</f>
        <v>5.2027513196844296E-7</v>
      </c>
      <c r="CM149" s="27">
        <f>opex_orig!AC149</f>
        <v>1.11816421429884E-7</v>
      </c>
      <c r="CN149" s="27">
        <f>opex_orig!AD149</f>
        <v>1.0455204547172699E-7</v>
      </c>
      <c r="CO149" s="27">
        <f>opex_orig!AE149</f>
        <v>9.53E-8</v>
      </c>
      <c r="CP149" s="27">
        <f>opex_orig!AF149</f>
        <v>1.8099999999999999E-7</v>
      </c>
    </row>
    <row r="150" spans="1:94" x14ac:dyDescent="0.25">
      <c r="A150" s="6" t="s">
        <v>291</v>
      </c>
      <c r="B150" s="2" t="s">
        <v>290</v>
      </c>
      <c r="C150" s="1" t="s">
        <v>335</v>
      </c>
      <c r="D150" s="188">
        <f>opex_orig!D150</f>
        <v>1.4999999999999999E-7</v>
      </c>
      <c r="E150" s="188">
        <f>opex_orig!E150</f>
        <v>6.36E-8</v>
      </c>
      <c r="F150" s="188">
        <f>opex_orig!F150</f>
        <v>1.09E-7</v>
      </c>
      <c r="G150" s="188">
        <f>opex_orig!G150</f>
        <v>1.55E-7</v>
      </c>
      <c r="H150" s="188">
        <f>opex_orig!H150</f>
        <v>5.7900000000000002E-8</v>
      </c>
      <c r="I150" s="188">
        <f>opex_orig!I150</f>
        <v>8.42E-8</v>
      </c>
      <c r="J150" s="188">
        <f>opex_orig!J150</f>
        <v>3.2800000000000003E-7</v>
      </c>
      <c r="K150" s="188">
        <f>opex_orig!K150</f>
        <v>1.2100000000000001E-7</v>
      </c>
      <c r="L150" s="188">
        <f>opex_orig!L150</f>
        <v>2.9200000000000002E-7</v>
      </c>
      <c r="M150" s="188">
        <f>opex_orig!M150</f>
        <v>2.04E-7</v>
      </c>
      <c r="N150" s="188">
        <f>opex_orig!N150</f>
        <v>2.9299999999999999E-7</v>
      </c>
      <c r="O150" s="188">
        <f>opex_orig!O150</f>
        <v>1.06E-7</v>
      </c>
      <c r="P150" s="188">
        <f>opex_orig!P150</f>
        <v>7.4200000000000003E-8</v>
      </c>
      <c r="Q150" s="188">
        <f>opex_orig!Q150</f>
        <v>2.8699999999999999E-8</v>
      </c>
      <c r="R150" s="188">
        <f>opex_orig!R150</f>
        <v>7.4299999999999997E-8</v>
      </c>
      <c r="S150" s="188">
        <f>opex_orig!S150</f>
        <v>4.7099999999999998E-8</v>
      </c>
      <c r="T150" s="188">
        <f>opex_orig!T150</f>
        <v>1.36E-7</v>
      </c>
      <c r="U150" s="188">
        <f>opex_orig!U150</f>
        <v>1.7100000000000001E-7</v>
      </c>
      <c r="V150" s="188">
        <f>opex_orig!V150</f>
        <v>2.48E-7</v>
      </c>
      <c r="W150" s="188">
        <f>opex_orig!W150</f>
        <v>1.06E-7</v>
      </c>
      <c r="X150" s="188">
        <f>opex_orig!X150</f>
        <v>4.1199999999999998E-7</v>
      </c>
      <c r="Y150" s="188">
        <f>opex_orig!Y150</f>
        <v>5.7800000000000001E-8</v>
      </c>
      <c r="Z150" s="188">
        <f>opex_orig!Z150</f>
        <v>8.4799999999999997E-7</v>
      </c>
      <c r="AA150" s="188">
        <f>opex_orig!AA150</f>
        <v>4.6499999999999999E-7</v>
      </c>
      <c r="AB150" s="188">
        <f>opex_orig!$AB150</f>
        <v>3.3681597375321901E-6</v>
      </c>
      <c r="AC150" s="188">
        <f>opex_orig!$AB150</f>
        <v>3.3681597375321901E-6</v>
      </c>
      <c r="AD150" s="188">
        <f>opex_orig!$AB150</f>
        <v>3.3681597375321901E-6</v>
      </c>
      <c r="AE150" s="188">
        <f>opex_orig!$AC150</f>
        <v>3.8071453680921601E-7</v>
      </c>
      <c r="AF150" s="188">
        <f>opex_orig!$AD150</f>
        <v>1.16335194035135E-7</v>
      </c>
      <c r="AG150" s="188">
        <f>opex_orig!$AD150</f>
        <v>1.16335194035135E-7</v>
      </c>
      <c r="AH150" s="188">
        <f>opex_orig!$AD150</f>
        <v>1.16335194035135E-7</v>
      </c>
      <c r="AI150" s="188">
        <f>opex_orig!AE150</f>
        <v>9.0800000000000006E-8</v>
      </c>
      <c r="AJ150" s="188">
        <f>opex_orig!AF150</f>
        <v>1.4100000000000001E-7</v>
      </c>
      <c r="AK150" s="188">
        <f>opex_orig!AG150</f>
        <v>5.3300000000000001E-8</v>
      </c>
      <c r="AL150" s="188">
        <f>opex_orig!AH150</f>
        <v>5.5899999999999998E-8</v>
      </c>
      <c r="AM150" s="188">
        <f>opex_orig!AI150</f>
        <v>1.05E-7</v>
      </c>
      <c r="AN150" s="188">
        <f>opex_orig!AJ150</f>
        <v>5.2700000000000002E-8</v>
      </c>
      <c r="AO150" s="188">
        <f>opex_orig!AK150</f>
        <v>1.2700000000000001E-7</v>
      </c>
      <c r="AP150" s="284">
        <f>opex_concordance!M434</f>
        <v>5.64176205479691E-8</v>
      </c>
      <c r="AQ150" s="284">
        <f>opex_concordance!M488</f>
        <v>3.7507956797601514E-8</v>
      </c>
      <c r="AR150" s="284">
        <f>opex_concordance!M542</f>
        <v>0</v>
      </c>
      <c r="AS150" s="188">
        <f>opex_orig!$AM150</f>
        <v>1.0078900358242099E-7</v>
      </c>
      <c r="AT150" s="188">
        <f>opex_orig!AN150</f>
        <v>6.1500000000000001E-8</v>
      </c>
      <c r="AU150" s="188">
        <f>opex_orig!$AO150</f>
        <v>6.3163477131694794E-8</v>
      </c>
      <c r="AV150" s="188">
        <f>opex_orig!$AO150</f>
        <v>6.3163477131694794E-8</v>
      </c>
      <c r="AW150" s="188">
        <f>opex_orig!$AO150</f>
        <v>6.3163477131694794E-8</v>
      </c>
      <c r="AX150" s="188">
        <f>opex_orig!$AP150</f>
        <v>4.6454016169605297E-8</v>
      </c>
      <c r="AY150" s="188">
        <f>opex_orig!AQ150</f>
        <v>1.55E-7</v>
      </c>
      <c r="AZ150" s="188">
        <f>opex_orig!AR150</f>
        <v>0</v>
      </c>
      <c r="BA150" s="188">
        <f>opex_orig!AS150</f>
        <v>3.9300000000000001E-8</v>
      </c>
      <c r="BB150" s="188">
        <f>opex_orig!AT150</f>
        <v>2.9099999999999999E-8</v>
      </c>
      <c r="BC150" s="188">
        <f>opex_orig!AU150</f>
        <v>5.4399999999999997E-8</v>
      </c>
      <c r="BD150" s="188">
        <f>opex_orig!AV150</f>
        <v>5.8199999999999998E-8</v>
      </c>
      <c r="BE150" s="188">
        <f>opex_orig!AW150</f>
        <v>3.5700000000000002E-8</v>
      </c>
      <c r="BF150" s="188">
        <f>opex_orig!AX150</f>
        <v>0</v>
      </c>
      <c r="BG150" s="188">
        <f>opex_orig!AY150</f>
        <v>2.2399999999999999E-7</v>
      </c>
      <c r="BH150" s="188">
        <f>opex_orig!AZ150</f>
        <v>0</v>
      </c>
      <c r="BI150" s="188">
        <f>opex_orig!BA150</f>
        <v>4.6499999999999999E-8</v>
      </c>
      <c r="BJ150" s="188">
        <f>opex_orig!BB150</f>
        <v>4.73E-8</v>
      </c>
      <c r="BK150" s="188">
        <f>opex_orig!BC150</f>
        <v>2.9200000000000002E-7</v>
      </c>
      <c r="BL150" s="188">
        <f>opex_orig!BD150</f>
        <v>3.7E-7</v>
      </c>
      <c r="BM150" s="188">
        <f>opex_orig!BE150</f>
        <v>4.2899999999999999E-7</v>
      </c>
      <c r="BN150" s="188">
        <f>opex_orig!BF150</f>
        <v>6.1799999999999998E-8</v>
      </c>
      <c r="BO150" s="188">
        <f>opex_orig!BG150</f>
        <v>7.0200000000000007E-8</v>
      </c>
      <c r="BP150" s="188">
        <f>opex_orig!$BH150</f>
        <v>1.9414176068821601E-7</v>
      </c>
      <c r="BQ150" s="188">
        <f>opex_orig!$BH150</f>
        <v>1.9414176068821601E-7</v>
      </c>
      <c r="BR150" s="188">
        <f>opex_orig!BI150</f>
        <v>1.04E-7</v>
      </c>
      <c r="BS150" s="188">
        <f>opex_orig!BJ150</f>
        <v>5.1300000000000003E-8</v>
      </c>
      <c r="BT150" s="188">
        <f>opex_orig!BK150</f>
        <v>3.8199999999999998E-8</v>
      </c>
      <c r="BU150" s="188">
        <f>opex_orig!BL150</f>
        <v>0</v>
      </c>
      <c r="BV150" s="27">
        <f>opex_orig!BM150</f>
        <v>2.2206708547427899E-7</v>
      </c>
      <c r="BW150" s="27">
        <f>opex_orig!BN150</f>
        <v>4.2832359688720299E-7</v>
      </c>
      <c r="BX150" s="27">
        <f>opex_orig!BO150</f>
        <v>7.33979980418677E-8</v>
      </c>
      <c r="BY150" s="27">
        <f>opex_orig!BP150</f>
        <v>1.5438816653154601E-7</v>
      </c>
      <c r="BZ150" s="27">
        <f>opex_orig!BQ150</f>
        <v>4.21727156486482E-7</v>
      </c>
      <c r="CA150" s="27">
        <f>opex_orig!BR150</f>
        <v>5.1114740861365101E-7</v>
      </c>
      <c r="CB150" s="27">
        <f>opex_orig!BS150</f>
        <v>1.13787623981086E-6</v>
      </c>
      <c r="CC150" s="27">
        <f>opex_orig!BT150</f>
        <v>2.18511609074642E-5</v>
      </c>
      <c r="CD150" s="27">
        <f>opex_orig!BU150</f>
        <v>7.3443666876365406E-8</v>
      </c>
      <c r="CE150" s="27">
        <f>opex_orig!BV150</f>
        <v>7.3443666876365406E-8</v>
      </c>
      <c r="CF150" s="27">
        <f>opex_orig!BW150</f>
        <v>1.56277184980311E-6</v>
      </c>
      <c r="CG150" s="27">
        <f>opex_orig!BX150</f>
        <v>1.7565139488465201E-6</v>
      </c>
      <c r="CH150" s="27">
        <f>opex_orig!BY150</f>
        <v>1.8054471924416701E-6</v>
      </c>
      <c r="CI150" s="27">
        <f>opex_orig!Y150</f>
        <v>5.7800000000000001E-8</v>
      </c>
      <c r="CJ150" s="27">
        <f>opex_orig!Z150</f>
        <v>8.4799999999999997E-7</v>
      </c>
      <c r="CK150" s="27">
        <f>opex_orig!AA150</f>
        <v>4.6499999999999999E-7</v>
      </c>
      <c r="CL150" s="27">
        <f>opex_orig!AB150</f>
        <v>3.3681597375321901E-6</v>
      </c>
      <c r="CM150" s="27">
        <f>opex_orig!AC150</f>
        <v>3.8071453680921601E-7</v>
      </c>
      <c r="CN150" s="27">
        <f>opex_orig!AD150</f>
        <v>1.16335194035135E-7</v>
      </c>
      <c r="CO150" s="27">
        <f>opex_orig!AE150</f>
        <v>9.0800000000000006E-8</v>
      </c>
      <c r="CP150" s="27">
        <f>opex_orig!AF150</f>
        <v>1.4100000000000001E-7</v>
      </c>
    </row>
    <row r="151" spans="1:94" x14ac:dyDescent="0.25">
      <c r="A151" s="6" t="s">
        <v>293</v>
      </c>
      <c r="B151" s="2" t="s">
        <v>292</v>
      </c>
      <c r="C151" s="1" t="s">
        <v>335</v>
      </c>
      <c r="D151" s="188">
        <f>opex_orig!D151</f>
        <v>7.5060199999999995E-4</v>
      </c>
      <c r="E151" s="188">
        <f>opex_orig!E151</f>
        <v>6.7458100000000005E-4</v>
      </c>
      <c r="F151" s="188">
        <f>opex_orig!F151</f>
        <v>1.37553E-4</v>
      </c>
      <c r="G151" s="188">
        <f>opex_orig!G151</f>
        <v>3.0899999999999999E-5</v>
      </c>
      <c r="H151" s="188">
        <f>opex_orig!H151</f>
        <v>5.2299999999999997E-5</v>
      </c>
      <c r="I151" s="188">
        <f>opex_orig!I151</f>
        <v>5.8034199999999997E-4</v>
      </c>
      <c r="J151" s="188">
        <f>opex_orig!J151</f>
        <v>4.1181399999999998E-4</v>
      </c>
      <c r="K151" s="188">
        <f>opex_orig!K151</f>
        <v>8.2000000000000001E-5</v>
      </c>
      <c r="L151" s="188">
        <f>opex_orig!L151</f>
        <v>7.7417299999999996E-4</v>
      </c>
      <c r="M151" s="188">
        <f>opex_orig!M151</f>
        <v>2.2069110000000002E-3</v>
      </c>
      <c r="N151" s="188">
        <f>opex_orig!N151</f>
        <v>4.0971940000000002E-3</v>
      </c>
      <c r="O151" s="188">
        <f>opex_orig!O151</f>
        <v>1.176341E-3</v>
      </c>
      <c r="P151" s="188">
        <f>opex_orig!P151</f>
        <v>6.0090299999999996E-4</v>
      </c>
      <c r="Q151" s="188">
        <f>opex_orig!Q151</f>
        <v>8.0500000000000005E-5</v>
      </c>
      <c r="R151" s="188">
        <f>opex_orig!R151</f>
        <v>6.3299999999999994E-5</v>
      </c>
      <c r="S151" s="188">
        <f>opex_orig!S151</f>
        <v>1.5568299999999999E-4</v>
      </c>
      <c r="T151" s="188">
        <f>opex_orig!T151</f>
        <v>9.2100000000000003E-5</v>
      </c>
      <c r="U151" s="188">
        <f>opex_orig!U151</f>
        <v>1.4636E-3</v>
      </c>
      <c r="V151" s="188">
        <f>opex_orig!V151</f>
        <v>2.61247E-3</v>
      </c>
      <c r="W151" s="188">
        <f>opex_orig!W151</f>
        <v>4.82089E-4</v>
      </c>
      <c r="X151" s="188">
        <f>opex_orig!X151</f>
        <v>1.83034E-4</v>
      </c>
      <c r="Y151" s="188">
        <f>opex_orig!Y151</f>
        <v>1.00537E-4</v>
      </c>
      <c r="Z151" s="188">
        <f>opex_orig!Z151</f>
        <v>4.2496E-4</v>
      </c>
      <c r="AA151" s="188">
        <f>opex_orig!AA151</f>
        <v>2.0543800000000001E-4</v>
      </c>
      <c r="AB151" s="188">
        <f>opex_orig!$AB151</f>
        <v>4.0779143705006998E-4</v>
      </c>
      <c r="AC151" s="188">
        <f>opex_orig!$AB151</f>
        <v>4.0779143705006998E-4</v>
      </c>
      <c r="AD151" s="188">
        <f>opex_orig!$AB151</f>
        <v>4.0779143705006998E-4</v>
      </c>
      <c r="AE151" s="188">
        <f>opex_orig!$AC151</f>
        <v>1.47205900693031E-2</v>
      </c>
      <c r="AF151" s="188">
        <f>opex_orig!$AD151</f>
        <v>4.8451550028647903E-3</v>
      </c>
      <c r="AG151" s="188">
        <f>opex_orig!$AD151</f>
        <v>4.8451550028647903E-3</v>
      </c>
      <c r="AH151" s="188">
        <f>opex_orig!$AD151</f>
        <v>4.8451550028647903E-3</v>
      </c>
      <c r="AI151" s="188">
        <f>opex_orig!AE151</f>
        <v>3.8648020000000001E-3</v>
      </c>
      <c r="AJ151" s="188">
        <f>opex_orig!AF151</f>
        <v>1.1499850000000001E-3</v>
      </c>
      <c r="AK151" s="188">
        <f>opex_orig!AG151</f>
        <v>1.8349999999999999E-4</v>
      </c>
      <c r="AL151" s="188">
        <f>opex_orig!AH151</f>
        <v>2.4061300000000001E-4</v>
      </c>
      <c r="AM151" s="188">
        <f>opex_orig!AI151</f>
        <v>2.1080099999999999E-4</v>
      </c>
      <c r="AN151" s="188">
        <f>opex_orig!AJ151</f>
        <v>4.3507099999999998E-4</v>
      </c>
      <c r="AO151" s="188">
        <f>opex_orig!AK151</f>
        <v>2.6100100000000002E-4</v>
      </c>
      <c r="AP151" s="284">
        <f>opex_concordance!M435</f>
        <v>5.9833910216383905E-4</v>
      </c>
      <c r="AQ151" s="284">
        <f>opex_concordance!M489</f>
        <v>3.9779198371535775E-4</v>
      </c>
      <c r="AR151" s="284">
        <f>opex_concordance!M543</f>
        <v>0</v>
      </c>
      <c r="AS151" s="188">
        <f>opex_orig!$AM151</f>
        <v>2.4495527498332099E-4</v>
      </c>
      <c r="AT151" s="188">
        <f>opex_orig!AN151</f>
        <v>6.7969700000000005E-4</v>
      </c>
      <c r="AU151" s="188">
        <f>opex_orig!$AO151</f>
        <v>1.02592142149026E-3</v>
      </c>
      <c r="AV151" s="188">
        <f>opex_orig!$AO151</f>
        <v>1.02592142149026E-3</v>
      </c>
      <c r="AW151" s="188">
        <f>opex_orig!$AO151</f>
        <v>1.02592142149026E-3</v>
      </c>
      <c r="AX151" s="188">
        <f>opex_orig!$AP151</f>
        <v>1.58024908945407E-3</v>
      </c>
      <c r="AY151" s="188">
        <f>opex_orig!AQ151</f>
        <v>1.8066779999999999E-3</v>
      </c>
      <c r="AZ151" s="188">
        <f>opex_orig!AR151</f>
        <v>0</v>
      </c>
      <c r="BA151" s="188">
        <f>opex_orig!AS151</f>
        <v>1.0807729999999999E-3</v>
      </c>
      <c r="BB151" s="188">
        <f>opex_orig!AT151</f>
        <v>8.3712299999999995E-4</v>
      </c>
      <c r="BC151" s="188">
        <f>opex_orig!AU151</f>
        <v>1.4913540000000001E-3</v>
      </c>
      <c r="BD151" s="188">
        <f>opex_orig!AV151</f>
        <v>1.14617E-4</v>
      </c>
      <c r="BE151" s="188">
        <f>opex_orig!AW151</f>
        <v>1.2604910000000001E-3</v>
      </c>
      <c r="BF151" s="188">
        <f>opex_orig!AX151</f>
        <v>0</v>
      </c>
      <c r="BG151" s="188">
        <f>opex_orig!AY151</f>
        <v>5.5049799999999996E-4</v>
      </c>
      <c r="BH151" s="188">
        <f>opex_orig!AZ151</f>
        <v>0</v>
      </c>
      <c r="BI151" s="188">
        <f>opex_orig!BA151</f>
        <v>8.9336400000000001E-4</v>
      </c>
      <c r="BJ151" s="188">
        <f>opex_orig!BB151</f>
        <v>1.2793080000000001E-3</v>
      </c>
      <c r="BK151" s="188">
        <f>opex_orig!BC151</f>
        <v>2.0519269999999998E-3</v>
      </c>
      <c r="BL151" s="188">
        <f>opex_orig!BD151</f>
        <v>1.2801699999999999E-4</v>
      </c>
      <c r="BM151" s="188">
        <f>opex_orig!BE151</f>
        <v>2.4504300000000002E-4</v>
      </c>
      <c r="BN151" s="188">
        <f>opex_orig!BF151</f>
        <v>9.1299999999999997E-5</v>
      </c>
      <c r="BO151" s="188">
        <f>opex_orig!BG151</f>
        <v>3.7532599999999999E-4</v>
      </c>
      <c r="BP151" s="188">
        <f>opex_orig!$BH151</f>
        <v>7.0941738088187698E-4</v>
      </c>
      <c r="BQ151" s="188">
        <f>opex_orig!$BH151</f>
        <v>7.0941738088187698E-4</v>
      </c>
      <c r="BR151" s="188">
        <f>opex_orig!BI151</f>
        <v>9.816759999999999E-4</v>
      </c>
      <c r="BS151" s="188">
        <f>opex_orig!BJ151</f>
        <v>3.2180400000000002E-4</v>
      </c>
      <c r="BT151" s="188">
        <f>opex_orig!BK151</f>
        <v>1.668817E-3</v>
      </c>
      <c r="BU151" s="188">
        <f>opex_orig!BL151</f>
        <v>0</v>
      </c>
      <c r="BV151" s="27">
        <f>opex_orig!BM151</f>
        <v>9.06552981922833E-4</v>
      </c>
      <c r="BW151" s="27">
        <f>opex_orig!BN151</f>
        <v>4.31597988665329E-3</v>
      </c>
      <c r="BX151" s="27">
        <f>opex_orig!BO151</f>
        <v>8.9157486830278797E-4</v>
      </c>
      <c r="BY151" s="27">
        <f>opex_orig!BP151</f>
        <v>3.4094000825991501E-3</v>
      </c>
      <c r="BZ151" s="27">
        <f>opex_orig!BQ151</f>
        <v>4.3309313224459202E-4</v>
      </c>
      <c r="CA151" s="27">
        <f>opex_orig!BR151</f>
        <v>1.76900244559416E-5</v>
      </c>
      <c r="CB151" s="27">
        <f>opex_orig!BS151</f>
        <v>7.4462640213385797E-4</v>
      </c>
      <c r="CC151" s="27">
        <f>opex_orig!BT151</f>
        <v>1.02870188231935E-4</v>
      </c>
      <c r="CD151" s="27">
        <f>opex_orig!BU151</f>
        <v>4.7382137204071802E-5</v>
      </c>
      <c r="CE151" s="27">
        <f>opex_orig!BV151</f>
        <v>4.7382137204071897E-5</v>
      </c>
      <c r="CF151" s="27">
        <f>opex_orig!BW151</f>
        <v>4.2682116581145297E-6</v>
      </c>
      <c r="CG151" s="27">
        <f>opex_orig!BX151</f>
        <v>7.4992149924902901E-6</v>
      </c>
      <c r="CH151" s="27">
        <f>opex_orig!BY151</f>
        <v>6.2745877962952505E-8</v>
      </c>
      <c r="CI151" s="27">
        <f>opex_orig!Y151</f>
        <v>1.00537E-4</v>
      </c>
      <c r="CJ151" s="27">
        <f>opex_orig!Z151</f>
        <v>4.2496E-4</v>
      </c>
      <c r="CK151" s="27">
        <f>opex_orig!AA151</f>
        <v>2.0543800000000001E-4</v>
      </c>
      <c r="CL151" s="27">
        <f>opex_orig!AB151</f>
        <v>4.0779143705006998E-4</v>
      </c>
      <c r="CM151" s="27">
        <f>opex_orig!AC151</f>
        <v>1.47205900693031E-2</v>
      </c>
      <c r="CN151" s="27">
        <f>opex_orig!AD151</f>
        <v>4.8451550028647903E-3</v>
      </c>
      <c r="CO151" s="27">
        <f>opex_orig!AE151</f>
        <v>3.8648020000000001E-3</v>
      </c>
      <c r="CP151" s="27">
        <f>opex_orig!AF151</f>
        <v>1.1499850000000001E-3</v>
      </c>
    </row>
    <row r="152" spans="1:94" x14ac:dyDescent="0.25">
      <c r="A152" s="6" t="s">
        <v>295</v>
      </c>
      <c r="B152" s="2" t="s">
        <v>294</v>
      </c>
      <c r="C152" s="1" t="s">
        <v>335</v>
      </c>
      <c r="D152" s="188">
        <f>opex_orig!D152</f>
        <v>3.6141E-4</v>
      </c>
      <c r="E152" s="188">
        <f>opex_orig!E152</f>
        <v>1.5144299999999999E-4</v>
      </c>
      <c r="F152" s="188">
        <f>opex_orig!F152</f>
        <v>2.4700000000000001E-5</v>
      </c>
      <c r="G152" s="188">
        <f>opex_orig!G152</f>
        <v>5.7300000000000002E-6</v>
      </c>
      <c r="H152" s="188">
        <f>opex_orig!H152</f>
        <v>9.4499999999999993E-6</v>
      </c>
      <c r="I152" s="188">
        <f>opex_orig!I152</f>
        <v>1.09522E-4</v>
      </c>
      <c r="J152" s="188">
        <f>opex_orig!J152</f>
        <v>7.1299999999999998E-5</v>
      </c>
      <c r="K152" s="188">
        <f>opex_orig!K152</f>
        <v>1.5400000000000002E-5</v>
      </c>
      <c r="L152" s="188">
        <f>opex_orig!L152</f>
        <v>1.42516E-4</v>
      </c>
      <c r="M152" s="188">
        <f>opex_orig!M152</f>
        <v>4.0025299999999999E-4</v>
      </c>
      <c r="N152" s="188">
        <f>opex_orig!N152</f>
        <v>9.6061200000000001E-4</v>
      </c>
      <c r="O152" s="188">
        <f>opex_orig!O152</f>
        <v>2.4738000000000001E-4</v>
      </c>
      <c r="P152" s="188">
        <f>opex_orig!P152</f>
        <v>1.5653299999999999E-4</v>
      </c>
      <c r="Q152" s="188">
        <f>opex_orig!Q152</f>
        <v>3.2100000000000001E-5</v>
      </c>
      <c r="R152" s="188">
        <f>opex_orig!R152</f>
        <v>1.9899999999999999E-5</v>
      </c>
      <c r="S152" s="188">
        <f>opex_orig!S152</f>
        <v>3.5099999999999999E-5</v>
      </c>
      <c r="T152" s="188">
        <f>opex_orig!T152</f>
        <v>1.8600000000000001E-5</v>
      </c>
      <c r="U152" s="188">
        <f>opex_orig!U152</f>
        <v>3.0597799999999999E-4</v>
      </c>
      <c r="V152" s="188">
        <f>opex_orig!V152</f>
        <v>5.7236600000000004E-4</v>
      </c>
      <c r="W152" s="188">
        <f>opex_orig!W152</f>
        <v>1.0179900000000001E-4</v>
      </c>
      <c r="X152" s="188">
        <f>opex_orig!X152</f>
        <v>4.1100000000000003E-5</v>
      </c>
      <c r="Y152" s="188">
        <f>opex_orig!Y152</f>
        <v>2.2500000000000001E-5</v>
      </c>
      <c r="Z152" s="188">
        <f>opex_orig!Z152</f>
        <v>8.9499999999999994E-5</v>
      </c>
      <c r="AA152" s="188">
        <f>opex_orig!AA152</f>
        <v>4.6999999999999997E-5</v>
      </c>
      <c r="AB152" s="188">
        <f>opex_orig!$AB152</f>
        <v>3.6122724475254003E-5</v>
      </c>
      <c r="AC152" s="188">
        <f>opex_orig!$AB152</f>
        <v>3.6122724475254003E-5</v>
      </c>
      <c r="AD152" s="188">
        <f>opex_orig!$AB152</f>
        <v>3.6122724475254003E-5</v>
      </c>
      <c r="AE152" s="188">
        <f>opex_orig!$AC152</f>
        <v>3.51658865794856E-3</v>
      </c>
      <c r="AF152" s="188">
        <f>opex_orig!$AD152</f>
        <v>9.9503212743291109E-4</v>
      </c>
      <c r="AG152" s="188">
        <f>opex_orig!$AD152</f>
        <v>9.9503212743291109E-4</v>
      </c>
      <c r="AH152" s="188">
        <f>opex_orig!$AD152</f>
        <v>9.9503212743291109E-4</v>
      </c>
      <c r="AI152" s="188">
        <f>opex_orig!AE152</f>
        <v>7.5445199999999997E-4</v>
      </c>
      <c r="AJ152" s="188">
        <f>opex_orig!AF152</f>
        <v>2.0940499999999999E-4</v>
      </c>
      <c r="AK152" s="188">
        <f>opex_orig!AG152</f>
        <v>3.8500000000000001E-5</v>
      </c>
      <c r="AL152" s="188">
        <f>opex_orig!AH152</f>
        <v>5.4700000000000001E-5</v>
      </c>
      <c r="AM152" s="188">
        <f>opex_orig!AI152</f>
        <v>3.8000000000000002E-5</v>
      </c>
      <c r="AN152" s="188">
        <f>opex_orig!AJ152</f>
        <v>1.04827E-4</v>
      </c>
      <c r="AO152" s="188">
        <f>opex_orig!AK152</f>
        <v>4.6999999999999997E-5</v>
      </c>
      <c r="AP152" s="188">
        <f>opex_orig!$AL152</f>
        <v>1.3512775337577799E-4</v>
      </c>
      <c r="AQ152" s="188">
        <f>opex_orig!$AL152</f>
        <v>1.3512775337577799E-4</v>
      </c>
      <c r="AR152" s="188">
        <f>opex_orig!$AL152</f>
        <v>1.3512775337577799E-4</v>
      </c>
      <c r="AS152" s="188">
        <f>opex_orig!$AM152</f>
        <v>5.0574544437702795E-4</v>
      </c>
      <c r="AT152" s="188">
        <f>opex_orig!AN152</f>
        <v>1.4677399999999999E-4</v>
      </c>
      <c r="AU152" s="188">
        <f>opex_orig!$AO152</f>
        <v>1.9499961782822999E-4</v>
      </c>
      <c r="AV152" s="188">
        <f>opex_orig!$AO152</f>
        <v>1.9499961782822999E-4</v>
      </c>
      <c r="AW152" s="188">
        <f>opex_orig!$AO152</f>
        <v>1.9499961782822999E-4</v>
      </c>
      <c r="AX152" s="188">
        <f>opex_orig!$AP152</f>
        <v>3.1904948747469197E-4</v>
      </c>
      <c r="AY152" s="188">
        <f>opex_orig!AQ152</f>
        <v>3.8755000000000001E-4</v>
      </c>
      <c r="AZ152" s="188">
        <f>opex_orig!AR152</f>
        <v>0</v>
      </c>
      <c r="BA152" s="188">
        <f>opex_orig!AS152</f>
        <v>2.2894899999999999E-4</v>
      </c>
      <c r="BB152" s="188">
        <f>opex_orig!AT152</f>
        <v>1.6331000000000001E-4</v>
      </c>
      <c r="BC152" s="188">
        <f>opex_orig!AU152</f>
        <v>3.6683100000000003E-4</v>
      </c>
      <c r="BD152" s="188">
        <f>opex_orig!AV152</f>
        <v>4.0289999999999998E-4</v>
      </c>
      <c r="BE152" s="188">
        <f>opex_orig!AW152</f>
        <v>2.6685100000000002E-4</v>
      </c>
      <c r="BF152" s="188">
        <f>opex_orig!AX152</f>
        <v>0</v>
      </c>
      <c r="BG152" s="188">
        <f>opex_orig!AY152</f>
        <v>1.03575E-4</v>
      </c>
      <c r="BH152" s="188">
        <f>opex_orig!AZ152</f>
        <v>0</v>
      </c>
      <c r="BI152" s="188">
        <f>opex_orig!BA152</f>
        <v>1.6847100000000001E-4</v>
      </c>
      <c r="BJ152" s="188">
        <f>opex_orig!BB152</f>
        <v>2.2697099999999999E-4</v>
      </c>
      <c r="BK152" s="188">
        <f>opex_orig!BC152</f>
        <v>3.62925E-4</v>
      </c>
      <c r="BL152" s="188">
        <f>opex_orig!BD152</f>
        <v>3.0300000000000001E-5</v>
      </c>
      <c r="BM152" s="188">
        <f>opex_orig!BE152</f>
        <v>4.6199999999999998E-5</v>
      </c>
      <c r="BN152" s="188">
        <f>opex_orig!BF152</f>
        <v>1.9599999999999999E-5</v>
      </c>
      <c r="BO152" s="188">
        <f>opex_orig!BG152</f>
        <v>7.6899999999999999E-5</v>
      </c>
      <c r="BP152" s="188">
        <f>opex_orig!$BH152</f>
        <v>1.2729870880822801E-4</v>
      </c>
      <c r="BQ152" s="188">
        <f>opex_orig!$BH152</f>
        <v>1.2729870880822801E-4</v>
      </c>
      <c r="BR152" s="188">
        <f>opex_orig!BI152</f>
        <v>1.83318E-4</v>
      </c>
      <c r="BS152" s="188">
        <f>opex_orig!BJ152</f>
        <v>6.3600000000000001E-5</v>
      </c>
      <c r="BT152" s="188">
        <f>opex_orig!BK152</f>
        <v>3.1004699999999998E-4</v>
      </c>
      <c r="BU152" s="188">
        <f>opex_orig!BL152</f>
        <v>0</v>
      </c>
      <c r="BV152" s="27">
        <f>opex_orig!BM152</f>
        <v>1.6932946730991E-4</v>
      </c>
      <c r="BW152" s="27">
        <f>opex_orig!BN152</f>
        <v>9.6656315429329497E-4</v>
      </c>
      <c r="BX152" s="27">
        <f>opex_orig!BO152</f>
        <v>1.7124384044226099E-4</v>
      </c>
      <c r="BY152" s="27">
        <f>opex_orig!BP152</f>
        <v>8.3341159985566096E-4</v>
      </c>
      <c r="BZ152" s="27">
        <f>opex_orig!BQ152</f>
        <v>7.6213680567842503E-5</v>
      </c>
      <c r="CA152" s="27">
        <f>opex_orig!BR152</f>
        <v>4.7919268110639304E-6</v>
      </c>
      <c r="CB152" s="27">
        <f>opex_orig!BS152</f>
        <v>1.7331354867221999E-4</v>
      </c>
      <c r="CC152" s="27">
        <f>opex_orig!BT152</f>
        <v>4.2864053637616997E-3</v>
      </c>
      <c r="CD152" s="27">
        <f>opex_orig!BU152</f>
        <v>7.9693628963268797E-6</v>
      </c>
      <c r="CE152" s="27">
        <f>opex_orig!BV152</f>
        <v>7.9693628963268899E-6</v>
      </c>
      <c r="CF152" s="27">
        <f>opex_orig!BW152</f>
        <v>3.9296589954353803E-6</v>
      </c>
      <c r="CG152" s="27">
        <f>opex_orig!BX152</f>
        <v>5.9043087107970504E-6</v>
      </c>
      <c r="CH152" s="27">
        <f>opex_orig!BY152</f>
        <v>2.10514152409404E-6</v>
      </c>
      <c r="CI152" s="27">
        <f>opex_orig!Y152</f>
        <v>2.2500000000000001E-5</v>
      </c>
      <c r="CJ152" s="27">
        <f>opex_orig!Z152</f>
        <v>8.9499999999999994E-5</v>
      </c>
      <c r="CK152" s="27">
        <f>opex_orig!AA152</f>
        <v>4.6999999999999997E-5</v>
      </c>
      <c r="CL152" s="27">
        <f>opex_orig!AB152</f>
        <v>3.6122724475254003E-5</v>
      </c>
      <c r="CM152" s="27">
        <f>opex_orig!AC152</f>
        <v>3.51658865794856E-3</v>
      </c>
      <c r="CN152" s="27">
        <f>opex_orig!AD152</f>
        <v>9.9503212743291109E-4</v>
      </c>
      <c r="CO152" s="27">
        <f>opex_orig!AE152</f>
        <v>7.5445199999999997E-4</v>
      </c>
      <c r="CP152" s="27">
        <f>opex_orig!AF152</f>
        <v>2.0940499999999999E-4</v>
      </c>
    </row>
    <row r="153" spans="1:94" x14ac:dyDescent="0.25">
      <c r="A153" s="6" t="s">
        <v>297</v>
      </c>
      <c r="B153" s="2" t="s">
        <v>296</v>
      </c>
      <c r="C153" s="1" t="s">
        <v>335</v>
      </c>
      <c r="D153" s="188">
        <f>opex_orig!D153</f>
        <v>5.9800000000000006E-8</v>
      </c>
      <c r="E153" s="188">
        <f>opex_orig!E153</f>
        <v>1.33E-8</v>
      </c>
      <c r="F153" s="188">
        <f>opex_orig!F153</f>
        <v>2.14E-8</v>
      </c>
      <c r="G153" s="188">
        <f>opex_orig!G153</f>
        <v>3.8199999999999996E-9</v>
      </c>
      <c r="H153" s="188">
        <f>opex_orig!H153</f>
        <v>8.6100000000000007E-9</v>
      </c>
      <c r="I153" s="188">
        <f>opex_orig!I153</f>
        <v>1.8699999999999999E-8</v>
      </c>
      <c r="J153" s="188">
        <f>opex_orig!J153</f>
        <v>5.0699999999999997E-8</v>
      </c>
      <c r="K153" s="188">
        <f>opex_orig!K153</f>
        <v>1.1199999999999999E-8</v>
      </c>
      <c r="L153" s="188">
        <f>opex_orig!L153</f>
        <v>6.7099999999999999E-8</v>
      </c>
      <c r="M153" s="188">
        <f>opex_orig!M153</f>
        <v>5.5000000000000003E-8</v>
      </c>
      <c r="N153" s="188">
        <f>opex_orig!N153</f>
        <v>3.7499999999999998E-8</v>
      </c>
      <c r="O153" s="188">
        <f>opex_orig!O153</f>
        <v>3.5399999999999999E-8</v>
      </c>
      <c r="P153" s="188">
        <f>opex_orig!P153</f>
        <v>8.5E-9</v>
      </c>
      <c r="Q153" s="188">
        <f>opex_orig!Q153</f>
        <v>4.5900000000000001E-9</v>
      </c>
      <c r="R153" s="188">
        <f>opex_orig!R153</f>
        <v>5.6599999999999999E-9</v>
      </c>
      <c r="S153" s="188">
        <f>opex_orig!S153</f>
        <v>8.6100000000000007E-9</v>
      </c>
      <c r="T153" s="188">
        <f>opex_orig!T153</f>
        <v>2.85E-8</v>
      </c>
      <c r="U153" s="188">
        <f>opex_orig!U153</f>
        <v>7.61E-9</v>
      </c>
      <c r="V153" s="188">
        <f>opex_orig!V153</f>
        <v>8.4599999999999993E-9</v>
      </c>
      <c r="W153" s="188">
        <f>opex_orig!W153</f>
        <v>3.2600000000000001E-8</v>
      </c>
      <c r="X153" s="188">
        <f>opex_orig!X153</f>
        <v>1.3799999999999999E-8</v>
      </c>
      <c r="Y153" s="188">
        <f>opex_orig!Y153</f>
        <v>2.23E-7</v>
      </c>
      <c r="Z153" s="188">
        <f>opex_orig!Z153</f>
        <v>4.0300000000000004E-9</v>
      </c>
      <c r="AA153" s="188">
        <f>opex_orig!AA153</f>
        <v>3.6500000000000003E-8</v>
      </c>
      <c r="AB153" s="188">
        <f>opex_orig!$AB153</f>
        <v>3.3124385624188101E-7</v>
      </c>
      <c r="AC153" s="188">
        <f>opex_orig!$AB153</f>
        <v>3.3124385624188101E-7</v>
      </c>
      <c r="AD153" s="188">
        <f>opex_orig!$AB153</f>
        <v>3.3124385624188101E-7</v>
      </c>
      <c r="AE153" s="188">
        <f>opex_orig!$AC153</f>
        <v>3.6858164331613297E-8</v>
      </c>
      <c r="AF153" s="188">
        <f>opex_orig!$AD153</f>
        <v>1.79447557831874E-8</v>
      </c>
      <c r="AG153" s="188">
        <f>opex_orig!$AD153</f>
        <v>1.79447557831874E-8</v>
      </c>
      <c r="AH153" s="188">
        <f>opex_orig!$AD153</f>
        <v>1.79447557831874E-8</v>
      </c>
      <c r="AI153" s="188">
        <f>opex_orig!AE153</f>
        <v>1.48E-8</v>
      </c>
      <c r="AJ153" s="188">
        <f>opex_orig!AF153</f>
        <v>2.4999999999999999E-8</v>
      </c>
      <c r="AK153" s="188">
        <f>opex_orig!AG153</f>
        <v>5.6599999999999999E-9</v>
      </c>
      <c r="AL153" s="188">
        <f>opex_orig!AH153</f>
        <v>2.1699999999999999E-8</v>
      </c>
      <c r="AM153" s="188">
        <f>opex_orig!AI153</f>
        <v>1.3000000000000001E-8</v>
      </c>
      <c r="AN153" s="188">
        <f>opex_orig!AJ153</f>
        <v>2.5600000000000001E-8</v>
      </c>
      <c r="AO153" s="188">
        <f>opex_orig!AK153</f>
        <v>1.9799999999999999E-8</v>
      </c>
      <c r="AP153" s="188">
        <f>opex_orig!$AL153</f>
        <v>1.48236781438993E-8</v>
      </c>
      <c r="AQ153" s="188">
        <f>opex_orig!$AL153</f>
        <v>1.48236781438993E-8</v>
      </c>
      <c r="AR153" s="188">
        <f>opex_orig!$AL153</f>
        <v>1.48236781438993E-8</v>
      </c>
      <c r="AS153" s="188">
        <f>opex_orig!$AM153</f>
        <v>1.68812119936103E-8</v>
      </c>
      <c r="AT153" s="188">
        <f>opex_orig!AN153</f>
        <v>1.33E-8</v>
      </c>
      <c r="AU153" s="188">
        <f>opex_orig!$AO153</f>
        <v>4.5260085548045498E-8</v>
      </c>
      <c r="AV153" s="188">
        <f>opex_orig!$AO153</f>
        <v>4.5260085548045498E-8</v>
      </c>
      <c r="AW153" s="188">
        <f>opex_orig!$AO153</f>
        <v>4.5260085548045498E-8</v>
      </c>
      <c r="AX153" s="188">
        <f>opex_orig!$AP153</f>
        <v>1.0647973758409799E-8</v>
      </c>
      <c r="AY153" s="188">
        <f>opex_orig!AQ153</f>
        <v>7.6000000000000002E-9</v>
      </c>
      <c r="AZ153" s="188">
        <f>opex_orig!AR153</f>
        <v>0</v>
      </c>
      <c r="BA153" s="188">
        <f>opex_orig!AS153</f>
        <v>9.8099999999999998E-9</v>
      </c>
      <c r="BB153" s="188">
        <f>opex_orig!AT153</f>
        <v>7.0800000000000004E-9</v>
      </c>
      <c r="BC153" s="188">
        <f>opex_orig!AU153</f>
        <v>4.6299999999999999E-9</v>
      </c>
      <c r="BD153" s="188">
        <f>opex_orig!AV153</f>
        <v>4.4699999999999997E-9</v>
      </c>
      <c r="BE153" s="188">
        <f>opex_orig!AW153</f>
        <v>5.0799999999999998E-9</v>
      </c>
      <c r="BF153" s="188">
        <f>opex_orig!AX153</f>
        <v>0</v>
      </c>
      <c r="BG153" s="188">
        <f>opex_orig!AY153</f>
        <v>2.18E-8</v>
      </c>
      <c r="BH153" s="188">
        <f>opex_orig!AZ153</f>
        <v>0</v>
      </c>
      <c r="BI153" s="188">
        <f>opex_orig!BA153</f>
        <v>1E-8</v>
      </c>
      <c r="BJ153" s="188">
        <f>opex_orig!BB153</f>
        <v>7.8000000000000004E-9</v>
      </c>
      <c r="BK153" s="188">
        <f>opex_orig!BC153</f>
        <v>9.94E-9</v>
      </c>
      <c r="BL153" s="188">
        <f>opex_orig!BD153</f>
        <v>1.73E-9</v>
      </c>
      <c r="BM153" s="188">
        <f>opex_orig!BE153</f>
        <v>6.5899999999999998E-9</v>
      </c>
      <c r="BN153" s="188">
        <f>opex_orig!BF153</f>
        <v>1.74E-9</v>
      </c>
      <c r="BO153" s="188">
        <f>opex_orig!BG153</f>
        <v>6.8800000000000002E-9</v>
      </c>
      <c r="BP153" s="188">
        <f>opex_orig!$BH153</f>
        <v>5.8491541064663598E-9</v>
      </c>
      <c r="BQ153" s="188">
        <f>opex_orig!$BH153</f>
        <v>5.8491541064663598E-9</v>
      </c>
      <c r="BR153" s="188">
        <f>opex_orig!BI153</f>
        <v>3.94E-9</v>
      </c>
      <c r="BS153" s="188">
        <f>opex_orig!BJ153</f>
        <v>1.24E-8</v>
      </c>
      <c r="BT153" s="188">
        <f>opex_orig!BK153</f>
        <v>6.3099999999999999E-9</v>
      </c>
      <c r="BU153" s="188">
        <f>opex_orig!BL153</f>
        <v>0</v>
      </c>
      <c r="BV153" s="27">
        <f>opex_orig!BM153</f>
        <v>5.9684984694976295E-8</v>
      </c>
      <c r="BW153" s="27">
        <f>opex_orig!BN153</f>
        <v>1.35342489055662E-8</v>
      </c>
      <c r="BX153" s="27">
        <f>opex_orig!BO153</f>
        <v>3.1995826005544702E-9</v>
      </c>
      <c r="BY153" s="27">
        <f>opex_orig!BP153</f>
        <v>9.5225606378635995E-9</v>
      </c>
      <c r="BZ153" s="27">
        <f>opex_orig!BQ153</f>
        <v>3.7491506243653902E-8</v>
      </c>
      <c r="CA153" s="27">
        <f>opex_orig!BR153</f>
        <v>2.1966410998050101E-7</v>
      </c>
      <c r="CB153" s="27">
        <f>opex_orig!BS153</f>
        <v>1.00449291662653E-7</v>
      </c>
      <c r="CC153" s="27">
        <f>opex_orig!BT153</f>
        <v>1.18568197719708E-8</v>
      </c>
      <c r="CD153" s="27">
        <f>opex_orig!BU153</f>
        <v>3.8002937281402397E-9</v>
      </c>
      <c r="CE153" s="27">
        <f>opex_orig!BV153</f>
        <v>3.8002937281402496E-9</v>
      </c>
      <c r="CF153" s="27">
        <f>opex_orig!BW153</f>
        <v>1.36619149831936E-8</v>
      </c>
      <c r="CG153" s="27">
        <f>opex_orig!BX153</f>
        <v>4.7866875770247495E-10</v>
      </c>
      <c r="CH153" s="27">
        <f>opex_orig!BY153</f>
        <v>2.7009100532561298E-9</v>
      </c>
      <c r="CI153" s="27">
        <f>opex_orig!Y153</f>
        <v>2.23E-7</v>
      </c>
      <c r="CJ153" s="27">
        <f>opex_orig!Z153</f>
        <v>4.0300000000000004E-9</v>
      </c>
      <c r="CK153" s="27">
        <f>opex_orig!AA153</f>
        <v>3.6500000000000003E-8</v>
      </c>
      <c r="CL153" s="27">
        <f>opex_orig!AB153</f>
        <v>3.3124385624188101E-7</v>
      </c>
      <c r="CM153" s="27">
        <f>opex_orig!AC153</f>
        <v>3.6858164331613297E-8</v>
      </c>
      <c r="CN153" s="27">
        <f>opex_orig!AD153</f>
        <v>1.79447557831874E-8</v>
      </c>
      <c r="CO153" s="27">
        <f>opex_orig!AE153</f>
        <v>1.48E-8</v>
      </c>
      <c r="CP153" s="27">
        <f>opex_orig!AF153</f>
        <v>2.4999999999999999E-8</v>
      </c>
    </row>
    <row r="154" spans="1:94" x14ac:dyDescent="0.25">
      <c r="A154" s="6" t="s">
        <v>299</v>
      </c>
      <c r="B154" s="2" t="s">
        <v>298</v>
      </c>
      <c r="C154" s="1" t="s">
        <v>335</v>
      </c>
      <c r="D154" s="188">
        <f>opex_orig!D154</f>
        <v>4.5905799999999998E-4</v>
      </c>
      <c r="E154" s="188">
        <f>opex_orig!E154</f>
        <v>1.65141E-4</v>
      </c>
      <c r="F154" s="188">
        <f>opex_orig!F154</f>
        <v>1.6490799999999999E-4</v>
      </c>
      <c r="G154" s="188">
        <f>opex_orig!G154</f>
        <v>9.6600000000000007E-6</v>
      </c>
      <c r="H154" s="188">
        <f>opex_orig!H154</f>
        <v>1.6099999999999998E-5</v>
      </c>
      <c r="I154" s="188">
        <f>opex_orig!I154</f>
        <v>1.5862800000000001E-4</v>
      </c>
      <c r="J154" s="188">
        <f>opex_orig!J154</f>
        <v>1.5508300000000001E-4</v>
      </c>
      <c r="K154" s="188">
        <f>opex_orig!K154</f>
        <v>2.5700000000000001E-5</v>
      </c>
      <c r="L154" s="188">
        <f>opex_orig!L154</f>
        <v>2.1560199999999999E-4</v>
      </c>
      <c r="M154" s="188">
        <f>opex_orig!M154</f>
        <v>6.0227900000000005E-4</v>
      </c>
      <c r="N154" s="188">
        <f>opex_orig!N154</f>
        <v>9.4162499999999997E-4</v>
      </c>
      <c r="O154" s="188">
        <f>opex_orig!O154</f>
        <v>3.3530000000000002E-4</v>
      </c>
      <c r="P154" s="188">
        <f>opex_orig!P154</f>
        <v>1.6721499999999999E-4</v>
      </c>
      <c r="Q154" s="188">
        <f>opex_orig!Q154</f>
        <v>7.8499999999999997E-5</v>
      </c>
      <c r="R154" s="188">
        <f>opex_orig!R154</f>
        <v>2.44E-5</v>
      </c>
      <c r="S154" s="188">
        <f>opex_orig!S154</f>
        <v>4.2400000000000001E-5</v>
      </c>
      <c r="T154" s="188">
        <f>opex_orig!T154</f>
        <v>3.15E-5</v>
      </c>
      <c r="U154" s="188">
        <f>opex_orig!U154</f>
        <v>3.6199600000000001E-4</v>
      </c>
      <c r="V154" s="188">
        <f>opex_orig!V154</f>
        <v>6.2190599999999998E-4</v>
      </c>
      <c r="W154" s="188">
        <f>opex_orig!W154</f>
        <v>1.2652799999999999E-4</v>
      </c>
      <c r="X154" s="188">
        <f>opex_orig!X154</f>
        <v>5.3699999999999997E-5</v>
      </c>
      <c r="Y154" s="188">
        <f>opex_orig!Y154</f>
        <v>3.3399999999999999E-5</v>
      </c>
      <c r="Z154" s="188">
        <f>opex_orig!Z154</f>
        <v>1.16698E-4</v>
      </c>
      <c r="AA154" s="188">
        <f>opex_orig!AA154</f>
        <v>8.0900000000000001E-5</v>
      </c>
      <c r="AB154" s="188">
        <f>opex_orig!$AB154</f>
        <v>6.00974610040198E-5</v>
      </c>
      <c r="AC154" s="188">
        <f>opex_orig!$AB154</f>
        <v>6.00974610040198E-5</v>
      </c>
      <c r="AD154" s="188">
        <f>opex_orig!$AB154</f>
        <v>6.00974610040198E-5</v>
      </c>
      <c r="AE154" s="188">
        <f>opex_orig!$AC154</f>
        <v>3.2787202138873702E-3</v>
      </c>
      <c r="AF154" s="188">
        <f>opex_orig!$AD154</f>
        <v>1.19876281626405E-3</v>
      </c>
      <c r="AG154" s="188">
        <f>opex_orig!$AD154</f>
        <v>1.19876281626405E-3</v>
      </c>
      <c r="AH154" s="188">
        <f>opex_orig!$AD154</f>
        <v>1.19876281626405E-3</v>
      </c>
      <c r="AI154" s="188">
        <f>opex_orig!AE154</f>
        <v>9.8096399999999997E-4</v>
      </c>
      <c r="AJ154" s="188">
        <f>opex_orig!AF154</f>
        <v>3.2990599999999998E-4</v>
      </c>
      <c r="AK154" s="188">
        <f>opex_orig!AG154</f>
        <v>5.5000000000000002E-5</v>
      </c>
      <c r="AL154" s="188">
        <f>opex_orig!AH154</f>
        <v>6.1500000000000004E-5</v>
      </c>
      <c r="AM154" s="188">
        <f>opex_orig!AI154</f>
        <v>3.95296E-4</v>
      </c>
      <c r="AN154" s="188">
        <f>opex_orig!AJ154</f>
        <v>1.0030300000000001E-4</v>
      </c>
      <c r="AO154" s="188">
        <f>opex_orig!AK154</f>
        <v>6.5319100000000001E-4</v>
      </c>
      <c r="AP154" s="188">
        <f>opex_orig!$AL154</f>
        <v>1.4631340572300599E-4</v>
      </c>
      <c r="AQ154" s="188">
        <f>opex_orig!$AL154</f>
        <v>1.4631340572300599E-4</v>
      </c>
      <c r="AR154" s="188">
        <f>opex_orig!$AL154</f>
        <v>1.4631340572300599E-4</v>
      </c>
      <c r="AS154" s="188">
        <f>opex_orig!$AM154</f>
        <v>4.5476328950981099E-4</v>
      </c>
      <c r="AT154" s="188">
        <f>opex_orig!AN154</f>
        <v>1.6961E-4</v>
      </c>
      <c r="AU154" s="188">
        <f>opex_orig!$AO154</f>
        <v>3.1085848023983001E-4</v>
      </c>
      <c r="AV154" s="188">
        <f>opex_orig!$AO154</f>
        <v>3.1085848023983001E-4</v>
      </c>
      <c r="AW154" s="188">
        <f>opex_orig!$AO154</f>
        <v>3.1085848023983001E-4</v>
      </c>
      <c r="AX154" s="188">
        <f>opex_orig!$AP154</f>
        <v>4.3920308043526998E-4</v>
      </c>
      <c r="AY154" s="188">
        <f>opex_orig!AQ154</f>
        <v>4.9028299999999999E-4</v>
      </c>
      <c r="AZ154" s="188">
        <f>opex_orig!AR154</f>
        <v>0</v>
      </c>
      <c r="BA154" s="188">
        <f>opex_orig!AS154</f>
        <v>3.00966E-4</v>
      </c>
      <c r="BB154" s="188">
        <f>opex_orig!AT154</f>
        <v>2.5911400000000001E-4</v>
      </c>
      <c r="BC154" s="188">
        <f>opex_orig!AU154</f>
        <v>3.2238299999999998E-4</v>
      </c>
      <c r="BD154" s="188">
        <f>opex_orig!AV154</f>
        <v>3.4757599999999999E-4</v>
      </c>
      <c r="BE154" s="188">
        <f>opex_orig!AW154</f>
        <v>3.3749099999999998E-4</v>
      </c>
      <c r="BF154" s="188">
        <f>opex_orig!AX154</f>
        <v>0</v>
      </c>
      <c r="BG154" s="188">
        <f>opex_orig!AY154</f>
        <v>1.88841E-4</v>
      </c>
      <c r="BH154" s="188">
        <f>opex_orig!AZ154</f>
        <v>0</v>
      </c>
      <c r="BI154" s="188">
        <f>opex_orig!BA154</f>
        <v>2.5232299999999999E-4</v>
      </c>
      <c r="BJ154" s="188">
        <f>opex_orig!BB154</f>
        <v>3.47012E-4</v>
      </c>
      <c r="BK154" s="188">
        <f>opex_orig!BC154</f>
        <v>5.5958600000000005E-4</v>
      </c>
      <c r="BL154" s="188">
        <f>opex_orig!BD154</f>
        <v>3.6999999999999998E-5</v>
      </c>
      <c r="BM154" s="188">
        <f>opex_orig!BE154</f>
        <v>7.1099999999999994E-5</v>
      </c>
      <c r="BN154" s="188">
        <f>opex_orig!BF154</f>
        <v>2.2900000000000001E-5</v>
      </c>
      <c r="BO154" s="188">
        <f>opex_orig!BG154</f>
        <v>1.0135499999999999E-4</v>
      </c>
      <c r="BP154" s="188">
        <f>opex_orig!$BH154</f>
        <v>1.9590367138453099E-4</v>
      </c>
      <c r="BQ154" s="188">
        <f>opex_orig!$BH154</f>
        <v>1.9590367138453099E-4</v>
      </c>
      <c r="BR154" s="188">
        <f>opex_orig!BI154</f>
        <v>2.60683E-4</v>
      </c>
      <c r="BS154" s="188">
        <f>opex_orig!BJ154</f>
        <v>9.3300000000000005E-5</v>
      </c>
      <c r="BT154" s="188">
        <f>opex_orig!BK154</f>
        <v>5.1384399999999995E-4</v>
      </c>
      <c r="BU154" s="188">
        <f>opex_orig!BL154</f>
        <v>0</v>
      </c>
      <c r="BV154" s="27">
        <f>opex_orig!BM154</f>
        <v>2.3533445448944499E-4</v>
      </c>
      <c r="BW154" s="27">
        <f>opex_orig!BN154</f>
        <v>9.2141172416562603E-4</v>
      </c>
      <c r="BX154" s="27">
        <f>opex_orig!BO154</f>
        <v>2.2693953237543299E-4</v>
      </c>
      <c r="BY154" s="27">
        <f>opex_orig!BP154</f>
        <v>7.41883456431368E-4</v>
      </c>
      <c r="BZ154" s="27">
        <f>opex_orig!BQ154</f>
        <v>3.30980313877647E-3</v>
      </c>
      <c r="CA154" s="27">
        <f>opex_orig!BR154</f>
        <v>2.9163671353881902E-6</v>
      </c>
      <c r="CB154" s="27">
        <f>opex_orig!BS154</f>
        <v>2.0828994071538101E-4</v>
      </c>
      <c r="CC154" s="27">
        <f>opex_orig!BT154</f>
        <v>3.0968596744851998E-4</v>
      </c>
      <c r="CD154" s="27">
        <f>opex_orig!BU154</f>
        <v>1.5535380806972601E-5</v>
      </c>
      <c r="CE154" s="27">
        <f>opex_orig!BV154</f>
        <v>1.5535380806972601E-5</v>
      </c>
      <c r="CF154" s="27">
        <f>opex_orig!BW154</f>
        <v>1.59291745929494E-6</v>
      </c>
      <c r="CG154" s="27">
        <f>opex_orig!BX154</f>
        <v>4.1330530822725E-6</v>
      </c>
      <c r="CH154" s="27">
        <f>opex_orig!BY154</f>
        <v>1.6990441657205E-6</v>
      </c>
      <c r="CI154" s="27">
        <f>opex_orig!Y154</f>
        <v>3.3399999999999999E-5</v>
      </c>
      <c r="CJ154" s="27">
        <f>opex_orig!Z154</f>
        <v>1.16698E-4</v>
      </c>
      <c r="CK154" s="27">
        <f>opex_orig!AA154</f>
        <v>8.0900000000000001E-5</v>
      </c>
      <c r="CL154" s="27">
        <f>opex_orig!AB154</f>
        <v>6.00974610040198E-5</v>
      </c>
      <c r="CM154" s="27">
        <f>opex_orig!AC154</f>
        <v>3.2787202138873702E-3</v>
      </c>
      <c r="CN154" s="27">
        <f>opex_orig!AD154</f>
        <v>1.19876281626405E-3</v>
      </c>
      <c r="CO154" s="27">
        <f>opex_orig!AE154</f>
        <v>9.8096399999999997E-4</v>
      </c>
      <c r="CP154" s="27">
        <f>opex_orig!AF154</f>
        <v>3.2990599999999998E-4</v>
      </c>
    </row>
    <row r="155" spans="1:94" x14ac:dyDescent="0.25">
      <c r="A155" s="6" t="s">
        <v>301</v>
      </c>
      <c r="B155" s="2" t="s">
        <v>300</v>
      </c>
      <c r="C155" s="1" t="s">
        <v>335</v>
      </c>
      <c r="D155" s="188">
        <f>opex_orig!D155</f>
        <v>8.87827E-4</v>
      </c>
      <c r="E155" s="188">
        <f>opex_orig!E155</f>
        <v>3.2305600000000001E-4</v>
      </c>
      <c r="F155" s="188">
        <f>opex_orig!F155</f>
        <v>8.0900000000000001E-5</v>
      </c>
      <c r="G155" s="188">
        <f>opex_orig!G155</f>
        <v>1.7900000000000001E-5</v>
      </c>
      <c r="H155" s="188">
        <f>opex_orig!H155</f>
        <v>3.0000000000000001E-5</v>
      </c>
      <c r="I155" s="188">
        <f>opex_orig!I155</f>
        <v>2.9926300000000002E-4</v>
      </c>
      <c r="J155" s="188">
        <f>opex_orig!J155</f>
        <v>2.8236599999999999E-4</v>
      </c>
      <c r="K155" s="188">
        <f>opex_orig!K155</f>
        <v>4.7800000000000003E-5</v>
      </c>
      <c r="L155" s="188">
        <f>opex_orig!L155</f>
        <v>4.0429300000000001E-4</v>
      </c>
      <c r="M155" s="188">
        <f>opex_orig!M155</f>
        <v>1.131347E-3</v>
      </c>
      <c r="N155" s="188">
        <f>opex_orig!N155</f>
        <v>1.8647030000000001E-3</v>
      </c>
      <c r="O155" s="188">
        <f>opex_orig!O155</f>
        <v>6.4103300000000005E-4</v>
      </c>
      <c r="P155" s="188">
        <f>opex_orig!P155</f>
        <v>3.1710700000000001E-4</v>
      </c>
      <c r="Q155" s="188">
        <f>opex_orig!Q155</f>
        <v>4.9200000000000003E-5</v>
      </c>
      <c r="R155" s="188">
        <f>opex_orig!R155</f>
        <v>4.3900000000000003E-5</v>
      </c>
      <c r="S155" s="188">
        <f>opex_orig!S155</f>
        <v>8.1899999999999999E-5</v>
      </c>
      <c r="T155" s="188">
        <f>opex_orig!T155</f>
        <v>5.8400000000000003E-5</v>
      </c>
      <c r="U155" s="188">
        <f>opex_orig!U155</f>
        <v>6.98031E-4</v>
      </c>
      <c r="V155" s="188">
        <f>opex_orig!V155</f>
        <v>1.213371E-3</v>
      </c>
      <c r="W155" s="188">
        <f>opex_orig!W155</f>
        <v>2.41179E-4</v>
      </c>
      <c r="X155" s="188">
        <f>opex_orig!X155</f>
        <v>1.02834E-4</v>
      </c>
      <c r="Y155" s="188">
        <f>opex_orig!Y155</f>
        <v>6.0999999999999999E-5</v>
      </c>
      <c r="Z155" s="188">
        <f>opex_orig!Z155</f>
        <v>2.22766E-4</v>
      </c>
      <c r="AA155" s="188">
        <f>opex_orig!AA155</f>
        <v>1.4192999999999999E-4</v>
      </c>
      <c r="AB155" s="188">
        <f>opex_orig!$AB155</f>
        <v>1.75779615479713E-4</v>
      </c>
      <c r="AC155" s="188">
        <f>opex_orig!$AB155</f>
        <v>1.75779615479713E-4</v>
      </c>
      <c r="AD155" s="188">
        <f>opex_orig!$AB155</f>
        <v>1.75779615479713E-4</v>
      </c>
      <c r="AE155" s="188">
        <f>opex_orig!$AC155</f>
        <v>6.5440124258429903E-3</v>
      </c>
      <c r="AF155" s="188">
        <f>opex_orig!$AD155</f>
        <v>2.3060063501480301E-3</v>
      </c>
      <c r="AG155" s="188">
        <f>opex_orig!$AD155</f>
        <v>2.3060063501480301E-3</v>
      </c>
      <c r="AH155" s="188">
        <f>opex_orig!$AD155</f>
        <v>2.3060063501480301E-3</v>
      </c>
      <c r="AI155" s="188">
        <f>opex_orig!AE155</f>
        <v>1.8678080000000001E-3</v>
      </c>
      <c r="AJ155" s="188">
        <f>opex_orig!AF155</f>
        <v>6.1852000000000001E-4</v>
      </c>
      <c r="AK155" s="188">
        <f>opex_orig!AG155</f>
        <v>1.042E-4</v>
      </c>
      <c r="AL155" s="188">
        <f>opex_orig!AH155</f>
        <v>1.1934699999999999E-4</v>
      </c>
      <c r="AM155" s="188">
        <f>opex_orig!AI155</f>
        <v>7.9468599999999996E-4</v>
      </c>
      <c r="AN155" s="188">
        <f>opex_orig!AJ155</f>
        <v>1.9937899999999999E-4</v>
      </c>
      <c r="AO155" s="188">
        <f>opex_orig!AK155</f>
        <v>1.3182510000000001E-3</v>
      </c>
      <c r="AP155" s="188">
        <f>opex_orig!$AL155</f>
        <v>2.8567617890058202E-4</v>
      </c>
      <c r="AQ155" s="188">
        <f>opex_orig!$AL155</f>
        <v>2.8567617890058202E-4</v>
      </c>
      <c r="AR155" s="188">
        <f>opex_orig!$AL155</f>
        <v>2.8567617890058202E-4</v>
      </c>
      <c r="AS155" s="188">
        <f>opex_orig!$AM155</f>
        <v>9.1403329914841304E-4</v>
      </c>
      <c r="AT155" s="188">
        <f>opex_orig!AN155</f>
        <v>3.2839399999999997E-4</v>
      </c>
      <c r="AU155" s="188">
        <f>opex_orig!$AO155</f>
        <v>5.8404726826616002E-4</v>
      </c>
      <c r="AV155" s="188">
        <f>opex_orig!$AO155</f>
        <v>5.8404726826616002E-4</v>
      </c>
      <c r="AW155" s="188">
        <f>opex_orig!$AO155</f>
        <v>5.8404726826616002E-4</v>
      </c>
      <c r="AX155" s="188">
        <f>opex_orig!$AP155</f>
        <v>8.3863771021095497E-4</v>
      </c>
      <c r="AY155" s="188">
        <f>opex_orig!AQ155</f>
        <v>9.40236E-4</v>
      </c>
      <c r="AZ155" s="188">
        <f>opex_orig!AR155</f>
        <v>0</v>
      </c>
      <c r="BA155" s="188">
        <f>opex_orig!AS155</f>
        <v>5.7917799999999996E-4</v>
      </c>
      <c r="BB155" s="188">
        <f>opex_orig!AT155</f>
        <v>4.9100200000000004E-4</v>
      </c>
      <c r="BC155" s="188">
        <f>opex_orig!AU155</f>
        <v>6.5167600000000001E-4</v>
      </c>
      <c r="BD155" s="188">
        <f>opex_orig!AV155</f>
        <v>7.0493699999999999E-4</v>
      </c>
      <c r="BE155" s="188">
        <f>opex_orig!AW155</f>
        <v>6.5039399999999999E-4</v>
      </c>
      <c r="BF155" s="188">
        <f>opex_orig!AX155</f>
        <v>0</v>
      </c>
      <c r="BG155" s="188">
        <f>opex_orig!AY155</f>
        <v>3.5110300000000002E-4</v>
      </c>
      <c r="BH155" s="188">
        <f>opex_orig!AZ155</f>
        <v>0</v>
      </c>
      <c r="BI155" s="188">
        <f>opex_orig!BA155</f>
        <v>4.7515399999999998E-4</v>
      </c>
      <c r="BJ155" s="188">
        <f>opex_orig!BB155</f>
        <v>6.50422E-4</v>
      </c>
      <c r="BK155" s="188">
        <f>opex_orig!BC155</f>
        <v>1.0500399999999999E-3</v>
      </c>
      <c r="BL155" s="188">
        <f>opex_orig!BD155</f>
        <v>7.5199999999999998E-5</v>
      </c>
      <c r="BM155" s="188">
        <f>opex_orig!BE155</f>
        <v>1.4140999999999999E-4</v>
      </c>
      <c r="BN155" s="188">
        <f>opex_orig!BF155</f>
        <v>4.4199999999999997E-5</v>
      </c>
      <c r="BO155" s="188">
        <f>opex_orig!BG155</f>
        <v>1.9395400000000001E-4</v>
      </c>
      <c r="BP155" s="188">
        <f>opex_orig!$BH155</f>
        <v>3.69167925723472E-4</v>
      </c>
      <c r="BQ155" s="188">
        <f>opex_orig!$BH155</f>
        <v>3.69167925723472E-4</v>
      </c>
      <c r="BR155" s="188">
        <f>opex_orig!BI155</f>
        <v>4.9282299999999998E-4</v>
      </c>
      <c r="BS155" s="188">
        <f>opex_orig!BJ155</f>
        <v>1.7614900000000001E-4</v>
      </c>
      <c r="BT155" s="188">
        <f>opex_orig!BK155</f>
        <v>9.6810400000000001E-4</v>
      </c>
      <c r="BU155" s="188">
        <f>opex_orig!BL155</f>
        <v>0</v>
      </c>
      <c r="BV155" s="27">
        <f>opex_orig!BM155</f>
        <v>4.43155536702237E-4</v>
      </c>
      <c r="BW155" s="27">
        <f>opex_orig!BN155</f>
        <v>1.83405471052581E-3</v>
      </c>
      <c r="BX155" s="27">
        <f>opex_orig!BO155</f>
        <v>4.3143751782531101E-4</v>
      </c>
      <c r="BY155" s="27">
        <f>opex_orig!BP155</f>
        <v>1.49388600936813E-3</v>
      </c>
      <c r="BZ155" s="27">
        <f>opex_orig!BQ155</f>
        <v>2.2234702234125601E-4</v>
      </c>
      <c r="CA155" s="27">
        <f>opex_orig!BR155</f>
        <v>7.45277610514715E-6</v>
      </c>
      <c r="CB155" s="27">
        <f>opex_orig!BS155</f>
        <v>3.2417242088143898E-4</v>
      </c>
      <c r="CC155" s="27">
        <f>opex_orig!BT155</f>
        <v>6.25276723281627E-4</v>
      </c>
      <c r="CD155" s="27">
        <f>opex_orig!BU155</f>
        <v>2.92708586837795E-5</v>
      </c>
      <c r="CE155" s="27">
        <f>opex_orig!BV155</f>
        <v>2.9270858683779601E-5</v>
      </c>
      <c r="CF155" s="27">
        <f>opex_orig!BW155</f>
        <v>3.2735414489275702E-6</v>
      </c>
      <c r="CG155" s="27">
        <f>opex_orig!BX155</f>
        <v>5.5476878097768999E-6</v>
      </c>
      <c r="CH155" s="27">
        <f>opex_orig!BY155</f>
        <v>1.8375001341602801E-6</v>
      </c>
      <c r="CI155" s="27">
        <f>opex_orig!Y155</f>
        <v>6.0999999999999999E-5</v>
      </c>
      <c r="CJ155" s="27">
        <f>opex_orig!Z155</f>
        <v>2.22766E-4</v>
      </c>
      <c r="CK155" s="27">
        <f>opex_orig!AA155</f>
        <v>1.4192999999999999E-4</v>
      </c>
      <c r="CL155" s="27">
        <f>opex_orig!AB155</f>
        <v>1.75779615479713E-4</v>
      </c>
      <c r="CM155" s="27">
        <f>opex_orig!AC155</f>
        <v>6.5440124258429903E-3</v>
      </c>
      <c r="CN155" s="27">
        <f>opex_orig!AD155</f>
        <v>2.3060063501480301E-3</v>
      </c>
      <c r="CO155" s="27">
        <f>opex_orig!AE155</f>
        <v>1.8678080000000001E-3</v>
      </c>
      <c r="CP155" s="27">
        <f>opex_orig!AF155</f>
        <v>6.1852000000000001E-4</v>
      </c>
    </row>
    <row r="156" spans="1:94" x14ac:dyDescent="0.25">
      <c r="A156" s="6" t="s">
        <v>303</v>
      </c>
      <c r="B156" s="2" t="s">
        <v>302</v>
      </c>
      <c r="C156" s="1" t="s">
        <v>335</v>
      </c>
      <c r="D156" s="188">
        <f>opex_orig!D156</f>
        <v>6.9707000000000005E-4</v>
      </c>
      <c r="E156" s="188">
        <f>opex_orig!E156</f>
        <v>7.3923700000000001E-4</v>
      </c>
      <c r="F156" s="188">
        <f>opex_orig!F156</f>
        <v>1.1307900000000001E-4</v>
      </c>
      <c r="G156" s="188">
        <f>opex_orig!G156</f>
        <v>2.48E-5</v>
      </c>
      <c r="H156" s="188">
        <f>opex_orig!H156</f>
        <v>4.1600000000000002E-5</v>
      </c>
      <c r="I156" s="188">
        <f>opex_orig!I156</f>
        <v>4.7487099999999997E-4</v>
      </c>
      <c r="J156" s="188">
        <f>opex_orig!J156</f>
        <v>3.9058499999999999E-4</v>
      </c>
      <c r="K156" s="188">
        <f>opex_orig!K156</f>
        <v>6.6299999999999999E-5</v>
      </c>
      <c r="L156" s="188">
        <f>opex_orig!L156</f>
        <v>6.00561E-4</v>
      </c>
      <c r="M156" s="188">
        <f>opex_orig!M156</f>
        <v>1.6706609999999999E-3</v>
      </c>
      <c r="N156" s="188">
        <f>opex_orig!N156</f>
        <v>4.7147619999999999E-3</v>
      </c>
      <c r="O156" s="188">
        <f>opex_orig!O156</f>
        <v>1.2280850000000001E-3</v>
      </c>
      <c r="P156" s="188">
        <f>opex_orig!P156</f>
        <v>5.1373100000000002E-4</v>
      </c>
      <c r="Q156" s="188">
        <f>opex_orig!Q156</f>
        <v>7.6500000000000003E-5</v>
      </c>
      <c r="R156" s="188">
        <f>opex_orig!R156</f>
        <v>5.94E-5</v>
      </c>
      <c r="S156" s="188">
        <f>opex_orig!S156</f>
        <v>1.72564E-4</v>
      </c>
      <c r="T156" s="188">
        <f>opex_orig!T156</f>
        <v>8.2700000000000004E-5</v>
      </c>
      <c r="U156" s="188">
        <f>opex_orig!U156</f>
        <v>1.3881290000000001E-3</v>
      </c>
      <c r="V156" s="188">
        <f>opex_orig!V156</f>
        <v>2.679617E-3</v>
      </c>
      <c r="W156" s="188">
        <f>opex_orig!W156</f>
        <v>4.4044599999999999E-4</v>
      </c>
      <c r="X156" s="188">
        <f>opex_orig!X156</f>
        <v>2.0505400000000001E-4</v>
      </c>
      <c r="Y156" s="188">
        <f>opex_orig!Y156</f>
        <v>8.4699999999999999E-5</v>
      </c>
      <c r="Z156" s="188">
        <f>opex_orig!Z156</f>
        <v>5.0925799999999995E-4</v>
      </c>
      <c r="AA156" s="188">
        <f>opex_orig!AA156</f>
        <v>1.9376500000000001E-4</v>
      </c>
      <c r="AB156" s="188">
        <f>opex_orig!$AB156</f>
        <v>2.8991103986343098E-4</v>
      </c>
      <c r="AC156" s="188">
        <f>opex_orig!$AB156</f>
        <v>2.8991103986343098E-4</v>
      </c>
      <c r="AD156" s="188">
        <f>opex_orig!$AB156</f>
        <v>2.8991103986343098E-4</v>
      </c>
      <c r="AE156" s="188">
        <f>opex_orig!$AC156</f>
        <v>1.7375960445600001E-2</v>
      </c>
      <c r="AF156" s="188">
        <f>opex_orig!$AD156</f>
        <v>4.4715935971112999E-3</v>
      </c>
      <c r="AG156" s="188">
        <f>opex_orig!$AD156</f>
        <v>4.4715935971112999E-3</v>
      </c>
      <c r="AH156" s="188">
        <f>opex_orig!$AD156</f>
        <v>4.4715935971112999E-3</v>
      </c>
      <c r="AI156" s="188">
        <f>opex_orig!AE156</f>
        <v>3.24968E-3</v>
      </c>
      <c r="AJ156" s="188">
        <f>opex_orig!AF156</f>
        <v>8.8707599999999999E-4</v>
      </c>
      <c r="AK156" s="188">
        <f>opex_orig!AG156</f>
        <v>1.67999E-4</v>
      </c>
      <c r="AL156" s="188">
        <f>opex_orig!AH156</f>
        <v>2.7130999999999998E-4</v>
      </c>
      <c r="AM156" s="188">
        <f>opex_orig!AI156</f>
        <v>1.7002200000000001E-4</v>
      </c>
      <c r="AN156" s="188">
        <f>opex_orig!AJ156</f>
        <v>5.2481700000000001E-4</v>
      </c>
      <c r="AO156" s="188">
        <f>opex_orig!AK156</f>
        <v>2.0376300000000001E-4</v>
      </c>
      <c r="AP156" s="188">
        <f>opex_orig!$AL156</f>
        <v>6.5255405964827597E-4</v>
      </c>
      <c r="AQ156" s="188">
        <f>opex_orig!$AL156</f>
        <v>6.5255405964827597E-4</v>
      </c>
      <c r="AR156" s="188">
        <f>opex_orig!$AL156</f>
        <v>6.5255405964827597E-4</v>
      </c>
      <c r="AS156" s="188">
        <f>opex_orig!$AM156</f>
        <v>1.9103215063761699E-4</v>
      </c>
      <c r="AT156" s="188">
        <f>opex_orig!AN156</f>
        <v>6.9379000000000001E-4</v>
      </c>
      <c r="AU156" s="188">
        <f>opex_orig!$AO156</f>
        <v>9.0770493286724998E-4</v>
      </c>
      <c r="AV156" s="188">
        <f>opex_orig!$AO156</f>
        <v>9.0770493286724998E-4</v>
      </c>
      <c r="AW156" s="188">
        <f>opex_orig!$AO156</f>
        <v>9.0770493286724998E-4</v>
      </c>
      <c r="AX156" s="188">
        <f>opex_orig!$AP156</f>
        <v>1.5359243953784001E-3</v>
      </c>
      <c r="AY156" s="188">
        <f>opex_orig!AQ156</f>
        <v>1.777215E-3</v>
      </c>
      <c r="AZ156" s="188">
        <f>opex_orig!AR156</f>
        <v>0</v>
      </c>
      <c r="BA156" s="188">
        <f>opex_orig!AS156</f>
        <v>1.1616409999999999E-3</v>
      </c>
      <c r="BB156" s="188">
        <f>opex_orig!AT156</f>
        <v>8.4000199999999996E-4</v>
      </c>
      <c r="BC156" s="188">
        <f>opex_orig!AU156</f>
        <v>1.854117E-3</v>
      </c>
      <c r="BD156" s="188">
        <f>opex_orig!AV156</f>
        <v>8.0900000000000001E-5</v>
      </c>
      <c r="BE156" s="188">
        <f>opex_orig!AW156</f>
        <v>1.352107E-3</v>
      </c>
      <c r="BF156" s="188">
        <f>opex_orig!AX156</f>
        <v>0</v>
      </c>
      <c r="BG156" s="188">
        <f>opex_orig!AY156</f>
        <v>4.9199599999999997E-4</v>
      </c>
      <c r="BH156" s="188">
        <f>opex_orig!AZ156</f>
        <v>0</v>
      </c>
      <c r="BI156" s="188">
        <f>opex_orig!BA156</f>
        <v>7.3457600000000002E-4</v>
      </c>
      <c r="BJ156" s="188">
        <f>opex_orig!BB156</f>
        <v>9.1581699999999998E-4</v>
      </c>
      <c r="BK156" s="188">
        <f>opex_orig!BC156</f>
        <v>1.460774E-3</v>
      </c>
      <c r="BL156" s="188">
        <f>opex_orig!BD156</f>
        <v>1.20862E-4</v>
      </c>
      <c r="BM156" s="188">
        <f>opex_orig!BE156</f>
        <v>2.0387399999999999E-4</v>
      </c>
      <c r="BN156" s="188">
        <f>opex_orig!BF156</f>
        <v>8.0799999999999999E-5</v>
      </c>
      <c r="BO156" s="188">
        <f>opex_orig!BG156</f>
        <v>3.5260700000000001E-4</v>
      </c>
      <c r="BP156" s="188">
        <f>opex_orig!$BH156</f>
        <v>5.1405708517077197E-4</v>
      </c>
      <c r="BQ156" s="188">
        <f>opex_orig!$BH156</f>
        <v>5.1405708517077197E-4</v>
      </c>
      <c r="BR156" s="188">
        <f>opex_orig!BI156</f>
        <v>7.6133099999999997E-4</v>
      </c>
      <c r="BS156" s="188">
        <f>opex_orig!BJ156</f>
        <v>3.0819700000000002E-4</v>
      </c>
      <c r="BT156" s="188">
        <f>opex_orig!BK156</f>
        <v>1.516454E-3</v>
      </c>
      <c r="BU156" s="188">
        <f>opex_orig!BL156</f>
        <v>0</v>
      </c>
      <c r="BV156" s="27">
        <f>opex_orig!BM156</f>
        <v>6.9135370975218597E-4</v>
      </c>
      <c r="BW156" s="27">
        <f>opex_orig!BN156</f>
        <v>4.7477773061178497E-3</v>
      </c>
      <c r="BX156" s="27">
        <f>opex_orig!BO156</f>
        <v>7.2964137879135099E-4</v>
      </c>
      <c r="BY156" s="27">
        <f>opex_orig!BP156</f>
        <v>4.1797246635399098E-3</v>
      </c>
      <c r="BZ156" s="27">
        <f>opex_orig!BQ156</f>
        <v>3.0727488364640302E-4</v>
      </c>
      <c r="CA156" s="27">
        <f>opex_orig!BR156</f>
        <v>3.58614301365673E-6</v>
      </c>
      <c r="CB156" s="27">
        <f>opex_orig!BS156</f>
        <v>4.5025273427052898E-4</v>
      </c>
      <c r="CC156" s="27">
        <f>opex_orig!BT156</f>
        <v>8.5120931893341599E-5</v>
      </c>
      <c r="CD156" s="27">
        <f>opex_orig!BU156</f>
        <v>4.0212646970507597E-5</v>
      </c>
      <c r="CE156" s="27">
        <f>opex_orig!BV156</f>
        <v>4.0212646970507801E-5</v>
      </c>
      <c r="CF156" s="27">
        <f>opex_orig!BW156</f>
        <v>5.9407479125004303E-6</v>
      </c>
      <c r="CG156" s="27">
        <f>opex_orig!BX156</f>
        <v>5.6119771733730298E-6</v>
      </c>
      <c r="CH156" s="27">
        <f>opex_orig!BY156</f>
        <v>3.3365552552091599E-6</v>
      </c>
      <c r="CI156" s="27">
        <f>opex_orig!Y156</f>
        <v>8.4699999999999999E-5</v>
      </c>
      <c r="CJ156" s="27">
        <f>opex_orig!Z156</f>
        <v>5.0925799999999995E-4</v>
      </c>
      <c r="CK156" s="27">
        <f>opex_orig!AA156</f>
        <v>1.9376500000000001E-4</v>
      </c>
      <c r="CL156" s="27">
        <f>opex_orig!AB156</f>
        <v>2.8991103986343098E-4</v>
      </c>
      <c r="CM156" s="27">
        <f>opex_orig!AC156</f>
        <v>1.7375960445600001E-2</v>
      </c>
      <c r="CN156" s="27">
        <f>opex_orig!AD156</f>
        <v>4.4715935971112999E-3</v>
      </c>
      <c r="CO156" s="27">
        <f>opex_orig!AE156</f>
        <v>3.24968E-3</v>
      </c>
      <c r="CP156" s="27">
        <f>opex_orig!AF156</f>
        <v>8.8707599999999999E-4</v>
      </c>
    </row>
    <row r="157" spans="1:94" x14ac:dyDescent="0.25">
      <c r="A157" s="6" t="s">
        <v>305</v>
      </c>
      <c r="B157" s="2" t="s">
        <v>304</v>
      </c>
      <c r="C157" s="1" t="s">
        <v>335</v>
      </c>
      <c r="D157" s="188">
        <f>opex_orig!D157</f>
        <v>4.7901999999999998E-4</v>
      </c>
      <c r="E157" s="188">
        <f>opex_orig!E157</f>
        <v>3.9701500000000002E-4</v>
      </c>
      <c r="F157" s="188">
        <f>opex_orig!F157</f>
        <v>7.7899999999999996E-5</v>
      </c>
      <c r="G157" s="188">
        <f>opex_orig!G157</f>
        <v>1.73E-5</v>
      </c>
      <c r="H157" s="188">
        <f>opex_orig!H157</f>
        <v>2.87E-5</v>
      </c>
      <c r="I157" s="188">
        <f>opex_orig!I157</f>
        <v>3.0340199999999998E-4</v>
      </c>
      <c r="J157" s="188">
        <f>opex_orig!J157</f>
        <v>2.7058399999999998E-4</v>
      </c>
      <c r="K157" s="188">
        <f>opex_orig!K157</f>
        <v>4.5899999999999998E-5</v>
      </c>
      <c r="L157" s="188">
        <f>opex_orig!L157</f>
        <v>3.97768E-4</v>
      </c>
      <c r="M157" s="188">
        <f>opex_orig!M157</f>
        <v>1.1072969999999999E-3</v>
      </c>
      <c r="N157" s="188">
        <f>opex_orig!N157</f>
        <v>2.428188E-3</v>
      </c>
      <c r="O157" s="188">
        <f>opex_orig!O157</f>
        <v>7.1870500000000004E-4</v>
      </c>
      <c r="P157" s="188">
        <f>opex_orig!P157</f>
        <v>3.2418099999999999E-4</v>
      </c>
      <c r="Q157" s="188">
        <f>opex_orig!Q157</f>
        <v>5.5000000000000002E-5</v>
      </c>
      <c r="R157" s="188">
        <f>opex_orig!R157</f>
        <v>4.1699999999999997E-5</v>
      </c>
      <c r="S157" s="188">
        <f>opex_orig!S157</f>
        <v>9.7999999999999997E-5</v>
      </c>
      <c r="T157" s="188">
        <f>opex_orig!T157</f>
        <v>5.77E-5</v>
      </c>
      <c r="U157" s="188">
        <f>opex_orig!U157</f>
        <v>7.9353300000000002E-4</v>
      </c>
      <c r="V157" s="188">
        <f>opex_orig!V157</f>
        <v>1.4602250000000001E-3</v>
      </c>
      <c r="W157" s="188">
        <f>opex_orig!W157</f>
        <v>2.6311800000000001E-4</v>
      </c>
      <c r="X157" s="188">
        <f>opex_orig!X157</f>
        <v>1.20642E-4</v>
      </c>
      <c r="Y157" s="188">
        <f>opex_orig!Y157</f>
        <v>5.7299999999999997E-5</v>
      </c>
      <c r="Z157" s="188">
        <f>opex_orig!Z157</f>
        <v>3.3895000000000003E-4</v>
      </c>
      <c r="AA157" s="188">
        <f>opex_orig!AA157</f>
        <v>1.37269E-4</v>
      </c>
      <c r="AB157" s="188">
        <f>opex_orig!$AB157</f>
        <v>1.7018294170267301E-4</v>
      </c>
      <c r="AC157" s="188">
        <f>opex_orig!$AB157</f>
        <v>1.7018294170267301E-4</v>
      </c>
      <c r="AD157" s="188">
        <f>opex_orig!$AB157</f>
        <v>1.7018294170267301E-4</v>
      </c>
      <c r="AE157" s="188">
        <f>opex_orig!$AC157</f>
        <v>8.7720385080731194E-3</v>
      </c>
      <c r="AF157" s="188">
        <f>opex_orig!$AD157</f>
        <v>2.5827499330849401E-3</v>
      </c>
      <c r="AG157" s="188">
        <f>opex_orig!$AD157</f>
        <v>2.5827499330849401E-3</v>
      </c>
      <c r="AH157" s="188">
        <f>opex_orig!$AD157</f>
        <v>2.5827499330849401E-3</v>
      </c>
      <c r="AI157" s="188">
        <f>opex_orig!AE157</f>
        <v>1.977389E-3</v>
      </c>
      <c r="AJ157" s="188">
        <f>opex_orig!AF157</f>
        <v>6.0040199999999999E-4</v>
      </c>
      <c r="AK157" s="188">
        <f>opex_orig!AG157</f>
        <v>1.07865E-4</v>
      </c>
      <c r="AL157" s="188">
        <f>opex_orig!AH157</f>
        <v>1.5752600000000001E-4</v>
      </c>
      <c r="AM157" s="188">
        <f>opex_orig!AI157</f>
        <v>1.17812E-4</v>
      </c>
      <c r="AN157" s="188">
        <f>opex_orig!AJ157</f>
        <v>2.7084599999999999E-4</v>
      </c>
      <c r="AO157" s="188">
        <f>opex_orig!AK157</f>
        <v>1.41772E-4</v>
      </c>
      <c r="AP157" s="188">
        <f>opex_orig!$AL157</f>
        <v>3.52067367083704E-4</v>
      </c>
      <c r="AQ157" s="188">
        <f>opex_orig!$AL157</f>
        <v>3.52067367083704E-4</v>
      </c>
      <c r="AR157" s="188">
        <f>opex_orig!$AL157</f>
        <v>3.52067367083704E-4</v>
      </c>
      <c r="AS157" s="188">
        <f>opex_orig!$AM157</f>
        <v>1.3196219483485399E-4</v>
      </c>
      <c r="AT157" s="188">
        <f>opex_orig!AN157</f>
        <v>3.89081E-4</v>
      </c>
      <c r="AU157" s="188">
        <f>opex_orig!$AO157</f>
        <v>5.8526037394860395E-4</v>
      </c>
      <c r="AV157" s="188">
        <f>opex_orig!$AO157</f>
        <v>5.8526037394860395E-4</v>
      </c>
      <c r="AW157" s="188">
        <f>opex_orig!$AO157</f>
        <v>5.8526037394860395E-4</v>
      </c>
      <c r="AX157" s="188">
        <f>opex_orig!$AP157</f>
        <v>9.1321580100747995E-4</v>
      </c>
      <c r="AY157" s="188">
        <f>opex_orig!AQ157</f>
        <v>1.038258E-3</v>
      </c>
      <c r="AZ157" s="188">
        <f>opex_orig!AR157</f>
        <v>0</v>
      </c>
      <c r="BA157" s="188">
        <f>opex_orig!AS157</f>
        <v>6.6460800000000002E-4</v>
      </c>
      <c r="BB157" s="188">
        <f>opex_orig!AT157</f>
        <v>5.1970599999999999E-4</v>
      </c>
      <c r="BC157" s="188">
        <f>opex_orig!AU157</f>
        <v>9.1173600000000001E-4</v>
      </c>
      <c r="BD157" s="188">
        <f>opex_orig!AV157</f>
        <v>5.5999999999999999E-5</v>
      </c>
      <c r="BE157" s="188">
        <f>opex_orig!AW157</f>
        <v>7.90812E-4</v>
      </c>
      <c r="BF157" s="188">
        <f>opex_orig!AX157</f>
        <v>0</v>
      </c>
      <c r="BG157" s="188">
        <f>opex_orig!AY157</f>
        <v>3.4501300000000003E-4</v>
      </c>
      <c r="BH157" s="188">
        <f>opex_orig!AZ157</f>
        <v>0</v>
      </c>
      <c r="BI157" s="188">
        <f>opex_orig!BA157</f>
        <v>4.7686000000000001E-4</v>
      </c>
      <c r="BJ157" s="188">
        <f>opex_orig!BB157</f>
        <v>6.2354000000000001E-4</v>
      </c>
      <c r="BK157" s="188">
        <f>opex_orig!BC157</f>
        <v>9.9850500000000001E-4</v>
      </c>
      <c r="BL157" s="188">
        <f>opex_orig!BD157</f>
        <v>7.5799999999999999E-5</v>
      </c>
      <c r="BM157" s="188">
        <f>opex_orig!BE157</f>
        <v>1.3647900000000001E-4</v>
      </c>
      <c r="BN157" s="188">
        <f>opex_orig!BF157</f>
        <v>4.7200000000000002E-5</v>
      </c>
      <c r="BO157" s="188">
        <f>opex_orig!BG157</f>
        <v>2.11084E-4</v>
      </c>
      <c r="BP157" s="188">
        <f>opex_orig!$BH157</f>
        <v>3.5283240885361299E-4</v>
      </c>
      <c r="BQ157" s="188">
        <f>opex_orig!$BH157</f>
        <v>3.5283240885361299E-4</v>
      </c>
      <c r="BR157" s="188">
        <f>opex_orig!BI157</f>
        <v>4.9329799999999998E-4</v>
      </c>
      <c r="BS157" s="188">
        <f>opex_orig!BJ157</f>
        <v>2.0016000000000001E-4</v>
      </c>
      <c r="BT157" s="188">
        <f>opex_orig!BK157</f>
        <v>9.7698100000000003E-4</v>
      </c>
      <c r="BU157" s="188">
        <f>opex_orig!BL157</f>
        <v>0</v>
      </c>
      <c r="BV157" s="27">
        <f>opex_orig!BM157</f>
        <v>4.4324302003774502E-4</v>
      </c>
      <c r="BW157" s="27">
        <f>opex_orig!BN157</f>
        <v>2.4212579089995601E-3</v>
      </c>
      <c r="BX157" s="27">
        <f>opex_orig!BO157</f>
        <v>4.5044097314015302E-4</v>
      </c>
      <c r="BY157" s="27">
        <f>opex_orig!BP157</f>
        <v>2.0678779877519701E-3</v>
      </c>
      <c r="BZ157" s="27">
        <f>opex_orig!BQ157</f>
        <v>2.12076564350015E-4</v>
      </c>
      <c r="CA157" s="27">
        <f>opex_orig!BR157</f>
        <v>2.5373068295384999E-6</v>
      </c>
      <c r="CB157" s="27">
        <f>opex_orig!BS157</f>
        <v>3.12448134508119E-4</v>
      </c>
      <c r="CC157" s="27">
        <f>opex_orig!BT157</f>
        <v>1.3564830593289399E-4</v>
      </c>
      <c r="CD157" s="27">
        <f>opex_orig!BU157</f>
        <v>2.78260725717538E-5</v>
      </c>
      <c r="CE157" s="27">
        <f>opex_orig!BV157</f>
        <v>2.7826072571753698E-5</v>
      </c>
      <c r="CF157" s="27">
        <f>opex_orig!BW157</f>
        <v>6.2280127523064099E-6</v>
      </c>
      <c r="CG157" s="27">
        <f>opex_orig!BX157</f>
        <v>5.0951320917932E-6</v>
      </c>
      <c r="CH157" s="27">
        <f>opex_orig!BY157</f>
        <v>1.06490403504606E-5</v>
      </c>
      <c r="CI157" s="27">
        <f>opex_orig!Y157</f>
        <v>5.7299999999999997E-5</v>
      </c>
      <c r="CJ157" s="27">
        <f>opex_orig!Z157</f>
        <v>3.3895000000000003E-4</v>
      </c>
      <c r="CK157" s="27">
        <f>opex_orig!AA157</f>
        <v>1.37269E-4</v>
      </c>
      <c r="CL157" s="27">
        <f>opex_orig!AB157</f>
        <v>1.7018294170267301E-4</v>
      </c>
      <c r="CM157" s="27">
        <f>opex_orig!AC157</f>
        <v>8.7720385080731194E-3</v>
      </c>
      <c r="CN157" s="27">
        <f>opex_orig!AD157</f>
        <v>2.5827499330849401E-3</v>
      </c>
      <c r="CO157" s="27">
        <f>opex_orig!AE157</f>
        <v>1.977389E-3</v>
      </c>
      <c r="CP157" s="27">
        <f>opex_orig!AF157</f>
        <v>6.0040199999999999E-4</v>
      </c>
    </row>
    <row r="158" spans="1:94" x14ac:dyDescent="0.25">
      <c r="A158" s="6" t="s">
        <v>307</v>
      </c>
      <c r="B158" s="2" t="s">
        <v>306</v>
      </c>
      <c r="C158" s="1" t="s">
        <v>335</v>
      </c>
      <c r="D158" s="188">
        <f>opex_orig!D158</f>
        <v>5.94E-5</v>
      </c>
      <c r="E158" s="188">
        <f>opex_orig!E158</f>
        <v>1.2505700000000001E-4</v>
      </c>
      <c r="F158" s="188">
        <f>opex_orig!F158</f>
        <v>1.04E-5</v>
      </c>
      <c r="G158" s="188">
        <f>opex_orig!G158</f>
        <v>2.6199999999999999E-6</v>
      </c>
      <c r="H158" s="188">
        <f>opex_orig!H158</f>
        <v>5.1399999999999999E-6</v>
      </c>
      <c r="I158" s="188">
        <f>opex_orig!I158</f>
        <v>5.2800000000000003E-5</v>
      </c>
      <c r="J158" s="188">
        <f>opex_orig!J158</f>
        <v>3.3699999999999999E-5</v>
      </c>
      <c r="K158" s="188">
        <f>opex_orig!K158</f>
        <v>7.4900000000000003E-6</v>
      </c>
      <c r="L158" s="188">
        <f>opex_orig!L158</f>
        <v>5.9599999999999999E-5</v>
      </c>
      <c r="M158" s="188">
        <f>opex_orig!M158</f>
        <v>1.60085E-4</v>
      </c>
      <c r="N158" s="188">
        <f>opex_orig!N158</f>
        <v>6.5300000000000002E-5</v>
      </c>
      <c r="O158" s="188">
        <f>opex_orig!O158</f>
        <v>1.81977E-4</v>
      </c>
      <c r="P158" s="188">
        <f>opex_orig!P158</f>
        <v>6.0900000000000003E-5</v>
      </c>
      <c r="Q158" s="188">
        <f>opex_orig!Q158</f>
        <v>1.5E-5</v>
      </c>
      <c r="R158" s="188">
        <f>opex_orig!R158</f>
        <v>7.7200000000000006E-6</v>
      </c>
      <c r="S158" s="188">
        <f>opex_orig!S158</f>
        <v>2.8900000000000001E-5</v>
      </c>
      <c r="T158" s="188">
        <f>opex_orig!T158</f>
        <v>1.11E-5</v>
      </c>
      <c r="U158" s="188">
        <f>opex_orig!U158</f>
        <v>2.06937E-4</v>
      </c>
      <c r="V158" s="188">
        <f>opex_orig!V158</f>
        <v>4.3846899999999998E-4</v>
      </c>
      <c r="W158" s="188">
        <f>opex_orig!W158</f>
        <v>6.0900000000000003E-5</v>
      </c>
      <c r="X158" s="188">
        <f>opex_orig!X158</f>
        <v>3.4700000000000003E-5</v>
      </c>
      <c r="Y158" s="188">
        <f>opex_orig!Y158</f>
        <v>8.2500000000000006E-6</v>
      </c>
      <c r="Z158" s="188">
        <f>opex_orig!Z158</f>
        <v>1.53172E-4</v>
      </c>
      <c r="AA158" s="188">
        <f>opex_orig!AA158</f>
        <v>2.8600000000000001E-5</v>
      </c>
      <c r="AB158" s="188">
        <f>opex_orig!$AB158</f>
        <v>2.3514239141681801E-5</v>
      </c>
      <c r="AC158" s="188">
        <f>opex_orig!$AB158</f>
        <v>2.3514239141681801E-5</v>
      </c>
      <c r="AD158" s="188">
        <f>opex_orig!$AB158</f>
        <v>2.3514239141681801E-5</v>
      </c>
      <c r="AE158" s="188">
        <f>opex_orig!$AC158</f>
        <v>1.6716436963089799E-4</v>
      </c>
      <c r="AF158" s="188">
        <f>opex_orig!$AD158</f>
        <v>6.4446358509226095E-4</v>
      </c>
      <c r="AG158" s="188">
        <f>opex_orig!$AD158</f>
        <v>6.4446358509226095E-4</v>
      </c>
      <c r="AH158" s="188">
        <f>opex_orig!$AD158</f>
        <v>6.4446358509226095E-4</v>
      </c>
      <c r="AI158" s="188">
        <f>opex_orig!AE158</f>
        <v>4.1050599999999999E-4</v>
      </c>
      <c r="AJ158" s="188">
        <f>opex_orig!AF158</f>
        <v>8.0099999999999995E-5</v>
      </c>
      <c r="AK158" s="188">
        <f>opex_orig!AG158</f>
        <v>2.0100000000000001E-5</v>
      </c>
      <c r="AL158" s="188">
        <f>opex_orig!AH158</f>
        <v>5.7200000000000001E-5</v>
      </c>
      <c r="AM158" s="188">
        <f>opex_orig!AI158</f>
        <v>1.5500000000000001E-5</v>
      </c>
      <c r="AN158" s="188">
        <f>opex_orig!AJ158</f>
        <v>9.7600000000000001E-5</v>
      </c>
      <c r="AO158" s="188">
        <f>opex_orig!AK158</f>
        <v>1.8600000000000001E-5</v>
      </c>
      <c r="AP158" s="188">
        <f>opex_orig!$AL158</f>
        <v>1.1006166006732599E-4</v>
      </c>
      <c r="AQ158" s="188">
        <f>opex_orig!$AL158</f>
        <v>1.1006166006732599E-4</v>
      </c>
      <c r="AR158" s="188">
        <f>opex_orig!$AL158</f>
        <v>1.1006166006732599E-4</v>
      </c>
      <c r="AS158" s="188">
        <f>opex_orig!$AM158</f>
        <v>1.7025550726392001E-5</v>
      </c>
      <c r="AT158" s="188">
        <f>opex_orig!AN158</f>
        <v>1.09815E-4</v>
      </c>
      <c r="AU158" s="188">
        <f>opex_orig!$AO158</f>
        <v>9.6434465253483897E-5</v>
      </c>
      <c r="AV158" s="188">
        <f>opex_orig!$AO158</f>
        <v>9.6434465253483897E-5</v>
      </c>
      <c r="AW158" s="188">
        <f>opex_orig!$AO158</f>
        <v>9.6434465253483897E-5</v>
      </c>
      <c r="AX158" s="188">
        <f>opex_orig!$AP158</f>
        <v>2.0824144172198301E-4</v>
      </c>
      <c r="AY158" s="188">
        <f>opex_orig!AQ158</f>
        <v>2.51573E-4</v>
      </c>
      <c r="AZ158" s="188">
        <f>opex_orig!AR158</f>
        <v>0</v>
      </c>
      <c r="BA158" s="188">
        <f>opex_orig!AS158</f>
        <v>1.7688099999999999E-4</v>
      </c>
      <c r="BB158" s="188">
        <f>opex_orig!AT158</f>
        <v>1.06901E-4</v>
      </c>
      <c r="BC158" s="188">
        <f>opex_orig!AU158</f>
        <v>9.1700000000000003E-6</v>
      </c>
      <c r="BD158" s="188">
        <f>opex_orig!AV158</f>
        <v>7.3499999999999999E-6</v>
      </c>
      <c r="BE158" s="188">
        <f>opex_orig!AW158</f>
        <v>2.16281E-4</v>
      </c>
      <c r="BF158" s="188">
        <f>opex_orig!AX158</f>
        <v>0</v>
      </c>
      <c r="BG158" s="188">
        <f>opex_orig!AY158</f>
        <v>7.2000000000000002E-5</v>
      </c>
      <c r="BH158" s="188">
        <f>opex_orig!AZ158</f>
        <v>0</v>
      </c>
      <c r="BI158" s="188">
        <f>opex_orig!BA158</f>
        <v>7.8200000000000003E-5</v>
      </c>
      <c r="BJ158" s="188">
        <f>opex_orig!BB158</f>
        <v>7.86E-5</v>
      </c>
      <c r="BK158" s="188">
        <f>opex_orig!BC158</f>
        <v>1.2342599999999999E-4</v>
      </c>
      <c r="BL158" s="188">
        <f>opex_orig!BD158</f>
        <v>1.9899999999999999E-5</v>
      </c>
      <c r="BM158" s="188">
        <f>opex_orig!BE158</f>
        <v>2.4300000000000001E-5</v>
      </c>
      <c r="BN158" s="188">
        <f>opex_orig!BF158</f>
        <v>1.31E-5</v>
      </c>
      <c r="BO158" s="188">
        <f>opex_orig!BG158</f>
        <v>4.85E-5</v>
      </c>
      <c r="BP158" s="188">
        <f>opex_orig!$BH158</f>
        <v>4.4988827566755897E-5</v>
      </c>
      <c r="BQ158" s="188">
        <f>opex_orig!$BH158</f>
        <v>4.4988827566755897E-5</v>
      </c>
      <c r="BR158" s="188">
        <f>opex_orig!BI158</f>
        <v>8.0900000000000001E-5</v>
      </c>
      <c r="BS158" s="188">
        <f>opex_orig!BJ158</f>
        <v>5.1900000000000001E-5</v>
      </c>
      <c r="BT158" s="188">
        <f>opex_orig!BK158</f>
        <v>1.63015E-4</v>
      </c>
      <c r="BU158" s="188">
        <f>opex_orig!BL158</f>
        <v>0</v>
      </c>
      <c r="BV158" s="27">
        <f>opex_orig!BM158</f>
        <v>7.5109643191318906E-5</v>
      </c>
      <c r="BW158" s="27">
        <f>opex_orig!BN158</f>
        <v>8.7805780293134697E-4</v>
      </c>
      <c r="BX158" s="27">
        <f>opex_orig!BO158</f>
        <v>8.9157373576567806E-5</v>
      </c>
      <c r="BY158" s="27">
        <f>opex_orig!BP158</f>
        <v>8.0310225274494898E-4</v>
      </c>
      <c r="BZ158" s="27">
        <f>opex_orig!BQ158</f>
        <v>3.2654315572785503E-5</v>
      </c>
      <c r="CA158" s="27">
        <f>opex_orig!BR158</f>
        <v>7.0137476346523402E-7</v>
      </c>
      <c r="CB158" s="27">
        <f>opex_orig!BS158</f>
        <v>1.3482800810826E-4</v>
      </c>
      <c r="CC158" s="27">
        <f>opex_orig!BT158</f>
        <v>3.23909204280854E-5</v>
      </c>
      <c r="CD158" s="27">
        <f>opex_orig!BU158</f>
        <v>3.8619931204369496E-6</v>
      </c>
      <c r="CE158" s="27">
        <f>opex_orig!BV158</f>
        <v>3.8619931204369496E-6</v>
      </c>
      <c r="CF158" s="27">
        <f>opex_orig!BW158</f>
        <v>2.28900890051315E-6</v>
      </c>
      <c r="CG158" s="27">
        <f>opex_orig!BX158</f>
        <v>3.2704113175192299E-6</v>
      </c>
      <c r="CH158" s="27">
        <f>opex_orig!BY158</f>
        <v>2.3796066895425801E-5</v>
      </c>
      <c r="CI158" s="27">
        <f>opex_orig!Y158</f>
        <v>8.2500000000000006E-6</v>
      </c>
      <c r="CJ158" s="27">
        <f>opex_orig!Z158</f>
        <v>1.53172E-4</v>
      </c>
      <c r="CK158" s="27">
        <f>opex_orig!AA158</f>
        <v>2.8600000000000001E-5</v>
      </c>
      <c r="CL158" s="27">
        <f>opex_orig!AB158</f>
        <v>2.3514239141681801E-5</v>
      </c>
      <c r="CM158" s="27">
        <f>opex_orig!AC158</f>
        <v>1.6716436963089799E-4</v>
      </c>
      <c r="CN158" s="27">
        <f>opex_orig!AD158</f>
        <v>6.4446358509226095E-4</v>
      </c>
      <c r="CO158" s="27">
        <f>opex_orig!AE158</f>
        <v>4.1050599999999999E-4</v>
      </c>
      <c r="CP158" s="27">
        <f>opex_orig!AF158</f>
        <v>8.0099999999999995E-5</v>
      </c>
    </row>
    <row r="159" spans="1:94" x14ac:dyDescent="0.25">
      <c r="A159" s="6" t="s">
        <v>309</v>
      </c>
      <c r="B159" s="2" t="s">
        <v>308</v>
      </c>
      <c r="C159" s="1" t="s">
        <v>335</v>
      </c>
      <c r="D159" s="188">
        <f>opex_orig!D159</f>
        <v>3.3694699999999998E-4</v>
      </c>
      <c r="E159" s="188">
        <f>opex_orig!E159</f>
        <v>3.5291700000000001E-4</v>
      </c>
      <c r="F159" s="188">
        <f>opex_orig!F159</f>
        <v>5.6499999999999998E-5</v>
      </c>
      <c r="G159" s="188">
        <f>opex_orig!G159</f>
        <v>1.24E-5</v>
      </c>
      <c r="H159" s="188">
        <f>opex_orig!H159</f>
        <v>2.02E-5</v>
      </c>
      <c r="I159" s="188">
        <f>opex_orig!I159</f>
        <v>2.2928400000000001E-4</v>
      </c>
      <c r="J159" s="188">
        <f>opex_orig!J159</f>
        <v>1.9313500000000001E-4</v>
      </c>
      <c r="K159" s="188">
        <f>opex_orig!K159</f>
        <v>3.2299999999999999E-5</v>
      </c>
      <c r="L159" s="188">
        <f>opex_orig!L159</f>
        <v>2.9492400000000001E-4</v>
      </c>
      <c r="M159" s="188">
        <f>opex_orig!M159</f>
        <v>8.0630299999999997E-4</v>
      </c>
      <c r="N159" s="188">
        <f>opex_orig!N159</f>
        <v>2.2460449999999999E-3</v>
      </c>
      <c r="O159" s="188">
        <f>opex_orig!O159</f>
        <v>5.9304799999999999E-4</v>
      </c>
      <c r="P159" s="188">
        <f>opex_orig!P159</f>
        <v>2.5541499999999999E-4</v>
      </c>
      <c r="Q159" s="188">
        <f>opex_orig!Q159</f>
        <v>4.46E-5</v>
      </c>
      <c r="R159" s="188">
        <f>opex_orig!R159</f>
        <v>3.4700000000000003E-5</v>
      </c>
      <c r="S159" s="188">
        <f>opex_orig!S159</f>
        <v>8.6100000000000006E-5</v>
      </c>
      <c r="T159" s="188">
        <f>opex_orig!T159</f>
        <v>4.6E-5</v>
      </c>
      <c r="U159" s="188">
        <f>opex_orig!U159</f>
        <v>6.6500499999999998E-4</v>
      </c>
      <c r="V159" s="188">
        <f>opex_orig!V159</f>
        <v>1.2779550000000001E-3</v>
      </c>
      <c r="W159" s="188">
        <f>opex_orig!W159</f>
        <v>2.1432299999999999E-4</v>
      </c>
      <c r="X159" s="188">
        <f>opex_orig!X159</f>
        <v>1.0064399999999999E-4</v>
      </c>
      <c r="Y159" s="188">
        <f>opex_orig!Y159</f>
        <v>4.5399999999999999E-5</v>
      </c>
      <c r="Z159" s="188">
        <f>opex_orig!Z159</f>
        <v>2.9094199999999998E-4</v>
      </c>
      <c r="AA159" s="188">
        <f>opex_orig!AA159</f>
        <v>1.0050199999999999E-4</v>
      </c>
      <c r="AB159" s="188">
        <f>opex_orig!$AB159</f>
        <v>9.4316181983729501E-5</v>
      </c>
      <c r="AC159" s="188">
        <f>opex_orig!$AB159</f>
        <v>9.4316181983729501E-5</v>
      </c>
      <c r="AD159" s="188">
        <f>opex_orig!$AB159</f>
        <v>9.4316181983729501E-5</v>
      </c>
      <c r="AE159" s="188">
        <f>opex_orig!$AC159</f>
        <v>8.2592784153750504E-3</v>
      </c>
      <c r="AF159" s="188">
        <f>opex_orig!$AD159</f>
        <v>2.13560390731099E-3</v>
      </c>
      <c r="AG159" s="188">
        <f>opex_orig!$AD159</f>
        <v>2.13560390731099E-3</v>
      </c>
      <c r="AH159" s="188">
        <f>opex_orig!$AD159</f>
        <v>2.13560390731099E-3</v>
      </c>
      <c r="AI159" s="188">
        <f>opex_orig!AE159</f>
        <v>1.555833E-3</v>
      </c>
      <c r="AJ159" s="188">
        <f>opex_orig!AF159</f>
        <v>4.3222300000000003E-4</v>
      </c>
      <c r="AK159" s="188">
        <f>opex_orig!AG159</f>
        <v>8.5000000000000006E-5</v>
      </c>
      <c r="AL159" s="188">
        <f>opex_orig!AH159</f>
        <v>1.4557799999999999E-4</v>
      </c>
      <c r="AM159" s="188">
        <f>opex_orig!AI159</f>
        <v>8.7700000000000004E-5</v>
      </c>
      <c r="AN159" s="188">
        <f>opex_orig!AJ159</f>
        <v>2.6766700000000002E-4</v>
      </c>
      <c r="AO159" s="188">
        <f>opex_orig!AK159</f>
        <v>1.13113E-4</v>
      </c>
      <c r="AP159" s="188">
        <f>opex_orig!$AL159</f>
        <v>3.20465060044885E-4</v>
      </c>
      <c r="AQ159" s="188">
        <f>opex_orig!$AL159</f>
        <v>3.20465060044885E-4</v>
      </c>
      <c r="AR159" s="188">
        <f>opex_orig!$AL159</f>
        <v>3.20465060044885E-4</v>
      </c>
      <c r="AS159" s="188">
        <f>opex_orig!$AM159</f>
        <v>1.00451769635191E-4</v>
      </c>
      <c r="AT159" s="188">
        <f>opex_orig!AN159</f>
        <v>3.4226699999999999E-4</v>
      </c>
      <c r="AU159" s="188">
        <f>opex_orig!$AO159</f>
        <v>4.3960917091354399E-4</v>
      </c>
      <c r="AV159" s="188">
        <f>opex_orig!$AO159</f>
        <v>4.3960917091354399E-4</v>
      </c>
      <c r="AW159" s="188">
        <f>opex_orig!$AO159</f>
        <v>4.3960917091354399E-4</v>
      </c>
      <c r="AX159" s="188">
        <f>opex_orig!$AP159</f>
        <v>7.3555164518019701E-4</v>
      </c>
      <c r="AY159" s="188">
        <f>opex_orig!AQ159</f>
        <v>8.5991400000000003E-4</v>
      </c>
      <c r="AZ159" s="188">
        <f>opex_orig!AR159</f>
        <v>0</v>
      </c>
      <c r="BA159" s="188">
        <f>opex_orig!AS159</f>
        <v>5.59721E-4</v>
      </c>
      <c r="BB159" s="188">
        <f>opex_orig!AT159</f>
        <v>4.0738100000000001E-4</v>
      </c>
      <c r="BC159" s="188">
        <f>opex_orig!AU159</f>
        <v>5.0800000000000002E-5</v>
      </c>
      <c r="BD159" s="188">
        <f>opex_orig!AV159</f>
        <v>3.9700000000000003E-5</v>
      </c>
      <c r="BE159" s="188">
        <f>opex_orig!AW159</f>
        <v>6.7311200000000002E-4</v>
      </c>
      <c r="BF159" s="188">
        <f>opex_orig!AX159</f>
        <v>0</v>
      </c>
      <c r="BG159" s="188">
        <f>opex_orig!AY159</f>
        <v>2.4203899999999999E-4</v>
      </c>
      <c r="BH159" s="188">
        <f>opex_orig!AZ159</f>
        <v>0</v>
      </c>
      <c r="BI159" s="188">
        <f>opex_orig!BA159</f>
        <v>3.5712599999999998E-4</v>
      </c>
      <c r="BJ159" s="188">
        <f>opex_orig!BB159</f>
        <v>4.4195699999999998E-4</v>
      </c>
      <c r="BK159" s="188">
        <f>opex_orig!BC159</f>
        <v>7.04414E-4</v>
      </c>
      <c r="BL159" s="188">
        <f>opex_orig!BD159</f>
        <v>6.97E-5</v>
      </c>
      <c r="BM159" s="188">
        <f>opex_orig!BE159</f>
        <v>1.02754E-4</v>
      </c>
      <c r="BN159" s="188">
        <f>opex_orig!BF159</f>
        <v>4.1600000000000002E-5</v>
      </c>
      <c r="BO159" s="188">
        <f>opex_orig!BG159</f>
        <v>1.70891E-4</v>
      </c>
      <c r="BP159" s="188">
        <f>opex_orig!$BH159</f>
        <v>2.5102751442709502E-4</v>
      </c>
      <c r="BQ159" s="188">
        <f>opex_orig!$BH159</f>
        <v>2.5102751442709502E-4</v>
      </c>
      <c r="BR159" s="188">
        <f>opex_orig!BI159</f>
        <v>3.69353E-4</v>
      </c>
      <c r="BS159" s="188">
        <f>opex_orig!BJ159</f>
        <v>1.5924799999999999E-4</v>
      </c>
      <c r="BT159" s="188">
        <f>opex_orig!BK159</f>
        <v>7.2962500000000002E-4</v>
      </c>
      <c r="BU159" s="188">
        <f>opex_orig!BL159</f>
        <v>0</v>
      </c>
      <c r="BV159" s="27">
        <f>opex_orig!BM159</f>
        <v>3.3821731219164301E-4</v>
      </c>
      <c r="BW159" s="27">
        <f>opex_orig!BN159</f>
        <v>2.2620877252600602E-3</v>
      </c>
      <c r="BX159" s="27">
        <f>opex_orig!BO159</f>
        <v>3.4996638482635199E-4</v>
      </c>
      <c r="BY159" s="27">
        <f>opex_orig!BP159</f>
        <v>1.9851687858298199E-3</v>
      </c>
      <c r="BZ159" s="27">
        <f>opex_orig!BQ159</f>
        <v>1.4896906946066101E-4</v>
      </c>
      <c r="CA159" s="27">
        <f>opex_orig!BR159</f>
        <v>4.2519184490714E-6</v>
      </c>
      <c r="CB159" s="27">
        <f>opex_orig!BS159</f>
        <v>2.4094553631591901E-4</v>
      </c>
      <c r="CC159" s="27">
        <f>opex_orig!BT159</f>
        <v>3.5010661756235698E-4</v>
      </c>
      <c r="CD159" s="27">
        <f>opex_orig!BU159</f>
        <v>1.97086189991677E-5</v>
      </c>
      <c r="CE159" s="27">
        <f>opex_orig!BV159</f>
        <v>1.9708618999167799E-5</v>
      </c>
      <c r="CF159" s="27">
        <f>opex_orig!BW159</f>
        <v>8.3438702378099102E-6</v>
      </c>
      <c r="CG159" s="27">
        <f>opex_orig!BX159</f>
        <v>9.7631584927433804E-6</v>
      </c>
      <c r="CH159" s="27">
        <f>opex_orig!BY159</f>
        <v>1.1804607575677201E-5</v>
      </c>
      <c r="CI159" s="27">
        <f>opex_orig!Y159</f>
        <v>4.5399999999999999E-5</v>
      </c>
      <c r="CJ159" s="27">
        <f>opex_orig!Z159</f>
        <v>2.9094199999999998E-4</v>
      </c>
      <c r="CK159" s="27">
        <f>opex_orig!AA159</f>
        <v>1.0050199999999999E-4</v>
      </c>
      <c r="CL159" s="27">
        <f>opex_orig!AB159</f>
        <v>9.4316181983729501E-5</v>
      </c>
      <c r="CM159" s="27">
        <f>opex_orig!AC159</f>
        <v>8.2592784153750504E-3</v>
      </c>
      <c r="CN159" s="27">
        <f>opex_orig!AD159</f>
        <v>2.13560390731099E-3</v>
      </c>
      <c r="CO159" s="27">
        <f>opex_orig!AE159</f>
        <v>1.555833E-3</v>
      </c>
      <c r="CP159" s="27">
        <f>opex_orig!AF159</f>
        <v>4.3222300000000003E-4</v>
      </c>
    </row>
    <row r="160" spans="1:94" x14ac:dyDescent="0.25">
      <c r="A160" s="6" t="s">
        <v>311</v>
      </c>
      <c r="B160" s="2" t="s">
        <v>310</v>
      </c>
      <c r="C160" s="1" t="s">
        <v>335</v>
      </c>
      <c r="D160" s="188">
        <f>opex_orig!D160</f>
        <v>1.0507599999999999E-4</v>
      </c>
      <c r="E160" s="188">
        <f>opex_orig!E160</f>
        <v>9.3700000000000001E-5</v>
      </c>
      <c r="F160" s="188">
        <f>opex_orig!F160</f>
        <v>1.7099999999999999E-5</v>
      </c>
      <c r="G160" s="188">
        <f>opex_orig!G160</f>
        <v>4.1699999999999999E-6</v>
      </c>
      <c r="H160" s="188">
        <f>opex_orig!H160</f>
        <v>7.17E-6</v>
      </c>
      <c r="I160" s="188">
        <f>opex_orig!I160</f>
        <v>6.7600000000000003E-5</v>
      </c>
      <c r="J160" s="188">
        <f>opex_orig!J160</f>
        <v>5.7800000000000002E-5</v>
      </c>
      <c r="K160" s="188">
        <f>opex_orig!K160</f>
        <v>1.13E-5</v>
      </c>
      <c r="L160" s="188">
        <f>opex_orig!L160</f>
        <v>8.7800000000000006E-5</v>
      </c>
      <c r="M160" s="188">
        <f>opex_orig!M160</f>
        <v>2.42215E-4</v>
      </c>
      <c r="N160" s="188">
        <f>opex_orig!N160</f>
        <v>1.16901E-4</v>
      </c>
      <c r="O160" s="188">
        <f>opex_orig!O160</f>
        <v>1.6979699999999999E-4</v>
      </c>
      <c r="P160" s="188">
        <f>opex_orig!P160</f>
        <v>7.3300000000000006E-5</v>
      </c>
      <c r="Q160" s="188">
        <f>opex_orig!Q160</f>
        <v>1.3200000000000001E-5</v>
      </c>
      <c r="R160" s="188">
        <f>opex_orig!R160</f>
        <v>1.1399999999999999E-5</v>
      </c>
      <c r="S160" s="188">
        <f>opex_orig!S160</f>
        <v>2.37E-5</v>
      </c>
      <c r="T160" s="188">
        <f>opex_orig!T160</f>
        <v>1.5E-5</v>
      </c>
      <c r="U160" s="188">
        <f>opex_orig!U160</f>
        <v>1.83077E-4</v>
      </c>
      <c r="V160" s="188">
        <f>opex_orig!V160</f>
        <v>3.4190400000000003E-4</v>
      </c>
      <c r="W160" s="188">
        <f>opex_orig!W160</f>
        <v>6.0099999999999997E-5</v>
      </c>
      <c r="X160" s="188">
        <f>opex_orig!X160</f>
        <v>2.8799999999999999E-5</v>
      </c>
      <c r="Y160" s="188">
        <f>opex_orig!Y160</f>
        <v>1.26E-5</v>
      </c>
      <c r="Z160" s="188">
        <f>opex_orig!Z160</f>
        <v>9.1100000000000005E-5</v>
      </c>
      <c r="AA160" s="188">
        <f>opex_orig!AA160</f>
        <v>3.9900000000000001E-5</v>
      </c>
      <c r="AB160" s="188">
        <f>opex_orig!$AB160</f>
        <v>2.6778410060271498E-5</v>
      </c>
      <c r="AC160" s="188">
        <f>opex_orig!$AB160</f>
        <v>2.6778410060271498E-5</v>
      </c>
      <c r="AD160" s="188">
        <f>opex_orig!$AB160</f>
        <v>2.6778410060271498E-5</v>
      </c>
      <c r="AE160" s="188">
        <f>opex_orig!$AC160</f>
        <v>3.0340557009651999E-4</v>
      </c>
      <c r="AF160" s="188">
        <f>opex_orig!$AD160</f>
        <v>5.8993459686822701E-4</v>
      </c>
      <c r="AG160" s="188">
        <f>opex_orig!$AD160</f>
        <v>5.8993459686822701E-4</v>
      </c>
      <c r="AH160" s="188">
        <f>opex_orig!$AD160</f>
        <v>5.8993459686822701E-4</v>
      </c>
      <c r="AI160" s="188">
        <f>opex_orig!AE160</f>
        <v>4.44048E-4</v>
      </c>
      <c r="AJ160" s="188">
        <f>opex_orig!AF160</f>
        <v>1.3071400000000001E-4</v>
      </c>
      <c r="AK160" s="188">
        <f>opex_orig!AG160</f>
        <v>2.6299999999999999E-5</v>
      </c>
      <c r="AL160" s="188">
        <f>opex_orig!AH160</f>
        <v>4.3800000000000001E-5</v>
      </c>
      <c r="AM160" s="188">
        <f>opex_orig!AI160</f>
        <v>2.69E-5</v>
      </c>
      <c r="AN160" s="188">
        <f>opex_orig!AJ160</f>
        <v>1.3699999999999999E-5</v>
      </c>
      <c r="AO160" s="188">
        <f>opex_orig!AK160</f>
        <v>3.2199999999999997E-5</v>
      </c>
      <c r="AP160" s="188">
        <f>opex_orig!$AL160</f>
        <v>8.3576928500994502E-5</v>
      </c>
      <c r="AQ160" s="188">
        <f>opex_orig!$AL160</f>
        <v>8.3576928500994502E-5</v>
      </c>
      <c r="AR160" s="188">
        <f>opex_orig!$AL160</f>
        <v>8.3576928500994502E-5</v>
      </c>
      <c r="AS160" s="188">
        <f>opex_orig!$AM160</f>
        <v>2.9659330173209399E-5</v>
      </c>
      <c r="AT160" s="188">
        <f>opex_orig!AN160</f>
        <v>9.1600000000000004E-5</v>
      </c>
      <c r="AU160" s="188">
        <f>opex_orig!$AO160</f>
        <v>1.28330186247315E-4</v>
      </c>
      <c r="AV160" s="188">
        <f>opex_orig!$AO160</f>
        <v>1.28330186247315E-4</v>
      </c>
      <c r="AW160" s="188">
        <f>opex_orig!$AO160</f>
        <v>1.28330186247315E-4</v>
      </c>
      <c r="AX160" s="188">
        <f>opex_orig!$AP160</f>
        <v>2.06537463384535E-4</v>
      </c>
      <c r="AY160" s="188">
        <f>opex_orig!AQ160</f>
        <v>2.3619299999999999E-4</v>
      </c>
      <c r="AZ160" s="188">
        <f>opex_orig!AR160</f>
        <v>0</v>
      </c>
      <c r="BA160" s="188">
        <f>opex_orig!AS160</f>
        <v>1.5522100000000001E-4</v>
      </c>
      <c r="BB160" s="188">
        <f>opex_orig!AT160</f>
        <v>1.18738E-4</v>
      </c>
      <c r="BC160" s="188">
        <f>opex_orig!AU160</f>
        <v>1.5800000000000001E-5</v>
      </c>
      <c r="BD160" s="188">
        <f>opex_orig!AV160</f>
        <v>1.24E-5</v>
      </c>
      <c r="BE160" s="188">
        <f>opex_orig!AW160</f>
        <v>1.8018400000000001E-4</v>
      </c>
      <c r="BF160" s="188">
        <f>opex_orig!AX160</f>
        <v>0</v>
      </c>
      <c r="BG160" s="188">
        <f>opex_orig!AY160</f>
        <v>9.8499999999999995E-5</v>
      </c>
      <c r="BH160" s="188">
        <f>opex_orig!AZ160</f>
        <v>0</v>
      </c>
      <c r="BI160" s="188">
        <f>opex_orig!BA160</f>
        <v>1.05364E-4</v>
      </c>
      <c r="BJ160" s="188">
        <f>opex_orig!BB160</f>
        <v>1.3524899999999999E-4</v>
      </c>
      <c r="BK160" s="188">
        <f>opex_orig!BC160</f>
        <v>2.1655200000000001E-4</v>
      </c>
      <c r="BL160" s="188">
        <f>opex_orig!BD160</f>
        <v>2.0699999999999998E-5</v>
      </c>
      <c r="BM160" s="188">
        <f>opex_orig!BE160</f>
        <v>3.3300000000000003E-5</v>
      </c>
      <c r="BN160" s="188">
        <f>opex_orig!BF160</f>
        <v>1.19E-5</v>
      </c>
      <c r="BO160" s="188">
        <f>opex_orig!BG160</f>
        <v>4.88E-5</v>
      </c>
      <c r="BP160" s="188">
        <f>opex_orig!$BH160</f>
        <v>7.8289234911365095E-5</v>
      </c>
      <c r="BQ160" s="188">
        <f>opex_orig!$BH160</f>
        <v>7.8289234911365095E-5</v>
      </c>
      <c r="BR160" s="188">
        <f>opex_orig!BI160</f>
        <v>1.10241E-4</v>
      </c>
      <c r="BS160" s="188">
        <f>opex_orig!BJ160</f>
        <v>4.7700000000000001E-5</v>
      </c>
      <c r="BT160" s="188">
        <f>opex_orig!BK160</f>
        <v>2.14348E-4</v>
      </c>
      <c r="BU160" s="188">
        <f>opex_orig!BL160</f>
        <v>0</v>
      </c>
      <c r="BV160" s="27">
        <f>opex_orig!BM160</f>
        <v>9.8278917622810294E-5</v>
      </c>
      <c r="BW160" s="27">
        <f>opex_orig!BN160</f>
        <v>5.8409760438884204E-4</v>
      </c>
      <c r="BX160" s="27">
        <f>opex_orig!BO160</f>
        <v>1.0113078259079E-4</v>
      </c>
      <c r="BY160" s="27">
        <f>opex_orig!BP160</f>
        <v>5.0099327148420104E-4</v>
      </c>
      <c r="BZ160" s="27">
        <f>opex_orig!BQ160</f>
        <v>4.8935475925847199E-5</v>
      </c>
      <c r="CA160" s="27">
        <f>opex_orig!BR160</f>
        <v>1.1697981551185399E-6</v>
      </c>
      <c r="CB160" s="27">
        <f>opex_orig!BS160</f>
        <v>1.5039156228156499E-4</v>
      </c>
      <c r="CC160" s="27">
        <f>opex_orig!BT160</f>
        <v>1.47924455836965E-5</v>
      </c>
      <c r="CD160" s="27">
        <f>opex_orig!BU160</f>
        <v>6.4881583355903499E-6</v>
      </c>
      <c r="CE160" s="27">
        <f>opex_orig!BV160</f>
        <v>6.4881583355903703E-6</v>
      </c>
      <c r="CF160" s="27">
        <f>opex_orig!BW160</f>
        <v>2.0339755801592598E-6</v>
      </c>
      <c r="CG160" s="27">
        <f>opex_orig!BX160</f>
        <v>2.4866381741655799E-6</v>
      </c>
      <c r="CH160" s="27">
        <f>opex_orig!BY160</f>
        <v>1.41279623428962E-5</v>
      </c>
      <c r="CI160" s="27">
        <f>opex_orig!Y160</f>
        <v>1.26E-5</v>
      </c>
      <c r="CJ160" s="27">
        <f>opex_orig!Z160</f>
        <v>9.1100000000000005E-5</v>
      </c>
      <c r="CK160" s="27">
        <f>opex_orig!AA160</f>
        <v>3.9900000000000001E-5</v>
      </c>
      <c r="CL160" s="27">
        <f>opex_orig!AB160</f>
        <v>2.6778410060271498E-5</v>
      </c>
      <c r="CM160" s="27">
        <f>opex_orig!AC160</f>
        <v>3.0340557009651999E-4</v>
      </c>
      <c r="CN160" s="27">
        <f>opex_orig!AD160</f>
        <v>5.8993459686822701E-4</v>
      </c>
      <c r="CO160" s="27">
        <f>opex_orig!AE160</f>
        <v>4.44048E-4</v>
      </c>
      <c r="CP160" s="27">
        <f>opex_orig!AF160</f>
        <v>1.3071400000000001E-4</v>
      </c>
    </row>
    <row r="161" spans="1:94" x14ac:dyDescent="0.25">
      <c r="A161" s="6" t="s">
        <v>313</v>
      </c>
      <c r="B161" s="2" t="s">
        <v>312</v>
      </c>
      <c r="C161" s="1" t="s">
        <v>335</v>
      </c>
      <c r="D161" s="188">
        <f>opex_orig!D161</f>
        <v>1.3304500000000001E-4</v>
      </c>
      <c r="E161" s="188">
        <f>opex_orig!E161</f>
        <v>1.18399E-4</v>
      </c>
      <c r="F161" s="188">
        <f>opex_orig!F161</f>
        <v>2.1699999999999999E-5</v>
      </c>
      <c r="G161" s="188">
        <f>opex_orig!G161</f>
        <v>5.1200000000000001E-6</v>
      </c>
      <c r="H161" s="188">
        <f>opex_orig!H161</f>
        <v>8.5599999999999994E-6</v>
      </c>
      <c r="I161" s="188">
        <f>opex_orig!I161</f>
        <v>8.5699999999999996E-5</v>
      </c>
      <c r="J161" s="188">
        <f>opex_orig!J161</f>
        <v>7.3200000000000004E-5</v>
      </c>
      <c r="K161" s="188">
        <f>opex_orig!K161</f>
        <v>1.38E-5</v>
      </c>
      <c r="L161" s="188">
        <f>opex_orig!L161</f>
        <v>1.11383E-4</v>
      </c>
      <c r="M161" s="188">
        <f>opex_orig!M161</f>
        <v>3.0776700000000002E-4</v>
      </c>
      <c r="N161" s="188">
        <f>opex_orig!N161</f>
        <v>1.4861900000000001E-4</v>
      </c>
      <c r="O161" s="188">
        <f>opex_orig!O161</f>
        <v>2.14677E-4</v>
      </c>
      <c r="P161" s="188">
        <f>opex_orig!P161</f>
        <v>9.31E-5</v>
      </c>
      <c r="Q161" s="188">
        <f>opex_orig!Q161</f>
        <v>1.6500000000000001E-5</v>
      </c>
      <c r="R161" s="188">
        <f>opex_orig!R161</f>
        <v>1.3699999999999999E-5</v>
      </c>
      <c r="S161" s="188">
        <f>opex_orig!S161</f>
        <v>2.9899999999999998E-5</v>
      </c>
      <c r="T161" s="188">
        <f>opex_orig!T161</f>
        <v>1.8099999999999999E-5</v>
      </c>
      <c r="U161" s="188">
        <f>opex_orig!U161</f>
        <v>2.31776E-4</v>
      </c>
      <c r="V161" s="188">
        <f>opex_orig!V161</f>
        <v>4.3249E-4</v>
      </c>
      <c r="W161" s="188">
        <f>opex_orig!W161</f>
        <v>7.6199999999999995E-5</v>
      </c>
      <c r="X161" s="188">
        <f>opex_orig!X161</f>
        <v>3.65E-5</v>
      </c>
      <c r="Y161" s="188">
        <f>opex_orig!Y161</f>
        <v>1.6200000000000001E-5</v>
      </c>
      <c r="Z161" s="188">
        <f>opex_orig!Z161</f>
        <v>1.12279E-4</v>
      </c>
      <c r="AA161" s="188">
        <f>opex_orig!AA161</f>
        <v>4.71E-5</v>
      </c>
      <c r="AB161" s="188">
        <f>opex_orig!$AB161</f>
        <v>3.2079500677445198E-5</v>
      </c>
      <c r="AC161" s="188">
        <f>opex_orig!$AB161</f>
        <v>3.2079500677445198E-5</v>
      </c>
      <c r="AD161" s="188">
        <f>opex_orig!$AB161</f>
        <v>3.2079500677445198E-5</v>
      </c>
      <c r="AE161" s="188">
        <f>opex_orig!$AC161</f>
        <v>3.8614433275978299E-4</v>
      </c>
      <c r="AF161" s="188">
        <f>opex_orig!$AD161</f>
        <v>7.4766594732178905E-4</v>
      </c>
      <c r="AG161" s="188">
        <f>opex_orig!$AD161</f>
        <v>7.4766594732178905E-4</v>
      </c>
      <c r="AH161" s="188">
        <f>opex_orig!$AD161</f>
        <v>7.4766594732178905E-4</v>
      </c>
      <c r="AI161" s="188">
        <f>opex_orig!AE161</f>
        <v>5.6330200000000001E-4</v>
      </c>
      <c r="AJ161" s="188">
        <f>opex_orig!AF161</f>
        <v>1.6634700000000001E-4</v>
      </c>
      <c r="AK161" s="188">
        <f>opex_orig!AG161</f>
        <v>3.2299999999999999E-5</v>
      </c>
      <c r="AL161" s="188">
        <f>opex_orig!AH161</f>
        <v>5.4500000000000003E-5</v>
      </c>
      <c r="AM161" s="188">
        <f>opex_orig!AI161</f>
        <v>3.4100000000000002E-5</v>
      </c>
      <c r="AN161" s="188">
        <f>opex_orig!AJ161</f>
        <v>8.3599999999999999E-5</v>
      </c>
      <c r="AO161" s="188">
        <f>opex_orig!AK161</f>
        <v>4.0899999999999998E-5</v>
      </c>
      <c r="AP161" s="188">
        <f>opex_orig!$AL161</f>
        <v>1.05693926440086E-4</v>
      </c>
      <c r="AQ161" s="188">
        <f>opex_orig!$AL161</f>
        <v>1.05693926440086E-4</v>
      </c>
      <c r="AR161" s="188">
        <f>opex_orig!$AL161</f>
        <v>1.05693926440086E-4</v>
      </c>
      <c r="AS161" s="188">
        <f>opex_orig!$AM161</f>
        <v>3.7626757112614798E-5</v>
      </c>
      <c r="AT161" s="188">
        <f>opex_orig!AN161</f>
        <v>1.15925E-4</v>
      </c>
      <c r="AU161" s="188">
        <f>opex_orig!$AO161</f>
        <v>1.633530897815E-4</v>
      </c>
      <c r="AV161" s="188">
        <f>opex_orig!$AO161</f>
        <v>1.633530897815E-4</v>
      </c>
      <c r="AW161" s="188">
        <f>opex_orig!$AO161</f>
        <v>1.633530897815E-4</v>
      </c>
      <c r="AX161" s="188">
        <f>opex_orig!$AP161</f>
        <v>2.6195583907484598E-4</v>
      </c>
      <c r="AY161" s="188">
        <f>opex_orig!AQ161</f>
        <v>3.0014899999999999E-4</v>
      </c>
      <c r="AZ161" s="188">
        <f>opex_orig!AR161</f>
        <v>0</v>
      </c>
      <c r="BA161" s="188">
        <f>opex_orig!AS161</f>
        <v>1.962E-4</v>
      </c>
      <c r="BB161" s="188">
        <f>opex_orig!AT161</f>
        <v>1.50309E-4</v>
      </c>
      <c r="BC161" s="188">
        <f>opex_orig!AU161</f>
        <v>2.0100000000000001E-5</v>
      </c>
      <c r="BD161" s="188">
        <f>opex_orig!AV161</f>
        <v>1.59E-5</v>
      </c>
      <c r="BE161" s="188">
        <f>opex_orig!AW161</f>
        <v>2.4156899999999999E-4</v>
      </c>
      <c r="BF161" s="188">
        <f>opex_orig!AX161</f>
        <v>0</v>
      </c>
      <c r="BG161" s="188">
        <f>opex_orig!AY161</f>
        <v>1.15844E-4</v>
      </c>
      <c r="BH161" s="188">
        <f>opex_orig!AZ161</f>
        <v>0</v>
      </c>
      <c r="BI161" s="188">
        <f>opex_orig!BA161</f>
        <v>1.3406599999999999E-4</v>
      </c>
      <c r="BJ161" s="188">
        <f>opex_orig!BB161</f>
        <v>1.7222200000000001E-4</v>
      </c>
      <c r="BK161" s="188">
        <f>opex_orig!BC161</f>
        <v>2.75918E-4</v>
      </c>
      <c r="BL161" s="188">
        <f>opex_orig!BD161</f>
        <v>2.5700000000000001E-5</v>
      </c>
      <c r="BM161" s="188">
        <f>opex_orig!BE161</f>
        <v>4.2400000000000001E-5</v>
      </c>
      <c r="BN161" s="188">
        <f>opex_orig!BF161</f>
        <v>1.49E-5</v>
      </c>
      <c r="BO161" s="188">
        <f>opex_orig!BG161</f>
        <v>6.1799999999999998E-5</v>
      </c>
      <c r="BP161" s="188">
        <f>opex_orig!$BH161</f>
        <v>9.9021341907965901E-5</v>
      </c>
      <c r="BQ161" s="188">
        <f>opex_orig!$BH161</f>
        <v>9.9021341907965901E-5</v>
      </c>
      <c r="BR161" s="188">
        <f>opex_orig!BI161</f>
        <v>1.3979500000000001E-4</v>
      </c>
      <c r="BS161" s="188">
        <f>opex_orig!BJ161</f>
        <v>5.9799999999999997E-5</v>
      </c>
      <c r="BT161" s="188">
        <f>opex_orig!BK161</f>
        <v>2.7349600000000003E-4</v>
      </c>
      <c r="BU161" s="188">
        <f>opex_orig!BL161</f>
        <v>0</v>
      </c>
      <c r="BV161" s="27">
        <f>opex_orig!BM161</f>
        <v>1.2510818549199101E-4</v>
      </c>
      <c r="BW161" s="27">
        <f>opex_orig!BN161</f>
        <v>7.3678973656984197E-4</v>
      </c>
      <c r="BX161" s="27">
        <f>opex_orig!BO161</f>
        <v>1.2832648099402901E-4</v>
      </c>
      <c r="BY161" s="27">
        <f>opex_orig!BP161</f>
        <v>6.3248259259981305E-4</v>
      </c>
      <c r="BZ161" s="27">
        <f>opex_orig!BQ161</f>
        <v>5.9285309974792903E-5</v>
      </c>
      <c r="CA161" s="27">
        <f>opex_orig!BR161</f>
        <v>1.3634233575037001E-6</v>
      </c>
      <c r="CB161" s="27">
        <f>opex_orig!BS161</f>
        <v>1.6068637442023299E-4</v>
      </c>
      <c r="CC161" s="27">
        <f>opex_orig!BT161</f>
        <v>6.8112521435454102E-5</v>
      </c>
      <c r="CD161" s="27">
        <f>opex_orig!BU161</f>
        <v>8.1795120597588196E-6</v>
      </c>
      <c r="CE161" s="27">
        <f>opex_orig!BV161</f>
        <v>8.1795120597588399E-6</v>
      </c>
      <c r="CF161" s="27">
        <f>opex_orig!BW161</f>
        <v>2.6447906039046701E-6</v>
      </c>
      <c r="CG161" s="27">
        <f>opex_orig!BX161</f>
        <v>4.0505349240296001E-6</v>
      </c>
      <c r="CH161" s="27">
        <f>opex_orig!BY161</f>
        <v>1.5527391045972502E-5</v>
      </c>
      <c r="CI161" s="27">
        <f>opex_orig!Y161</f>
        <v>1.6200000000000001E-5</v>
      </c>
      <c r="CJ161" s="27">
        <f>opex_orig!Z161</f>
        <v>1.12279E-4</v>
      </c>
      <c r="CK161" s="27">
        <f>opex_orig!AA161</f>
        <v>4.71E-5</v>
      </c>
      <c r="CL161" s="27">
        <f>opex_orig!AB161</f>
        <v>3.2079500677445198E-5</v>
      </c>
      <c r="CM161" s="27">
        <f>opex_orig!AC161</f>
        <v>3.8614433275978299E-4</v>
      </c>
      <c r="CN161" s="27">
        <f>opex_orig!AD161</f>
        <v>7.4766594732178905E-4</v>
      </c>
      <c r="CO161" s="27">
        <f>opex_orig!AE161</f>
        <v>5.6330200000000001E-4</v>
      </c>
      <c r="CP161" s="27">
        <f>opex_orig!AF161</f>
        <v>1.6634700000000001E-4</v>
      </c>
    </row>
    <row r="162" spans="1:94" x14ac:dyDescent="0.25">
      <c r="A162" s="5" t="s">
        <v>315</v>
      </c>
      <c r="B162" s="2" t="s">
        <v>314</v>
      </c>
      <c r="C162" s="1" t="s">
        <v>335</v>
      </c>
      <c r="D162" s="188">
        <f>opex_orig!D162</f>
        <v>3.0699999999999998E-6</v>
      </c>
      <c r="E162" s="188">
        <f>opex_orig!E162</f>
        <v>3.5499999999999999E-7</v>
      </c>
      <c r="F162" s="188">
        <f>opex_orig!F162</f>
        <v>3.3699999999999999E-6</v>
      </c>
      <c r="G162" s="188">
        <f>opex_orig!G162</f>
        <v>2.8100000000000002E-6</v>
      </c>
      <c r="H162" s="188">
        <f>opex_orig!H162</f>
        <v>3.9299999999999996E-6</v>
      </c>
      <c r="I162" s="188">
        <f>opex_orig!I162</f>
        <v>1.2699999999999999E-6</v>
      </c>
      <c r="J162" s="188">
        <f>opex_orig!J162</f>
        <v>1.8500000000000001E-6</v>
      </c>
      <c r="K162" s="188">
        <f>opex_orig!K162</f>
        <v>1.1399999999999999E-5</v>
      </c>
      <c r="L162" s="188">
        <f>opex_orig!L162</f>
        <v>1.9199999999999999E-5</v>
      </c>
      <c r="M162" s="188">
        <f>opex_orig!M162</f>
        <v>1.6645000000000001E-4</v>
      </c>
      <c r="N162" s="188">
        <f>opex_orig!N162</f>
        <v>9.8099999999999999E-5</v>
      </c>
      <c r="O162" s="188">
        <f>opex_orig!O162</f>
        <v>2.7900000000000001E-5</v>
      </c>
      <c r="P162" s="188">
        <f>opex_orig!P162</f>
        <v>2.39E-6</v>
      </c>
      <c r="Q162" s="188">
        <f>opex_orig!Q162</f>
        <v>5.4634900000000001E-4</v>
      </c>
      <c r="R162" s="188">
        <f>opex_orig!R162</f>
        <v>5.8188599999999999E-4</v>
      </c>
      <c r="S162" s="188">
        <f>opex_orig!S162</f>
        <v>2.7099999999999999E-6</v>
      </c>
      <c r="T162" s="188">
        <f>opex_orig!T162</f>
        <v>3.069713E-3</v>
      </c>
      <c r="U162" s="188">
        <f>opex_orig!U162</f>
        <v>1.22E-5</v>
      </c>
      <c r="V162" s="188">
        <f>opex_orig!V162</f>
        <v>6.61E-7</v>
      </c>
      <c r="W162" s="188">
        <f>opex_orig!W162</f>
        <v>3.0300000000000001E-5</v>
      </c>
      <c r="X162" s="188">
        <f>opex_orig!X162</f>
        <v>8.4100000000000008E-6</v>
      </c>
      <c r="Y162" s="188">
        <f>opex_orig!Y162</f>
        <v>4.4799999999999999E-7</v>
      </c>
      <c r="Z162" s="188">
        <f>opex_orig!Z162</f>
        <v>7.4900000000000002E-8</v>
      </c>
      <c r="AA162" s="188">
        <f>opex_orig!AA162</f>
        <v>2.17E-7</v>
      </c>
      <c r="AB162" s="188">
        <f>opex_orig!$AB162</f>
        <v>1.3847483179878599E-6</v>
      </c>
      <c r="AC162" s="188">
        <f>opex_orig!$AB162</f>
        <v>1.3847483179878599E-6</v>
      </c>
      <c r="AD162" s="188">
        <f>opex_orig!$AB162</f>
        <v>1.3847483179878599E-6</v>
      </c>
      <c r="AE162" s="188">
        <f>opex_orig!$AC162</f>
        <v>4.3668233248707203E-5</v>
      </c>
      <c r="AF162" s="188">
        <f>opex_orig!$AD162</f>
        <v>3.96084116528952E-5</v>
      </c>
      <c r="AG162" s="188">
        <f>opex_orig!$AD162</f>
        <v>3.96084116528952E-5</v>
      </c>
      <c r="AH162" s="188">
        <f>opex_orig!$AD162</f>
        <v>3.96084116528952E-5</v>
      </c>
      <c r="AI162" s="188">
        <f>opex_orig!AE162</f>
        <v>9.0599999999999997E-6</v>
      </c>
      <c r="AJ162" s="188">
        <f>opex_orig!AF162</f>
        <v>2.3730100000000001E-4</v>
      </c>
      <c r="AK162" s="188">
        <f>opex_orig!AG162</f>
        <v>7.0500000000000003E-7</v>
      </c>
      <c r="AL162" s="188">
        <f>opex_orig!AH162</f>
        <v>8.9999999999999996E-7</v>
      </c>
      <c r="AM162" s="188">
        <f>opex_orig!AI162</f>
        <v>8.7499999999999999E-7</v>
      </c>
      <c r="AN162" s="188">
        <f>opex_orig!AJ162</f>
        <v>1.3799999999999999E-6</v>
      </c>
      <c r="AO162" s="188">
        <f>opex_orig!AK162</f>
        <v>1.2500000000000001E-6</v>
      </c>
      <c r="AP162" s="188">
        <f>opex_orig!$AL162</f>
        <v>7.6877982635626802E-7</v>
      </c>
      <c r="AQ162" s="188">
        <f>opex_orig!$AL162</f>
        <v>7.6877982635626802E-7</v>
      </c>
      <c r="AR162" s="188">
        <f>opex_orig!$AL162</f>
        <v>7.6877982635626802E-7</v>
      </c>
      <c r="AS162" s="188">
        <f>opex_orig!$AM162</f>
        <v>6.9330753583842795E-7</v>
      </c>
      <c r="AT162" s="188">
        <f>opex_orig!AN162</f>
        <v>1.26E-6</v>
      </c>
      <c r="AU162" s="188">
        <f>opex_orig!$AO162</f>
        <v>7.8205414033679097E-7</v>
      </c>
      <c r="AV162" s="188">
        <f>opex_orig!$AO162</f>
        <v>7.8205414033679097E-7</v>
      </c>
      <c r="AW162" s="188">
        <f>opex_orig!$AO162</f>
        <v>7.8205414033679097E-7</v>
      </c>
      <c r="AX162" s="188">
        <f>opex_orig!$AP162</f>
        <v>5.1733314594485897E-7</v>
      </c>
      <c r="AY162" s="188">
        <f>opex_orig!AQ162</f>
        <v>1.2300000000000001E-6</v>
      </c>
      <c r="AZ162" s="188">
        <f>opex_orig!AR162</f>
        <v>0</v>
      </c>
      <c r="BA162" s="188">
        <f>opex_orig!AS162</f>
        <v>1.57E-6</v>
      </c>
      <c r="BB162" s="188">
        <f>opex_orig!AT162</f>
        <v>1.77E-6</v>
      </c>
      <c r="BC162" s="188">
        <f>opex_orig!AU162</f>
        <v>1.4399999999999999E-7</v>
      </c>
      <c r="BD162" s="188">
        <f>opex_orig!AV162</f>
        <v>5.7299999999999997E-8</v>
      </c>
      <c r="BE162" s="188">
        <f>opex_orig!AW162</f>
        <v>2.43E-6</v>
      </c>
      <c r="BF162" s="188">
        <f>opex_orig!AX162</f>
        <v>0</v>
      </c>
      <c r="BG162" s="188">
        <f>opex_orig!AY162</f>
        <v>2.4499999999999998E-7</v>
      </c>
      <c r="BH162" s="188">
        <f>opex_orig!AZ162</f>
        <v>0</v>
      </c>
      <c r="BI162" s="188">
        <f>opex_orig!BA162</f>
        <v>1.1200000000000001E-6</v>
      </c>
      <c r="BJ162" s="188">
        <f>opex_orig!BB162</f>
        <v>6.4899999999999995E-7</v>
      </c>
      <c r="BK162" s="188">
        <f>opex_orig!BC162</f>
        <v>9.569999999999999E-7</v>
      </c>
      <c r="BL162" s="188">
        <f>opex_orig!BD162</f>
        <v>1.73E-6</v>
      </c>
      <c r="BM162" s="188">
        <f>opex_orig!BE162</f>
        <v>7.3099999999999997E-7</v>
      </c>
      <c r="BN162" s="188">
        <f>opex_orig!BF162</f>
        <v>2.5799999999999999E-6</v>
      </c>
      <c r="BO162" s="188">
        <f>opex_orig!BG162</f>
        <v>7.7700000000000004E-7</v>
      </c>
      <c r="BP162" s="188">
        <f>opex_orig!$BH162</f>
        <v>9.57439489476464E-7</v>
      </c>
      <c r="BQ162" s="188">
        <f>opex_orig!$BH162</f>
        <v>9.57439489476464E-7</v>
      </c>
      <c r="BR162" s="188">
        <f>opex_orig!BI162</f>
        <v>7.9299999999999997E-7</v>
      </c>
      <c r="BS162" s="188">
        <f>opex_orig!BJ162</f>
        <v>1.1599999999999999E-6</v>
      </c>
      <c r="BT162" s="188">
        <f>opex_orig!BK162</f>
        <v>9.1200000000000001E-7</v>
      </c>
      <c r="BU162" s="188">
        <f>opex_orig!BL162</f>
        <v>0</v>
      </c>
      <c r="BV162" s="27">
        <f>opex_orig!BM162</f>
        <v>9.1952157672422796E-7</v>
      </c>
      <c r="BW162" s="27">
        <f>opex_orig!BN162</f>
        <v>5.9543591135705804E-7</v>
      </c>
      <c r="BX162" s="27">
        <f>opex_orig!BO162</f>
        <v>2.4655283410438898E-7</v>
      </c>
      <c r="BY162" s="27">
        <f>opex_orig!BP162</f>
        <v>3.7710360526712302E-7</v>
      </c>
      <c r="BZ162" s="27">
        <f>opex_orig!BQ162</f>
        <v>2.1620859308802301E-7</v>
      </c>
      <c r="CA162" s="27">
        <f>opex_orig!BR162</f>
        <v>1.9337730303935E-6</v>
      </c>
      <c r="CB162" s="27">
        <f>opex_orig!BS162</f>
        <v>4.8943631265472696E-7</v>
      </c>
      <c r="CC162" s="27">
        <f>opex_orig!BT162</f>
        <v>4.3298060544080799E-6</v>
      </c>
      <c r="CD162" s="27">
        <f>opex_orig!BU162</f>
        <v>1.4409365371630599E-7</v>
      </c>
      <c r="CE162" s="27">
        <f>opex_orig!BV162</f>
        <v>1.4409365371630599E-7</v>
      </c>
      <c r="CF162" s="27">
        <f>opex_orig!BW162</f>
        <v>1.3891020648707101E-6</v>
      </c>
      <c r="CG162" s="27">
        <f>opex_orig!BX162</f>
        <v>1.8212736406923799E-6</v>
      </c>
      <c r="CH162" s="27">
        <f>opex_orig!BY162</f>
        <v>6.7885518158220102E-7</v>
      </c>
      <c r="CI162" s="27">
        <f>opex_orig!Y162</f>
        <v>4.4799999999999999E-7</v>
      </c>
      <c r="CJ162" s="27">
        <f>opex_orig!Z162</f>
        <v>7.4900000000000002E-8</v>
      </c>
      <c r="CK162" s="27">
        <f>opex_orig!AA162</f>
        <v>2.17E-7</v>
      </c>
      <c r="CL162" s="27">
        <f>opex_orig!AB162</f>
        <v>1.3847483179878599E-6</v>
      </c>
      <c r="CM162" s="27">
        <f>opex_orig!AC162</f>
        <v>4.3668233248707203E-5</v>
      </c>
      <c r="CN162" s="27">
        <f>opex_orig!AD162</f>
        <v>3.96084116528952E-5</v>
      </c>
      <c r="CO162" s="27">
        <f>opex_orig!AE162</f>
        <v>9.0599999999999997E-6</v>
      </c>
      <c r="CP162" s="27">
        <f>opex_orig!AF162</f>
        <v>2.3730100000000001E-4</v>
      </c>
    </row>
    <row r="163" spans="1:94" x14ac:dyDescent="0.25">
      <c r="A163" s="5" t="s">
        <v>317</v>
      </c>
      <c r="B163" s="2" t="s">
        <v>316</v>
      </c>
      <c r="C163" s="1" t="s">
        <v>335</v>
      </c>
      <c r="D163" s="188">
        <f>opex_orig!D163</f>
        <v>2.23262E-4</v>
      </c>
      <c r="E163" s="188">
        <f>opex_orig!E163</f>
        <v>3.0800000000000003E-5</v>
      </c>
      <c r="F163" s="188">
        <f>opex_orig!F163</f>
        <v>9.7999999999999997E-5</v>
      </c>
      <c r="G163" s="188">
        <f>opex_orig!G163</f>
        <v>2.3800000000000001E-6</v>
      </c>
      <c r="H163" s="188">
        <f>opex_orig!H163</f>
        <v>5.0799999999999996E-6</v>
      </c>
      <c r="I163" s="188">
        <f>opex_orig!I163</f>
        <v>3.8399999999999998E-5</v>
      </c>
      <c r="J163" s="188">
        <f>opex_orig!J163</f>
        <v>1.21416E-4</v>
      </c>
      <c r="K163" s="188">
        <f>opex_orig!K163</f>
        <v>7.5000000000000002E-6</v>
      </c>
      <c r="L163" s="188">
        <f>opex_orig!L163</f>
        <v>4.1600000000000002E-5</v>
      </c>
      <c r="M163" s="188">
        <f>opex_orig!M163</f>
        <v>1.07506E-4</v>
      </c>
      <c r="N163" s="188">
        <f>opex_orig!N163</f>
        <v>7.25E-5</v>
      </c>
      <c r="O163" s="188">
        <f>opex_orig!O163</f>
        <v>1.5858499999999999E-4</v>
      </c>
      <c r="P163" s="188">
        <f>opex_orig!P163</f>
        <v>5.2200000000000002E-5</v>
      </c>
      <c r="Q163" s="188">
        <f>opex_orig!Q163</f>
        <v>6.8499999999999998E-5</v>
      </c>
      <c r="R163" s="188">
        <f>opex_orig!R163</f>
        <v>2.9200000000000002E-5</v>
      </c>
      <c r="S163" s="188">
        <f>opex_orig!S163</f>
        <v>5.2099999999999999E-5</v>
      </c>
      <c r="T163" s="188">
        <f>opex_orig!T163</f>
        <v>4.32E-5</v>
      </c>
      <c r="U163" s="188">
        <f>opex_orig!U163</f>
        <v>5.3600000000000002E-5</v>
      </c>
      <c r="V163" s="188">
        <f>opex_orig!V163</f>
        <v>6.0800000000000001E-5</v>
      </c>
      <c r="W163" s="188">
        <f>opex_orig!W163</f>
        <v>5.3199999999999999E-5</v>
      </c>
      <c r="X163" s="188">
        <f>opex_orig!X163</f>
        <v>8.1199999999999995E-5</v>
      </c>
      <c r="Y163" s="188">
        <f>opex_orig!Y163</f>
        <v>4.7400000000000004E-6</v>
      </c>
      <c r="Z163" s="188">
        <f>opex_orig!Z163</f>
        <v>6.2534099999999996E-4</v>
      </c>
      <c r="AA163" s="188">
        <f>opex_orig!AA163</f>
        <v>2.41E-5</v>
      </c>
      <c r="AB163" s="188">
        <f>opex_orig!$AB163</f>
        <v>2.1192933224346199E-5</v>
      </c>
      <c r="AC163" s="188">
        <f>opex_orig!$AB163</f>
        <v>2.1192933224346199E-5</v>
      </c>
      <c r="AD163" s="188">
        <f>opex_orig!$AB163</f>
        <v>2.1192933224346199E-5</v>
      </c>
      <c r="AE163" s="188">
        <f>opex_orig!$AC163</f>
        <v>1.13136768777148E-4</v>
      </c>
      <c r="AF163" s="188">
        <f>opex_orig!$AD163</f>
        <v>7.7942863584130604E-5</v>
      </c>
      <c r="AG163" s="188">
        <f>opex_orig!$AD163</f>
        <v>7.7942863584130604E-5</v>
      </c>
      <c r="AH163" s="188">
        <f>opex_orig!$AD163</f>
        <v>7.7942863584130604E-5</v>
      </c>
      <c r="AI163" s="188">
        <f>opex_orig!AE163</f>
        <v>7.4400000000000006E-5</v>
      </c>
      <c r="AJ163" s="188">
        <f>opex_orig!AF163</f>
        <v>5.8976799999999995E-4</v>
      </c>
      <c r="AK163" s="188">
        <f>opex_orig!AG163</f>
        <v>2.7500000000000001E-5</v>
      </c>
      <c r="AL163" s="188">
        <f>opex_orig!AH163</f>
        <v>1.33E-5</v>
      </c>
      <c r="AM163" s="188">
        <f>opex_orig!AI163</f>
        <v>2.4600000000000002E-5</v>
      </c>
      <c r="AN163" s="188">
        <f>opex_orig!AJ163</f>
        <v>1.19E-5</v>
      </c>
      <c r="AO163" s="188">
        <f>opex_orig!AK163</f>
        <v>1.36E-5</v>
      </c>
      <c r="AP163" s="188">
        <f>opex_orig!$AL163</f>
        <v>1.9225811905037701E-5</v>
      </c>
      <c r="AQ163" s="188">
        <f>opex_orig!$AL163</f>
        <v>1.9225811905037701E-5</v>
      </c>
      <c r="AR163" s="188">
        <f>opex_orig!$AL163</f>
        <v>1.9225811905037701E-5</v>
      </c>
      <c r="AS163" s="188">
        <f>opex_orig!$AM163</f>
        <v>1.7662469224607301E-5</v>
      </c>
      <c r="AT163" s="188">
        <f>opex_orig!AN163</f>
        <v>2.5400000000000001E-5</v>
      </c>
      <c r="AU163" s="188">
        <f>opex_orig!$AO163</f>
        <v>1.3967744771570899E-5</v>
      </c>
      <c r="AV163" s="188">
        <f>opex_orig!$AO163</f>
        <v>1.3967744771570899E-5</v>
      </c>
      <c r="AW163" s="188">
        <f>opex_orig!$AO163</f>
        <v>1.3967744771570899E-5</v>
      </c>
      <c r="AX163" s="188">
        <f>opex_orig!$AP163</f>
        <v>1.7450745944546499E-5</v>
      </c>
      <c r="AY163" s="188">
        <f>opex_orig!AQ163</f>
        <v>8.7899999999999995E-5</v>
      </c>
      <c r="AZ163" s="188">
        <f>opex_orig!AR163</f>
        <v>0</v>
      </c>
      <c r="BA163" s="188">
        <f>opex_orig!AS163</f>
        <v>2.0400000000000001E-5</v>
      </c>
      <c r="BB163" s="188">
        <f>opex_orig!AT163</f>
        <v>1.9300000000000002E-5</v>
      </c>
      <c r="BC163" s="188">
        <f>opex_orig!AU163</f>
        <v>7.96E-6</v>
      </c>
      <c r="BD163" s="188">
        <f>opex_orig!AV163</f>
        <v>4.6E-6</v>
      </c>
      <c r="BE163" s="188">
        <f>opex_orig!AW163</f>
        <v>1.4399999999999999E-5</v>
      </c>
      <c r="BF163" s="188">
        <f>opex_orig!AX163</f>
        <v>0</v>
      </c>
      <c r="BG163" s="188">
        <f>opex_orig!AY163</f>
        <v>2.6299999999999999E-5</v>
      </c>
      <c r="BH163" s="188">
        <f>opex_orig!AZ163</f>
        <v>0</v>
      </c>
      <c r="BI163" s="188">
        <f>opex_orig!BA163</f>
        <v>2.48E-5</v>
      </c>
      <c r="BJ163" s="188">
        <f>opex_orig!BB163</f>
        <v>2.5700000000000001E-5</v>
      </c>
      <c r="BK163" s="188">
        <f>opex_orig!BC163</f>
        <v>4.4299999999999999E-5</v>
      </c>
      <c r="BL163" s="188">
        <f>opex_orig!BD163</f>
        <v>1.2082300000000001E-4</v>
      </c>
      <c r="BM163" s="188">
        <f>opex_orig!BE163</f>
        <v>3.18E-5</v>
      </c>
      <c r="BN163" s="188">
        <f>opex_orig!BF163</f>
        <v>1.26E-5</v>
      </c>
      <c r="BO163" s="188">
        <f>opex_orig!BG163</f>
        <v>5.4500000000000003E-5</v>
      </c>
      <c r="BP163" s="188">
        <f>opex_orig!$BH163</f>
        <v>2.8513923540861499E-5</v>
      </c>
      <c r="BQ163" s="188">
        <f>opex_orig!$BH163</f>
        <v>2.8513923540861499E-5</v>
      </c>
      <c r="BR163" s="188">
        <f>opex_orig!BI163</f>
        <v>1.8899999999999999E-5</v>
      </c>
      <c r="BS163" s="188">
        <f>opex_orig!BJ163</f>
        <v>2.1490499999999999E-4</v>
      </c>
      <c r="BT163" s="188">
        <f>opex_orig!BK163</f>
        <v>1.5E-5</v>
      </c>
      <c r="BU163" s="188">
        <f>opex_orig!BL163</f>
        <v>0</v>
      </c>
      <c r="BV163" s="27">
        <f>opex_orig!BM163</f>
        <v>2.7178667076136001E-5</v>
      </c>
      <c r="BW163" s="27">
        <f>opex_orig!BN163</f>
        <v>5.2998248676683503E-5</v>
      </c>
      <c r="BX163" s="27">
        <f>opex_orig!BO163</f>
        <v>1.5105540152157899E-5</v>
      </c>
      <c r="BY163" s="27">
        <f>opex_orig!BP163</f>
        <v>3.3545981816338698E-5</v>
      </c>
      <c r="BZ163" s="27">
        <f>opex_orig!BQ163</f>
        <v>1.62103461719277E-5</v>
      </c>
      <c r="CA163" s="27">
        <f>opex_orig!BR163</f>
        <v>6.4780126218526204E-5</v>
      </c>
      <c r="CB163" s="27">
        <f>opex_orig!BS163</f>
        <v>2.2941245202591399E-5</v>
      </c>
      <c r="CC163" s="27">
        <f>opex_orig!BT163</f>
        <v>9.7134247988924896E-5</v>
      </c>
      <c r="CD163" s="27">
        <f>opex_orig!BU163</f>
        <v>3.0034955208036401E-5</v>
      </c>
      <c r="CE163" s="27">
        <f>opex_orig!BV163</f>
        <v>3.0034955208036499E-5</v>
      </c>
      <c r="CF163" s="27">
        <f>opex_orig!BW163</f>
        <v>4.0714813644691102E-5</v>
      </c>
      <c r="CG163" s="27">
        <f>opex_orig!BX163</f>
        <v>4.3523285205156897E-6</v>
      </c>
      <c r="CH163" s="27">
        <f>opex_orig!BY163</f>
        <v>4.1746528477457003E-5</v>
      </c>
      <c r="CI163" s="27">
        <f>opex_orig!Y163</f>
        <v>4.7400000000000004E-6</v>
      </c>
      <c r="CJ163" s="27">
        <f>opex_orig!Z163</f>
        <v>6.2534099999999996E-4</v>
      </c>
      <c r="CK163" s="27">
        <f>opex_orig!AA163</f>
        <v>2.41E-5</v>
      </c>
      <c r="CL163" s="27">
        <f>opex_orig!AB163</f>
        <v>2.1192933224346199E-5</v>
      </c>
      <c r="CM163" s="27">
        <f>opex_orig!AC163</f>
        <v>1.13136768777148E-4</v>
      </c>
      <c r="CN163" s="27">
        <f>opex_orig!AD163</f>
        <v>7.7942863584130604E-5</v>
      </c>
      <c r="CO163" s="27">
        <f>opex_orig!AE163</f>
        <v>7.4400000000000006E-5</v>
      </c>
      <c r="CP163" s="27">
        <f>opex_orig!AF163</f>
        <v>5.8976799999999995E-4</v>
      </c>
    </row>
    <row r="164" spans="1:94" x14ac:dyDescent="0.25">
      <c r="A164" s="5" t="s">
        <v>319</v>
      </c>
      <c r="B164" s="2" t="s">
        <v>318</v>
      </c>
      <c r="C164" s="1" t="s">
        <v>335</v>
      </c>
      <c r="D164" s="188">
        <f>opex_orig!D164</f>
        <v>5.49E-5</v>
      </c>
      <c r="E164" s="188">
        <f>opex_orig!E164</f>
        <v>2.6100000000000001E-5</v>
      </c>
      <c r="F164" s="188">
        <f>opex_orig!F164</f>
        <v>2.4600000000000002E-5</v>
      </c>
      <c r="G164" s="188">
        <f>opex_orig!G164</f>
        <v>5.0900000000000004E-6</v>
      </c>
      <c r="H164" s="188">
        <f>opex_orig!H164</f>
        <v>8.32E-6</v>
      </c>
      <c r="I164" s="188">
        <f>opex_orig!I164</f>
        <v>4.0299999999999997E-5</v>
      </c>
      <c r="J164" s="188">
        <f>opex_orig!J164</f>
        <v>7.7200000000000006E-5</v>
      </c>
      <c r="K164" s="188">
        <f>opex_orig!K164</f>
        <v>1.63E-5</v>
      </c>
      <c r="L164" s="188">
        <f>opex_orig!L164</f>
        <v>4.9700000000000002E-5</v>
      </c>
      <c r="M164" s="188">
        <f>opex_orig!M164</f>
        <v>1.42733E-4</v>
      </c>
      <c r="N164" s="188">
        <f>opex_orig!N164</f>
        <v>1.01235E-4</v>
      </c>
      <c r="O164" s="188">
        <f>opex_orig!O164</f>
        <v>6.86E-5</v>
      </c>
      <c r="P164" s="188">
        <f>opex_orig!P164</f>
        <v>3.2898699999999999E-4</v>
      </c>
      <c r="Q164" s="188">
        <f>opex_orig!Q164</f>
        <v>1.8762600000000001E-4</v>
      </c>
      <c r="R164" s="188">
        <f>opex_orig!R164</f>
        <v>4.4299999999999999E-5</v>
      </c>
      <c r="S164" s="188">
        <f>opex_orig!S164</f>
        <v>1.24845E-4</v>
      </c>
      <c r="T164" s="188">
        <f>opex_orig!T164</f>
        <v>1.4848500000000001E-4</v>
      </c>
      <c r="U164" s="188">
        <f>opex_orig!U164</f>
        <v>7.2200000000000007E-5</v>
      </c>
      <c r="V164" s="188">
        <f>opex_orig!V164</f>
        <v>4.7700000000000001E-5</v>
      </c>
      <c r="W164" s="188">
        <f>opex_orig!W164</f>
        <v>4.3699999999999998E-5</v>
      </c>
      <c r="X164" s="188">
        <f>opex_orig!X164</f>
        <v>6.2100000000000005E-5</v>
      </c>
      <c r="Y164" s="188">
        <f>opex_orig!Y164</f>
        <v>2.0299999999999999E-5</v>
      </c>
      <c r="Z164" s="188">
        <f>opex_orig!Z164</f>
        <v>1.6200000000000001E-5</v>
      </c>
      <c r="AA164" s="188">
        <f>opex_orig!AA164</f>
        <v>5.3300000000000001E-5</v>
      </c>
      <c r="AB164" s="188">
        <f>opex_orig!$AB164</f>
        <v>5.2384373153058202E-5</v>
      </c>
      <c r="AC164" s="188">
        <f>opex_orig!$AB164</f>
        <v>5.2384373153058202E-5</v>
      </c>
      <c r="AD164" s="188">
        <f>opex_orig!$AB164</f>
        <v>5.2384373153058202E-5</v>
      </c>
      <c r="AE164" s="188">
        <f>opex_orig!$AC164</f>
        <v>9.6183959114447799E-5</v>
      </c>
      <c r="AF164" s="188">
        <f>opex_orig!$AD164</f>
        <v>5.2585023334554401E-5</v>
      </c>
      <c r="AG164" s="188">
        <f>opex_orig!$AD164</f>
        <v>5.2585023334554401E-5</v>
      </c>
      <c r="AH164" s="188">
        <f>opex_orig!$AD164</f>
        <v>5.2585023334554401E-5</v>
      </c>
      <c r="AI164" s="188">
        <f>opex_orig!AE164</f>
        <v>4.6600000000000001E-5</v>
      </c>
      <c r="AJ164" s="188">
        <f>opex_orig!AF164</f>
        <v>1.1233E-4</v>
      </c>
      <c r="AK164" s="188">
        <f>opex_orig!AG164</f>
        <v>3.2700000000000002E-5</v>
      </c>
      <c r="AL164" s="188">
        <f>opex_orig!AH164</f>
        <v>1.5618300000000001E-4</v>
      </c>
      <c r="AM164" s="188">
        <f>opex_orig!AI164</f>
        <v>5.02E-5</v>
      </c>
      <c r="AN164" s="188">
        <f>opex_orig!AJ164</f>
        <v>1.7628199999999999E-4</v>
      </c>
      <c r="AO164" s="188">
        <f>opex_orig!AK164</f>
        <v>1.26484E-4</v>
      </c>
      <c r="AP164" s="188">
        <f>opex_orig!$AL164</f>
        <v>1.04720304548453E-4</v>
      </c>
      <c r="AQ164" s="188">
        <f>opex_orig!$AL164</f>
        <v>1.04720304548453E-4</v>
      </c>
      <c r="AR164" s="188">
        <f>opex_orig!$AL164</f>
        <v>1.04720304548453E-4</v>
      </c>
      <c r="AS164" s="188">
        <f>opex_orig!$AM164</f>
        <v>1.04171819738258E-4</v>
      </c>
      <c r="AT164" s="188">
        <f>opex_orig!AN164</f>
        <v>1.0063799999999999E-4</v>
      </c>
      <c r="AU164" s="188">
        <f>opex_orig!$AO164</f>
        <v>3.2056024835260102E-5</v>
      </c>
      <c r="AV164" s="188">
        <f>opex_orig!$AO164</f>
        <v>3.2056024835260102E-5</v>
      </c>
      <c r="AW164" s="188">
        <f>opex_orig!$AO164</f>
        <v>3.2056024835260102E-5</v>
      </c>
      <c r="AX164" s="188">
        <f>opex_orig!$AP164</f>
        <v>4.2290329449059799E-5</v>
      </c>
      <c r="AY164" s="188">
        <f>opex_orig!AQ164</f>
        <v>7.0500000000000006E-5</v>
      </c>
      <c r="AZ164" s="188">
        <f>opex_orig!AR164</f>
        <v>0</v>
      </c>
      <c r="BA164" s="188">
        <f>opex_orig!AS164</f>
        <v>4.6300000000000001E-5</v>
      </c>
      <c r="BB164" s="188">
        <f>opex_orig!AT164</f>
        <v>4.3399999999999998E-5</v>
      </c>
      <c r="BC164" s="188">
        <f>opex_orig!AU164</f>
        <v>1.7499999999999998E-5</v>
      </c>
      <c r="BD164" s="188">
        <f>opex_orig!AV164</f>
        <v>1.36E-5</v>
      </c>
      <c r="BE164" s="188">
        <f>opex_orig!AW164</f>
        <v>3.1300000000000002E-5</v>
      </c>
      <c r="BF164" s="188">
        <f>opex_orig!AX164</f>
        <v>0</v>
      </c>
      <c r="BG164" s="188">
        <f>opex_orig!AY164</f>
        <v>9.4500000000000007E-5</v>
      </c>
      <c r="BH164" s="188">
        <f>opex_orig!AZ164</f>
        <v>0</v>
      </c>
      <c r="BI164" s="188">
        <f>opex_orig!BA164</f>
        <v>4.9400000000000001E-5</v>
      </c>
      <c r="BJ164" s="188">
        <f>opex_orig!BB164</f>
        <v>4.1399999999999997E-5</v>
      </c>
      <c r="BK164" s="188">
        <f>opex_orig!BC164</f>
        <v>3.8699999999999999E-5</v>
      </c>
      <c r="BL164" s="188">
        <f>opex_orig!BD164</f>
        <v>5.0899999999999997E-5</v>
      </c>
      <c r="BM164" s="188">
        <f>opex_orig!BE164</f>
        <v>5.9599999999999999E-5</v>
      </c>
      <c r="BN164" s="188">
        <f>opex_orig!BF164</f>
        <v>7.6699999999999994E-5</v>
      </c>
      <c r="BO164" s="188">
        <f>opex_orig!BG164</f>
        <v>4.85E-5</v>
      </c>
      <c r="BP164" s="188">
        <f>opex_orig!$BH164</f>
        <v>3.37841055797442E-5</v>
      </c>
      <c r="BQ164" s="188">
        <f>opex_orig!$BH164</f>
        <v>3.37841055797442E-5</v>
      </c>
      <c r="BR164" s="188">
        <f>opex_orig!BI164</f>
        <v>2.1100000000000001E-5</v>
      </c>
      <c r="BS164" s="188">
        <f>opex_orig!BJ164</f>
        <v>6.0999999999999999E-5</v>
      </c>
      <c r="BT164" s="188">
        <f>opex_orig!BK164</f>
        <v>3.04E-5</v>
      </c>
      <c r="BU164" s="188">
        <f>opex_orig!BL164</f>
        <v>0</v>
      </c>
      <c r="BV164" s="27">
        <f>opex_orig!BM164</f>
        <v>2.3048704198728399E-5</v>
      </c>
      <c r="BW164" s="27">
        <f>opex_orig!BN164</f>
        <v>4.4263032493905502E-5</v>
      </c>
      <c r="BX164" s="27">
        <f>opex_orig!BO164</f>
        <v>1.51329221303918E-5</v>
      </c>
      <c r="BY164" s="27">
        <f>opex_orig!BP164</f>
        <v>2.5958667366038199E-5</v>
      </c>
      <c r="BZ164" s="27">
        <f>opex_orig!BQ164</f>
        <v>1.9557936922317601E-5</v>
      </c>
      <c r="CA164" s="27">
        <f>opex_orig!BR164</f>
        <v>4.0047176341573201E-4</v>
      </c>
      <c r="CB164" s="27">
        <f>opex_orig!BS164</f>
        <v>1.1561893699226E-4</v>
      </c>
      <c r="CC164" s="27">
        <f>opex_orig!BT164</f>
        <v>1.1309361249905999E-5</v>
      </c>
      <c r="CD164" s="27">
        <f>opex_orig!BU164</f>
        <v>1.31250331663879E-5</v>
      </c>
      <c r="CE164" s="27">
        <f>opex_orig!BV164</f>
        <v>1.31250331663879E-5</v>
      </c>
      <c r="CF164" s="27">
        <f>opex_orig!BW164</f>
        <v>1.6061716490178999E-5</v>
      </c>
      <c r="CG164" s="27">
        <f>opex_orig!BX164</f>
        <v>1.12627202847729E-5</v>
      </c>
      <c r="CH164" s="27">
        <f>opex_orig!BY164</f>
        <v>7.8128938811943504E-5</v>
      </c>
      <c r="CI164" s="27">
        <f>opex_orig!Y164</f>
        <v>2.0299999999999999E-5</v>
      </c>
      <c r="CJ164" s="27">
        <f>opex_orig!Z164</f>
        <v>1.6200000000000001E-5</v>
      </c>
      <c r="CK164" s="27">
        <f>opex_orig!AA164</f>
        <v>5.3300000000000001E-5</v>
      </c>
      <c r="CL164" s="27">
        <f>opex_orig!AB164</f>
        <v>5.2384373153058202E-5</v>
      </c>
      <c r="CM164" s="27">
        <f>opex_orig!AC164</f>
        <v>9.6183959114447799E-5</v>
      </c>
      <c r="CN164" s="27">
        <f>opex_orig!AD164</f>
        <v>5.2585023334554401E-5</v>
      </c>
      <c r="CO164" s="27">
        <f>opex_orig!AE164</f>
        <v>4.6600000000000001E-5</v>
      </c>
      <c r="CP164" s="27">
        <f>opex_orig!AF164</f>
        <v>1.1233E-4</v>
      </c>
    </row>
    <row r="165" spans="1:94" x14ac:dyDescent="0.25">
      <c r="A165" s="5" t="s">
        <v>321</v>
      </c>
      <c r="B165" s="2" t="s">
        <v>320</v>
      </c>
      <c r="C165" s="1" t="s">
        <v>335</v>
      </c>
      <c r="D165" s="188">
        <f>opex_orig!D165</f>
        <v>2.8200000000000001E-7</v>
      </c>
      <c r="E165" s="188">
        <f>opex_orig!E165</f>
        <v>5.6700000000000003E-7</v>
      </c>
      <c r="F165" s="188">
        <f>opex_orig!F165</f>
        <v>9.2600000000000001E-7</v>
      </c>
      <c r="G165" s="188">
        <f>opex_orig!G165</f>
        <v>1.0700000000000001E-7</v>
      </c>
      <c r="H165" s="188">
        <f>opex_orig!H165</f>
        <v>4.8900000000000001E-8</v>
      </c>
      <c r="I165" s="188">
        <f>opex_orig!I165</f>
        <v>5.2099999999999997E-7</v>
      </c>
      <c r="J165" s="188">
        <f>opex_orig!J165</f>
        <v>1.9099999999999999E-6</v>
      </c>
      <c r="K165" s="188">
        <f>opex_orig!K165</f>
        <v>2.6800000000000002E-7</v>
      </c>
      <c r="L165" s="188">
        <f>opex_orig!L165</f>
        <v>1.7099999999999999E-6</v>
      </c>
      <c r="M165" s="188">
        <f>opex_orig!M165</f>
        <v>1.9E-6</v>
      </c>
      <c r="N165" s="188">
        <f>opex_orig!N165</f>
        <v>1.3200000000000001E-6</v>
      </c>
      <c r="O165" s="188">
        <f>opex_orig!O165</f>
        <v>6.3100000000000003E-8</v>
      </c>
      <c r="P165" s="188">
        <f>opex_orig!P165</f>
        <v>2.4899999999999999E-6</v>
      </c>
      <c r="Q165" s="188">
        <f>opex_orig!Q165</f>
        <v>2.6100000000000001E-5</v>
      </c>
      <c r="R165" s="188">
        <f>opex_orig!R165</f>
        <v>2.4899999999999999E-5</v>
      </c>
      <c r="S165" s="188">
        <f>opex_orig!S165</f>
        <v>4.75E-7</v>
      </c>
      <c r="T165" s="188">
        <f>opex_orig!T165</f>
        <v>7.0299999999999998E-7</v>
      </c>
      <c r="U165" s="188">
        <f>opex_orig!U165</f>
        <v>7.9599999999999998E-7</v>
      </c>
      <c r="V165" s="188">
        <f>opex_orig!V165</f>
        <v>9.33E-7</v>
      </c>
      <c r="W165" s="188">
        <f>opex_orig!W165</f>
        <v>5.1399999999999997E-7</v>
      </c>
      <c r="X165" s="188">
        <f>opex_orig!X165</f>
        <v>2.35E-7</v>
      </c>
      <c r="Y165" s="188">
        <f>opex_orig!Y165</f>
        <v>1.3199999999999999E-7</v>
      </c>
      <c r="Z165" s="188">
        <f>opex_orig!Z165</f>
        <v>4.75E-7</v>
      </c>
      <c r="AA165" s="188">
        <f>opex_orig!AA165</f>
        <v>2.26E-6</v>
      </c>
      <c r="AB165" s="188">
        <f>opex_orig!$AB165</f>
        <v>1.7846163263408401E-6</v>
      </c>
      <c r="AC165" s="188">
        <f>opex_orig!$AB165</f>
        <v>1.7846163263408401E-6</v>
      </c>
      <c r="AD165" s="188">
        <f>opex_orig!$AB165</f>
        <v>1.7846163263408401E-6</v>
      </c>
      <c r="AE165" s="188">
        <f>opex_orig!$AC165</f>
        <v>1.51834511102114E-6</v>
      </c>
      <c r="AF165" s="188">
        <f>opex_orig!$AD165</f>
        <v>8.5840372566698495E-7</v>
      </c>
      <c r="AG165" s="188">
        <f>opex_orig!$AD165</f>
        <v>8.5840372566698495E-7</v>
      </c>
      <c r="AH165" s="188">
        <f>opex_orig!$AD165</f>
        <v>8.5840372566698495E-7</v>
      </c>
      <c r="AI165" s="188">
        <f>opex_orig!AE165</f>
        <v>7.0699999999999996E-7</v>
      </c>
      <c r="AJ165" s="188">
        <f>opex_orig!AF165</f>
        <v>1.7999999999999999E-6</v>
      </c>
      <c r="AK165" s="188">
        <f>opex_orig!AG165</f>
        <v>6.7400000000000003E-7</v>
      </c>
      <c r="AL165" s="188">
        <f>opex_orig!AH165</f>
        <v>1.73E-7</v>
      </c>
      <c r="AM165" s="188">
        <f>opex_orig!AI165</f>
        <v>2.36E-7</v>
      </c>
      <c r="AN165" s="188">
        <f>opex_orig!AJ165</f>
        <v>2.8599999999999999E-7</v>
      </c>
      <c r="AO165" s="188">
        <f>opex_orig!AK165</f>
        <v>4.6899999999999998E-7</v>
      </c>
      <c r="AP165" s="188">
        <f>opex_orig!$AL165</f>
        <v>3.4614722113146099E-7</v>
      </c>
      <c r="AQ165" s="188">
        <f>opex_orig!$AL165</f>
        <v>3.4614722113146099E-7</v>
      </c>
      <c r="AR165" s="188">
        <f>opex_orig!$AL165</f>
        <v>3.4614722113146099E-7</v>
      </c>
      <c r="AS165" s="188">
        <f>opex_orig!$AM165</f>
        <v>4.5591543449837997E-7</v>
      </c>
      <c r="AT165" s="188">
        <f>opex_orig!AN165</f>
        <v>2.4900000000000002E-7</v>
      </c>
      <c r="AU165" s="188">
        <f>opex_orig!$AO165</f>
        <v>1.58607042941954E-6</v>
      </c>
      <c r="AV165" s="188">
        <f>opex_orig!$AO165</f>
        <v>1.58607042941954E-6</v>
      </c>
      <c r="AW165" s="188">
        <f>opex_orig!$AO165</f>
        <v>1.58607042941954E-6</v>
      </c>
      <c r="AX165" s="188">
        <f>opex_orig!$AP165</f>
        <v>2.20198139225125E-7</v>
      </c>
      <c r="AY165" s="188">
        <f>opex_orig!AQ165</f>
        <v>1.74E-7</v>
      </c>
      <c r="AZ165" s="188">
        <f>opex_orig!AR165</f>
        <v>0</v>
      </c>
      <c r="BA165" s="188">
        <f>opex_orig!AS165</f>
        <v>2.05E-7</v>
      </c>
      <c r="BB165" s="188">
        <f>opex_orig!AT165</f>
        <v>1.4399999999999999E-7</v>
      </c>
      <c r="BC165" s="188">
        <f>opex_orig!AU165</f>
        <v>9.9400000000000003E-8</v>
      </c>
      <c r="BD165" s="188">
        <f>opex_orig!AV165</f>
        <v>5.25E-8</v>
      </c>
      <c r="BE165" s="188">
        <f>opex_orig!AW165</f>
        <v>1.36E-7</v>
      </c>
      <c r="BF165" s="188">
        <f>opex_orig!AX165</f>
        <v>0</v>
      </c>
      <c r="BG165" s="188">
        <f>opex_orig!AY165</f>
        <v>1.17E-6</v>
      </c>
      <c r="BH165" s="188">
        <f>opex_orig!AZ165</f>
        <v>0</v>
      </c>
      <c r="BI165" s="188">
        <f>opex_orig!BA165</f>
        <v>2.1500000000000001E-7</v>
      </c>
      <c r="BJ165" s="188">
        <f>opex_orig!BB165</f>
        <v>1.6500000000000001E-7</v>
      </c>
      <c r="BK165" s="188">
        <f>opex_orig!BC165</f>
        <v>4.0400000000000002E-7</v>
      </c>
      <c r="BL165" s="188">
        <f>opex_orig!BD165</f>
        <v>9.5600000000000004E-7</v>
      </c>
      <c r="BM165" s="188">
        <f>opex_orig!BE165</f>
        <v>6.4300000000000003E-7</v>
      </c>
      <c r="BN165" s="188">
        <f>opex_orig!BF165</f>
        <v>1.17E-6</v>
      </c>
      <c r="BO165" s="188">
        <f>opex_orig!BG165</f>
        <v>4.46E-7</v>
      </c>
      <c r="BP165" s="188">
        <f>opex_orig!$BH165</f>
        <v>2.2164024773430399E-7</v>
      </c>
      <c r="BQ165" s="188">
        <f>opex_orig!$BH165</f>
        <v>2.2164024773430399E-7</v>
      </c>
      <c r="BR165" s="188">
        <f>opex_orig!BI165</f>
        <v>5.7700000000000004E-7</v>
      </c>
      <c r="BS165" s="188">
        <f>opex_orig!BJ165</f>
        <v>2.17E-6</v>
      </c>
      <c r="BT165" s="188">
        <f>opex_orig!BK165</f>
        <v>5.3900000000000005E-7</v>
      </c>
      <c r="BU165" s="188">
        <f>opex_orig!BL165</f>
        <v>0</v>
      </c>
      <c r="BV165" s="27">
        <f>opex_orig!BM165</f>
        <v>5.7654186785735303E-7</v>
      </c>
      <c r="BW165" s="27">
        <f>opex_orig!BN165</f>
        <v>1.22306166621198E-6</v>
      </c>
      <c r="BX165" s="27">
        <f>opex_orig!BO165</f>
        <v>2.13435460522069E-7</v>
      </c>
      <c r="BY165" s="27">
        <f>opex_orig!BP165</f>
        <v>3.39938748611201E-7</v>
      </c>
      <c r="BZ165" s="27">
        <f>opex_orig!BQ165</f>
        <v>6.3754401403648799E-7</v>
      </c>
      <c r="CA165" s="27">
        <f>opex_orig!BR165</f>
        <v>1.2319222570579099E-6</v>
      </c>
      <c r="CB165" s="27">
        <f>opex_orig!BS165</f>
        <v>1.2856170297006901E-6</v>
      </c>
      <c r="CC165" s="27">
        <f>opex_orig!BT165</f>
        <v>7.1397410649271795E-7</v>
      </c>
      <c r="CD165" s="27">
        <f>opex_orig!BU165</f>
        <v>3.2345005118112098E-7</v>
      </c>
      <c r="CE165" s="27">
        <f>opex_orig!BV165</f>
        <v>3.2345005118112098E-7</v>
      </c>
      <c r="CF165" s="27">
        <f>opex_orig!BW165</f>
        <v>3.3598391751656198E-6</v>
      </c>
      <c r="CG165" s="27">
        <f>opex_orig!BX165</f>
        <v>1.9762208876009702E-6</v>
      </c>
      <c r="CH165" s="27">
        <f>opex_orig!BY165</f>
        <v>8.4008251806134998E-8</v>
      </c>
      <c r="CI165" s="27">
        <f>opex_orig!Y165</f>
        <v>1.3199999999999999E-7</v>
      </c>
      <c r="CJ165" s="27">
        <f>opex_orig!Z165</f>
        <v>4.75E-7</v>
      </c>
      <c r="CK165" s="27">
        <f>opex_orig!AA165</f>
        <v>2.26E-6</v>
      </c>
      <c r="CL165" s="27">
        <f>opex_orig!AB165</f>
        <v>1.7846163263408401E-6</v>
      </c>
      <c r="CM165" s="27">
        <f>opex_orig!AC165</f>
        <v>1.51834511102114E-6</v>
      </c>
      <c r="CN165" s="27">
        <f>opex_orig!AD165</f>
        <v>8.5840372566698495E-7</v>
      </c>
      <c r="CO165" s="27">
        <f>opex_orig!AE165</f>
        <v>7.0699999999999996E-7</v>
      </c>
      <c r="CP165" s="27">
        <f>opex_orig!AF165</f>
        <v>1.7999999999999999E-6</v>
      </c>
    </row>
    <row r="166" spans="1:94" x14ac:dyDescent="0.25">
      <c r="A166" s="5" t="s">
        <v>323</v>
      </c>
      <c r="B166" s="2" t="s">
        <v>322</v>
      </c>
      <c r="C166" s="1" t="s">
        <v>335</v>
      </c>
      <c r="D166" s="188">
        <f>opex_orig!D166</f>
        <v>0</v>
      </c>
      <c r="E166" s="188">
        <f>opex_orig!E166</f>
        <v>0</v>
      </c>
      <c r="F166" s="188">
        <f>opex_orig!F166</f>
        <v>0</v>
      </c>
      <c r="G166" s="188">
        <f>opex_orig!G166</f>
        <v>0</v>
      </c>
      <c r="H166" s="188">
        <f>opex_orig!H166</f>
        <v>0</v>
      </c>
      <c r="I166" s="188">
        <f>opex_orig!I166</f>
        <v>0</v>
      </c>
      <c r="J166" s="188">
        <f>opex_orig!J166</f>
        <v>0</v>
      </c>
      <c r="K166" s="188">
        <f>opex_orig!K166</f>
        <v>0</v>
      </c>
      <c r="L166" s="188">
        <f>opex_orig!L166</f>
        <v>0</v>
      </c>
      <c r="M166" s="188">
        <f>opex_orig!M166</f>
        <v>0</v>
      </c>
      <c r="N166" s="188">
        <f>opex_orig!N166</f>
        <v>0</v>
      </c>
      <c r="O166" s="188">
        <f>opex_orig!O166</f>
        <v>0</v>
      </c>
      <c r="P166" s="188">
        <f>opex_orig!P166</f>
        <v>0</v>
      </c>
      <c r="Q166" s="188">
        <f>opex_orig!Q166</f>
        <v>0</v>
      </c>
      <c r="R166" s="188">
        <f>opex_orig!R166</f>
        <v>0</v>
      </c>
      <c r="S166" s="188">
        <f>opex_orig!S166</f>
        <v>0</v>
      </c>
      <c r="T166" s="188">
        <f>opex_orig!T166</f>
        <v>0</v>
      </c>
      <c r="U166" s="188">
        <f>opex_orig!U166</f>
        <v>0</v>
      </c>
      <c r="V166" s="188">
        <f>opex_orig!V166</f>
        <v>0</v>
      </c>
      <c r="W166" s="188">
        <f>opex_orig!W166</f>
        <v>0</v>
      </c>
      <c r="X166" s="188">
        <f>opex_orig!X166</f>
        <v>0</v>
      </c>
      <c r="Y166" s="188">
        <f>opex_orig!Y166</f>
        <v>0</v>
      </c>
      <c r="Z166" s="188">
        <f>opex_orig!Z166</f>
        <v>0</v>
      </c>
      <c r="AA166" s="188">
        <f>opex_orig!AA166</f>
        <v>0</v>
      </c>
      <c r="AB166" s="188">
        <f>opex_orig!$AB166</f>
        <v>0</v>
      </c>
      <c r="AC166" s="188">
        <f>opex_orig!$AB166</f>
        <v>0</v>
      </c>
      <c r="AD166" s="188">
        <f>opex_orig!$AB166</f>
        <v>0</v>
      </c>
      <c r="AE166" s="188">
        <f>opex_orig!$AC166</f>
        <v>0</v>
      </c>
      <c r="AF166" s="188">
        <f>opex_orig!$AD166</f>
        <v>0</v>
      </c>
      <c r="AG166" s="188">
        <f>opex_orig!$AD166</f>
        <v>0</v>
      </c>
      <c r="AH166" s="188">
        <f>opex_orig!$AD166</f>
        <v>0</v>
      </c>
      <c r="AI166" s="188">
        <f>opex_orig!AE166</f>
        <v>0</v>
      </c>
      <c r="AJ166" s="188">
        <f>opex_orig!AF166</f>
        <v>0</v>
      </c>
      <c r="AK166" s="188">
        <f>opex_orig!AG166</f>
        <v>0</v>
      </c>
      <c r="AL166" s="188">
        <f>opex_orig!AH166</f>
        <v>0</v>
      </c>
      <c r="AM166" s="188">
        <f>opex_orig!AI166</f>
        <v>0</v>
      </c>
      <c r="AN166" s="188">
        <f>opex_orig!AJ166</f>
        <v>0</v>
      </c>
      <c r="AO166" s="188">
        <f>opex_orig!AK166</f>
        <v>0</v>
      </c>
      <c r="AP166" s="188">
        <f>opex_orig!$AL166</f>
        <v>0</v>
      </c>
      <c r="AQ166" s="188">
        <f>opex_orig!$AL166</f>
        <v>0</v>
      </c>
      <c r="AR166" s="188">
        <f>opex_orig!$AL166</f>
        <v>0</v>
      </c>
      <c r="AS166" s="188">
        <f>opex_orig!$AM166</f>
        <v>0</v>
      </c>
      <c r="AT166" s="188">
        <f>opex_orig!AN166</f>
        <v>0</v>
      </c>
      <c r="AU166" s="188">
        <f>opex_orig!$AO166</f>
        <v>0</v>
      </c>
      <c r="AV166" s="188">
        <f>opex_orig!$AO166</f>
        <v>0</v>
      </c>
      <c r="AW166" s="188">
        <f>opex_orig!$AO166</f>
        <v>0</v>
      </c>
      <c r="AX166" s="188">
        <f>opex_orig!$AP166</f>
        <v>0</v>
      </c>
      <c r="AY166" s="188">
        <f>opex_orig!AQ166</f>
        <v>0</v>
      </c>
      <c r="AZ166" s="188">
        <f>opex_orig!AR166</f>
        <v>0</v>
      </c>
      <c r="BA166" s="188">
        <f>opex_orig!AS166</f>
        <v>0</v>
      </c>
      <c r="BB166" s="188">
        <f>opex_orig!AT166</f>
        <v>0</v>
      </c>
      <c r="BC166" s="188">
        <f>opex_orig!AU166</f>
        <v>0</v>
      </c>
      <c r="BD166" s="188">
        <f>opex_orig!AV166</f>
        <v>0</v>
      </c>
      <c r="BE166" s="188">
        <f>opex_orig!AW166</f>
        <v>0</v>
      </c>
      <c r="BF166" s="188">
        <f>opex_orig!AX166</f>
        <v>0</v>
      </c>
      <c r="BG166" s="188">
        <f>opex_orig!AY166</f>
        <v>0</v>
      </c>
      <c r="BH166" s="188">
        <f>opex_orig!AZ166</f>
        <v>0</v>
      </c>
      <c r="BI166" s="188">
        <f>opex_orig!BA166</f>
        <v>0</v>
      </c>
      <c r="BJ166" s="188">
        <f>opex_orig!BB166</f>
        <v>0</v>
      </c>
      <c r="BK166" s="188">
        <f>opex_orig!BC166</f>
        <v>0</v>
      </c>
      <c r="BL166" s="188">
        <f>opex_orig!BD166</f>
        <v>0</v>
      </c>
      <c r="BM166" s="188">
        <f>opex_orig!BE166</f>
        <v>0</v>
      </c>
      <c r="BN166" s="188">
        <f>opex_orig!BF166</f>
        <v>0</v>
      </c>
      <c r="BO166" s="188">
        <f>opex_orig!BG166</f>
        <v>0</v>
      </c>
      <c r="BP166" s="188">
        <f>opex_orig!$BH166</f>
        <v>0</v>
      </c>
      <c r="BQ166" s="188">
        <f>opex_orig!$BH166</f>
        <v>0</v>
      </c>
      <c r="BR166" s="188">
        <f>opex_orig!BI166</f>
        <v>0</v>
      </c>
      <c r="BS166" s="188">
        <f>opex_orig!BJ166</f>
        <v>0</v>
      </c>
      <c r="BT166" s="188">
        <f>opex_orig!BK166</f>
        <v>0</v>
      </c>
      <c r="BU166" s="188">
        <f>opex_orig!BL166</f>
        <v>0</v>
      </c>
      <c r="BV166" s="27">
        <f>opex_orig!BM166</f>
        <v>0</v>
      </c>
      <c r="BW166" s="27">
        <f>opex_orig!BN166</f>
        <v>0</v>
      </c>
      <c r="BX166" s="27">
        <f>opex_orig!BO166</f>
        <v>0</v>
      </c>
      <c r="BY166" s="27">
        <f>opex_orig!BP166</f>
        <v>0</v>
      </c>
      <c r="BZ166" s="27">
        <f>opex_orig!BQ166</f>
        <v>0</v>
      </c>
      <c r="CA166" s="27">
        <f>opex_orig!BR166</f>
        <v>0</v>
      </c>
      <c r="CB166" s="27">
        <f>opex_orig!BS166</f>
        <v>0</v>
      </c>
      <c r="CC166" s="27">
        <f>opex_orig!BT166</f>
        <v>0</v>
      </c>
      <c r="CD166" s="27">
        <f>opex_orig!BU166</f>
        <v>0</v>
      </c>
      <c r="CE166" s="27">
        <f>opex_orig!BV166</f>
        <v>0</v>
      </c>
      <c r="CF166" s="27">
        <f>opex_orig!BW166</f>
        <v>0</v>
      </c>
      <c r="CG166" s="27">
        <f>opex_orig!BX166</f>
        <v>0</v>
      </c>
      <c r="CH166" s="27">
        <f>opex_orig!BY166</f>
        <v>0</v>
      </c>
      <c r="CI166" s="27">
        <f>opex_orig!Y166</f>
        <v>0</v>
      </c>
      <c r="CJ166" s="27">
        <f>opex_orig!Z166</f>
        <v>0</v>
      </c>
      <c r="CK166" s="27">
        <f>opex_orig!AA166</f>
        <v>0</v>
      </c>
      <c r="CL166" s="27">
        <f>opex_orig!AB166</f>
        <v>0</v>
      </c>
      <c r="CM166" s="27">
        <f>opex_orig!AC166</f>
        <v>0</v>
      </c>
      <c r="CN166" s="27">
        <f>opex_orig!AD166</f>
        <v>0</v>
      </c>
      <c r="CO166" s="27">
        <f>opex_orig!AE166</f>
        <v>0</v>
      </c>
      <c r="CP166" s="27">
        <f>opex_orig!AF166</f>
        <v>0</v>
      </c>
    </row>
    <row r="167" spans="1:94" x14ac:dyDescent="0.25">
      <c r="A167" s="43" t="s">
        <v>370</v>
      </c>
      <c r="B167" s="43">
        <v>1</v>
      </c>
      <c r="C167" s="43" t="s">
        <v>379</v>
      </c>
      <c r="D167" s="188">
        <f>opex_orig!D167</f>
        <v>1.1094641000000001E-2</v>
      </c>
      <c r="E167" s="188">
        <f>opex_orig!E167</f>
        <v>4.6216080000000001E-3</v>
      </c>
      <c r="F167" s="188">
        <f>opex_orig!F167</f>
        <v>1.1293766E-2</v>
      </c>
      <c r="G167" s="188">
        <f>opex_orig!G167</f>
        <v>2.8879779999999998E-3</v>
      </c>
      <c r="H167" s="188">
        <f>opex_orig!H167</f>
        <v>2.6131599999999999E-4</v>
      </c>
      <c r="I167" s="188">
        <f>opex_orig!I167</f>
        <v>1.3412949E-2</v>
      </c>
      <c r="J167" s="188">
        <f>opex_orig!J167</f>
        <v>1.3272533E-2</v>
      </c>
      <c r="K167" s="188">
        <f>opex_orig!K167</f>
        <v>4.7301800000000002E-4</v>
      </c>
      <c r="L167" s="188">
        <f>opex_orig!L167</f>
        <v>2.7519213000000001E-2</v>
      </c>
      <c r="M167" s="188">
        <f>opex_orig!M167</f>
        <v>1.6251565999999999E-2</v>
      </c>
      <c r="N167" s="188">
        <f>opex_orig!N167</f>
        <v>8.5591299999999999E-3</v>
      </c>
      <c r="O167" s="188">
        <f>opex_orig!O167</f>
        <v>5.3130499999999997E-3</v>
      </c>
      <c r="P167" s="188">
        <f>opex_orig!P167</f>
        <v>3.3073723999999999E-2</v>
      </c>
      <c r="Q167" s="188">
        <f>opex_orig!Q167</f>
        <v>5.7810674999999999E-2</v>
      </c>
      <c r="R167" s="188">
        <f>opex_orig!R167</f>
        <v>5.9012006999999998E-2</v>
      </c>
      <c r="S167" s="188">
        <f>opex_orig!S167</f>
        <v>2.2181962999999999E-2</v>
      </c>
      <c r="T167" s="188">
        <f>opex_orig!T167</f>
        <v>5.9909979000000002E-2</v>
      </c>
      <c r="U167" s="188">
        <f>opex_orig!U167</f>
        <v>1.1152987E-2</v>
      </c>
      <c r="V167" s="188">
        <f>opex_orig!V167</f>
        <v>-1.0856124999999999E-2</v>
      </c>
      <c r="W167" s="188">
        <f>opex_orig!W167</f>
        <v>2.1083039000000001E-2</v>
      </c>
      <c r="X167" s="188">
        <f>opex_orig!X167</f>
        <v>1.9118890999999999E-2</v>
      </c>
      <c r="Y167" s="188">
        <f>opex_orig!Y167</f>
        <v>2.2557173999999999E-2</v>
      </c>
      <c r="Z167" s="188">
        <f>opex_orig!Z167</f>
        <v>1.2734137E-2</v>
      </c>
      <c r="AA167" s="188">
        <f>opex_orig!AA167</f>
        <v>3.5246630000000001E-2</v>
      </c>
      <c r="AB167" s="188">
        <f>opex_orig!$AB167</f>
        <v>3.8373787899811301E-2</v>
      </c>
      <c r="AC167" s="188">
        <f>opex_orig!$AB167</f>
        <v>3.8373787899811301E-2</v>
      </c>
      <c r="AD167" s="188">
        <f>opex_orig!$AB167</f>
        <v>3.8373787899811301E-2</v>
      </c>
      <c r="AE167" s="188">
        <f>opex_orig!$AC167</f>
        <v>1.6426119751658801E-2</v>
      </c>
      <c r="AF167" s="188">
        <f>opex_orig!$AD167</f>
        <v>4.1252095697665803E-2</v>
      </c>
      <c r="AG167" s="188">
        <f>opex_orig!$AD167</f>
        <v>4.1252095697665803E-2</v>
      </c>
      <c r="AH167" s="188">
        <f>opex_orig!$AD167</f>
        <v>4.1252095697665803E-2</v>
      </c>
      <c r="AI167" s="188">
        <f>opex_orig!AE167</f>
        <v>4.3852934000000003E-2</v>
      </c>
      <c r="AJ167" s="188">
        <f>opex_orig!AF167</f>
        <v>4.7079289000000003E-2</v>
      </c>
      <c r="AK167" s="188">
        <f>opex_orig!AG167</f>
        <v>1.9997298E-2</v>
      </c>
      <c r="AL167" s="188">
        <f>opex_orig!AH167</f>
        <v>1.8428727999999998E-2</v>
      </c>
      <c r="AM167" s="188">
        <f>opex_orig!AI167</f>
        <v>1.2308176000000001E-2</v>
      </c>
      <c r="AN167" s="188">
        <f>opex_orig!AJ167</f>
        <v>3.3281481000000002E-2</v>
      </c>
      <c r="AO167" s="188">
        <f>opex_orig!AK167</f>
        <v>1.809361E-2</v>
      </c>
      <c r="AP167" s="188">
        <f>opex_orig!$AL167</f>
        <v>1.4590982803862699E-2</v>
      </c>
      <c r="AQ167" s="188">
        <f>opex_orig!$AL167</f>
        <v>1.4590982803862699E-2</v>
      </c>
      <c r="AR167" s="188">
        <f>opex_orig!$AL167</f>
        <v>1.4590982803862699E-2</v>
      </c>
      <c r="AS167" s="188">
        <f>opex_orig!$AM167</f>
        <v>1.3968475925001601E-2</v>
      </c>
      <c r="AT167" s="188">
        <f>opex_orig!AN167</f>
        <v>1.7255943999999999E-2</v>
      </c>
      <c r="AU167" s="188">
        <f>opex_orig!$AO167</f>
        <v>9.1212096186146403E-3</v>
      </c>
      <c r="AV167" s="188">
        <f>opex_orig!$AO167</f>
        <v>9.1212096186146403E-3</v>
      </c>
      <c r="AW167" s="188">
        <f>opex_orig!$AO167</f>
        <v>9.1212096186146403E-3</v>
      </c>
      <c r="AX167" s="188">
        <f>opex_orig!$AP167</f>
        <v>6.7200368914564698E-3</v>
      </c>
      <c r="AY167" s="188">
        <f>opex_orig!AQ167</f>
        <v>8.8108140000000001E-3</v>
      </c>
      <c r="AZ167" s="188">
        <f>opex_orig!AR167</f>
        <v>0</v>
      </c>
      <c r="BA167" s="188">
        <f>opex_orig!AS167</f>
        <v>1.5313128000000001E-2</v>
      </c>
      <c r="BB167" s="188">
        <f>opex_orig!AT167</f>
        <v>1.1940994999999999E-2</v>
      </c>
      <c r="BC167" s="188">
        <f>opex_orig!AU167</f>
        <v>8.7802569999999996E-3</v>
      </c>
      <c r="BD167" s="188">
        <f>opex_orig!AV167</f>
        <v>6.400284E-3</v>
      </c>
      <c r="BE167" s="188">
        <f>opex_orig!AW167</f>
        <v>8.5897200000000003E-3</v>
      </c>
      <c r="BF167" s="188">
        <f>opex_orig!AX167</f>
        <v>0</v>
      </c>
      <c r="BG167" s="188">
        <f>opex_orig!AY167</f>
        <v>5.9938680000000003E-3</v>
      </c>
      <c r="BH167" s="188">
        <f>opex_orig!AZ167</f>
        <v>0</v>
      </c>
      <c r="BI167" s="188">
        <f>opex_orig!BA167</f>
        <v>1.2311681E-2</v>
      </c>
      <c r="BJ167" s="188">
        <f>opex_orig!BB167</f>
        <v>9.1525719999999994E-3</v>
      </c>
      <c r="BK167" s="188">
        <f>opex_orig!BC167</f>
        <v>7.7226059999999999E-3</v>
      </c>
      <c r="BL167" s="188">
        <f>opex_orig!BD167</f>
        <v>1.9455324E-2</v>
      </c>
      <c r="BM167" s="188">
        <f>opex_orig!BE167</f>
        <v>8.2965069999999998E-3</v>
      </c>
      <c r="BN167" s="188">
        <f>opex_orig!BF167</f>
        <v>1.6568550000000001E-2</v>
      </c>
      <c r="BO167" s="188">
        <f>opex_orig!BG167</f>
        <v>1.3043165000000001E-2</v>
      </c>
      <c r="BP167" s="188">
        <f>opex_orig!$BH167</f>
        <v>1.4311192638375899E-2</v>
      </c>
      <c r="BQ167" s="188">
        <f>opex_orig!$BH167</f>
        <v>1.4311192638375899E-2</v>
      </c>
      <c r="BR167" s="188">
        <f>opex_orig!BI167</f>
        <v>1.5739138E-2</v>
      </c>
      <c r="BS167" s="188">
        <f>opex_orig!BJ167</f>
        <v>2.0712100000000001E-2</v>
      </c>
      <c r="BT167" s="188">
        <f>opex_orig!BK167</f>
        <v>6.3544500000000002E-3</v>
      </c>
      <c r="BU167" s="188">
        <f>opex_orig!BL167</f>
        <v>0</v>
      </c>
      <c r="BV167" s="27">
        <f>opex_orig!BM167</f>
        <v>1.9217877874260401E-2</v>
      </c>
      <c r="BW167" s="27">
        <f>opex_orig!BN167</f>
        <v>2.1220448352368498E-2</v>
      </c>
      <c r="BX167" s="27">
        <f>opex_orig!BO167</f>
        <v>9.3574532956588097E-4</v>
      </c>
      <c r="BY167" s="27">
        <f>opex_orig!BP167</f>
        <v>4.0371168910868999E-4</v>
      </c>
      <c r="BZ167" s="27">
        <f>opex_orig!BQ167</f>
        <v>-2.5512486208753999E-4</v>
      </c>
      <c r="CA167" s="27">
        <f>opex_orig!BR167</f>
        <v>2.03087027167414E-2</v>
      </c>
      <c r="CB167" s="27">
        <f>opex_orig!BS167</f>
        <v>3.9110640227603501E-2</v>
      </c>
      <c r="CC167" s="27">
        <f>opex_orig!BT167</f>
        <v>4.09221332653113E-2</v>
      </c>
      <c r="CD167" s="27">
        <f>opex_orig!BU167</f>
        <v>-3.2882927891388098E-3</v>
      </c>
      <c r="CE167" s="27">
        <f>opex_orig!BV167</f>
        <v>-3.2882927891387998E-3</v>
      </c>
      <c r="CF167" s="27">
        <f>opex_orig!BW167</f>
        <v>2.3256485429826401E-2</v>
      </c>
      <c r="CG167" s="27">
        <f>opex_orig!BX167</f>
        <v>2.0046903056631399E-2</v>
      </c>
      <c r="CH167" s="27">
        <f>opex_orig!BY167</f>
        <v>5.9474249329968497E-3</v>
      </c>
      <c r="CI167" s="27">
        <f>opex_orig!Y167</f>
        <v>2.2557173999999999E-2</v>
      </c>
      <c r="CJ167" s="27">
        <f>opex_orig!Z167</f>
        <v>1.2734137E-2</v>
      </c>
      <c r="CK167" s="27">
        <f>opex_orig!AA167</f>
        <v>3.5246630000000001E-2</v>
      </c>
      <c r="CL167" s="27">
        <f>opex_orig!AB167</f>
        <v>3.8373787899811301E-2</v>
      </c>
      <c r="CM167" s="27">
        <f>opex_orig!AC167</f>
        <v>1.6426119751658801E-2</v>
      </c>
      <c r="CN167" s="27">
        <f>opex_orig!AD167</f>
        <v>4.1252095697665803E-2</v>
      </c>
      <c r="CO167" s="27">
        <f>opex_orig!AE167</f>
        <v>4.3852934000000003E-2</v>
      </c>
      <c r="CP167" s="27">
        <f>opex_orig!AF167</f>
        <v>4.7079289000000003E-2</v>
      </c>
    </row>
    <row r="168" spans="1:94" x14ac:dyDescent="0.25">
      <c r="A168" s="43" t="s">
        <v>371</v>
      </c>
      <c r="B168" s="43">
        <v>2</v>
      </c>
      <c r="C168" s="43" t="s">
        <v>379</v>
      </c>
      <c r="D168" s="188">
        <f>opex_orig!D168</f>
        <v>-1.0000000000000001E-5</v>
      </c>
      <c r="E168" s="188">
        <f>opex_orig!E168</f>
        <v>-2.0699999999999998E-5</v>
      </c>
      <c r="F168" s="188">
        <f>opex_orig!F168</f>
        <v>-3.54E-6</v>
      </c>
      <c r="G168" s="188">
        <f>opex_orig!G168</f>
        <v>-2.7499999999999999E-6</v>
      </c>
      <c r="H168" s="188">
        <f>opex_orig!H168</f>
        <v>-3.3000000000000002E-6</v>
      </c>
      <c r="I168" s="188">
        <f>opex_orig!I168</f>
        <v>-4.6900000000000002E-5</v>
      </c>
      <c r="J168" s="188">
        <f>opex_orig!J168</f>
        <v>-4.2299999999999998E-5</v>
      </c>
      <c r="K168" s="188">
        <f>opex_orig!K168</f>
        <v>-7.7500000000000003E-6</v>
      </c>
      <c r="L168" s="188">
        <f>opex_orig!L168</f>
        <v>-7.1699999999999995E-5</v>
      </c>
      <c r="M168" s="188">
        <f>opex_orig!M168</f>
        <v>-2.2211E-4</v>
      </c>
      <c r="N168" s="188">
        <f>opex_orig!N168</f>
        <v>-8.1899999999999999E-5</v>
      </c>
      <c r="O168" s="188">
        <f>opex_orig!O168</f>
        <v>-2.0082300000000001E-4</v>
      </c>
      <c r="P168" s="188">
        <f>opex_orig!P168</f>
        <v>-3.1050700000000001E-4</v>
      </c>
      <c r="Q168" s="188">
        <f>opex_orig!Q168</f>
        <v>-3.9355100000000001E-4</v>
      </c>
      <c r="R168" s="188">
        <f>opex_orig!R168</f>
        <v>-1.1220799999999999E-4</v>
      </c>
      <c r="S168" s="188">
        <f>opex_orig!S168</f>
        <v>-5.3235200000000004E-4</v>
      </c>
      <c r="T168" s="188">
        <f>opex_orig!T168</f>
        <v>-5.58082E-4</v>
      </c>
      <c r="U168" s="188">
        <f>opex_orig!U168</f>
        <v>-4.7798900000000001E-4</v>
      </c>
      <c r="V168" s="188">
        <f>opex_orig!V168</f>
        <v>-5.4825399999999997E-4</v>
      </c>
      <c r="W168" s="188">
        <f>opex_orig!W168</f>
        <v>-1.7002900000000001E-4</v>
      </c>
      <c r="X168" s="188">
        <f>opex_orig!X168</f>
        <v>-3.0037400000000001E-4</v>
      </c>
      <c r="Y168" s="188">
        <f>opex_orig!Y168</f>
        <v>2.0699999999999998E-5</v>
      </c>
      <c r="Z168" s="188">
        <f>opex_orig!Z168</f>
        <v>2.9296500000000001E-4</v>
      </c>
      <c r="AA168" s="188">
        <f>opex_orig!AA168</f>
        <v>3.7004399999999998E-4</v>
      </c>
      <c r="AB168" s="188">
        <f>opex_orig!$AB168</f>
        <v>-1.37692962018158E-3</v>
      </c>
      <c r="AC168" s="188">
        <f>opex_orig!$AB168</f>
        <v>-1.37692962018158E-3</v>
      </c>
      <c r="AD168" s="188">
        <f>opex_orig!$AB168</f>
        <v>-1.37692962018158E-3</v>
      </c>
      <c r="AE168" s="188">
        <f>opex_orig!$AC168</f>
        <v>-1.50305529414925E-3</v>
      </c>
      <c r="AF168" s="188">
        <f>opex_orig!$AD168</f>
        <v>-1.79799507611615E-3</v>
      </c>
      <c r="AG168" s="188">
        <f>opex_orig!$AD168</f>
        <v>-1.79799507611615E-3</v>
      </c>
      <c r="AH168" s="188">
        <f>opex_orig!$AD168</f>
        <v>-1.79799507611615E-3</v>
      </c>
      <c r="AI168" s="188">
        <f>opex_orig!AE168</f>
        <v>-2.035153E-3</v>
      </c>
      <c r="AJ168" s="188">
        <f>opex_orig!AF168</f>
        <v>-4.9239399999999995E-4</v>
      </c>
      <c r="AK168" s="188">
        <f>opex_orig!AG168</f>
        <v>-2.2181300000000001E-4</v>
      </c>
      <c r="AL168" s="188">
        <f>opex_orig!AH168</f>
        <v>-1.2977749999999999E-3</v>
      </c>
      <c r="AM168" s="188">
        <f>opex_orig!AI168</f>
        <v>-1.8425760000000001E-3</v>
      </c>
      <c r="AN168" s="188">
        <f>opex_orig!AJ168</f>
        <v>-1.8275959999999999E-3</v>
      </c>
      <c r="AO168" s="188">
        <f>opex_orig!AK168</f>
        <v>-1.41431E-3</v>
      </c>
      <c r="AP168" s="188">
        <f>opex_orig!$AL168</f>
        <v>-1.3269491119265E-3</v>
      </c>
      <c r="AQ168" s="188">
        <f>opex_orig!$AL168</f>
        <v>-1.3269491119265E-3</v>
      </c>
      <c r="AR168" s="188">
        <f>opex_orig!$AL168</f>
        <v>-1.3269491119265E-3</v>
      </c>
      <c r="AS168" s="188">
        <f>opex_orig!$AM168</f>
        <v>-1.35022049380928E-3</v>
      </c>
      <c r="AT168" s="188">
        <f>opex_orig!AN168</f>
        <v>-1.3119830000000001E-3</v>
      </c>
      <c r="AU168" s="188">
        <f>opex_orig!$AO168</f>
        <v>1.38613233379743E-5</v>
      </c>
      <c r="AV168" s="188">
        <f>opex_orig!$AO168</f>
        <v>1.38613233379743E-5</v>
      </c>
      <c r="AW168" s="188">
        <f>opex_orig!$AO168</f>
        <v>1.38613233379743E-5</v>
      </c>
      <c r="AX168" s="188">
        <f>opex_orig!$AP168</f>
        <v>1.5823821074542599E-5</v>
      </c>
      <c r="AY168" s="188">
        <f>opex_orig!AQ168</f>
        <v>4.7299999999999996E-6</v>
      </c>
      <c r="AZ168" s="188">
        <f>opex_orig!AR168</f>
        <v>0</v>
      </c>
      <c r="BA168" s="188">
        <f>opex_orig!AS168</f>
        <v>8.5900000000000008E-6</v>
      </c>
      <c r="BB168" s="188">
        <f>opex_orig!AT168</f>
        <v>1.06E-5</v>
      </c>
      <c r="BC168" s="188">
        <f>opex_orig!AU168</f>
        <v>1.3900000000000001E-5</v>
      </c>
      <c r="BD168" s="188">
        <f>opex_orig!AV168</f>
        <v>1.6799999999999998E-5</v>
      </c>
      <c r="BE168" s="188">
        <f>opex_orig!AW168</f>
        <v>1.33E-5</v>
      </c>
      <c r="BF168" s="188">
        <f>opex_orig!AX168</f>
        <v>0</v>
      </c>
      <c r="BG168" s="188">
        <f>opex_orig!AY168</f>
        <v>5.6699999999999999E-6</v>
      </c>
      <c r="BH168" s="188">
        <f>opex_orig!AZ168</f>
        <v>0</v>
      </c>
      <c r="BI168" s="188">
        <f>opex_orig!BA168</f>
        <v>7.3200000000000002E-6</v>
      </c>
      <c r="BJ168" s="188">
        <f>opex_orig!BB168</f>
        <v>-1.1472399999999999E-4</v>
      </c>
      <c r="BK168" s="188">
        <f>opex_orig!BC168</f>
        <v>-3.2050900000000002E-4</v>
      </c>
      <c r="BL168" s="188">
        <f>opex_orig!BD168</f>
        <v>-1.6699999999999999E-5</v>
      </c>
      <c r="BM168" s="188">
        <f>opex_orig!BE168</f>
        <v>-7.1600000000000006E-5</v>
      </c>
      <c r="BN168" s="188">
        <f>opex_orig!BF168</f>
        <v>-4.0819899999999999E-4</v>
      </c>
      <c r="BO168" s="188">
        <f>opex_orig!BG168</f>
        <v>-1.0143179999999999E-3</v>
      </c>
      <c r="BP168" s="188">
        <f>opex_orig!$BH168</f>
        <v>-1.6007953468615601E-4</v>
      </c>
      <c r="BQ168" s="188">
        <f>opex_orig!$BH168</f>
        <v>-1.6007953468615601E-4</v>
      </c>
      <c r="BR168" s="188">
        <f>opex_orig!BI168</f>
        <v>-7.3361200000000002E-4</v>
      </c>
      <c r="BS168" s="188">
        <f>opex_orig!BJ168</f>
        <v>-3.6077899999999998E-4</v>
      </c>
      <c r="BT168" s="188">
        <f>opex_orig!BK168</f>
        <v>-2.6847699999999998E-4</v>
      </c>
      <c r="BU168" s="188">
        <f>opex_orig!BL168</f>
        <v>0</v>
      </c>
      <c r="BV168" s="27">
        <f>opex_orig!BM168</f>
        <v>4.1393068854815897E-3</v>
      </c>
      <c r="BW168" s="27">
        <f>opex_orig!BN168</f>
        <v>2.2836270809513799E-2</v>
      </c>
      <c r="BX168" s="27">
        <f>opex_orig!BO168</f>
        <v>1.5624396048960301E-3</v>
      </c>
      <c r="BY168" s="27">
        <f>opex_orig!BP168</f>
        <v>1.48529342370016E-3</v>
      </c>
      <c r="BZ168" s="27">
        <f>opex_orig!BQ168</f>
        <v>1.56747473013872E-3</v>
      </c>
      <c r="CA168" s="27">
        <f>opex_orig!BR168</f>
        <v>5.5669920881360304E-4</v>
      </c>
      <c r="CB168" s="27">
        <f>opex_orig!BS168</f>
        <v>1.0066004416298201E-2</v>
      </c>
      <c r="CC168" s="27">
        <f>opex_orig!BT168</f>
        <v>2.8348540627027101E-3</v>
      </c>
      <c r="CD168" s="27">
        <f>opex_orig!BU168</f>
        <v>1.61013995642182E-3</v>
      </c>
      <c r="CE168" s="27">
        <f>opex_orig!BV168</f>
        <v>1.61013995642182E-3</v>
      </c>
      <c r="CF168" s="27">
        <f>opex_orig!BW168</f>
        <v>3.22247696629291E-3</v>
      </c>
      <c r="CG168" s="27">
        <f>opex_orig!BX168</f>
        <v>2.2521604509950701E-4</v>
      </c>
      <c r="CH168" s="27">
        <f>opex_orig!BY168</f>
        <v>4.4007112319954897E-4</v>
      </c>
      <c r="CI168" s="27">
        <f>opex_orig!Y168</f>
        <v>2.0699999999999998E-5</v>
      </c>
      <c r="CJ168" s="27">
        <f>opex_orig!Z168</f>
        <v>2.9296500000000001E-4</v>
      </c>
      <c r="CK168" s="27">
        <f>opex_orig!AA168</f>
        <v>3.7004399999999998E-4</v>
      </c>
      <c r="CL168" s="27">
        <f>opex_orig!AB168</f>
        <v>-1.37692962018158E-3</v>
      </c>
      <c r="CM168" s="27">
        <f>opex_orig!AC168</f>
        <v>-1.50305529414925E-3</v>
      </c>
      <c r="CN168" s="27">
        <f>opex_orig!AD168</f>
        <v>-1.79799507611615E-3</v>
      </c>
      <c r="CO168" s="27">
        <f>opex_orig!AE168</f>
        <v>-2.035153E-3</v>
      </c>
      <c r="CP168" s="27">
        <f>opex_orig!AF168</f>
        <v>-4.9239399999999995E-4</v>
      </c>
    </row>
    <row r="169" spans="1:94" x14ac:dyDescent="0.25">
      <c r="A169" s="38" t="s">
        <v>372</v>
      </c>
      <c r="B169" s="38">
        <v>3</v>
      </c>
      <c r="C169" s="38" t="s">
        <v>379</v>
      </c>
      <c r="D169" s="463">
        <f>labcap_calc!O332</f>
        <v>3.6140401751400719E-3</v>
      </c>
      <c r="E169" s="463">
        <f>labcap_calc!O343</f>
        <v>6.5137890634275998E-3</v>
      </c>
      <c r="F169" s="463">
        <f>labcap_calc!O354</f>
        <v>1.9950345990854129E-3</v>
      </c>
      <c r="G169" s="463">
        <f>labcap_calc!O365</f>
        <v>6.9239161692889349E-4</v>
      </c>
      <c r="H169" s="463">
        <f>labcap_calc!O376</f>
        <v>3.2484774239564147E-2</v>
      </c>
      <c r="I169" s="463">
        <f>labcap_calc!O387</f>
        <v>3.5692922242685642E-3</v>
      </c>
      <c r="J169" s="463">
        <f>labcap_calc!O398</f>
        <v>4.7411929250039632E-3</v>
      </c>
      <c r="K169" s="463">
        <f>labcap_calc!O409</f>
        <v>1.2859638120543571E-2</v>
      </c>
      <c r="L169" s="463">
        <f>labcap_calc!O420</f>
        <v>3.5005105970620275E-3</v>
      </c>
      <c r="M169" s="463">
        <f>labcap_calc!O431</f>
        <v>4.7224105509095235E-3</v>
      </c>
      <c r="N169" s="463">
        <f>labcap_calc!O442</f>
        <v>2.3683478406679032E-3</v>
      </c>
      <c r="O169" s="463">
        <f>labcap_calc!O453</f>
        <v>1.6628151392994719E-3</v>
      </c>
      <c r="P169" s="463">
        <f>labcap_calc!O464</f>
        <v>6.1729830583496896E-3</v>
      </c>
      <c r="Q169" s="463">
        <f>labcap_calc!O475</f>
        <v>6.8072122284157707E-3</v>
      </c>
      <c r="R169" s="463">
        <f>labcap_calc!O486</f>
        <v>3.261268468612986E-3</v>
      </c>
      <c r="S169" s="463">
        <f>labcap_calc!O497</f>
        <v>2.934658129185481E-3</v>
      </c>
      <c r="T169" s="463">
        <f>labcap_calc!O508</f>
        <v>3.3609285634557538E-3</v>
      </c>
      <c r="U169" s="463">
        <f>labcap_calc!O519</f>
        <v>5.0879621120194177E-3</v>
      </c>
      <c r="V169" s="463">
        <f>labcap_calc!O530</f>
        <v>7.0733820883132981E-3</v>
      </c>
      <c r="W169" s="463">
        <f>labcap_calc!O541</f>
        <v>4.1423495924739536E-3</v>
      </c>
      <c r="X169" s="463">
        <f>labcap_calc!O552</f>
        <v>6.7452056031452818E-3</v>
      </c>
      <c r="Y169" s="463">
        <f>labcap_calc!O563</f>
        <v>1.2606767603892062E-4</v>
      </c>
      <c r="Z169" s="463">
        <f>labcap_calc!O574</f>
        <v>6.6224406038054506E-4</v>
      </c>
      <c r="AA169" s="463">
        <f>labcap_calc!O585</f>
        <v>9.89311720534003E-4</v>
      </c>
      <c r="AB169" s="245">
        <f>labcap_calc!O167</f>
        <v>8.5313040984061773E-4</v>
      </c>
      <c r="AC169" s="245">
        <f>labcap_calc!O178</f>
        <v>1.290219656479579E-3</v>
      </c>
      <c r="AD169" s="245">
        <f>labcap_calc!O189</f>
        <v>1.4929509002431251E-3</v>
      </c>
      <c r="AE169" s="227">
        <f>labcap_calc!O200</f>
        <v>4.4604565058860143E-3</v>
      </c>
      <c r="AF169" s="227">
        <f>labcap_calc!O211</f>
        <v>6.118260551229316E-3</v>
      </c>
      <c r="AG169" s="227">
        <f>labcap_calc!O222</f>
        <v>2.8190412217751421E-3</v>
      </c>
      <c r="AH169" s="227">
        <f>labcap_calc!O233</f>
        <v>2.2617046727975887E-3</v>
      </c>
      <c r="AI169" s="463">
        <f>labcap_calc!O596</f>
        <v>7.9301641151892695E-3</v>
      </c>
      <c r="AJ169" s="463">
        <f>labcap_calc!O607</f>
        <v>2.9390884540112425E-3</v>
      </c>
      <c r="AK169" s="463">
        <f>labcap_calc!O618</f>
        <v>4.9102364497856394E-3</v>
      </c>
      <c r="AL169" s="463">
        <f>labcap_calc!O629</f>
        <v>3.4608484994895546E-3</v>
      </c>
      <c r="AM169" s="463">
        <f>labcap_calc!O640</f>
        <v>6.9385257643309085E-3</v>
      </c>
      <c r="AN169" s="463">
        <f>labcap_calc!O651</f>
        <v>7.8007222432905764E-3</v>
      </c>
      <c r="AO169" s="463">
        <f>labcap_calc!O662</f>
        <v>5.6575970004506607E-3</v>
      </c>
      <c r="AP169" s="227">
        <f>labcap_calc!O244</f>
        <v>4.9912029826228999E-3</v>
      </c>
      <c r="AQ169" s="227">
        <f>labcap_calc!O255</f>
        <v>3.963845423234952E-3</v>
      </c>
      <c r="AR169" s="227">
        <f>labcap_calc!O266</f>
        <v>4.4405062257064747E-3</v>
      </c>
      <c r="AS169" s="227">
        <f>labcap_calc!O277</f>
        <v>4.9848189768365728E-3</v>
      </c>
      <c r="AT169" s="463">
        <f>labcap_calc!O673</f>
        <v>6.0201562361726453E-3</v>
      </c>
      <c r="AU169" s="227">
        <f>labcap_calc!O288</f>
        <v>1.902781677885243E-3</v>
      </c>
      <c r="AV169" s="227">
        <f>labcap_calc!O299</f>
        <v>2.43464450525633E-3</v>
      </c>
      <c r="AW169" s="227">
        <f>labcap_calc!O310</f>
        <v>2.0158981221722245E-3</v>
      </c>
      <c r="AX169" s="227">
        <f>labcap_calc!O321</f>
        <v>2.5218672858721191E-3</v>
      </c>
      <c r="AY169" s="463">
        <f>labcap_calc!O684</f>
        <v>1.3943606104161103E-3</v>
      </c>
      <c r="AZ169" s="463">
        <f>labcap_calc!O695</f>
        <v>0</v>
      </c>
      <c r="BA169" s="463">
        <f>labcap_calc!O706</f>
        <v>2.0763328320801688E-3</v>
      </c>
      <c r="BB169" s="463">
        <f>labcap_calc!O717</f>
        <v>2.3008957748355064E-3</v>
      </c>
      <c r="BC169" s="463">
        <f>labcap_calc!O728</f>
        <v>2.3709328385672634E-3</v>
      </c>
      <c r="BD169" s="463">
        <f>labcap_calc!O739</f>
        <v>2.4018734607823855E-3</v>
      </c>
      <c r="BE169" s="463">
        <f>labcap_calc!O750</f>
        <v>2.4554874190776963E-3</v>
      </c>
      <c r="BF169" s="463">
        <f>labcap_calc!O761</f>
        <v>0</v>
      </c>
      <c r="BG169" s="463">
        <f>labcap_calc!O772</f>
        <v>5.6103283322130287E-4</v>
      </c>
      <c r="BH169" s="463">
        <f>labcap_calc!O783</f>
        <v>0</v>
      </c>
      <c r="BI169" s="463">
        <f>labcap_calc!O794</f>
        <v>3.0696937997752322E-3</v>
      </c>
      <c r="BJ169" s="463">
        <f>labcap_calc!O805</f>
        <v>4.8818312328262718E-3</v>
      </c>
      <c r="BK169" s="463">
        <f>labcap_calc!O816</f>
        <v>4.5934733269999192E-3</v>
      </c>
      <c r="BL169" s="463">
        <f>labcap_calc!O827</f>
        <v>8.4510485695673838E-4</v>
      </c>
      <c r="BM169" s="463">
        <f>labcap_calc!O838</f>
        <v>5.3308564297238886E-3</v>
      </c>
      <c r="BN169" s="463">
        <f>labcap_calc!O849</f>
        <v>3.1324000776686042E-3</v>
      </c>
      <c r="BO169" s="463">
        <f>labcap_calc!O860</f>
        <v>1.1228216077253602E-2</v>
      </c>
      <c r="BP169" s="245">
        <f>labcap_calc!O145</f>
        <v>4.1144805276123377E-3</v>
      </c>
      <c r="BQ169" s="245">
        <f>labcap_calc!O156</f>
        <v>2.2805798795124386E-3</v>
      </c>
      <c r="BR169" s="463">
        <f>labcap_calc!O871</f>
        <v>4.2048572209487369E-3</v>
      </c>
      <c r="BS169" s="463">
        <f>labcap_calc!O882</f>
        <v>5.6746576082936373E-3</v>
      </c>
      <c r="BT169" s="463">
        <f>labcap_calc!O893</f>
        <v>2.0613231411447824E-3</v>
      </c>
      <c r="BU169" s="463">
        <f>labcap_calc!O904</f>
        <v>0</v>
      </c>
      <c r="BV169" s="464">
        <f>labcap_calc!O2</f>
        <v>7.381678593816009E-4</v>
      </c>
      <c r="BW169" s="464">
        <f>labcap_calc!O13</f>
        <v>4.3153187781459274E-4</v>
      </c>
      <c r="BX169" s="464">
        <f>labcap_calc!O24</f>
        <v>6.4446062134990449E-4</v>
      </c>
      <c r="BY169" s="464">
        <f>labcap_calc!O35</f>
        <v>4.1547802581631219E-4</v>
      </c>
      <c r="BZ169" s="227">
        <f>labcap_calc!O46</f>
        <v>2.8311492928792715E-4</v>
      </c>
      <c r="CA169" s="464">
        <f>labcap_calc!O57</f>
        <v>6.8428788004228709E-4</v>
      </c>
      <c r="CB169" s="464">
        <f>labcap_calc!O68</f>
        <v>2.5128146276093256E-4</v>
      </c>
      <c r="CC169" s="227">
        <f>labcap_calc!O79</f>
        <v>1.6987207274705492E-5</v>
      </c>
      <c r="CD169" s="227">
        <f>labcap_calc!O90</f>
        <v>1.4684673951913572E-4</v>
      </c>
      <c r="CE169" s="227">
        <f>labcap_calc!O101</f>
        <v>1.4684673951913615E-4</v>
      </c>
      <c r="CF169" s="464">
        <f>labcap_calc!O112</f>
        <v>6.3712350275910558E-4</v>
      </c>
      <c r="CG169" s="464">
        <f>labcap_calc!O123</f>
        <v>3.1207049312776757E-5</v>
      </c>
      <c r="CH169" s="464">
        <f>labcap_calc!O134</f>
        <v>2.0779772742957761E-6</v>
      </c>
      <c r="CI169" s="464">
        <f>labcap_calc!O915</f>
        <v>4.1249403468305239E-4</v>
      </c>
      <c r="CJ169" s="464">
        <f>labcap_calc!O926</f>
        <v>3.2544182846565322E-4</v>
      </c>
      <c r="CK169" s="464">
        <f>labcap_calc!O937</f>
        <v>3.9077328149776121E-4</v>
      </c>
      <c r="CL169" s="464">
        <f>labcap_calc!O948</f>
        <v>1.5059225388579608E-4</v>
      </c>
      <c r="CM169" s="464">
        <f>labcap_calc!O959</f>
        <v>5.6978606659341163E-4</v>
      </c>
      <c r="CN169" s="464">
        <f>labcap_calc!O970</f>
        <v>2.7786566682450756E-3</v>
      </c>
      <c r="CO169" s="464">
        <f>labcap_calc!O981</f>
        <v>2.1375479823110407E-3</v>
      </c>
      <c r="CP169" s="464">
        <f>labcap_calc!O992</f>
        <v>6.01744146445834E-3</v>
      </c>
    </row>
    <row r="170" spans="1:94" x14ac:dyDescent="0.25">
      <c r="A170" s="38" t="s">
        <v>373</v>
      </c>
      <c r="B170" s="38">
        <v>4</v>
      </c>
      <c r="C170" s="38" t="s">
        <v>379</v>
      </c>
      <c r="D170" s="463">
        <f>labcap_calc!O333</f>
        <v>3.6788380652585911E-2</v>
      </c>
      <c r="E170" s="463">
        <f>labcap_calc!O344</f>
        <v>6.6305777701946636E-2</v>
      </c>
      <c r="F170" s="463">
        <f>labcap_calc!O355</f>
        <v>2.0308043446691529E-2</v>
      </c>
      <c r="G170" s="463">
        <f>labcap_calc!O366</f>
        <v>7.0480586246906458E-3</v>
      </c>
      <c r="H170" s="463">
        <f>labcap_calc!O377</f>
        <v>0.33067207526248571</v>
      </c>
      <c r="I170" s="463">
        <f>labcap_calc!O388</f>
        <v>3.6332876990772679E-2</v>
      </c>
      <c r="J170" s="463">
        <f>labcap_calc!O399</f>
        <v>4.8262000753314944E-2</v>
      </c>
      <c r="K170" s="463">
        <f>labcap_calc!O410</f>
        <v>0.13090204259875812</v>
      </c>
      <c r="L170" s="463">
        <f>labcap_calc!O421</f>
        <v>3.5632727861186091E-2</v>
      </c>
      <c r="M170" s="463">
        <f>labcap_calc!O432</f>
        <v>4.8070805820466384E-2</v>
      </c>
      <c r="N170" s="463">
        <f>labcap_calc!O443</f>
        <v>2.4108108472579035E-2</v>
      </c>
      <c r="O170" s="463">
        <f>labcap_calc!O454</f>
        <v>2.1998811172363901E-2</v>
      </c>
      <c r="P170" s="463">
        <f>labcap_calc!O465</f>
        <v>5.4215558177412256E-2</v>
      </c>
      <c r="Q170" s="463">
        <f>labcap_calc!O476</f>
        <v>4.6385715729031073E-2</v>
      </c>
      <c r="R170" s="463">
        <f>labcap_calc!O487</f>
        <v>2.7249178925108603E-2</v>
      </c>
      <c r="S170" s="463">
        <f>labcap_calc!O498</f>
        <v>4.194121079581202E-2</v>
      </c>
      <c r="T170" s="463">
        <f>labcap_calc!O509</f>
        <v>4.8033338144011638E-2</v>
      </c>
      <c r="U170" s="463">
        <f>labcap_calc!O520</f>
        <v>5.4665169453761812E-2</v>
      </c>
      <c r="V170" s="463">
        <f>labcap_calc!O531</f>
        <v>7.5996563509005743E-2</v>
      </c>
      <c r="W170" s="463">
        <f>labcap_calc!O542</f>
        <v>4.4505493335359747E-2</v>
      </c>
      <c r="X170" s="463">
        <f>labcap_calc!O553</f>
        <v>7.4749226107275565E-2</v>
      </c>
      <c r="Y170" s="463">
        <f>labcap_calc!O564</f>
        <v>1.5819091766742664E-3</v>
      </c>
      <c r="Z170" s="463">
        <f>labcap_calc!O575</f>
        <v>8.3098972515973854E-3</v>
      </c>
      <c r="AA170" s="463">
        <f>labcap_calc!O586</f>
        <v>1.2413971201841244E-2</v>
      </c>
      <c r="AB170" s="245">
        <f>labcap_calc!O168</f>
        <v>1.3030876831787483E-2</v>
      </c>
      <c r="AC170" s="245">
        <f>labcap_calc!O179</f>
        <v>1.9707061471032905E-2</v>
      </c>
      <c r="AD170" s="245">
        <f>labcap_calc!O190</f>
        <v>2.2803617210889131E-2</v>
      </c>
      <c r="AE170" s="227">
        <f>labcap_calc!O201</f>
        <v>5.8637445152496713E-2</v>
      </c>
      <c r="AF170" s="227">
        <f>labcap_calc!O212</f>
        <v>9.6818078491414356E-2</v>
      </c>
      <c r="AG170" s="227">
        <f>labcap_calc!O223</f>
        <v>4.4609763182693926E-2</v>
      </c>
      <c r="AH170" s="227">
        <f>labcap_calc!O234</f>
        <v>3.5790221534667731E-2</v>
      </c>
      <c r="AI170" s="463">
        <f>labcap_calc!O597</f>
        <v>9.9508421620367424E-2</v>
      </c>
      <c r="AJ170" s="463">
        <f>labcap_calc!O608</f>
        <v>3.6879947534311973E-2</v>
      </c>
      <c r="AK170" s="463">
        <f>labcap_calc!O619</f>
        <v>5.8060094198518118E-2</v>
      </c>
      <c r="AL170" s="463">
        <f>labcap_calc!O630</f>
        <v>4.3202653122533054E-2</v>
      </c>
      <c r="AM170" s="463">
        <f>labcap_calc!O641</f>
        <v>8.6615386767309885E-2</v>
      </c>
      <c r="AN170" s="463">
        <f>labcap_calc!O652</f>
        <v>9.7378406403291928E-2</v>
      </c>
      <c r="AO170" s="463">
        <f>labcap_calc!O663</f>
        <v>7.0625225764965313E-2</v>
      </c>
      <c r="AP170" s="227">
        <f>labcap_calc!O245</f>
        <v>7.0698396426542104E-2</v>
      </c>
      <c r="AQ170" s="227">
        <f>labcap_calc!O256</f>
        <v>5.6146286993548233E-2</v>
      </c>
      <c r="AR170" s="227">
        <f>labcap_calc!O267</f>
        <v>6.2897996850160065E-2</v>
      </c>
      <c r="AS170" s="227">
        <f>labcap_calc!O278</f>
        <v>7.059297916738802E-2</v>
      </c>
      <c r="AT170" s="463">
        <f>labcap_calc!O674</f>
        <v>7.5151146282906228E-2</v>
      </c>
      <c r="AU170" s="227">
        <f>opex_concordance!M607</f>
        <v>4.1017073062728802E-2</v>
      </c>
      <c r="AV170" s="227">
        <f>labcap_calc!O300</f>
        <v>3.4946740309130496E-2</v>
      </c>
      <c r="AW170" s="227">
        <f>labcap_calc!O311</f>
        <v>2.8936079995711475E-2</v>
      </c>
      <c r="AX170" s="227">
        <f>labcap_calc!O322</f>
        <v>3.607477791011654E-2</v>
      </c>
      <c r="AY170" s="463">
        <f>labcap_calc!O685</f>
        <v>2.1183403428950986E-2</v>
      </c>
      <c r="AZ170" s="463">
        <f>labcap_calc!O696</f>
        <v>0</v>
      </c>
      <c r="BA170" s="463">
        <f>labcap_calc!O707</f>
        <v>3.1544056975940871E-2</v>
      </c>
      <c r="BB170" s="463">
        <f>labcap_calc!O718</f>
        <v>3.4955664522519539E-2</v>
      </c>
      <c r="BC170" s="463">
        <f>labcap_calc!O729</f>
        <v>3.6019677858939683E-2</v>
      </c>
      <c r="BD170" s="463">
        <f>labcap_calc!O740</f>
        <v>3.6489732958001939E-2</v>
      </c>
      <c r="BE170" s="463">
        <f>labcap_calc!O751</f>
        <v>3.7304246736307493E-2</v>
      </c>
      <c r="BF170" s="463">
        <f>labcap_calc!O762</f>
        <v>0</v>
      </c>
      <c r="BG170" s="463">
        <f>labcap_calc!O773</f>
        <v>8.5233223105972145E-3</v>
      </c>
      <c r="BH170" s="463">
        <f>labcap_calc!O784</f>
        <v>0</v>
      </c>
      <c r="BI170" s="463">
        <f>labcap_calc!O795</f>
        <v>4.6635394862485267E-2</v>
      </c>
      <c r="BJ170" s="463">
        <f>labcap_calc!O806</f>
        <v>6.8513903810774393E-2</v>
      </c>
      <c r="BK170" s="463">
        <f>labcap_calc!O817</f>
        <v>6.3864248573656107E-2</v>
      </c>
      <c r="BL170" s="463">
        <f>labcap_calc!O828</f>
        <v>1.0812336888952841E-2</v>
      </c>
      <c r="BM170" s="463">
        <f>labcap_calc!O839</f>
        <v>5.6143142778017588E-2</v>
      </c>
      <c r="BN170" s="463">
        <f>labcap_calc!O850</f>
        <v>3.1986695106945573E-2</v>
      </c>
      <c r="BO170" s="463">
        <f>labcap_calc!O861</f>
        <v>0.11491043003012395</v>
      </c>
      <c r="BP170" s="245">
        <f>labcap_calc!O146</f>
        <v>4.2692176357042401E-2</v>
      </c>
      <c r="BQ170" s="245">
        <f>labcap_calc!O157</f>
        <v>2.366347774866441E-2</v>
      </c>
      <c r="BR170" s="463">
        <f>labcap_calc!O872</f>
        <v>6.2602058059313126E-2</v>
      </c>
      <c r="BS170" s="463">
        <f>labcap_calc!O883</f>
        <v>6.3482919773770505E-2</v>
      </c>
      <c r="BT170" s="463">
        <f>labcap_calc!O894</f>
        <v>1.2761777862449943E-2</v>
      </c>
      <c r="BU170" s="463">
        <f>labcap_calc!O905</f>
        <v>0</v>
      </c>
      <c r="BV170" s="464">
        <f>labcap_calc!O3</f>
        <v>1.4831991976009351E-2</v>
      </c>
      <c r="BW170" s="464">
        <f>labcap_calc!O14</f>
        <v>8.6707613556836274E-3</v>
      </c>
      <c r="BX170" s="464">
        <f>labcap_calc!O25</f>
        <v>1.2949134323895233E-2</v>
      </c>
      <c r="BY170" s="464">
        <f>labcap_calc!O36</f>
        <v>8.3481916298354802E-3</v>
      </c>
      <c r="BZ170" s="227">
        <f>labcap_calc!O47</f>
        <v>5.6886225891948942E-3</v>
      </c>
      <c r="CA170" s="464">
        <f>labcap_calc!O58</f>
        <v>1.5099198034235407E-2</v>
      </c>
      <c r="CB170" s="464">
        <f>labcap_calc!O69</f>
        <v>5.048993385470193E-3</v>
      </c>
      <c r="CC170" s="227">
        <f>labcap_calc!O80</f>
        <v>9.1097984474253896E-4</v>
      </c>
      <c r="CD170" s="227">
        <f>labcap_calc!O91</f>
        <v>2.9505885884493909E-3</v>
      </c>
      <c r="CE170" s="227">
        <f>labcap_calc!O102</f>
        <v>2.9505885884493904E-3</v>
      </c>
      <c r="CF170" s="464">
        <f>labcap_calc!O113</f>
        <v>7.5507616391391448E-3</v>
      </c>
      <c r="CG170" s="464">
        <f>labcap_calc!O124</f>
        <v>5.9004130444338058E-4</v>
      </c>
      <c r="CH170" s="464">
        <f>labcap_calc!O135</f>
        <v>1.11436528919103E-4</v>
      </c>
      <c r="CI170" s="464">
        <f>labcap_calc!O916</f>
        <v>8.2882345534900925E-3</v>
      </c>
      <c r="CJ170" s="464">
        <f>labcap_calc!O927</f>
        <v>6.5390975650394343E-3</v>
      </c>
      <c r="CK170" s="464">
        <f>labcap_calc!O938</f>
        <v>7.8517982422996735E-3</v>
      </c>
      <c r="CL170" s="464">
        <f>labcap_calc!O949</f>
        <v>3.0258475127112284E-3</v>
      </c>
      <c r="CM170" s="464">
        <f>labcap_calc!O960</f>
        <v>1.1448697056276876E-2</v>
      </c>
      <c r="CN170" s="464">
        <f>labcap_calc!O971</f>
        <v>5.1135407746282405E-2</v>
      </c>
      <c r="CO170" s="464">
        <f>labcap_calc!O982</f>
        <v>4.9664444335476191E-2</v>
      </c>
      <c r="CP170" s="464">
        <f>labcap_calc!O993</f>
        <v>0.13981106239820823</v>
      </c>
    </row>
    <row r="171" spans="1:94" x14ac:dyDescent="0.25">
      <c r="A171" s="38" t="s">
        <v>374</v>
      </c>
      <c r="B171" s="38">
        <v>5</v>
      </c>
      <c r="C171" s="38" t="s">
        <v>379</v>
      </c>
      <c r="D171" s="463">
        <f>labcap_calc!O334</f>
        <v>5.0371507942458031E-2</v>
      </c>
      <c r="E171" s="463">
        <f>labcap_calc!O345</f>
        <v>9.0787416504445981E-2</v>
      </c>
      <c r="F171" s="463">
        <f>labcap_calc!O356</f>
        <v>2.780624675266272E-2</v>
      </c>
      <c r="G171" s="463">
        <f>labcap_calc!O367</f>
        <v>9.6503660570154675E-3</v>
      </c>
      <c r="H171" s="463">
        <f>labcap_calc!O378</f>
        <v>0.45276391330989951</v>
      </c>
      <c r="I171" s="463">
        <f>labcap_calc!O389</f>
        <v>4.9747821171594792E-2</v>
      </c>
      <c r="J171" s="463">
        <f>labcap_calc!O400</f>
        <v>6.6081457023158749E-2</v>
      </c>
      <c r="K171" s="463">
        <f>labcap_calc!O411</f>
        <v>0.1792341272901091</v>
      </c>
      <c r="L171" s="463">
        <f>labcap_calc!O422</f>
        <v>4.8789161550177942E-2</v>
      </c>
      <c r="M171" s="463">
        <f>labcap_calc!O433</f>
        <v>6.581966840942173E-2</v>
      </c>
      <c r="N171" s="463">
        <f>labcap_calc!O444</f>
        <v>3.3009384707837229E-2</v>
      </c>
      <c r="O171" s="463">
        <f>labcap_calc!O455</f>
        <v>3.0355482454965325E-2</v>
      </c>
      <c r="P171" s="463">
        <f>labcap_calc!O466</f>
        <v>7.3835175177903237E-2</v>
      </c>
      <c r="Q171" s="463">
        <f>labcap_calc!O477</f>
        <v>6.2454799433929051E-2</v>
      </c>
      <c r="R171" s="463">
        <f>labcap_calc!O488</f>
        <v>3.7035583012368832E-2</v>
      </c>
      <c r="S171" s="463">
        <f>labcap_calc!O499</f>
        <v>5.7984079939293345E-2</v>
      </c>
      <c r="T171" s="463">
        <f>labcap_calc!O510</f>
        <v>6.6406497759513974E-2</v>
      </c>
      <c r="U171" s="463">
        <f>labcap_calc!O521</f>
        <v>7.4981483339321753E-2</v>
      </c>
      <c r="V171" s="463">
        <f>labcap_calc!O532</f>
        <v>0.10424069228098741</v>
      </c>
      <c r="W171" s="463">
        <f>labcap_calc!O543</f>
        <v>6.1045963231354729E-2</v>
      </c>
      <c r="X171" s="463">
        <f>labcap_calc!O554</f>
        <v>0.10262945484602318</v>
      </c>
      <c r="Y171" s="463">
        <f>labcap_calc!O565</f>
        <v>2.1797739434375736E-3</v>
      </c>
      <c r="Z171" s="463">
        <f>labcap_calc!O576</f>
        <v>1.1450532781664968E-2</v>
      </c>
      <c r="AA171" s="463">
        <f>labcap_calc!O587</f>
        <v>1.7105695981679606E-2</v>
      </c>
      <c r="AB171" s="245">
        <f>labcap_calc!O169</f>
        <v>1.958699960212017E-2</v>
      </c>
      <c r="AC171" s="245">
        <f>labcap_calc!O180</f>
        <v>2.9622120612057861E-2</v>
      </c>
      <c r="AD171" s="245">
        <f>labcap_calc!O191</f>
        <v>3.4276622133901112E-2</v>
      </c>
      <c r="AE171" s="227">
        <f>labcap_calc!O202</f>
        <v>7.677024173845208E-2</v>
      </c>
      <c r="AF171" s="227">
        <f>labcap_calc!O213</f>
        <v>0.12654004329942653</v>
      </c>
      <c r="AG171" s="227">
        <f>labcap_calc!O224</f>
        <v>5.8304414347738108E-2</v>
      </c>
      <c r="AH171" s="227">
        <f>labcap_calc!O235</f>
        <v>4.6777381386416766E-2</v>
      </c>
      <c r="AI171" s="463">
        <f>labcap_calc!O598</f>
        <v>0.13711654421127287</v>
      </c>
      <c r="AJ171" s="463">
        <f>labcap_calc!O609</f>
        <v>5.0818321922161222E-2</v>
      </c>
      <c r="AK171" s="463">
        <f>labcap_calc!O620</f>
        <v>7.9870163505445846E-2</v>
      </c>
      <c r="AL171" s="463">
        <f>labcap_calc!O631</f>
        <v>5.9522221253266568E-2</v>
      </c>
      <c r="AM171" s="463">
        <f>labcap_calc!O642</f>
        <v>0.11933387835273163</v>
      </c>
      <c r="AN171" s="463">
        <f>labcap_calc!O653</f>
        <v>0.13416257021861891</v>
      </c>
      <c r="AO171" s="463">
        <f>labcap_calc!O664</f>
        <v>9.730352163023992E-2</v>
      </c>
      <c r="AP171" s="227">
        <f>labcap_calc!O246</f>
        <v>0.10024095188256393</v>
      </c>
      <c r="AQ171" s="227">
        <f>labcap_calc!O257</f>
        <v>7.9607990242787599E-2</v>
      </c>
      <c r="AR171" s="227">
        <f>labcap_calc!O268</f>
        <v>8.9181019576838674E-2</v>
      </c>
      <c r="AS171" s="227">
        <f>labcap_calc!O279</f>
        <v>0.10063053432462046</v>
      </c>
      <c r="AT171" s="463">
        <f>labcap_calc!O675</f>
        <v>0.10353908404102408</v>
      </c>
      <c r="AU171" s="227">
        <f>opex_concordance!M608</f>
        <v>3.3474090041934301E-2</v>
      </c>
      <c r="AV171" s="227">
        <f>labcap_calc!O301</f>
        <v>4.8500032517737636E-2</v>
      </c>
      <c r="AW171" s="227">
        <f>labcap_calc!O312</f>
        <v>4.0158275373145431E-2</v>
      </c>
      <c r="AX171" s="227">
        <f>labcap_calc!O323</f>
        <v>5.01470156279019E-2</v>
      </c>
      <c r="AY171" s="463">
        <f>labcap_calc!O686</f>
        <v>2.9327525647461449E-2</v>
      </c>
      <c r="AZ171" s="463">
        <f>labcap_calc!O697</f>
        <v>0</v>
      </c>
      <c r="BA171" s="463">
        <f>labcap_calc!O708</f>
        <v>4.3671412873094423E-2</v>
      </c>
      <c r="BB171" s="463">
        <f>labcap_calc!O719</f>
        <v>4.8394638570133444E-2</v>
      </c>
      <c r="BC171" s="463">
        <f>labcap_calc!O730</f>
        <v>4.986772052356464E-2</v>
      </c>
      <c r="BD171" s="463">
        <f>labcap_calc!O741</f>
        <v>5.0518491544173094E-2</v>
      </c>
      <c r="BE171" s="463">
        <f>labcap_calc!O752</f>
        <v>5.1646152040700798E-2</v>
      </c>
      <c r="BF171" s="463">
        <f>labcap_calc!O763</f>
        <v>0</v>
      </c>
      <c r="BG171" s="463">
        <f>labcap_calc!O774</f>
        <v>1.1800179243363788E-2</v>
      </c>
      <c r="BH171" s="463">
        <f>labcap_calc!O785</f>
        <v>0</v>
      </c>
      <c r="BI171" s="463">
        <f>labcap_calc!O796</f>
        <v>6.4564730959905364E-2</v>
      </c>
      <c r="BJ171" s="463">
        <f>labcap_calc!O807</f>
        <v>9.467976129563753E-2</v>
      </c>
      <c r="BK171" s="463">
        <f>labcap_calc!O818</f>
        <v>8.8234192998935937E-2</v>
      </c>
      <c r="BL171" s="463">
        <f>labcap_calc!O829</f>
        <v>1.4906527299289221E-2</v>
      </c>
      <c r="BM171" s="463">
        <f>labcap_calc!O840</f>
        <v>7.6959242314190643E-2</v>
      </c>
      <c r="BN171" s="463">
        <f>labcap_calc!O851</f>
        <v>4.3801596073344877E-2</v>
      </c>
      <c r="BO171" s="463">
        <f>labcap_calc!O862</f>
        <v>0.15736643858004085</v>
      </c>
      <c r="BP171" s="245">
        <f>labcap_calc!O147</f>
        <v>5.9218197861086092E-2</v>
      </c>
      <c r="BQ171" s="245">
        <f>labcap_calc!O158</f>
        <v>3.2823543491491754E-2</v>
      </c>
      <c r="BR171" s="463">
        <f>labcap_calc!O873</f>
        <v>8.6630337370401767E-2</v>
      </c>
      <c r="BS171" s="463">
        <f>labcap_calc!O884</f>
        <v>8.7186332561763849E-2</v>
      </c>
      <c r="BT171" s="463">
        <f>labcap_calc!O895</f>
        <v>1.7094161949591378E-2</v>
      </c>
      <c r="BU171" s="463">
        <f>labcap_calc!O906</f>
        <v>0</v>
      </c>
      <c r="BV171" s="464">
        <f>labcap_calc!O4</f>
        <v>5.5247671667839962E-2</v>
      </c>
      <c r="BW171" s="464">
        <f>labcap_calc!O15</f>
        <v>3.2297710062365183E-2</v>
      </c>
      <c r="BX171" s="464">
        <f>labcap_calc!O26</f>
        <v>4.8234217134473373E-2</v>
      </c>
      <c r="BY171" s="464">
        <f>labcap_calc!O37</f>
        <v>3.109617042213313E-2</v>
      </c>
      <c r="BZ171" s="227">
        <f>labcap_calc!O48</f>
        <v>2.118954443598221E-2</v>
      </c>
      <c r="CA171" s="464">
        <f>labcap_calc!O59</f>
        <v>3.6686552783770393E-2</v>
      </c>
      <c r="CB171" s="464">
        <f>labcap_calc!O70</f>
        <v>1.880699027242742E-2</v>
      </c>
      <c r="CC171" s="227">
        <f>labcap_calc!O81</f>
        <v>1.7320538209018971E-3</v>
      </c>
      <c r="CD171" s="227">
        <f>labcap_calc!O92</f>
        <v>1.0990644400619226E-2</v>
      </c>
      <c r="CE171" s="227">
        <f>labcap_calc!O103</f>
        <v>1.0990644400619325E-2</v>
      </c>
      <c r="CF171" s="464">
        <f>labcap_calc!O114</f>
        <v>1.6102861288934633E-2</v>
      </c>
      <c r="CG171" s="464">
        <f>labcap_calc!O125</f>
        <v>2.1291770898749654E-3</v>
      </c>
      <c r="CH171" s="464">
        <f>labcap_calc!O136</f>
        <v>2.1187523172547847E-4</v>
      </c>
      <c r="CI171" s="464">
        <f>labcap_calc!O917</f>
        <v>3.087283748678047E-2</v>
      </c>
      <c r="CJ171" s="464">
        <f>labcap_calc!O928</f>
        <v>2.4357478236916703E-2</v>
      </c>
      <c r="CK171" s="464">
        <f>labcap_calc!O939</f>
        <v>2.924715557034293E-2</v>
      </c>
      <c r="CL171" s="464">
        <f>labcap_calc!O950</f>
        <v>1.1270975504610722E-2</v>
      </c>
      <c r="CM171" s="464">
        <f>labcap_calc!O961</f>
        <v>4.2645238380282786E-2</v>
      </c>
      <c r="CN171" s="464">
        <f>labcap_calc!O972</f>
        <v>0.1971122385121937</v>
      </c>
      <c r="CO171" s="464">
        <f>labcap_calc!O983</f>
        <v>5.4249033028422891E-2</v>
      </c>
      <c r="CP171" s="464">
        <f>labcap_calc!O994</f>
        <v>0.15271720070221323</v>
      </c>
    </row>
    <row r="172" spans="1:94" x14ac:dyDescent="0.25">
      <c r="A172" s="43" t="s">
        <v>375</v>
      </c>
      <c r="B172" s="43">
        <v>6</v>
      </c>
      <c r="C172" s="43" t="s">
        <v>379</v>
      </c>
      <c r="D172" s="463">
        <f>labcap_calc!O335</f>
        <v>4.6676317229815974E-2</v>
      </c>
      <c r="E172" s="463">
        <f>labcap_calc!O346</f>
        <v>4.5815785730179831E-2</v>
      </c>
      <c r="F172" s="463">
        <f>labcap_calc!O357</f>
        <v>4.6176851201560329E-2</v>
      </c>
      <c r="G172" s="463">
        <f>labcap_calc!O368</f>
        <v>5.4220343701365012E-2</v>
      </c>
      <c r="H172" s="463">
        <f>labcap_calc!O379</f>
        <v>2.1580879188050562E-2</v>
      </c>
      <c r="I172" s="463">
        <f>labcap_calc!O390</f>
        <v>5.419371761336398E-2</v>
      </c>
      <c r="J172" s="463">
        <f>labcap_calc!O401</f>
        <v>7.2048135298522331E-2</v>
      </c>
      <c r="K172" s="463">
        <f>labcap_calc!O412</f>
        <v>1.7571492990589296E-2</v>
      </c>
      <c r="L172" s="463">
        <f>labcap_calc!O423</f>
        <v>6.0921749991573952E-2</v>
      </c>
      <c r="M172" s="463">
        <f>labcap_calc!O434</f>
        <v>5.0397590219202371E-2</v>
      </c>
      <c r="N172" s="463">
        <f>labcap_calc!O445</f>
        <v>3.756128597891583E-2</v>
      </c>
      <c r="O172" s="463">
        <f>labcap_calc!O456</f>
        <v>4.6330534233371287E-2</v>
      </c>
      <c r="P172" s="463">
        <f>labcap_calc!O467</f>
        <v>9.1773567586334828E-2</v>
      </c>
      <c r="Q172" s="463">
        <f>labcap_calc!O478</f>
        <v>4.5592929608624107E-2</v>
      </c>
      <c r="R172" s="463">
        <f>labcap_calc!O489</f>
        <v>2.6111983593909566E-2</v>
      </c>
      <c r="S172" s="463">
        <f>labcap_calc!O500</f>
        <v>6.2723207135709155E-2</v>
      </c>
      <c r="T172" s="463">
        <f>labcap_calc!O511</f>
        <v>7.175986053301861E-2</v>
      </c>
      <c r="U172" s="463">
        <f>labcap_calc!O522</f>
        <v>0.108685977094897</v>
      </c>
      <c r="V172" s="463">
        <f>labcap_calc!O533</f>
        <v>0.15163457712169356</v>
      </c>
      <c r="W172" s="463">
        <f>labcap_calc!O544</f>
        <v>5.793213784081154E-2</v>
      </c>
      <c r="X172" s="463">
        <f>labcap_calc!O555</f>
        <v>8.2336540443555956E-2</v>
      </c>
      <c r="Y172" s="463">
        <f>labcap_calc!O566</f>
        <v>1.2030530203849237E-2</v>
      </c>
      <c r="Z172" s="463">
        <f>labcap_calc!O577</f>
        <v>2.8752416906357107E-2</v>
      </c>
      <c r="AA172" s="463">
        <f>labcap_calc!O588</f>
        <v>0.24680604309594517</v>
      </c>
      <c r="AB172" s="189">
        <f>labcap_calc!O170</f>
        <v>2.0206625956273105E-2</v>
      </c>
      <c r="AC172" s="189">
        <f>labcap_calc!O181</f>
        <v>3.1357391883922926E-2</v>
      </c>
      <c r="AD172" s="189">
        <f>labcap_calc!O192</f>
        <v>3.9818765204344346E-2</v>
      </c>
      <c r="AE172" s="189">
        <f>labcap_calc!O203</f>
        <v>8.7164064831992238E-2</v>
      </c>
      <c r="AF172" s="189">
        <f>labcap_calc!O214</f>
        <v>0.12023134829448928</v>
      </c>
      <c r="AG172" s="189">
        <f>labcap_calc!O225</f>
        <v>2.7931577552241332E-2</v>
      </c>
      <c r="AH172" s="189">
        <f>labcap_calc!O236</f>
        <v>2.2409384786765421E-2</v>
      </c>
      <c r="AI172" s="463">
        <f>labcap_calc!O599</f>
        <v>0.12771194705317043</v>
      </c>
      <c r="AJ172" s="463">
        <f>labcap_calc!O610</f>
        <v>6.110368908951555E-2</v>
      </c>
      <c r="AK172" s="463">
        <f>labcap_calc!O621</f>
        <v>6.1492940846250392E-2</v>
      </c>
      <c r="AL172" s="463">
        <f>labcap_calc!O632</f>
        <v>8.94132181247108E-2</v>
      </c>
      <c r="AM172" s="463">
        <f>labcap_calc!O643</f>
        <v>0.18049937411562758</v>
      </c>
      <c r="AN172" s="463">
        <f>labcap_calc!O654</f>
        <v>0.14958151313479856</v>
      </c>
      <c r="AO172" s="463">
        <f>labcap_calc!O665</f>
        <v>0.11084630760434414</v>
      </c>
      <c r="AP172" s="189">
        <f>labcap_calc!O247</f>
        <v>0.10857186291901921</v>
      </c>
      <c r="AQ172" s="189">
        <f>labcap_calc!O258</f>
        <v>0.10474797113818872</v>
      </c>
      <c r="AR172" s="189">
        <f>labcap_calc!O269</f>
        <v>8.6365284382351054E-2</v>
      </c>
      <c r="AS172" s="189">
        <f>labcap_calc!O280</f>
        <v>0.10866410638180678</v>
      </c>
      <c r="AT172" s="463">
        <f>labcap_calc!O676</f>
        <v>9.7723526439897068E-2</v>
      </c>
      <c r="AU172" s="189">
        <f>opex_concordance!M609</f>
        <v>6.4305291228469799E-2</v>
      </c>
      <c r="AV172" s="239">
        <f>labcap_calc!O302</f>
        <v>0.21875224908970703</v>
      </c>
      <c r="AW172" s="239">
        <f>labcap_calc!O313</f>
        <v>0.17311707504981672</v>
      </c>
      <c r="AX172" s="239">
        <f>labcap_calc!O324</f>
        <v>9.8074819168361485E-2</v>
      </c>
      <c r="AY172" s="463">
        <f>labcap_calc!O687</f>
        <v>5.819781631317146E-2</v>
      </c>
      <c r="AZ172" s="463">
        <f>labcap_calc!O698</f>
        <v>0</v>
      </c>
      <c r="BA172" s="463">
        <f>labcap_calc!O709</f>
        <v>7.8980250318884532E-2</v>
      </c>
      <c r="BB172" s="463">
        <f>labcap_calc!O720</f>
        <v>8.6142246132511494E-2</v>
      </c>
      <c r="BC172" s="463">
        <f>labcap_calc!O731</f>
        <v>8.1407572778928391E-2</v>
      </c>
      <c r="BD172" s="463">
        <f>labcap_calc!O742</f>
        <v>8.1467203037042579E-2</v>
      </c>
      <c r="BE172" s="463">
        <f>labcap_calc!O753</f>
        <v>5.3680567803913982E-2</v>
      </c>
      <c r="BF172" s="463">
        <f>labcap_calc!O764</f>
        <v>0</v>
      </c>
      <c r="BG172" s="463">
        <f>labcap_calc!O775</f>
        <v>1.5575545612817689E-2</v>
      </c>
      <c r="BH172" s="463">
        <f>labcap_calc!O786</f>
        <v>0</v>
      </c>
      <c r="BI172" s="463">
        <f>labcap_calc!O797</f>
        <v>3.4763272377834123E-2</v>
      </c>
      <c r="BJ172" s="463">
        <f>labcap_calc!O808</f>
        <v>5.6094727660761817E-2</v>
      </c>
      <c r="BK172" s="463">
        <f>labcap_calc!O819</f>
        <v>4.6835525100408032E-2</v>
      </c>
      <c r="BL172" s="463">
        <f>labcap_calc!O830</f>
        <v>7.0886969548011984E-3</v>
      </c>
      <c r="BM172" s="463">
        <f>labcap_calc!O841</f>
        <v>3.7405724478067878E-2</v>
      </c>
      <c r="BN172" s="463">
        <f>labcap_calc!O852</f>
        <v>2.5304935742040936E-2</v>
      </c>
      <c r="BO172" s="463">
        <f>labcap_calc!O863</f>
        <v>7.3004030312581528E-2</v>
      </c>
      <c r="BP172" s="189">
        <f>labcap_calc!O148</f>
        <v>4.7478928412310641E-2</v>
      </c>
      <c r="BQ172" s="189">
        <f>labcap_calc!O159</f>
        <v>2.6316685207588637E-2</v>
      </c>
      <c r="BR172" s="463">
        <f>labcap_calc!O874</f>
        <v>2.6795873349336405E-2</v>
      </c>
      <c r="BS172" s="463">
        <f>labcap_calc!O885</f>
        <v>4.2642190056172015E-2</v>
      </c>
      <c r="BT172" s="463">
        <f>labcap_calc!O896</f>
        <v>4.6994240468138963E-3</v>
      </c>
      <c r="BU172" s="463">
        <f>labcap_calc!O907</f>
        <v>0</v>
      </c>
      <c r="BV172" s="464">
        <f>labcap_calc!O5</f>
        <v>9.2761412433179688E-2</v>
      </c>
      <c r="BW172" s="464">
        <f>labcap_calc!O16</f>
        <v>6.2473100851212979E-2</v>
      </c>
      <c r="BX172" s="464">
        <f>labcap_calc!O27</f>
        <v>0.29600785517916134</v>
      </c>
      <c r="BY172" s="464">
        <f>labcap_calc!O38</f>
        <v>0.40900688770966609</v>
      </c>
      <c r="BZ172" s="239">
        <f>labcap_calc!O49</f>
        <v>0.38905492495763494</v>
      </c>
      <c r="CA172" s="464">
        <f>labcap_calc!O60</f>
        <v>0.43325040879593524</v>
      </c>
      <c r="CB172" s="464">
        <f>labcap_calc!O71</f>
        <v>3.6246471293331035E-2</v>
      </c>
      <c r="CC172" s="239">
        <f>labcap_calc!O82</f>
        <v>5.9483994432382795E-3</v>
      </c>
      <c r="CD172" s="239">
        <f>labcap_calc!O93</f>
        <v>0.46574037586438055</v>
      </c>
      <c r="CE172" s="239">
        <f>labcap_calc!O104</f>
        <v>0.4657403758643815</v>
      </c>
      <c r="CF172" s="464">
        <f>labcap_calc!O115</f>
        <v>0.51077360480895373</v>
      </c>
      <c r="CG172" s="464">
        <f>labcap_calc!O126</f>
        <v>0.70785907011676186</v>
      </c>
      <c r="CH172" s="464">
        <f>labcap_calc!O137</f>
        <v>0.14996812544205601</v>
      </c>
      <c r="CI172" s="464">
        <f>labcap_calc!O918</f>
        <v>0.20505849992504638</v>
      </c>
      <c r="CJ172" s="464">
        <f>labcap_calc!O929</f>
        <v>0.19840160936957824</v>
      </c>
      <c r="CK172" s="464">
        <f>labcap_calc!O940</f>
        <v>0.20005899390585963</v>
      </c>
      <c r="CL172" s="464">
        <f>labcap_calc!O951</f>
        <v>6.2970247287922531E-3</v>
      </c>
      <c r="CM172" s="464">
        <f>labcap_calc!O962</f>
        <v>3.9274028496846934E-2</v>
      </c>
      <c r="CN172" s="464">
        <f>labcap_calc!O973</f>
        <v>0.18859451307327887</v>
      </c>
      <c r="CO172" s="464">
        <f>labcap_calc!O984</f>
        <v>4.0016795653789884E-2</v>
      </c>
      <c r="CP172" s="464">
        <f>labcap_calc!O995</f>
        <v>6.8299622435120194E-2</v>
      </c>
    </row>
    <row r="173" spans="1:94" x14ac:dyDescent="0.25">
      <c r="A173" s="38" t="s">
        <v>376</v>
      </c>
      <c r="B173" s="38">
        <v>7</v>
      </c>
      <c r="C173" s="38" t="s">
        <v>379</v>
      </c>
      <c r="D173" s="188">
        <f>opex_orig!D173</f>
        <v>0</v>
      </c>
      <c r="E173" s="188">
        <f>opex_orig!E173</f>
        <v>0</v>
      </c>
      <c r="F173" s="188">
        <f>opex_orig!F173</f>
        <v>0</v>
      </c>
      <c r="G173" s="188">
        <f>opex_orig!G173</f>
        <v>0</v>
      </c>
      <c r="H173" s="188">
        <f>opex_orig!H173</f>
        <v>0</v>
      </c>
      <c r="I173" s="188">
        <f>opex_orig!I173</f>
        <v>0</v>
      </c>
      <c r="J173" s="188">
        <f>opex_orig!J173</f>
        <v>0</v>
      </c>
      <c r="K173" s="188">
        <f>opex_orig!K173</f>
        <v>0</v>
      </c>
      <c r="L173" s="188">
        <f>opex_orig!L173</f>
        <v>0</v>
      </c>
      <c r="M173" s="188">
        <f>opex_orig!M173</f>
        <v>0</v>
      </c>
      <c r="N173" s="188">
        <f>opex_orig!N173</f>
        <v>0</v>
      </c>
      <c r="O173" s="188">
        <f>opex_orig!O173</f>
        <v>0</v>
      </c>
      <c r="P173" s="188">
        <f>opex_orig!P173</f>
        <v>0</v>
      </c>
      <c r="Q173" s="188">
        <f>opex_orig!Q173</f>
        <v>0</v>
      </c>
      <c r="R173" s="188">
        <f>opex_orig!R173</f>
        <v>0</v>
      </c>
      <c r="S173" s="188">
        <f>opex_orig!S173</f>
        <v>0</v>
      </c>
      <c r="T173" s="188">
        <f>opex_orig!T173</f>
        <v>0</v>
      </c>
      <c r="U173" s="188">
        <f>opex_orig!U173</f>
        <v>0</v>
      </c>
      <c r="V173" s="188">
        <f>opex_orig!V173</f>
        <v>0</v>
      </c>
      <c r="W173" s="188">
        <f>opex_orig!W173</f>
        <v>0</v>
      </c>
      <c r="X173" s="188">
        <f>opex_orig!X173</f>
        <v>0</v>
      </c>
      <c r="Y173" s="188">
        <f>opex_orig!Y173</f>
        <v>0</v>
      </c>
      <c r="Z173" s="188">
        <f>opex_orig!Z173</f>
        <v>0</v>
      </c>
      <c r="AA173" s="188">
        <f>opex_orig!AA173</f>
        <v>0</v>
      </c>
      <c r="AB173" s="188">
        <f>opex_orig!$AB173</f>
        <v>0</v>
      </c>
      <c r="AC173" s="188">
        <f>opex_orig!$AB173</f>
        <v>0</v>
      </c>
      <c r="AD173" s="188">
        <f>opex_orig!$AB173</f>
        <v>0</v>
      </c>
      <c r="AE173" s="188">
        <f>opex_orig!$AC173</f>
        <v>0</v>
      </c>
      <c r="AF173" s="188">
        <f>opex_orig!$AD173</f>
        <v>0</v>
      </c>
      <c r="AG173" s="188">
        <f>opex_orig!$AD173</f>
        <v>0</v>
      </c>
      <c r="AH173" s="188">
        <f>opex_orig!$AD173</f>
        <v>0</v>
      </c>
      <c r="AI173" s="188">
        <f>opex_orig!AE173</f>
        <v>0</v>
      </c>
      <c r="AJ173" s="188">
        <f>opex_orig!AF173</f>
        <v>0</v>
      </c>
      <c r="AK173" s="188">
        <f>opex_orig!AG173</f>
        <v>0</v>
      </c>
      <c r="AL173" s="188">
        <f>opex_orig!AH173</f>
        <v>0</v>
      </c>
      <c r="AM173" s="188">
        <f>opex_orig!AI173</f>
        <v>0</v>
      </c>
      <c r="AN173" s="188">
        <f>opex_orig!AJ173</f>
        <v>0</v>
      </c>
      <c r="AO173" s="188">
        <f>opex_orig!AK173</f>
        <v>0</v>
      </c>
      <c r="AP173" s="188">
        <f>opex_orig!$AL173</f>
        <v>0</v>
      </c>
      <c r="AQ173" s="188">
        <f>opex_orig!$AL173</f>
        <v>0</v>
      </c>
      <c r="AR173" s="188">
        <f>opex_orig!$AL173</f>
        <v>0</v>
      </c>
      <c r="AS173" s="188">
        <f>opex_orig!$AM173</f>
        <v>0</v>
      </c>
      <c r="AT173" s="188">
        <f>opex_orig!AN173</f>
        <v>0</v>
      </c>
      <c r="AU173" s="188">
        <f>opex_orig!$AO173</f>
        <v>0</v>
      </c>
      <c r="AV173" s="188">
        <f>opex_orig!$AO173</f>
        <v>0</v>
      </c>
      <c r="AW173" s="188">
        <f>opex_orig!$AO173</f>
        <v>0</v>
      </c>
      <c r="AX173" s="188">
        <f>opex_orig!$AP173</f>
        <v>0</v>
      </c>
      <c r="AY173" s="188">
        <f>opex_orig!AQ173</f>
        <v>0</v>
      </c>
      <c r="AZ173" s="188">
        <f>opex_orig!AR173</f>
        <v>0</v>
      </c>
      <c r="BA173" s="188">
        <f>opex_orig!AS173</f>
        <v>0</v>
      </c>
      <c r="BB173" s="188">
        <f>opex_orig!AT173</f>
        <v>0</v>
      </c>
      <c r="BC173" s="188">
        <f>opex_orig!AU173</f>
        <v>0</v>
      </c>
      <c r="BD173" s="188">
        <f>opex_orig!AV173</f>
        <v>0</v>
      </c>
      <c r="BE173" s="188">
        <f>opex_orig!AW173</f>
        <v>0</v>
      </c>
      <c r="BF173" s="188">
        <f>opex_orig!AX173</f>
        <v>0</v>
      </c>
      <c r="BG173" s="188">
        <f>opex_orig!AY173</f>
        <v>0</v>
      </c>
      <c r="BH173" s="188">
        <f>opex_orig!AZ173</f>
        <v>0</v>
      </c>
      <c r="BI173" s="188">
        <f>opex_orig!BA173</f>
        <v>0</v>
      </c>
      <c r="BJ173" s="188">
        <f>opex_orig!BB173</f>
        <v>0</v>
      </c>
      <c r="BK173" s="188">
        <f>opex_orig!BC173</f>
        <v>0</v>
      </c>
      <c r="BL173" s="188">
        <f>opex_orig!BD173</f>
        <v>0</v>
      </c>
      <c r="BM173" s="188">
        <f>opex_orig!BE173</f>
        <v>0</v>
      </c>
      <c r="BN173" s="188">
        <f>opex_orig!BF173</f>
        <v>0</v>
      </c>
      <c r="BO173" s="188">
        <f>opex_orig!BG173</f>
        <v>0</v>
      </c>
      <c r="BP173" s="188">
        <f>opex_orig!$BH173</f>
        <v>0</v>
      </c>
      <c r="BQ173" s="188">
        <f>opex_orig!$BH173</f>
        <v>0</v>
      </c>
      <c r="BR173" s="188">
        <f>opex_orig!BI173</f>
        <v>0</v>
      </c>
      <c r="BS173" s="188">
        <f>opex_orig!BJ173</f>
        <v>0</v>
      </c>
      <c r="BT173" s="188">
        <f>opex_orig!BK173</f>
        <v>0</v>
      </c>
      <c r="BU173" s="188">
        <f>opex_orig!BL173</f>
        <v>0</v>
      </c>
      <c r="BV173" s="27">
        <f>opex_orig!BM173</f>
        <v>0</v>
      </c>
      <c r="BW173" s="27">
        <f>opex_orig!BN173</f>
        <v>0</v>
      </c>
      <c r="BX173" s="27">
        <f>opex_orig!BO173</f>
        <v>0</v>
      </c>
      <c r="BY173" s="27">
        <f>opex_orig!BP173</f>
        <v>0</v>
      </c>
      <c r="BZ173" s="27">
        <f>opex_orig!BQ173</f>
        <v>0</v>
      </c>
      <c r="CA173" s="27">
        <f>opex_orig!BR173</f>
        <v>0</v>
      </c>
      <c r="CB173" s="27">
        <f>opex_orig!BS173</f>
        <v>0</v>
      </c>
      <c r="CC173" s="27">
        <f>opex_orig!BT173</f>
        <v>0</v>
      </c>
      <c r="CD173" s="27">
        <f>opex_orig!BU173</f>
        <v>0</v>
      </c>
      <c r="CE173" s="27">
        <f>opex_orig!BV173</f>
        <v>0</v>
      </c>
      <c r="CF173" s="27">
        <f>opex_orig!BW173</f>
        <v>0</v>
      </c>
      <c r="CG173" s="27">
        <f>opex_orig!BX173</f>
        <v>0</v>
      </c>
      <c r="CH173" s="27">
        <f>opex_orig!BY173</f>
        <v>0</v>
      </c>
      <c r="CI173" s="27">
        <f>opex_orig!BZ173</f>
        <v>0</v>
      </c>
      <c r="CJ173" s="27">
        <f>opex_orig!CA173</f>
        <v>0</v>
      </c>
      <c r="CK173" s="27">
        <f>opex_orig!CB173</f>
        <v>0</v>
      </c>
      <c r="CL173" s="27">
        <f>opex_orig!CC173</f>
        <v>0</v>
      </c>
      <c r="CM173" s="27">
        <f>opex_orig!CD173</f>
        <v>0</v>
      </c>
      <c r="CN173" s="27">
        <f>opex_orig!CE173</f>
        <v>0</v>
      </c>
      <c r="CO173" s="27">
        <f>opex_orig!CF173</f>
        <v>0</v>
      </c>
      <c r="CP173" s="27">
        <f>opex_orig!CG173</f>
        <v>0</v>
      </c>
    </row>
    <row r="174" spans="1:94" x14ac:dyDescent="0.25">
      <c r="A174" s="43" t="s">
        <v>377</v>
      </c>
      <c r="B174" s="43">
        <v>8</v>
      </c>
      <c r="C174" s="43" t="s">
        <v>379</v>
      </c>
      <c r="D174" s="188">
        <f>opex_orig!D174</f>
        <v>0</v>
      </c>
      <c r="E174" s="188">
        <f>opex_orig!E174</f>
        <v>0</v>
      </c>
      <c r="F174" s="188">
        <f>opex_orig!F174</f>
        <v>0</v>
      </c>
      <c r="G174" s="188">
        <f>opex_orig!G174</f>
        <v>0</v>
      </c>
      <c r="H174" s="188">
        <f>opex_orig!H174</f>
        <v>0</v>
      </c>
      <c r="I174" s="188">
        <f>opex_orig!I174</f>
        <v>0</v>
      </c>
      <c r="J174" s="188">
        <f>opex_orig!J174</f>
        <v>0</v>
      </c>
      <c r="K174" s="188">
        <f>opex_orig!K174</f>
        <v>0</v>
      </c>
      <c r="L174" s="188">
        <f>opex_orig!L174</f>
        <v>0</v>
      </c>
      <c r="M174" s="188">
        <f>opex_orig!M174</f>
        <v>0</v>
      </c>
      <c r="N174" s="188">
        <f>opex_orig!N174</f>
        <v>0</v>
      </c>
      <c r="O174" s="188">
        <f>opex_orig!O174</f>
        <v>0</v>
      </c>
      <c r="P174" s="188">
        <f>opex_orig!P174</f>
        <v>0</v>
      </c>
      <c r="Q174" s="188">
        <f>opex_orig!Q174</f>
        <v>0</v>
      </c>
      <c r="R174" s="188">
        <f>opex_orig!R174</f>
        <v>0</v>
      </c>
      <c r="S174" s="188">
        <f>opex_orig!S174</f>
        <v>0</v>
      </c>
      <c r="T174" s="188">
        <f>opex_orig!T174</f>
        <v>0</v>
      </c>
      <c r="U174" s="188">
        <f>opex_orig!U174</f>
        <v>0</v>
      </c>
      <c r="V174" s="188">
        <f>opex_orig!V174</f>
        <v>0</v>
      </c>
      <c r="W174" s="188">
        <f>opex_orig!W174</f>
        <v>0</v>
      </c>
      <c r="X174" s="188">
        <f>opex_orig!X174</f>
        <v>0</v>
      </c>
      <c r="Y174" s="188">
        <f>opex_orig!Y174</f>
        <v>0</v>
      </c>
      <c r="Z174" s="188">
        <f>opex_orig!Z174</f>
        <v>0</v>
      </c>
      <c r="AA174" s="188">
        <f>opex_orig!AA174</f>
        <v>0</v>
      </c>
      <c r="AB174" s="188">
        <f>opex_orig!$AB174</f>
        <v>0</v>
      </c>
      <c r="AC174" s="188">
        <f>opex_orig!$AB174</f>
        <v>0</v>
      </c>
      <c r="AD174" s="188">
        <f>opex_orig!$AB174</f>
        <v>0</v>
      </c>
      <c r="AE174" s="188">
        <f>opex_orig!$AC174</f>
        <v>0</v>
      </c>
      <c r="AF174" s="188">
        <f>opex_orig!$AD174</f>
        <v>0</v>
      </c>
      <c r="AG174" s="188">
        <f>opex_orig!$AD174</f>
        <v>0</v>
      </c>
      <c r="AH174" s="188">
        <f>opex_orig!$AD174</f>
        <v>0</v>
      </c>
      <c r="AI174" s="188">
        <f>opex_orig!AE174</f>
        <v>0</v>
      </c>
      <c r="AJ174" s="188">
        <f>opex_orig!AF174</f>
        <v>0</v>
      </c>
      <c r="AK174" s="188">
        <f>opex_orig!AG174</f>
        <v>0</v>
      </c>
      <c r="AL174" s="188">
        <f>opex_orig!AH174</f>
        <v>0</v>
      </c>
      <c r="AM174" s="188">
        <f>opex_orig!AI174</f>
        <v>0</v>
      </c>
      <c r="AN174" s="188">
        <f>opex_orig!AJ174</f>
        <v>0</v>
      </c>
      <c r="AO174" s="188">
        <f>opex_orig!AK174</f>
        <v>0</v>
      </c>
      <c r="AP174" s="188">
        <f>opex_orig!$AL174</f>
        <v>0</v>
      </c>
      <c r="AQ174" s="188">
        <f>opex_orig!$AL174</f>
        <v>0</v>
      </c>
      <c r="AR174" s="188">
        <f>opex_orig!$AL174</f>
        <v>0</v>
      </c>
      <c r="AS174" s="188">
        <f>opex_orig!$AM174</f>
        <v>0</v>
      </c>
      <c r="AT174" s="188">
        <f>opex_orig!AN174</f>
        <v>0</v>
      </c>
      <c r="AU174" s="188">
        <f>opex_orig!$AO174</f>
        <v>0</v>
      </c>
      <c r="AV174" s="188">
        <f>opex_orig!$AO174</f>
        <v>0</v>
      </c>
      <c r="AW174" s="188">
        <f>opex_orig!$AO174</f>
        <v>0</v>
      </c>
      <c r="AX174" s="188">
        <f>opex_orig!$AP174</f>
        <v>0</v>
      </c>
      <c r="AY174" s="188">
        <f>opex_orig!AQ174</f>
        <v>0</v>
      </c>
      <c r="AZ174" s="188">
        <f>opex_orig!AR174</f>
        <v>0</v>
      </c>
      <c r="BA174" s="188">
        <f>opex_orig!AS174</f>
        <v>0</v>
      </c>
      <c r="BB174" s="188">
        <f>opex_orig!AT174</f>
        <v>0</v>
      </c>
      <c r="BC174" s="188">
        <f>opex_orig!AU174</f>
        <v>0</v>
      </c>
      <c r="BD174" s="188">
        <f>opex_orig!AV174</f>
        <v>0</v>
      </c>
      <c r="BE174" s="188">
        <f>opex_orig!AW174</f>
        <v>0</v>
      </c>
      <c r="BF174" s="188">
        <f>opex_orig!AX174</f>
        <v>0</v>
      </c>
      <c r="BG174" s="188">
        <f>opex_orig!AY174</f>
        <v>0</v>
      </c>
      <c r="BH174" s="188">
        <f>opex_orig!AZ174</f>
        <v>0</v>
      </c>
      <c r="BI174" s="188">
        <f>opex_orig!BA174</f>
        <v>0</v>
      </c>
      <c r="BJ174" s="188">
        <f>opex_orig!BB174</f>
        <v>0</v>
      </c>
      <c r="BK174" s="188">
        <f>opex_orig!BC174</f>
        <v>0</v>
      </c>
      <c r="BL174" s="188">
        <f>opex_orig!BD174</f>
        <v>0</v>
      </c>
      <c r="BM174" s="188">
        <f>opex_orig!BE174</f>
        <v>0</v>
      </c>
      <c r="BN174" s="188">
        <f>opex_orig!BF174</f>
        <v>0</v>
      </c>
      <c r="BO174" s="188">
        <f>opex_orig!BG174</f>
        <v>0</v>
      </c>
      <c r="BP174" s="188">
        <f>opex_orig!$BH174</f>
        <v>0</v>
      </c>
      <c r="BQ174" s="188">
        <f>opex_orig!$BH174</f>
        <v>0</v>
      </c>
      <c r="BR174" s="188">
        <f>opex_orig!BI174</f>
        <v>0</v>
      </c>
      <c r="BS174" s="188">
        <f>opex_orig!BJ174</f>
        <v>0</v>
      </c>
      <c r="BT174" s="188">
        <f>opex_orig!BK174</f>
        <v>0</v>
      </c>
      <c r="BU174" s="188">
        <f>opex_orig!BL174</f>
        <v>0</v>
      </c>
      <c r="BV174" s="27">
        <f>opex_orig!BM174</f>
        <v>0</v>
      </c>
      <c r="BW174" s="27">
        <f>opex_orig!BN174</f>
        <v>0</v>
      </c>
      <c r="BX174" s="27">
        <f>opex_orig!BO174</f>
        <v>0</v>
      </c>
      <c r="BY174" s="27">
        <f>opex_orig!BP174</f>
        <v>0</v>
      </c>
      <c r="BZ174" s="27">
        <f>opex_orig!BQ174</f>
        <v>0</v>
      </c>
      <c r="CA174" s="27">
        <f>opex_orig!BR174</f>
        <v>0</v>
      </c>
      <c r="CB174" s="27">
        <f>opex_orig!BS174</f>
        <v>0</v>
      </c>
      <c r="CC174" s="27">
        <f>opex_orig!BT174</f>
        <v>0</v>
      </c>
      <c r="CD174" s="27">
        <f>opex_orig!BU174</f>
        <v>0</v>
      </c>
      <c r="CE174" s="27">
        <f>opex_orig!BV174</f>
        <v>0</v>
      </c>
      <c r="CF174" s="27">
        <f>opex_orig!BW174</f>
        <v>0</v>
      </c>
      <c r="CG174" s="27">
        <f>opex_orig!BX174</f>
        <v>0</v>
      </c>
      <c r="CH174" s="27">
        <f>opex_orig!BY174</f>
        <v>0</v>
      </c>
      <c r="CI174" s="27">
        <f>opex_orig!BZ174</f>
        <v>0</v>
      </c>
      <c r="CJ174" s="27">
        <f>opex_orig!CA174</f>
        <v>0</v>
      </c>
      <c r="CK174" s="27">
        <f>opex_orig!CB174</f>
        <v>0</v>
      </c>
      <c r="CL174" s="27">
        <f>opex_orig!CC174</f>
        <v>0</v>
      </c>
      <c r="CM174" s="27">
        <f>opex_orig!CD174</f>
        <v>0</v>
      </c>
      <c r="CN174" s="27">
        <f>opex_orig!CE174</f>
        <v>0</v>
      </c>
      <c r="CO174" s="27">
        <f>opex_orig!CF174</f>
        <v>0</v>
      </c>
      <c r="CP174" s="27">
        <f>opex_orig!CG174</f>
        <v>0</v>
      </c>
    </row>
    <row r="175" spans="1:94" x14ac:dyDescent="0.25">
      <c r="A175" s="43" t="s">
        <v>378</v>
      </c>
      <c r="B175" s="43">
        <v>9</v>
      </c>
      <c r="C175" s="43" t="s">
        <v>379</v>
      </c>
      <c r="D175" s="188">
        <f>opex_orig!D175</f>
        <v>3.0952513000000001E-2</v>
      </c>
      <c r="E175" s="188">
        <f>opex_orig!E175</f>
        <v>5.0094341000000001E-2</v>
      </c>
      <c r="F175" s="188">
        <f>opex_orig!F175</f>
        <v>0.38141762899999998</v>
      </c>
      <c r="G175" s="188">
        <f>opex_orig!G175</f>
        <v>0.83545048799999999</v>
      </c>
      <c r="H175" s="188">
        <f>opex_orig!H175</f>
        <v>1.0747684E-2</v>
      </c>
      <c r="I175" s="188">
        <f>opex_orig!I175</f>
        <v>2.5513395000000001E-2</v>
      </c>
      <c r="J175" s="188">
        <f>opex_orig!J175</f>
        <v>5.2844174000000001E-2</v>
      </c>
      <c r="K175" s="188">
        <f>opex_orig!K175</f>
        <v>7.2142815999999998E-2</v>
      </c>
      <c r="L175" s="188">
        <f>opex_orig!L175</f>
        <v>2.7349254E-2</v>
      </c>
      <c r="M175" s="188">
        <f>opex_orig!M175</f>
        <v>3.2233487999999998E-2</v>
      </c>
      <c r="N175" s="188">
        <f>opex_orig!N175</f>
        <v>1.6662318999999998E-2</v>
      </c>
      <c r="O175" s="188">
        <f>opex_orig!O175</f>
        <v>0.13487027200000001</v>
      </c>
      <c r="P175" s="188">
        <f>opex_orig!P175</f>
        <v>5.4126549000000003E-2</v>
      </c>
      <c r="Q175" s="188">
        <f>opex_orig!Q175</f>
        <v>6.0455898000000001E-2</v>
      </c>
      <c r="R175" s="188">
        <f>opex_orig!R175</f>
        <v>3.1493156000000001E-2</v>
      </c>
      <c r="S175" s="188">
        <f>opex_orig!S175</f>
        <v>8.9304930000000005E-2</v>
      </c>
      <c r="T175" s="188">
        <f>opex_orig!T175</f>
        <v>0.102393532</v>
      </c>
      <c r="U175" s="188">
        <f>opex_orig!U175</f>
        <v>3.8400761999999998E-2</v>
      </c>
      <c r="V175" s="188">
        <f>opex_orig!V175</f>
        <v>5.3421637000000001E-2</v>
      </c>
      <c r="W175" s="188">
        <f>opex_orig!W175</f>
        <v>3.0294115999999999E-2</v>
      </c>
      <c r="X175" s="188">
        <f>opex_orig!X175</f>
        <v>0.11061180900000001</v>
      </c>
      <c r="Y175" s="188">
        <f>opex_orig!Y175</f>
        <v>-3.8496114999999997E-2</v>
      </c>
      <c r="Z175" s="188">
        <f>opex_orig!Z175</f>
        <v>-9.9263460000000008E-3</v>
      </c>
      <c r="AA175" s="188">
        <f>opex_orig!AA175</f>
        <v>-2.1740316999999999E-2</v>
      </c>
      <c r="AB175" s="188">
        <f>opex_orig!$AB175</f>
        <v>1.5677574550000201E-2</v>
      </c>
      <c r="AC175" s="188">
        <f>opex_orig!$AB175</f>
        <v>1.5677574550000201E-2</v>
      </c>
      <c r="AD175" s="188">
        <f>opex_orig!$AB175</f>
        <v>1.5677574550000201E-2</v>
      </c>
      <c r="AE175" s="188">
        <f>opex_orig!$AC175</f>
        <v>6.5654605634915E-2</v>
      </c>
      <c r="AF175" s="188">
        <f>opex_orig!$AD175</f>
        <v>0.16308611079326399</v>
      </c>
      <c r="AG175" s="188">
        <f>opex_orig!$AD175</f>
        <v>0.16308611079326399</v>
      </c>
      <c r="AH175" s="188">
        <f>opex_orig!$AD175</f>
        <v>0.16308611079326399</v>
      </c>
      <c r="AI175" s="188">
        <f>opex_orig!AE175</f>
        <v>0.173500398</v>
      </c>
      <c r="AJ175" s="188">
        <f>opex_orig!AF175</f>
        <v>6.8790061E-2</v>
      </c>
      <c r="AK175" s="188">
        <f>opex_orig!AG175</f>
        <v>0.14811727199999999</v>
      </c>
      <c r="AL175" s="188">
        <f>opex_orig!AH175</f>
        <v>6.3215387999999997E-2</v>
      </c>
      <c r="AM175" s="188">
        <f>opex_orig!AI175</f>
        <v>0.12758918499999999</v>
      </c>
      <c r="AN175" s="188">
        <f>opex_orig!AJ175</f>
        <v>4.7831307000000003E-2</v>
      </c>
      <c r="AO175" s="188">
        <f>opex_orig!AK175</f>
        <v>5.4951398999999998E-2</v>
      </c>
      <c r="AP175" s="188">
        <f>opex_orig!$AL175</f>
        <v>6.36384671503607E-2</v>
      </c>
      <c r="AQ175" s="188">
        <f>opex_orig!$AL175</f>
        <v>6.36384671503607E-2</v>
      </c>
      <c r="AR175" s="188">
        <f>opex_orig!$AL175</f>
        <v>6.36384671503607E-2</v>
      </c>
      <c r="AS175" s="188">
        <f>opex_orig!$AM175</f>
        <v>6.3690313630891102E-2</v>
      </c>
      <c r="AT175" s="188">
        <f>opex_orig!AN175</f>
        <v>9.2028012000000006E-2</v>
      </c>
      <c r="AU175" s="188">
        <f>opex_orig!$AO175</f>
        <v>2.64411298464235E-3</v>
      </c>
      <c r="AV175" s="188">
        <f>opex_orig!$AO175</f>
        <v>2.64411298464235E-3</v>
      </c>
      <c r="AW175" s="188">
        <f>opex_orig!$AO175</f>
        <v>2.64411298464235E-3</v>
      </c>
      <c r="AX175" s="188">
        <f>opex_orig!$AP175</f>
        <v>3.4945324240890901E-3</v>
      </c>
      <c r="AY175" s="188">
        <f>opex_orig!AQ175</f>
        <v>7.9759399999999999E-4</v>
      </c>
      <c r="AZ175" s="188">
        <f>opex_orig!AR175</f>
        <v>0</v>
      </c>
      <c r="BA175" s="188">
        <f>opex_orig!AS175</f>
        <v>1.8598600000000001E-3</v>
      </c>
      <c r="BB175" s="188">
        <f>opex_orig!AT175</f>
        <v>2.1140210000000002E-3</v>
      </c>
      <c r="BC175" s="188">
        <f>opex_orig!AU175</f>
        <v>6.1204200000000003E-4</v>
      </c>
      <c r="BD175" s="188">
        <f>opex_orig!AV175</f>
        <v>5.7530600000000004E-4</v>
      </c>
      <c r="BE175" s="188">
        <f>opex_orig!AW175</f>
        <v>1.2907439999999999E-3</v>
      </c>
      <c r="BF175" s="188">
        <f>opex_orig!AX175</f>
        <v>0</v>
      </c>
      <c r="BG175" s="188">
        <f>opex_orig!AY175</f>
        <v>2.5342600000000001E-4</v>
      </c>
      <c r="BH175" s="188">
        <f>opex_orig!AZ175</f>
        <v>0</v>
      </c>
      <c r="BI175" s="188">
        <f>opex_orig!BA175</f>
        <v>3.1777999999999998E-4</v>
      </c>
      <c r="BJ175" s="188">
        <f>opex_orig!BB175</f>
        <v>9.3027401999999995E-2</v>
      </c>
      <c r="BK175" s="188">
        <f>opex_orig!BC175</f>
        <v>7.6691798000000005E-2</v>
      </c>
      <c r="BL175" s="188">
        <f>opex_orig!BD175</f>
        <v>1.372912E-3</v>
      </c>
      <c r="BM175" s="188">
        <f>opex_orig!BE175</f>
        <v>7.7889587999999996E-2</v>
      </c>
      <c r="BN175" s="188">
        <f>opex_orig!BF175</f>
        <v>2.9870790000000001E-2</v>
      </c>
      <c r="BO175" s="188">
        <f>opex_orig!BG175</f>
        <v>0.13532033199999999</v>
      </c>
      <c r="BP175" s="189">
        <f>opex_concordance!M115</f>
        <v>8.5293908050613348E-2</v>
      </c>
      <c r="BQ175" s="189">
        <f>opex_concordance!M158</f>
        <v>7.3121487331764143E-2</v>
      </c>
      <c r="BR175" s="188">
        <f>opex_orig!BI175</f>
        <v>0.15978751199999999</v>
      </c>
      <c r="BS175" s="188">
        <f>opex_orig!BJ175</f>
        <v>0.12379754699999999</v>
      </c>
      <c r="BT175" s="188">
        <f>opex_orig!BK175</f>
        <v>0.119477341</v>
      </c>
      <c r="BU175" s="188">
        <f>opex_orig!BL175</f>
        <v>0</v>
      </c>
      <c r="BV175" s="27">
        <f>opex_orig!BM175</f>
        <v>0.14009712470071001</v>
      </c>
      <c r="BW175" s="27">
        <f>opex_orig!BN175</f>
        <v>0.234836223813777</v>
      </c>
      <c r="BX175" s="27">
        <f>opex_orig!BO175</f>
        <v>0.488338162635226</v>
      </c>
      <c r="BY175" s="27">
        <f>opex_orig!BP175</f>
        <v>0.32230837156694397</v>
      </c>
      <c r="BZ175" s="27">
        <f>opex_orig!BQ175</f>
        <v>0.31460392943249899</v>
      </c>
      <c r="CA175" s="27">
        <f>opex_orig!BR175</f>
        <v>0.297465391113024</v>
      </c>
      <c r="CB175" s="27">
        <f>opex_orig!BS175</f>
        <v>0.13662292856663799</v>
      </c>
      <c r="CC175" s="27">
        <f>opex_orig!BT175</f>
        <v>2.1511488365284302E-2</v>
      </c>
      <c r="CD175" s="27">
        <f>opex_orig!BU175</f>
        <v>0.333059271095485</v>
      </c>
      <c r="CE175" s="27">
        <f>opex_orig!BV175</f>
        <v>0.333059271095486</v>
      </c>
      <c r="CF175" s="27">
        <f>opex_orig!BW175</f>
        <v>6.2830168609727594E-2</v>
      </c>
      <c r="CG175" s="27">
        <f>opex_orig!BX175</f>
        <v>3.7523160432135299E-3</v>
      </c>
      <c r="CH175" s="27">
        <f>opex_orig!BY175</f>
        <v>1.75365994254091E-3</v>
      </c>
      <c r="CI175" s="27">
        <f>opex_orig!BZ175</f>
        <v>0.40122091700000001</v>
      </c>
      <c r="CJ175" s="27">
        <f>opex_orig!CA175</f>
        <v>0.35421503700000001</v>
      </c>
      <c r="CK175" s="27">
        <f>opex_orig!CB175</f>
        <v>0.37755069699999999</v>
      </c>
      <c r="CL175" s="27">
        <f>opex_orig!CC175</f>
        <v>9.7344134999999998E-2</v>
      </c>
      <c r="CM175" s="27">
        <f>opex_orig!CD175</f>
        <v>0.24967217899999999</v>
      </c>
      <c r="CN175" s="27">
        <f>opex_orig!CE175</f>
        <v>8.7914087000000002E-2</v>
      </c>
      <c r="CO175" s="27">
        <f>opex_orig!CF175</f>
        <v>0.13882391199999999</v>
      </c>
      <c r="CP175" s="27">
        <f>opex_orig!CG175</f>
        <v>0.50646185499999996</v>
      </c>
    </row>
    <row r="176" spans="1:94" x14ac:dyDescent="0.25">
      <c r="A176" s="4" t="s">
        <v>1068</v>
      </c>
      <c r="B176" s="355">
        <v>10</v>
      </c>
      <c r="C176" s="1" t="s">
        <v>1074</v>
      </c>
      <c r="D176" s="462">
        <f>labcap_calc!N337</f>
        <v>1.4998066666666667E-4</v>
      </c>
      <c r="E176" s="462">
        <f>labcap_calc!N348</f>
        <v>2.8283533333333332E-4</v>
      </c>
      <c r="F176" s="462">
        <f>labcap_calc!N359</f>
        <v>8.9748666666666663E-5</v>
      </c>
      <c r="G176" s="462">
        <f>labcap_calc!N370</f>
        <v>3.173333333333333E-5</v>
      </c>
      <c r="H176" s="462">
        <f>labcap_calc!N381</f>
        <v>1.1665933333333332E-3</v>
      </c>
      <c r="I176" s="462">
        <f>labcap_calc!N392</f>
        <v>1.5678666666666665E-4</v>
      </c>
      <c r="J176" s="462">
        <f>labcap_calc!N403</f>
        <v>2.0752333333333333E-4</v>
      </c>
      <c r="K176" s="462">
        <f>labcap_calc!N414</f>
        <v>5.8254199999999991E-4</v>
      </c>
      <c r="L176" s="462">
        <f>labcap_calc!N425</f>
        <v>1.6241266666666666E-4</v>
      </c>
      <c r="M176" s="462">
        <f>labcap_calc!N436</f>
        <v>1.8917466666666666E-4</v>
      </c>
      <c r="N176" s="462">
        <f>labcap_calc!N447</f>
        <v>1.1647200000000001E-4</v>
      </c>
      <c r="O176" s="462">
        <f>labcap_calc!N458</f>
        <v>1.0818999999999999E-4</v>
      </c>
      <c r="P176" s="462">
        <f>labcap_calc!N469</f>
        <v>1.70514E-4</v>
      </c>
      <c r="Q176" s="462">
        <f>labcap_calc!N480</f>
        <v>5.6133333333333333E-5</v>
      </c>
      <c r="R176" s="462">
        <f>labcap_calc!N491</f>
        <v>1.2067666666666666E-4</v>
      </c>
      <c r="S176" s="462">
        <f>labcap_calc!N502</f>
        <v>4.5217666666666668E-4</v>
      </c>
      <c r="T176" s="462">
        <f>labcap_calc!N513</f>
        <v>5.0892466666666665E-4</v>
      </c>
      <c r="U176" s="462">
        <f>labcap_calc!N524</f>
        <v>1.8975399999999999E-4</v>
      </c>
      <c r="V176" s="462">
        <f>labcap_calc!N535</f>
        <v>2.1055666666666665E-4</v>
      </c>
      <c r="W176" s="462">
        <f>labcap_calc!N546</f>
        <v>1.1449E-4</v>
      </c>
      <c r="X176" s="462">
        <f>labcap_calc!N557</f>
        <v>1.5269533333333332E-4</v>
      </c>
      <c r="Y176" s="462">
        <f>labcap_calc!N568</f>
        <v>5.2800000000000003E-6</v>
      </c>
      <c r="Z176" s="462">
        <f>labcap_calc!N579</f>
        <v>3.0466666666666664E-5</v>
      </c>
      <c r="AA176" s="462">
        <f>labcap_calc!N590</f>
        <v>5.0666666666666667E-5</v>
      </c>
      <c r="AB176" s="370">
        <f>labcap_calc!N172</f>
        <v>3.5183436749789635E-3</v>
      </c>
      <c r="AC176" s="370">
        <f>labcap_calc!N183</f>
        <v>3.5183436749789635E-3</v>
      </c>
      <c r="AD176" s="370">
        <f>labcap_calc!N194</f>
        <v>3.5183436749789635E-3</v>
      </c>
      <c r="AE176" s="370">
        <f>labcap_calc!N205</f>
        <v>3.7596645952212133E-3</v>
      </c>
      <c r="AF176" s="370">
        <f>labcap_calc!N216</f>
        <v>2.247130305000958E-4</v>
      </c>
      <c r="AG176" s="370">
        <f>labcap_calc!N227</f>
        <v>2.247130305000958E-4</v>
      </c>
      <c r="AH176" s="370">
        <f>labcap_calc!N238</f>
        <v>2.247130305000958E-4</v>
      </c>
      <c r="AI176" s="462">
        <f>labcap_calc!N601</f>
        <v>2.1327866666666665E-4</v>
      </c>
      <c r="AJ176" s="462">
        <f>labcap_calc!N612</f>
        <v>1.4562866666666666E-4</v>
      </c>
      <c r="AK176" s="462">
        <f>labcap_calc!N623</f>
        <v>1.7080199999999998E-4</v>
      </c>
      <c r="AL176" s="462">
        <f>labcap_calc!N634</f>
        <v>1.7302733333333334E-4</v>
      </c>
      <c r="AM176" s="462">
        <f>labcap_calc!N645</f>
        <v>3.5216066666666666E-4</v>
      </c>
      <c r="AN176" s="462">
        <f>labcap_calc!N656</f>
        <v>3.8139199999999998E-4</v>
      </c>
      <c r="AO176" s="462">
        <f>labcap_calc!N667</f>
        <v>2.8237533333333334E-4</v>
      </c>
      <c r="AP176" s="370">
        <f>labcap_calc!N249</f>
        <v>4.210986692541027E-5</v>
      </c>
      <c r="AQ176" s="370">
        <f>labcap_calc!N260</f>
        <v>4.210986692541027E-5</v>
      </c>
      <c r="AR176" s="370">
        <f>labcap_calc!N271</f>
        <v>4.210986692541027E-5</v>
      </c>
      <c r="AS176" s="370">
        <f>labcap_calc!N282</f>
        <v>4.2031875368733681E-5</v>
      </c>
      <c r="AT176" s="462">
        <f>labcap_calc!N678</f>
        <v>2.8360599999999999E-4</v>
      </c>
      <c r="AU176" s="370">
        <f>labcap_calc!N293</f>
        <v>2.6473588754011626E-4</v>
      </c>
      <c r="AV176" s="370">
        <f>labcap_calc!N304</f>
        <v>2.6473588754011626E-4</v>
      </c>
      <c r="AW176" s="370">
        <f>labcap_calc!N315</f>
        <v>2.6473588754011626E-4</v>
      </c>
      <c r="AX176" s="370">
        <f>labcap_calc!N326</f>
        <v>2.628113781144491E-4</v>
      </c>
      <c r="AY176" s="462">
        <f>labcap_calc!N689</f>
        <v>1.1664933333333332E-4</v>
      </c>
      <c r="AZ176" s="462">
        <f>labcap_calc!N700</f>
        <v>0</v>
      </c>
      <c r="BA176" s="462">
        <f>labcap_calc!N711</f>
        <v>1.6862266666666667E-4</v>
      </c>
      <c r="BB176" s="462">
        <f>labcap_calc!N722</f>
        <v>1.8558933333333332E-4</v>
      </c>
      <c r="BC176" s="462">
        <f>labcap_calc!N733</f>
        <v>2.0450933333333334E-4</v>
      </c>
      <c r="BD176" s="462">
        <f>labcap_calc!N744</f>
        <v>2.1445333333333335E-4</v>
      </c>
      <c r="BE176" s="462">
        <f>labcap_calc!N755</f>
        <v>2.1486933333333331E-4</v>
      </c>
      <c r="BF176" s="462">
        <f>labcap_calc!N766</f>
        <v>0</v>
      </c>
      <c r="BG176" s="462">
        <f>labcap_calc!N777</f>
        <v>5.7466666666666663E-5</v>
      </c>
      <c r="BH176" s="462">
        <f>labcap_calc!N788</f>
        <v>0</v>
      </c>
      <c r="BI176" s="462">
        <f>labcap_calc!N799</f>
        <v>2.0820266666666666E-4</v>
      </c>
      <c r="BJ176" s="462">
        <f>labcap_calc!N810</f>
        <v>3.8001799999999998E-4</v>
      </c>
      <c r="BK176" s="462">
        <f>labcap_calc!N821</f>
        <v>2.1317066666666663E-4</v>
      </c>
      <c r="BL176" s="462">
        <f>labcap_calc!N832</f>
        <v>2.5333333333333334E-5</v>
      </c>
      <c r="BM176" s="462">
        <f>labcap_calc!N843</f>
        <v>1.4002733333333333E-4</v>
      </c>
      <c r="BN176" s="462">
        <f>labcap_calc!N854</f>
        <v>5.2066666666666667E-5</v>
      </c>
      <c r="BO176" s="462">
        <f>labcap_calc!N865</f>
        <v>1.2834933333333331E-4</v>
      </c>
      <c r="BP176" s="370">
        <f>labcap_calc!N150</f>
        <v>1.9856621370436286E-4</v>
      </c>
      <c r="BQ176" s="370">
        <f>labcap_calc!N161</f>
        <v>1.9856621370436286E-4</v>
      </c>
      <c r="BR176" s="462">
        <f>labcap_calc!N876</f>
        <v>2.6537933333333332E-4</v>
      </c>
      <c r="BS176" s="462">
        <f>labcap_calc!N887</f>
        <v>5.0343799999999993E-4</v>
      </c>
      <c r="BT176" s="462">
        <f>labcap_calc!N898</f>
        <v>0</v>
      </c>
      <c r="BU176" s="462">
        <f>labcap_calc!N909</f>
        <v>0</v>
      </c>
      <c r="BV176" s="465">
        <f>labcap_calc!N7</f>
        <v>7.2709826556507998E-6</v>
      </c>
      <c r="BW176" s="465">
        <f>labcap_calc!N18</f>
        <v>2.5764028838980865E-5</v>
      </c>
      <c r="BX176" s="465">
        <f>labcap_calc!N29</f>
        <v>2.5326428250558534E-5</v>
      </c>
      <c r="BY176" s="465">
        <f>labcap_calc!N40</f>
        <v>3.4870950041657997E-5</v>
      </c>
      <c r="BZ176" s="371">
        <f>labcap_calc!N51</f>
        <v>7.0065293106537997E-5</v>
      </c>
      <c r="CA176" s="465">
        <f>labcap_calc!N62</f>
        <v>3.0996343035420002E-5</v>
      </c>
      <c r="CB176" s="465">
        <f>labcap_calc!N73</f>
        <v>4.0070670585125265E-5</v>
      </c>
      <c r="CC176" s="371">
        <f>labcap_calc!N84</f>
        <v>1.0342713619920133E-5</v>
      </c>
      <c r="CD176" s="371">
        <f>labcap_calc!N95</f>
        <v>2.4031169001501734E-4</v>
      </c>
      <c r="CE176" s="371">
        <f>labcap_calc!N106</f>
        <v>5.094231284516026E-4</v>
      </c>
      <c r="CF176" s="465">
        <f>labcap_calc!N117</f>
        <v>3.6905068999365867E-4</v>
      </c>
      <c r="CG176" s="465">
        <f>labcap_calc!N128</f>
        <v>1.9068254885316599E-5</v>
      </c>
      <c r="CH176" s="465">
        <f>labcap_calc!N139</f>
        <v>8.4508166940222671E-6</v>
      </c>
      <c r="CI176" s="465">
        <f>labcap_calc!N920</f>
        <v>3.6866666666666664E-5</v>
      </c>
      <c r="CJ176" s="465">
        <f>labcap_calc!N931</f>
        <v>1.9666666666666666E-5</v>
      </c>
      <c r="CK176" s="465">
        <f>labcap_calc!N942</f>
        <v>2.2399999999999996E-5</v>
      </c>
      <c r="CL176" s="465">
        <f>labcap_calc!N953</f>
        <v>8.6666666666666661E-6</v>
      </c>
      <c r="CM176" s="465">
        <f>labcap_calc!N964</f>
        <v>3.7333333333333331E-5</v>
      </c>
      <c r="CN176" s="465">
        <f>labcap_calc!N975</f>
        <v>2.5966133333333333E-4</v>
      </c>
      <c r="CO176" s="465">
        <f>labcap_calc!N986</f>
        <v>4.0714333333333327E-4</v>
      </c>
      <c r="CP176" s="465">
        <f>labcap_calc!N997</f>
        <v>1.2639733333333332E-3</v>
      </c>
    </row>
    <row r="177" spans="1:94" x14ac:dyDescent="0.25">
      <c r="A177" s="4" t="s">
        <v>1069</v>
      </c>
      <c r="B177" s="355">
        <v>11</v>
      </c>
      <c r="C177" s="1" t="s">
        <v>1074</v>
      </c>
      <c r="D177" s="462">
        <f>labcap_calc!N338</f>
        <v>3.7291533333333335E-4</v>
      </c>
      <c r="E177" s="462">
        <f>labcap_calc!N349</f>
        <v>6.9295399999999997E-4</v>
      </c>
      <c r="F177" s="462">
        <f>labcap_calc!N360</f>
        <v>2.23716E-4</v>
      </c>
      <c r="G177" s="462">
        <f>labcap_calc!N371</f>
        <v>7.8284666666666666E-5</v>
      </c>
      <c r="H177" s="462">
        <f>labcap_calc!N382</f>
        <v>2.7347853333333332E-3</v>
      </c>
      <c r="I177" s="462">
        <f>labcap_calc!N393</f>
        <v>3.8305000000000001E-4</v>
      </c>
      <c r="J177" s="462">
        <f>labcap_calc!N404</f>
        <v>5.1980333333333326E-4</v>
      </c>
      <c r="K177" s="462">
        <f>labcap_calc!N415</f>
        <v>1.4049333333333333E-3</v>
      </c>
      <c r="L177" s="462">
        <f>labcap_calc!N426</f>
        <v>4.0036E-4</v>
      </c>
      <c r="M177" s="462">
        <f>labcap_calc!N437</f>
        <v>4.6609E-4</v>
      </c>
      <c r="N177" s="462">
        <f>labcap_calc!N448</f>
        <v>2.8342599999999998E-4</v>
      </c>
      <c r="O177" s="462">
        <f>labcap_calc!N459</f>
        <v>7.9620666666666668E-5</v>
      </c>
      <c r="P177" s="462">
        <f>labcap_calc!N470</f>
        <v>9.0869066666666662E-4</v>
      </c>
      <c r="Q177" s="462">
        <f>labcap_calc!N481</f>
        <v>1.2716946666666666E-3</v>
      </c>
      <c r="R177" s="462">
        <f>labcap_calc!N492</f>
        <v>6.8366400000000006E-4</v>
      </c>
      <c r="S177" s="462">
        <f>labcap_calc!N503</f>
        <v>2.960793333333333E-4</v>
      </c>
      <c r="T177" s="462">
        <f>labcap_calc!N514</f>
        <v>3.8070933333333334E-4</v>
      </c>
      <c r="U177" s="462">
        <f>labcap_calc!N525</f>
        <v>3.5270399999999996E-4</v>
      </c>
      <c r="V177" s="462">
        <f>labcap_calc!N536</f>
        <v>4.4293799999999998E-4</v>
      </c>
      <c r="W177" s="462">
        <f>labcap_calc!N547</f>
        <v>2.39292E-4</v>
      </c>
      <c r="X177" s="462">
        <f>labcap_calc!N558</f>
        <v>2.4253400000000001E-4</v>
      </c>
      <c r="Y177" s="462">
        <f>labcap_calc!N569</f>
        <v>4.6266666666666659E-6</v>
      </c>
      <c r="Z177" s="462">
        <f>labcap_calc!N580</f>
        <v>3.1333333333333327E-5</v>
      </c>
      <c r="AA177" s="462">
        <f>labcap_calc!N591</f>
        <v>6.1133333333333333E-5</v>
      </c>
      <c r="AB177" s="370">
        <f>labcap_calc!N173</f>
        <v>5.0440816605859745E-3</v>
      </c>
      <c r="AC177" s="370">
        <f>labcap_calc!N184</f>
        <v>5.0440816605859745E-3</v>
      </c>
      <c r="AD177" s="370">
        <f>labcap_calc!N195</f>
        <v>5.0440816605859745E-3</v>
      </c>
      <c r="AE177" s="370">
        <f>labcap_calc!N206</f>
        <v>4.8027607341386263E-3</v>
      </c>
      <c r="AF177" s="370">
        <f>labcap_calc!N217</f>
        <v>2.4424943022529938E-4</v>
      </c>
      <c r="AG177" s="370">
        <f>labcap_calc!N228</f>
        <v>2.4424943022529938E-4</v>
      </c>
      <c r="AH177" s="370">
        <f>labcap_calc!N239</f>
        <v>2.4424943022529938E-4</v>
      </c>
      <c r="AI177" s="462">
        <f>labcap_calc!N602</f>
        <v>2.5880199999999998E-4</v>
      </c>
      <c r="AJ177" s="462">
        <f>labcap_calc!N613</f>
        <v>1.5370666666666665E-4</v>
      </c>
      <c r="AK177" s="462">
        <f>labcap_calc!N624</f>
        <v>2.7620199999999997E-4</v>
      </c>
      <c r="AL177" s="462">
        <f>labcap_calc!N635</f>
        <v>2.4379666666666665E-4</v>
      </c>
      <c r="AM177" s="462">
        <f>labcap_calc!N646</f>
        <v>4.5626799999999996E-4</v>
      </c>
      <c r="AN177" s="462">
        <f>labcap_calc!N657</f>
        <v>5.0589199999999997E-4</v>
      </c>
      <c r="AO177" s="462">
        <f>labcap_calc!N668</f>
        <v>3.8031666666666665E-4</v>
      </c>
      <c r="AP177" s="370">
        <f>labcap_calc!N250</f>
        <v>5.3373069543697846E-5</v>
      </c>
      <c r="AQ177" s="370">
        <f>labcap_calc!N261</f>
        <v>5.3373069543697846E-5</v>
      </c>
      <c r="AR177" s="370">
        <f>labcap_calc!N272</f>
        <v>5.3373069543697846E-5</v>
      </c>
      <c r="AS177" s="370">
        <f>labcap_calc!N283</f>
        <v>5.3451060872099177E-5</v>
      </c>
      <c r="AT177" s="462">
        <f>labcap_calc!N679</f>
        <v>3.6986733333333328E-4</v>
      </c>
      <c r="AU177" s="370">
        <f>labcap_calc!N294</f>
        <v>1.312796255068188E-4</v>
      </c>
      <c r="AV177" s="370">
        <f>labcap_calc!N305</f>
        <v>1.312796255068188E-4</v>
      </c>
      <c r="AW177" s="370">
        <f>labcap_calc!N316</f>
        <v>1.312796255068188E-4</v>
      </c>
      <c r="AX177" s="370">
        <f>labcap_calc!N327</f>
        <v>1.3320413380148936E-4</v>
      </c>
      <c r="AY177" s="462">
        <f>labcap_calc!N690</f>
        <v>5.7733333333333332E-5</v>
      </c>
      <c r="AZ177" s="462">
        <f>labcap_calc!N701</f>
        <v>0</v>
      </c>
      <c r="BA177" s="462">
        <f>labcap_calc!N712</f>
        <v>7.2997999999999995E-5</v>
      </c>
      <c r="BB177" s="462">
        <f>labcap_calc!N723</f>
        <v>8.2176666666666662E-5</v>
      </c>
      <c r="BC177" s="462">
        <f>labcap_calc!N734</f>
        <v>1.1427333333333332E-4</v>
      </c>
      <c r="BD177" s="462">
        <f>labcap_calc!N745</f>
        <v>1.1878933333333332E-4</v>
      </c>
      <c r="BE177" s="462">
        <f>labcap_calc!N756</f>
        <v>9.5786666666666662E-5</v>
      </c>
      <c r="BF177" s="462">
        <f>labcap_calc!N767</f>
        <v>0</v>
      </c>
      <c r="BG177" s="462">
        <f>labcap_calc!N778</f>
        <v>2.5599999999999999E-5</v>
      </c>
      <c r="BH177" s="462">
        <f>labcap_calc!N789</f>
        <v>0</v>
      </c>
      <c r="BI177" s="462">
        <f>labcap_calc!N800</f>
        <v>1.1024466666666666E-4</v>
      </c>
      <c r="BJ177" s="462">
        <f>labcap_calc!N811</f>
        <v>2.44656E-4</v>
      </c>
      <c r="BK177" s="462">
        <f>labcap_calc!N822</f>
        <v>1.9637399999999997E-4</v>
      </c>
      <c r="BL177" s="462">
        <f>labcap_calc!N833</f>
        <v>2.6466666666666669E-5</v>
      </c>
      <c r="BM177" s="462">
        <f>labcap_calc!N844</f>
        <v>3.6766066666666665E-4</v>
      </c>
      <c r="BN177" s="462">
        <f>labcap_calc!N855</f>
        <v>1.2985133333333332E-4</v>
      </c>
      <c r="BO177" s="462">
        <f>labcap_calc!N866</f>
        <v>3.9810333333333334E-4</v>
      </c>
      <c r="BP177" s="370">
        <f>labcap_calc!N151</f>
        <v>2.5049878046911977E-4</v>
      </c>
      <c r="BQ177" s="370">
        <f>labcap_calc!N162</f>
        <v>2.5049878046911977E-4</v>
      </c>
      <c r="BR177" s="462">
        <f>labcap_calc!N877</f>
        <v>1.6088333333333333E-4</v>
      </c>
      <c r="BS177" s="462">
        <f>labcap_calc!N888</f>
        <v>8.5130933333333334E-4</v>
      </c>
      <c r="BT177" s="462">
        <f>labcap_calc!N899</f>
        <v>5.4789199999999991E-4</v>
      </c>
      <c r="BU177" s="462">
        <f>labcap_calc!N910</f>
        <v>0</v>
      </c>
      <c r="BV177" s="465">
        <f>labcap_calc!N8</f>
        <v>5.4629957739678265E-6</v>
      </c>
      <c r="BW177" s="465">
        <f>labcap_calc!N19</f>
        <v>1.9037143610937731E-5</v>
      </c>
      <c r="BX177" s="465">
        <f>labcap_calc!N30</f>
        <v>1.58870880134882E-5</v>
      </c>
      <c r="BY177" s="465">
        <f>labcap_calc!N41</f>
        <v>2.4234357934499601E-5</v>
      </c>
      <c r="BZ177" s="371">
        <f>labcap_calc!N52</f>
        <v>4.1071675623625331E-5</v>
      </c>
      <c r="CA177" s="465">
        <f>labcap_calc!N63</f>
        <v>3.0266333638036467E-5</v>
      </c>
      <c r="CB177" s="465">
        <f>labcap_calc!N74</f>
        <v>2.464058652439593E-5</v>
      </c>
      <c r="CC177" s="371">
        <f>labcap_calc!N85</f>
        <v>2.5866329933319265E-6</v>
      </c>
      <c r="CD177" s="371">
        <f>labcap_calc!N96</f>
        <v>1.4369451699966333E-4</v>
      </c>
      <c r="CE177" s="371">
        <f>labcap_calc!N107</f>
        <v>3.0460986058038333E-4</v>
      </c>
      <c r="CF177" s="465">
        <f>labcap_calc!N118</f>
        <v>1.2506171512363266E-4</v>
      </c>
      <c r="CG177" s="465">
        <f>labcap_calc!N129</f>
        <v>7.5238661293869335E-6</v>
      </c>
      <c r="CH177" s="465">
        <f>labcap_calc!N140</f>
        <v>2.1134841478440132E-6</v>
      </c>
      <c r="CI177" s="465">
        <f>labcap_calc!N921</f>
        <v>2.4933333333333334E-5</v>
      </c>
      <c r="CJ177" s="465">
        <f>labcap_calc!N932</f>
        <v>1.4066666666666667E-5</v>
      </c>
      <c r="CK177" s="465">
        <f>labcap_calc!N943</f>
        <v>1.5933333333333332E-5</v>
      </c>
      <c r="CL177" s="465">
        <f>labcap_calc!N954</f>
        <v>4.7733333333333331E-6</v>
      </c>
      <c r="CM177" s="465">
        <f>labcap_calc!N965</f>
        <v>2.7599999999999997E-5</v>
      </c>
      <c r="CN177" s="465">
        <f>labcap_calc!N976</f>
        <v>2.3334866666666664E-4</v>
      </c>
      <c r="CO177" s="465">
        <f>labcap_calc!N987</f>
        <v>3.3866666666666665E-5</v>
      </c>
      <c r="CP177" s="465">
        <f>labcap_calc!N998</f>
        <v>7.9461999999999992E-5</v>
      </c>
    </row>
    <row r="178" spans="1:94" x14ac:dyDescent="0.25">
      <c r="A178" s="4" t="s">
        <v>1070</v>
      </c>
      <c r="B178" s="355">
        <v>12</v>
      </c>
      <c r="C178" s="1" t="s">
        <v>1074</v>
      </c>
      <c r="D178" s="462">
        <f>labcap_calc!N339</f>
        <v>2.3131480615384619E-3</v>
      </c>
      <c r="E178" s="462">
        <f>labcap_calc!N350</f>
        <v>4.4538083692307702E-3</v>
      </c>
      <c r="F178" s="462">
        <f>labcap_calc!N361</f>
        <v>1.3927915076923077E-3</v>
      </c>
      <c r="G178" s="462">
        <f>labcap_calc!N372</f>
        <v>5.003238153846154E-4</v>
      </c>
      <c r="H178" s="462">
        <f>labcap_calc!N383</f>
        <v>1.8636671630769232E-2</v>
      </c>
      <c r="I178" s="462">
        <f>labcap_calc!N394</f>
        <v>2.461168984615385E-3</v>
      </c>
      <c r="J178" s="462">
        <f>labcap_calc!N405</f>
        <v>3.2666643692307695E-3</v>
      </c>
      <c r="K178" s="462">
        <f>labcap_calc!N416</f>
        <v>9.1538513230769222E-3</v>
      </c>
      <c r="L178" s="462">
        <f>labcap_calc!N427</f>
        <v>2.5187059692307694E-3</v>
      </c>
      <c r="M178" s="462">
        <f>labcap_calc!N438</f>
        <v>3.0243282461538462E-3</v>
      </c>
      <c r="N178" s="462">
        <f>labcap_calc!N449</f>
        <v>1.8037160615384615E-3</v>
      </c>
      <c r="O178" s="462">
        <f>labcap_calc!N460</f>
        <v>1.6900128000000001E-3</v>
      </c>
      <c r="P178" s="462">
        <f>labcap_calc!N471</f>
        <v>2.778027323076923E-3</v>
      </c>
      <c r="Q178" s="462">
        <f>labcap_calc!N482</f>
        <v>8.5691027692307692E-4</v>
      </c>
      <c r="R178" s="462">
        <f>labcap_calc!N493</f>
        <v>1.8427006769230769E-3</v>
      </c>
      <c r="S178" s="462">
        <f>labcap_calc!N504</f>
        <v>7.1359593846153846E-3</v>
      </c>
      <c r="T178" s="462">
        <f>labcap_calc!N515</f>
        <v>8.2100910769230765E-3</v>
      </c>
      <c r="U178" s="462">
        <f>labcap_calc!N526</f>
        <v>2.2252788923076924E-3</v>
      </c>
      <c r="V178" s="462">
        <f>labcap_calc!N537</f>
        <v>3.4896925538461542E-3</v>
      </c>
      <c r="W178" s="462">
        <f>labcap_calc!N548</f>
        <v>1.857686276923077E-3</v>
      </c>
      <c r="X178" s="462">
        <f>labcap_calc!N559</f>
        <v>2.4018916923076927E-3</v>
      </c>
      <c r="Y178" s="462">
        <f>labcap_calc!N570</f>
        <v>8.064E-5</v>
      </c>
      <c r="Z178" s="462">
        <f>labcap_calc!N581</f>
        <v>4.210459076923077E-4</v>
      </c>
      <c r="AA178" s="462">
        <f>labcap_calc!N592</f>
        <v>7.8405427692307698E-4</v>
      </c>
      <c r="AB178" s="370">
        <f>labcap_calc!N174</f>
        <v>6.2523270390483277E-2</v>
      </c>
      <c r="AC178" s="370">
        <f>labcap_calc!N185</f>
        <v>6.2523270390483277E-2</v>
      </c>
      <c r="AD178" s="370">
        <f>labcap_calc!N196</f>
        <v>6.2523270390483277E-2</v>
      </c>
      <c r="AE178" s="370">
        <f>labcap_calc!N207</f>
        <v>6.6837230393628475E-2</v>
      </c>
      <c r="AF178" s="370">
        <f>labcap_calc!N218</f>
        <v>3.6099875752854094E-3</v>
      </c>
      <c r="AG178" s="370">
        <f>labcap_calc!N229</f>
        <v>3.6099875752854094E-3</v>
      </c>
      <c r="AH178" s="370">
        <f>labcap_calc!N240</f>
        <v>3.6099875752854094E-3</v>
      </c>
      <c r="AI178" s="462">
        <f>labcap_calc!N603</f>
        <v>3.1011542153846156E-3</v>
      </c>
      <c r="AJ178" s="462">
        <f>labcap_calc!N614</f>
        <v>1.8643554461538461E-3</v>
      </c>
      <c r="AK178" s="462">
        <f>labcap_calc!N625</f>
        <v>2.8149261538461543E-3</v>
      </c>
      <c r="AL178" s="462">
        <f>labcap_calc!N636</f>
        <v>2.8684793846153848E-3</v>
      </c>
      <c r="AM178" s="462">
        <f>labcap_calc!N647</f>
        <v>5.6291587692307698E-3</v>
      </c>
      <c r="AN178" s="462">
        <f>labcap_calc!N658</f>
        <v>6.1782267076923077E-3</v>
      </c>
      <c r="AO178" s="462">
        <f>labcap_calc!N669</f>
        <v>4.5851895384615383E-3</v>
      </c>
      <c r="AP178" s="370">
        <f>labcap_calc!N251</f>
        <v>7.6237078129489874E-4</v>
      </c>
      <c r="AQ178" s="370">
        <f>labcap_calc!N262</f>
        <v>7.6237078129489874E-4</v>
      </c>
      <c r="AR178" s="370">
        <f>labcap_calc!N273</f>
        <v>7.6237078129489874E-4</v>
      </c>
      <c r="AS178" s="370">
        <f>labcap_calc!N284</f>
        <v>7.6196355899068138E-4</v>
      </c>
      <c r="AT178" s="462">
        <f>labcap_calc!N680</f>
        <v>4.5545558153846158E-3</v>
      </c>
      <c r="AU178" s="370">
        <f>labcap_calc!N295</f>
        <v>3.9116019755234916E-3</v>
      </c>
      <c r="AV178" s="370">
        <f>labcap_calc!N306</f>
        <v>3.9116019755234916E-3</v>
      </c>
      <c r="AW178" s="370">
        <f>labcap_calc!N317</f>
        <v>3.9116019755234916E-3</v>
      </c>
      <c r="AX178" s="370">
        <f>labcap_calc!N328</f>
        <v>3.9593627326181234E-3</v>
      </c>
      <c r="AY178" s="462">
        <f>labcap_calc!N691</f>
        <v>1.8202843076923078E-3</v>
      </c>
      <c r="AZ178" s="462">
        <f>labcap_calc!N702</f>
        <v>0</v>
      </c>
      <c r="BA178" s="462">
        <f>labcap_calc!N713</f>
        <v>2.6659515076923076E-3</v>
      </c>
      <c r="BB178" s="462">
        <f>labcap_calc!N724</f>
        <v>2.9487411692307695E-3</v>
      </c>
      <c r="BC178" s="462">
        <f>labcap_calc!N735</f>
        <v>3.4111874461538461E-3</v>
      </c>
      <c r="BD178" s="462">
        <f>labcap_calc!N746</f>
        <v>3.5438169846153844E-3</v>
      </c>
      <c r="BE178" s="462">
        <f>labcap_calc!N757</f>
        <v>2.4776743384615383E-3</v>
      </c>
      <c r="BF178" s="462">
        <f>labcap_calc!N768</f>
        <v>0</v>
      </c>
      <c r="BG178" s="462">
        <f>labcap_calc!N779</f>
        <v>7.9180640000000007E-4</v>
      </c>
      <c r="BH178" s="462">
        <f>labcap_calc!N790</f>
        <v>0</v>
      </c>
      <c r="BI178" s="462">
        <f>labcap_calc!N801</f>
        <v>3.3263078153846154E-3</v>
      </c>
      <c r="BJ178" s="462">
        <f>labcap_calc!N812</f>
        <v>6.0972800000000001E-3</v>
      </c>
      <c r="BK178" s="462">
        <f>labcap_calc!N823</f>
        <v>3.5677203692307691E-3</v>
      </c>
      <c r="BL178" s="462">
        <f>labcap_calc!N834</f>
        <v>3.8664123076923083E-4</v>
      </c>
      <c r="BM178" s="462">
        <f>labcap_calc!N845</f>
        <v>2.2906524307692308E-3</v>
      </c>
      <c r="BN178" s="462">
        <f>labcap_calc!N856</f>
        <v>7.9543778461538467E-4</v>
      </c>
      <c r="BO178" s="462">
        <f>labcap_calc!N867</f>
        <v>2.039951630769231E-3</v>
      </c>
      <c r="BP178" s="370">
        <f>labcap_calc!N152</f>
        <v>2.5751326128258169E-3</v>
      </c>
      <c r="BQ178" s="370">
        <f>labcap_calc!N163</f>
        <v>2.5751326128258169E-3</v>
      </c>
      <c r="BR178" s="462">
        <f>labcap_calc!N878</f>
        <v>4.3579871999999999E-3</v>
      </c>
      <c r="BS178" s="462">
        <f>labcap_calc!N889</f>
        <v>8.2121785846153861E-3</v>
      </c>
      <c r="BT178" s="462">
        <f>labcap_calc!N900</f>
        <v>0</v>
      </c>
      <c r="BU178" s="462">
        <f>labcap_calc!N911</f>
        <v>0</v>
      </c>
      <c r="BV178" s="465">
        <f>labcap_calc!N9</f>
        <v>1.6961594423774821E-4</v>
      </c>
      <c r="BW178" s="465">
        <f>labcap_calc!N20</f>
        <v>5.9008705664686232E-4</v>
      </c>
      <c r="BX178" s="465">
        <f>labcap_calc!N31</f>
        <v>4.6296469267567849E-4</v>
      </c>
      <c r="BY178" s="465">
        <f>labcap_calc!N42</f>
        <v>6.4514743194697352E-4</v>
      </c>
      <c r="BZ178" s="371">
        <f>labcap_calc!N53</f>
        <v>1.4286934517310044E-3</v>
      </c>
      <c r="CA178" s="465">
        <f>labcap_calc!N64</f>
        <v>6.1720346067579014E-4</v>
      </c>
      <c r="CB178" s="465">
        <f>labcap_calc!N75</f>
        <v>8.4761635495272892E-4</v>
      </c>
      <c r="CC178" s="371">
        <f>labcap_calc!N86</f>
        <v>2.1412254790222155E-4</v>
      </c>
      <c r="CD178" s="371">
        <f>labcap_calc!N97</f>
        <v>5.0833219351798841E-3</v>
      </c>
      <c r="CE178" s="371">
        <f>labcap_calc!N108</f>
        <v>1.0775845998104321E-2</v>
      </c>
      <c r="CF178" s="465">
        <f>labcap_calc!N119</f>
        <v>4.3349261816945373E-3</v>
      </c>
      <c r="CG178" s="465">
        <f>labcap_calc!N130</f>
        <v>3.3106061792751102E-4</v>
      </c>
      <c r="CH178" s="465">
        <f>labcap_calc!N141</f>
        <v>2.2278953056678854E-4</v>
      </c>
      <c r="CI178" s="465">
        <f>labcap_calc!N922</f>
        <v>7.1597206153846155E-4</v>
      </c>
      <c r="CJ178" s="465">
        <f>labcap_calc!N933</f>
        <v>3.7632689230769232E-4</v>
      </c>
      <c r="CK178" s="465">
        <f>labcap_calc!N944</f>
        <v>4.197889230769231E-4</v>
      </c>
      <c r="CL178" s="465">
        <f>labcap_calc!N955</f>
        <v>1.7649390769230769E-4</v>
      </c>
      <c r="CM178" s="465">
        <f>labcap_calc!N966</f>
        <v>9.4906043076923078E-4</v>
      </c>
      <c r="CN178" s="465">
        <f>labcap_calc!N977</f>
        <v>5.5819783384615388E-3</v>
      </c>
      <c r="CO178" s="465">
        <f>labcap_calc!N988</f>
        <v>8.2704754461538459E-3</v>
      </c>
      <c r="CP178" s="465">
        <f>labcap_calc!N999</f>
        <v>2.6179278030769231E-2</v>
      </c>
    </row>
    <row r="179" spans="1:94" x14ac:dyDescent="0.25">
      <c r="A179" s="4" t="s">
        <v>1071</v>
      </c>
      <c r="B179" s="355">
        <v>13</v>
      </c>
      <c r="C179" s="1" t="s">
        <v>1074</v>
      </c>
      <c r="D179" s="462">
        <f>labcap_calc!N340</f>
        <v>2.0284242461538465E-3</v>
      </c>
      <c r="E179" s="462">
        <f>labcap_calc!N351</f>
        <v>3.8243899076923077E-3</v>
      </c>
      <c r="F179" s="462">
        <f>labcap_calc!N362</f>
        <v>1.2221035076923077E-3</v>
      </c>
      <c r="G179" s="462">
        <f>labcap_calc!N373</f>
        <v>4.3672504615384616E-4</v>
      </c>
      <c r="H179" s="462">
        <f>labcap_calc!N384</f>
        <v>1.556816713846154E-2</v>
      </c>
      <c r="I179" s="462">
        <f>labcap_calc!N395</f>
        <v>2.1398900923076925E-3</v>
      </c>
      <c r="J179" s="462">
        <f>labcap_calc!N406</f>
        <v>2.8530673230769232E-3</v>
      </c>
      <c r="K179" s="462">
        <f>labcap_calc!N417</f>
        <v>7.7253128615384619E-3</v>
      </c>
      <c r="L179" s="462">
        <f>labcap_calc!N428</f>
        <v>2.2011747692307691E-3</v>
      </c>
      <c r="M179" s="462">
        <f>labcap_calc!N439</f>
        <v>2.6170436923076924E-3</v>
      </c>
      <c r="N179" s="462">
        <f>labcap_calc!N450</f>
        <v>1.5661192615384616E-3</v>
      </c>
      <c r="O179" s="462">
        <f>labcap_calc!N461</f>
        <v>4.5311753846153849E-4</v>
      </c>
      <c r="P179" s="462">
        <f>labcap_calc!N472</f>
        <v>4.8934411076923074E-3</v>
      </c>
      <c r="Q179" s="462">
        <f>labcap_calc!N483</f>
        <v>6.8482761846153858E-3</v>
      </c>
      <c r="R179" s="462">
        <f>labcap_calc!N494</f>
        <v>3.6816364307692309E-3</v>
      </c>
      <c r="S179" s="462">
        <f>labcap_calc!N505</f>
        <v>1.3779540923076923E-3</v>
      </c>
      <c r="T179" s="462">
        <f>labcap_calc!N516</f>
        <v>1.5869348923076923E-3</v>
      </c>
      <c r="U179" s="462">
        <f>labcap_calc!N527</f>
        <v>1.6094727384615387E-3</v>
      </c>
      <c r="V179" s="462">
        <f>labcap_calc!N538</f>
        <v>2.5250124307692307E-3</v>
      </c>
      <c r="W179" s="462">
        <f>labcap_calc!N549</f>
        <v>1.3657271384615384E-3</v>
      </c>
      <c r="X179" s="462">
        <f>labcap_calc!N560</f>
        <v>1.2270530461538462E-3</v>
      </c>
      <c r="Y179" s="462">
        <f>labcap_calc!N571</f>
        <v>2.5415384615384615E-5</v>
      </c>
      <c r="Z179" s="462">
        <f>labcap_calc!N582</f>
        <v>1.6872283076923078E-4</v>
      </c>
      <c r="AA179" s="462">
        <f>labcap_calc!N593</f>
        <v>3.3452073846153849E-4</v>
      </c>
      <c r="AB179" s="370">
        <f>labcap_calc!N175</f>
        <v>3.5088381497926868E-2</v>
      </c>
      <c r="AC179" s="370">
        <f>labcap_calc!N186</f>
        <v>3.5088381497926868E-2</v>
      </c>
      <c r="AD179" s="370">
        <f>labcap_calc!N197</f>
        <v>3.5088381497926868E-2</v>
      </c>
      <c r="AE179" s="370">
        <f>labcap_calc!N208</f>
        <v>3.0774422507442206E-2</v>
      </c>
      <c r="AF179" s="370">
        <f>labcap_calc!N219</f>
        <v>1.7361844811576283E-3</v>
      </c>
      <c r="AG179" s="370">
        <f>labcap_calc!N230</f>
        <v>1.7361844811576283E-3</v>
      </c>
      <c r="AH179" s="370">
        <f>labcap_calc!N241</f>
        <v>1.7361844811576283E-3</v>
      </c>
      <c r="AI179" s="462">
        <f>labcap_calc!N604</f>
        <v>1.4511314461538461E-3</v>
      </c>
      <c r="AJ179" s="462">
        <f>labcap_calc!N615</f>
        <v>8.7419618461538466E-4</v>
      </c>
      <c r="AK179" s="462">
        <f>labcap_calc!N626</f>
        <v>1.3076146461538463E-3</v>
      </c>
      <c r="AL179" s="462">
        <f>labcap_calc!N637</f>
        <v>1.312882953846154E-3</v>
      </c>
      <c r="AM179" s="462">
        <f>labcap_calc!N648</f>
        <v>2.4570740923076924E-3</v>
      </c>
      <c r="AN179" s="462">
        <f>labcap_calc!N659</f>
        <v>2.7243078153846158E-3</v>
      </c>
      <c r="AO179" s="462">
        <f>labcap_calc!N670</f>
        <v>2.0480647384615385E-3</v>
      </c>
      <c r="AP179" s="370">
        <f>labcap_calc!N252</f>
        <v>3.2613469484203119E-4</v>
      </c>
      <c r="AQ179" s="370">
        <f>labcap_calc!N263</f>
        <v>3.2613469484203119E-4</v>
      </c>
      <c r="AR179" s="370">
        <f>labcap_calc!N274</f>
        <v>3.2613469484203119E-4</v>
      </c>
      <c r="AS179" s="370">
        <f>labcap_calc!N285</f>
        <v>3.26541917803842E-4</v>
      </c>
      <c r="AT179" s="462">
        <f>labcap_calc!N681</f>
        <v>1.9917924923076921E-3</v>
      </c>
      <c r="AU179" s="370">
        <f>labcap_calc!N296</f>
        <v>6.0297487387158061E-4</v>
      </c>
      <c r="AV179" s="370">
        <f>labcap_calc!N307</f>
        <v>6.0297487387158061E-4</v>
      </c>
      <c r="AW179" s="370">
        <f>labcap_calc!N318</f>
        <v>6.0297487387158061E-4</v>
      </c>
      <c r="AX179" s="370">
        <f>labcap_calc!N329</f>
        <v>5.5521411828467367E-4</v>
      </c>
      <c r="AY179" s="462">
        <f>labcap_calc!N692</f>
        <v>3.1101710769230773E-4</v>
      </c>
      <c r="AZ179" s="462">
        <f>labcap_calc!N703</f>
        <v>0</v>
      </c>
      <c r="BA179" s="462">
        <f>labcap_calc!N714</f>
        <v>3.4423200000000003E-4</v>
      </c>
      <c r="BB179" s="462">
        <f>labcap_calc!N725</f>
        <v>3.7000836923076924E-4</v>
      </c>
      <c r="BC179" s="462">
        <f>labcap_calc!N736</f>
        <v>6.1537969230769228E-4</v>
      </c>
      <c r="BD179" s="462">
        <f>labcap_calc!N747</f>
        <v>6.3969833846153849E-4</v>
      </c>
      <c r="BE179" s="462">
        <f>labcap_calc!N758</f>
        <v>5.1582547692307701E-4</v>
      </c>
      <c r="BF179" s="462">
        <f>labcap_calc!N769</f>
        <v>0</v>
      </c>
      <c r="BG179" s="462">
        <f>labcap_calc!N780</f>
        <v>1.3802104615384618E-4</v>
      </c>
      <c r="BH179" s="462">
        <f>labcap_calc!N791</f>
        <v>0</v>
      </c>
      <c r="BI179" s="462">
        <f>labcap_calc!N802</f>
        <v>5.9368529230769231E-4</v>
      </c>
      <c r="BJ179" s="462">
        <f>labcap_calc!N813</f>
        <v>1.3670823384615387E-3</v>
      </c>
      <c r="BK179" s="462">
        <f>labcap_calc!N824</f>
        <v>9.5400393846153855E-4</v>
      </c>
      <c r="BL179" s="462">
        <f>labcap_calc!N835</f>
        <v>1.4261390769230769E-4</v>
      </c>
      <c r="BM179" s="462">
        <f>labcap_calc!N846</f>
        <v>1.6689843692307693E-3</v>
      </c>
      <c r="BN179" s="462">
        <f>labcap_calc!N857</f>
        <v>6.9927027692307691E-4</v>
      </c>
      <c r="BO179" s="462">
        <f>labcap_calc!N868</f>
        <v>1.6217875692307695E-3</v>
      </c>
      <c r="BP179" s="370">
        <f>labcap_calc!N153</f>
        <v>1.1456916247460486E-3</v>
      </c>
      <c r="BQ179" s="370">
        <f>labcap_calc!N164</f>
        <v>1.1456916247460486E-3</v>
      </c>
      <c r="BR179" s="462">
        <f>labcap_calc!N879</f>
        <v>8.6638375384615399E-4</v>
      </c>
      <c r="BS179" s="462">
        <f>labcap_calc!N890</f>
        <v>4.8556798769230775E-3</v>
      </c>
      <c r="BT179" s="462">
        <f>labcap_calc!N901</f>
        <v>2.9504849230769232E-3</v>
      </c>
      <c r="BU179" s="462">
        <f>labcap_calc!N912</f>
        <v>0</v>
      </c>
      <c r="BV179" s="465">
        <f>labcap_calc!N10</f>
        <v>1.6611462262888897E-5</v>
      </c>
      <c r="BW179" s="465">
        <f>labcap_calc!N21</f>
        <v>5.7886699124594867E-5</v>
      </c>
      <c r="BX179" s="465">
        <f>labcap_calc!N32</f>
        <v>4.8308249525176833E-5</v>
      </c>
      <c r="BY179" s="465">
        <f>labcap_calc!N43</f>
        <v>7.368999335697295E-5</v>
      </c>
      <c r="BZ179" s="371">
        <f>labcap_calc!N54</f>
        <v>1.2488762904530254E-4</v>
      </c>
      <c r="CA179" s="465">
        <f>labcap_calc!N65</f>
        <v>2.100157039585274E-4</v>
      </c>
      <c r="CB179" s="465">
        <f>labcap_calc!N76</f>
        <v>7.492522237287015E-5</v>
      </c>
      <c r="CC179" s="371">
        <f>labcap_calc!N87</f>
        <v>9.5982754241163575E-5</v>
      </c>
      <c r="CD179" s="371">
        <f>labcap_calc!N98</f>
        <v>4.3693536390988189E-4</v>
      </c>
      <c r="CE179" s="371">
        <f>labcap_calc!N109</f>
        <v>9.2623450819309422E-4</v>
      </c>
      <c r="CF179" s="465">
        <f>labcap_calc!N120</f>
        <v>7.979899438091177E-4</v>
      </c>
      <c r="CG179" s="465">
        <f>labcap_calc!N131</f>
        <v>1.2209390296174228E-4</v>
      </c>
      <c r="CH179" s="465">
        <f>labcap_calc!N142</f>
        <v>7.3266893678186967E-5</v>
      </c>
      <c r="CI179" s="465">
        <f>labcap_calc!N923</f>
        <v>7.5815384615384617E-5</v>
      </c>
      <c r="CJ179" s="465">
        <f>labcap_calc!N934</f>
        <v>4.2818461538461545E-5</v>
      </c>
      <c r="CK179" s="465">
        <f>labcap_calc!N945</f>
        <v>4.8504615384615385E-5</v>
      </c>
      <c r="CL179" s="465">
        <f>labcap_calc!N956</f>
        <v>1.7575384615384616E-5</v>
      </c>
      <c r="CM179" s="465">
        <f>labcap_calc!N967</f>
        <v>8.3913846153846149E-5</v>
      </c>
      <c r="CN179" s="465">
        <f>labcap_calc!N978</f>
        <v>6.6877353846153849E-4</v>
      </c>
      <c r="CO179" s="465">
        <f>labcap_calc!N989</f>
        <v>2.7929612307692311E-4</v>
      </c>
      <c r="CP179" s="465">
        <f>labcap_calc!N1000</f>
        <v>8.974120615384616E-4</v>
      </c>
    </row>
    <row r="180" spans="1:94" x14ac:dyDescent="0.25">
      <c r="A180" s="4" t="s">
        <v>1072</v>
      </c>
      <c r="B180" s="355">
        <v>14</v>
      </c>
      <c r="C180" s="1" t="s">
        <v>1074</v>
      </c>
      <c r="D180" s="462">
        <f>labcap_calc!N341</f>
        <v>1.5247441538461539E-3</v>
      </c>
      <c r="E180" s="462">
        <f>labcap_calc!N352</f>
        <v>2.967193461538461E-3</v>
      </c>
      <c r="F180" s="462">
        <f>labcap_calc!N363</f>
        <v>9.2661830769230776E-4</v>
      </c>
      <c r="G180" s="462">
        <f>labcap_calc!N374</f>
        <v>3.3093176923076922E-4</v>
      </c>
      <c r="H180" s="462">
        <f>labcap_calc!N385</f>
        <v>1.2495979923076923E-2</v>
      </c>
      <c r="I180" s="462">
        <f>labcap_calc!N396</f>
        <v>1.6485145384615384E-3</v>
      </c>
      <c r="J180" s="462">
        <f>labcap_calc!N407</f>
        <v>2.2013779999999999E-3</v>
      </c>
      <c r="K180" s="462">
        <f>labcap_calc!N418</f>
        <v>6.2168175384615387E-3</v>
      </c>
      <c r="L180" s="462">
        <f>labcap_calc!N429</f>
        <v>1.6749084615384614E-3</v>
      </c>
      <c r="M180" s="462">
        <f>labcap_calc!N440</f>
        <v>2.0544320000000001E-3</v>
      </c>
      <c r="N180" s="462">
        <f>labcap_calc!N451</f>
        <v>1.2051583076923076E-3</v>
      </c>
      <c r="O180" s="462">
        <f>labcap_calc!N462</f>
        <v>1.1335663076923075E-3</v>
      </c>
      <c r="P180" s="462">
        <f>labcap_calc!N473</f>
        <v>1.8472296923076922E-3</v>
      </c>
      <c r="Q180" s="462">
        <f>labcap_calc!N484</f>
        <v>4.2777330769230772E-4</v>
      </c>
      <c r="R180" s="462">
        <f>labcap_calc!N495</f>
        <v>1.2146422307692307E-3</v>
      </c>
      <c r="S180" s="462">
        <f>labcap_calc!N506</f>
        <v>4.9549442307692312E-3</v>
      </c>
      <c r="T180" s="462">
        <f>labcap_calc!N517</f>
        <v>5.6592698461538455E-3</v>
      </c>
      <c r="U180" s="462">
        <f>labcap_calc!N528</f>
        <v>1.5495917692307693E-3</v>
      </c>
      <c r="V180" s="462">
        <f>labcap_calc!N539</f>
        <v>2.3507063076923075E-3</v>
      </c>
      <c r="W180" s="462">
        <f>labcap_calc!N550</f>
        <v>1.2822646923076923E-3</v>
      </c>
      <c r="X180" s="462">
        <f>labcap_calc!N561</f>
        <v>1.611696923076923E-3</v>
      </c>
      <c r="Y180" s="462">
        <f>labcap_calc!N572</f>
        <v>5.3199999999999992E-5</v>
      </c>
      <c r="Z180" s="462">
        <f>labcap_calc!N583</f>
        <v>2.7804453846153846E-4</v>
      </c>
      <c r="AA180" s="462">
        <f>labcap_calc!N594</f>
        <v>5.2678230769230767E-4</v>
      </c>
      <c r="AB180" s="370">
        <f>labcap_calc!N176</f>
        <v>4.5279327975766046E-2</v>
      </c>
      <c r="AC180" s="370">
        <f>labcap_calc!N187</f>
        <v>4.5279327975766046E-2</v>
      </c>
      <c r="AD180" s="370">
        <f>labcap_calc!N198</f>
        <v>4.5279327975766046E-2</v>
      </c>
      <c r="AE180" s="370">
        <f>labcap_calc!N209</f>
        <v>4.2677772019479567E-2</v>
      </c>
      <c r="AF180" s="370">
        <f>labcap_calc!N220</f>
        <v>2.3193821357459878E-3</v>
      </c>
      <c r="AG180" s="370">
        <f>labcap_calc!N231</f>
        <v>2.3193821357459878E-3</v>
      </c>
      <c r="AH180" s="370">
        <f>labcap_calc!N242</f>
        <v>2.3193821357459878E-3</v>
      </c>
      <c r="AI180" s="462">
        <f>labcap_calc!N605</f>
        <v>2.0929976153846153E-3</v>
      </c>
      <c r="AJ180" s="462">
        <f>labcap_calc!N616</f>
        <v>1.3060278461538462E-3</v>
      </c>
      <c r="AK180" s="462">
        <f>labcap_calc!N627</f>
        <v>1.9116294615384615E-3</v>
      </c>
      <c r="AL180" s="462">
        <f>labcap_calc!N638</f>
        <v>1.9071235384615383E-3</v>
      </c>
      <c r="AM180" s="462">
        <f>labcap_calc!N649</f>
        <v>3.7250932307692306E-3</v>
      </c>
      <c r="AN180" s="462">
        <f>labcap_calc!N660</f>
        <v>4.1049558461538453E-3</v>
      </c>
      <c r="AO180" s="462">
        <f>labcap_calc!N671</f>
        <v>3.0768863076923079E-3</v>
      </c>
      <c r="AP180" s="370">
        <f>labcap_calc!N253</f>
        <v>5.1909743870754885E-4</v>
      </c>
      <c r="AQ180" s="370">
        <f>labcap_calc!N264</f>
        <v>5.1909743870754885E-4</v>
      </c>
      <c r="AR180" s="370">
        <f>labcap_calc!N275</f>
        <v>5.1909743870754885E-4</v>
      </c>
      <c r="AS180" s="370">
        <f>labcap_calc!N286</f>
        <v>5.2162772840941046E-4</v>
      </c>
      <c r="AT180" s="462">
        <f>labcap_calc!N682</f>
        <v>3.0143616923076922E-3</v>
      </c>
      <c r="AU180" s="370">
        <f>labcap_calc!N297</f>
        <v>2.6092188538732754E-3</v>
      </c>
      <c r="AV180" s="370">
        <f>labcap_calc!N308</f>
        <v>2.6092188538732754E-3</v>
      </c>
      <c r="AW180" s="370">
        <f>labcap_calc!N319</f>
        <v>2.6092188538732754E-3</v>
      </c>
      <c r="AX180" s="370">
        <f>labcap_calc!N330</f>
        <v>2.7334091634184849E-3</v>
      </c>
      <c r="AY180" s="462">
        <f>labcap_calc!N693</f>
        <v>1.2284186923076923E-3</v>
      </c>
      <c r="AZ180" s="462">
        <f>labcap_calc!N704</f>
        <v>0</v>
      </c>
      <c r="BA180" s="462">
        <f>labcap_calc!N715</f>
        <v>1.7861607692307691E-3</v>
      </c>
      <c r="BB180" s="462">
        <f>labcap_calc!N726</f>
        <v>1.9762893846153847E-3</v>
      </c>
      <c r="BC180" s="462">
        <f>labcap_calc!N737</f>
        <v>2.2959614615384615E-3</v>
      </c>
      <c r="BD180" s="462">
        <f>labcap_calc!N748</f>
        <v>2.405544692307692E-3</v>
      </c>
      <c r="BE180" s="462">
        <f>labcap_calc!N759</f>
        <v>1.738315846153846E-3</v>
      </c>
      <c r="BF180" s="462">
        <f>labcap_calc!N770</f>
        <v>0</v>
      </c>
      <c r="BG180" s="462">
        <f>labcap_calc!N781</f>
        <v>5.2409892307692303E-4</v>
      </c>
      <c r="BH180" s="462">
        <f>labcap_calc!N792</f>
        <v>0</v>
      </c>
      <c r="BI180" s="462">
        <f>labcap_calc!N803</f>
        <v>2.2603233076923077E-3</v>
      </c>
      <c r="BJ180" s="462">
        <f>labcap_calc!N814</f>
        <v>4.1285333846153849E-3</v>
      </c>
      <c r="BK180" s="462">
        <f>labcap_calc!N825</f>
        <v>2.3742575384615382E-3</v>
      </c>
      <c r="BL180" s="462">
        <f>labcap_calc!N836</f>
        <v>2.5486015384615379E-4</v>
      </c>
      <c r="BM180" s="462">
        <f>labcap_calc!N847</f>
        <v>1.5862208461538462E-3</v>
      </c>
      <c r="BN180" s="462">
        <f>labcap_calc!N858</f>
        <v>5.2432399999999995E-4</v>
      </c>
      <c r="BO180" s="462">
        <f>labcap_calc!N869</f>
        <v>1.4023461538461538E-3</v>
      </c>
      <c r="BP180" s="370">
        <f>labcap_calc!N154</f>
        <v>1.5431570312705925E-3</v>
      </c>
      <c r="BQ180" s="370">
        <f>labcap_calc!N165</f>
        <v>1.5431570312705925E-3</v>
      </c>
      <c r="BR180" s="462">
        <f>labcap_calc!N880</f>
        <v>2.9658576153846154E-3</v>
      </c>
      <c r="BS180" s="462">
        <f>labcap_calc!N891</f>
        <v>5.6161164615384611E-3</v>
      </c>
      <c r="BT180" s="462">
        <f>labcap_calc!N902</f>
        <v>0</v>
      </c>
      <c r="BU180" s="462">
        <f>labcap_calc!N913</f>
        <v>0</v>
      </c>
      <c r="BV180" s="465">
        <f>labcap_calc!N11</f>
        <v>2.7834462930086476E-4</v>
      </c>
      <c r="BW180" s="465">
        <f>labcap_calc!N22</f>
        <v>9.3524841862117783E-4</v>
      </c>
      <c r="BX180" s="465">
        <f>labcap_calc!N33</f>
        <v>8.6627830561117434E-4</v>
      </c>
      <c r="BY180" s="465">
        <f>labcap_calc!N44</f>
        <v>1.2676191906734041E-3</v>
      </c>
      <c r="BZ180" s="371">
        <f>labcap_calc!N55</f>
        <v>2.2661732235550059E-3</v>
      </c>
      <c r="CA180" s="465">
        <f>labcap_calc!N66</f>
        <v>1.0263998752024178E-3</v>
      </c>
      <c r="CB180" s="465">
        <f>labcap_calc!N77</f>
        <v>1.3038379736544591E-3</v>
      </c>
      <c r="CC180" s="371">
        <f>labcap_calc!N88</f>
        <v>4.6165479985310723E-4</v>
      </c>
      <c r="CD180" s="371">
        <f>labcap_calc!N99</f>
        <v>7.8193726827844572E-3</v>
      </c>
      <c r="CE180" s="371">
        <f>labcap_calc!N110</f>
        <v>1.6575844871900027E-2</v>
      </c>
      <c r="CF180" s="465">
        <f>labcap_calc!N121</f>
        <v>5.1867337014670153E-3</v>
      </c>
      <c r="CG180" s="465">
        <f>labcap_calc!N132</f>
        <v>8.0335386886581201E-4</v>
      </c>
      <c r="CH180" s="465">
        <f>labcap_calc!N143</f>
        <v>3.8535724124806321E-4</v>
      </c>
      <c r="CI180" s="465">
        <f>labcap_calc!N924</f>
        <v>1.3268927692307692E-3</v>
      </c>
      <c r="CJ180" s="465">
        <f>labcap_calc!N935</f>
        <v>7.0676346153846143E-4</v>
      </c>
      <c r="CK180" s="465">
        <f>labcap_calc!N946</f>
        <v>7.9034884615384617E-4</v>
      </c>
      <c r="CL180" s="465">
        <f>labcap_calc!N957</f>
        <v>3.1585161538461536E-4</v>
      </c>
      <c r="CM180" s="465">
        <f>labcap_calc!N968</f>
        <v>1.3693343846153845E-3</v>
      </c>
      <c r="CN180" s="465">
        <f>labcap_calc!N979</f>
        <v>9.5427587692307678E-3</v>
      </c>
      <c r="CO180" s="465">
        <f>labcap_calc!N990</f>
        <v>4.2569441538461541E-3</v>
      </c>
      <c r="CP180" s="465">
        <f>labcap_calc!N1001</f>
        <v>1.3199247384615384E-2</v>
      </c>
    </row>
    <row r="181" spans="1:94" x14ac:dyDescent="0.25">
      <c r="A181" s="4" t="s">
        <v>1073</v>
      </c>
      <c r="B181" s="355">
        <v>15</v>
      </c>
      <c r="C181" s="1" t="s">
        <v>1074</v>
      </c>
      <c r="D181" s="462">
        <f>labcap_calc!N342</f>
        <v>1.4633595384615382E-3</v>
      </c>
      <c r="E181" s="462">
        <f>labcap_calc!N353</f>
        <v>2.8233400769230766E-3</v>
      </c>
      <c r="F181" s="462">
        <f>labcap_calc!N364</f>
        <v>8.8070992307692298E-4</v>
      </c>
      <c r="G181" s="462">
        <f>labcap_calc!N375</f>
        <v>3.2032684615384611E-4</v>
      </c>
      <c r="H181" s="462">
        <f>labcap_calc!N386</f>
        <v>1.1959757538461537E-2</v>
      </c>
      <c r="I181" s="462">
        <f>labcap_calc!N397</f>
        <v>1.5551207692307693E-3</v>
      </c>
      <c r="J181" s="462">
        <f>labcap_calc!N408</f>
        <v>2.0791626923076924E-3</v>
      </c>
      <c r="K181" s="462">
        <f>labcap_calc!N419</f>
        <v>5.837881538461538E-3</v>
      </c>
      <c r="L181" s="462">
        <f>labcap_calc!N430</f>
        <v>1.6206634615384616E-3</v>
      </c>
      <c r="M181" s="462">
        <f>labcap_calc!N441</f>
        <v>1.9524136923076921E-3</v>
      </c>
      <c r="N181" s="462">
        <f>labcap_calc!N452</f>
        <v>1.1443451538461537E-3</v>
      </c>
      <c r="O181" s="462">
        <f>labcap_calc!N463</f>
        <v>3.6344515384615381E-4</v>
      </c>
      <c r="P181" s="462">
        <f>labcap_calc!N474</f>
        <v>2.8292826923076919E-3</v>
      </c>
      <c r="Q181" s="462">
        <f>labcap_calc!N485</f>
        <v>3.5708599999999995E-3</v>
      </c>
      <c r="R181" s="462">
        <f>labcap_calc!N496</f>
        <v>2.5212254615384613E-3</v>
      </c>
      <c r="S181" s="462">
        <f>labcap_calc!N507</f>
        <v>1.1440250769230768E-3</v>
      </c>
      <c r="T181" s="462">
        <f>labcap_calc!N518</f>
        <v>1.3260933076923076E-3</v>
      </c>
      <c r="U181" s="462">
        <f>labcap_calc!N529</f>
        <v>1.3661073076923075E-3</v>
      </c>
      <c r="V181" s="462">
        <f>labcap_calc!N540</f>
        <v>1.9949693076923079E-3</v>
      </c>
      <c r="W181" s="462">
        <f>labcap_calc!N551</f>
        <v>1.0793943846153845E-3</v>
      </c>
      <c r="X181" s="462">
        <f>labcap_calc!N562</f>
        <v>1.0107283846153845E-3</v>
      </c>
      <c r="Y181" s="462">
        <f>labcap_calc!N573</f>
        <v>1.9584615384615384E-5</v>
      </c>
      <c r="Z181" s="462">
        <f>labcap_calc!N584</f>
        <v>1.0259999999999999E-4</v>
      </c>
      <c r="AA181" s="462">
        <f>labcap_calc!N595</f>
        <v>2.4627653846153846E-4</v>
      </c>
      <c r="AB181" s="370">
        <f>labcap_calc!N177</f>
        <v>1.9795109031649345E-2</v>
      </c>
      <c r="AC181" s="370">
        <f>labcap_calc!N188</f>
        <v>1.9795109031649345E-2</v>
      </c>
      <c r="AD181" s="370">
        <f>labcap_calc!N199</f>
        <v>1.9795109031649345E-2</v>
      </c>
      <c r="AE181" s="370">
        <f>labcap_calc!N210</f>
        <v>2.2396662955214579E-2</v>
      </c>
      <c r="AF181" s="370">
        <f>labcap_calc!N221</f>
        <v>1.2447325684632239E-3</v>
      </c>
      <c r="AG181" s="370">
        <f>labcap_calc!N232</f>
        <v>1.2447325684632239E-3</v>
      </c>
      <c r="AH181" s="370">
        <f>labcap_calc!N243</f>
        <v>1.2447325684632239E-3</v>
      </c>
      <c r="AI181" s="462">
        <f>labcap_calc!N606</f>
        <v>1.0892626923076922E-3</v>
      </c>
      <c r="AJ181" s="462">
        <f>labcap_calc!N617</f>
        <v>6.638848461538461E-4</v>
      </c>
      <c r="AK181" s="462">
        <f>labcap_calc!N628</f>
        <v>1.0369571538461537E-3</v>
      </c>
      <c r="AL181" s="462">
        <f>labcap_calc!N639</f>
        <v>7.0656323076923066E-4</v>
      </c>
      <c r="AM181" s="462">
        <f>labcap_calc!N650</f>
        <v>1.4689543076923074E-3</v>
      </c>
      <c r="AN181" s="462">
        <f>labcap_calc!N661</f>
        <v>1.5768772307692307E-3</v>
      </c>
      <c r="AO181" s="462">
        <f>labcap_calc!N672</f>
        <v>1.1748723076923076E-3</v>
      </c>
      <c r="AP181" s="370">
        <f>labcap_calc!N254</f>
        <v>2.0657287893354804E-4</v>
      </c>
      <c r="AQ181" s="370">
        <f>labcap_calc!N265</f>
        <v>2.0657287893354804E-4</v>
      </c>
      <c r="AR181" s="370">
        <f>labcap_calc!N276</f>
        <v>2.0657287893354804E-4</v>
      </c>
      <c r="AS181" s="370">
        <f>labcap_calc!N287</f>
        <v>2.0404258836707987E-4</v>
      </c>
      <c r="AT181" s="462">
        <f>labcap_calc!N683</f>
        <v>1.1752274615384616E-3</v>
      </c>
      <c r="AU181" s="370">
        <f>labcap_calc!N298</f>
        <v>4.0049904583411701E-4</v>
      </c>
      <c r="AV181" s="370">
        <f>labcap_calc!N309</f>
        <v>4.0049904583411701E-4</v>
      </c>
      <c r="AW181" s="370">
        <f>labcap_calc!N320</f>
        <v>4.0049904583411701E-4</v>
      </c>
      <c r="AX181" s="370">
        <f>labcap_calc!N331</f>
        <v>4.1863335990312847E-4</v>
      </c>
      <c r="AY181" s="462">
        <f>labcap_calc!N694</f>
        <v>1.8379723076923077E-4</v>
      </c>
      <c r="AZ181" s="462">
        <f>labcap_calc!N705</f>
        <v>0</v>
      </c>
      <c r="BA181" s="462">
        <f>labcap_calc!N716</f>
        <v>2.7508638461538459E-4</v>
      </c>
      <c r="BB181" s="462">
        <f>labcap_calc!N727</f>
        <v>3.0038999999999999E-4</v>
      </c>
      <c r="BC181" s="462">
        <f>labcap_calc!N738</f>
        <v>3.4712415384615384E-4</v>
      </c>
      <c r="BD181" s="462">
        <f>labcap_calc!N749</f>
        <v>3.659093076923077E-4</v>
      </c>
      <c r="BE181" s="462">
        <f>labcap_calc!N760</f>
        <v>3.2048030769230766E-4</v>
      </c>
      <c r="BF181" s="462">
        <f>labcap_calc!N771</f>
        <v>0</v>
      </c>
      <c r="BG181" s="462">
        <f>labcap_calc!N782</f>
        <v>9.4561538461538451E-5</v>
      </c>
      <c r="BH181" s="462">
        <f>labcap_calc!N793</f>
        <v>0</v>
      </c>
      <c r="BI181" s="462">
        <f>labcap_calc!N804</f>
        <v>3.3786092307692305E-4</v>
      </c>
      <c r="BJ181" s="462">
        <f>labcap_calc!N815</f>
        <v>1.0965221538461536E-3</v>
      </c>
      <c r="BK181" s="462">
        <f>labcap_calc!N826</f>
        <v>6.4018746153846149E-4</v>
      </c>
      <c r="BL181" s="462">
        <f>labcap_calc!N837</f>
        <v>9.7630769230769223E-5</v>
      </c>
      <c r="BM181" s="462">
        <f>labcap_calc!N848</f>
        <v>1.3669257692307691E-3</v>
      </c>
      <c r="BN181" s="462">
        <f>labcap_calc!N859</f>
        <v>4.7886723076923077E-4</v>
      </c>
      <c r="BO181" s="462">
        <f>labcap_calc!N870</f>
        <v>1.2987786153846152E-3</v>
      </c>
      <c r="BP181" s="370">
        <f>labcap_calc!N155</f>
        <v>7.0216793929365714E-4</v>
      </c>
      <c r="BQ181" s="370">
        <f>labcap_calc!N166</f>
        <v>7.0216793929365714E-4</v>
      </c>
      <c r="BR181" s="462">
        <f>labcap_calc!N881</f>
        <v>5.0118346153846152E-4</v>
      </c>
      <c r="BS181" s="462">
        <f>labcap_calc!N892</f>
        <v>3.9645706923076918E-3</v>
      </c>
      <c r="BT181" s="462">
        <f>labcap_calc!N903</f>
        <v>2.206301923076923E-3</v>
      </c>
      <c r="BU181" s="462">
        <f>labcap_calc!N914</f>
        <v>0</v>
      </c>
      <c r="BV181" s="465">
        <f>labcap_calc!N12</f>
        <v>6.9204551956040535E-5</v>
      </c>
      <c r="BW181" s="465">
        <f>labcap_calc!N23</f>
        <v>2.9214693464466236E-4</v>
      </c>
      <c r="BX181" s="465">
        <f>labcap_calc!N34</f>
        <v>2.3541939014252175E-4</v>
      </c>
      <c r="BY181" s="465">
        <f>labcap_calc!N45</f>
        <v>3.0461731543265686E-4</v>
      </c>
      <c r="BZ181" s="371">
        <f>labcap_calc!N56</f>
        <v>6.4320264092826212E-4</v>
      </c>
      <c r="CA181" s="465">
        <f>labcap_calc!N67</f>
        <v>3.1424656836305704E-4</v>
      </c>
      <c r="CB181" s="465">
        <f>labcap_calc!N78</f>
        <v>3.7813823166262412E-4</v>
      </c>
      <c r="CC181" s="371">
        <f>labcap_calc!N89</f>
        <v>9.8287932948396057E-5</v>
      </c>
      <c r="CD181" s="371">
        <f>labcap_calc!N100</f>
        <v>2.2051581647383836E-3</v>
      </c>
      <c r="CE181" s="371">
        <f>labcap_calc!N111</f>
        <v>4.6745897835491117E-3</v>
      </c>
      <c r="CF181" s="465">
        <f>labcap_calc!N122</f>
        <v>2.536107280722723E-3</v>
      </c>
      <c r="CG181" s="465">
        <f>labcap_calc!N133</f>
        <v>2.2707603869563209E-4</v>
      </c>
      <c r="CH181" s="465">
        <f>labcap_calc!N144</f>
        <v>7.2904759461908867E-5</v>
      </c>
      <c r="CI181" s="465">
        <f>labcap_calc!N925</f>
        <v>3.17509E-4</v>
      </c>
      <c r="CJ181" s="465">
        <f>labcap_calc!N936</f>
        <v>1.7720861538461538E-4</v>
      </c>
      <c r="CK181" s="465">
        <f>labcap_calc!N947</f>
        <v>2.0147161538461539E-4</v>
      </c>
      <c r="CL181" s="465">
        <f>labcap_calc!N958</f>
        <v>7.4684615384615382E-5</v>
      </c>
      <c r="CM181" s="465">
        <f>labcap_calc!N969</f>
        <v>4.2339453846153844E-4</v>
      </c>
      <c r="CN181" s="465">
        <f>labcap_calc!N980</f>
        <v>4.005274538461538E-3</v>
      </c>
      <c r="CO181" s="465">
        <f>labcap_calc!N991</f>
        <v>1.0898721538461537E-3</v>
      </c>
      <c r="CP181" s="465">
        <f>labcap_calc!N1002</f>
        <v>3.4325546153846148E-3</v>
      </c>
    </row>
  </sheetData>
  <conditionalFormatting sqref="BV1">
    <cfRule type="colorScale" priority="15">
      <colorScale>
        <cfvo type="min"/>
        <cfvo type="max"/>
        <color rgb="FFFCFCFF"/>
        <color rgb="FF63BE7B"/>
      </colorScale>
    </cfRule>
  </conditionalFormatting>
  <conditionalFormatting sqref="BW1">
    <cfRule type="colorScale" priority="14">
      <colorScale>
        <cfvo type="min"/>
        <cfvo type="max"/>
        <color rgb="FFFCFCFF"/>
        <color rgb="FF63BE7B"/>
      </colorScale>
    </cfRule>
  </conditionalFormatting>
  <conditionalFormatting sqref="BX1">
    <cfRule type="colorScale" priority="13">
      <colorScale>
        <cfvo type="min"/>
        <cfvo type="max"/>
        <color rgb="FFFCFCFF"/>
        <color rgb="FF63BE7B"/>
      </colorScale>
    </cfRule>
  </conditionalFormatting>
  <conditionalFormatting sqref="BY1">
    <cfRule type="colorScale" priority="12">
      <colorScale>
        <cfvo type="min"/>
        <cfvo type="max"/>
        <color rgb="FFFCFCFF"/>
        <color rgb="FF63BE7B"/>
      </colorScale>
    </cfRule>
  </conditionalFormatting>
  <conditionalFormatting sqref="BZ1">
    <cfRule type="colorScale" priority="11">
      <colorScale>
        <cfvo type="min"/>
        <cfvo type="max"/>
        <color rgb="FFFCFCFF"/>
        <color rgb="FF63BE7B"/>
      </colorScale>
    </cfRule>
  </conditionalFormatting>
  <conditionalFormatting sqref="CA1">
    <cfRule type="colorScale" priority="10">
      <colorScale>
        <cfvo type="min"/>
        <cfvo type="max"/>
        <color rgb="FFFCFCFF"/>
        <color rgb="FF63BE7B"/>
      </colorScale>
    </cfRule>
  </conditionalFormatting>
  <conditionalFormatting sqref="CB1">
    <cfRule type="colorScale" priority="9">
      <colorScale>
        <cfvo type="min"/>
        <cfvo type="max"/>
        <color rgb="FFFCFCFF"/>
        <color rgb="FF63BE7B"/>
      </colorScale>
    </cfRule>
  </conditionalFormatting>
  <conditionalFormatting sqref="CC1">
    <cfRule type="colorScale" priority="8">
      <colorScale>
        <cfvo type="min"/>
        <cfvo type="max"/>
        <color rgb="FFFCFCFF"/>
        <color rgb="FF63BE7B"/>
      </colorScale>
    </cfRule>
  </conditionalFormatting>
  <conditionalFormatting sqref="CE1">
    <cfRule type="colorScale" priority="7">
      <colorScale>
        <cfvo type="min"/>
        <cfvo type="max"/>
        <color rgb="FFFCFCFF"/>
        <color rgb="FF63BE7B"/>
      </colorScale>
    </cfRule>
  </conditionalFormatting>
  <conditionalFormatting sqref="CF1">
    <cfRule type="colorScale" priority="6">
      <colorScale>
        <cfvo type="min"/>
        <cfvo type="max"/>
        <color rgb="FFFCFCFF"/>
        <color rgb="FF63BE7B"/>
      </colorScale>
    </cfRule>
  </conditionalFormatting>
  <conditionalFormatting sqref="CG1">
    <cfRule type="colorScale" priority="5">
      <colorScale>
        <cfvo type="min"/>
        <cfvo type="max"/>
        <color rgb="FFFCFCFF"/>
        <color rgb="FF63BE7B"/>
      </colorScale>
    </cfRule>
  </conditionalFormatting>
  <conditionalFormatting sqref="CH1">
    <cfRule type="colorScale" priority="4">
      <colorScale>
        <cfvo type="min"/>
        <cfvo type="max"/>
        <color rgb="FFFCFCFF"/>
        <color rgb="FF63BE7B"/>
      </colorScale>
    </cfRule>
  </conditionalFormatting>
  <conditionalFormatting sqref="BV1:CH1 BV182:CH1048576">
    <cfRule type="colorScale" priority="3">
      <colorScale>
        <cfvo type="min"/>
        <cfvo type="max"/>
        <color rgb="FFFCFCFF"/>
        <color rgb="FF63BE7B"/>
      </colorScale>
    </cfRule>
  </conditionalFormatting>
  <conditionalFormatting sqref="CI1:CP1">
    <cfRule type="colorScale" priority="2">
      <colorScale>
        <cfvo type="min"/>
        <cfvo type="max"/>
        <color rgb="FFFCFCFF"/>
        <color rgb="FF63BE7B"/>
      </colorScale>
    </cfRule>
  </conditionalFormatting>
  <conditionalFormatting sqref="CI1:CP1 CI182:CP1048576">
    <cfRule type="colorScale" priority="1">
      <colorScale>
        <cfvo type="min"/>
        <cfvo type="max"/>
        <color rgb="FFFCFCFF"/>
        <color rgb="FF63BE7B"/>
      </colorScale>
    </cfRule>
  </conditionalFormatting>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387"/>
  <sheetViews>
    <sheetView zoomScale="75" zoomScaleNormal="75" workbookViewId="0">
      <pane xSplit="4" ySplit="1" topLeftCell="E2" activePane="bottomRight" state="frozen"/>
      <selection pane="topRight" activeCell="E1" sqref="E1"/>
      <selection pane="bottomLeft" activeCell="A2" sqref="A2"/>
      <selection pane="bottomRight" activeCell="A2" sqref="A2"/>
    </sheetView>
  </sheetViews>
  <sheetFormatPr defaultColWidth="9" defaultRowHeight="15" x14ac:dyDescent="0.25"/>
  <cols>
    <col min="1" max="3" width="44.375" style="1" customWidth="1"/>
    <col min="4" max="4" width="44.375" style="15" customWidth="1"/>
    <col min="5" max="9" width="9.75" style="15" customWidth="1"/>
    <col min="10" max="10" width="44.375" style="20" customWidth="1"/>
    <col min="11" max="13" width="44.375" style="22" customWidth="1"/>
    <col min="14" max="16384" width="9" style="1"/>
  </cols>
  <sheetData>
    <row r="1" spans="1:13" x14ac:dyDescent="0.25">
      <c r="A1" s="18" t="s">
        <v>368</v>
      </c>
      <c r="B1" s="18" t="s">
        <v>0</v>
      </c>
      <c r="C1" s="18" t="s">
        <v>762</v>
      </c>
      <c r="D1" s="19" t="s">
        <v>366</v>
      </c>
      <c r="E1" s="19" t="s">
        <v>942</v>
      </c>
      <c r="F1" s="19" t="s">
        <v>931</v>
      </c>
      <c r="G1" s="19" t="s">
        <v>941</v>
      </c>
      <c r="H1" s="19" t="s">
        <v>380</v>
      </c>
      <c r="I1" s="19" t="s">
        <v>363</v>
      </c>
      <c r="J1" s="29" t="s">
        <v>1034</v>
      </c>
      <c r="K1" s="21" t="s">
        <v>1029</v>
      </c>
      <c r="L1" s="21" t="s">
        <v>347</v>
      </c>
      <c r="M1" s="21" t="s">
        <v>426</v>
      </c>
    </row>
    <row r="2" spans="1:13" s="51" customFormat="1" ht="14.45" customHeight="1" x14ac:dyDescent="0.2">
      <c r="A2" s="131" t="s">
        <v>921</v>
      </c>
      <c r="B2" s="131" t="s">
        <v>2</v>
      </c>
      <c r="C2" s="59" t="s">
        <v>428</v>
      </c>
      <c r="D2" s="60" t="s">
        <v>349</v>
      </c>
      <c r="E2" s="144"/>
      <c r="F2" s="144"/>
      <c r="G2" s="37">
        <v>0.11</v>
      </c>
      <c r="H2" s="37"/>
      <c r="I2" s="61" t="s">
        <v>364</v>
      </c>
      <c r="J2" s="50" t="s">
        <v>348</v>
      </c>
      <c r="K2" s="60" t="s">
        <v>470</v>
      </c>
      <c r="L2" s="60"/>
      <c r="M2" s="60"/>
    </row>
    <row r="3" spans="1:13" s="51" customFormat="1" ht="14.45" customHeight="1" x14ac:dyDescent="0.2">
      <c r="A3" s="131" t="s">
        <v>921</v>
      </c>
      <c r="B3" s="131" t="s">
        <v>2</v>
      </c>
      <c r="C3" s="59" t="s">
        <v>428</v>
      </c>
      <c r="D3" s="60" t="s">
        <v>350</v>
      </c>
      <c r="E3" s="144"/>
      <c r="F3" s="144"/>
      <c r="G3" s="37">
        <v>0.4</v>
      </c>
      <c r="H3" s="37"/>
      <c r="I3" s="61"/>
      <c r="K3" s="45"/>
      <c r="L3" s="45"/>
      <c r="M3" s="45"/>
    </row>
    <row r="4" spans="1:13" s="51" customFormat="1" ht="14.45" customHeight="1" x14ac:dyDescent="0.2">
      <c r="A4" s="131" t="s">
        <v>921</v>
      </c>
      <c r="B4" s="131" t="s">
        <v>2</v>
      </c>
      <c r="C4" s="59" t="s">
        <v>428</v>
      </c>
      <c r="D4" s="60" t="s">
        <v>351</v>
      </c>
      <c r="E4" s="144"/>
      <c r="F4" s="144"/>
      <c r="G4" s="37">
        <v>0.06</v>
      </c>
      <c r="H4" s="37"/>
      <c r="I4" s="61"/>
      <c r="K4" s="45"/>
      <c r="L4" s="45"/>
      <c r="M4" s="45"/>
    </row>
    <row r="5" spans="1:13" s="51" customFormat="1" ht="14.45" customHeight="1" x14ac:dyDescent="0.2">
      <c r="A5" s="131" t="s">
        <v>921</v>
      </c>
      <c r="B5" s="131" t="s">
        <v>2</v>
      </c>
      <c r="C5" s="59" t="s">
        <v>428</v>
      </c>
      <c r="D5" s="60" t="s">
        <v>352</v>
      </c>
      <c r="E5" s="144"/>
      <c r="F5" s="144"/>
      <c r="G5" s="37">
        <v>0.26</v>
      </c>
      <c r="H5" s="37"/>
      <c r="I5" s="61"/>
      <c r="K5" s="45"/>
      <c r="L5" s="45"/>
      <c r="M5" s="45"/>
    </row>
    <row r="6" spans="1:13" s="51" customFormat="1" ht="14.45" customHeight="1" x14ac:dyDescent="0.2">
      <c r="A6" s="131" t="s">
        <v>921</v>
      </c>
      <c r="B6" s="131" t="s">
        <v>2</v>
      </c>
      <c r="C6" s="59" t="s">
        <v>428</v>
      </c>
      <c r="D6" s="60" t="s">
        <v>345</v>
      </c>
      <c r="E6" s="144"/>
      <c r="F6" s="144"/>
      <c r="G6" s="37">
        <v>0.17</v>
      </c>
      <c r="H6" s="37"/>
      <c r="I6" s="61"/>
      <c r="K6" s="45"/>
      <c r="L6" s="45"/>
      <c r="M6" s="45"/>
    </row>
    <row r="7" spans="1:13" s="66" customFormat="1" ht="14.45" customHeight="1" x14ac:dyDescent="0.2">
      <c r="A7" s="131" t="s">
        <v>921</v>
      </c>
      <c r="B7" s="62" t="s">
        <v>2</v>
      </c>
      <c r="C7" s="62" t="s">
        <v>428</v>
      </c>
      <c r="D7" s="63" t="s">
        <v>346</v>
      </c>
      <c r="E7" s="143"/>
      <c r="F7" s="143"/>
      <c r="G7" s="64">
        <f>SUM(G2:G6)</f>
        <v>1</v>
      </c>
      <c r="H7" s="64"/>
      <c r="I7" s="65"/>
      <c r="K7" s="67"/>
      <c r="L7" s="67"/>
      <c r="M7" s="67"/>
    </row>
    <row r="8" spans="1:13" s="11" customFormat="1" ht="14.45" customHeight="1" x14ac:dyDescent="0.2">
      <c r="A8" s="132" t="s">
        <v>921</v>
      </c>
      <c r="B8" s="49" t="s">
        <v>2</v>
      </c>
      <c r="C8" s="20" t="s">
        <v>430</v>
      </c>
      <c r="D8" s="12" t="s">
        <v>349</v>
      </c>
      <c r="E8" s="145"/>
      <c r="F8" s="145"/>
      <c r="G8" s="33">
        <v>0.03</v>
      </c>
      <c r="H8" s="33"/>
      <c r="I8" s="13" t="s">
        <v>364</v>
      </c>
      <c r="J8" s="16" t="s">
        <v>348</v>
      </c>
      <c r="K8" s="12" t="s">
        <v>471</v>
      </c>
      <c r="L8" s="12"/>
      <c r="M8" s="12"/>
    </row>
    <row r="9" spans="1:13" s="11" customFormat="1" ht="14.45" customHeight="1" x14ac:dyDescent="0.2">
      <c r="A9" s="132" t="s">
        <v>921</v>
      </c>
      <c r="B9" s="49" t="s">
        <v>2</v>
      </c>
      <c r="C9" s="20" t="s">
        <v>430</v>
      </c>
      <c r="D9" s="12" t="s">
        <v>350</v>
      </c>
      <c r="E9" s="145"/>
      <c r="F9" s="145"/>
      <c r="G9" s="33">
        <v>0.46</v>
      </c>
      <c r="H9" s="33"/>
      <c r="I9" s="13"/>
      <c r="J9" s="20"/>
      <c r="K9" s="14"/>
      <c r="L9" s="14"/>
      <c r="M9" s="14"/>
    </row>
    <row r="10" spans="1:13" s="11" customFormat="1" ht="14.45" customHeight="1" x14ac:dyDescent="0.2">
      <c r="A10" s="132" t="s">
        <v>921</v>
      </c>
      <c r="B10" s="49" t="s">
        <v>2</v>
      </c>
      <c r="C10" s="20" t="s">
        <v>430</v>
      </c>
      <c r="D10" s="12" t="s">
        <v>351</v>
      </c>
      <c r="E10" s="145"/>
      <c r="F10" s="145"/>
      <c r="G10" s="33">
        <v>0.09</v>
      </c>
      <c r="H10" s="33"/>
      <c r="I10" s="13"/>
      <c r="J10" s="20"/>
      <c r="K10" s="14"/>
      <c r="L10" s="14"/>
      <c r="M10" s="14"/>
    </row>
    <row r="11" spans="1:13" s="11" customFormat="1" ht="14.45" customHeight="1" x14ac:dyDescent="0.2">
      <c r="A11" s="132" t="s">
        <v>921</v>
      </c>
      <c r="B11" s="49" t="s">
        <v>2</v>
      </c>
      <c r="C11" s="20" t="s">
        <v>430</v>
      </c>
      <c r="D11" s="12" t="s">
        <v>352</v>
      </c>
      <c r="E11" s="145"/>
      <c r="F11" s="145"/>
      <c r="G11" s="33">
        <v>0.24</v>
      </c>
      <c r="H11" s="33"/>
      <c r="I11" s="13"/>
      <c r="J11" s="20"/>
      <c r="K11" s="14"/>
      <c r="L11" s="14"/>
      <c r="M11" s="14"/>
    </row>
    <row r="12" spans="1:13" s="11" customFormat="1" ht="14.45" customHeight="1" x14ac:dyDescent="0.2">
      <c r="A12" s="132" t="s">
        <v>921</v>
      </c>
      <c r="B12" s="49" t="s">
        <v>2</v>
      </c>
      <c r="C12" s="20" t="s">
        <v>430</v>
      </c>
      <c r="D12" s="12" t="s">
        <v>345</v>
      </c>
      <c r="E12" s="145"/>
      <c r="F12" s="145"/>
      <c r="G12" s="33">
        <v>0.18</v>
      </c>
      <c r="H12" s="33"/>
      <c r="I12" s="13"/>
      <c r="J12" s="20"/>
      <c r="K12" s="14"/>
      <c r="L12" s="14"/>
      <c r="M12" s="14"/>
    </row>
    <row r="13" spans="1:13" s="17" customFormat="1" ht="14.45" customHeight="1" x14ac:dyDescent="0.2">
      <c r="A13" s="132" t="s">
        <v>921</v>
      </c>
      <c r="B13" s="68" t="s">
        <v>2</v>
      </c>
      <c r="C13" s="29" t="s">
        <v>430</v>
      </c>
      <c r="D13" s="31" t="s">
        <v>346</v>
      </c>
      <c r="E13" s="141"/>
      <c r="F13" s="141"/>
      <c r="G13" s="34">
        <f>SUM(G8:G12)</f>
        <v>1</v>
      </c>
      <c r="H13" s="34"/>
      <c r="I13" s="69"/>
      <c r="J13" s="29"/>
      <c r="K13" s="32"/>
      <c r="L13" s="32"/>
      <c r="M13" s="32"/>
    </row>
    <row r="14" spans="1:13" s="11" customFormat="1" ht="14.45" customHeight="1" x14ac:dyDescent="0.2">
      <c r="A14" s="132" t="s">
        <v>921</v>
      </c>
      <c r="B14" s="132" t="s">
        <v>4</v>
      </c>
      <c r="C14" s="20" t="s">
        <v>433</v>
      </c>
      <c r="D14" s="12" t="s">
        <v>349</v>
      </c>
      <c r="E14" s="145"/>
      <c r="F14" s="145"/>
      <c r="G14" s="33">
        <v>7.0000000000000007E-2</v>
      </c>
      <c r="H14" s="33"/>
      <c r="I14" s="13" t="s">
        <v>364</v>
      </c>
      <c r="J14" s="16" t="s">
        <v>348</v>
      </c>
      <c r="K14" s="12" t="s">
        <v>472</v>
      </c>
      <c r="L14" s="12"/>
      <c r="M14" s="12"/>
    </row>
    <row r="15" spans="1:13" s="11" customFormat="1" ht="14.45" customHeight="1" x14ac:dyDescent="0.2">
      <c r="A15" s="132" t="s">
        <v>921</v>
      </c>
      <c r="B15" s="132" t="s">
        <v>4</v>
      </c>
      <c r="C15" s="20" t="s">
        <v>433</v>
      </c>
      <c r="D15" s="12" t="s">
        <v>350</v>
      </c>
      <c r="E15" s="145"/>
      <c r="F15" s="145"/>
      <c r="G15" s="33">
        <v>0.41</v>
      </c>
      <c r="H15" s="33"/>
      <c r="I15" s="13"/>
      <c r="J15" s="20"/>
      <c r="K15" s="14"/>
      <c r="L15" s="14"/>
      <c r="M15" s="14"/>
    </row>
    <row r="16" spans="1:13" s="11" customFormat="1" ht="14.45" customHeight="1" x14ac:dyDescent="0.2">
      <c r="A16" s="132" t="s">
        <v>921</v>
      </c>
      <c r="B16" s="132" t="s">
        <v>4</v>
      </c>
      <c r="C16" s="20" t="s">
        <v>433</v>
      </c>
      <c r="D16" s="12" t="s">
        <v>351</v>
      </c>
      <c r="E16" s="145"/>
      <c r="F16" s="145"/>
      <c r="G16" s="33">
        <v>0.13</v>
      </c>
      <c r="H16" s="33"/>
      <c r="I16" s="13"/>
      <c r="J16" s="20"/>
      <c r="K16" s="14"/>
      <c r="L16" s="14"/>
      <c r="M16" s="14"/>
    </row>
    <row r="17" spans="1:13" s="11" customFormat="1" ht="14.45" customHeight="1" x14ac:dyDescent="0.2">
      <c r="A17" s="132" t="s">
        <v>921</v>
      </c>
      <c r="B17" s="132" t="s">
        <v>4</v>
      </c>
      <c r="C17" s="20" t="s">
        <v>433</v>
      </c>
      <c r="D17" s="12" t="s">
        <v>352</v>
      </c>
      <c r="E17" s="145"/>
      <c r="F17" s="145"/>
      <c r="G17" s="33">
        <v>0.22</v>
      </c>
      <c r="H17" s="33"/>
      <c r="I17" s="13"/>
      <c r="J17" s="20"/>
      <c r="K17" s="14"/>
      <c r="L17" s="14"/>
      <c r="M17" s="14"/>
    </row>
    <row r="18" spans="1:13" s="11" customFormat="1" ht="14.45" customHeight="1" x14ac:dyDescent="0.2">
      <c r="A18" s="132" t="s">
        <v>921</v>
      </c>
      <c r="B18" s="132" t="s">
        <v>4</v>
      </c>
      <c r="C18" s="20" t="s">
        <v>433</v>
      </c>
      <c r="D18" s="12" t="s">
        <v>345</v>
      </c>
      <c r="E18" s="145"/>
      <c r="F18" s="145"/>
      <c r="G18" s="33">
        <v>0.17</v>
      </c>
      <c r="H18" s="33"/>
      <c r="I18" s="13"/>
      <c r="J18" s="20"/>
      <c r="K18" s="14"/>
      <c r="L18" s="14"/>
      <c r="M18" s="14"/>
    </row>
    <row r="19" spans="1:13" s="17" customFormat="1" ht="14.45" customHeight="1" x14ac:dyDescent="0.2">
      <c r="A19" s="132" t="s">
        <v>921</v>
      </c>
      <c r="B19" s="68" t="s">
        <v>4</v>
      </c>
      <c r="C19" s="29" t="s">
        <v>433</v>
      </c>
      <c r="D19" s="31" t="s">
        <v>346</v>
      </c>
      <c r="E19" s="141"/>
      <c r="F19" s="141"/>
      <c r="G19" s="34">
        <f>SUM(G14:G18)</f>
        <v>1</v>
      </c>
      <c r="H19" s="34"/>
      <c r="I19" s="69"/>
      <c r="J19" s="29"/>
      <c r="K19" s="32"/>
      <c r="L19" s="32"/>
      <c r="M19" s="32"/>
    </row>
    <row r="20" spans="1:13" s="51" customFormat="1" ht="14.45" customHeight="1" x14ac:dyDescent="0.2">
      <c r="A20" s="131" t="s">
        <v>921</v>
      </c>
      <c r="B20" s="131" t="s">
        <v>4</v>
      </c>
      <c r="C20" s="51" t="s">
        <v>435</v>
      </c>
      <c r="D20" s="60" t="s">
        <v>349</v>
      </c>
      <c r="E20" s="144"/>
      <c r="F20" s="144"/>
      <c r="G20" s="37">
        <v>0.04</v>
      </c>
      <c r="H20" s="37"/>
      <c r="I20" s="61" t="s">
        <v>364</v>
      </c>
      <c r="J20" s="50" t="s">
        <v>348</v>
      </c>
      <c r="K20" s="60" t="s">
        <v>473</v>
      </c>
      <c r="L20" s="60"/>
      <c r="M20" s="60"/>
    </row>
    <row r="21" spans="1:13" s="51" customFormat="1" ht="14.45" customHeight="1" x14ac:dyDescent="0.2">
      <c r="A21" s="131" t="s">
        <v>921</v>
      </c>
      <c r="B21" s="131" t="s">
        <v>4</v>
      </c>
      <c r="C21" s="51" t="s">
        <v>435</v>
      </c>
      <c r="D21" s="60" t="s">
        <v>350</v>
      </c>
      <c r="E21" s="144"/>
      <c r="F21" s="144"/>
      <c r="G21" s="37">
        <v>0.46</v>
      </c>
      <c r="H21" s="37"/>
      <c r="I21" s="61"/>
      <c r="K21" s="45"/>
      <c r="L21" s="45"/>
      <c r="M21" s="45"/>
    </row>
    <row r="22" spans="1:13" s="51" customFormat="1" ht="14.45" customHeight="1" x14ac:dyDescent="0.2">
      <c r="A22" s="131" t="s">
        <v>921</v>
      </c>
      <c r="B22" s="131" t="s">
        <v>4</v>
      </c>
      <c r="C22" s="51" t="s">
        <v>435</v>
      </c>
      <c r="D22" s="60" t="s">
        <v>351</v>
      </c>
      <c r="E22" s="144"/>
      <c r="F22" s="144"/>
      <c r="G22" s="37">
        <v>0.06</v>
      </c>
      <c r="H22" s="37"/>
      <c r="I22" s="61"/>
      <c r="K22" s="45"/>
      <c r="L22" s="45"/>
      <c r="M22" s="45"/>
    </row>
    <row r="23" spans="1:13" s="51" customFormat="1" ht="14.45" customHeight="1" x14ac:dyDescent="0.2">
      <c r="A23" s="131" t="s">
        <v>921</v>
      </c>
      <c r="B23" s="131" t="s">
        <v>4</v>
      </c>
      <c r="C23" s="51" t="s">
        <v>435</v>
      </c>
      <c r="D23" s="60" t="s">
        <v>352</v>
      </c>
      <c r="E23" s="144"/>
      <c r="F23" s="144"/>
      <c r="G23" s="37">
        <v>0.3</v>
      </c>
      <c r="H23" s="37"/>
      <c r="I23" s="61"/>
      <c r="K23" s="45"/>
      <c r="L23" s="45"/>
      <c r="M23" s="45"/>
    </row>
    <row r="24" spans="1:13" s="51" customFormat="1" ht="14.45" customHeight="1" x14ac:dyDescent="0.2">
      <c r="A24" s="131" t="s">
        <v>921</v>
      </c>
      <c r="B24" s="131" t="s">
        <v>4</v>
      </c>
      <c r="C24" s="51" t="s">
        <v>435</v>
      </c>
      <c r="D24" s="60" t="s">
        <v>345</v>
      </c>
      <c r="E24" s="144"/>
      <c r="F24" s="144"/>
      <c r="G24" s="37">
        <v>0.14000000000000001</v>
      </c>
      <c r="H24" s="37"/>
      <c r="I24" s="61"/>
      <c r="K24" s="45"/>
      <c r="L24" s="45"/>
      <c r="M24" s="45"/>
    </row>
    <row r="25" spans="1:13" s="66" customFormat="1" ht="14.45" customHeight="1" x14ac:dyDescent="0.2">
      <c r="A25" s="131" t="s">
        <v>921</v>
      </c>
      <c r="B25" s="62" t="s">
        <v>4</v>
      </c>
      <c r="C25" s="66" t="s">
        <v>435</v>
      </c>
      <c r="D25" s="63" t="s">
        <v>346</v>
      </c>
      <c r="E25" s="143"/>
      <c r="F25" s="143"/>
      <c r="G25" s="64">
        <f>SUM(G20:G24)</f>
        <v>1</v>
      </c>
      <c r="H25" s="64"/>
      <c r="I25" s="65"/>
      <c r="K25" s="67"/>
      <c r="L25" s="67"/>
      <c r="M25" s="67"/>
    </row>
    <row r="26" spans="1:13" s="11" customFormat="1" ht="14.45" customHeight="1" x14ac:dyDescent="0.2">
      <c r="A26" s="132" t="s">
        <v>921</v>
      </c>
      <c r="B26" s="132" t="s">
        <v>4</v>
      </c>
      <c r="C26" s="20" t="s">
        <v>430</v>
      </c>
      <c r="D26" s="12" t="s">
        <v>349</v>
      </c>
      <c r="E26" s="145"/>
      <c r="F26" s="145"/>
      <c r="G26" s="33">
        <v>0.03</v>
      </c>
      <c r="H26" s="33"/>
      <c r="I26" s="13" t="s">
        <v>364</v>
      </c>
      <c r="J26" s="16" t="s">
        <v>348</v>
      </c>
      <c r="K26" s="12" t="s">
        <v>471</v>
      </c>
      <c r="L26" s="12"/>
      <c r="M26" s="12"/>
    </row>
    <row r="27" spans="1:13" s="11" customFormat="1" ht="14.45" customHeight="1" x14ac:dyDescent="0.2">
      <c r="A27" s="132" t="s">
        <v>921</v>
      </c>
      <c r="B27" s="132" t="s">
        <v>4</v>
      </c>
      <c r="C27" s="20" t="s">
        <v>430</v>
      </c>
      <c r="D27" s="12" t="s">
        <v>350</v>
      </c>
      <c r="E27" s="145"/>
      <c r="F27" s="145"/>
      <c r="G27" s="33">
        <v>0.46</v>
      </c>
      <c r="H27" s="33"/>
      <c r="I27" s="13"/>
      <c r="J27" s="20"/>
      <c r="K27" s="14"/>
      <c r="L27" s="14"/>
      <c r="M27" s="14"/>
    </row>
    <row r="28" spans="1:13" s="11" customFormat="1" ht="14.45" customHeight="1" x14ac:dyDescent="0.2">
      <c r="A28" s="132" t="s">
        <v>921</v>
      </c>
      <c r="B28" s="132" t="s">
        <v>4</v>
      </c>
      <c r="C28" s="20" t="s">
        <v>430</v>
      </c>
      <c r="D28" s="12" t="s">
        <v>351</v>
      </c>
      <c r="E28" s="145"/>
      <c r="F28" s="145"/>
      <c r="G28" s="33">
        <v>0.09</v>
      </c>
      <c r="H28" s="33"/>
      <c r="I28" s="13"/>
      <c r="J28" s="20"/>
      <c r="K28" s="14"/>
      <c r="L28" s="14"/>
      <c r="M28" s="14"/>
    </row>
    <row r="29" spans="1:13" s="11" customFormat="1" ht="14.45" customHeight="1" x14ac:dyDescent="0.2">
      <c r="A29" s="132" t="s">
        <v>921</v>
      </c>
      <c r="B29" s="132" t="s">
        <v>4</v>
      </c>
      <c r="C29" s="20" t="s">
        <v>430</v>
      </c>
      <c r="D29" s="12" t="s">
        <v>352</v>
      </c>
      <c r="E29" s="145"/>
      <c r="F29" s="145"/>
      <c r="G29" s="33">
        <v>0.24</v>
      </c>
      <c r="H29" s="33"/>
      <c r="I29" s="13"/>
      <c r="J29" s="20"/>
      <c r="K29" s="14"/>
      <c r="L29" s="14"/>
      <c r="M29" s="14"/>
    </row>
    <row r="30" spans="1:13" s="11" customFormat="1" ht="14.45" customHeight="1" x14ac:dyDescent="0.2">
      <c r="A30" s="132" t="s">
        <v>921</v>
      </c>
      <c r="B30" s="132" t="s">
        <v>4</v>
      </c>
      <c r="C30" s="20" t="s">
        <v>430</v>
      </c>
      <c r="D30" s="12" t="s">
        <v>345</v>
      </c>
      <c r="E30" s="145"/>
      <c r="F30" s="145"/>
      <c r="G30" s="33">
        <v>0.18</v>
      </c>
      <c r="H30" s="33"/>
      <c r="I30" s="13"/>
      <c r="J30" s="20"/>
      <c r="K30" s="14"/>
      <c r="L30" s="14"/>
      <c r="M30" s="14"/>
    </row>
    <row r="31" spans="1:13" s="17" customFormat="1" ht="14.45" customHeight="1" x14ac:dyDescent="0.2">
      <c r="A31" s="132" t="s">
        <v>921</v>
      </c>
      <c r="B31" s="68" t="s">
        <v>4</v>
      </c>
      <c r="C31" s="29" t="s">
        <v>430</v>
      </c>
      <c r="D31" s="31" t="s">
        <v>346</v>
      </c>
      <c r="E31" s="141"/>
      <c r="F31" s="141"/>
      <c r="G31" s="34">
        <f>SUM(G26:G30)</f>
        <v>1</v>
      </c>
      <c r="H31" s="34"/>
      <c r="I31" s="69"/>
      <c r="J31" s="29"/>
      <c r="K31" s="32"/>
      <c r="L31" s="32"/>
      <c r="M31" s="32"/>
    </row>
    <row r="32" spans="1:13" s="51" customFormat="1" ht="14.45" customHeight="1" x14ac:dyDescent="0.2">
      <c r="A32" s="131" t="s">
        <v>921</v>
      </c>
      <c r="B32" s="51" t="s">
        <v>6</v>
      </c>
      <c r="C32" s="51" t="s">
        <v>438</v>
      </c>
      <c r="D32" s="60" t="s">
        <v>349</v>
      </c>
      <c r="E32" s="144"/>
      <c r="F32" s="144"/>
      <c r="G32" s="37">
        <v>0.15</v>
      </c>
      <c r="H32" s="37"/>
      <c r="I32" s="61" t="s">
        <v>364</v>
      </c>
      <c r="J32" s="50" t="s">
        <v>348</v>
      </c>
      <c r="K32" s="60" t="s">
        <v>474</v>
      </c>
      <c r="L32" s="60"/>
      <c r="M32" s="60"/>
    </row>
    <row r="33" spans="1:13" s="51" customFormat="1" ht="14.45" customHeight="1" x14ac:dyDescent="0.2">
      <c r="A33" s="131" t="s">
        <v>921</v>
      </c>
      <c r="B33" s="51" t="s">
        <v>6</v>
      </c>
      <c r="C33" s="51" t="s">
        <v>438</v>
      </c>
      <c r="D33" s="60" t="s">
        <v>350</v>
      </c>
      <c r="E33" s="144"/>
      <c r="F33" s="144"/>
      <c r="G33" s="37">
        <v>0.28000000000000003</v>
      </c>
      <c r="H33" s="37"/>
      <c r="I33" s="61"/>
      <c r="J33" s="60"/>
      <c r="K33" s="45"/>
      <c r="L33" s="45"/>
      <c r="M33" s="45"/>
    </row>
    <row r="34" spans="1:13" s="51" customFormat="1" ht="14.45" customHeight="1" x14ac:dyDescent="0.2">
      <c r="A34" s="131" t="s">
        <v>921</v>
      </c>
      <c r="B34" s="51" t="s">
        <v>6</v>
      </c>
      <c r="C34" s="51" t="s">
        <v>438</v>
      </c>
      <c r="D34" s="60" t="s">
        <v>351</v>
      </c>
      <c r="E34" s="144"/>
      <c r="F34" s="144"/>
      <c r="G34" s="37">
        <v>0.05</v>
      </c>
      <c r="H34" s="37"/>
      <c r="I34" s="61"/>
      <c r="K34" s="45"/>
      <c r="L34" s="45"/>
      <c r="M34" s="45"/>
    </row>
    <row r="35" spans="1:13" s="51" customFormat="1" ht="14.45" customHeight="1" x14ac:dyDescent="0.2">
      <c r="A35" s="131" t="s">
        <v>921</v>
      </c>
      <c r="B35" s="51" t="s">
        <v>6</v>
      </c>
      <c r="C35" s="51" t="s">
        <v>438</v>
      </c>
      <c r="D35" s="60" t="s">
        <v>352</v>
      </c>
      <c r="E35" s="144"/>
      <c r="F35" s="144"/>
      <c r="G35" s="37">
        <v>0.34</v>
      </c>
      <c r="H35" s="37"/>
      <c r="I35" s="61"/>
      <c r="K35" s="45"/>
      <c r="L35" s="45"/>
      <c r="M35" s="45"/>
    </row>
    <row r="36" spans="1:13" s="51" customFormat="1" ht="14.45" customHeight="1" x14ac:dyDescent="0.2">
      <c r="A36" s="131" t="s">
        <v>921</v>
      </c>
      <c r="B36" s="51" t="s">
        <v>6</v>
      </c>
      <c r="C36" s="51" t="s">
        <v>438</v>
      </c>
      <c r="D36" s="60" t="s">
        <v>345</v>
      </c>
      <c r="E36" s="144"/>
      <c r="F36" s="144"/>
      <c r="G36" s="37">
        <v>0.18</v>
      </c>
      <c r="H36" s="37"/>
      <c r="I36" s="61"/>
      <c r="K36" s="45"/>
      <c r="L36" s="45"/>
      <c r="M36" s="45"/>
    </row>
    <row r="37" spans="1:13" s="66" customFormat="1" ht="14.45" customHeight="1" x14ac:dyDescent="0.2">
      <c r="A37" s="131" t="s">
        <v>921</v>
      </c>
      <c r="B37" s="66" t="s">
        <v>6</v>
      </c>
      <c r="C37" s="66" t="s">
        <v>438</v>
      </c>
      <c r="D37" s="63" t="s">
        <v>346</v>
      </c>
      <c r="E37" s="143"/>
      <c r="F37" s="143"/>
      <c r="G37" s="64">
        <f>SUM(G32:G36)</f>
        <v>1</v>
      </c>
      <c r="H37" s="64"/>
      <c r="I37" s="65"/>
      <c r="K37" s="67"/>
      <c r="L37" s="67"/>
      <c r="M37" s="67"/>
    </row>
    <row r="38" spans="1:13" s="54" customFormat="1" ht="14.45" customHeight="1" x14ac:dyDescent="0.25">
      <c r="A38" s="131" t="s">
        <v>921</v>
      </c>
      <c r="B38" s="54" t="s">
        <v>8</v>
      </c>
      <c r="C38" s="51"/>
      <c r="D38" s="60" t="s">
        <v>349</v>
      </c>
      <c r="E38" s="144"/>
      <c r="F38" s="144"/>
      <c r="G38" s="37">
        <v>0.3</v>
      </c>
      <c r="H38" s="37"/>
      <c r="I38" s="61" t="s">
        <v>364</v>
      </c>
      <c r="J38" s="50" t="s">
        <v>348</v>
      </c>
      <c r="K38" s="60" t="s">
        <v>475</v>
      </c>
      <c r="L38" s="60"/>
      <c r="M38" s="60"/>
    </row>
    <row r="39" spans="1:13" s="54" customFormat="1" ht="14.45" customHeight="1" x14ac:dyDescent="0.25">
      <c r="A39" s="131" t="s">
        <v>921</v>
      </c>
      <c r="B39" s="54" t="s">
        <v>8</v>
      </c>
      <c r="D39" s="60" t="s">
        <v>350</v>
      </c>
      <c r="E39" s="144"/>
      <c r="F39" s="144"/>
      <c r="G39" s="37">
        <v>0.33</v>
      </c>
      <c r="H39" s="37"/>
      <c r="I39" s="60"/>
      <c r="J39" s="45"/>
    </row>
    <row r="40" spans="1:13" s="54" customFormat="1" ht="14.45" customHeight="1" x14ac:dyDescent="0.25">
      <c r="A40" s="131" t="s">
        <v>921</v>
      </c>
      <c r="B40" s="54" t="s">
        <v>8</v>
      </c>
      <c r="D40" s="60" t="s">
        <v>351</v>
      </c>
      <c r="E40" s="144"/>
      <c r="F40" s="144"/>
      <c r="G40" s="37">
        <v>0.04</v>
      </c>
      <c r="H40" s="37"/>
      <c r="I40" s="51"/>
      <c r="J40" s="45"/>
    </row>
    <row r="41" spans="1:13" s="54" customFormat="1" ht="14.45" customHeight="1" x14ac:dyDescent="0.25">
      <c r="A41" s="131" t="s">
        <v>921</v>
      </c>
      <c r="B41" s="54" t="s">
        <v>8</v>
      </c>
      <c r="D41" s="60" t="s">
        <v>352</v>
      </c>
      <c r="E41" s="144"/>
      <c r="F41" s="144"/>
      <c r="G41" s="37">
        <v>0.09</v>
      </c>
      <c r="H41" s="37"/>
      <c r="I41" s="51"/>
      <c r="J41" s="45"/>
    </row>
    <row r="42" spans="1:13" s="54" customFormat="1" ht="14.45" customHeight="1" x14ac:dyDescent="0.25">
      <c r="A42" s="131" t="s">
        <v>921</v>
      </c>
      <c r="B42" s="54" t="s">
        <v>8</v>
      </c>
      <c r="D42" s="60" t="s">
        <v>345</v>
      </c>
      <c r="E42" s="144"/>
      <c r="F42" s="144"/>
      <c r="G42" s="37">
        <v>0.24</v>
      </c>
      <c r="H42" s="37"/>
      <c r="I42" s="51"/>
      <c r="J42" s="45"/>
    </row>
    <row r="43" spans="1:13" s="70" customFormat="1" ht="14.45" customHeight="1" x14ac:dyDescent="0.25">
      <c r="A43" s="131" t="s">
        <v>921</v>
      </c>
      <c r="B43" s="70" t="s">
        <v>8</v>
      </c>
      <c r="D43" s="63" t="s">
        <v>346</v>
      </c>
      <c r="E43" s="143"/>
      <c r="F43" s="143"/>
      <c r="G43" s="64">
        <f>SUM(G38:G42)</f>
        <v>1</v>
      </c>
      <c r="H43" s="64"/>
      <c r="I43" s="66"/>
      <c r="J43" s="67"/>
    </row>
    <row r="44" spans="1:13" s="11" customFormat="1" ht="14.45" customHeight="1" x14ac:dyDescent="0.25">
      <c r="A44" s="132" t="s">
        <v>921</v>
      </c>
      <c r="B44" s="2" t="s">
        <v>8</v>
      </c>
      <c r="C44" s="2"/>
      <c r="D44" s="12" t="s">
        <v>476</v>
      </c>
      <c r="E44" s="145"/>
      <c r="F44" s="145"/>
      <c r="G44" s="33">
        <v>0.26</v>
      </c>
      <c r="H44" s="33"/>
      <c r="I44" s="13" t="s">
        <v>365</v>
      </c>
      <c r="J44" s="16" t="s">
        <v>477</v>
      </c>
      <c r="K44" s="14"/>
      <c r="L44" s="14"/>
      <c r="M44" s="14"/>
    </row>
    <row r="45" spans="1:13" s="11" customFormat="1" ht="14.45" customHeight="1" x14ac:dyDescent="0.25">
      <c r="A45" s="132" t="s">
        <v>921</v>
      </c>
      <c r="B45" s="2" t="s">
        <v>8</v>
      </c>
      <c r="C45" s="2"/>
      <c r="D45" s="12" t="s">
        <v>478</v>
      </c>
      <c r="E45" s="145"/>
      <c r="F45" s="145"/>
      <c r="G45" s="33">
        <v>0.14000000000000001</v>
      </c>
      <c r="H45" s="33"/>
      <c r="I45" s="13"/>
      <c r="J45" s="20"/>
      <c r="K45" s="14"/>
      <c r="L45" s="14"/>
      <c r="M45" s="14"/>
    </row>
    <row r="46" spans="1:13" s="11" customFormat="1" ht="14.45" customHeight="1" x14ac:dyDescent="0.25">
      <c r="A46" s="132" t="s">
        <v>921</v>
      </c>
      <c r="B46" s="2" t="s">
        <v>8</v>
      </c>
      <c r="C46" s="2"/>
      <c r="D46" s="12" t="s">
        <v>479</v>
      </c>
      <c r="E46" s="145"/>
      <c r="F46" s="145"/>
      <c r="G46" s="33">
        <v>0.14000000000000001</v>
      </c>
      <c r="H46" s="33"/>
      <c r="I46" s="13"/>
      <c r="J46" s="20"/>
      <c r="K46" s="14"/>
      <c r="L46" s="14"/>
      <c r="M46" s="14"/>
    </row>
    <row r="47" spans="1:13" s="11" customFormat="1" ht="14.45" customHeight="1" x14ac:dyDescent="0.25">
      <c r="A47" s="132" t="s">
        <v>921</v>
      </c>
      <c r="B47" s="2" t="s">
        <v>8</v>
      </c>
      <c r="C47" s="2"/>
      <c r="D47" s="12" t="s">
        <v>480</v>
      </c>
      <c r="E47" s="145"/>
      <c r="F47" s="145"/>
      <c r="G47" s="33">
        <v>0.16</v>
      </c>
      <c r="H47" s="33"/>
      <c r="I47" s="13"/>
      <c r="J47" s="20"/>
      <c r="K47" s="14"/>
      <c r="L47" s="14"/>
      <c r="M47" s="14"/>
    </row>
    <row r="48" spans="1:13" s="11" customFormat="1" ht="14.45" customHeight="1" x14ac:dyDescent="0.25">
      <c r="A48" s="132" t="s">
        <v>921</v>
      </c>
      <c r="B48" s="2" t="s">
        <v>8</v>
      </c>
      <c r="C48" s="2"/>
      <c r="D48" s="12" t="s">
        <v>481</v>
      </c>
      <c r="E48" s="145"/>
      <c r="F48" s="145"/>
      <c r="G48" s="33">
        <v>7.0000000000000007E-2</v>
      </c>
      <c r="H48" s="33"/>
      <c r="I48" s="13"/>
      <c r="J48" s="20"/>
      <c r="K48" s="14"/>
      <c r="L48" s="14"/>
      <c r="M48" s="14"/>
    </row>
    <row r="49" spans="1:13" ht="14.45" customHeight="1" x14ac:dyDescent="0.25">
      <c r="A49" s="132" t="s">
        <v>921</v>
      </c>
      <c r="B49" s="2" t="s">
        <v>8</v>
      </c>
      <c r="C49" s="2"/>
      <c r="D49" s="12" t="s">
        <v>482</v>
      </c>
      <c r="E49" s="145"/>
      <c r="F49" s="145"/>
      <c r="G49" s="33">
        <v>0.23</v>
      </c>
      <c r="H49" s="33"/>
      <c r="I49" s="13"/>
      <c r="K49" s="14"/>
      <c r="L49" s="14"/>
      <c r="M49" s="14"/>
    </row>
    <row r="50" spans="1:13" s="17" customFormat="1" ht="14.45" customHeight="1" x14ac:dyDescent="0.25">
      <c r="A50" s="132" t="s">
        <v>921</v>
      </c>
      <c r="B50" s="24" t="s">
        <v>8</v>
      </c>
      <c r="C50" s="24"/>
      <c r="D50" s="31" t="s">
        <v>346</v>
      </c>
      <c r="E50" s="141"/>
      <c r="F50" s="141"/>
      <c r="G50" s="34">
        <f>SUM(G44:G49)</f>
        <v>1</v>
      </c>
      <c r="H50" s="34"/>
      <c r="I50" s="69"/>
      <c r="J50" s="29"/>
      <c r="K50" s="26"/>
      <c r="L50" s="26"/>
      <c r="M50" s="26"/>
    </row>
    <row r="51" spans="1:13" s="54" customFormat="1" ht="14.45" customHeight="1" x14ac:dyDescent="0.25">
      <c r="A51" s="131" t="s">
        <v>921</v>
      </c>
      <c r="B51" s="54" t="s">
        <v>342</v>
      </c>
      <c r="C51" s="54" t="s">
        <v>361</v>
      </c>
      <c r="D51" s="60" t="s">
        <v>349</v>
      </c>
      <c r="E51" s="144"/>
      <c r="F51" s="144"/>
      <c r="G51" s="37">
        <v>0.12</v>
      </c>
      <c r="H51" s="37"/>
      <c r="I51" s="61" t="s">
        <v>364</v>
      </c>
      <c r="J51" s="50" t="s">
        <v>348</v>
      </c>
      <c r="K51" s="60" t="s">
        <v>353</v>
      </c>
      <c r="L51" s="60"/>
      <c r="M51" s="60"/>
    </row>
    <row r="52" spans="1:13" s="54" customFormat="1" ht="14.45" customHeight="1" x14ac:dyDescent="0.25">
      <c r="A52" s="131" t="s">
        <v>921</v>
      </c>
      <c r="B52" s="54" t="s">
        <v>342</v>
      </c>
      <c r="C52" s="54" t="s">
        <v>361</v>
      </c>
      <c r="D52" s="60" t="s">
        <v>350</v>
      </c>
      <c r="E52" s="144"/>
      <c r="F52" s="144"/>
      <c r="G52" s="37">
        <v>0.65</v>
      </c>
      <c r="H52" s="37"/>
      <c r="I52" s="60"/>
      <c r="J52" s="55"/>
    </row>
    <row r="53" spans="1:13" s="54" customFormat="1" ht="14.45" customHeight="1" x14ac:dyDescent="0.25">
      <c r="A53" s="131" t="s">
        <v>921</v>
      </c>
      <c r="B53" s="54" t="s">
        <v>342</v>
      </c>
      <c r="C53" s="54" t="s">
        <v>361</v>
      </c>
      <c r="D53" s="60" t="s">
        <v>351</v>
      </c>
      <c r="E53" s="144"/>
      <c r="F53" s="144"/>
      <c r="G53" s="37">
        <v>0.15</v>
      </c>
      <c r="H53" s="37"/>
      <c r="I53" s="60"/>
      <c r="J53" s="55"/>
    </row>
    <row r="54" spans="1:13" s="54" customFormat="1" ht="14.45" customHeight="1" x14ac:dyDescent="0.25">
      <c r="A54" s="131" t="s">
        <v>921</v>
      </c>
      <c r="B54" s="54" t="s">
        <v>342</v>
      </c>
      <c r="C54" s="54" t="s">
        <v>361</v>
      </c>
      <c r="D54" s="60" t="s">
        <v>352</v>
      </c>
      <c r="E54" s="144"/>
      <c r="F54" s="144"/>
      <c r="G54" s="37">
        <v>0.08</v>
      </c>
      <c r="H54" s="37"/>
      <c r="I54" s="51"/>
      <c r="J54" s="45"/>
    </row>
    <row r="55" spans="1:13" s="70" customFormat="1" ht="14.45" customHeight="1" x14ac:dyDescent="0.25">
      <c r="A55" s="131" t="s">
        <v>921</v>
      </c>
      <c r="B55" s="70" t="s">
        <v>342</v>
      </c>
      <c r="C55" s="70" t="s">
        <v>361</v>
      </c>
      <c r="D55" s="63" t="s">
        <v>346</v>
      </c>
      <c r="E55" s="143"/>
      <c r="F55" s="143"/>
      <c r="G55" s="64">
        <f>SUM(G51:G54)</f>
        <v>1</v>
      </c>
      <c r="H55" s="64"/>
      <c r="I55" s="66"/>
      <c r="J55" s="67"/>
    </row>
    <row r="56" spans="1:13" s="11" customFormat="1" ht="14.45" customHeight="1" x14ac:dyDescent="0.25">
      <c r="A56" s="132" t="s">
        <v>921</v>
      </c>
      <c r="B56" s="2" t="s">
        <v>342</v>
      </c>
      <c r="C56" s="2" t="s">
        <v>361</v>
      </c>
      <c r="D56" s="12" t="s">
        <v>483</v>
      </c>
      <c r="E56" s="145"/>
      <c r="F56" s="145"/>
      <c r="G56" s="33">
        <f>'[4]Figure 5.8'!D12</f>
        <v>1.1373147E-2</v>
      </c>
      <c r="H56" s="33"/>
      <c r="I56" s="13" t="s">
        <v>365</v>
      </c>
      <c r="J56" s="16" t="s">
        <v>367</v>
      </c>
      <c r="K56" s="22" t="s">
        <v>484</v>
      </c>
      <c r="L56" s="22"/>
      <c r="M56" s="22"/>
    </row>
    <row r="57" spans="1:13" s="11" customFormat="1" ht="14.45" customHeight="1" x14ac:dyDescent="0.25">
      <c r="A57" s="132" t="s">
        <v>921</v>
      </c>
      <c r="B57" s="2" t="s">
        <v>342</v>
      </c>
      <c r="C57" s="2" t="s">
        <v>361</v>
      </c>
      <c r="D57" s="12" t="s">
        <v>485</v>
      </c>
      <c r="E57" s="145"/>
      <c r="F57" s="145"/>
      <c r="G57" s="33">
        <f>'[4]Figure 5.8'!D13</f>
        <v>8.8937666999999998E-2</v>
      </c>
      <c r="H57" s="33"/>
      <c r="I57" s="13"/>
      <c r="J57" s="12"/>
      <c r="K57" s="23"/>
      <c r="L57" s="23"/>
      <c r="M57" s="23"/>
    </row>
    <row r="58" spans="1:13" s="11" customFormat="1" ht="14.45" customHeight="1" x14ac:dyDescent="0.25">
      <c r="A58" s="132" t="s">
        <v>921</v>
      </c>
      <c r="B58" s="2" t="s">
        <v>342</v>
      </c>
      <c r="C58" s="2" t="s">
        <v>361</v>
      </c>
      <c r="D58" s="12" t="s">
        <v>486</v>
      </c>
      <c r="E58" s="145"/>
      <c r="F58" s="145"/>
      <c r="G58" s="33">
        <f>'[4]Figure 5.8'!D14</f>
        <v>6.9498998000000006E-2</v>
      </c>
      <c r="H58" s="33"/>
      <c r="I58" s="13"/>
      <c r="J58" s="12"/>
      <c r="K58" s="14"/>
      <c r="L58" s="14"/>
      <c r="M58" s="14"/>
    </row>
    <row r="59" spans="1:13" s="11" customFormat="1" ht="14.45" customHeight="1" x14ac:dyDescent="0.25">
      <c r="A59" s="132" t="s">
        <v>921</v>
      </c>
      <c r="B59" s="2" t="s">
        <v>342</v>
      </c>
      <c r="C59" s="2" t="s">
        <v>361</v>
      </c>
      <c r="D59" s="12" t="s">
        <v>487</v>
      </c>
      <c r="E59" s="145"/>
      <c r="F59" s="145"/>
      <c r="G59" s="33">
        <f>'[4]Figure 5.8'!D15</f>
        <v>0.144890781</v>
      </c>
      <c r="H59" s="33"/>
      <c r="I59" s="13"/>
      <c r="J59" s="20"/>
      <c r="K59" s="14"/>
      <c r="L59" s="14"/>
      <c r="M59" s="14"/>
    </row>
    <row r="60" spans="1:13" s="11" customFormat="1" ht="14.45" customHeight="1" x14ac:dyDescent="0.25">
      <c r="A60" s="132" t="s">
        <v>921</v>
      </c>
      <c r="B60" s="2" t="s">
        <v>342</v>
      </c>
      <c r="C60" s="2" t="s">
        <v>361</v>
      </c>
      <c r="D60" s="12" t="s">
        <v>488</v>
      </c>
      <c r="E60" s="145"/>
      <c r="F60" s="145"/>
      <c r="G60" s="33">
        <f>'[4]Figure 5.8'!D16</f>
        <v>0.68529940700000003</v>
      </c>
      <c r="H60" s="33"/>
      <c r="I60" s="13"/>
      <c r="J60" s="20"/>
      <c r="K60" s="14"/>
      <c r="L60" s="14"/>
      <c r="M60" s="14"/>
    </row>
    <row r="61" spans="1:13" s="17" customFormat="1" ht="14.45" customHeight="1" x14ac:dyDescent="0.25">
      <c r="A61" s="132" t="s">
        <v>921</v>
      </c>
      <c r="B61" s="24" t="s">
        <v>342</v>
      </c>
      <c r="C61" s="24" t="s">
        <v>361</v>
      </c>
      <c r="D61" s="31" t="s">
        <v>346</v>
      </c>
      <c r="E61" s="141"/>
      <c r="F61" s="141"/>
      <c r="G61" s="34">
        <f>SUM(G56:G60)</f>
        <v>1</v>
      </c>
      <c r="H61" s="34"/>
      <c r="I61" s="69"/>
      <c r="J61" s="29"/>
      <c r="K61" s="32"/>
      <c r="L61" s="32"/>
      <c r="M61" s="32"/>
    </row>
    <row r="62" spans="1:13" s="51" customFormat="1" ht="14.45" customHeight="1" x14ac:dyDescent="0.25">
      <c r="A62" s="131" t="s">
        <v>921</v>
      </c>
      <c r="B62" s="54" t="s">
        <v>343</v>
      </c>
      <c r="C62" s="51" t="s">
        <v>444</v>
      </c>
      <c r="D62" s="60" t="s">
        <v>349</v>
      </c>
      <c r="E62" s="144"/>
      <c r="F62" s="144"/>
      <c r="G62" s="37">
        <v>0.18</v>
      </c>
      <c r="H62" s="37"/>
      <c r="I62" s="61" t="s">
        <v>364</v>
      </c>
      <c r="J62" s="50" t="s">
        <v>348</v>
      </c>
      <c r="K62" s="60" t="s">
        <v>489</v>
      </c>
      <c r="L62" s="60"/>
      <c r="M62" s="60"/>
    </row>
    <row r="63" spans="1:13" s="51" customFormat="1" ht="14.45" customHeight="1" x14ac:dyDescent="0.25">
      <c r="A63" s="131" t="s">
        <v>921</v>
      </c>
      <c r="B63" s="54" t="s">
        <v>343</v>
      </c>
      <c r="C63" s="51" t="s">
        <v>444</v>
      </c>
      <c r="D63" s="60" t="s">
        <v>350</v>
      </c>
      <c r="E63" s="144"/>
      <c r="F63" s="144"/>
      <c r="G63" s="37">
        <v>0.51</v>
      </c>
      <c r="H63" s="37"/>
      <c r="I63" s="60"/>
      <c r="J63" s="45"/>
    </row>
    <row r="64" spans="1:13" s="51" customFormat="1" ht="14.45" customHeight="1" x14ac:dyDescent="0.25">
      <c r="A64" s="131" t="s">
        <v>921</v>
      </c>
      <c r="B64" s="54" t="s">
        <v>343</v>
      </c>
      <c r="C64" s="51" t="s">
        <v>444</v>
      </c>
      <c r="D64" s="60" t="s">
        <v>351</v>
      </c>
      <c r="E64" s="144"/>
      <c r="F64" s="144"/>
      <c r="G64" s="37">
        <v>0.09</v>
      </c>
      <c r="H64" s="37"/>
      <c r="J64" s="45"/>
    </row>
    <row r="65" spans="1:13" s="51" customFormat="1" ht="14.45" customHeight="1" x14ac:dyDescent="0.25">
      <c r="A65" s="131" t="s">
        <v>921</v>
      </c>
      <c r="B65" s="54" t="s">
        <v>343</v>
      </c>
      <c r="C65" s="51" t="s">
        <v>444</v>
      </c>
      <c r="D65" s="60" t="s">
        <v>352</v>
      </c>
      <c r="E65" s="144"/>
      <c r="F65" s="144"/>
      <c r="G65" s="37">
        <v>0.22</v>
      </c>
      <c r="H65" s="37"/>
      <c r="J65" s="45"/>
    </row>
    <row r="66" spans="1:13" s="70" customFormat="1" ht="14.45" customHeight="1" x14ac:dyDescent="0.25">
      <c r="A66" s="131" t="s">
        <v>921</v>
      </c>
      <c r="B66" s="70" t="s">
        <v>343</v>
      </c>
      <c r="C66" s="66" t="s">
        <v>444</v>
      </c>
      <c r="D66" s="63" t="s">
        <v>346</v>
      </c>
      <c r="E66" s="143"/>
      <c r="F66" s="143"/>
      <c r="G66" s="64">
        <f>SUM(G62:G65)</f>
        <v>0.99999999999999989</v>
      </c>
      <c r="H66" s="64"/>
      <c r="I66" s="66"/>
      <c r="J66" s="67"/>
    </row>
    <row r="67" spans="1:13" ht="14.45" customHeight="1" x14ac:dyDescent="0.25">
      <c r="A67" s="132" t="s">
        <v>921</v>
      </c>
      <c r="B67" s="2" t="s">
        <v>343</v>
      </c>
      <c r="C67" s="20" t="s">
        <v>444</v>
      </c>
      <c r="D67" s="12" t="s">
        <v>490</v>
      </c>
      <c r="E67" s="145"/>
      <c r="F67" s="145"/>
      <c r="G67" s="33">
        <v>0.03</v>
      </c>
      <c r="H67" s="33"/>
      <c r="I67" s="13" t="s">
        <v>491</v>
      </c>
      <c r="J67" s="71" t="s">
        <v>492</v>
      </c>
      <c r="K67" s="12" t="s">
        <v>493</v>
      </c>
      <c r="L67" s="12"/>
      <c r="M67" s="12"/>
    </row>
    <row r="68" spans="1:13" ht="14.45" customHeight="1" x14ac:dyDescent="0.25">
      <c r="A68" s="132" t="s">
        <v>921</v>
      </c>
      <c r="B68" s="2" t="s">
        <v>343</v>
      </c>
      <c r="C68" s="20" t="s">
        <v>444</v>
      </c>
      <c r="D68" s="12" t="s">
        <v>494</v>
      </c>
      <c r="E68" s="145"/>
      <c r="F68" s="145"/>
      <c r="G68" s="33">
        <v>0.38</v>
      </c>
      <c r="H68" s="33"/>
      <c r="I68" s="13"/>
      <c r="J68" s="12"/>
      <c r="K68" s="14"/>
      <c r="L68" s="14"/>
      <c r="M68" s="14"/>
    </row>
    <row r="69" spans="1:13" ht="14.45" customHeight="1" x14ac:dyDescent="0.25">
      <c r="A69" s="132" t="s">
        <v>921</v>
      </c>
      <c r="B69" s="2" t="s">
        <v>343</v>
      </c>
      <c r="C69" s="20" t="s">
        <v>444</v>
      </c>
      <c r="D69" s="12" t="s">
        <v>495</v>
      </c>
      <c r="E69" s="145"/>
      <c r="F69" s="145"/>
      <c r="G69" s="33">
        <v>0.06</v>
      </c>
      <c r="H69" s="33"/>
      <c r="I69" s="13"/>
      <c r="K69" s="14"/>
      <c r="L69" s="14"/>
      <c r="M69" s="14"/>
    </row>
    <row r="70" spans="1:13" ht="14.45" customHeight="1" x14ac:dyDescent="0.25">
      <c r="A70" s="132" t="s">
        <v>921</v>
      </c>
      <c r="B70" s="2" t="s">
        <v>343</v>
      </c>
      <c r="C70" s="20" t="s">
        <v>444</v>
      </c>
      <c r="D70" s="12" t="s">
        <v>496</v>
      </c>
      <c r="E70" s="145"/>
      <c r="F70" s="145"/>
      <c r="G70" s="33">
        <v>0.18</v>
      </c>
      <c r="H70" s="33"/>
      <c r="I70" s="13"/>
      <c r="K70" s="14"/>
      <c r="L70" s="14"/>
      <c r="M70" s="14"/>
    </row>
    <row r="71" spans="1:13" ht="14.45" customHeight="1" x14ac:dyDescent="0.25">
      <c r="A71" s="132" t="s">
        <v>921</v>
      </c>
      <c r="B71" s="2" t="s">
        <v>343</v>
      </c>
      <c r="C71" s="20" t="s">
        <v>444</v>
      </c>
      <c r="D71" s="12" t="s">
        <v>497</v>
      </c>
      <c r="E71" s="145"/>
      <c r="F71" s="145"/>
      <c r="G71" s="33">
        <v>0.03</v>
      </c>
      <c r="H71" s="33"/>
      <c r="I71" s="13"/>
      <c r="K71" s="14"/>
      <c r="L71" s="14"/>
      <c r="M71" s="14"/>
    </row>
    <row r="72" spans="1:13" ht="14.45" customHeight="1" x14ac:dyDescent="0.25">
      <c r="A72" s="132" t="s">
        <v>921</v>
      </c>
      <c r="B72" s="2" t="s">
        <v>343</v>
      </c>
      <c r="C72" s="20" t="s">
        <v>444</v>
      </c>
      <c r="D72" s="12" t="s">
        <v>498</v>
      </c>
      <c r="E72" s="145"/>
      <c r="F72" s="145"/>
      <c r="G72" s="33">
        <v>0.19</v>
      </c>
      <c r="H72" s="33"/>
      <c r="I72" s="13"/>
      <c r="K72" s="14"/>
      <c r="L72" s="14"/>
      <c r="M72" s="14"/>
    </row>
    <row r="73" spans="1:13" ht="14.45" customHeight="1" x14ac:dyDescent="0.25">
      <c r="A73" s="132" t="s">
        <v>921</v>
      </c>
      <c r="B73" s="2" t="s">
        <v>343</v>
      </c>
      <c r="C73" s="20" t="s">
        <v>444</v>
      </c>
      <c r="D73" s="12" t="s">
        <v>499</v>
      </c>
      <c r="E73" s="145"/>
      <c r="F73" s="145"/>
      <c r="G73" s="33">
        <v>0.13</v>
      </c>
      <c r="H73" s="33"/>
      <c r="I73" s="13"/>
      <c r="K73" s="14"/>
      <c r="L73" s="14"/>
      <c r="M73" s="14"/>
    </row>
    <row r="74" spans="1:13" s="18" customFormat="1" ht="14.45" customHeight="1" x14ac:dyDescent="0.25">
      <c r="A74" s="132" t="s">
        <v>921</v>
      </c>
      <c r="B74" s="24" t="s">
        <v>343</v>
      </c>
      <c r="C74" s="29" t="s">
        <v>444</v>
      </c>
      <c r="D74" s="31" t="s">
        <v>346</v>
      </c>
      <c r="E74" s="141"/>
      <c r="F74" s="141"/>
      <c r="G74" s="34">
        <f>SUM(G67:G73)</f>
        <v>1</v>
      </c>
      <c r="H74" s="34"/>
      <c r="I74" s="69"/>
      <c r="J74" s="29"/>
      <c r="K74" s="32"/>
      <c r="L74" s="32"/>
      <c r="M74" s="32"/>
    </row>
    <row r="75" spans="1:13" s="11" customFormat="1" ht="14.45" customHeight="1" x14ac:dyDescent="0.2">
      <c r="A75" s="132" t="s">
        <v>921</v>
      </c>
      <c r="B75" s="49" t="s">
        <v>10</v>
      </c>
      <c r="C75" s="20" t="s">
        <v>433</v>
      </c>
      <c r="D75" s="12" t="s">
        <v>349</v>
      </c>
      <c r="E75" s="145"/>
      <c r="F75" s="145"/>
      <c r="G75" s="33">
        <v>7.0000000000000007E-2</v>
      </c>
      <c r="H75" s="33"/>
      <c r="I75" s="13" t="s">
        <v>364</v>
      </c>
      <c r="J75" s="16" t="s">
        <v>348</v>
      </c>
      <c r="K75" s="12" t="s">
        <v>472</v>
      </c>
      <c r="L75" s="12"/>
      <c r="M75" s="12"/>
    </row>
    <row r="76" spans="1:13" s="11" customFormat="1" ht="14.45" customHeight="1" x14ac:dyDescent="0.2">
      <c r="A76" s="132" t="s">
        <v>921</v>
      </c>
      <c r="B76" s="49" t="s">
        <v>10</v>
      </c>
      <c r="C76" s="20" t="s">
        <v>433</v>
      </c>
      <c r="D76" s="12" t="s">
        <v>350</v>
      </c>
      <c r="E76" s="145"/>
      <c r="F76" s="145"/>
      <c r="G76" s="33">
        <v>0.41</v>
      </c>
      <c r="H76" s="33"/>
      <c r="I76" s="20"/>
      <c r="J76" s="20"/>
      <c r="K76" s="14"/>
      <c r="L76" s="14"/>
      <c r="M76" s="14"/>
    </row>
    <row r="77" spans="1:13" s="11" customFormat="1" ht="14.45" customHeight="1" x14ac:dyDescent="0.2">
      <c r="A77" s="132" t="s">
        <v>921</v>
      </c>
      <c r="B77" s="49" t="s">
        <v>10</v>
      </c>
      <c r="C77" s="20" t="s">
        <v>433</v>
      </c>
      <c r="D77" s="12" t="s">
        <v>351</v>
      </c>
      <c r="E77" s="145"/>
      <c r="F77" s="145"/>
      <c r="G77" s="33">
        <v>0.13</v>
      </c>
      <c r="H77" s="33"/>
      <c r="I77" s="20"/>
      <c r="J77" s="20"/>
      <c r="K77" s="14"/>
      <c r="L77" s="14"/>
      <c r="M77" s="14"/>
    </row>
    <row r="78" spans="1:13" s="11" customFormat="1" ht="14.45" customHeight="1" x14ac:dyDescent="0.2">
      <c r="A78" s="132" t="s">
        <v>921</v>
      </c>
      <c r="B78" s="49" t="s">
        <v>10</v>
      </c>
      <c r="C78" s="20" t="s">
        <v>433</v>
      </c>
      <c r="D78" s="12" t="s">
        <v>352</v>
      </c>
      <c r="E78" s="145"/>
      <c r="F78" s="145"/>
      <c r="G78" s="33">
        <v>0.22</v>
      </c>
      <c r="H78" s="33"/>
      <c r="I78" s="20"/>
      <c r="J78" s="20"/>
      <c r="K78" s="14"/>
      <c r="L78" s="14"/>
      <c r="M78" s="14"/>
    </row>
    <row r="79" spans="1:13" s="11" customFormat="1" ht="14.45" customHeight="1" x14ac:dyDescent="0.2">
      <c r="A79" s="132" t="s">
        <v>921</v>
      </c>
      <c r="B79" s="49" t="s">
        <v>10</v>
      </c>
      <c r="C79" s="20" t="s">
        <v>433</v>
      </c>
      <c r="D79" s="12" t="s">
        <v>345</v>
      </c>
      <c r="E79" s="145"/>
      <c r="F79" s="145"/>
      <c r="G79" s="33">
        <v>0.17</v>
      </c>
      <c r="H79" s="33"/>
      <c r="I79" s="20"/>
      <c r="J79" s="20"/>
      <c r="K79" s="14"/>
      <c r="L79" s="14"/>
      <c r="M79" s="14"/>
    </row>
    <row r="80" spans="1:13" s="17" customFormat="1" ht="14.45" customHeight="1" x14ac:dyDescent="0.2">
      <c r="A80" s="132" t="s">
        <v>921</v>
      </c>
      <c r="B80" s="68" t="s">
        <v>10</v>
      </c>
      <c r="C80" s="29" t="s">
        <v>433</v>
      </c>
      <c r="D80" s="31" t="s">
        <v>346</v>
      </c>
      <c r="E80" s="141"/>
      <c r="F80" s="141"/>
      <c r="G80" s="34">
        <f>SUM(G75:G79)</f>
        <v>1</v>
      </c>
      <c r="H80" s="34"/>
      <c r="I80" s="29"/>
      <c r="J80" s="29"/>
      <c r="K80" s="32"/>
      <c r="L80" s="32"/>
      <c r="M80" s="32"/>
    </row>
    <row r="81" spans="1:13" s="51" customFormat="1" ht="14.45" customHeight="1" x14ac:dyDescent="0.2">
      <c r="A81" s="131" t="s">
        <v>921</v>
      </c>
      <c r="B81" s="59" t="s">
        <v>10</v>
      </c>
      <c r="C81" s="51" t="s">
        <v>430</v>
      </c>
      <c r="D81" s="60" t="s">
        <v>349</v>
      </c>
      <c r="E81" s="144"/>
      <c r="F81" s="144"/>
      <c r="G81" s="37">
        <v>0.03</v>
      </c>
      <c r="H81" s="37"/>
      <c r="I81" s="61" t="s">
        <v>364</v>
      </c>
      <c r="J81" s="50" t="s">
        <v>348</v>
      </c>
      <c r="K81" s="60" t="s">
        <v>471</v>
      </c>
      <c r="L81" s="60"/>
      <c r="M81" s="60"/>
    </row>
    <row r="82" spans="1:13" s="51" customFormat="1" ht="14.45" customHeight="1" x14ac:dyDescent="0.2">
      <c r="A82" s="131" t="s">
        <v>921</v>
      </c>
      <c r="B82" s="59" t="s">
        <v>10</v>
      </c>
      <c r="C82" s="51" t="s">
        <v>430</v>
      </c>
      <c r="D82" s="60" t="s">
        <v>350</v>
      </c>
      <c r="E82" s="144"/>
      <c r="F82" s="144"/>
      <c r="G82" s="37">
        <v>0.46</v>
      </c>
      <c r="H82" s="37"/>
      <c r="J82" s="45"/>
    </row>
    <row r="83" spans="1:13" s="51" customFormat="1" ht="14.45" customHeight="1" x14ac:dyDescent="0.2">
      <c r="A83" s="131" t="s">
        <v>921</v>
      </c>
      <c r="B83" s="59" t="s">
        <v>10</v>
      </c>
      <c r="C83" s="51" t="s">
        <v>430</v>
      </c>
      <c r="D83" s="60" t="s">
        <v>351</v>
      </c>
      <c r="E83" s="144"/>
      <c r="F83" s="144"/>
      <c r="G83" s="37">
        <v>0.09</v>
      </c>
      <c r="H83" s="37"/>
      <c r="J83" s="45"/>
    </row>
    <row r="84" spans="1:13" s="51" customFormat="1" ht="14.45" customHeight="1" x14ac:dyDescent="0.2">
      <c r="A84" s="131" t="s">
        <v>921</v>
      </c>
      <c r="B84" s="59" t="s">
        <v>10</v>
      </c>
      <c r="C84" s="51" t="s">
        <v>430</v>
      </c>
      <c r="D84" s="60" t="s">
        <v>352</v>
      </c>
      <c r="E84" s="144"/>
      <c r="F84" s="144"/>
      <c r="G84" s="37">
        <v>0.24</v>
      </c>
      <c r="H84" s="37"/>
      <c r="J84" s="45"/>
    </row>
    <row r="85" spans="1:13" s="51" customFormat="1" ht="14.45" customHeight="1" x14ac:dyDescent="0.2">
      <c r="A85" s="131" t="s">
        <v>921</v>
      </c>
      <c r="B85" s="59" t="s">
        <v>10</v>
      </c>
      <c r="C85" s="51" t="s">
        <v>430</v>
      </c>
      <c r="D85" s="60" t="s">
        <v>345</v>
      </c>
      <c r="E85" s="144"/>
      <c r="F85" s="144"/>
      <c r="G85" s="37">
        <v>0.18</v>
      </c>
      <c r="H85" s="37"/>
      <c r="J85" s="45"/>
    </row>
    <row r="86" spans="1:13" s="66" customFormat="1" ht="14.45" customHeight="1" x14ac:dyDescent="0.2">
      <c r="A86" s="131" t="s">
        <v>921</v>
      </c>
      <c r="B86" s="62" t="s">
        <v>10</v>
      </c>
      <c r="C86" s="66" t="s">
        <v>430</v>
      </c>
      <c r="D86" s="63" t="s">
        <v>346</v>
      </c>
      <c r="E86" s="143"/>
      <c r="F86" s="143"/>
      <c r="G86" s="64">
        <f>SUM(G81:G85)</f>
        <v>1</v>
      </c>
      <c r="H86" s="64"/>
      <c r="J86" s="67"/>
    </row>
    <row r="87" spans="1:13" s="54" customFormat="1" ht="14.45" customHeight="1" x14ac:dyDescent="0.25">
      <c r="A87" s="131" t="s">
        <v>921</v>
      </c>
      <c r="B87" s="54" t="s">
        <v>12</v>
      </c>
      <c r="C87" s="54" t="s">
        <v>357</v>
      </c>
      <c r="D87" s="60" t="s">
        <v>349</v>
      </c>
      <c r="E87" s="144"/>
      <c r="F87" s="144"/>
      <c r="G87" s="37">
        <v>0.16</v>
      </c>
      <c r="H87" s="37"/>
      <c r="I87" s="61" t="s">
        <v>364</v>
      </c>
      <c r="J87" s="50" t="s">
        <v>348</v>
      </c>
      <c r="K87" s="60" t="s">
        <v>356</v>
      </c>
      <c r="L87" s="60"/>
      <c r="M87" s="60"/>
    </row>
    <row r="88" spans="1:13" s="54" customFormat="1" ht="14.45" customHeight="1" x14ac:dyDescent="0.25">
      <c r="A88" s="131" t="s">
        <v>921</v>
      </c>
      <c r="B88" s="54" t="s">
        <v>12</v>
      </c>
      <c r="C88" s="54" t="s">
        <v>357</v>
      </c>
      <c r="D88" s="60" t="s">
        <v>350</v>
      </c>
      <c r="E88" s="144"/>
      <c r="F88" s="144"/>
      <c r="G88" s="37">
        <v>0.63</v>
      </c>
      <c r="H88" s="37"/>
      <c r="I88" s="60"/>
      <c r="J88" s="60"/>
      <c r="K88" s="45"/>
      <c r="L88" s="45"/>
      <c r="M88" s="45"/>
    </row>
    <row r="89" spans="1:13" s="54" customFormat="1" ht="14.45" customHeight="1" x14ac:dyDescent="0.25">
      <c r="A89" s="131" t="s">
        <v>921</v>
      </c>
      <c r="B89" s="54" t="s">
        <v>12</v>
      </c>
      <c r="C89" s="54" t="s">
        <v>357</v>
      </c>
      <c r="D89" s="60" t="s">
        <v>351</v>
      </c>
      <c r="E89" s="144"/>
      <c r="F89" s="144"/>
      <c r="G89" s="37">
        <v>0.08</v>
      </c>
      <c r="H89" s="37"/>
      <c r="I89" s="51"/>
      <c r="J89" s="51"/>
      <c r="K89" s="45"/>
      <c r="L89" s="45"/>
      <c r="M89" s="45"/>
    </row>
    <row r="90" spans="1:13" s="54" customFormat="1" ht="14.45" customHeight="1" x14ac:dyDescent="0.25">
      <c r="A90" s="131" t="s">
        <v>921</v>
      </c>
      <c r="B90" s="54" t="s">
        <v>12</v>
      </c>
      <c r="C90" s="54" t="s">
        <v>357</v>
      </c>
      <c r="D90" s="60" t="s">
        <v>352</v>
      </c>
      <c r="E90" s="144"/>
      <c r="F90" s="144"/>
      <c r="G90" s="37">
        <v>0.04</v>
      </c>
      <c r="H90" s="37"/>
      <c r="I90" s="51"/>
      <c r="J90" s="51"/>
      <c r="K90" s="45"/>
      <c r="L90" s="45"/>
      <c r="M90" s="45"/>
    </row>
    <row r="91" spans="1:13" s="54" customFormat="1" ht="14.45" customHeight="1" x14ac:dyDescent="0.25">
      <c r="A91" s="131" t="s">
        <v>921</v>
      </c>
      <c r="B91" s="54" t="s">
        <v>12</v>
      </c>
      <c r="C91" s="54" t="s">
        <v>357</v>
      </c>
      <c r="D91" s="60" t="s">
        <v>345</v>
      </c>
      <c r="E91" s="144"/>
      <c r="F91" s="144"/>
      <c r="G91" s="37">
        <v>0.09</v>
      </c>
      <c r="H91" s="37"/>
      <c r="I91" s="51"/>
      <c r="J91" s="51"/>
      <c r="K91" s="45"/>
      <c r="L91" s="45"/>
      <c r="M91" s="45"/>
    </row>
    <row r="92" spans="1:13" s="70" customFormat="1" ht="14.45" customHeight="1" x14ac:dyDescent="0.25">
      <c r="A92" s="131" t="s">
        <v>921</v>
      </c>
      <c r="B92" s="70" t="s">
        <v>12</v>
      </c>
      <c r="C92" s="70" t="s">
        <v>357</v>
      </c>
      <c r="D92" s="63" t="s">
        <v>346</v>
      </c>
      <c r="E92" s="143"/>
      <c r="F92" s="143"/>
      <c r="G92" s="64">
        <f>SUM(G87:G91)</f>
        <v>1</v>
      </c>
      <c r="H92" s="64"/>
      <c r="I92" s="66"/>
      <c r="J92" s="66"/>
      <c r="K92" s="72"/>
      <c r="L92" s="72"/>
      <c r="M92" s="72"/>
    </row>
    <row r="93" spans="1:13" ht="14.45" customHeight="1" x14ac:dyDescent="0.25">
      <c r="A93" s="132" t="s">
        <v>921</v>
      </c>
      <c r="B93" s="2" t="s">
        <v>12</v>
      </c>
      <c r="C93" s="2" t="s">
        <v>448</v>
      </c>
      <c r="D93" s="12" t="s">
        <v>349</v>
      </c>
      <c r="E93" s="145"/>
      <c r="F93" s="145"/>
      <c r="G93" s="33">
        <v>0.11</v>
      </c>
      <c r="H93" s="33"/>
      <c r="I93" s="13" t="s">
        <v>364</v>
      </c>
      <c r="J93" s="16" t="s">
        <v>348</v>
      </c>
      <c r="K93" s="12" t="s">
        <v>500</v>
      </c>
      <c r="L93" s="12"/>
      <c r="M93" s="12"/>
    </row>
    <row r="94" spans="1:13" ht="14.45" customHeight="1" x14ac:dyDescent="0.25">
      <c r="A94" s="132" t="s">
        <v>921</v>
      </c>
      <c r="B94" s="2" t="s">
        <v>12</v>
      </c>
      <c r="C94" s="2" t="s">
        <v>448</v>
      </c>
      <c r="D94" s="12" t="s">
        <v>350</v>
      </c>
      <c r="E94" s="145"/>
      <c r="F94" s="145"/>
      <c r="G94" s="33">
        <v>0.49</v>
      </c>
      <c r="H94" s="33"/>
      <c r="I94" s="12"/>
      <c r="J94" s="12"/>
    </row>
    <row r="95" spans="1:13" ht="14.45" customHeight="1" x14ac:dyDescent="0.25">
      <c r="A95" s="132" t="s">
        <v>921</v>
      </c>
      <c r="B95" s="2" t="s">
        <v>12</v>
      </c>
      <c r="C95" s="2" t="s">
        <v>448</v>
      </c>
      <c r="D95" s="12" t="s">
        <v>351</v>
      </c>
      <c r="E95" s="145"/>
      <c r="F95" s="145"/>
      <c r="G95" s="33">
        <v>0.12</v>
      </c>
      <c r="H95" s="33"/>
      <c r="I95" s="11"/>
    </row>
    <row r="96" spans="1:13" ht="14.45" customHeight="1" x14ac:dyDescent="0.25">
      <c r="A96" s="132" t="s">
        <v>921</v>
      </c>
      <c r="B96" s="2" t="s">
        <v>12</v>
      </c>
      <c r="C96" s="2" t="s">
        <v>448</v>
      </c>
      <c r="D96" s="12" t="s">
        <v>352</v>
      </c>
      <c r="E96" s="145"/>
      <c r="F96" s="145"/>
      <c r="G96" s="33">
        <v>0.11</v>
      </c>
      <c r="H96" s="33"/>
      <c r="I96" s="11"/>
    </row>
    <row r="97" spans="1:13" ht="14.45" customHeight="1" x14ac:dyDescent="0.25">
      <c r="A97" s="132" t="s">
        <v>921</v>
      </c>
      <c r="B97" s="2" t="s">
        <v>12</v>
      </c>
      <c r="C97" s="2" t="s">
        <v>448</v>
      </c>
      <c r="D97" s="12" t="s">
        <v>345</v>
      </c>
      <c r="E97" s="145"/>
      <c r="F97" s="145"/>
      <c r="G97" s="33">
        <v>0.17</v>
      </c>
      <c r="H97" s="33"/>
      <c r="I97" s="11"/>
    </row>
    <row r="98" spans="1:13" s="18" customFormat="1" ht="14.45" customHeight="1" x14ac:dyDescent="0.25">
      <c r="A98" s="132" t="s">
        <v>921</v>
      </c>
      <c r="B98" s="24" t="s">
        <v>12</v>
      </c>
      <c r="C98" s="24" t="s">
        <v>448</v>
      </c>
      <c r="D98" s="31" t="s">
        <v>346</v>
      </c>
      <c r="E98" s="141"/>
      <c r="F98" s="141"/>
      <c r="G98" s="34">
        <f>SUM(G93:G97)</f>
        <v>1</v>
      </c>
      <c r="H98" s="34"/>
      <c r="I98" s="17"/>
      <c r="J98" s="29"/>
      <c r="K98" s="21"/>
      <c r="L98" s="21"/>
      <c r="M98" s="21"/>
    </row>
    <row r="99" spans="1:13" ht="14.45" customHeight="1" x14ac:dyDescent="0.25">
      <c r="A99" s="132" t="s">
        <v>921</v>
      </c>
      <c r="B99" s="2" t="s">
        <v>12</v>
      </c>
      <c r="C99" s="2" t="s">
        <v>450</v>
      </c>
      <c r="D99" s="12" t="s">
        <v>349</v>
      </c>
      <c r="E99" s="145"/>
      <c r="F99" s="145"/>
      <c r="G99" s="33">
        <v>0.1</v>
      </c>
      <c r="H99" s="33"/>
      <c r="I99" s="13" t="s">
        <v>364</v>
      </c>
      <c r="J99" s="16" t="s">
        <v>348</v>
      </c>
      <c r="K99" s="12" t="s">
        <v>501</v>
      </c>
      <c r="L99" s="12"/>
      <c r="M99" s="12"/>
    </row>
    <row r="100" spans="1:13" ht="14.45" customHeight="1" x14ac:dyDescent="0.25">
      <c r="A100" s="132" t="s">
        <v>921</v>
      </c>
      <c r="B100" s="2" t="s">
        <v>12</v>
      </c>
      <c r="C100" s="2" t="s">
        <v>450</v>
      </c>
      <c r="D100" s="12" t="s">
        <v>350</v>
      </c>
      <c r="E100" s="145"/>
      <c r="F100" s="145"/>
      <c r="G100" s="33">
        <v>0.45</v>
      </c>
      <c r="H100" s="33"/>
      <c r="I100" s="12"/>
      <c r="J100" s="12"/>
    </row>
    <row r="101" spans="1:13" ht="14.45" customHeight="1" x14ac:dyDescent="0.25">
      <c r="A101" s="132" t="s">
        <v>921</v>
      </c>
      <c r="B101" s="2" t="s">
        <v>12</v>
      </c>
      <c r="C101" s="2" t="s">
        <v>450</v>
      </c>
      <c r="D101" s="12" t="s">
        <v>351</v>
      </c>
      <c r="E101" s="145"/>
      <c r="F101" s="145"/>
      <c r="G101" s="33">
        <v>7.0000000000000007E-2</v>
      </c>
      <c r="H101" s="33"/>
      <c r="I101" s="11"/>
    </row>
    <row r="102" spans="1:13" ht="14.45" customHeight="1" x14ac:dyDescent="0.25">
      <c r="A102" s="132" t="s">
        <v>921</v>
      </c>
      <c r="B102" s="2" t="s">
        <v>12</v>
      </c>
      <c r="C102" s="2" t="s">
        <v>450</v>
      </c>
      <c r="D102" s="12" t="s">
        <v>352</v>
      </c>
      <c r="E102" s="145"/>
      <c r="F102" s="145"/>
      <c r="G102" s="33">
        <v>0.13</v>
      </c>
      <c r="H102" s="33"/>
      <c r="I102" s="11"/>
    </row>
    <row r="103" spans="1:13" ht="14.45" customHeight="1" x14ac:dyDescent="0.25">
      <c r="A103" s="132" t="s">
        <v>921</v>
      </c>
      <c r="B103" s="2" t="s">
        <v>12</v>
      </c>
      <c r="C103" s="2" t="s">
        <v>450</v>
      </c>
      <c r="D103" s="12" t="s">
        <v>345</v>
      </c>
      <c r="E103" s="145"/>
      <c r="F103" s="145"/>
      <c r="G103" s="33">
        <v>0.25</v>
      </c>
      <c r="H103" s="33"/>
      <c r="I103" s="11"/>
    </row>
    <row r="104" spans="1:13" s="18" customFormat="1" ht="14.45" customHeight="1" x14ac:dyDescent="0.25">
      <c r="A104" s="132" t="s">
        <v>921</v>
      </c>
      <c r="B104" s="24" t="s">
        <v>12</v>
      </c>
      <c r="C104" s="24" t="s">
        <v>450</v>
      </c>
      <c r="D104" s="31" t="s">
        <v>346</v>
      </c>
      <c r="E104" s="141"/>
      <c r="F104" s="141"/>
      <c r="G104" s="34">
        <f>SUM(G99:G103)</f>
        <v>1</v>
      </c>
      <c r="H104" s="34"/>
      <c r="I104" s="17"/>
      <c r="J104" s="29"/>
      <c r="K104" s="21"/>
      <c r="L104" s="21"/>
      <c r="M104" s="21"/>
    </row>
    <row r="105" spans="1:13" ht="14.45" customHeight="1" x14ac:dyDescent="0.25">
      <c r="A105" s="132" t="s">
        <v>921</v>
      </c>
      <c r="B105" s="2" t="s">
        <v>12</v>
      </c>
      <c r="C105" s="2" t="s">
        <v>452</v>
      </c>
      <c r="D105" s="12" t="s">
        <v>349</v>
      </c>
      <c r="E105" s="145"/>
      <c r="F105" s="145"/>
      <c r="G105" s="33">
        <v>0.19</v>
      </c>
      <c r="H105" s="33"/>
      <c r="I105" s="13" t="s">
        <v>364</v>
      </c>
      <c r="J105" s="16" t="s">
        <v>348</v>
      </c>
      <c r="K105" s="12" t="s">
        <v>502</v>
      </c>
      <c r="L105" s="12"/>
      <c r="M105" s="12"/>
    </row>
    <row r="106" spans="1:13" ht="14.45" customHeight="1" x14ac:dyDescent="0.25">
      <c r="A106" s="132" t="s">
        <v>921</v>
      </c>
      <c r="B106" s="2" t="s">
        <v>12</v>
      </c>
      <c r="C106" s="2" t="s">
        <v>452</v>
      </c>
      <c r="D106" s="12" t="s">
        <v>350</v>
      </c>
      <c r="E106" s="145"/>
      <c r="F106" s="145"/>
      <c r="G106" s="33">
        <v>0.63</v>
      </c>
      <c r="H106" s="33"/>
      <c r="I106" s="12"/>
      <c r="J106" s="22"/>
    </row>
    <row r="107" spans="1:13" ht="14.45" customHeight="1" x14ac:dyDescent="0.25">
      <c r="A107" s="132" t="s">
        <v>921</v>
      </c>
      <c r="B107" s="2" t="s">
        <v>12</v>
      </c>
      <c r="C107" s="2" t="s">
        <v>452</v>
      </c>
      <c r="D107" s="12" t="s">
        <v>351</v>
      </c>
      <c r="E107" s="145"/>
      <c r="F107" s="145"/>
      <c r="G107" s="33">
        <v>7.0000000000000007E-2</v>
      </c>
      <c r="H107" s="33"/>
      <c r="I107" s="11"/>
      <c r="J107" s="22"/>
    </row>
    <row r="108" spans="1:13" ht="14.45" customHeight="1" x14ac:dyDescent="0.25">
      <c r="A108" s="132" t="s">
        <v>921</v>
      </c>
      <c r="B108" s="2" t="s">
        <v>12</v>
      </c>
      <c r="C108" s="2" t="s">
        <v>452</v>
      </c>
      <c r="D108" s="12" t="s">
        <v>352</v>
      </c>
      <c r="E108" s="145"/>
      <c r="F108" s="145"/>
      <c r="G108" s="33">
        <v>0.04</v>
      </c>
      <c r="H108" s="33"/>
      <c r="I108" s="11"/>
      <c r="J108" s="22"/>
    </row>
    <row r="109" spans="1:13" ht="14.45" customHeight="1" x14ac:dyDescent="0.25">
      <c r="A109" s="132" t="s">
        <v>921</v>
      </c>
      <c r="B109" s="2" t="s">
        <v>12</v>
      </c>
      <c r="C109" s="2" t="s">
        <v>452</v>
      </c>
      <c r="D109" s="12" t="s">
        <v>345</v>
      </c>
      <c r="E109" s="145"/>
      <c r="F109" s="145"/>
      <c r="G109" s="33">
        <v>7.0000000000000007E-2</v>
      </c>
      <c r="H109" s="33"/>
      <c r="I109" s="11"/>
      <c r="J109" s="22"/>
    </row>
    <row r="110" spans="1:13" s="18" customFormat="1" ht="14.45" customHeight="1" x14ac:dyDescent="0.25">
      <c r="A110" s="132" t="s">
        <v>921</v>
      </c>
      <c r="B110" s="24" t="s">
        <v>12</v>
      </c>
      <c r="C110" s="24" t="s">
        <v>452</v>
      </c>
      <c r="D110" s="31" t="s">
        <v>346</v>
      </c>
      <c r="E110" s="141"/>
      <c r="F110" s="141"/>
      <c r="G110" s="34">
        <f>SUM(G105:G109)</f>
        <v>1.0000000000000002</v>
      </c>
      <c r="H110" s="34"/>
      <c r="I110" s="17"/>
      <c r="J110" s="21"/>
      <c r="K110" s="21"/>
      <c r="L110" s="21"/>
      <c r="M110" s="21"/>
    </row>
    <row r="111" spans="1:13" ht="14.45" customHeight="1" x14ac:dyDescent="0.25">
      <c r="A111" s="132" t="s">
        <v>921</v>
      </c>
      <c r="B111" s="2" t="s">
        <v>12</v>
      </c>
      <c r="C111" s="1" t="s">
        <v>503</v>
      </c>
      <c r="D111" s="12" t="s">
        <v>504</v>
      </c>
      <c r="E111" s="145"/>
      <c r="F111" s="145"/>
      <c r="G111" s="33">
        <v>7.0000000000000007E-2</v>
      </c>
      <c r="H111" s="33"/>
      <c r="I111" s="13" t="s">
        <v>365</v>
      </c>
      <c r="J111" s="16" t="s">
        <v>505</v>
      </c>
      <c r="K111" s="11" t="s">
        <v>506</v>
      </c>
      <c r="L111" s="11"/>
      <c r="M111" s="11"/>
    </row>
    <row r="112" spans="1:13" ht="14.45" customHeight="1" x14ac:dyDescent="0.25">
      <c r="A112" s="132" t="s">
        <v>921</v>
      </c>
      <c r="B112" s="2" t="s">
        <v>12</v>
      </c>
      <c r="C112" s="1" t="s">
        <v>503</v>
      </c>
      <c r="D112" s="12" t="s">
        <v>507</v>
      </c>
      <c r="E112" s="145"/>
      <c r="F112" s="145"/>
      <c r="G112" s="33">
        <v>0.45</v>
      </c>
      <c r="H112" s="33"/>
      <c r="I112" s="13"/>
      <c r="K112" s="14"/>
      <c r="L112" s="14"/>
      <c r="M112" s="14"/>
    </row>
    <row r="113" spans="1:13" ht="14.45" customHeight="1" x14ac:dyDescent="0.25">
      <c r="A113" s="132" t="s">
        <v>921</v>
      </c>
      <c r="B113" s="2" t="s">
        <v>12</v>
      </c>
      <c r="C113" s="1" t="s">
        <v>503</v>
      </c>
      <c r="D113" s="12" t="s">
        <v>508</v>
      </c>
      <c r="E113" s="145"/>
      <c r="F113" s="145"/>
      <c r="G113" s="33">
        <v>0.09</v>
      </c>
      <c r="H113" s="33"/>
      <c r="I113" s="13"/>
      <c r="K113" s="14"/>
      <c r="L113" s="14"/>
      <c r="M113" s="14"/>
    </row>
    <row r="114" spans="1:13" ht="14.45" customHeight="1" x14ac:dyDescent="0.25">
      <c r="A114" s="132" t="s">
        <v>921</v>
      </c>
      <c r="B114" s="2" t="s">
        <v>12</v>
      </c>
      <c r="C114" s="1" t="s">
        <v>503</v>
      </c>
      <c r="D114" s="12" t="s">
        <v>509</v>
      </c>
      <c r="E114" s="145"/>
      <c r="F114" s="145"/>
      <c r="G114" s="33">
        <v>0.11</v>
      </c>
      <c r="H114" s="33"/>
      <c r="I114" s="13"/>
    </row>
    <row r="115" spans="1:13" ht="14.45" customHeight="1" x14ac:dyDescent="0.25">
      <c r="A115" s="132" t="s">
        <v>921</v>
      </c>
      <c r="B115" s="2" t="s">
        <v>12</v>
      </c>
      <c r="C115" s="1" t="s">
        <v>503</v>
      </c>
      <c r="D115" s="12" t="s">
        <v>510</v>
      </c>
      <c r="E115" s="145"/>
      <c r="F115" s="145"/>
      <c r="G115" s="33">
        <v>0.16</v>
      </c>
      <c r="H115" s="33"/>
      <c r="I115" s="13"/>
    </row>
    <row r="116" spans="1:13" ht="14.45" customHeight="1" x14ac:dyDescent="0.25">
      <c r="A116" s="132" t="s">
        <v>921</v>
      </c>
      <c r="B116" s="2" t="s">
        <v>12</v>
      </c>
      <c r="C116" s="1" t="s">
        <v>503</v>
      </c>
      <c r="D116" s="12" t="s">
        <v>511</v>
      </c>
      <c r="E116" s="145"/>
      <c r="F116" s="145"/>
      <c r="G116" s="33">
        <v>0.12</v>
      </c>
      <c r="H116" s="33"/>
      <c r="I116" s="13"/>
    </row>
    <row r="117" spans="1:13" ht="14.45" customHeight="1" x14ac:dyDescent="0.25">
      <c r="A117" s="132" t="s">
        <v>921</v>
      </c>
      <c r="B117" s="2" t="s">
        <v>12</v>
      </c>
      <c r="C117" s="1" t="s">
        <v>503</v>
      </c>
      <c r="D117" s="12" t="s">
        <v>512</v>
      </c>
      <c r="E117" s="145"/>
      <c r="F117" s="145"/>
      <c r="G117" s="33">
        <v>0</v>
      </c>
      <c r="H117" s="33"/>
      <c r="I117" s="13"/>
    </row>
    <row r="118" spans="1:13" ht="14.45" customHeight="1" x14ac:dyDescent="0.25">
      <c r="A118" s="132" t="s">
        <v>921</v>
      </c>
      <c r="B118" s="2" t="s">
        <v>12</v>
      </c>
      <c r="C118" s="1" t="s">
        <v>503</v>
      </c>
      <c r="D118" s="12" t="s">
        <v>513</v>
      </c>
      <c r="E118" s="145"/>
      <c r="F118" s="145"/>
      <c r="G118" s="33">
        <v>0</v>
      </c>
      <c r="H118" s="33"/>
      <c r="I118" s="13"/>
    </row>
    <row r="119" spans="1:13" s="18" customFormat="1" ht="14.45" customHeight="1" x14ac:dyDescent="0.25">
      <c r="A119" s="132" t="s">
        <v>921</v>
      </c>
      <c r="B119" s="24" t="s">
        <v>12</v>
      </c>
      <c r="C119" s="18" t="s">
        <v>503</v>
      </c>
      <c r="D119" s="31" t="s">
        <v>346</v>
      </c>
      <c r="E119" s="141"/>
      <c r="F119" s="141"/>
      <c r="G119" s="34">
        <f>SUM(G111:G118)</f>
        <v>1</v>
      </c>
      <c r="H119" s="34"/>
      <c r="I119" s="69"/>
      <c r="J119" s="29"/>
      <c r="K119" s="21"/>
      <c r="L119" s="21"/>
      <c r="M119" s="21"/>
    </row>
    <row r="120" spans="1:13" ht="14.45" customHeight="1" x14ac:dyDescent="0.25">
      <c r="A120" s="132" t="s">
        <v>921</v>
      </c>
      <c r="B120" s="2" t="s">
        <v>12</v>
      </c>
      <c r="C120" s="1" t="s">
        <v>514</v>
      </c>
      <c r="D120" s="12" t="s">
        <v>504</v>
      </c>
      <c r="E120" s="145"/>
      <c r="F120" s="145"/>
      <c r="G120" s="33">
        <v>0.14000000000000001</v>
      </c>
      <c r="H120" s="33"/>
      <c r="I120" s="13" t="s">
        <v>365</v>
      </c>
      <c r="J120" s="16" t="s">
        <v>505</v>
      </c>
      <c r="K120" s="11" t="s">
        <v>515</v>
      </c>
      <c r="L120" s="11"/>
      <c r="M120" s="11"/>
    </row>
    <row r="121" spans="1:13" ht="14.45" customHeight="1" x14ac:dyDescent="0.25">
      <c r="A121" s="132" t="s">
        <v>921</v>
      </c>
      <c r="B121" s="2" t="s">
        <v>12</v>
      </c>
      <c r="C121" s="1" t="s">
        <v>514</v>
      </c>
      <c r="D121" s="12" t="s">
        <v>507</v>
      </c>
      <c r="E121" s="145"/>
      <c r="F121" s="145"/>
      <c r="G121" s="33">
        <v>0.3</v>
      </c>
      <c r="H121" s="33"/>
      <c r="I121" s="13"/>
    </row>
    <row r="122" spans="1:13" ht="14.45" customHeight="1" x14ac:dyDescent="0.25">
      <c r="A122" s="132" t="s">
        <v>921</v>
      </c>
      <c r="B122" s="2" t="s">
        <v>12</v>
      </c>
      <c r="C122" s="1" t="s">
        <v>514</v>
      </c>
      <c r="D122" s="12" t="s">
        <v>508</v>
      </c>
      <c r="E122" s="145"/>
      <c r="F122" s="145"/>
      <c r="G122" s="33">
        <v>0.06</v>
      </c>
      <c r="H122" s="33"/>
      <c r="I122" s="13"/>
    </row>
    <row r="123" spans="1:13" ht="14.45" customHeight="1" x14ac:dyDescent="0.25">
      <c r="A123" s="132" t="s">
        <v>921</v>
      </c>
      <c r="B123" s="2" t="s">
        <v>12</v>
      </c>
      <c r="C123" s="1" t="s">
        <v>514</v>
      </c>
      <c r="D123" s="12" t="s">
        <v>509</v>
      </c>
      <c r="E123" s="145"/>
      <c r="F123" s="145"/>
      <c r="G123" s="33">
        <v>0.2</v>
      </c>
      <c r="H123" s="33"/>
      <c r="I123" s="13"/>
    </row>
    <row r="124" spans="1:13" ht="14.45" customHeight="1" x14ac:dyDescent="0.25">
      <c r="A124" s="132" t="s">
        <v>921</v>
      </c>
      <c r="B124" s="2" t="s">
        <v>12</v>
      </c>
      <c r="C124" s="1" t="s">
        <v>514</v>
      </c>
      <c r="D124" s="12" t="s">
        <v>510</v>
      </c>
      <c r="E124" s="145"/>
      <c r="F124" s="145"/>
      <c r="G124" s="33">
        <v>0.18</v>
      </c>
      <c r="H124" s="33"/>
      <c r="I124" s="13"/>
    </row>
    <row r="125" spans="1:13" ht="14.45" customHeight="1" x14ac:dyDescent="0.25">
      <c r="A125" s="132" t="s">
        <v>921</v>
      </c>
      <c r="B125" s="2" t="s">
        <v>12</v>
      </c>
      <c r="C125" s="1" t="s">
        <v>514</v>
      </c>
      <c r="D125" s="12" t="s">
        <v>511</v>
      </c>
      <c r="E125" s="145"/>
      <c r="F125" s="145"/>
      <c r="G125" s="33">
        <v>0.12</v>
      </c>
      <c r="H125" s="33"/>
      <c r="I125" s="13"/>
    </row>
    <row r="126" spans="1:13" ht="14.45" customHeight="1" x14ac:dyDescent="0.25">
      <c r="A126" s="132" t="s">
        <v>921</v>
      </c>
      <c r="B126" s="2" t="s">
        <v>12</v>
      </c>
      <c r="C126" s="1" t="s">
        <v>514</v>
      </c>
      <c r="D126" s="12" t="s">
        <v>512</v>
      </c>
      <c r="E126" s="145"/>
      <c r="F126" s="145"/>
      <c r="G126" s="33">
        <v>0</v>
      </c>
      <c r="H126" s="33"/>
      <c r="I126" s="13"/>
    </row>
    <row r="127" spans="1:13" ht="14.45" customHeight="1" x14ac:dyDescent="0.25">
      <c r="A127" s="132" t="s">
        <v>921</v>
      </c>
      <c r="B127" s="2" t="s">
        <v>12</v>
      </c>
      <c r="C127" s="1" t="s">
        <v>514</v>
      </c>
      <c r="D127" s="12" t="s">
        <v>513</v>
      </c>
      <c r="E127" s="145"/>
      <c r="F127" s="145"/>
      <c r="G127" s="33">
        <v>0</v>
      </c>
      <c r="H127" s="33"/>
      <c r="I127" s="13"/>
    </row>
    <row r="128" spans="1:13" s="18" customFormat="1" ht="14.45" customHeight="1" x14ac:dyDescent="0.25">
      <c r="A128" s="132" t="s">
        <v>921</v>
      </c>
      <c r="B128" s="24" t="s">
        <v>12</v>
      </c>
      <c r="C128" s="18" t="s">
        <v>514</v>
      </c>
      <c r="D128" s="31" t="s">
        <v>346</v>
      </c>
      <c r="E128" s="141"/>
      <c r="F128" s="141"/>
      <c r="G128" s="34">
        <f>SUM(G120:G127)</f>
        <v>0.99999999999999989</v>
      </c>
      <c r="H128" s="34"/>
      <c r="I128" s="69"/>
      <c r="J128" s="29"/>
      <c r="K128" s="21"/>
      <c r="L128" s="21"/>
      <c r="M128" s="21"/>
    </row>
    <row r="129" spans="1:13" s="54" customFormat="1" ht="14.45" customHeight="1" x14ac:dyDescent="0.25">
      <c r="A129" s="131" t="s">
        <v>921</v>
      </c>
      <c r="B129" s="54" t="s">
        <v>340</v>
      </c>
      <c r="C129" s="54" t="s">
        <v>924</v>
      </c>
      <c r="D129" s="60" t="s">
        <v>349</v>
      </c>
      <c r="E129" s="144"/>
      <c r="F129" s="144"/>
      <c r="G129" s="73">
        <v>0.17</v>
      </c>
      <c r="H129" s="73"/>
      <c r="I129" s="61" t="s">
        <v>364</v>
      </c>
      <c r="J129" s="50" t="s">
        <v>348</v>
      </c>
      <c r="K129" s="60" t="s">
        <v>354</v>
      </c>
      <c r="L129" s="60"/>
      <c r="M129" s="60"/>
    </row>
    <row r="130" spans="1:13" s="54" customFormat="1" ht="14.45" customHeight="1" x14ac:dyDescent="0.25">
      <c r="A130" s="131" t="s">
        <v>921</v>
      </c>
      <c r="B130" s="54" t="s">
        <v>340</v>
      </c>
      <c r="C130" s="54" t="s">
        <v>924</v>
      </c>
      <c r="D130" s="60" t="s">
        <v>350</v>
      </c>
      <c r="E130" s="144"/>
      <c r="F130" s="144"/>
      <c r="G130" s="73">
        <v>0.45</v>
      </c>
      <c r="H130" s="73"/>
      <c r="I130" s="60"/>
      <c r="J130" s="74"/>
      <c r="K130" s="74"/>
      <c r="L130" s="74"/>
      <c r="M130" s="74"/>
    </row>
    <row r="131" spans="1:13" s="54" customFormat="1" ht="14.45" customHeight="1" x14ac:dyDescent="0.25">
      <c r="A131" s="131" t="s">
        <v>921</v>
      </c>
      <c r="B131" s="54" t="s">
        <v>340</v>
      </c>
      <c r="C131" s="54" t="s">
        <v>924</v>
      </c>
      <c r="D131" s="60" t="s">
        <v>351</v>
      </c>
      <c r="E131" s="144"/>
      <c r="F131" s="144"/>
      <c r="G131" s="73">
        <v>0.1</v>
      </c>
      <c r="H131" s="73"/>
      <c r="I131" s="75"/>
      <c r="J131" s="74"/>
      <c r="K131" s="74"/>
      <c r="L131" s="74"/>
      <c r="M131" s="74"/>
    </row>
    <row r="132" spans="1:13" s="54" customFormat="1" ht="14.45" customHeight="1" x14ac:dyDescent="0.25">
      <c r="A132" s="131" t="s">
        <v>921</v>
      </c>
      <c r="B132" s="54" t="s">
        <v>340</v>
      </c>
      <c r="C132" s="54" t="s">
        <v>924</v>
      </c>
      <c r="D132" s="60" t="s">
        <v>352</v>
      </c>
      <c r="E132" s="144"/>
      <c r="F132" s="144"/>
      <c r="G132" s="73">
        <v>0.18</v>
      </c>
      <c r="H132" s="73"/>
      <c r="I132" s="75"/>
      <c r="J132" s="74"/>
      <c r="K132" s="74"/>
      <c r="L132" s="74"/>
      <c r="M132" s="74"/>
    </row>
    <row r="133" spans="1:13" s="54" customFormat="1" ht="14.45" customHeight="1" x14ac:dyDescent="0.25">
      <c r="A133" s="131" t="s">
        <v>921</v>
      </c>
      <c r="B133" s="54" t="s">
        <v>340</v>
      </c>
      <c r="C133" s="54" t="s">
        <v>924</v>
      </c>
      <c r="D133" s="60" t="s">
        <v>345</v>
      </c>
      <c r="E133" s="144"/>
      <c r="F133" s="144"/>
      <c r="G133" s="73">
        <v>0.1</v>
      </c>
      <c r="H133" s="73"/>
      <c r="I133" s="75"/>
      <c r="J133" s="74"/>
      <c r="K133" s="74"/>
      <c r="L133" s="74"/>
      <c r="M133" s="74"/>
    </row>
    <row r="134" spans="1:13" s="70" customFormat="1" ht="14.45" customHeight="1" x14ac:dyDescent="0.25">
      <c r="A134" s="131" t="s">
        <v>921</v>
      </c>
      <c r="B134" s="70" t="s">
        <v>340</v>
      </c>
      <c r="C134" s="70" t="s">
        <v>924</v>
      </c>
      <c r="D134" s="63" t="s">
        <v>346</v>
      </c>
      <c r="E134" s="143"/>
      <c r="F134" s="143"/>
      <c r="G134" s="64">
        <f>SUM(G129:G133)</f>
        <v>0.99999999999999989</v>
      </c>
      <c r="H134" s="64"/>
      <c r="I134" s="66"/>
      <c r="J134" s="72"/>
      <c r="K134" s="72"/>
      <c r="L134" s="72"/>
      <c r="M134" s="72"/>
    </row>
    <row r="135" spans="1:13" s="18" customFormat="1" ht="14.45" customHeight="1" x14ac:dyDescent="0.25">
      <c r="A135" s="132" t="s">
        <v>921</v>
      </c>
      <c r="B135" s="2" t="s">
        <v>340</v>
      </c>
      <c r="C135" s="2" t="s">
        <v>924</v>
      </c>
      <c r="D135" s="12" t="s">
        <v>516</v>
      </c>
      <c r="E135" s="145"/>
      <c r="F135" s="145"/>
      <c r="G135" s="33"/>
      <c r="H135" s="33"/>
      <c r="I135" s="20" t="s">
        <v>365</v>
      </c>
      <c r="J135" s="16" t="s">
        <v>367</v>
      </c>
      <c r="K135" s="22" t="s">
        <v>517</v>
      </c>
      <c r="L135" s="22"/>
      <c r="M135" s="22"/>
    </row>
    <row r="136" spans="1:13" s="18" customFormat="1" ht="14.45" customHeight="1" x14ac:dyDescent="0.25">
      <c r="A136" s="132" t="s">
        <v>921</v>
      </c>
      <c r="B136" s="2" t="s">
        <v>340</v>
      </c>
      <c r="C136" s="2" t="s">
        <v>924</v>
      </c>
      <c r="D136" s="12" t="s">
        <v>344</v>
      </c>
      <c r="E136" s="145"/>
      <c r="F136" s="145"/>
      <c r="G136" s="33"/>
      <c r="H136" s="33"/>
      <c r="I136" s="29"/>
      <c r="J136" s="21"/>
      <c r="K136" s="21"/>
      <c r="L136" s="21"/>
      <c r="M136" s="21"/>
    </row>
    <row r="137" spans="1:13" s="18" customFormat="1" ht="14.45" customHeight="1" x14ac:dyDescent="0.25">
      <c r="A137" s="132" t="s">
        <v>921</v>
      </c>
      <c r="B137" s="2" t="s">
        <v>340</v>
      </c>
      <c r="C137" s="2" t="s">
        <v>924</v>
      </c>
      <c r="D137" s="12" t="s">
        <v>518</v>
      </c>
      <c r="E137" s="145"/>
      <c r="F137" s="145"/>
      <c r="G137" s="33"/>
      <c r="H137" s="33"/>
      <c r="I137" s="29"/>
      <c r="J137" s="21"/>
      <c r="K137" s="21"/>
      <c r="L137" s="21"/>
      <c r="M137" s="21"/>
    </row>
    <row r="138" spans="1:13" s="18" customFormat="1" ht="14.45" customHeight="1" x14ac:dyDescent="0.25">
      <c r="A138" s="132" t="s">
        <v>921</v>
      </c>
      <c r="B138" s="2" t="s">
        <v>340</v>
      </c>
      <c r="C138" s="2" t="s">
        <v>924</v>
      </c>
      <c r="D138" s="12" t="s">
        <v>519</v>
      </c>
      <c r="E138" s="145"/>
      <c r="F138" s="145"/>
      <c r="G138" s="33"/>
      <c r="H138" s="33"/>
      <c r="I138" s="29"/>
      <c r="J138" s="21"/>
      <c r="K138" s="21"/>
      <c r="L138" s="21"/>
      <c r="M138" s="21"/>
    </row>
    <row r="139" spans="1:13" s="18" customFormat="1" ht="14.45" customHeight="1" x14ac:dyDescent="0.25">
      <c r="A139" s="132" t="s">
        <v>921</v>
      </c>
      <c r="B139" s="2" t="s">
        <v>340</v>
      </c>
      <c r="C139" s="2" t="s">
        <v>924</v>
      </c>
      <c r="D139" s="12" t="s">
        <v>520</v>
      </c>
      <c r="E139" s="145"/>
      <c r="F139" s="145"/>
      <c r="G139" s="33"/>
      <c r="H139" s="33"/>
      <c r="I139" s="29"/>
      <c r="J139" s="21"/>
      <c r="K139" s="21"/>
      <c r="L139" s="21"/>
      <c r="M139" s="21"/>
    </row>
    <row r="140" spans="1:13" s="18" customFormat="1" ht="14.45" customHeight="1" x14ac:dyDescent="0.25">
      <c r="A140" s="132" t="s">
        <v>921</v>
      </c>
      <c r="B140" s="2" t="s">
        <v>340</v>
      </c>
      <c r="C140" s="2" t="s">
        <v>924</v>
      </c>
      <c r="D140" s="12" t="s">
        <v>521</v>
      </c>
      <c r="E140" s="145"/>
      <c r="F140" s="145"/>
      <c r="G140" s="33"/>
      <c r="H140" s="33"/>
      <c r="I140" s="29"/>
      <c r="J140" s="21"/>
      <c r="K140" s="21"/>
      <c r="L140" s="21"/>
      <c r="M140" s="21"/>
    </row>
    <row r="141" spans="1:13" s="18" customFormat="1" ht="14.45" customHeight="1" x14ac:dyDescent="0.25">
      <c r="A141" s="132" t="s">
        <v>921</v>
      </c>
      <c r="B141" s="2" t="s">
        <v>340</v>
      </c>
      <c r="C141" s="2" t="s">
        <v>924</v>
      </c>
      <c r="D141" s="12" t="s">
        <v>522</v>
      </c>
      <c r="E141" s="145"/>
      <c r="F141" s="145"/>
      <c r="G141" s="33"/>
      <c r="H141" s="33"/>
      <c r="I141" s="29"/>
      <c r="J141" s="21"/>
      <c r="K141" s="21"/>
      <c r="L141" s="21"/>
      <c r="M141" s="21"/>
    </row>
    <row r="142" spans="1:13" s="18" customFormat="1" ht="14.45" customHeight="1" x14ac:dyDescent="0.25">
      <c r="A142" s="132" t="s">
        <v>921</v>
      </c>
      <c r="B142" s="2" t="s">
        <v>340</v>
      </c>
      <c r="C142" s="2" t="s">
        <v>924</v>
      </c>
      <c r="D142" s="12" t="s">
        <v>523</v>
      </c>
      <c r="E142" s="145"/>
      <c r="F142" s="145"/>
      <c r="G142" s="33"/>
      <c r="H142" s="33"/>
      <c r="I142" s="29"/>
      <c r="J142" s="21"/>
      <c r="K142" s="21"/>
      <c r="L142" s="21"/>
      <c r="M142" s="21"/>
    </row>
    <row r="143" spans="1:13" s="18" customFormat="1" ht="14.45" customHeight="1" x14ac:dyDescent="0.25">
      <c r="A143" s="132" t="s">
        <v>921</v>
      </c>
      <c r="B143" s="2" t="s">
        <v>340</v>
      </c>
      <c r="C143" s="2" t="s">
        <v>924</v>
      </c>
      <c r="D143" s="12" t="s">
        <v>524</v>
      </c>
      <c r="E143" s="145"/>
      <c r="F143" s="145"/>
      <c r="G143" s="33"/>
      <c r="H143" s="33"/>
      <c r="I143" s="29"/>
      <c r="J143" s="21"/>
      <c r="K143" s="21"/>
      <c r="L143" s="21"/>
      <c r="M143" s="21"/>
    </row>
    <row r="144" spans="1:13" s="18" customFormat="1" ht="14.45" customHeight="1" x14ac:dyDescent="0.25">
      <c r="A144" s="132" t="s">
        <v>921</v>
      </c>
      <c r="B144" s="2" t="s">
        <v>340</v>
      </c>
      <c r="C144" s="2" t="s">
        <v>924</v>
      </c>
      <c r="D144" s="12" t="s">
        <v>525</v>
      </c>
      <c r="E144" s="145"/>
      <c r="F144" s="145"/>
      <c r="G144" s="33"/>
      <c r="H144" s="33"/>
      <c r="I144" s="29"/>
      <c r="J144" s="21"/>
      <c r="K144" s="21"/>
      <c r="L144" s="21"/>
      <c r="M144" s="21"/>
    </row>
    <row r="145" spans="1:13" s="18" customFormat="1" ht="14.45" customHeight="1" x14ac:dyDescent="0.25">
      <c r="A145" s="132" t="s">
        <v>921</v>
      </c>
      <c r="B145" s="2" t="s">
        <v>340</v>
      </c>
      <c r="C145" s="2" t="s">
        <v>924</v>
      </c>
      <c r="D145" s="12" t="s">
        <v>526</v>
      </c>
      <c r="E145" s="145"/>
      <c r="F145" s="145"/>
      <c r="G145" s="33"/>
      <c r="H145" s="33"/>
      <c r="I145" s="29"/>
      <c r="J145" s="21"/>
      <c r="K145" s="21"/>
      <c r="L145" s="21"/>
      <c r="M145" s="21"/>
    </row>
    <row r="146" spans="1:13" s="18" customFormat="1" ht="14.45" customHeight="1" x14ac:dyDescent="0.25">
      <c r="A146" s="132" t="s">
        <v>921</v>
      </c>
      <c r="B146" s="2" t="s">
        <v>340</v>
      </c>
      <c r="C146" s="2" t="s">
        <v>924</v>
      </c>
      <c r="D146" s="12" t="s">
        <v>527</v>
      </c>
      <c r="E146" s="145"/>
      <c r="F146" s="145"/>
      <c r="G146" s="33"/>
      <c r="H146" s="33"/>
      <c r="I146" s="29"/>
      <c r="J146" s="21"/>
      <c r="K146" s="21"/>
      <c r="L146" s="21"/>
      <c r="M146" s="21"/>
    </row>
    <row r="147" spans="1:13" s="18" customFormat="1" ht="14.45" customHeight="1" x14ac:dyDescent="0.25">
      <c r="A147" s="132" t="s">
        <v>921</v>
      </c>
      <c r="B147" s="2" t="s">
        <v>340</v>
      </c>
      <c r="C147" s="2" t="s">
        <v>924</v>
      </c>
      <c r="D147" s="12" t="s">
        <v>528</v>
      </c>
      <c r="E147" s="145"/>
      <c r="F147" s="145"/>
      <c r="G147" s="33"/>
      <c r="H147" s="33"/>
      <c r="I147" s="29"/>
      <c r="J147" s="21"/>
      <c r="K147" s="21"/>
      <c r="L147" s="21"/>
      <c r="M147" s="21"/>
    </row>
    <row r="148" spans="1:13" s="18" customFormat="1" ht="14.45" customHeight="1" x14ac:dyDescent="0.25">
      <c r="A148" s="132" t="s">
        <v>921</v>
      </c>
      <c r="B148" s="2" t="s">
        <v>340</v>
      </c>
      <c r="C148" s="2" t="s">
        <v>924</v>
      </c>
      <c r="D148" s="12" t="s">
        <v>529</v>
      </c>
      <c r="E148" s="145"/>
      <c r="F148" s="145"/>
      <c r="G148" s="33"/>
      <c r="H148" s="33"/>
      <c r="I148" s="29"/>
      <c r="J148" s="21"/>
      <c r="K148" s="21"/>
      <c r="L148" s="21"/>
      <c r="M148" s="21"/>
    </row>
    <row r="149" spans="1:13" s="18" customFormat="1" ht="14.45" customHeight="1" x14ac:dyDescent="0.25">
      <c r="A149" s="132" t="s">
        <v>921</v>
      </c>
      <c r="B149" s="2" t="s">
        <v>340</v>
      </c>
      <c r="C149" s="2" t="s">
        <v>924</v>
      </c>
      <c r="D149" s="12" t="s">
        <v>530</v>
      </c>
      <c r="E149" s="145"/>
      <c r="F149" s="145"/>
      <c r="G149" s="33"/>
      <c r="H149" s="33"/>
      <c r="I149" s="29"/>
      <c r="J149" s="21"/>
      <c r="K149" s="21"/>
      <c r="L149" s="21"/>
      <c r="M149" s="21"/>
    </row>
    <row r="150" spans="1:13" s="18" customFormat="1" ht="14.45" customHeight="1" x14ac:dyDescent="0.25">
      <c r="A150" s="132" t="s">
        <v>921</v>
      </c>
      <c r="B150" s="2" t="s">
        <v>340</v>
      </c>
      <c r="C150" s="2" t="s">
        <v>924</v>
      </c>
      <c r="D150" s="12" t="s">
        <v>531</v>
      </c>
      <c r="E150" s="145"/>
      <c r="F150" s="145"/>
      <c r="G150" s="33"/>
      <c r="H150" s="33"/>
      <c r="I150" s="29"/>
      <c r="J150" s="21"/>
      <c r="K150" s="21"/>
      <c r="L150" s="21"/>
      <c r="M150" s="21"/>
    </row>
    <row r="151" spans="1:13" s="18" customFormat="1" ht="14.45" customHeight="1" x14ac:dyDescent="0.25">
      <c r="A151" s="132" t="s">
        <v>921</v>
      </c>
      <c r="B151" s="24" t="s">
        <v>340</v>
      </c>
      <c r="C151" s="24" t="s">
        <v>924</v>
      </c>
      <c r="D151" s="31" t="s">
        <v>346</v>
      </c>
      <c r="E151" s="141"/>
      <c r="F151" s="141"/>
      <c r="G151" s="34">
        <f t="shared" ref="G151" si="0">SUM(G135:G150)</f>
        <v>0</v>
      </c>
      <c r="H151" s="34"/>
      <c r="I151" s="29"/>
      <c r="J151" s="21"/>
      <c r="K151" s="21"/>
      <c r="L151" s="21"/>
      <c r="M151" s="21"/>
    </row>
    <row r="152" spans="1:13" ht="14.45" customHeight="1" x14ac:dyDescent="0.25">
      <c r="A152" s="132" t="s">
        <v>921</v>
      </c>
      <c r="B152" s="2" t="s">
        <v>340</v>
      </c>
      <c r="C152" s="2" t="s">
        <v>924</v>
      </c>
      <c r="D152" s="12" t="s">
        <v>516</v>
      </c>
      <c r="E152" s="145"/>
      <c r="F152" s="145"/>
      <c r="G152" s="35">
        <v>0.51</v>
      </c>
      <c r="H152" s="35"/>
      <c r="I152" s="76" t="s">
        <v>532</v>
      </c>
      <c r="J152" s="16" t="s">
        <v>533</v>
      </c>
      <c r="K152" s="22" t="s">
        <v>534</v>
      </c>
      <c r="M152" s="77"/>
    </row>
    <row r="153" spans="1:13" ht="14.45" customHeight="1" x14ac:dyDescent="0.25">
      <c r="A153" s="132" t="s">
        <v>921</v>
      </c>
      <c r="B153" s="2" t="s">
        <v>340</v>
      </c>
      <c r="C153" s="2" t="s">
        <v>924</v>
      </c>
      <c r="D153" s="12" t="s">
        <v>344</v>
      </c>
      <c r="E153" s="145"/>
      <c r="F153" s="145"/>
      <c r="G153" s="35">
        <v>0.08</v>
      </c>
      <c r="H153" s="35"/>
      <c r="I153" s="76"/>
      <c r="J153" s="30"/>
    </row>
    <row r="154" spans="1:13" ht="14.45" customHeight="1" x14ac:dyDescent="0.25">
      <c r="A154" s="132" t="s">
        <v>921</v>
      </c>
      <c r="B154" s="2" t="s">
        <v>340</v>
      </c>
      <c r="C154" s="2" t="s">
        <v>924</v>
      </c>
      <c r="D154" s="12" t="s">
        <v>535</v>
      </c>
      <c r="E154" s="145"/>
      <c r="F154" s="145"/>
      <c r="G154" s="35">
        <v>0.1</v>
      </c>
      <c r="H154" s="35"/>
      <c r="I154" s="76"/>
      <c r="J154" s="30"/>
    </row>
    <row r="155" spans="1:13" ht="14.45" customHeight="1" x14ac:dyDescent="0.25">
      <c r="A155" s="132" t="s">
        <v>921</v>
      </c>
      <c r="B155" s="2" t="s">
        <v>340</v>
      </c>
      <c r="C155" s="2" t="s">
        <v>924</v>
      </c>
      <c r="D155" s="12" t="s">
        <v>536</v>
      </c>
      <c r="E155" s="145"/>
      <c r="F155" s="145"/>
      <c r="G155" s="35">
        <v>0.09</v>
      </c>
      <c r="H155" s="35"/>
      <c r="I155" s="76"/>
      <c r="J155" s="30"/>
    </row>
    <row r="156" spans="1:13" ht="14.45" customHeight="1" x14ac:dyDescent="0.25">
      <c r="A156" s="132" t="s">
        <v>921</v>
      </c>
      <c r="B156" s="2" t="s">
        <v>340</v>
      </c>
      <c r="C156" s="2" t="s">
        <v>924</v>
      </c>
      <c r="D156" s="12" t="s">
        <v>537</v>
      </c>
      <c r="E156" s="145"/>
      <c r="F156" s="145"/>
      <c r="G156" s="35">
        <v>0.02</v>
      </c>
      <c r="H156" s="35"/>
      <c r="I156" s="76"/>
      <c r="J156" s="30"/>
    </row>
    <row r="157" spans="1:13" ht="14.45" customHeight="1" x14ac:dyDescent="0.25">
      <c r="A157" s="132" t="s">
        <v>921</v>
      </c>
      <c r="B157" s="2" t="s">
        <v>340</v>
      </c>
      <c r="C157" s="2" t="s">
        <v>924</v>
      </c>
      <c r="D157" s="12" t="s">
        <v>538</v>
      </c>
      <c r="E157" s="145"/>
      <c r="F157" s="145"/>
      <c r="G157" s="35">
        <v>5.0000000000000001E-3</v>
      </c>
      <c r="H157" s="35"/>
      <c r="I157" s="76"/>
      <c r="J157" s="30"/>
    </row>
    <row r="158" spans="1:13" ht="14.45" customHeight="1" x14ac:dyDescent="0.25">
      <c r="A158" s="132" t="s">
        <v>921</v>
      </c>
      <c r="B158" s="2" t="s">
        <v>340</v>
      </c>
      <c r="C158" s="2" t="s">
        <v>924</v>
      </c>
      <c r="D158" s="12" t="s">
        <v>539</v>
      </c>
      <c r="E158" s="145"/>
      <c r="F158" s="145"/>
      <c r="G158" s="35">
        <v>5.0000000000000001E-3</v>
      </c>
      <c r="H158" s="35"/>
      <c r="I158" s="76"/>
      <c r="J158" s="30"/>
    </row>
    <row r="159" spans="1:13" ht="14.45" customHeight="1" x14ac:dyDescent="0.25">
      <c r="A159" s="132" t="s">
        <v>921</v>
      </c>
      <c r="B159" s="2" t="s">
        <v>340</v>
      </c>
      <c r="C159" s="2" t="s">
        <v>924</v>
      </c>
      <c r="D159" s="12" t="s">
        <v>540</v>
      </c>
      <c r="E159" s="145"/>
      <c r="F159" s="145"/>
      <c r="G159" s="35">
        <v>0.03</v>
      </c>
      <c r="H159" s="35"/>
      <c r="I159" s="76"/>
      <c r="J159" s="30"/>
    </row>
    <row r="160" spans="1:13" ht="14.45" customHeight="1" x14ac:dyDescent="0.25">
      <c r="A160" s="132" t="s">
        <v>921</v>
      </c>
      <c r="B160" s="2" t="s">
        <v>340</v>
      </c>
      <c r="C160" s="2" t="s">
        <v>924</v>
      </c>
      <c r="D160" s="12" t="s">
        <v>541</v>
      </c>
      <c r="E160" s="145"/>
      <c r="F160" s="145"/>
      <c r="G160" s="35">
        <v>0.02</v>
      </c>
      <c r="H160" s="35"/>
      <c r="I160" s="76"/>
      <c r="J160" s="30"/>
    </row>
    <row r="161" spans="1:13" ht="14.45" customHeight="1" x14ac:dyDescent="0.25">
      <c r="A161" s="132" t="s">
        <v>921</v>
      </c>
      <c r="B161" s="2" t="s">
        <v>340</v>
      </c>
      <c r="C161" s="2" t="s">
        <v>924</v>
      </c>
      <c r="D161" s="12" t="s">
        <v>542</v>
      </c>
      <c r="E161" s="145"/>
      <c r="F161" s="145"/>
      <c r="G161" s="35">
        <v>0.01</v>
      </c>
      <c r="H161" s="35"/>
      <c r="I161" s="76"/>
      <c r="J161" s="30"/>
    </row>
    <row r="162" spans="1:13" ht="14.45" customHeight="1" x14ac:dyDescent="0.25">
      <c r="A162" s="132" t="s">
        <v>921</v>
      </c>
      <c r="B162" s="2" t="s">
        <v>340</v>
      </c>
      <c r="C162" s="2" t="s">
        <v>924</v>
      </c>
      <c r="D162" s="12" t="s">
        <v>543</v>
      </c>
      <c r="E162" s="145"/>
      <c r="F162" s="145"/>
      <c r="G162" s="35">
        <v>7.0000000000000007E-2</v>
      </c>
      <c r="H162" s="35"/>
      <c r="I162" s="76"/>
      <c r="J162" s="30"/>
    </row>
    <row r="163" spans="1:13" ht="14.45" customHeight="1" x14ac:dyDescent="0.25">
      <c r="A163" s="132" t="s">
        <v>921</v>
      </c>
      <c r="B163" s="2" t="s">
        <v>340</v>
      </c>
      <c r="C163" s="2" t="s">
        <v>924</v>
      </c>
      <c r="D163" s="12" t="s">
        <v>544</v>
      </c>
      <c r="E163" s="145"/>
      <c r="F163" s="145"/>
      <c r="G163" s="35">
        <v>0.06</v>
      </c>
      <c r="H163" s="35"/>
      <c r="I163" s="76"/>
      <c r="J163" s="30"/>
    </row>
    <row r="164" spans="1:13" s="18" customFormat="1" ht="14.45" customHeight="1" x14ac:dyDescent="0.25">
      <c r="A164" s="132" t="s">
        <v>921</v>
      </c>
      <c r="B164" s="24" t="s">
        <v>340</v>
      </c>
      <c r="C164" s="24" t="s">
        <v>924</v>
      </c>
      <c r="D164" s="31" t="s">
        <v>346</v>
      </c>
      <c r="E164" s="141"/>
      <c r="F164" s="141"/>
      <c r="G164" s="34">
        <f>SUM(G152:G163)</f>
        <v>1</v>
      </c>
      <c r="H164" s="34"/>
      <c r="I164" s="69"/>
      <c r="J164" s="29"/>
      <c r="K164" s="21"/>
      <c r="L164" s="21"/>
      <c r="M164" s="21"/>
    </row>
    <row r="165" spans="1:13" s="54" customFormat="1" ht="14.45" customHeight="1" x14ac:dyDescent="0.25">
      <c r="A165" s="131" t="s">
        <v>921</v>
      </c>
      <c r="B165" s="54" t="s">
        <v>341</v>
      </c>
      <c r="C165" s="54" t="s">
        <v>925</v>
      </c>
      <c r="D165" s="60" t="s">
        <v>349</v>
      </c>
      <c r="E165" s="144"/>
      <c r="F165" s="144"/>
      <c r="G165" s="73">
        <v>0.17</v>
      </c>
      <c r="H165" s="73"/>
      <c r="I165" s="61" t="s">
        <v>364</v>
      </c>
      <c r="J165" s="50" t="s">
        <v>348</v>
      </c>
      <c r="K165" s="60" t="s">
        <v>354</v>
      </c>
      <c r="L165" s="60"/>
      <c r="M165" s="60"/>
    </row>
    <row r="166" spans="1:13" s="51" customFormat="1" ht="14.45" customHeight="1" x14ac:dyDescent="0.25">
      <c r="A166" s="131" t="s">
        <v>921</v>
      </c>
      <c r="B166" s="54" t="s">
        <v>341</v>
      </c>
      <c r="C166" s="54" t="s">
        <v>925</v>
      </c>
      <c r="D166" s="60" t="s">
        <v>350</v>
      </c>
      <c r="E166" s="144"/>
      <c r="F166" s="144"/>
      <c r="G166" s="73">
        <v>0.45</v>
      </c>
      <c r="H166" s="73"/>
      <c r="J166" s="74"/>
      <c r="K166" s="74"/>
      <c r="L166" s="74"/>
      <c r="M166" s="74"/>
    </row>
    <row r="167" spans="1:13" s="51" customFormat="1" ht="14.45" customHeight="1" x14ac:dyDescent="0.25">
      <c r="A167" s="131" t="s">
        <v>921</v>
      </c>
      <c r="B167" s="54" t="s">
        <v>341</v>
      </c>
      <c r="C167" s="54" t="s">
        <v>925</v>
      </c>
      <c r="D167" s="60" t="s">
        <v>351</v>
      </c>
      <c r="E167" s="144"/>
      <c r="F167" s="144"/>
      <c r="G167" s="73">
        <v>0.1</v>
      </c>
      <c r="H167" s="73"/>
      <c r="J167" s="74"/>
      <c r="K167" s="74"/>
      <c r="L167" s="74"/>
      <c r="M167" s="74"/>
    </row>
    <row r="168" spans="1:13" s="51" customFormat="1" ht="14.45" customHeight="1" x14ac:dyDescent="0.25">
      <c r="A168" s="131" t="s">
        <v>921</v>
      </c>
      <c r="B168" s="54" t="s">
        <v>341</v>
      </c>
      <c r="C168" s="54" t="s">
        <v>925</v>
      </c>
      <c r="D168" s="60" t="s">
        <v>352</v>
      </c>
      <c r="E168" s="144"/>
      <c r="F168" s="144"/>
      <c r="G168" s="73">
        <v>0.18</v>
      </c>
      <c r="H168" s="73"/>
      <c r="J168" s="74"/>
      <c r="K168" s="74"/>
      <c r="L168" s="74"/>
      <c r="M168" s="74"/>
    </row>
    <row r="169" spans="1:13" s="51" customFormat="1" ht="14.45" customHeight="1" x14ac:dyDescent="0.25">
      <c r="A169" s="131" t="s">
        <v>921</v>
      </c>
      <c r="B169" s="54" t="s">
        <v>341</v>
      </c>
      <c r="C169" s="54" t="s">
        <v>925</v>
      </c>
      <c r="D169" s="60" t="s">
        <v>345</v>
      </c>
      <c r="E169" s="144"/>
      <c r="F169" s="144"/>
      <c r="G169" s="73">
        <v>0.1</v>
      </c>
      <c r="H169" s="73"/>
      <c r="J169" s="74"/>
      <c r="K169" s="74"/>
      <c r="L169" s="74"/>
      <c r="M169" s="74"/>
    </row>
    <row r="170" spans="1:13" s="66" customFormat="1" ht="14.45" customHeight="1" x14ac:dyDescent="0.25">
      <c r="A170" s="131" t="s">
        <v>921</v>
      </c>
      <c r="B170" s="70" t="s">
        <v>341</v>
      </c>
      <c r="C170" s="70" t="s">
        <v>925</v>
      </c>
      <c r="D170" s="63" t="s">
        <v>346</v>
      </c>
      <c r="E170" s="143"/>
      <c r="F170" s="143"/>
      <c r="G170" s="64">
        <f>SUM(G165:G169)</f>
        <v>0.99999999999999989</v>
      </c>
      <c r="H170" s="64"/>
      <c r="J170" s="72"/>
      <c r="K170" s="72"/>
      <c r="L170" s="72"/>
      <c r="M170" s="72"/>
    </row>
    <row r="171" spans="1:13" s="11" customFormat="1" ht="14.45" customHeight="1" x14ac:dyDescent="0.25">
      <c r="A171" s="132" t="s">
        <v>921</v>
      </c>
      <c r="B171" s="2" t="s">
        <v>341</v>
      </c>
      <c r="C171" s="2" t="s">
        <v>925</v>
      </c>
      <c r="D171" s="12" t="s">
        <v>516</v>
      </c>
      <c r="E171" s="145"/>
      <c r="F171" s="145"/>
      <c r="G171" s="33">
        <v>0.38</v>
      </c>
      <c r="H171" s="33"/>
      <c r="I171" s="13" t="s">
        <v>532</v>
      </c>
      <c r="J171" s="16" t="s">
        <v>533</v>
      </c>
      <c r="K171" s="22" t="s">
        <v>545</v>
      </c>
      <c r="L171" s="22"/>
      <c r="M171" s="22"/>
    </row>
    <row r="172" spans="1:13" s="11" customFormat="1" ht="14.45" customHeight="1" x14ac:dyDescent="0.25">
      <c r="A172" s="132" t="s">
        <v>921</v>
      </c>
      <c r="B172" s="2" t="s">
        <v>341</v>
      </c>
      <c r="C172" s="2" t="s">
        <v>925</v>
      </c>
      <c r="D172" s="12" t="s">
        <v>344</v>
      </c>
      <c r="E172" s="145"/>
      <c r="F172" s="145"/>
      <c r="G172" s="33">
        <v>7.0000000000000007E-2</v>
      </c>
      <c r="H172" s="33"/>
      <c r="I172" s="13"/>
      <c r="J172" s="20"/>
      <c r="K172" s="22"/>
      <c r="L172" s="22"/>
      <c r="M172" s="22"/>
    </row>
    <row r="173" spans="1:13" s="11" customFormat="1" ht="14.45" customHeight="1" x14ac:dyDescent="0.25">
      <c r="A173" s="132" t="s">
        <v>921</v>
      </c>
      <c r="B173" s="2" t="s">
        <v>341</v>
      </c>
      <c r="C173" s="2" t="s">
        <v>925</v>
      </c>
      <c r="D173" s="12" t="s">
        <v>535</v>
      </c>
      <c r="E173" s="145"/>
      <c r="F173" s="145"/>
      <c r="G173" s="33">
        <v>0.08</v>
      </c>
      <c r="H173" s="33"/>
      <c r="I173" s="13"/>
      <c r="J173" s="20"/>
      <c r="K173" s="22"/>
      <c r="L173" s="22"/>
      <c r="M173" s="22"/>
    </row>
    <row r="174" spans="1:13" s="11" customFormat="1" ht="14.45" customHeight="1" x14ac:dyDescent="0.25">
      <c r="A174" s="132" t="s">
        <v>921</v>
      </c>
      <c r="B174" s="2" t="s">
        <v>341</v>
      </c>
      <c r="C174" s="2" t="s">
        <v>925</v>
      </c>
      <c r="D174" s="12" t="s">
        <v>536</v>
      </c>
      <c r="E174" s="145"/>
      <c r="F174" s="145"/>
      <c r="G174" s="33">
        <v>0.05</v>
      </c>
      <c r="H174" s="33"/>
      <c r="I174" s="13"/>
      <c r="J174" s="20"/>
      <c r="K174" s="22"/>
      <c r="L174" s="22"/>
      <c r="M174" s="22"/>
    </row>
    <row r="175" spans="1:13" s="11" customFormat="1" ht="14.45" customHeight="1" x14ac:dyDescent="0.25">
      <c r="A175" s="132" t="s">
        <v>921</v>
      </c>
      <c r="B175" s="2" t="s">
        <v>341</v>
      </c>
      <c r="C175" s="2" t="s">
        <v>925</v>
      </c>
      <c r="D175" s="12" t="s">
        <v>537</v>
      </c>
      <c r="E175" s="145"/>
      <c r="F175" s="145"/>
      <c r="G175" s="33">
        <v>0.06</v>
      </c>
      <c r="H175" s="33"/>
      <c r="I175" s="13"/>
      <c r="J175" s="20"/>
      <c r="K175" s="22"/>
      <c r="L175" s="22"/>
      <c r="M175" s="22"/>
    </row>
    <row r="176" spans="1:13" s="11" customFormat="1" ht="14.45" customHeight="1" x14ac:dyDescent="0.25">
      <c r="A176" s="132" t="s">
        <v>921</v>
      </c>
      <c r="B176" s="2" t="s">
        <v>341</v>
      </c>
      <c r="C176" s="2" t="s">
        <v>925</v>
      </c>
      <c r="D176" s="12" t="s">
        <v>538</v>
      </c>
      <c r="E176" s="145"/>
      <c r="F176" s="145"/>
      <c r="G176" s="33">
        <v>0.03</v>
      </c>
      <c r="H176" s="33"/>
      <c r="I176" s="13"/>
      <c r="J176" s="20"/>
      <c r="K176" s="22"/>
      <c r="L176" s="22"/>
      <c r="M176" s="22"/>
    </row>
    <row r="177" spans="1:13" s="11" customFormat="1" ht="14.45" customHeight="1" x14ac:dyDescent="0.25">
      <c r="A177" s="132" t="s">
        <v>921</v>
      </c>
      <c r="B177" s="2" t="s">
        <v>341</v>
      </c>
      <c r="C177" s="2" t="s">
        <v>925</v>
      </c>
      <c r="D177" s="12" t="s">
        <v>541</v>
      </c>
      <c r="E177" s="145"/>
      <c r="F177" s="145"/>
      <c r="G177" s="33">
        <v>0.06</v>
      </c>
      <c r="H177" s="33"/>
      <c r="I177" s="13"/>
      <c r="J177" s="20"/>
      <c r="K177" s="22"/>
      <c r="L177" s="22"/>
      <c r="M177" s="22"/>
    </row>
    <row r="178" spans="1:13" s="11" customFormat="1" ht="14.45" customHeight="1" x14ac:dyDescent="0.25">
      <c r="A178" s="132" t="s">
        <v>921</v>
      </c>
      <c r="B178" s="2" t="s">
        <v>341</v>
      </c>
      <c r="C178" s="2" t="s">
        <v>925</v>
      </c>
      <c r="D178" s="12" t="s">
        <v>542</v>
      </c>
      <c r="E178" s="145"/>
      <c r="F178" s="145"/>
      <c r="G178" s="33">
        <v>0.05</v>
      </c>
      <c r="H178" s="33"/>
      <c r="I178" s="13"/>
      <c r="J178" s="20"/>
      <c r="K178" s="22"/>
      <c r="L178" s="22"/>
      <c r="M178" s="22"/>
    </row>
    <row r="179" spans="1:13" ht="14.45" customHeight="1" x14ac:dyDescent="0.25">
      <c r="A179" s="132" t="s">
        <v>921</v>
      </c>
      <c r="B179" s="2" t="s">
        <v>341</v>
      </c>
      <c r="C179" s="2" t="s">
        <v>925</v>
      </c>
      <c r="D179" s="12" t="s">
        <v>543</v>
      </c>
      <c r="E179" s="145"/>
      <c r="F179" s="145"/>
      <c r="G179" s="33">
        <v>0.17</v>
      </c>
      <c r="H179" s="33"/>
      <c r="I179" s="13"/>
    </row>
    <row r="180" spans="1:13" ht="14.45" customHeight="1" x14ac:dyDescent="0.25">
      <c r="A180" s="132" t="s">
        <v>921</v>
      </c>
      <c r="B180" s="2" t="s">
        <v>341</v>
      </c>
      <c r="C180" s="2" t="s">
        <v>925</v>
      </c>
      <c r="D180" s="12" t="s">
        <v>544</v>
      </c>
      <c r="E180" s="145"/>
      <c r="F180" s="145"/>
      <c r="G180" s="33">
        <v>0.05</v>
      </c>
      <c r="H180" s="33"/>
      <c r="I180" s="13"/>
    </row>
    <row r="181" spans="1:13" s="18" customFormat="1" ht="14.45" customHeight="1" x14ac:dyDescent="0.25">
      <c r="A181" s="132" t="s">
        <v>921</v>
      </c>
      <c r="B181" s="24" t="s">
        <v>341</v>
      </c>
      <c r="C181" s="24" t="s">
        <v>925</v>
      </c>
      <c r="D181" s="31" t="s">
        <v>346</v>
      </c>
      <c r="E181" s="141"/>
      <c r="F181" s="141"/>
      <c r="G181" s="34">
        <f>SUM(G171:G180)</f>
        <v>1.0000000000000002</v>
      </c>
      <c r="H181" s="34"/>
      <c r="I181" s="69"/>
      <c r="J181" s="29"/>
      <c r="K181" s="21"/>
      <c r="L181" s="21"/>
      <c r="M181" s="21"/>
    </row>
    <row r="182" spans="1:13" s="54" customFormat="1" ht="14.45" customHeight="1" x14ac:dyDescent="0.25">
      <c r="A182" s="131" t="s">
        <v>921</v>
      </c>
      <c r="B182" s="59" t="s">
        <v>14</v>
      </c>
      <c r="C182" s="60" t="s">
        <v>922</v>
      </c>
      <c r="D182" s="60" t="s">
        <v>349</v>
      </c>
      <c r="E182" s="144"/>
      <c r="F182" s="144"/>
      <c r="G182" s="37">
        <v>0.57999999999999996</v>
      </c>
      <c r="H182" s="37"/>
      <c r="I182" s="61" t="s">
        <v>364</v>
      </c>
      <c r="J182" s="50" t="s">
        <v>348</v>
      </c>
      <c r="K182" s="60" t="s">
        <v>546</v>
      </c>
      <c r="L182" s="60"/>
      <c r="M182" s="60"/>
    </row>
    <row r="183" spans="1:13" s="54" customFormat="1" ht="14.45" customHeight="1" x14ac:dyDescent="0.25">
      <c r="A183" s="131" t="s">
        <v>921</v>
      </c>
      <c r="B183" s="59" t="s">
        <v>14</v>
      </c>
      <c r="C183" s="60" t="s">
        <v>922</v>
      </c>
      <c r="D183" s="60" t="s">
        <v>350</v>
      </c>
      <c r="E183" s="144"/>
      <c r="F183" s="144"/>
      <c r="G183" s="37">
        <v>0.08</v>
      </c>
      <c r="H183" s="37"/>
      <c r="I183" s="60"/>
      <c r="J183" s="74"/>
      <c r="K183" s="74"/>
      <c r="L183" s="74"/>
      <c r="M183" s="74"/>
    </row>
    <row r="184" spans="1:13" s="54" customFormat="1" ht="14.45" customHeight="1" x14ac:dyDescent="0.25">
      <c r="A184" s="131" t="s">
        <v>921</v>
      </c>
      <c r="B184" s="59" t="s">
        <v>14</v>
      </c>
      <c r="C184" s="60" t="s">
        <v>922</v>
      </c>
      <c r="D184" s="60" t="s">
        <v>351</v>
      </c>
      <c r="E184" s="144"/>
      <c r="F184" s="144"/>
      <c r="G184" s="37">
        <v>0.08</v>
      </c>
      <c r="H184" s="37"/>
      <c r="I184" s="60"/>
      <c r="J184" s="74"/>
      <c r="K184" s="74"/>
      <c r="L184" s="74"/>
      <c r="M184" s="74"/>
    </row>
    <row r="185" spans="1:13" s="54" customFormat="1" ht="14.45" customHeight="1" x14ac:dyDescent="0.25">
      <c r="A185" s="131" t="s">
        <v>921</v>
      </c>
      <c r="B185" s="59" t="s">
        <v>14</v>
      </c>
      <c r="C185" s="60" t="s">
        <v>922</v>
      </c>
      <c r="D185" s="60" t="s">
        <v>352</v>
      </c>
      <c r="E185" s="144"/>
      <c r="F185" s="144"/>
      <c r="G185" s="37">
        <v>0.16</v>
      </c>
      <c r="H185" s="37"/>
      <c r="I185" s="60"/>
      <c r="J185" s="74"/>
      <c r="K185" s="74"/>
      <c r="L185" s="74"/>
      <c r="M185" s="74"/>
    </row>
    <row r="186" spans="1:13" s="54" customFormat="1" ht="14.45" customHeight="1" x14ac:dyDescent="0.25">
      <c r="A186" s="131" t="s">
        <v>921</v>
      </c>
      <c r="B186" s="59" t="s">
        <v>14</v>
      </c>
      <c r="C186" s="60" t="s">
        <v>922</v>
      </c>
      <c r="D186" s="60" t="s">
        <v>345</v>
      </c>
      <c r="E186" s="144"/>
      <c r="F186" s="144"/>
      <c r="G186" s="37">
        <v>0.1</v>
      </c>
      <c r="H186" s="37"/>
      <c r="I186" s="60"/>
      <c r="J186" s="74"/>
      <c r="K186" s="74"/>
      <c r="L186" s="74"/>
      <c r="M186" s="74"/>
    </row>
    <row r="187" spans="1:13" s="70" customFormat="1" ht="14.45" customHeight="1" x14ac:dyDescent="0.25">
      <c r="A187" s="131" t="s">
        <v>921</v>
      </c>
      <c r="B187" s="62" t="s">
        <v>14</v>
      </c>
      <c r="C187" s="63" t="s">
        <v>922</v>
      </c>
      <c r="D187" s="63" t="s">
        <v>346</v>
      </c>
      <c r="E187" s="143"/>
      <c r="F187" s="143"/>
      <c r="G187" s="64">
        <f>SUM(G182:G186)</f>
        <v>0.99999999999999989</v>
      </c>
      <c r="H187" s="64"/>
      <c r="I187" s="63"/>
      <c r="J187" s="72"/>
      <c r="K187" s="72"/>
      <c r="L187" s="72"/>
      <c r="M187" s="72"/>
    </row>
    <row r="188" spans="1:13" ht="14.45" customHeight="1" x14ac:dyDescent="0.25">
      <c r="A188" s="132" t="s">
        <v>921</v>
      </c>
      <c r="B188" s="49" t="s">
        <v>14</v>
      </c>
      <c r="C188" s="12" t="s">
        <v>922</v>
      </c>
      <c r="D188" s="12" t="s">
        <v>547</v>
      </c>
      <c r="E188" s="145"/>
      <c r="F188" s="145"/>
      <c r="G188" s="33">
        <v>0.05</v>
      </c>
      <c r="H188" s="33"/>
      <c r="I188" s="13" t="s">
        <v>365</v>
      </c>
      <c r="J188" s="16" t="s">
        <v>548</v>
      </c>
    </row>
    <row r="189" spans="1:13" x14ac:dyDescent="0.25">
      <c r="A189" s="132" t="s">
        <v>921</v>
      </c>
      <c r="B189" s="49" t="s">
        <v>14</v>
      </c>
      <c r="C189" s="12" t="s">
        <v>922</v>
      </c>
      <c r="D189" s="12" t="s">
        <v>549</v>
      </c>
      <c r="E189" s="145"/>
      <c r="F189" s="145"/>
      <c r="G189" s="33">
        <v>0.08</v>
      </c>
      <c r="H189" s="33"/>
      <c r="I189" s="13"/>
      <c r="J189" s="12"/>
    </row>
    <row r="190" spans="1:13" x14ac:dyDescent="0.25">
      <c r="A190" s="132" t="s">
        <v>921</v>
      </c>
      <c r="B190" s="49" t="s">
        <v>14</v>
      </c>
      <c r="C190" s="12" t="s">
        <v>922</v>
      </c>
      <c r="D190" s="12" t="s">
        <v>550</v>
      </c>
      <c r="E190" s="145"/>
      <c r="F190" s="145"/>
      <c r="G190" s="33">
        <v>7.0000000000000007E-2</v>
      </c>
      <c r="H190" s="33"/>
      <c r="I190" s="13"/>
      <c r="J190" s="12"/>
    </row>
    <row r="191" spans="1:13" x14ac:dyDescent="0.25">
      <c r="A191" s="132" t="s">
        <v>921</v>
      </c>
      <c r="B191" s="49" t="s">
        <v>14</v>
      </c>
      <c r="C191" s="12" t="s">
        <v>922</v>
      </c>
      <c r="D191" s="12" t="s">
        <v>551</v>
      </c>
      <c r="E191" s="145"/>
      <c r="F191" s="145"/>
      <c r="G191" s="33">
        <v>0.06</v>
      </c>
      <c r="H191" s="33"/>
      <c r="I191" s="13"/>
      <c r="J191" s="12"/>
    </row>
    <row r="192" spans="1:13" x14ac:dyDescent="0.25">
      <c r="A192" s="132" t="s">
        <v>921</v>
      </c>
      <c r="B192" s="49" t="s">
        <v>14</v>
      </c>
      <c r="C192" s="12" t="s">
        <v>922</v>
      </c>
      <c r="D192" s="12" t="s">
        <v>552</v>
      </c>
      <c r="E192" s="145"/>
      <c r="F192" s="145"/>
      <c r="G192" s="33">
        <v>0.17</v>
      </c>
      <c r="H192" s="33"/>
      <c r="I192" s="13"/>
      <c r="J192" s="12"/>
    </row>
    <row r="193" spans="1:13" x14ac:dyDescent="0.25">
      <c r="A193" s="132" t="s">
        <v>921</v>
      </c>
      <c r="B193" s="49" t="s">
        <v>14</v>
      </c>
      <c r="C193" s="12" t="s">
        <v>922</v>
      </c>
      <c r="D193" s="12" t="s">
        <v>553</v>
      </c>
      <c r="E193" s="145"/>
      <c r="F193" s="145"/>
      <c r="G193" s="33">
        <v>0.15</v>
      </c>
      <c r="H193" s="33"/>
      <c r="I193" s="13"/>
      <c r="J193" s="12"/>
    </row>
    <row r="194" spans="1:13" x14ac:dyDescent="0.25">
      <c r="A194" s="132" t="s">
        <v>921</v>
      </c>
      <c r="B194" s="49" t="s">
        <v>14</v>
      </c>
      <c r="C194" s="12" t="s">
        <v>922</v>
      </c>
      <c r="D194" s="12" t="s">
        <v>554</v>
      </c>
      <c r="E194" s="145"/>
      <c r="F194" s="145"/>
      <c r="G194" s="33">
        <v>7.0000000000000007E-2</v>
      </c>
      <c r="H194" s="33"/>
      <c r="I194" s="13"/>
      <c r="J194" s="12"/>
    </row>
    <row r="195" spans="1:13" x14ac:dyDescent="0.25">
      <c r="A195" s="132" t="s">
        <v>921</v>
      </c>
      <c r="B195" s="49" t="s">
        <v>14</v>
      </c>
      <c r="C195" s="12" t="s">
        <v>922</v>
      </c>
      <c r="D195" s="12" t="s">
        <v>555</v>
      </c>
      <c r="E195" s="145"/>
      <c r="F195" s="145"/>
      <c r="G195" s="33">
        <v>0.35</v>
      </c>
      <c r="H195" s="33"/>
      <c r="I195" s="13"/>
      <c r="J195" s="12"/>
    </row>
    <row r="196" spans="1:13" s="18" customFormat="1" x14ac:dyDescent="0.25">
      <c r="A196" s="132" t="s">
        <v>921</v>
      </c>
      <c r="B196" s="68" t="s">
        <v>14</v>
      </c>
      <c r="C196" s="31" t="s">
        <v>922</v>
      </c>
      <c r="D196" s="31" t="s">
        <v>346</v>
      </c>
      <c r="E196" s="141"/>
      <c r="F196" s="141"/>
      <c r="G196" s="34">
        <f>SUM(G188:G195)</f>
        <v>1</v>
      </c>
      <c r="H196" s="34"/>
      <c r="I196" s="69"/>
      <c r="J196" s="31"/>
      <c r="K196" s="21"/>
      <c r="L196" s="21"/>
      <c r="M196" s="21"/>
    </row>
    <row r="197" spans="1:13" x14ac:dyDescent="0.25">
      <c r="A197" s="132" t="s">
        <v>921</v>
      </c>
      <c r="B197" s="49" t="s">
        <v>14</v>
      </c>
      <c r="C197" s="11" t="s">
        <v>923</v>
      </c>
      <c r="D197" s="12" t="s">
        <v>547</v>
      </c>
      <c r="E197" s="145"/>
      <c r="F197" s="145"/>
      <c r="G197" s="33">
        <v>0.05</v>
      </c>
      <c r="H197" s="33"/>
      <c r="I197" s="13" t="s">
        <v>365</v>
      </c>
      <c r="J197" s="16" t="s">
        <v>548</v>
      </c>
    </row>
    <row r="198" spans="1:13" x14ac:dyDescent="0.25">
      <c r="A198" s="132" t="s">
        <v>921</v>
      </c>
      <c r="B198" s="49" t="s">
        <v>14</v>
      </c>
      <c r="C198" s="11" t="s">
        <v>923</v>
      </c>
      <c r="D198" s="12" t="s">
        <v>549</v>
      </c>
      <c r="E198" s="145"/>
      <c r="F198" s="145"/>
      <c r="G198" s="33">
        <v>0.08</v>
      </c>
      <c r="H198" s="33"/>
      <c r="I198" s="13"/>
      <c r="J198" s="16"/>
    </row>
    <row r="199" spans="1:13" x14ac:dyDescent="0.25">
      <c r="A199" s="132" t="s">
        <v>921</v>
      </c>
      <c r="B199" s="49" t="s">
        <v>14</v>
      </c>
      <c r="C199" s="11" t="s">
        <v>923</v>
      </c>
      <c r="D199" s="12" t="s">
        <v>550</v>
      </c>
      <c r="E199" s="145"/>
      <c r="F199" s="145"/>
      <c r="G199" s="33">
        <v>0.1</v>
      </c>
      <c r="H199" s="33"/>
      <c r="I199" s="13"/>
      <c r="J199" s="16"/>
    </row>
    <row r="200" spans="1:13" x14ac:dyDescent="0.25">
      <c r="A200" s="132" t="s">
        <v>921</v>
      </c>
      <c r="B200" s="49" t="s">
        <v>14</v>
      </c>
      <c r="C200" s="11" t="s">
        <v>923</v>
      </c>
      <c r="D200" s="12" t="s">
        <v>551</v>
      </c>
      <c r="E200" s="145"/>
      <c r="F200" s="145"/>
      <c r="G200" s="33">
        <v>0.06</v>
      </c>
      <c r="H200" s="33"/>
      <c r="I200" s="13"/>
      <c r="J200" s="16"/>
    </row>
    <row r="201" spans="1:13" x14ac:dyDescent="0.25">
      <c r="A201" s="132" t="s">
        <v>921</v>
      </c>
      <c r="B201" s="49" t="s">
        <v>14</v>
      </c>
      <c r="C201" s="11" t="s">
        <v>923</v>
      </c>
      <c r="D201" s="12" t="s">
        <v>552</v>
      </c>
      <c r="E201" s="145"/>
      <c r="F201" s="145"/>
      <c r="G201" s="33">
        <v>0.11</v>
      </c>
      <c r="H201" s="33"/>
      <c r="I201" s="13"/>
      <c r="J201" s="16"/>
    </row>
    <row r="202" spans="1:13" x14ac:dyDescent="0.25">
      <c r="A202" s="132" t="s">
        <v>921</v>
      </c>
      <c r="B202" s="49" t="s">
        <v>14</v>
      </c>
      <c r="C202" s="11" t="s">
        <v>923</v>
      </c>
      <c r="D202" s="12" t="s">
        <v>553</v>
      </c>
      <c r="E202" s="145"/>
      <c r="F202" s="145"/>
      <c r="G202" s="33">
        <v>0.1</v>
      </c>
      <c r="H202" s="33"/>
      <c r="I202" s="13"/>
      <c r="J202" s="16"/>
    </row>
    <row r="203" spans="1:13" x14ac:dyDescent="0.25">
      <c r="A203" s="132" t="s">
        <v>921</v>
      </c>
      <c r="B203" s="49" t="s">
        <v>14</v>
      </c>
      <c r="C203" s="11" t="s">
        <v>923</v>
      </c>
      <c r="D203" s="12" t="s">
        <v>556</v>
      </c>
      <c r="E203" s="145"/>
      <c r="F203" s="145"/>
      <c r="G203" s="33">
        <v>0.15</v>
      </c>
      <c r="H203" s="33"/>
      <c r="I203" s="13"/>
      <c r="J203" s="16"/>
    </row>
    <row r="204" spans="1:13" x14ac:dyDescent="0.25">
      <c r="A204" s="132" t="s">
        <v>921</v>
      </c>
      <c r="B204" s="49" t="s">
        <v>14</v>
      </c>
      <c r="C204" s="11" t="s">
        <v>923</v>
      </c>
      <c r="D204" s="12" t="s">
        <v>557</v>
      </c>
      <c r="E204" s="145"/>
      <c r="F204" s="145"/>
      <c r="G204" s="33">
        <v>0.02</v>
      </c>
      <c r="H204" s="33"/>
      <c r="I204" s="13"/>
      <c r="J204" s="16"/>
    </row>
    <row r="205" spans="1:13" x14ac:dyDescent="0.25">
      <c r="A205" s="132" t="s">
        <v>921</v>
      </c>
      <c r="B205" s="49" t="s">
        <v>14</v>
      </c>
      <c r="C205" s="11" t="s">
        <v>923</v>
      </c>
      <c r="D205" s="12" t="s">
        <v>558</v>
      </c>
      <c r="E205" s="145"/>
      <c r="F205" s="145"/>
      <c r="G205" s="33">
        <v>0.33</v>
      </c>
      <c r="H205" s="33"/>
      <c r="I205" s="13"/>
      <c r="J205" s="16"/>
    </row>
    <row r="206" spans="1:13" s="18" customFormat="1" x14ac:dyDescent="0.25">
      <c r="A206" s="132" t="s">
        <v>921</v>
      </c>
      <c r="B206" s="68" t="s">
        <v>14</v>
      </c>
      <c r="C206" s="17" t="s">
        <v>923</v>
      </c>
      <c r="D206" s="31" t="s">
        <v>346</v>
      </c>
      <c r="E206" s="141"/>
      <c r="F206" s="141"/>
      <c r="G206" s="34">
        <f>SUM(G197:G205)</f>
        <v>1</v>
      </c>
      <c r="H206" s="34"/>
      <c r="I206" s="69"/>
      <c r="J206" s="78"/>
      <c r="K206" s="21"/>
      <c r="L206" s="21"/>
      <c r="M206" s="21"/>
    </row>
    <row r="207" spans="1:13" s="54" customFormat="1" x14ac:dyDescent="0.25">
      <c r="A207" s="131" t="s">
        <v>921</v>
      </c>
      <c r="B207" s="59" t="s">
        <v>16</v>
      </c>
      <c r="C207" s="79" t="s">
        <v>461</v>
      </c>
      <c r="D207" s="60" t="s">
        <v>349</v>
      </c>
      <c r="E207" s="144"/>
      <c r="F207" s="144"/>
      <c r="G207" s="37">
        <v>0.38</v>
      </c>
      <c r="H207" s="37"/>
      <c r="I207" s="61" t="s">
        <v>364</v>
      </c>
      <c r="J207" s="50" t="s">
        <v>348</v>
      </c>
      <c r="K207" s="60" t="s">
        <v>559</v>
      </c>
      <c r="L207" s="60"/>
      <c r="M207" s="54" t="s">
        <v>463</v>
      </c>
    </row>
    <row r="208" spans="1:13" s="54" customFormat="1" x14ac:dyDescent="0.25">
      <c r="A208" s="131" t="s">
        <v>921</v>
      </c>
      <c r="B208" s="59" t="s">
        <v>16</v>
      </c>
      <c r="C208" s="79" t="s">
        <v>461</v>
      </c>
      <c r="D208" s="60" t="s">
        <v>350</v>
      </c>
      <c r="E208" s="144"/>
      <c r="F208" s="144"/>
      <c r="G208" s="37">
        <v>0.42</v>
      </c>
      <c r="H208" s="37"/>
      <c r="I208" s="60"/>
      <c r="J208" s="74"/>
      <c r="K208" s="74"/>
      <c r="L208" s="74"/>
      <c r="M208" s="74"/>
    </row>
    <row r="209" spans="1:13" s="54" customFormat="1" x14ac:dyDescent="0.25">
      <c r="A209" s="131" t="s">
        <v>921</v>
      </c>
      <c r="B209" s="59" t="s">
        <v>16</v>
      </c>
      <c r="C209" s="79" t="s">
        <v>461</v>
      </c>
      <c r="D209" s="60" t="s">
        <v>351</v>
      </c>
      <c r="E209" s="144"/>
      <c r="F209" s="144"/>
      <c r="G209" s="37">
        <v>0.08</v>
      </c>
      <c r="H209" s="37"/>
      <c r="I209" s="60"/>
      <c r="J209" s="74"/>
      <c r="K209" s="74"/>
      <c r="L209" s="74"/>
      <c r="M209" s="74"/>
    </row>
    <row r="210" spans="1:13" s="54" customFormat="1" x14ac:dyDescent="0.25">
      <c r="A210" s="131" t="s">
        <v>921</v>
      </c>
      <c r="B210" s="59" t="s">
        <v>16</v>
      </c>
      <c r="C210" s="79" t="s">
        <v>461</v>
      </c>
      <c r="D210" s="60" t="s">
        <v>352</v>
      </c>
      <c r="E210" s="144"/>
      <c r="F210" s="144"/>
      <c r="G210" s="37">
        <v>7.0000000000000007E-2</v>
      </c>
      <c r="H210" s="37"/>
      <c r="I210" s="60"/>
      <c r="J210" s="74"/>
      <c r="K210" s="74"/>
      <c r="L210" s="74"/>
      <c r="M210" s="74"/>
    </row>
    <row r="211" spans="1:13" s="54" customFormat="1" x14ac:dyDescent="0.25">
      <c r="A211" s="131" t="s">
        <v>921</v>
      </c>
      <c r="B211" s="59" t="s">
        <v>16</v>
      </c>
      <c r="C211" s="79" t="s">
        <v>461</v>
      </c>
      <c r="D211" s="60" t="s">
        <v>345</v>
      </c>
      <c r="E211" s="144"/>
      <c r="F211" s="144"/>
      <c r="G211" s="37">
        <v>0.05</v>
      </c>
      <c r="H211" s="37"/>
      <c r="I211" s="60"/>
      <c r="J211" s="74"/>
      <c r="K211" s="74"/>
      <c r="L211" s="74"/>
      <c r="M211" s="74"/>
    </row>
    <row r="212" spans="1:13" s="70" customFormat="1" x14ac:dyDescent="0.25">
      <c r="A212" s="131" t="s">
        <v>921</v>
      </c>
      <c r="B212" s="62" t="s">
        <v>16</v>
      </c>
      <c r="C212" s="80" t="s">
        <v>461</v>
      </c>
      <c r="D212" s="63" t="s">
        <v>346</v>
      </c>
      <c r="E212" s="143"/>
      <c r="F212" s="143"/>
      <c r="G212" s="64">
        <f>SUM(G207:G211)</f>
        <v>1</v>
      </c>
      <c r="H212" s="64"/>
      <c r="I212" s="66"/>
      <c r="J212" s="72"/>
      <c r="K212" s="72"/>
      <c r="L212" s="72"/>
      <c r="M212" s="72"/>
    </row>
    <row r="213" spans="1:13" x14ac:dyDescent="0.25">
      <c r="A213" s="132" t="s">
        <v>921</v>
      </c>
      <c r="B213" s="49" t="s">
        <v>16</v>
      </c>
      <c r="C213" s="81" t="s">
        <v>461</v>
      </c>
      <c r="D213" s="12" t="s">
        <v>560</v>
      </c>
      <c r="E213" s="145"/>
      <c r="F213" s="145"/>
      <c r="G213" s="33">
        <v>0.05</v>
      </c>
      <c r="H213" s="33"/>
      <c r="I213" s="13"/>
      <c r="J213" s="82" t="s">
        <v>561</v>
      </c>
    </row>
    <row r="214" spans="1:13" x14ac:dyDescent="0.25">
      <c r="A214" s="132" t="s">
        <v>921</v>
      </c>
      <c r="B214" s="49" t="s">
        <v>16</v>
      </c>
      <c r="C214" s="81" t="s">
        <v>461</v>
      </c>
      <c r="D214" s="12" t="s">
        <v>562</v>
      </c>
      <c r="E214" s="145"/>
      <c r="F214" s="145"/>
      <c r="G214" s="33">
        <v>0.13</v>
      </c>
      <c r="H214" s="33"/>
      <c r="I214" s="13"/>
      <c r="J214" s="12"/>
    </row>
    <row r="215" spans="1:13" x14ac:dyDescent="0.25">
      <c r="A215" s="132" t="s">
        <v>921</v>
      </c>
      <c r="B215" s="49" t="s">
        <v>16</v>
      </c>
      <c r="C215" s="81" t="s">
        <v>461</v>
      </c>
      <c r="D215" s="12" t="s">
        <v>519</v>
      </c>
      <c r="E215" s="145"/>
      <c r="F215" s="145"/>
      <c r="G215" s="33">
        <v>0.04</v>
      </c>
      <c r="H215" s="33"/>
      <c r="I215" s="13"/>
      <c r="J215" s="12"/>
    </row>
    <row r="216" spans="1:13" x14ac:dyDescent="0.25">
      <c r="A216" s="132" t="s">
        <v>921</v>
      </c>
      <c r="B216" s="49" t="s">
        <v>16</v>
      </c>
      <c r="C216" s="81" t="s">
        <v>461</v>
      </c>
      <c r="D216" s="12" t="s">
        <v>563</v>
      </c>
      <c r="E216" s="145"/>
      <c r="F216" s="145"/>
      <c r="G216" s="33">
        <v>0.02</v>
      </c>
      <c r="H216" s="33"/>
      <c r="I216" s="13"/>
      <c r="J216" s="12"/>
    </row>
    <row r="217" spans="1:13" x14ac:dyDescent="0.25">
      <c r="A217" s="132" t="s">
        <v>921</v>
      </c>
      <c r="B217" s="49" t="s">
        <v>16</v>
      </c>
      <c r="C217" s="81" t="s">
        <v>461</v>
      </c>
      <c r="D217" s="12" t="s">
        <v>564</v>
      </c>
      <c r="E217" s="145"/>
      <c r="F217" s="145"/>
      <c r="G217" s="33">
        <v>0.27</v>
      </c>
      <c r="H217" s="33"/>
      <c r="I217" s="13"/>
      <c r="J217" s="12"/>
    </row>
    <row r="218" spans="1:13" x14ac:dyDescent="0.25">
      <c r="A218" s="132" t="s">
        <v>921</v>
      </c>
      <c r="B218" s="49" t="s">
        <v>16</v>
      </c>
      <c r="C218" s="81" t="s">
        <v>461</v>
      </c>
      <c r="D218" s="12" t="s">
        <v>565</v>
      </c>
      <c r="E218" s="145"/>
      <c r="F218" s="145"/>
      <c r="G218" s="33">
        <v>0.49</v>
      </c>
      <c r="H218" s="33"/>
      <c r="I218" s="13"/>
    </row>
    <row r="219" spans="1:13" s="18" customFormat="1" x14ac:dyDescent="0.25">
      <c r="A219" s="132" t="s">
        <v>921</v>
      </c>
      <c r="B219" s="68" t="s">
        <v>16</v>
      </c>
      <c r="C219" s="83" t="s">
        <v>461</v>
      </c>
      <c r="D219" s="31" t="s">
        <v>346</v>
      </c>
      <c r="E219" s="141"/>
      <c r="F219" s="141"/>
      <c r="G219" s="34">
        <f>SUM(G213:G218)</f>
        <v>1</v>
      </c>
      <c r="H219" s="34"/>
      <c r="I219" s="69"/>
      <c r="J219" s="29"/>
      <c r="K219" s="21"/>
      <c r="L219" s="21"/>
      <c r="M219" s="21"/>
    </row>
    <row r="220" spans="1:13" x14ac:dyDescent="0.25">
      <c r="A220" s="132" t="s">
        <v>921</v>
      </c>
      <c r="B220" s="49" t="s">
        <v>16</v>
      </c>
      <c r="C220" s="49" t="s">
        <v>464</v>
      </c>
      <c r="D220" s="12" t="s">
        <v>349</v>
      </c>
      <c r="E220" s="145"/>
      <c r="F220" s="145"/>
      <c r="G220" s="33">
        <v>0.31</v>
      </c>
      <c r="H220" s="33"/>
      <c r="I220" s="13" t="s">
        <v>364</v>
      </c>
      <c r="J220" s="16" t="s">
        <v>348</v>
      </c>
      <c r="K220" s="12" t="s">
        <v>566</v>
      </c>
      <c r="L220" s="12"/>
      <c r="M220" s="12"/>
    </row>
    <row r="221" spans="1:13" x14ac:dyDescent="0.25">
      <c r="A221" s="132" t="s">
        <v>921</v>
      </c>
      <c r="B221" s="49" t="s">
        <v>16</v>
      </c>
      <c r="C221" s="49" t="s">
        <v>464</v>
      </c>
      <c r="D221" s="12" t="s">
        <v>350</v>
      </c>
      <c r="E221" s="145"/>
      <c r="F221" s="145"/>
      <c r="G221" s="33">
        <v>0.46</v>
      </c>
      <c r="H221" s="33"/>
      <c r="I221" s="12"/>
      <c r="J221" s="22"/>
    </row>
    <row r="222" spans="1:13" x14ac:dyDescent="0.25">
      <c r="A222" s="132" t="s">
        <v>921</v>
      </c>
      <c r="B222" s="49" t="s">
        <v>16</v>
      </c>
      <c r="C222" s="49" t="s">
        <v>464</v>
      </c>
      <c r="D222" s="12" t="s">
        <v>351</v>
      </c>
      <c r="E222" s="145"/>
      <c r="F222" s="145"/>
      <c r="G222" s="33">
        <v>7.0000000000000007E-2</v>
      </c>
      <c r="H222" s="33"/>
      <c r="I222" s="84"/>
      <c r="J222" s="22"/>
    </row>
    <row r="223" spans="1:13" x14ac:dyDescent="0.25">
      <c r="A223" s="132" t="s">
        <v>921</v>
      </c>
      <c r="B223" s="49" t="s">
        <v>16</v>
      </c>
      <c r="C223" s="49" t="s">
        <v>464</v>
      </c>
      <c r="D223" s="12" t="s">
        <v>352</v>
      </c>
      <c r="E223" s="145"/>
      <c r="F223" s="145"/>
      <c r="G223" s="33">
        <v>0.16</v>
      </c>
      <c r="H223" s="33"/>
      <c r="I223" s="12"/>
      <c r="J223" s="22"/>
    </row>
    <row r="224" spans="1:13" s="18" customFormat="1" x14ac:dyDescent="0.25">
      <c r="A224" s="132" t="s">
        <v>921</v>
      </c>
      <c r="B224" s="68" t="s">
        <v>16</v>
      </c>
      <c r="C224" s="68" t="s">
        <v>464</v>
      </c>
      <c r="D224" s="31" t="s">
        <v>346</v>
      </c>
      <c r="E224" s="141"/>
      <c r="F224" s="141"/>
      <c r="G224" s="34">
        <f>SUM(G220:G223)</f>
        <v>1</v>
      </c>
      <c r="H224" s="34"/>
      <c r="I224" s="31"/>
      <c r="J224" s="21"/>
      <c r="K224" s="21"/>
      <c r="L224" s="21"/>
      <c r="M224" s="21"/>
    </row>
    <row r="225" spans="1:13" x14ac:dyDescent="0.25">
      <c r="A225" s="132" t="s">
        <v>921</v>
      </c>
      <c r="B225" s="49" t="s">
        <v>16</v>
      </c>
      <c r="C225" s="49" t="s">
        <v>464</v>
      </c>
      <c r="D225" s="12" t="s">
        <v>567</v>
      </c>
      <c r="E225" s="145"/>
      <c r="F225" s="145"/>
      <c r="G225" s="33">
        <v>0.31</v>
      </c>
      <c r="H225" s="33"/>
      <c r="I225" s="13"/>
      <c r="J225" s="84" t="s">
        <v>568</v>
      </c>
    </row>
    <row r="226" spans="1:13" x14ac:dyDescent="0.25">
      <c r="A226" s="132" t="s">
        <v>921</v>
      </c>
      <c r="B226" s="49" t="s">
        <v>16</v>
      </c>
      <c r="C226" s="49" t="s">
        <v>464</v>
      </c>
      <c r="D226" s="12" t="s">
        <v>569</v>
      </c>
      <c r="E226" s="145"/>
      <c r="F226" s="145"/>
      <c r="G226" s="33">
        <v>0.1</v>
      </c>
      <c r="H226" s="33"/>
      <c r="I226" s="13"/>
      <c r="J226" s="84" t="s">
        <v>570</v>
      </c>
    </row>
    <row r="227" spans="1:13" x14ac:dyDescent="0.25">
      <c r="A227" s="132" t="s">
        <v>921</v>
      </c>
      <c r="B227" s="49" t="s">
        <v>16</v>
      </c>
      <c r="C227" s="49" t="s">
        <v>464</v>
      </c>
      <c r="D227" s="12" t="s">
        <v>571</v>
      </c>
      <c r="E227" s="145"/>
      <c r="F227" s="145"/>
      <c r="G227" s="33">
        <v>0.13</v>
      </c>
      <c r="H227" s="33"/>
      <c r="I227" s="13"/>
      <c r="J227" s="84" t="s">
        <v>572</v>
      </c>
    </row>
    <row r="228" spans="1:13" x14ac:dyDescent="0.25">
      <c r="A228" s="132" t="s">
        <v>921</v>
      </c>
      <c r="B228" s="49" t="s">
        <v>16</v>
      </c>
      <c r="C228" s="49" t="s">
        <v>464</v>
      </c>
      <c r="D228" s="12" t="s">
        <v>573</v>
      </c>
      <c r="E228" s="145"/>
      <c r="F228" s="145"/>
      <c r="G228" s="33">
        <v>0.26</v>
      </c>
      <c r="H228" s="33"/>
      <c r="I228" s="13"/>
      <c r="J228" s="12"/>
    </row>
    <row r="229" spans="1:13" x14ac:dyDescent="0.25">
      <c r="A229" s="132" t="s">
        <v>921</v>
      </c>
      <c r="B229" s="49" t="s">
        <v>16</v>
      </c>
      <c r="C229" s="49" t="s">
        <v>464</v>
      </c>
      <c r="D229" s="12" t="s">
        <v>519</v>
      </c>
      <c r="E229" s="145"/>
      <c r="F229" s="145"/>
      <c r="G229" s="33">
        <v>0.05</v>
      </c>
      <c r="H229" s="33"/>
      <c r="I229" s="13"/>
      <c r="J229" s="12"/>
    </row>
    <row r="230" spans="1:13" x14ac:dyDescent="0.25">
      <c r="A230" s="132" t="s">
        <v>921</v>
      </c>
      <c r="B230" s="49" t="s">
        <v>16</v>
      </c>
      <c r="C230" s="49" t="s">
        <v>464</v>
      </c>
      <c r="D230" s="12" t="s">
        <v>562</v>
      </c>
      <c r="E230" s="145"/>
      <c r="F230" s="145"/>
      <c r="G230" s="33">
        <v>0.15</v>
      </c>
      <c r="H230" s="33"/>
      <c r="I230" s="13"/>
      <c r="J230" s="12"/>
    </row>
    <row r="231" spans="1:13" s="18" customFormat="1" x14ac:dyDescent="0.25">
      <c r="A231" s="132" t="s">
        <v>921</v>
      </c>
      <c r="B231" s="68" t="s">
        <v>16</v>
      </c>
      <c r="C231" s="68" t="s">
        <v>464</v>
      </c>
      <c r="D231" s="31" t="s">
        <v>346</v>
      </c>
      <c r="E231" s="141"/>
      <c r="F231" s="141"/>
      <c r="G231" s="34">
        <f>SUM(G225:G230)</f>
        <v>1</v>
      </c>
      <c r="H231" s="34"/>
      <c r="I231" s="69"/>
      <c r="J231" s="31"/>
      <c r="K231" s="21"/>
      <c r="L231" s="21"/>
      <c r="M231" s="21"/>
    </row>
    <row r="232" spans="1:13" x14ac:dyDescent="0.25">
      <c r="A232" s="132" t="s">
        <v>921</v>
      </c>
      <c r="B232" s="49" t="s">
        <v>16</v>
      </c>
      <c r="C232" s="56"/>
      <c r="D232" s="12"/>
      <c r="E232" s="145"/>
      <c r="F232" s="145"/>
      <c r="G232" s="33"/>
      <c r="H232" s="33"/>
      <c r="I232" s="13"/>
      <c r="J232" s="71" t="s">
        <v>574</v>
      </c>
    </row>
    <row r="233" spans="1:13" x14ac:dyDescent="0.25">
      <c r="A233" s="132" t="s">
        <v>921</v>
      </c>
      <c r="B233" s="49" t="s">
        <v>16</v>
      </c>
      <c r="C233" s="56"/>
      <c r="D233" s="12"/>
      <c r="E233" s="145"/>
      <c r="F233" s="145"/>
      <c r="G233" s="33"/>
      <c r="H233" s="33"/>
      <c r="I233" s="13"/>
    </row>
    <row r="234" spans="1:13" x14ac:dyDescent="0.25">
      <c r="A234" s="132" t="s">
        <v>921</v>
      </c>
      <c r="B234" s="49" t="s">
        <v>16</v>
      </c>
      <c r="C234" s="56"/>
      <c r="D234" s="12"/>
      <c r="E234" s="145"/>
      <c r="F234" s="145"/>
      <c r="G234" s="33"/>
      <c r="H234" s="33"/>
      <c r="I234" s="13"/>
    </row>
    <row r="235" spans="1:13" x14ac:dyDescent="0.25">
      <c r="A235" s="132" t="s">
        <v>921</v>
      </c>
      <c r="B235" s="49" t="s">
        <v>16</v>
      </c>
      <c r="C235" s="56"/>
      <c r="D235" s="12"/>
      <c r="E235" s="145"/>
      <c r="F235" s="145"/>
      <c r="G235" s="33"/>
      <c r="H235" s="33"/>
      <c r="I235" s="13"/>
    </row>
    <row r="236" spans="1:13" x14ac:dyDescent="0.25">
      <c r="A236" s="132" t="s">
        <v>921</v>
      </c>
      <c r="B236" s="49" t="s">
        <v>16</v>
      </c>
      <c r="C236" s="56"/>
      <c r="D236" s="12"/>
      <c r="E236" s="145"/>
      <c r="F236" s="145"/>
      <c r="G236" s="33"/>
      <c r="H236" s="33"/>
      <c r="I236" s="13"/>
    </row>
    <row r="237" spans="1:13" x14ac:dyDescent="0.25">
      <c r="A237" s="132" t="s">
        <v>921</v>
      </c>
      <c r="B237" s="49" t="s">
        <v>16</v>
      </c>
      <c r="C237" s="56"/>
      <c r="D237" s="12"/>
      <c r="E237" s="145"/>
      <c r="F237" s="145"/>
      <c r="G237" s="33"/>
      <c r="H237" s="33"/>
      <c r="I237" s="13"/>
    </row>
    <row r="238" spans="1:13" x14ac:dyDescent="0.25">
      <c r="A238" s="132" t="s">
        <v>921</v>
      </c>
      <c r="B238" s="49" t="s">
        <v>16</v>
      </c>
      <c r="C238" s="56"/>
      <c r="D238" s="12"/>
      <c r="E238" s="145"/>
      <c r="F238" s="145"/>
      <c r="G238" s="33"/>
      <c r="H238" s="33"/>
      <c r="I238" s="13"/>
    </row>
    <row r="239" spans="1:13" x14ac:dyDescent="0.25">
      <c r="A239" s="132" t="s">
        <v>921</v>
      </c>
      <c r="B239" s="49" t="s">
        <v>16</v>
      </c>
      <c r="C239" s="56"/>
      <c r="D239" s="12"/>
      <c r="E239" s="145"/>
      <c r="F239" s="145"/>
      <c r="G239" s="33"/>
      <c r="H239" s="33"/>
      <c r="I239" s="13"/>
    </row>
    <row r="240" spans="1:13" x14ac:dyDescent="0.25">
      <c r="A240" s="132" t="s">
        <v>921</v>
      </c>
      <c r="B240" s="49" t="s">
        <v>16</v>
      </c>
      <c r="C240" s="56"/>
      <c r="D240" s="12"/>
      <c r="E240" s="145"/>
      <c r="F240" s="145"/>
      <c r="G240" s="33"/>
      <c r="H240" s="33"/>
      <c r="I240" s="13"/>
    </row>
    <row r="241" spans="1:13" x14ac:dyDescent="0.25">
      <c r="A241" s="132" t="s">
        <v>921</v>
      </c>
      <c r="B241" s="49" t="s">
        <v>16</v>
      </c>
      <c r="C241" s="56"/>
      <c r="D241" s="12"/>
      <c r="E241" s="145"/>
      <c r="F241" s="145"/>
      <c r="G241" s="33"/>
      <c r="H241" s="33"/>
      <c r="I241" s="13"/>
    </row>
    <row r="242" spans="1:13" x14ac:dyDescent="0.25">
      <c r="A242" s="132" t="s">
        <v>921</v>
      </c>
      <c r="B242" s="49" t="s">
        <v>16</v>
      </c>
      <c r="C242" s="56"/>
      <c r="D242" s="12"/>
      <c r="E242" s="145"/>
      <c r="F242" s="145"/>
      <c r="G242" s="33"/>
      <c r="H242" s="33"/>
      <c r="I242" s="13"/>
    </row>
    <row r="243" spans="1:13" s="54" customFormat="1" x14ac:dyDescent="0.25">
      <c r="A243" s="131" t="s">
        <v>921</v>
      </c>
      <c r="B243" s="133" t="s">
        <v>18</v>
      </c>
      <c r="D243" s="60" t="s">
        <v>349</v>
      </c>
      <c r="E243" s="144"/>
      <c r="F243" s="144"/>
      <c r="G243" s="37">
        <v>0.05</v>
      </c>
      <c r="H243" s="37"/>
      <c r="I243" s="61" t="s">
        <v>364</v>
      </c>
      <c r="J243" s="50" t="s">
        <v>348</v>
      </c>
      <c r="K243" s="60" t="s">
        <v>575</v>
      </c>
      <c r="L243" s="60"/>
      <c r="M243" s="60"/>
    </row>
    <row r="244" spans="1:13" s="54" customFormat="1" x14ac:dyDescent="0.25">
      <c r="A244" s="131" t="s">
        <v>921</v>
      </c>
      <c r="B244" s="133" t="s">
        <v>18</v>
      </c>
      <c r="D244" s="60" t="s">
        <v>350</v>
      </c>
      <c r="E244" s="144"/>
      <c r="F244" s="144"/>
      <c r="G244" s="37">
        <v>0.51</v>
      </c>
      <c r="H244" s="37"/>
      <c r="I244" s="60"/>
      <c r="J244" s="74"/>
      <c r="K244" s="74"/>
      <c r="L244" s="74"/>
      <c r="M244" s="74"/>
    </row>
    <row r="245" spans="1:13" s="54" customFormat="1" x14ac:dyDescent="0.25">
      <c r="A245" s="131" t="s">
        <v>921</v>
      </c>
      <c r="B245" s="133" t="s">
        <v>18</v>
      </c>
      <c r="D245" s="60" t="s">
        <v>351</v>
      </c>
      <c r="E245" s="144"/>
      <c r="F245" s="144"/>
      <c r="G245" s="37">
        <v>7.0000000000000007E-2</v>
      </c>
      <c r="H245" s="37"/>
      <c r="I245" s="51"/>
      <c r="J245" s="74"/>
      <c r="K245" s="74"/>
      <c r="L245" s="74"/>
      <c r="M245" s="74"/>
    </row>
    <row r="246" spans="1:13" s="54" customFormat="1" x14ac:dyDescent="0.25">
      <c r="A246" s="131" t="s">
        <v>921</v>
      </c>
      <c r="B246" s="133" t="s">
        <v>18</v>
      </c>
      <c r="D246" s="60" t="s">
        <v>352</v>
      </c>
      <c r="E246" s="144"/>
      <c r="F246" s="144"/>
      <c r="G246" s="37">
        <v>0.16</v>
      </c>
      <c r="H246" s="37"/>
      <c r="I246" s="51"/>
      <c r="J246" s="74"/>
      <c r="K246" s="74"/>
      <c r="L246" s="74"/>
      <c r="M246" s="74"/>
    </row>
    <row r="247" spans="1:13" s="54" customFormat="1" x14ac:dyDescent="0.25">
      <c r="A247" s="131" t="s">
        <v>921</v>
      </c>
      <c r="B247" s="133" t="s">
        <v>18</v>
      </c>
      <c r="D247" s="60" t="s">
        <v>345</v>
      </c>
      <c r="E247" s="144"/>
      <c r="F247" s="144"/>
      <c r="G247" s="37">
        <v>0.21</v>
      </c>
      <c r="H247" s="37"/>
      <c r="I247" s="51"/>
      <c r="J247" s="74"/>
      <c r="K247" s="74"/>
      <c r="L247" s="74"/>
      <c r="M247" s="74"/>
    </row>
    <row r="248" spans="1:13" s="70" customFormat="1" x14ac:dyDescent="0.25">
      <c r="A248" s="131" t="s">
        <v>921</v>
      </c>
      <c r="B248" s="134" t="s">
        <v>18</v>
      </c>
      <c r="D248" s="63" t="s">
        <v>346</v>
      </c>
      <c r="E248" s="143"/>
      <c r="F248" s="143"/>
      <c r="G248" s="64">
        <f>SUM(G243:G247)</f>
        <v>1.0000000000000002</v>
      </c>
      <c r="H248" s="64"/>
      <c r="J248" s="72"/>
      <c r="K248" s="72"/>
      <c r="L248" s="72"/>
      <c r="M248" s="72"/>
    </row>
    <row r="249" spans="1:13" x14ac:dyDescent="0.25">
      <c r="A249" s="132" t="s">
        <v>921</v>
      </c>
      <c r="B249" s="15" t="s">
        <v>18</v>
      </c>
      <c r="D249" s="12" t="s">
        <v>576</v>
      </c>
      <c r="E249" s="145"/>
      <c r="F249" s="145"/>
      <c r="G249" s="33">
        <v>7.0000000000000007E-2</v>
      </c>
      <c r="H249" s="33"/>
      <c r="I249" s="13" t="s">
        <v>365</v>
      </c>
      <c r="J249" s="85" t="s">
        <v>577</v>
      </c>
    </row>
    <row r="250" spans="1:13" x14ac:dyDescent="0.25">
      <c r="A250" s="132" t="s">
        <v>921</v>
      </c>
      <c r="B250" s="15" t="s">
        <v>18</v>
      </c>
      <c r="D250" s="12" t="s">
        <v>578</v>
      </c>
      <c r="E250" s="145"/>
      <c r="F250" s="145"/>
      <c r="G250" s="33">
        <v>0.04</v>
      </c>
      <c r="H250" s="33"/>
      <c r="I250" s="13"/>
    </row>
    <row r="251" spans="1:13" x14ac:dyDescent="0.25">
      <c r="A251" s="132" t="s">
        <v>921</v>
      </c>
      <c r="B251" s="15" t="s">
        <v>18</v>
      </c>
      <c r="D251" s="12" t="s">
        <v>579</v>
      </c>
      <c r="E251" s="145"/>
      <c r="F251" s="145"/>
      <c r="G251" s="33">
        <v>0.15</v>
      </c>
      <c r="H251" s="33"/>
      <c r="I251" s="13"/>
    </row>
    <row r="252" spans="1:13" x14ac:dyDescent="0.25">
      <c r="A252" s="132" t="s">
        <v>921</v>
      </c>
      <c r="B252" s="15" t="s">
        <v>18</v>
      </c>
      <c r="D252" s="12" t="s">
        <v>580</v>
      </c>
      <c r="E252" s="145"/>
      <c r="F252" s="145"/>
      <c r="G252" s="33">
        <v>0.04</v>
      </c>
      <c r="H252" s="33"/>
      <c r="I252" s="13"/>
    </row>
    <row r="253" spans="1:13" x14ac:dyDescent="0.25">
      <c r="A253" s="132" t="s">
        <v>921</v>
      </c>
      <c r="B253" s="15" t="s">
        <v>18</v>
      </c>
      <c r="D253" s="12" t="s">
        <v>581</v>
      </c>
      <c r="E253" s="145"/>
      <c r="F253" s="145"/>
      <c r="G253" s="33">
        <v>0.01</v>
      </c>
      <c r="H253" s="33"/>
      <c r="I253" s="13"/>
    </row>
    <row r="254" spans="1:13" x14ac:dyDescent="0.25">
      <c r="A254" s="132" t="s">
        <v>921</v>
      </c>
      <c r="B254" s="15" t="s">
        <v>18</v>
      </c>
      <c r="D254" s="12" t="s">
        <v>582</v>
      </c>
      <c r="E254" s="145"/>
      <c r="F254" s="145"/>
      <c r="G254" s="33">
        <v>0.14000000000000001</v>
      </c>
      <c r="H254" s="33"/>
      <c r="I254" s="13"/>
    </row>
    <row r="255" spans="1:13" x14ac:dyDescent="0.25">
      <c r="A255" s="132" t="s">
        <v>921</v>
      </c>
      <c r="B255" s="15" t="s">
        <v>18</v>
      </c>
      <c r="D255" s="12" t="s">
        <v>583</v>
      </c>
      <c r="E255" s="145"/>
      <c r="F255" s="145"/>
      <c r="G255" s="33">
        <v>0.42</v>
      </c>
      <c r="H255" s="33"/>
      <c r="I255" s="13"/>
    </row>
    <row r="256" spans="1:13" x14ac:dyDescent="0.25">
      <c r="A256" s="132" t="s">
        <v>921</v>
      </c>
      <c r="B256" s="15" t="s">
        <v>18</v>
      </c>
      <c r="D256" s="12" t="s">
        <v>345</v>
      </c>
      <c r="E256" s="145"/>
      <c r="F256" s="145"/>
      <c r="G256" s="33">
        <v>0.01</v>
      </c>
      <c r="H256" s="33"/>
      <c r="I256" s="13"/>
      <c r="J256" s="2"/>
    </row>
    <row r="257" spans="1:13" x14ac:dyDescent="0.25">
      <c r="A257" s="132" t="s">
        <v>921</v>
      </c>
      <c r="B257" s="15" t="s">
        <v>18</v>
      </c>
      <c r="D257" s="12" t="s">
        <v>584</v>
      </c>
      <c r="E257" s="145"/>
      <c r="F257" s="145"/>
      <c r="G257" s="33">
        <v>0.03</v>
      </c>
      <c r="H257" s="33"/>
      <c r="I257" s="13"/>
      <c r="J257" s="2"/>
    </row>
    <row r="258" spans="1:13" x14ac:dyDescent="0.25">
      <c r="A258" s="132" t="s">
        <v>921</v>
      </c>
      <c r="B258" s="15" t="s">
        <v>18</v>
      </c>
      <c r="D258" s="12" t="s">
        <v>585</v>
      </c>
      <c r="E258" s="145"/>
      <c r="F258" s="145"/>
      <c r="G258" s="33">
        <v>0.09</v>
      </c>
      <c r="H258" s="33"/>
      <c r="I258" s="13"/>
      <c r="J258" s="2"/>
    </row>
    <row r="259" spans="1:13" s="18" customFormat="1" x14ac:dyDescent="0.25">
      <c r="A259" s="132" t="s">
        <v>921</v>
      </c>
      <c r="B259" s="19" t="s">
        <v>18</v>
      </c>
      <c r="D259" s="31" t="s">
        <v>346</v>
      </c>
      <c r="E259" s="141"/>
      <c r="F259" s="141"/>
      <c r="G259" s="34">
        <f>SUM(G249:G258)</f>
        <v>1</v>
      </c>
      <c r="H259" s="34"/>
      <c r="I259" s="69"/>
      <c r="J259" s="24"/>
      <c r="K259" s="21"/>
      <c r="L259" s="21"/>
      <c r="M259" s="21"/>
    </row>
    <row r="260" spans="1:13" s="122" customFormat="1" x14ac:dyDescent="0.25">
      <c r="A260" s="122" t="s">
        <v>944</v>
      </c>
      <c r="B260" s="122" t="s">
        <v>927</v>
      </c>
      <c r="C260" s="122" t="s">
        <v>741</v>
      </c>
      <c r="D260" s="128" t="s">
        <v>952</v>
      </c>
      <c r="E260" s="148">
        <v>3</v>
      </c>
      <c r="F260" s="148">
        <v>3</v>
      </c>
      <c r="G260" s="149">
        <f>E260/E$272*0.63</f>
        <v>0.13499999999999998</v>
      </c>
      <c r="H260" s="149">
        <f>F260/F$272*0.63</f>
        <v>0.13034482758620689</v>
      </c>
      <c r="I260" s="128" t="s">
        <v>932</v>
      </c>
      <c r="J260" s="130" t="s">
        <v>928</v>
      </c>
      <c r="K260" s="129"/>
      <c r="L260" s="129" t="s">
        <v>930</v>
      </c>
      <c r="M260" s="129"/>
    </row>
    <row r="261" spans="1:13" s="122" customFormat="1" x14ac:dyDescent="0.25">
      <c r="A261" s="122" t="s">
        <v>944</v>
      </c>
      <c r="B261" s="122" t="s">
        <v>927</v>
      </c>
      <c r="C261" s="122" t="s">
        <v>741</v>
      </c>
      <c r="D261" s="128" t="s">
        <v>954</v>
      </c>
      <c r="E261" s="148">
        <v>2</v>
      </c>
      <c r="F261" s="148">
        <v>2.1</v>
      </c>
      <c r="G261" s="149">
        <f t="shared" ref="G261:G266" si="1">E261/E$272*0.63</f>
        <v>0.09</v>
      </c>
      <c r="H261" s="149">
        <f t="shared" ref="H261:H266" si="2">F261/F$272*0.63</f>
        <v>9.1241379310344831E-2</v>
      </c>
      <c r="I261" s="128"/>
      <c r="J261" s="130" t="s">
        <v>929</v>
      </c>
      <c r="K261" s="129"/>
      <c r="L261" s="129"/>
      <c r="M261" s="129"/>
    </row>
    <row r="262" spans="1:13" s="122" customFormat="1" x14ac:dyDescent="0.25">
      <c r="A262" s="122" t="s">
        <v>944</v>
      </c>
      <c r="B262" s="122" t="s">
        <v>927</v>
      </c>
      <c r="C262" s="122" t="s">
        <v>741</v>
      </c>
      <c r="D262" s="128" t="s">
        <v>955</v>
      </c>
      <c r="E262" s="148">
        <v>2.7</v>
      </c>
      <c r="F262" s="148">
        <v>2.9</v>
      </c>
      <c r="G262" s="149">
        <f t="shared" si="1"/>
        <v>0.12150000000000001</v>
      </c>
      <c r="H262" s="149">
        <f t="shared" si="2"/>
        <v>0.126</v>
      </c>
      <c r="I262" s="128"/>
      <c r="J262" s="130"/>
      <c r="K262" s="129"/>
      <c r="L262" s="129"/>
      <c r="M262" s="129"/>
    </row>
    <row r="263" spans="1:13" s="122" customFormat="1" x14ac:dyDescent="0.25">
      <c r="A263" s="122" t="s">
        <v>944</v>
      </c>
      <c r="B263" s="122" t="s">
        <v>927</v>
      </c>
      <c r="C263" s="122" t="s">
        <v>741</v>
      </c>
      <c r="D263" s="128" t="s">
        <v>956</v>
      </c>
      <c r="E263" s="148">
        <v>1.7</v>
      </c>
      <c r="F263" s="148">
        <v>1.8</v>
      </c>
      <c r="G263" s="149">
        <f t="shared" si="1"/>
        <v>7.6499999999999999E-2</v>
      </c>
      <c r="H263" s="149">
        <f t="shared" si="2"/>
        <v>7.8206896551724137E-2</v>
      </c>
      <c r="I263" s="128"/>
      <c r="J263" s="130"/>
      <c r="K263" s="129"/>
      <c r="L263" s="129"/>
      <c r="M263" s="129"/>
    </row>
    <row r="264" spans="1:13" s="122" customFormat="1" x14ac:dyDescent="0.25">
      <c r="A264" s="122" t="s">
        <v>944</v>
      </c>
      <c r="B264" s="122" t="s">
        <v>927</v>
      </c>
      <c r="C264" s="122" t="s">
        <v>741</v>
      </c>
      <c r="D264" s="128" t="s">
        <v>957</v>
      </c>
      <c r="E264" s="148">
        <v>1.2</v>
      </c>
      <c r="F264" s="148">
        <v>1.2</v>
      </c>
      <c r="G264" s="149">
        <f t="shared" si="1"/>
        <v>5.3999999999999999E-2</v>
      </c>
      <c r="H264" s="149">
        <f t="shared" si="2"/>
        <v>5.2137931034482755E-2</v>
      </c>
      <c r="I264" s="128"/>
      <c r="J264" s="130"/>
      <c r="K264" s="129"/>
      <c r="L264" s="129"/>
      <c r="M264" s="129"/>
    </row>
    <row r="265" spans="1:13" s="122" customFormat="1" x14ac:dyDescent="0.25">
      <c r="A265" s="122" t="s">
        <v>944</v>
      </c>
      <c r="B265" s="122" t="s">
        <v>927</v>
      </c>
      <c r="C265" s="122" t="s">
        <v>741</v>
      </c>
      <c r="D265" s="128" t="s">
        <v>958</v>
      </c>
      <c r="E265" s="148">
        <v>1.6</v>
      </c>
      <c r="F265" s="148">
        <v>1.6</v>
      </c>
      <c r="G265" s="149">
        <f t="shared" si="1"/>
        <v>7.2000000000000008E-2</v>
      </c>
      <c r="H265" s="149">
        <f t="shared" si="2"/>
        <v>6.9517241379310354E-2</v>
      </c>
      <c r="I265" s="128"/>
      <c r="J265" s="130"/>
      <c r="K265" s="129"/>
      <c r="L265" s="129"/>
      <c r="M265" s="129"/>
    </row>
    <row r="266" spans="1:13" s="122" customFormat="1" x14ac:dyDescent="0.25">
      <c r="A266" s="122" t="s">
        <v>944</v>
      </c>
      <c r="B266" s="122" t="s">
        <v>927</v>
      </c>
      <c r="C266" s="122" t="s">
        <v>741</v>
      </c>
      <c r="D266" s="128" t="s">
        <v>959</v>
      </c>
      <c r="E266" s="148">
        <v>1.8</v>
      </c>
      <c r="F266" s="148">
        <v>1.9</v>
      </c>
      <c r="G266" s="149">
        <f t="shared" si="1"/>
        <v>8.1000000000000016E-2</v>
      </c>
      <c r="H266" s="149">
        <f t="shared" si="2"/>
        <v>8.2551724137931021E-2</v>
      </c>
      <c r="I266" s="128"/>
      <c r="J266" s="130"/>
      <c r="K266" s="129"/>
      <c r="L266" s="129"/>
      <c r="M266" s="129"/>
    </row>
    <row r="267" spans="1:13" s="122" customFormat="1" x14ac:dyDescent="0.25">
      <c r="A267" s="122" t="s">
        <v>944</v>
      </c>
      <c r="B267" s="122" t="s">
        <v>927</v>
      </c>
      <c r="C267" s="122" t="s">
        <v>741</v>
      </c>
      <c r="D267" s="128" t="s">
        <v>946</v>
      </c>
      <c r="E267" s="148"/>
      <c r="F267" s="148"/>
      <c r="G267" s="149">
        <v>0.14000000000000001</v>
      </c>
      <c r="H267" s="149">
        <v>0.14000000000000001</v>
      </c>
      <c r="I267" s="128" t="s">
        <v>964</v>
      </c>
      <c r="J267" s="130" t="s">
        <v>945</v>
      </c>
      <c r="K267" s="129" t="s">
        <v>951</v>
      </c>
      <c r="L267" s="129"/>
      <c r="M267" s="129"/>
    </row>
    <row r="268" spans="1:13" s="122" customFormat="1" x14ac:dyDescent="0.25">
      <c r="A268" s="122" t="s">
        <v>944</v>
      </c>
      <c r="B268" s="122" t="s">
        <v>927</v>
      </c>
      <c r="C268" s="122" t="s">
        <v>741</v>
      </c>
      <c r="D268" s="128" t="s">
        <v>947</v>
      </c>
      <c r="E268" s="148"/>
      <c r="F268" s="148"/>
      <c r="G268" s="149">
        <v>0.03</v>
      </c>
      <c r="H268" s="149">
        <v>0.03</v>
      </c>
      <c r="I268" s="128"/>
      <c r="J268" s="130"/>
      <c r="K268" s="129"/>
      <c r="L268" s="129"/>
      <c r="M268" s="129"/>
    </row>
    <row r="269" spans="1:13" s="122" customFormat="1" x14ac:dyDescent="0.25">
      <c r="A269" s="122" t="s">
        <v>944</v>
      </c>
      <c r="B269" s="122" t="s">
        <v>927</v>
      </c>
      <c r="C269" s="122" t="s">
        <v>741</v>
      </c>
      <c r="D269" s="128" t="s">
        <v>948</v>
      </c>
      <c r="E269" s="148"/>
      <c r="F269" s="148"/>
      <c r="G269" s="149">
        <v>7.0000000000000007E-2</v>
      </c>
      <c r="H269" s="149">
        <v>7.0000000000000007E-2</v>
      </c>
      <c r="I269" s="128"/>
      <c r="J269" s="130"/>
      <c r="K269" s="129"/>
      <c r="L269" s="129"/>
      <c r="M269" s="129"/>
    </row>
    <row r="270" spans="1:13" s="122" customFormat="1" x14ac:dyDescent="0.25">
      <c r="A270" s="122" t="s">
        <v>944</v>
      </c>
      <c r="B270" s="122" t="s">
        <v>927</v>
      </c>
      <c r="C270" s="122" t="s">
        <v>741</v>
      </c>
      <c r="D270" s="128" t="s">
        <v>949</v>
      </c>
      <c r="E270" s="148"/>
      <c r="F270" s="148"/>
      <c r="G270" s="149">
        <v>0.09</v>
      </c>
      <c r="H270" s="149">
        <v>0.09</v>
      </c>
      <c r="I270" s="128"/>
      <c r="J270" s="130"/>
      <c r="K270" s="129"/>
      <c r="L270" s="129"/>
      <c r="M270" s="129"/>
    </row>
    <row r="271" spans="1:13" s="122" customFormat="1" x14ac:dyDescent="0.25">
      <c r="A271" s="122" t="s">
        <v>944</v>
      </c>
      <c r="B271" s="122" t="s">
        <v>927</v>
      </c>
      <c r="C271" s="122" t="s">
        <v>741</v>
      </c>
      <c r="D271" s="128" t="s">
        <v>950</v>
      </c>
      <c r="E271" s="148"/>
      <c r="F271" s="148"/>
      <c r="G271" s="149">
        <v>0.04</v>
      </c>
      <c r="H271" s="149">
        <v>0.04</v>
      </c>
      <c r="I271" s="128"/>
      <c r="J271" s="130"/>
      <c r="K271" s="129"/>
      <c r="L271" s="129"/>
      <c r="M271" s="129"/>
    </row>
    <row r="272" spans="1:13" s="122" customFormat="1" x14ac:dyDescent="0.25">
      <c r="A272" s="122" t="s">
        <v>944</v>
      </c>
      <c r="B272" s="121" t="s">
        <v>927</v>
      </c>
      <c r="C272" s="121" t="s">
        <v>741</v>
      </c>
      <c r="D272" s="126" t="s">
        <v>346</v>
      </c>
      <c r="E272" s="147">
        <f t="shared" ref="E272:F272" si="3">SUM(E260:E266)</f>
        <v>14</v>
      </c>
      <c r="F272" s="147">
        <f t="shared" si="3"/>
        <v>14.5</v>
      </c>
      <c r="G272" s="127">
        <f>SUM(G260:G271)</f>
        <v>0.99999999999999989</v>
      </c>
      <c r="H272" s="127">
        <f>SUM(H260:H271)</f>
        <v>1</v>
      </c>
      <c r="I272" s="128"/>
      <c r="J272" s="130"/>
      <c r="K272" s="129"/>
      <c r="L272" s="129"/>
      <c r="M272" s="129"/>
    </row>
    <row r="273" spans="1:13" s="122" customFormat="1" x14ac:dyDescent="0.25">
      <c r="A273" s="122" t="s">
        <v>944</v>
      </c>
      <c r="B273" s="122" t="s">
        <v>927</v>
      </c>
      <c r="C273" s="122" t="s">
        <v>940</v>
      </c>
      <c r="D273" s="128" t="s">
        <v>952</v>
      </c>
      <c r="E273" s="148">
        <v>8</v>
      </c>
      <c r="F273" s="148">
        <v>4</v>
      </c>
      <c r="G273" s="149">
        <f>E273/E$286*0.63</f>
        <v>0.24827586206896557</v>
      </c>
      <c r="H273" s="149">
        <f>F273/F$286*0.63</f>
        <v>0.16050955414012738</v>
      </c>
      <c r="I273" s="128" t="s">
        <v>932</v>
      </c>
      <c r="J273" s="130" t="s">
        <v>928</v>
      </c>
      <c r="K273" s="129"/>
      <c r="L273" s="129" t="s">
        <v>930</v>
      </c>
      <c r="M273" s="129"/>
    </row>
    <row r="274" spans="1:13" s="122" customFormat="1" x14ac:dyDescent="0.25">
      <c r="A274" s="122" t="s">
        <v>944</v>
      </c>
      <c r="B274" s="122" t="s">
        <v>927</v>
      </c>
      <c r="C274" s="122" t="s">
        <v>940</v>
      </c>
      <c r="D274" s="128" t="s">
        <v>953</v>
      </c>
      <c r="E274" s="148">
        <v>2</v>
      </c>
      <c r="F274" s="148">
        <v>1.8</v>
      </c>
      <c r="G274" s="149">
        <f t="shared" ref="G274:G280" si="4">E274/E$286*0.63</f>
        <v>6.2068965517241392E-2</v>
      </c>
      <c r="H274" s="149">
        <f t="shared" ref="H274:H280" si="5">F274/F$286*0.63</f>
        <v>7.2229299363057331E-2</v>
      </c>
      <c r="I274" s="128"/>
      <c r="J274" s="130" t="s">
        <v>929</v>
      </c>
      <c r="K274" s="129"/>
      <c r="L274" s="129"/>
      <c r="M274" s="129"/>
    </row>
    <row r="275" spans="1:13" s="122" customFormat="1" x14ac:dyDescent="0.25">
      <c r="A275" s="122" t="s">
        <v>944</v>
      </c>
      <c r="B275" s="122" t="s">
        <v>927</v>
      </c>
      <c r="C275" s="122" t="s">
        <v>940</v>
      </c>
      <c r="D275" s="128" t="s">
        <v>954</v>
      </c>
      <c r="E275" s="148">
        <v>0.7</v>
      </c>
      <c r="F275" s="148">
        <v>0.6</v>
      </c>
      <c r="G275" s="149">
        <f t="shared" si="4"/>
        <v>2.1724137931034483E-2</v>
      </c>
      <c r="H275" s="149">
        <f t="shared" si="5"/>
        <v>2.4076433121019109E-2</v>
      </c>
      <c r="I275" s="128"/>
      <c r="J275" s="125"/>
      <c r="K275" s="129"/>
      <c r="L275" s="129"/>
      <c r="M275" s="129"/>
    </row>
    <row r="276" spans="1:13" s="122" customFormat="1" x14ac:dyDescent="0.25">
      <c r="A276" s="122" t="s">
        <v>944</v>
      </c>
      <c r="B276" s="122" t="s">
        <v>927</v>
      </c>
      <c r="C276" s="122" t="s">
        <v>940</v>
      </c>
      <c r="D276" s="128" t="s">
        <v>955</v>
      </c>
      <c r="E276" s="148">
        <v>2.7</v>
      </c>
      <c r="F276" s="148">
        <v>3</v>
      </c>
      <c r="G276" s="149">
        <f t="shared" si="4"/>
        <v>8.3793103448275882E-2</v>
      </c>
      <c r="H276" s="149">
        <f t="shared" si="5"/>
        <v>0.12038216560509556</v>
      </c>
      <c r="I276" s="128"/>
      <c r="J276" s="125"/>
      <c r="K276" s="129"/>
      <c r="L276" s="129"/>
      <c r="M276" s="129"/>
    </row>
    <row r="277" spans="1:13" s="122" customFormat="1" x14ac:dyDescent="0.25">
      <c r="A277" s="122" t="s">
        <v>944</v>
      </c>
      <c r="B277" s="122" t="s">
        <v>927</v>
      </c>
      <c r="C277" s="122" t="s">
        <v>940</v>
      </c>
      <c r="D277" s="128" t="s">
        <v>956</v>
      </c>
      <c r="E277" s="148">
        <v>2.1</v>
      </c>
      <c r="F277" s="148">
        <v>1.8</v>
      </c>
      <c r="G277" s="149">
        <f t="shared" si="4"/>
        <v>6.5172413793103456E-2</v>
      </c>
      <c r="H277" s="149">
        <f t="shared" si="5"/>
        <v>7.2229299363057331E-2</v>
      </c>
      <c r="I277" s="128"/>
      <c r="J277" s="125"/>
      <c r="K277" s="129"/>
      <c r="L277" s="129"/>
      <c r="M277" s="129"/>
    </row>
    <row r="278" spans="1:13" s="122" customFormat="1" x14ac:dyDescent="0.25">
      <c r="A278" s="122" t="s">
        <v>944</v>
      </c>
      <c r="B278" s="122" t="s">
        <v>927</v>
      </c>
      <c r="C278" s="122" t="s">
        <v>940</v>
      </c>
      <c r="D278" s="128" t="s">
        <v>957</v>
      </c>
      <c r="E278" s="148">
        <v>1.3</v>
      </c>
      <c r="F278" s="148">
        <v>1.2</v>
      </c>
      <c r="G278" s="149">
        <f t="shared" si="4"/>
        <v>4.0344827586206902E-2</v>
      </c>
      <c r="H278" s="149">
        <f t="shared" si="5"/>
        <v>4.8152866242038218E-2</v>
      </c>
      <c r="I278" s="128"/>
      <c r="J278" s="125"/>
      <c r="K278" s="129"/>
      <c r="L278" s="129"/>
      <c r="M278" s="129"/>
    </row>
    <row r="279" spans="1:13" s="122" customFormat="1" x14ac:dyDescent="0.25">
      <c r="A279" s="122" t="s">
        <v>944</v>
      </c>
      <c r="B279" s="122" t="s">
        <v>927</v>
      </c>
      <c r="C279" s="122" t="s">
        <v>940</v>
      </c>
      <c r="D279" s="128" t="s">
        <v>958</v>
      </c>
      <c r="E279" s="148">
        <v>1.5</v>
      </c>
      <c r="F279" s="148">
        <v>1.3</v>
      </c>
      <c r="G279" s="149">
        <f t="shared" si="4"/>
        <v>4.6551724137931037E-2</v>
      </c>
      <c r="H279" s="149">
        <f t="shared" si="5"/>
        <v>5.2165605095541405E-2</v>
      </c>
      <c r="I279" s="128"/>
      <c r="J279" s="125"/>
      <c r="K279" s="129"/>
      <c r="L279" s="129"/>
      <c r="M279" s="129"/>
    </row>
    <row r="280" spans="1:13" s="122" customFormat="1" x14ac:dyDescent="0.25">
      <c r="A280" s="122" t="s">
        <v>944</v>
      </c>
      <c r="B280" s="122" t="s">
        <v>927</v>
      </c>
      <c r="C280" s="122" t="s">
        <v>940</v>
      </c>
      <c r="D280" s="128" t="s">
        <v>959</v>
      </c>
      <c r="E280" s="148">
        <v>2</v>
      </c>
      <c r="F280" s="148">
        <v>2</v>
      </c>
      <c r="G280" s="149">
        <f t="shared" si="4"/>
        <v>6.2068965517241392E-2</v>
      </c>
      <c r="H280" s="149">
        <f t="shared" si="5"/>
        <v>8.025477707006369E-2</v>
      </c>
      <c r="I280" s="128"/>
      <c r="J280" s="125"/>
      <c r="K280" s="129"/>
      <c r="L280" s="129"/>
      <c r="M280" s="129"/>
    </row>
    <row r="281" spans="1:13" s="122" customFormat="1" x14ac:dyDescent="0.25">
      <c r="A281" s="122" t="s">
        <v>944</v>
      </c>
      <c r="B281" s="122" t="s">
        <v>927</v>
      </c>
      <c r="C281" s="122" t="s">
        <v>940</v>
      </c>
      <c r="D281" s="128" t="s">
        <v>946</v>
      </c>
      <c r="E281" s="148"/>
      <c r="F281" s="148"/>
      <c r="G281" s="149">
        <v>0.14000000000000001</v>
      </c>
      <c r="H281" s="149">
        <v>0.14000000000000001</v>
      </c>
      <c r="I281" s="128" t="s">
        <v>964</v>
      </c>
      <c r="J281" s="130" t="s">
        <v>945</v>
      </c>
      <c r="K281" s="129" t="s">
        <v>951</v>
      </c>
      <c r="L281" s="129"/>
      <c r="M281" s="129"/>
    </row>
    <row r="282" spans="1:13" s="122" customFormat="1" x14ac:dyDescent="0.25">
      <c r="A282" s="122" t="s">
        <v>944</v>
      </c>
      <c r="B282" s="122" t="s">
        <v>927</v>
      </c>
      <c r="C282" s="122" t="s">
        <v>940</v>
      </c>
      <c r="D282" s="128" t="s">
        <v>947</v>
      </c>
      <c r="E282" s="148"/>
      <c r="F282" s="148"/>
      <c r="G282" s="149">
        <v>0.03</v>
      </c>
      <c r="H282" s="149">
        <v>0.03</v>
      </c>
      <c r="I282" s="128"/>
      <c r="J282" s="125"/>
      <c r="K282" s="129"/>
      <c r="L282" s="129"/>
      <c r="M282" s="129"/>
    </row>
    <row r="283" spans="1:13" s="122" customFormat="1" x14ac:dyDescent="0.25">
      <c r="A283" s="122" t="s">
        <v>944</v>
      </c>
      <c r="B283" s="122" t="s">
        <v>927</v>
      </c>
      <c r="C283" s="122" t="s">
        <v>940</v>
      </c>
      <c r="D283" s="128" t="s">
        <v>948</v>
      </c>
      <c r="E283" s="148"/>
      <c r="F283" s="148"/>
      <c r="G283" s="149">
        <v>7.0000000000000007E-2</v>
      </c>
      <c r="H283" s="149">
        <v>7.0000000000000007E-2</v>
      </c>
      <c r="I283" s="128"/>
      <c r="J283" s="125"/>
      <c r="K283" s="129"/>
      <c r="L283" s="129"/>
      <c r="M283" s="129"/>
    </row>
    <row r="284" spans="1:13" s="122" customFormat="1" x14ac:dyDescent="0.25">
      <c r="A284" s="122" t="s">
        <v>944</v>
      </c>
      <c r="B284" s="122" t="s">
        <v>927</v>
      </c>
      <c r="C284" s="122" t="s">
        <v>940</v>
      </c>
      <c r="D284" s="128" t="s">
        <v>949</v>
      </c>
      <c r="E284" s="148"/>
      <c r="F284" s="148"/>
      <c r="G284" s="149">
        <v>0.09</v>
      </c>
      <c r="H284" s="149">
        <v>0.09</v>
      </c>
      <c r="I284" s="128"/>
      <c r="J284" s="125"/>
      <c r="K284" s="129"/>
      <c r="L284" s="129"/>
      <c r="M284" s="129"/>
    </row>
    <row r="285" spans="1:13" s="122" customFormat="1" x14ac:dyDescent="0.25">
      <c r="A285" s="122" t="s">
        <v>944</v>
      </c>
      <c r="B285" s="122" t="s">
        <v>927</v>
      </c>
      <c r="C285" s="122" t="s">
        <v>940</v>
      </c>
      <c r="D285" s="128" t="s">
        <v>950</v>
      </c>
      <c r="E285" s="148"/>
      <c r="F285" s="148"/>
      <c r="G285" s="149">
        <v>0.04</v>
      </c>
      <c r="H285" s="149">
        <v>0.04</v>
      </c>
      <c r="I285" s="128"/>
      <c r="J285" s="130"/>
      <c r="K285" s="129"/>
      <c r="L285" s="129"/>
      <c r="M285" s="129"/>
    </row>
    <row r="286" spans="1:13" s="122" customFormat="1" x14ac:dyDescent="0.25">
      <c r="A286" s="122" t="s">
        <v>944</v>
      </c>
      <c r="B286" s="121" t="s">
        <v>927</v>
      </c>
      <c r="C286" s="121" t="s">
        <v>940</v>
      </c>
      <c r="D286" s="126" t="s">
        <v>346</v>
      </c>
      <c r="E286" s="147">
        <f>SUM(E273:E280)</f>
        <v>20.299999999999997</v>
      </c>
      <c r="F286" s="147">
        <f>SUM(F273:F280)</f>
        <v>15.7</v>
      </c>
      <c r="G286" s="127">
        <f>SUM(G273:G285)</f>
        <v>1.0000000000000002</v>
      </c>
      <c r="H286" s="127">
        <f>SUM(H273:H285)</f>
        <v>1</v>
      </c>
      <c r="I286" s="128"/>
      <c r="J286" s="125"/>
      <c r="K286" s="129"/>
      <c r="L286" s="129"/>
      <c r="M286" s="129"/>
    </row>
    <row r="287" spans="1:13" s="122" customFormat="1" x14ac:dyDescent="0.25">
      <c r="A287" s="122" t="s">
        <v>914</v>
      </c>
      <c r="B287" s="122" t="s">
        <v>165</v>
      </c>
      <c r="C287" s="122" t="s">
        <v>749</v>
      </c>
      <c r="D287" s="128" t="s">
        <v>961</v>
      </c>
      <c r="E287" s="148">
        <v>175</v>
      </c>
      <c r="F287" s="148"/>
      <c r="G287" s="150">
        <f>E287/E$294</f>
        <v>0.32051282051282054</v>
      </c>
      <c r="H287" s="150"/>
      <c r="I287" s="128" t="s">
        <v>963</v>
      </c>
      <c r="J287" s="151" t="s">
        <v>750</v>
      </c>
      <c r="K287" s="129"/>
      <c r="L287" s="129"/>
      <c r="M287" s="129"/>
    </row>
    <row r="288" spans="1:13" s="122" customFormat="1" x14ac:dyDescent="0.25">
      <c r="A288" s="122" t="s">
        <v>914</v>
      </c>
      <c r="B288" s="122" t="s">
        <v>165</v>
      </c>
      <c r="C288" s="122" t="s">
        <v>749</v>
      </c>
      <c r="D288" s="128" t="s">
        <v>836</v>
      </c>
      <c r="E288" s="148">
        <v>14</v>
      </c>
      <c r="F288" s="148"/>
      <c r="G288" s="150">
        <f t="shared" ref="G288:G293" si="6">E288/E$294</f>
        <v>2.564102564102564E-2</v>
      </c>
      <c r="H288" s="150"/>
      <c r="I288" s="128"/>
      <c r="J288" s="151"/>
      <c r="K288" s="129"/>
      <c r="L288" s="129"/>
      <c r="M288" s="129"/>
    </row>
    <row r="289" spans="1:13" s="122" customFormat="1" x14ac:dyDescent="0.25">
      <c r="A289" s="122" t="s">
        <v>914</v>
      </c>
      <c r="B289" s="122" t="s">
        <v>165</v>
      </c>
      <c r="C289" s="122" t="s">
        <v>749</v>
      </c>
      <c r="D289" s="128" t="s">
        <v>965</v>
      </c>
      <c r="E289" s="148">
        <v>144</v>
      </c>
      <c r="F289" s="148"/>
      <c r="G289" s="150">
        <f t="shared" si="6"/>
        <v>0.26373626373626374</v>
      </c>
      <c r="H289" s="150"/>
      <c r="I289" s="128"/>
      <c r="J289" s="151"/>
      <c r="K289" s="129"/>
      <c r="L289" s="129"/>
      <c r="M289" s="129"/>
    </row>
    <row r="290" spans="1:13" s="122" customFormat="1" x14ac:dyDescent="0.25">
      <c r="A290" s="122" t="s">
        <v>914</v>
      </c>
      <c r="B290" s="122" t="s">
        <v>165</v>
      </c>
      <c r="C290" s="122" t="s">
        <v>749</v>
      </c>
      <c r="D290" s="128" t="s">
        <v>962</v>
      </c>
      <c r="E290" s="148">
        <v>51</v>
      </c>
      <c r="F290" s="148"/>
      <c r="G290" s="150">
        <f t="shared" si="6"/>
        <v>9.3406593406593408E-2</v>
      </c>
      <c r="H290" s="150"/>
      <c r="I290" s="128"/>
      <c r="J290" s="151"/>
      <c r="K290" s="129"/>
      <c r="L290" s="129"/>
      <c r="M290" s="129"/>
    </row>
    <row r="291" spans="1:13" s="122" customFormat="1" x14ac:dyDescent="0.25">
      <c r="A291" s="122" t="s">
        <v>914</v>
      </c>
      <c r="B291" s="122" t="s">
        <v>165</v>
      </c>
      <c r="C291" s="122" t="s">
        <v>749</v>
      </c>
      <c r="D291" s="128" t="s">
        <v>966</v>
      </c>
      <c r="E291" s="148">
        <v>111</v>
      </c>
      <c r="F291" s="148"/>
      <c r="G291" s="150">
        <f t="shared" si="6"/>
        <v>0.2032967032967033</v>
      </c>
      <c r="H291" s="150"/>
      <c r="I291" s="128"/>
      <c r="J291" s="151"/>
      <c r="K291" s="129"/>
      <c r="L291" s="129"/>
      <c r="M291" s="129"/>
    </row>
    <row r="292" spans="1:13" s="122" customFormat="1" x14ac:dyDescent="0.25">
      <c r="A292" s="122" t="s">
        <v>914</v>
      </c>
      <c r="B292" s="122" t="s">
        <v>165</v>
      </c>
      <c r="C292" s="122" t="s">
        <v>749</v>
      </c>
      <c r="D292" s="128" t="s">
        <v>335</v>
      </c>
      <c r="E292" s="148">
        <v>34</v>
      </c>
      <c r="F292" s="148"/>
      <c r="G292" s="150">
        <f t="shared" si="6"/>
        <v>6.2271062271062272E-2</v>
      </c>
      <c r="H292" s="150"/>
      <c r="I292" s="128"/>
      <c r="J292" s="151"/>
      <c r="K292" s="129"/>
      <c r="L292" s="129"/>
      <c r="M292" s="129"/>
    </row>
    <row r="293" spans="1:13" s="122" customFormat="1" x14ac:dyDescent="0.25">
      <c r="A293" s="122" t="s">
        <v>914</v>
      </c>
      <c r="B293" s="122" t="s">
        <v>165</v>
      </c>
      <c r="C293" s="122" t="s">
        <v>749</v>
      </c>
      <c r="D293" s="128" t="s">
        <v>404</v>
      </c>
      <c r="E293" s="148">
        <v>17</v>
      </c>
      <c r="F293" s="148"/>
      <c r="G293" s="150">
        <f t="shared" si="6"/>
        <v>3.1135531135531136E-2</v>
      </c>
      <c r="H293" s="150"/>
      <c r="I293" s="128"/>
      <c r="J293" s="151"/>
      <c r="K293" s="129"/>
      <c r="L293" s="129"/>
      <c r="M293" s="129"/>
    </row>
    <row r="294" spans="1:13" s="122" customFormat="1" x14ac:dyDescent="0.25">
      <c r="A294" s="122" t="s">
        <v>914</v>
      </c>
      <c r="B294" s="121" t="s">
        <v>165</v>
      </c>
      <c r="C294" s="121" t="s">
        <v>749</v>
      </c>
      <c r="D294" s="126" t="s">
        <v>346</v>
      </c>
      <c r="E294" s="147">
        <f>SUM(E287:E293)</f>
        <v>546</v>
      </c>
      <c r="F294" s="147">
        <f>SUM(F287:F293)</f>
        <v>0</v>
      </c>
      <c r="G294" s="127">
        <f>SUM(G287:G293)</f>
        <v>1</v>
      </c>
      <c r="H294" s="127">
        <f>SUM(H287:H293)</f>
        <v>0</v>
      </c>
      <c r="I294" s="128"/>
      <c r="J294" s="151"/>
      <c r="K294" s="129"/>
      <c r="L294" s="129"/>
      <c r="M294" s="129"/>
    </row>
    <row r="295" spans="1:13" s="122" customFormat="1" x14ac:dyDescent="0.25">
      <c r="A295" s="122" t="s">
        <v>914</v>
      </c>
      <c r="B295" s="122" t="s">
        <v>165</v>
      </c>
      <c r="C295" s="122" t="s">
        <v>763</v>
      </c>
      <c r="D295" s="128" t="s">
        <v>961</v>
      </c>
      <c r="E295" s="148">
        <v>175</v>
      </c>
      <c r="F295" s="148"/>
      <c r="G295" s="150">
        <f>E295/E$300</f>
        <v>0.27131782945736432</v>
      </c>
      <c r="H295" s="150"/>
      <c r="I295" s="128" t="s">
        <v>963</v>
      </c>
      <c r="J295" s="151" t="s">
        <v>750</v>
      </c>
      <c r="K295" s="129"/>
      <c r="L295" s="129"/>
      <c r="M295" s="129"/>
    </row>
    <row r="296" spans="1:13" s="122" customFormat="1" x14ac:dyDescent="0.25">
      <c r="A296" s="122" t="s">
        <v>914</v>
      </c>
      <c r="B296" s="122" t="s">
        <v>165</v>
      </c>
      <c r="C296" s="122" t="s">
        <v>763</v>
      </c>
      <c r="D296" s="128" t="s">
        <v>836</v>
      </c>
      <c r="E296" s="148">
        <v>211</v>
      </c>
      <c r="F296" s="148"/>
      <c r="G296" s="150">
        <f t="shared" ref="G296:G299" si="7">E296/E$300</f>
        <v>0.32713178294573642</v>
      </c>
      <c r="H296" s="150"/>
      <c r="I296" s="128"/>
      <c r="J296" s="151"/>
      <c r="K296" s="129"/>
      <c r="L296" s="129"/>
      <c r="M296" s="129"/>
    </row>
    <row r="297" spans="1:13" s="122" customFormat="1" x14ac:dyDescent="0.25">
      <c r="A297" s="122" t="s">
        <v>914</v>
      </c>
      <c r="B297" s="122" t="s">
        <v>165</v>
      </c>
      <c r="C297" s="122" t="s">
        <v>763</v>
      </c>
      <c r="D297" s="128" t="s">
        <v>965</v>
      </c>
      <c r="E297" s="148">
        <v>150</v>
      </c>
      <c r="F297" s="148"/>
      <c r="G297" s="150">
        <f t="shared" si="7"/>
        <v>0.23255813953488372</v>
      </c>
      <c r="H297" s="150"/>
      <c r="I297" s="128"/>
      <c r="J297" s="151"/>
      <c r="K297" s="129"/>
      <c r="L297" s="129"/>
      <c r="M297" s="129"/>
    </row>
    <row r="298" spans="1:13" s="122" customFormat="1" x14ac:dyDescent="0.25">
      <c r="A298" s="122" t="s">
        <v>914</v>
      </c>
      <c r="B298" s="122" t="s">
        <v>165</v>
      </c>
      <c r="C298" s="122" t="s">
        <v>763</v>
      </c>
      <c r="D298" s="128" t="s">
        <v>335</v>
      </c>
      <c r="E298" s="148">
        <v>51</v>
      </c>
      <c r="F298" s="148"/>
      <c r="G298" s="150">
        <f t="shared" si="7"/>
        <v>7.9069767441860464E-2</v>
      </c>
      <c r="H298" s="150"/>
      <c r="I298" s="128"/>
      <c r="J298" s="151"/>
      <c r="K298" s="129"/>
      <c r="L298" s="129"/>
      <c r="M298" s="129"/>
    </row>
    <row r="299" spans="1:13" s="122" customFormat="1" x14ac:dyDescent="0.25">
      <c r="A299" s="122" t="s">
        <v>914</v>
      </c>
      <c r="B299" s="122" t="s">
        <v>165</v>
      </c>
      <c r="C299" s="122" t="s">
        <v>763</v>
      </c>
      <c r="D299" s="128" t="s">
        <v>404</v>
      </c>
      <c r="E299" s="148">
        <v>58</v>
      </c>
      <c r="F299" s="148"/>
      <c r="G299" s="150">
        <f t="shared" si="7"/>
        <v>8.9922480620155038E-2</v>
      </c>
      <c r="H299" s="150"/>
      <c r="I299" s="128"/>
      <c r="J299" s="151"/>
      <c r="K299" s="129"/>
      <c r="L299" s="129"/>
      <c r="M299" s="129"/>
    </row>
    <row r="300" spans="1:13" s="122" customFormat="1" x14ac:dyDescent="0.25">
      <c r="A300" s="122" t="s">
        <v>914</v>
      </c>
      <c r="B300" s="121" t="s">
        <v>165</v>
      </c>
      <c r="C300" s="121" t="s">
        <v>763</v>
      </c>
      <c r="D300" s="126" t="s">
        <v>346</v>
      </c>
      <c r="E300" s="147">
        <f>SUM(E295:E299)</f>
        <v>645</v>
      </c>
      <c r="F300" s="147">
        <f>SUM(F295:F299)</f>
        <v>0</v>
      </c>
      <c r="G300" s="127">
        <f>SUM(G295:G299)</f>
        <v>0.99999999999999989</v>
      </c>
      <c r="H300" s="127">
        <f>SUM(H295:H299)</f>
        <v>0</v>
      </c>
      <c r="I300" s="128"/>
      <c r="J300" s="151"/>
      <c r="K300" s="129"/>
      <c r="L300" s="129"/>
      <c r="M300" s="129"/>
    </row>
    <row r="301" spans="1:13" s="122" customFormat="1" x14ac:dyDescent="0.25">
      <c r="A301" s="122" t="s">
        <v>914</v>
      </c>
      <c r="B301" s="122" t="s">
        <v>165</v>
      </c>
      <c r="C301" s="122" t="s">
        <v>773</v>
      </c>
      <c r="D301" s="128" t="s">
        <v>961</v>
      </c>
      <c r="E301" s="148">
        <v>175</v>
      </c>
      <c r="F301" s="148"/>
      <c r="G301" s="150">
        <f>E301/E$309</f>
        <v>0.29069767441860467</v>
      </c>
      <c r="H301" s="150"/>
      <c r="I301" s="128" t="s">
        <v>963</v>
      </c>
      <c r="J301" s="151" t="s">
        <v>750</v>
      </c>
      <c r="K301" s="129"/>
      <c r="L301" s="129"/>
      <c r="M301" s="129"/>
    </row>
    <row r="302" spans="1:13" s="122" customFormat="1" x14ac:dyDescent="0.25">
      <c r="A302" s="122" t="s">
        <v>914</v>
      </c>
      <c r="B302" s="122" t="s">
        <v>165</v>
      </c>
      <c r="C302" s="122" t="s">
        <v>773</v>
      </c>
      <c r="D302" s="128" t="s">
        <v>967</v>
      </c>
      <c r="E302" s="148">
        <v>65</v>
      </c>
      <c r="F302" s="148"/>
      <c r="G302" s="150">
        <f t="shared" ref="G302:G308" si="8">E302/E$309</f>
        <v>0.1079734219269103</v>
      </c>
      <c r="H302" s="150"/>
      <c r="I302" s="128"/>
      <c r="J302" s="151"/>
      <c r="K302" s="129"/>
      <c r="L302" s="129"/>
      <c r="M302" s="129"/>
    </row>
    <row r="303" spans="1:13" s="122" customFormat="1" x14ac:dyDescent="0.25">
      <c r="A303" s="122" t="s">
        <v>914</v>
      </c>
      <c r="B303" s="122" t="s">
        <v>165</v>
      </c>
      <c r="C303" s="122" t="s">
        <v>773</v>
      </c>
      <c r="D303" s="128" t="s">
        <v>836</v>
      </c>
      <c r="E303" s="148">
        <v>20</v>
      </c>
      <c r="F303" s="148"/>
      <c r="G303" s="150">
        <f t="shared" si="8"/>
        <v>3.3222591362126248E-2</v>
      </c>
      <c r="H303" s="150"/>
      <c r="I303" s="128"/>
      <c r="J303" s="151"/>
      <c r="K303" s="129"/>
      <c r="L303" s="129"/>
      <c r="M303" s="129"/>
    </row>
    <row r="304" spans="1:13" s="122" customFormat="1" x14ac:dyDescent="0.25">
      <c r="A304" s="122" t="s">
        <v>914</v>
      </c>
      <c r="B304" s="122" t="s">
        <v>165</v>
      </c>
      <c r="C304" s="122" t="s">
        <v>773</v>
      </c>
      <c r="D304" s="128" t="s">
        <v>965</v>
      </c>
      <c r="E304" s="148">
        <v>144</v>
      </c>
      <c r="F304" s="148"/>
      <c r="G304" s="150">
        <f t="shared" si="8"/>
        <v>0.23920265780730898</v>
      </c>
      <c r="H304" s="150"/>
      <c r="I304" s="128"/>
      <c r="J304" s="151"/>
      <c r="K304" s="129"/>
      <c r="L304" s="129"/>
      <c r="M304" s="129"/>
    </row>
    <row r="305" spans="1:13" s="122" customFormat="1" x14ac:dyDescent="0.25">
      <c r="A305" s="122" t="s">
        <v>914</v>
      </c>
      <c r="B305" s="122" t="s">
        <v>165</v>
      </c>
      <c r="C305" s="122" t="s">
        <v>773</v>
      </c>
      <c r="D305" s="128" t="s">
        <v>962</v>
      </c>
      <c r="E305" s="148">
        <v>51</v>
      </c>
      <c r="F305" s="148"/>
      <c r="G305" s="150">
        <f t="shared" si="8"/>
        <v>8.4717607973421927E-2</v>
      </c>
      <c r="H305" s="150"/>
      <c r="I305" s="128"/>
      <c r="J305" s="151"/>
      <c r="K305" s="129"/>
      <c r="L305" s="129"/>
      <c r="M305" s="129"/>
    </row>
    <row r="306" spans="1:13" s="122" customFormat="1" x14ac:dyDescent="0.25">
      <c r="A306" s="122" t="s">
        <v>914</v>
      </c>
      <c r="B306" s="122" t="s">
        <v>165</v>
      </c>
      <c r="C306" s="122" t="s">
        <v>773</v>
      </c>
      <c r="D306" s="128" t="s">
        <v>966</v>
      </c>
      <c r="E306" s="148">
        <v>51</v>
      </c>
      <c r="F306" s="148"/>
      <c r="G306" s="150">
        <f t="shared" si="8"/>
        <v>8.4717607973421927E-2</v>
      </c>
      <c r="H306" s="150"/>
      <c r="I306" s="128"/>
      <c r="J306" s="151"/>
      <c r="K306" s="129"/>
      <c r="L306" s="129"/>
      <c r="M306" s="129"/>
    </row>
    <row r="307" spans="1:13" s="122" customFormat="1" x14ac:dyDescent="0.25">
      <c r="A307" s="122" t="s">
        <v>914</v>
      </c>
      <c r="B307" s="122" t="s">
        <v>165</v>
      </c>
      <c r="C307" s="122" t="s">
        <v>773</v>
      </c>
      <c r="D307" s="128" t="s">
        <v>335</v>
      </c>
      <c r="E307" s="148">
        <v>46</v>
      </c>
      <c r="F307" s="148"/>
      <c r="G307" s="150">
        <f t="shared" si="8"/>
        <v>7.6411960132890366E-2</v>
      </c>
      <c r="H307" s="150"/>
      <c r="I307" s="128"/>
      <c r="J307" s="151"/>
      <c r="K307" s="129"/>
      <c r="L307" s="129"/>
      <c r="M307" s="129"/>
    </row>
    <row r="308" spans="1:13" s="122" customFormat="1" x14ac:dyDescent="0.25">
      <c r="A308" s="122" t="s">
        <v>914</v>
      </c>
      <c r="B308" s="122" t="s">
        <v>165</v>
      </c>
      <c r="C308" s="122" t="s">
        <v>773</v>
      </c>
      <c r="D308" s="128" t="s">
        <v>404</v>
      </c>
      <c r="E308" s="148">
        <v>50</v>
      </c>
      <c r="F308" s="148"/>
      <c r="G308" s="150">
        <f t="shared" si="8"/>
        <v>8.3056478405315617E-2</v>
      </c>
      <c r="H308" s="150"/>
      <c r="I308" s="128"/>
      <c r="J308" s="151"/>
      <c r="K308" s="129"/>
      <c r="L308" s="129"/>
      <c r="M308" s="129"/>
    </row>
    <row r="309" spans="1:13" s="122" customFormat="1" x14ac:dyDescent="0.25">
      <c r="A309" s="122" t="s">
        <v>914</v>
      </c>
      <c r="B309" s="121" t="s">
        <v>165</v>
      </c>
      <c r="C309" s="121" t="s">
        <v>773</v>
      </c>
      <c r="D309" s="126" t="s">
        <v>346</v>
      </c>
      <c r="E309" s="147">
        <f>SUM(E301:E308)</f>
        <v>602</v>
      </c>
      <c r="F309" s="147">
        <f>SUM(F301:F308)</f>
        <v>0</v>
      </c>
      <c r="G309" s="127">
        <f>SUM(G301:G308)</f>
        <v>1</v>
      </c>
      <c r="H309" s="127">
        <f>SUM(H301:H308)</f>
        <v>0</v>
      </c>
      <c r="I309" s="128"/>
      <c r="J309" s="151"/>
      <c r="K309" s="129"/>
      <c r="L309" s="129"/>
      <c r="M309" s="129"/>
    </row>
    <row r="310" spans="1:13" s="122" customFormat="1" x14ac:dyDescent="0.25">
      <c r="A310" s="122" t="s">
        <v>914</v>
      </c>
      <c r="B310" s="122" t="s">
        <v>167</v>
      </c>
      <c r="C310" s="122" t="s">
        <v>757</v>
      </c>
      <c r="D310" s="128" t="s">
        <v>961</v>
      </c>
      <c r="E310" s="148">
        <v>175</v>
      </c>
      <c r="F310" s="148"/>
      <c r="G310" s="150">
        <f>E310/E$315</f>
        <v>0.31362007168458783</v>
      </c>
      <c r="H310" s="150"/>
      <c r="I310" s="128" t="s">
        <v>963</v>
      </c>
      <c r="J310" s="151" t="s">
        <v>750</v>
      </c>
      <c r="K310" s="129" t="s">
        <v>960</v>
      </c>
      <c r="L310" s="129"/>
      <c r="M310" s="129"/>
    </row>
    <row r="311" spans="1:13" s="122" customFormat="1" x14ac:dyDescent="0.25">
      <c r="A311" s="122" t="s">
        <v>914</v>
      </c>
      <c r="B311" s="122" t="s">
        <v>167</v>
      </c>
      <c r="C311" s="122" t="s">
        <v>757</v>
      </c>
      <c r="D311" s="128" t="s">
        <v>836</v>
      </c>
      <c r="E311" s="148">
        <v>27</v>
      </c>
      <c r="F311" s="148"/>
      <c r="G311" s="150">
        <f t="shared" ref="G311:G314" si="9">E311/E$315</f>
        <v>4.8387096774193547E-2</v>
      </c>
      <c r="H311" s="150"/>
      <c r="I311" s="128"/>
      <c r="J311" s="125"/>
      <c r="K311" s="129"/>
      <c r="L311" s="129"/>
      <c r="M311" s="129"/>
    </row>
    <row r="312" spans="1:13" s="122" customFormat="1" x14ac:dyDescent="0.25">
      <c r="A312" s="122" t="s">
        <v>914</v>
      </c>
      <c r="B312" s="122" t="s">
        <v>167</v>
      </c>
      <c r="C312" s="122" t="s">
        <v>757</v>
      </c>
      <c r="D312" s="128" t="s">
        <v>962</v>
      </c>
      <c r="E312" s="148">
        <v>284</v>
      </c>
      <c r="F312" s="148"/>
      <c r="G312" s="150">
        <f t="shared" si="9"/>
        <v>0.50896057347670254</v>
      </c>
      <c r="H312" s="150"/>
      <c r="I312" s="128"/>
      <c r="J312" s="125"/>
      <c r="K312" s="129"/>
      <c r="L312" s="129"/>
      <c r="M312" s="129"/>
    </row>
    <row r="313" spans="1:13" s="122" customFormat="1" x14ac:dyDescent="0.25">
      <c r="A313" s="122" t="s">
        <v>914</v>
      </c>
      <c r="B313" s="122" t="s">
        <v>167</v>
      </c>
      <c r="C313" s="122" t="s">
        <v>757</v>
      </c>
      <c r="D313" s="128" t="s">
        <v>335</v>
      </c>
      <c r="E313" s="148">
        <v>53</v>
      </c>
      <c r="F313" s="148"/>
      <c r="G313" s="150">
        <f t="shared" si="9"/>
        <v>9.4982078853046589E-2</v>
      </c>
      <c r="H313" s="150"/>
      <c r="I313" s="128"/>
      <c r="J313" s="125"/>
      <c r="K313" s="129"/>
      <c r="L313" s="129"/>
      <c r="M313" s="129"/>
    </row>
    <row r="314" spans="1:13" s="122" customFormat="1" x14ac:dyDescent="0.25">
      <c r="A314" s="122" t="s">
        <v>914</v>
      </c>
      <c r="B314" s="122" t="s">
        <v>167</v>
      </c>
      <c r="C314" s="122" t="s">
        <v>757</v>
      </c>
      <c r="D314" s="128" t="s">
        <v>404</v>
      </c>
      <c r="E314" s="148">
        <v>19</v>
      </c>
      <c r="F314" s="148"/>
      <c r="G314" s="150">
        <f t="shared" si="9"/>
        <v>3.4050179211469536E-2</v>
      </c>
      <c r="H314" s="150"/>
      <c r="I314" s="128"/>
      <c r="J314" s="125"/>
      <c r="K314" s="129"/>
      <c r="L314" s="129"/>
      <c r="M314" s="129"/>
    </row>
    <row r="315" spans="1:13" s="122" customFormat="1" x14ac:dyDescent="0.25">
      <c r="A315" s="122" t="s">
        <v>914</v>
      </c>
      <c r="B315" s="121" t="s">
        <v>167</v>
      </c>
      <c r="C315" s="121" t="s">
        <v>757</v>
      </c>
      <c r="D315" s="126" t="s">
        <v>346</v>
      </c>
      <c r="E315" s="147">
        <f>SUM(E310:E314)</f>
        <v>558</v>
      </c>
      <c r="F315" s="147">
        <f>SUM(F310:F314)</f>
        <v>0</v>
      </c>
      <c r="G315" s="127">
        <f>SUM(G310:G314)</f>
        <v>1</v>
      </c>
      <c r="H315" s="127">
        <f>SUM(H310:H314)</f>
        <v>0</v>
      </c>
      <c r="I315" s="128"/>
      <c r="J315" s="125"/>
      <c r="K315" s="129"/>
      <c r="L315" s="129"/>
      <c r="M315" s="129"/>
    </row>
    <row r="316" spans="1:13" s="122" customFormat="1" x14ac:dyDescent="0.25">
      <c r="A316" s="122" t="s">
        <v>917</v>
      </c>
      <c r="B316" s="122" t="s">
        <v>159</v>
      </c>
      <c r="C316" s="122" t="s">
        <v>983</v>
      </c>
      <c r="D316" s="128" t="s">
        <v>976</v>
      </c>
      <c r="E316" s="148">
        <v>5</v>
      </c>
      <c r="F316" s="148"/>
      <c r="G316" s="150">
        <f>E316/E$326</f>
        <v>7.8678206136900089E-2</v>
      </c>
      <c r="H316" s="128"/>
      <c r="I316" s="128" t="s">
        <v>972</v>
      </c>
      <c r="J316" s="130" t="s">
        <v>969</v>
      </c>
      <c r="K316" s="129"/>
      <c r="L316" s="129"/>
      <c r="M316" s="129"/>
    </row>
    <row r="317" spans="1:13" s="122" customFormat="1" x14ac:dyDescent="0.25">
      <c r="A317" s="122" t="s">
        <v>917</v>
      </c>
      <c r="B317" s="122" t="s">
        <v>159</v>
      </c>
      <c r="C317" s="122" t="s">
        <v>983</v>
      </c>
      <c r="D317" s="123" t="s">
        <v>975</v>
      </c>
      <c r="E317" s="146">
        <v>9.41</v>
      </c>
      <c r="F317" s="146"/>
      <c r="G317" s="150">
        <f t="shared" ref="G317:G325" si="10">E317/E$326</f>
        <v>0.14807238394964595</v>
      </c>
      <c r="H317" s="124"/>
      <c r="I317" s="128"/>
      <c r="J317" s="125"/>
      <c r="K317" s="129"/>
      <c r="L317" s="129"/>
      <c r="M317" s="129"/>
    </row>
    <row r="318" spans="1:13" s="122" customFormat="1" x14ac:dyDescent="0.25">
      <c r="A318" s="122" t="s">
        <v>917</v>
      </c>
      <c r="B318" s="122" t="s">
        <v>159</v>
      </c>
      <c r="C318" s="122" t="s">
        <v>983</v>
      </c>
      <c r="D318" s="123" t="s">
        <v>836</v>
      </c>
      <c r="E318" s="146">
        <v>7.65</v>
      </c>
      <c r="F318" s="146"/>
      <c r="G318" s="150">
        <f t="shared" si="10"/>
        <v>0.12037765538945713</v>
      </c>
      <c r="H318" s="124"/>
      <c r="I318" s="128"/>
      <c r="J318" s="125"/>
      <c r="K318" s="129"/>
      <c r="L318" s="129"/>
      <c r="M318" s="129"/>
    </row>
    <row r="319" spans="1:13" s="122" customFormat="1" x14ac:dyDescent="0.25">
      <c r="A319" s="122" t="s">
        <v>917</v>
      </c>
      <c r="B319" s="122" t="s">
        <v>159</v>
      </c>
      <c r="C319" s="122" t="s">
        <v>983</v>
      </c>
      <c r="D319" s="123" t="s">
        <v>977</v>
      </c>
      <c r="E319" s="146">
        <v>0</v>
      </c>
      <c r="F319" s="146"/>
      <c r="G319" s="150">
        <f t="shared" si="10"/>
        <v>0</v>
      </c>
      <c r="H319" s="124"/>
      <c r="I319" s="128"/>
      <c r="J319" s="125"/>
      <c r="K319" s="129"/>
      <c r="L319" s="129"/>
      <c r="M319" s="129"/>
    </row>
    <row r="320" spans="1:13" s="122" customFormat="1" x14ac:dyDescent="0.25">
      <c r="A320" s="122" t="s">
        <v>917</v>
      </c>
      <c r="B320" s="122" t="s">
        <v>159</v>
      </c>
      <c r="C320" s="122" t="s">
        <v>983</v>
      </c>
      <c r="D320" s="123" t="s">
        <v>978</v>
      </c>
      <c r="E320" s="146">
        <v>1.74</v>
      </c>
      <c r="F320" s="146"/>
      <c r="G320" s="150">
        <f t="shared" si="10"/>
        <v>2.7380015735641229E-2</v>
      </c>
      <c r="H320" s="124"/>
      <c r="I320" s="128"/>
      <c r="J320" s="125"/>
      <c r="K320" s="129"/>
      <c r="L320" s="129"/>
      <c r="M320" s="129"/>
    </row>
    <row r="321" spans="1:13" s="122" customFormat="1" x14ac:dyDescent="0.25">
      <c r="A321" s="122" t="s">
        <v>917</v>
      </c>
      <c r="B321" s="122" t="s">
        <v>159</v>
      </c>
      <c r="C321" s="122" t="s">
        <v>983</v>
      </c>
      <c r="D321" s="123" t="s">
        <v>985</v>
      </c>
      <c r="E321" s="146">
        <v>8.93</v>
      </c>
      <c r="F321" s="146"/>
      <c r="G321" s="150">
        <f t="shared" si="10"/>
        <v>0.14051927616050355</v>
      </c>
      <c r="H321" s="124"/>
      <c r="I321" s="128"/>
      <c r="J321" s="125"/>
      <c r="K321" s="129"/>
      <c r="L321" s="129"/>
      <c r="M321" s="129"/>
    </row>
    <row r="322" spans="1:13" s="122" customFormat="1" x14ac:dyDescent="0.25">
      <c r="A322" s="122" t="s">
        <v>917</v>
      </c>
      <c r="B322" s="122" t="s">
        <v>159</v>
      </c>
      <c r="C322" s="122" t="s">
        <v>983</v>
      </c>
      <c r="D322" s="123" t="s">
        <v>979</v>
      </c>
      <c r="E322" s="146">
        <v>4.33</v>
      </c>
      <c r="F322" s="146"/>
      <c r="G322" s="150">
        <f t="shared" si="10"/>
        <v>6.8135326514555478E-2</v>
      </c>
      <c r="H322" s="124"/>
      <c r="I322" s="128"/>
      <c r="J322" s="125"/>
      <c r="K322" s="129"/>
      <c r="L322" s="129"/>
      <c r="M322" s="129"/>
    </row>
    <row r="323" spans="1:13" s="122" customFormat="1" x14ac:dyDescent="0.25">
      <c r="A323" s="122" t="s">
        <v>917</v>
      </c>
      <c r="B323" s="122" t="s">
        <v>159</v>
      </c>
      <c r="C323" s="122" t="s">
        <v>983</v>
      </c>
      <c r="D323" s="123" t="s">
        <v>980</v>
      </c>
      <c r="E323" s="146">
        <v>5.41</v>
      </c>
      <c r="F323" s="146"/>
      <c r="G323" s="150">
        <f t="shared" si="10"/>
        <v>8.5129819040125898E-2</v>
      </c>
      <c r="H323" s="124"/>
      <c r="I323" s="128"/>
      <c r="J323" s="125"/>
      <c r="K323" s="129"/>
      <c r="L323" s="129"/>
      <c r="M323" s="129"/>
    </row>
    <row r="324" spans="1:13" s="122" customFormat="1" x14ac:dyDescent="0.25">
      <c r="A324" s="122" t="s">
        <v>917</v>
      </c>
      <c r="B324" s="122" t="s">
        <v>159</v>
      </c>
      <c r="C324" s="122" t="s">
        <v>983</v>
      </c>
      <c r="D324" s="123" t="s">
        <v>981</v>
      </c>
      <c r="E324" s="146">
        <v>21.08</v>
      </c>
      <c r="F324" s="146"/>
      <c r="G324" s="150">
        <f t="shared" si="10"/>
        <v>0.33170731707317069</v>
      </c>
      <c r="H324" s="124"/>
      <c r="I324" s="128"/>
      <c r="J324" s="125"/>
      <c r="K324" s="129"/>
      <c r="L324" s="129"/>
      <c r="M324" s="129"/>
    </row>
    <row r="325" spans="1:13" s="122" customFormat="1" x14ac:dyDescent="0.25">
      <c r="A325" s="122" t="s">
        <v>917</v>
      </c>
      <c r="B325" s="122" t="s">
        <v>159</v>
      </c>
      <c r="C325" s="122" t="s">
        <v>983</v>
      </c>
      <c r="D325" s="123" t="s">
        <v>982</v>
      </c>
      <c r="E325" s="146">
        <v>0</v>
      </c>
      <c r="F325" s="146"/>
      <c r="G325" s="150">
        <f t="shared" si="10"/>
        <v>0</v>
      </c>
      <c r="H325" s="124"/>
      <c r="I325" s="128"/>
      <c r="J325" s="125"/>
      <c r="K325" s="129"/>
      <c r="L325" s="129"/>
      <c r="M325" s="129"/>
    </row>
    <row r="326" spans="1:13" s="122" customFormat="1" x14ac:dyDescent="0.25">
      <c r="A326" s="122" t="s">
        <v>917</v>
      </c>
      <c r="B326" s="121" t="s">
        <v>159</v>
      </c>
      <c r="C326" s="121" t="s">
        <v>983</v>
      </c>
      <c r="D326" s="126" t="s">
        <v>346</v>
      </c>
      <c r="E326" s="147">
        <f>SUM(E316:E325)</f>
        <v>63.55</v>
      </c>
      <c r="F326" s="147">
        <f>SUM(F316:F325)</f>
        <v>0</v>
      </c>
      <c r="G326" s="127">
        <f>SUM(G316:G325)</f>
        <v>1</v>
      </c>
      <c r="H326" s="127">
        <f>SUM(H316:H325)</f>
        <v>0</v>
      </c>
      <c r="I326" s="128"/>
      <c r="J326" s="125"/>
      <c r="K326" s="129"/>
      <c r="L326" s="129"/>
      <c r="M326" s="129"/>
    </row>
    <row r="327" spans="1:13" s="122" customFormat="1" x14ac:dyDescent="0.25">
      <c r="A327" s="122" t="s">
        <v>917</v>
      </c>
      <c r="B327" s="122" t="s">
        <v>159</v>
      </c>
      <c r="C327" s="122" t="s">
        <v>984</v>
      </c>
      <c r="D327" s="128" t="s">
        <v>976</v>
      </c>
      <c r="E327" s="148">
        <v>5</v>
      </c>
      <c r="F327" s="148"/>
      <c r="G327" s="150">
        <f>E327/E$337</f>
        <v>4.5339136742836413E-2</v>
      </c>
      <c r="H327" s="128"/>
      <c r="I327" s="128" t="s">
        <v>972</v>
      </c>
      <c r="J327" s="130" t="s">
        <v>969</v>
      </c>
      <c r="K327" s="129" t="s">
        <v>971</v>
      </c>
      <c r="L327" s="129"/>
      <c r="M327" s="129"/>
    </row>
    <row r="328" spans="1:13" s="122" customFormat="1" x14ac:dyDescent="0.25">
      <c r="A328" s="122" t="s">
        <v>917</v>
      </c>
      <c r="B328" s="122" t="s">
        <v>159</v>
      </c>
      <c r="C328" s="122" t="s">
        <v>984</v>
      </c>
      <c r="D328" s="123" t="s">
        <v>975</v>
      </c>
      <c r="E328" s="148">
        <v>16.309999999999999</v>
      </c>
      <c r="F328" s="148"/>
      <c r="G328" s="150">
        <f>E328/E$337</f>
        <v>0.14789626405513237</v>
      </c>
      <c r="H328" s="128"/>
      <c r="I328" s="128"/>
      <c r="J328" s="125"/>
      <c r="K328" s="129"/>
      <c r="L328" s="129"/>
      <c r="M328" s="129"/>
    </row>
    <row r="329" spans="1:13" s="122" customFormat="1" x14ac:dyDescent="0.25">
      <c r="A329" s="122" t="s">
        <v>917</v>
      </c>
      <c r="B329" s="122" t="s">
        <v>159</v>
      </c>
      <c r="C329" s="122" t="s">
        <v>984</v>
      </c>
      <c r="D329" s="123" t="s">
        <v>836</v>
      </c>
      <c r="E329" s="148">
        <v>10.11</v>
      </c>
      <c r="F329" s="148"/>
      <c r="G329" s="150">
        <f t="shared" ref="G329:G336" si="11">E329/E$337</f>
        <v>9.1675734494015226E-2</v>
      </c>
      <c r="H329" s="128"/>
      <c r="I329" s="128"/>
      <c r="J329" s="125"/>
      <c r="K329" s="129"/>
      <c r="L329" s="129"/>
      <c r="M329" s="129"/>
    </row>
    <row r="330" spans="1:13" s="122" customFormat="1" x14ac:dyDescent="0.25">
      <c r="A330" s="122" t="s">
        <v>917</v>
      </c>
      <c r="B330" s="122" t="s">
        <v>159</v>
      </c>
      <c r="C330" s="122" t="s">
        <v>984</v>
      </c>
      <c r="D330" s="123" t="s">
        <v>977</v>
      </c>
      <c r="E330" s="148">
        <v>0.64</v>
      </c>
      <c r="F330" s="148"/>
      <c r="G330" s="150">
        <f t="shared" si="11"/>
        <v>5.8034095030830611E-3</v>
      </c>
      <c r="H330" s="128"/>
      <c r="I330" s="128"/>
      <c r="J330" s="125"/>
      <c r="K330" s="129"/>
      <c r="L330" s="129"/>
      <c r="M330" s="129"/>
    </row>
    <row r="331" spans="1:13" s="122" customFormat="1" x14ac:dyDescent="0.25">
      <c r="A331" s="122" t="s">
        <v>917</v>
      </c>
      <c r="B331" s="122" t="s">
        <v>159</v>
      </c>
      <c r="C331" s="122" t="s">
        <v>984</v>
      </c>
      <c r="D331" s="123" t="s">
        <v>978</v>
      </c>
      <c r="E331" s="148">
        <v>1.74</v>
      </c>
      <c r="F331" s="148"/>
      <c r="G331" s="150">
        <f t="shared" si="11"/>
        <v>1.5778019586507073E-2</v>
      </c>
      <c r="H331" s="128"/>
      <c r="I331" s="128"/>
      <c r="J331" s="125"/>
      <c r="K331" s="129"/>
      <c r="L331" s="129"/>
      <c r="M331" s="129"/>
    </row>
    <row r="332" spans="1:13" s="122" customFormat="1" x14ac:dyDescent="0.25">
      <c r="A332" s="122" t="s">
        <v>917</v>
      </c>
      <c r="B332" s="122" t="s">
        <v>159</v>
      </c>
      <c r="C332" s="122" t="s">
        <v>984</v>
      </c>
      <c r="D332" s="123" t="s">
        <v>985</v>
      </c>
      <c r="E332" s="148">
        <v>11.32</v>
      </c>
      <c r="F332" s="148"/>
      <c r="G332" s="150">
        <f t="shared" si="11"/>
        <v>0.10264780558578165</v>
      </c>
      <c r="H332" s="128"/>
      <c r="I332" s="128"/>
      <c r="J332" s="125"/>
      <c r="K332" s="129"/>
      <c r="L332" s="129"/>
      <c r="M332" s="129"/>
    </row>
    <row r="333" spans="1:13" s="122" customFormat="1" x14ac:dyDescent="0.25">
      <c r="A333" s="122" t="s">
        <v>917</v>
      </c>
      <c r="B333" s="122" t="s">
        <v>159</v>
      </c>
      <c r="C333" s="122" t="s">
        <v>984</v>
      </c>
      <c r="D333" s="123" t="s">
        <v>979</v>
      </c>
      <c r="E333" s="148">
        <v>9.02</v>
      </c>
      <c r="F333" s="148"/>
      <c r="G333" s="150">
        <f t="shared" si="11"/>
        <v>8.1791802684076889E-2</v>
      </c>
      <c r="H333" s="128"/>
      <c r="I333" s="128"/>
      <c r="J333" s="125"/>
      <c r="K333" s="129"/>
      <c r="L333" s="129"/>
      <c r="M333" s="129"/>
    </row>
    <row r="334" spans="1:13" s="122" customFormat="1" x14ac:dyDescent="0.25">
      <c r="A334" s="122" t="s">
        <v>917</v>
      </c>
      <c r="B334" s="122" t="s">
        <v>159</v>
      </c>
      <c r="C334" s="122" t="s">
        <v>984</v>
      </c>
      <c r="D334" s="123" t="s">
        <v>980</v>
      </c>
      <c r="E334" s="148">
        <v>11.28</v>
      </c>
      <c r="F334" s="148"/>
      <c r="G334" s="150">
        <f t="shared" si="11"/>
        <v>0.10228509249183895</v>
      </c>
      <c r="H334" s="128"/>
      <c r="I334" s="128"/>
      <c r="J334" s="125"/>
      <c r="K334" s="129"/>
      <c r="L334" s="129"/>
      <c r="M334" s="129"/>
    </row>
    <row r="335" spans="1:13" s="122" customFormat="1" x14ac:dyDescent="0.25">
      <c r="A335" s="122" t="s">
        <v>917</v>
      </c>
      <c r="B335" s="122" t="s">
        <v>159</v>
      </c>
      <c r="C335" s="122" t="s">
        <v>984</v>
      </c>
      <c r="D335" s="123" t="s">
        <v>981</v>
      </c>
      <c r="E335" s="148">
        <v>21.58</v>
      </c>
      <c r="F335" s="148"/>
      <c r="G335" s="150">
        <f t="shared" si="11"/>
        <v>0.19568371418208197</v>
      </c>
      <c r="H335" s="128"/>
      <c r="I335" s="128"/>
      <c r="J335" s="125"/>
      <c r="K335" s="129"/>
      <c r="L335" s="129"/>
      <c r="M335" s="129"/>
    </row>
    <row r="336" spans="1:13" s="122" customFormat="1" x14ac:dyDescent="0.25">
      <c r="A336" s="122" t="s">
        <v>917</v>
      </c>
      <c r="B336" s="122" t="s">
        <v>159</v>
      </c>
      <c r="C336" s="122" t="s">
        <v>984</v>
      </c>
      <c r="D336" s="123" t="s">
        <v>982</v>
      </c>
      <c r="E336" s="148">
        <v>23.28</v>
      </c>
      <c r="F336" s="148"/>
      <c r="G336" s="150">
        <f t="shared" si="11"/>
        <v>0.21109902067464636</v>
      </c>
      <c r="H336" s="128"/>
      <c r="I336" s="128"/>
      <c r="J336" s="125"/>
      <c r="K336" s="129"/>
      <c r="L336" s="129"/>
      <c r="M336" s="129"/>
    </row>
    <row r="337" spans="1:13" s="122" customFormat="1" x14ac:dyDescent="0.25">
      <c r="A337" s="122" t="s">
        <v>917</v>
      </c>
      <c r="B337" s="121" t="s">
        <v>159</v>
      </c>
      <c r="C337" s="121" t="s">
        <v>984</v>
      </c>
      <c r="D337" s="126" t="s">
        <v>346</v>
      </c>
      <c r="E337" s="147">
        <f>SUM(E327:E336)</f>
        <v>110.28</v>
      </c>
      <c r="F337" s="147">
        <f>SUM(F327:F336)</f>
        <v>0</v>
      </c>
      <c r="G337" s="127">
        <f>SUM(G327:G336)</f>
        <v>1</v>
      </c>
      <c r="H337" s="127">
        <f>SUM(H327:H336)</f>
        <v>0</v>
      </c>
      <c r="I337" s="128"/>
      <c r="J337" s="125"/>
      <c r="K337" s="129"/>
      <c r="L337" s="129"/>
      <c r="M337" s="129"/>
    </row>
    <row r="338" spans="1:13" s="122" customFormat="1" x14ac:dyDescent="0.25">
      <c r="A338" s="122" t="s">
        <v>917</v>
      </c>
      <c r="B338" s="122" t="s">
        <v>159</v>
      </c>
      <c r="C338" s="122" t="s">
        <v>904</v>
      </c>
      <c r="D338" s="128" t="s">
        <v>836</v>
      </c>
      <c r="E338" s="148">
        <v>9</v>
      </c>
      <c r="F338" s="148"/>
      <c r="G338" s="150">
        <f t="shared" ref="G338:G341" si="12">E338/E$342</f>
        <v>0.17647058823529413</v>
      </c>
      <c r="H338" s="128"/>
      <c r="I338" s="128" t="s">
        <v>963</v>
      </c>
      <c r="J338" s="151" t="s">
        <v>750</v>
      </c>
      <c r="K338" s="129"/>
      <c r="L338" s="129"/>
      <c r="M338" s="129"/>
    </row>
    <row r="339" spans="1:13" s="122" customFormat="1" x14ac:dyDescent="0.25">
      <c r="A339" s="122" t="s">
        <v>917</v>
      </c>
      <c r="B339" s="122" t="s">
        <v>159</v>
      </c>
      <c r="C339" s="122" t="s">
        <v>904</v>
      </c>
      <c r="D339" s="128" t="s">
        <v>975</v>
      </c>
      <c r="E339" s="148">
        <v>6</v>
      </c>
      <c r="F339" s="148"/>
      <c r="G339" s="150">
        <f t="shared" si="12"/>
        <v>0.11764705882352941</v>
      </c>
      <c r="H339" s="128"/>
      <c r="I339" s="128"/>
      <c r="J339" s="151"/>
      <c r="K339" s="129"/>
      <c r="L339" s="129"/>
      <c r="M339" s="129"/>
    </row>
    <row r="340" spans="1:13" s="122" customFormat="1" x14ac:dyDescent="0.25">
      <c r="A340" s="122" t="s">
        <v>917</v>
      </c>
      <c r="B340" s="122" t="s">
        <v>159</v>
      </c>
      <c r="C340" s="122" t="s">
        <v>904</v>
      </c>
      <c r="D340" s="128" t="s">
        <v>404</v>
      </c>
      <c r="E340" s="148">
        <v>17</v>
      </c>
      <c r="F340" s="148"/>
      <c r="G340" s="150">
        <f t="shared" si="12"/>
        <v>0.33333333333333331</v>
      </c>
      <c r="H340" s="128"/>
      <c r="I340" s="128"/>
      <c r="J340" s="151"/>
      <c r="K340" s="129"/>
      <c r="L340" s="129"/>
      <c r="M340" s="129"/>
    </row>
    <row r="341" spans="1:13" s="122" customFormat="1" x14ac:dyDescent="0.25">
      <c r="A341" s="122" t="s">
        <v>917</v>
      </c>
      <c r="B341" s="122" t="s">
        <v>159</v>
      </c>
      <c r="C341" s="122" t="s">
        <v>904</v>
      </c>
      <c r="D341" s="128" t="s">
        <v>335</v>
      </c>
      <c r="E341" s="148">
        <v>19</v>
      </c>
      <c r="F341" s="148"/>
      <c r="G341" s="150">
        <f t="shared" si="12"/>
        <v>0.37254901960784315</v>
      </c>
      <c r="H341" s="128"/>
      <c r="I341" s="128"/>
      <c r="J341" s="151"/>
      <c r="K341" s="129"/>
      <c r="L341" s="129"/>
      <c r="M341" s="129"/>
    </row>
    <row r="342" spans="1:13" s="122" customFormat="1" x14ac:dyDescent="0.25">
      <c r="A342" s="122" t="s">
        <v>917</v>
      </c>
      <c r="B342" s="121" t="s">
        <v>159</v>
      </c>
      <c r="C342" s="121" t="s">
        <v>904</v>
      </c>
      <c r="D342" s="126" t="s">
        <v>346</v>
      </c>
      <c r="E342" s="147">
        <f>SUM(E338:E341)</f>
        <v>51</v>
      </c>
      <c r="F342" s="147">
        <f>SUM(F338:F341)</f>
        <v>0</v>
      </c>
      <c r="G342" s="127">
        <f>SUM(G338:G341)</f>
        <v>1</v>
      </c>
      <c r="H342" s="127">
        <f>SUM(H338:H341)</f>
        <v>0</v>
      </c>
      <c r="I342" s="128"/>
      <c r="J342" s="151"/>
      <c r="K342" s="129"/>
      <c r="L342" s="129"/>
      <c r="M342" s="129"/>
    </row>
    <row r="343" spans="1:13" s="122" customFormat="1" x14ac:dyDescent="0.25">
      <c r="A343" s="122" t="s">
        <v>917</v>
      </c>
      <c r="B343" s="122" t="s">
        <v>159</v>
      </c>
      <c r="C343" s="122" t="s">
        <v>970</v>
      </c>
      <c r="D343" s="128" t="s">
        <v>967</v>
      </c>
      <c r="E343" s="148">
        <v>16</v>
      </c>
      <c r="F343" s="148"/>
      <c r="G343" s="150">
        <f>E343/E$348</f>
        <v>0.18181818181818182</v>
      </c>
      <c r="H343" s="128"/>
      <c r="I343" s="128" t="s">
        <v>963</v>
      </c>
      <c r="J343" s="151" t="s">
        <v>750</v>
      </c>
      <c r="K343" s="129" t="s">
        <v>973</v>
      </c>
      <c r="L343" s="129"/>
      <c r="M343" s="129"/>
    </row>
    <row r="344" spans="1:13" s="122" customFormat="1" x14ac:dyDescent="0.25">
      <c r="A344" s="122" t="s">
        <v>917</v>
      </c>
      <c r="B344" s="122" t="s">
        <v>159</v>
      </c>
      <c r="C344" s="122" t="s">
        <v>970</v>
      </c>
      <c r="D344" s="128" t="s">
        <v>836</v>
      </c>
      <c r="E344" s="148">
        <v>18</v>
      </c>
      <c r="F344" s="148"/>
      <c r="G344" s="150">
        <f t="shared" ref="G344:G347" si="13">E344/E$348</f>
        <v>0.20454545454545456</v>
      </c>
      <c r="H344" s="128"/>
      <c r="I344" s="128"/>
      <c r="J344" s="151"/>
      <c r="K344" s="129"/>
      <c r="L344" s="129"/>
      <c r="M344" s="129"/>
    </row>
    <row r="345" spans="1:13" s="122" customFormat="1" x14ac:dyDescent="0.25">
      <c r="A345" s="122" t="s">
        <v>917</v>
      </c>
      <c r="B345" s="122" t="s">
        <v>159</v>
      </c>
      <c r="C345" s="122" t="s">
        <v>970</v>
      </c>
      <c r="D345" s="128" t="s">
        <v>975</v>
      </c>
      <c r="E345" s="148">
        <v>6</v>
      </c>
      <c r="F345" s="148"/>
      <c r="G345" s="150">
        <f t="shared" si="13"/>
        <v>6.8181818181818177E-2</v>
      </c>
      <c r="H345" s="128"/>
      <c r="I345" s="128"/>
      <c r="J345" s="151"/>
      <c r="K345" s="129"/>
      <c r="L345" s="129"/>
      <c r="M345" s="129"/>
    </row>
    <row r="346" spans="1:13" s="122" customFormat="1" x14ac:dyDescent="0.25">
      <c r="A346" s="122" t="s">
        <v>917</v>
      </c>
      <c r="B346" s="122" t="s">
        <v>159</v>
      </c>
      <c r="C346" s="122" t="s">
        <v>970</v>
      </c>
      <c r="D346" s="128" t="s">
        <v>404</v>
      </c>
      <c r="E346" s="148">
        <v>25</v>
      </c>
      <c r="F346" s="148"/>
      <c r="G346" s="150">
        <f t="shared" si="13"/>
        <v>0.28409090909090912</v>
      </c>
      <c r="H346" s="128"/>
      <c r="I346" s="128"/>
      <c r="J346" s="151"/>
      <c r="K346" s="129"/>
      <c r="L346" s="129"/>
      <c r="M346" s="129"/>
    </row>
    <row r="347" spans="1:13" s="122" customFormat="1" x14ac:dyDescent="0.25">
      <c r="A347" s="122" t="s">
        <v>917</v>
      </c>
      <c r="B347" s="122" t="s">
        <v>159</v>
      </c>
      <c r="C347" s="122" t="s">
        <v>970</v>
      </c>
      <c r="D347" s="128" t="s">
        <v>335</v>
      </c>
      <c r="E347" s="148">
        <v>23</v>
      </c>
      <c r="F347" s="148"/>
      <c r="G347" s="150">
        <f t="shared" si="13"/>
        <v>0.26136363636363635</v>
      </c>
      <c r="H347" s="128"/>
      <c r="I347" s="128"/>
      <c r="J347" s="151"/>
      <c r="K347" s="129"/>
      <c r="L347" s="129"/>
      <c r="M347" s="129"/>
    </row>
    <row r="348" spans="1:13" s="122" customFormat="1" x14ac:dyDescent="0.25">
      <c r="A348" s="122" t="s">
        <v>917</v>
      </c>
      <c r="B348" s="121" t="s">
        <v>159</v>
      </c>
      <c r="C348" s="121" t="s">
        <v>970</v>
      </c>
      <c r="D348" s="126" t="s">
        <v>346</v>
      </c>
      <c r="E348" s="147">
        <f>SUM(E343:E347)</f>
        <v>88</v>
      </c>
      <c r="F348" s="147">
        <f>SUM(F343:F347)</f>
        <v>0</v>
      </c>
      <c r="G348" s="127">
        <f>SUM(G343:G347)</f>
        <v>1</v>
      </c>
      <c r="H348" s="127">
        <f>SUM(H343:H347)</f>
        <v>0</v>
      </c>
      <c r="I348" s="128"/>
      <c r="J348" s="151"/>
      <c r="K348" s="129"/>
      <c r="L348" s="129"/>
      <c r="M348" s="129"/>
    </row>
    <row r="349" spans="1:13" s="122" customFormat="1" x14ac:dyDescent="0.25">
      <c r="A349" s="122" t="s">
        <v>917</v>
      </c>
      <c r="B349" s="122" t="s">
        <v>159</v>
      </c>
      <c r="C349" s="122" t="s">
        <v>742</v>
      </c>
      <c r="D349" s="128" t="s">
        <v>967</v>
      </c>
      <c r="E349" s="148">
        <v>11</v>
      </c>
      <c r="F349" s="148"/>
      <c r="G349" s="150">
        <f>E349/E$353</f>
        <v>0.10091743119266056</v>
      </c>
      <c r="H349" s="128"/>
      <c r="I349" s="128" t="s">
        <v>963</v>
      </c>
      <c r="J349" s="151" t="s">
        <v>750</v>
      </c>
      <c r="K349" s="129" t="s">
        <v>974</v>
      </c>
      <c r="L349" s="129"/>
      <c r="M349" s="129"/>
    </row>
    <row r="350" spans="1:13" s="122" customFormat="1" x14ac:dyDescent="0.25">
      <c r="A350" s="122" t="s">
        <v>917</v>
      </c>
      <c r="B350" s="122" t="s">
        <v>159</v>
      </c>
      <c r="C350" s="122" t="s">
        <v>742</v>
      </c>
      <c r="D350" s="128" t="s">
        <v>836</v>
      </c>
      <c r="E350" s="148">
        <v>44</v>
      </c>
      <c r="F350" s="148"/>
      <c r="G350" s="150">
        <f t="shared" ref="G350:G352" si="14">E350/E$353</f>
        <v>0.40366972477064222</v>
      </c>
      <c r="H350" s="128"/>
      <c r="I350" s="128"/>
      <c r="J350" s="125"/>
      <c r="K350" s="129"/>
      <c r="L350" s="129"/>
      <c r="M350" s="129"/>
    </row>
    <row r="351" spans="1:13" s="122" customFormat="1" x14ac:dyDescent="0.25">
      <c r="A351" s="122" t="s">
        <v>917</v>
      </c>
      <c r="B351" s="122" t="s">
        <v>159</v>
      </c>
      <c r="C351" s="122" t="s">
        <v>742</v>
      </c>
      <c r="D351" s="128" t="s">
        <v>404</v>
      </c>
      <c r="E351" s="148">
        <v>24</v>
      </c>
      <c r="F351" s="148"/>
      <c r="G351" s="150">
        <f t="shared" si="14"/>
        <v>0.22018348623853212</v>
      </c>
      <c r="H351" s="128"/>
      <c r="I351" s="128"/>
      <c r="J351" s="125"/>
      <c r="K351" s="129"/>
      <c r="L351" s="129"/>
      <c r="M351" s="129"/>
    </row>
    <row r="352" spans="1:13" s="122" customFormat="1" x14ac:dyDescent="0.25">
      <c r="A352" s="122" t="s">
        <v>917</v>
      </c>
      <c r="B352" s="122" t="s">
        <v>159</v>
      </c>
      <c r="C352" s="122" t="s">
        <v>742</v>
      </c>
      <c r="D352" s="128" t="s">
        <v>335</v>
      </c>
      <c r="E352" s="148">
        <v>30</v>
      </c>
      <c r="F352" s="148"/>
      <c r="G352" s="150">
        <f t="shared" si="14"/>
        <v>0.27522935779816515</v>
      </c>
      <c r="H352" s="128"/>
      <c r="I352" s="128"/>
      <c r="J352" s="125"/>
      <c r="K352" s="129"/>
      <c r="L352" s="129"/>
      <c r="M352" s="129"/>
    </row>
    <row r="353" spans="1:13" s="122" customFormat="1" x14ac:dyDescent="0.25">
      <c r="A353" s="122" t="s">
        <v>917</v>
      </c>
      <c r="B353" s="121" t="s">
        <v>159</v>
      </c>
      <c r="C353" s="121" t="s">
        <v>742</v>
      </c>
      <c r="D353" s="126" t="s">
        <v>346</v>
      </c>
      <c r="E353" s="147">
        <f>SUM(E349:E352)</f>
        <v>109</v>
      </c>
      <c r="F353" s="147">
        <f>SUM(F349:F352)</f>
        <v>0</v>
      </c>
      <c r="G353" s="127">
        <f>SUM(G349:G352)</f>
        <v>1</v>
      </c>
      <c r="H353" s="127">
        <f>SUM(H349:H352)</f>
        <v>0</v>
      </c>
      <c r="I353" s="128"/>
      <c r="J353" s="151"/>
      <c r="K353" s="129"/>
      <c r="L353" s="129"/>
      <c r="M353" s="129"/>
    </row>
    <row r="354" spans="1:13" s="122" customFormat="1" x14ac:dyDescent="0.25">
      <c r="A354" s="122" t="s">
        <v>919</v>
      </c>
      <c r="B354" s="122" t="s">
        <v>139</v>
      </c>
      <c r="C354" s="122" t="s">
        <v>817</v>
      </c>
      <c r="D354" s="128" t="s">
        <v>961</v>
      </c>
      <c r="E354" s="148">
        <v>400</v>
      </c>
      <c r="F354" s="148"/>
      <c r="G354" s="150">
        <f>E354/E$359</f>
        <v>0.322061191626409</v>
      </c>
      <c r="H354" s="128"/>
      <c r="I354" s="128" t="s">
        <v>963</v>
      </c>
      <c r="J354" s="151" t="s">
        <v>750</v>
      </c>
      <c r="K354" s="129" t="s">
        <v>987</v>
      </c>
      <c r="L354" s="129"/>
      <c r="M354" s="129"/>
    </row>
    <row r="355" spans="1:13" s="122" customFormat="1" x14ac:dyDescent="0.25">
      <c r="A355" s="122" t="s">
        <v>919</v>
      </c>
      <c r="B355" s="122" t="s">
        <v>139</v>
      </c>
      <c r="C355" s="122" t="s">
        <v>817</v>
      </c>
      <c r="D355" s="128" t="s">
        <v>836</v>
      </c>
      <c r="E355" s="148">
        <v>12</v>
      </c>
      <c r="F355" s="148"/>
      <c r="G355" s="150">
        <f t="shared" ref="G355:G358" si="15">E355/E$359</f>
        <v>9.6618357487922701E-3</v>
      </c>
      <c r="H355" s="128"/>
      <c r="I355" s="128"/>
      <c r="J355" s="151"/>
      <c r="K355" s="129"/>
      <c r="L355" s="129"/>
      <c r="M355" s="129"/>
    </row>
    <row r="356" spans="1:13" s="122" customFormat="1" x14ac:dyDescent="0.25">
      <c r="A356" s="122" t="s">
        <v>919</v>
      </c>
      <c r="B356" s="122" t="s">
        <v>139</v>
      </c>
      <c r="C356" s="122" t="s">
        <v>817</v>
      </c>
      <c r="D356" s="128" t="s">
        <v>993</v>
      </c>
      <c r="E356" s="148">
        <v>646</v>
      </c>
      <c r="F356" s="148"/>
      <c r="G356" s="150">
        <f t="shared" si="15"/>
        <v>0.52012882447665054</v>
      </c>
      <c r="H356" s="128"/>
      <c r="I356" s="128"/>
      <c r="J356" s="151"/>
      <c r="K356" s="129"/>
      <c r="L356" s="129"/>
      <c r="M356" s="129"/>
    </row>
    <row r="357" spans="1:13" s="122" customFormat="1" x14ac:dyDescent="0.25">
      <c r="A357" s="122" t="s">
        <v>919</v>
      </c>
      <c r="B357" s="122" t="s">
        <v>139</v>
      </c>
      <c r="C357" s="122" t="s">
        <v>817</v>
      </c>
      <c r="D357" s="128" t="s">
        <v>335</v>
      </c>
      <c r="E357" s="148">
        <v>50</v>
      </c>
      <c r="F357" s="148"/>
      <c r="G357" s="150">
        <f t="shared" si="15"/>
        <v>4.0257648953301126E-2</v>
      </c>
      <c r="H357" s="128"/>
      <c r="I357" s="128"/>
      <c r="J357" s="151"/>
      <c r="K357" s="129"/>
      <c r="L357" s="129"/>
      <c r="M357" s="129"/>
    </row>
    <row r="358" spans="1:13" s="122" customFormat="1" x14ac:dyDescent="0.25">
      <c r="A358" s="122" t="s">
        <v>919</v>
      </c>
      <c r="B358" s="122" t="s">
        <v>139</v>
      </c>
      <c r="C358" s="122" t="s">
        <v>817</v>
      </c>
      <c r="D358" s="128" t="s">
        <v>404</v>
      </c>
      <c r="E358" s="148">
        <v>134</v>
      </c>
      <c r="F358" s="148"/>
      <c r="G358" s="150">
        <f t="shared" si="15"/>
        <v>0.10789049919484701</v>
      </c>
      <c r="H358" s="128"/>
      <c r="I358" s="128"/>
      <c r="J358" s="151"/>
      <c r="K358" s="129"/>
      <c r="L358" s="129"/>
      <c r="M358" s="129"/>
    </row>
    <row r="359" spans="1:13" s="122" customFormat="1" x14ac:dyDescent="0.25">
      <c r="A359" s="122" t="s">
        <v>919</v>
      </c>
      <c r="B359" s="121" t="s">
        <v>139</v>
      </c>
      <c r="C359" s="121" t="s">
        <v>817</v>
      </c>
      <c r="D359" s="126" t="s">
        <v>346</v>
      </c>
      <c r="E359" s="147">
        <f>SUM(E354:E358)</f>
        <v>1242</v>
      </c>
      <c r="F359" s="147">
        <f>SUM(F354:F358)</f>
        <v>0</v>
      </c>
      <c r="G359" s="127">
        <f>SUM(G354:G358)</f>
        <v>1</v>
      </c>
      <c r="H359" s="127">
        <f>SUM(H354:H358)</f>
        <v>0</v>
      </c>
      <c r="I359" s="128"/>
      <c r="J359" s="151"/>
      <c r="K359" s="129"/>
      <c r="L359" s="129"/>
      <c r="M359" s="129"/>
    </row>
    <row r="360" spans="1:13" s="122" customFormat="1" x14ac:dyDescent="0.25">
      <c r="A360" s="122" t="s">
        <v>919</v>
      </c>
      <c r="B360" s="122" t="s">
        <v>139</v>
      </c>
      <c r="C360" s="122" t="s">
        <v>819</v>
      </c>
      <c r="D360" s="128" t="s">
        <v>961</v>
      </c>
      <c r="E360" s="148">
        <v>400</v>
      </c>
      <c r="F360" s="148"/>
      <c r="G360" s="150">
        <f>E360/E$366</f>
        <v>0.24198427102238354</v>
      </c>
      <c r="H360" s="128"/>
      <c r="I360" s="128" t="s">
        <v>963</v>
      </c>
      <c r="J360" s="151" t="s">
        <v>750</v>
      </c>
      <c r="K360" s="129" t="s">
        <v>987</v>
      </c>
      <c r="L360" s="129"/>
      <c r="M360" s="129"/>
    </row>
    <row r="361" spans="1:13" s="122" customFormat="1" x14ac:dyDescent="0.25">
      <c r="A361" s="122" t="s">
        <v>919</v>
      </c>
      <c r="B361" s="122" t="s">
        <v>139</v>
      </c>
      <c r="C361" s="122" t="s">
        <v>819</v>
      </c>
      <c r="D361" s="128" t="s">
        <v>836</v>
      </c>
      <c r="E361" s="148">
        <v>383</v>
      </c>
      <c r="F361" s="148"/>
      <c r="G361" s="150">
        <f t="shared" ref="G361:G365" si="16">E361/E$366</f>
        <v>0.23169993950393225</v>
      </c>
      <c r="H361" s="128"/>
      <c r="I361" s="128"/>
      <c r="J361" s="151"/>
      <c r="K361" s="129"/>
      <c r="L361" s="129"/>
      <c r="M361" s="129"/>
    </row>
    <row r="362" spans="1:13" s="122" customFormat="1" x14ac:dyDescent="0.25">
      <c r="A362" s="122" t="s">
        <v>919</v>
      </c>
      <c r="B362" s="122" t="s">
        <v>139</v>
      </c>
      <c r="C362" s="122" t="s">
        <v>819</v>
      </c>
      <c r="D362" s="128" t="s">
        <v>994</v>
      </c>
      <c r="E362" s="148">
        <v>28</v>
      </c>
      <c r="F362" s="148"/>
      <c r="G362" s="150">
        <f t="shared" si="16"/>
        <v>1.6938898971566849E-2</v>
      </c>
      <c r="H362" s="128"/>
      <c r="I362" s="128"/>
      <c r="J362" s="151"/>
      <c r="K362" s="129"/>
      <c r="L362" s="129"/>
      <c r="M362" s="129"/>
    </row>
    <row r="363" spans="1:13" s="122" customFormat="1" x14ac:dyDescent="0.25">
      <c r="A363" s="122" t="s">
        <v>919</v>
      </c>
      <c r="B363" s="122" t="s">
        <v>139</v>
      </c>
      <c r="C363" s="122" t="s">
        <v>819</v>
      </c>
      <c r="D363" s="128" t="s">
        <v>993</v>
      </c>
      <c r="E363" s="148">
        <v>542</v>
      </c>
      <c r="F363" s="148"/>
      <c r="G363" s="150">
        <f t="shared" si="16"/>
        <v>0.32788868723532971</v>
      </c>
      <c r="H363" s="128"/>
      <c r="I363" s="128"/>
      <c r="J363" s="151"/>
      <c r="K363" s="129"/>
      <c r="L363" s="129"/>
      <c r="M363" s="129"/>
    </row>
    <row r="364" spans="1:13" s="122" customFormat="1" x14ac:dyDescent="0.25">
      <c r="A364" s="122" t="s">
        <v>919</v>
      </c>
      <c r="B364" s="122" t="s">
        <v>139</v>
      </c>
      <c r="C364" s="122" t="s">
        <v>819</v>
      </c>
      <c r="D364" s="128" t="s">
        <v>335</v>
      </c>
      <c r="E364" s="148">
        <v>80</v>
      </c>
      <c r="F364" s="148"/>
      <c r="G364" s="150">
        <f t="shared" si="16"/>
        <v>4.8396854204476709E-2</v>
      </c>
      <c r="H364" s="128"/>
      <c r="I364" s="128"/>
      <c r="J364" s="151"/>
      <c r="K364" s="129"/>
      <c r="L364" s="129"/>
      <c r="M364" s="129"/>
    </row>
    <row r="365" spans="1:13" s="122" customFormat="1" x14ac:dyDescent="0.25">
      <c r="A365" s="122" t="s">
        <v>919</v>
      </c>
      <c r="B365" s="122" t="s">
        <v>139</v>
      </c>
      <c r="C365" s="122" t="s">
        <v>819</v>
      </c>
      <c r="D365" s="128" t="s">
        <v>404</v>
      </c>
      <c r="E365" s="148">
        <v>220</v>
      </c>
      <c r="F365" s="148"/>
      <c r="G365" s="150">
        <f t="shared" si="16"/>
        <v>0.13309134906231096</v>
      </c>
      <c r="H365" s="128"/>
      <c r="I365" s="128"/>
      <c r="J365" s="151"/>
      <c r="K365" s="129"/>
      <c r="L365" s="129"/>
      <c r="M365" s="129"/>
    </row>
    <row r="366" spans="1:13" s="122" customFormat="1" x14ac:dyDescent="0.25">
      <c r="A366" s="122" t="s">
        <v>919</v>
      </c>
      <c r="B366" s="121" t="s">
        <v>139</v>
      </c>
      <c r="C366" s="121" t="s">
        <v>819</v>
      </c>
      <c r="D366" s="126" t="s">
        <v>346</v>
      </c>
      <c r="E366" s="147">
        <f>SUM(E360:E365)</f>
        <v>1653</v>
      </c>
      <c r="F366" s="147">
        <f>SUM(F360:F365)</f>
        <v>0</v>
      </c>
      <c r="G366" s="127">
        <f>SUM(G360:G365)</f>
        <v>1</v>
      </c>
      <c r="H366" s="127">
        <f>SUM(H360:H365)</f>
        <v>0</v>
      </c>
      <c r="I366" s="128"/>
      <c r="J366" s="151"/>
      <c r="K366" s="129"/>
      <c r="L366" s="129"/>
      <c r="M366" s="129"/>
    </row>
    <row r="367" spans="1:13" s="122" customFormat="1" x14ac:dyDescent="0.25">
      <c r="A367" s="122" t="s">
        <v>919</v>
      </c>
      <c r="B367" s="122" t="s">
        <v>139</v>
      </c>
      <c r="C367" s="122" t="s">
        <v>820</v>
      </c>
      <c r="D367" s="128" t="s">
        <v>961</v>
      </c>
      <c r="E367" s="148">
        <v>400</v>
      </c>
      <c r="F367" s="148"/>
      <c r="G367" s="150">
        <f>E367/E$372</f>
        <v>0.21953896816684962</v>
      </c>
      <c r="H367" s="128"/>
      <c r="I367" s="128" t="s">
        <v>963</v>
      </c>
      <c r="J367" s="151" t="s">
        <v>750</v>
      </c>
      <c r="K367" s="129" t="s">
        <v>987</v>
      </c>
      <c r="L367" s="129"/>
      <c r="M367" s="129"/>
    </row>
    <row r="368" spans="1:13" s="122" customFormat="1" x14ac:dyDescent="0.25">
      <c r="A368" s="122" t="s">
        <v>919</v>
      </c>
      <c r="B368" s="122" t="s">
        <v>139</v>
      </c>
      <c r="C368" s="122" t="s">
        <v>820</v>
      </c>
      <c r="D368" s="128" t="s">
        <v>836</v>
      </c>
      <c r="E368" s="148">
        <v>411</v>
      </c>
      <c r="F368" s="148"/>
      <c r="G368" s="150">
        <f t="shared" ref="G368:G371" si="17">E368/E$372</f>
        <v>0.22557628979143798</v>
      </c>
      <c r="H368" s="128"/>
      <c r="I368" s="128"/>
      <c r="J368" s="151"/>
      <c r="K368" s="129"/>
      <c r="L368" s="129"/>
      <c r="M368" s="129"/>
    </row>
    <row r="369" spans="1:13" s="122" customFormat="1" x14ac:dyDescent="0.25">
      <c r="A369" s="122" t="s">
        <v>919</v>
      </c>
      <c r="B369" s="122" t="s">
        <v>139</v>
      </c>
      <c r="C369" s="122" t="s">
        <v>820</v>
      </c>
      <c r="D369" s="128" t="s">
        <v>503</v>
      </c>
      <c r="E369" s="148">
        <v>561</v>
      </c>
      <c r="F369" s="148"/>
      <c r="G369" s="150">
        <f t="shared" si="17"/>
        <v>0.30790340285400658</v>
      </c>
      <c r="H369" s="128"/>
      <c r="I369" s="128"/>
      <c r="J369" s="151"/>
      <c r="K369" s="129"/>
      <c r="L369" s="129"/>
      <c r="M369" s="129"/>
    </row>
    <row r="370" spans="1:13" s="122" customFormat="1" x14ac:dyDescent="0.25">
      <c r="A370" s="122" t="s">
        <v>919</v>
      </c>
      <c r="B370" s="122" t="s">
        <v>139</v>
      </c>
      <c r="C370" s="122" t="s">
        <v>820</v>
      </c>
      <c r="D370" s="128" t="s">
        <v>335</v>
      </c>
      <c r="E370" s="148">
        <v>112</v>
      </c>
      <c r="F370" s="148"/>
      <c r="G370" s="150">
        <f t="shared" si="17"/>
        <v>6.1470911086717893E-2</v>
      </c>
      <c r="H370" s="128"/>
      <c r="I370" s="128"/>
      <c r="J370" s="151"/>
      <c r="K370" s="129"/>
      <c r="L370" s="129"/>
      <c r="M370" s="129"/>
    </row>
    <row r="371" spans="1:13" s="122" customFormat="1" x14ac:dyDescent="0.25">
      <c r="A371" s="122" t="s">
        <v>919</v>
      </c>
      <c r="B371" s="122" t="s">
        <v>139</v>
      </c>
      <c r="C371" s="122" t="s">
        <v>820</v>
      </c>
      <c r="D371" s="128" t="s">
        <v>404</v>
      </c>
      <c r="E371" s="148">
        <v>338</v>
      </c>
      <c r="F371" s="148"/>
      <c r="G371" s="150">
        <f t="shared" si="17"/>
        <v>0.18551042810098792</v>
      </c>
      <c r="H371" s="128"/>
      <c r="I371" s="128"/>
      <c r="J371" s="151"/>
      <c r="K371" s="129"/>
      <c r="L371" s="129"/>
      <c r="M371" s="129"/>
    </row>
    <row r="372" spans="1:13" s="122" customFormat="1" x14ac:dyDescent="0.25">
      <c r="A372" s="122" t="s">
        <v>919</v>
      </c>
      <c r="B372" s="121" t="s">
        <v>139</v>
      </c>
      <c r="C372" s="121" t="s">
        <v>820</v>
      </c>
      <c r="D372" s="126" t="s">
        <v>346</v>
      </c>
      <c r="E372" s="147">
        <f>SUM(E367:E371)</f>
        <v>1822</v>
      </c>
      <c r="F372" s="147">
        <f>SUM(F367:F371)</f>
        <v>0</v>
      </c>
      <c r="G372" s="127">
        <f>SUM(G367:G371)</f>
        <v>1</v>
      </c>
      <c r="H372" s="127">
        <f>SUM(H367:H371)</f>
        <v>0</v>
      </c>
      <c r="I372" s="128"/>
      <c r="J372" s="151"/>
      <c r="K372" s="129"/>
      <c r="L372" s="129"/>
      <c r="M372" s="129"/>
    </row>
    <row r="373" spans="1:13" s="122" customFormat="1" x14ac:dyDescent="0.25">
      <c r="A373" s="122" t="s">
        <v>919</v>
      </c>
      <c r="B373" s="122" t="s">
        <v>143</v>
      </c>
      <c r="C373" s="122" t="s">
        <v>827</v>
      </c>
      <c r="D373" s="128" t="s">
        <v>836</v>
      </c>
      <c r="E373" s="148">
        <v>124</v>
      </c>
      <c r="F373" s="148"/>
      <c r="G373" s="150">
        <f>E373/E$377</f>
        <v>0.29665071770334928</v>
      </c>
      <c r="H373" s="128"/>
      <c r="I373" s="128" t="s">
        <v>963</v>
      </c>
      <c r="J373" s="151" t="s">
        <v>750</v>
      </c>
      <c r="K373" s="129" t="s">
        <v>989</v>
      </c>
      <c r="L373" s="129"/>
      <c r="M373" s="129"/>
    </row>
    <row r="374" spans="1:13" s="122" customFormat="1" x14ac:dyDescent="0.25">
      <c r="A374" s="122" t="s">
        <v>919</v>
      </c>
      <c r="B374" s="122" t="s">
        <v>143</v>
      </c>
      <c r="C374" s="122" t="s">
        <v>827</v>
      </c>
      <c r="D374" s="128" t="s">
        <v>990</v>
      </c>
      <c r="E374" s="148">
        <v>154</v>
      </c>
      <c r="F374" s="148"/>
      <c r="G374" s="150">
        <f t="shared" ref="G374:G376" si="18">E374/E$377</f>
        <v>0.36842105263157893</v>
      </c>
      <c r="H374" s="128"/>
      <c r="I374" s="128"/>
      <c r="J374" s="151"/>
      <c r="K374" s="129"/>
      <c r="L374" s="129"/>
      <c r="M374" s="129"/>
    </row>
    <row r="375" spans="1:13" s="122" customFormat="1" x14ac:dyDescent="0.25">
      <c r="A375" s="122" t="s">
        <v>919</v>
      </c>
      <c r="B375" s="122" t="s">
        <v>143</v>
      </c>
      <c r="C375" s="122" t="s">
        <v>827</v>
      </c>
      <c r="D375" s="128" t="s">
        <v>991</v>
      </c>
      <c r="E375" s="148">
        <v>21</v>
      </c>
      <c r="F375" s="148"/>
      <c r="G375" s="150">
        <f t="shared" si="18"/>
        <v>5.0239234449760764E-2</v>
      </c>
      <c r="H375" s="128"/>
      <c r="I375" s="128"/>
      <c r="J375" s="151"/>
      <c r="K375" s="129"/>
      <c r="L375" s="129"/>
      <c r="M375" s="129"/>
    </row>
    <row r="376" spans="1:13" s="122" customFormat="1" x14ac:dyDescent="0.25">
      <c r="A376" s="122" t="s">
        <v>919</v>
      </c>
      <c r="B376" s="122" t="s">
        <v>143</v>
      </c>
      <c r="C376" s="122" t="s">
        <v>827</v>
      </c>
      <c r="D376" s="128" t="s">
        <v>404</v>
      </c>
      <c r="E376" s="148">
        <v>119</v>
      </c>
      <c r="F376" s="148"/>
      <c r="G376" s="150">
        <f t="shared" si="18"/>
        <v>0.28468899521531099</v>
      </c>
      <c r="H376" s="128"/>
      <c r="I376" s="128"/>
      <c r="J376" s="151"/>
      <c r="K376" s="129"/>
      <c r="L376" s="129"/>
      <c r="M376" s="129"/>
    </row>
    <row r="377" spans="1:13" s="122" customFormat="1" x14ac:dyDescent="0.25">
      <c r="A377" s="122" t="s">
        <v>919</v>
      </c>
      <c r="B377" s="121" t="s">
        <v>143</v>
      </c>
      <c r="C377" s="121" t="s">
        <v>827</v>
      </c>
      <c r="D377" s="126" t="s">
        <v>346</v>
      </c>
      <c r="E377" s="147">
        <f>SUM(E373:E376)</f>
        <v>418</v>
      </c>
      <c r="F377" s="147">
        <f>SUM(F373:F376)</f>
        <v>0</v>
      </c>
      <c r="G377" s="127">
        <f>SUM(G373:G376)</f>
        <v>1</v>
      </c>
      <c r="H377" s="127">
        <f>SUM(H373:H376)</f>
        <v>0</v>
      </c>
      <c r="I377" s="128"/>
      <c r="J377" s="151"/>
      <c r="K377" s="129"/>
      <c r="L377" s="129"/>
      <c r="M377" s="129"/>
    </row>
    <row r="378" spans="1:13" s="122" customFormat="1" x14ac:dyDescent="0.25">
      <c r="A378" s="122" t="s">
        <v>919</v>
      </c>
      <c r="B378" s="122" t="s">
        <v>143</v>
      </c>
      <c r="C378" s="122" t="s">
        <v>828</v>
      </c>
      <c r="D378" s="123" t="s">
        <v>836</v>
      </c>
      <c r="E378" s="146">
        <v>69</v>
      </c>
      <c r="F378" s="146"/>
      <c r="G378" s="150">
        <f>E378/E$382</f>
        <v>0.12477396021699819</v>
      </c>
      <c r="H378" s="124"/>
      <c r="I378" s="128" t="s">
        <v>963</v>
      </c>
      <c r="J378" s="151" t="s">
        <v>750</v>
      </c>
      <c r="K378" s="129" t="s">
        <v>989</v>
      </c>
      <c r="L378" s="129"/>
      <c r="M378" s="129"/>
    </row>
    <row r="379" spans="1:13" s="122" customFormat="1" x14ac:dyDescent="0.25">
      <c r="A379" s="122" t="s">
        <v>919</v>
      </c>
      <c r="B379" s="122" t="s">
        <v>143</v>
      </c>
      <c r="C379" s="122" t="s">
        <v>828</v>
      </c>
      <c r="D379" s="128" t="s">
        <v>992</v>
      </c>
      <c r="E379" s="148">
        <v>403</v>
      </c>
      <c r="F379" s="148"/>
      <c r="G379" s="150">
        <f t="shared" ref="G379:G381" si="19">E379/E$382</f>
        <v>0.72875226039783003</v>
      </c>
      <c r="H379" s="128"/>
      <c r="I379" s="128"/>
      <c r="J379" s="151"/>
      <c r="K379" s="129"/>
      <c r="L379" s="129"/>
      <c r="M379" s="129"/>
    </row>
    <row r="380" spans="1:13" s="122" customFormat="1" x14ac:dyDescent="0.25">
      <c r="A380" s="122" t="s">
        <v>919</v>
      </c>
      <c r="B380" s="122" t="s">
        <v>143</v>
      </c>
      <c r="C380" s="122" t="s">
        <v>828</v>
      </c>
      <c r="D380" s="128" t="s">
        <v>991</v>
      </c>
      <c r="E380" s="148">
        <v>21</v>
      </c>
      <c r="F380" s="148"/>
      <c r="G380" s="150">
        <f t="shared" si="19"/>
        <v>3.7974683544303799E-2</v>
      </c>
      <c r="H380" s="128"/>
      <c r="I380" s="128"/>
      <c r="J380" s="151"/>
      <c r="K380" s="129"/>
      <c r="L380" s="129"/>
      <c r="M380" s="129"/>
    </row>
    <row r="381" spans="1:13" s="122" customFormat="1" x14ac:dyDescent="0.25">
      <c r="A381" s="122" t="s">
        <v>919</v>
      </c>
      <c r="B381" s="122" t="s">
        <v>143</v>
      </c>
      <c r="C381" s="122" t="s">
        <v>828</v>
      </c>
      <c r="D381" s="128" t="s">
        <v>404</v>
      </c>
      <c r="E381" s="148">
        <v>60</v>
      </c>
      <c r="F381" s="148"/>
      <c r="G381" s="150">
        <f t="shared" si="19"/>
        <v>0.10849909584086799</v>
      </c>
      <c r="H381" s="128"/>
      <c r="I381" s="128"/>
      <c r="J381" s="151"/>
      <c r="K381" s="129"/>
      <c r="L381" s="129"/>
      <c r="M381" s="129"/>
    </row>
    <row r="382" spans="1:13" s="122" customFormat="1" x14ac:dyDescent="0.25">
      <c r="A382" s="122" t="s">
        <v>919</v>
      </c>
      <c r="B382" s="121" t="s">
        <v>143</v>
      </c>
      <c r="C382" s="121" t="s">
        <v>828</v>
      </c>
      <c r="D382" s="126" t="s">
        <v>346</v>
      </c>
      <c r="E382" s="147">
        <f>SUM(E378:E381)</f>
        <v>553</v>
      </c>
      <c r="F382" s="147">
        <f>SUM(F378:F381)</f>
        <v>0</v>
      </c>
      <c r="G382" s="127">
        <f>SUM(G378:G381)</f>
        <v>1</v>
      </c>
      <c r="H382" s="127">
        <f>SUM(H378:H381)</f>
        <v>0</v>
      </c>
      <c r="I382" s="128"/>
      <c r="J382" s="125"/>
      <c r="K382" s="129"/>
      <c r="L382" s="129"/>
      <c r="M382" s="129"/>
    </row>
    <row r="383" spans="1:13" s="122" customFormat="1" x14ac:dyDescent="0.25">
      <c r="A383" s="122" t="s">
        <v>919</v>
      </c>
      <c r="B383" s="122" t="s">
        <v>143</v>
      </c>
      <c r="C383" s="122" t="s">
        <v>829</v>
      </c>
      <c r="D383" s="128" t="s">
        <v>836</v>
      </c>
      <c r="E383" s="148">
        <v>104</v>
      </c>
      <c r="F383" s="148"/>
      <c r="G383" s="150">
        <f>E383/E$387</f>
        <v>0.13903743315508021</v>
      </c>
      <c r="H383" s="128"/>
      <c r="I383" s="128" t="s">
        <v>963</v>
      </c>
      <c r="J383" s="151" t="s">
        <v>750</v>
      </c>
      <c r="K383" s="129" t="s">
        <v>989</v>
      </c>
      <c r="L383" s="129"/>
      <c r="M383" s="129"/>
    </row>
    <row r="384" spans="1:13" s="122" customFormat="1" x14ac:dyDescent="0.25">
      <c r="A384" s="122" t="s">
        <v>919</v>
      </c>
      <c r="B384" s="122" t="s">
        <v>143</v>
      </c>
      <c r="C384" s="122" t="s">
        <v>829</v>
      </c>
      <c r="D384" s="128" t="s">
        <v>992</v>
      </c>
      <c r="E384" s="148">
        <v>563</v>
      </c>
      <c r="F384" s="148"/>
      <c r="G384" s="150">
        <f t="shared" ref="G384:G386" si="20">E384/E$387</f>
        <v>0.75267379679144386</v>
      </c>
      <c r="H384" s="128"/>
      <c r="I384" s="128"/>
      <c r="J384" s="125"/>
      <c r="K384" s="129"/>
      <c r="L384" s="129"/>
      <c r="M384" s="129"/>
    </row>
    <row r="385" spans="1:13" s="122" customFormat="1" x14ac:dyDescent="0.25">
      <c r="A385" s="122" t="s">
        <v>919</v>
      </c>
      <c r="B385" s="122" t="s">
        <v>143</v>
      </c>
      <c r="C385" s="122" t="s">
        <v>829</v>
      </c>
      <c r="D385" s="128" t="s">
        <v>991</v>
      </c>
      <c r="E385" s="148">
        <v>21</v>
      </c>
      <c r="F385" s="148"/>
      <c r="G385" s="150">
        <f t="shared" si="20"/>
        <v>2.8074866310160429E-2</v>
      </c>
      <c r="H385" s="128"/>
      <c r="I385" s="128"/>
      <c r="J385" s="125"/>
      <c r="K385" s="129"/>
      <c r="L385" s="129"/>
      <c r="M385" s="129"/>
    </row>
    <row r="386" spans="1:13" s="122" customFormat="1" x14ac:dyDescent="0.25">
      <c r="A386" s="122" t="s">
        <v>919</v>
      </c>
      <c r="B386" s="122" t="s">
        <v>143</v>
      </c>
      <c r="C386" s="122" t="s">
        <v>829</v>
      </c>
      <c r="D386" s="128" t="s">
        <v>404</v>
      </c>
      <c r="E386" s="148">
        <v>60</v>
      </c>
      <c r="F386" s="148"/>
      <c r="G386" s="150">
        <f t="shared" si="20"/>
        <v>8.0213903743315509E-2</v>
      </c>
      <c r="H386" s="128"/>
      <c r="I386" s="128"/>
      <c r="J386" s="125"/>
      <c r="K386" s="129"/>
      <c r="L386" s="129"/>
      <c r="M386" s="129"/>
    </row>
    <row r="387" spans="1:13" s="122" customFormat="1" x14ac:dyDescent="0.25">
      <c r="A387" s="122" t="s">
        <v>919</v>
      </c>
      <c r="B387" s="121" t="s">
        <v>143</v>
      </c>
      <c r="C387" s="121" t="s">
        <v>829</v>
      </c>
      <c r="D387" s="126" t="s">
        <v>346</v>
      </c>
      <c r="E387" s="147">
        <f>SUM(E383:E386)</f>
        <v>748</v>
      </c>
      <c r="F387" s="147">
        <f>SUM(F383:F386)</f>
        <v>0</v>
      </c>
      <c r="G387" s="127">
        <f>SUM(G383:G386)</f>
        <v>1</v>
      </c>
      <c r="H387" s="127">
        <f>SUM(H383:H386)</f>
        <v>0</v>
      </c>
      <c r="I387" s="128"/>
      <c r="J387" s="125"/>
      <c r="K387" s="129"/>
      <c r="L387" s="129"/>
      <c r="M387" s="129"/>
    </row>
  </sheetData>
  <hyperlinks>
    <hyperlink ref="J44" r:id="rId1"/>
    <hyperlink ref="J197" r:id="rId2"/>
    <hyperlink ref="J188" r:id="rId3"/>
    <hyperlink ref="J249" r:id="rId4"/>
    <hyperlink ref="J232" r:id="rId5"/>
    <hyperlink ref="J2" r:id="rId6"/>
    <hyperlink ref="J8" r:id="rId7"/>
    <hyperlink ref="J87" r:id="rId8"/>
    <hyperlink ref="J225" r:id="rId9"/>
    <hyperlink ref="J226" r:id="rId10"/>
    <hyperlink ref="J227" r:id="rId11"/>
    <hyperlink ref="J135" r:id="rId12"/>
    <hyperlink ref="J56" r:id="rId13"/>
    <hyperlink ref="J171" r:id="rId14"/>
    <hyperlink ref="J152" r:id="rId15"/>
    <hyperlink ref="J67" r:id="rId16"/>
    <hyperlink ref="J213" r:id="rId17"/>
    <hyperlink ref="J111" r:id="rId18"/>
    <hyperlink ref="J120" r:id="rId19"/>
    <hyperlink ref="J260" r:id="rId20"/>
    <hyperlink ref="J273" r:id="rId21"/>
    <hyperlink ref="J281" r:id="rId22"/>
    <hyperlink ref="J310" r:id="rId23"/>
    <hyperlink ref="J287" r:id="rId24"/>
    <hyperlink ref="J295" r:id="rId25"/>
    <hyperlink ref="J301" r:id="rId26"/>
    <hyperlink ref="J327" r:id="rId27"/>
    <hyperlink ref="J316" r:id="rId28"/>
    <hyperlink ref="J338" r:id="rId29"/>
    <hyperlink ref="J343" r:id="rId30"/>
    <hyperlink ref="J349" r:id="rId31"/>
    <hyperlink ref="J354" r:id="rId32"/>
    <hyperlink ref="J373" r:id="rId33"/>
    <hyperlink ref="J378" r:id="rId34"/>
    <hyperlink ref="J383" r:id="rId35"/>
    <hyperlink ref="J360" r:id="rId36"/>
    <hyperlink ref="J367" r:id="rId37"/>
  </hyperlinks>
  <pageMargins left="0.7" right="0.7" top="0.78740157499999996" bottom="0.78740157499999996" header="0.3" footer="0.3"/>
  <pageSetup paperSize="9" orientation="portrait" r:id="rId38"/>
  <legacyDrawing r:id="rId39"/>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51"/>
  <sheetViews>
    <sheetView zoomScale="75" zoomScaleNormal="75" workbookViewId="0">
      <pane xSplit="5" ySplit="1" topLeftCell="F2" activePane="bottomRight" state="frozen"/>
      <selection pane="topRight" activeCell="F1" sqref="F1"/>
      <selection pane="bottomLeft" activeCell="A2" sqref="A2"/>
      <selection pane="bottomRight" activeCell="F2" sqref="F2"/>
    </sheetView>
  </sheetViews>
  <sheetFormatPr defaultColWidth="9" defaultRowHeight="15" x14ac:dyDescent="0.25"/>
  <cols>
    <col min="1" max="2" width="44.375" style="1" customWidth="1"/>
    <col min="3" max="3" width="44.375" style="2" customWidth="1"/>
    <col min="4" max="5" width="44.375" style="15" customWidth="1"/>
    <col min="6" max="6" width="9" style="15" customWidth="1"/>
    <col min="7" max="7" width="44.375" style="15" customWidth="1"/>
    <col min="8" max="16384" width="9" style="1"/>
  </cols>
  <sheetData>
    <row r="1" spans="1:7" x14ac:dyDescent="0.25">
      <c r="A1" s="18" t="s">
        <v>368</v>
      </c>
      <c r="B1" s="18" t="s">
        <v>0</v>
      </c>
      <c r="C1" s="18" t="s">
        <v>762</v>
      </c>
      <c r="D1" s="19" t="s">
        <v>366</v>
      </c>
      <c r="E1" s="58" t="s">
        <v>995</v>
      </c>
      <c r="F1" s="19" t="s">
        <v>469</v>
      </c>
      <c r="G1" s="3" t="s">
        <v>347</v>
      </c>
    </row>
    <row r="2" spans="1:7" s="11" customFormat="1" ht="14.45" customHeight="1" x14ac:dyDescent="0.25">
      <c r="A2" s="11" t="s">
        <v>921</v>
      </c>
      <c r="B2" s="11" t="s">
        <v>2</v>
      </c>
      <c r="C2" s="49" t="s">
        <v>428</v>
      </c>
      <c r="D2" s="12" t="s">
        <v>349</v>
      </c>
      <c r="E2" s="7" t="s">
        <v>223</v>
      </c>
      <c r="F2" s="33">
        <f>capex_sources!G2</f>
        <v>0.11</v>
      </c>
      <c r="G2" s="7"/>
    </row>
    <row r="3" spans="1:7" s="11" customFormat="1" ht="14.45" customHeight="1" x14ac:dyDescent="0.25">
      <c r="A3" s="11" t="s">
        <v>921</v>
      </c>
      <c r="B3" s="11" t="s">
        <v>2</v>
      </c>
      <c r="C3" s="49" t="s">
        <v>428</v>
      </c>
      <c r="D3" s="12" t="s">
        <v>350</v>
      </c>
      <c r="E3" s="5" t="s">
        <v>193</v>
      </c>
      <c r="F3" s="33">
        <f>capex_sources!G3</f>
        <v>0.4</v>
      </c>
      <c r="G3" s="5"/>
    </row>
    <row r="4" spans="1:7" s="11" customFormat="1" ht="14.45" customHeight="1" x14ac:dyDescent="0.25">
      <c r="A4" s="11" t="s">
        <v>921</v>
      </c>
      <c r="B4" s="11" t="s">
        <v>2</v>
      </c>
      <c r="C4" s="49" t="s">
        <v>428</v>
      </c>
      <c r="D4" s="12" t="s">
        <v>351</v>
      </c>
      <c r="E4" s="5" t="s">
        <v>197</v>
      </c>
      <c r="F4" s="33">
        <f>capex_sources!G4</f>
        <v>0.06</v>
      </c>
      <c r="G4" s="5"/>
    </row>
    <row r="5" spans="1:7" s="11" customFormat="1" ht="14.45" customHeight="1" x14ac:dyDescent="0.25">
      <c r="A5" s="11" t="s">
        <v>921</v>
      </c>
      <c r="B5" s="11" t="s">
        <v>2</v>
      </c>
      <c r="C5" s="49" t="s">
        <v>428</v>
      </c>
      <c r="D5" s="12" t="s">
        <v>352</v>
      </c>
      <c r="E5" s="5" t="s">
        <v>253</v>
      </c>
      <c r="F5" s="33">
        <f>capex_sources!G5/4</f>
        <v>6.5000000000000002E-2</v>
      </c>
      <c r="G5" s="12"/>
    </row>
    <row r="6" spans="1:7" s="11" customFormat="1" ht="14.45" customHeight="1" x14ac:dyDescent="0.25">
      <c r="A6" s="11" t="s">
        <v>921</v>
      </c>
      <c r="B6" s="11" t="s">
        <v>2</v>
      </c>
      <c r="C6" s="49" t="s">
        <v>428</v>
      </c>
      <c r="D6" s="12" t="s">
        <v>352</v>
      </c>
      <c r="E6" s="5" t="s">
        <v>257</v>
      </c>
      <c r="F6" s="33">
        <f>capex_sources!G5/4</f>
        <v>6.5000000000000002E-2</v>
      </c>
      <c r="G6" s="12"/>
    </row>
    <row r="7" spans="1:7" s="11" customFormat="1" ht="14.45" customHeight="1" x14ac:dyDescent="0.25">
      <c r="A7" s="11" t="s">
        <v>921</v>
      </c>
      <c r="B7" s="11" t="s">
        <v>2</v>
      </c>
      <c r="C7" s="49" t="s">
        <v>428</v>
      </c>
      <c r="D7" s="12" t="s">
        <v>352</v>
      </c>
      <c r="E7" s="5" t="s">
        <v>263</v>
      </c>
      <c r="F7" s="33">
        <f>capex_sources!G5/4</f>
        <v>6.5000000000000002E-2</v>
      </c>
      <c r="G7" s="12"/>
    </row>
    <row r="8" spans="1:7" s="11" customFormat="1" ht="14.45" customHeight="1" x14ac:dyDescent="0.25">
      <c r="A8" s="11" t="s">
        <v>921</v>
      </c>
      <c r="B8" s="11" t="s">
        <v>2</v>
      </c>
      <c r="C8" s="49" t="s">
        <v>428</v>
      </c>
      <c r="D8" s="12" t="s">
        <v>352</v>
      </c>
      <c r="E8" s="5" t="s">
        <v>267</v>
      </c>
      <c r="F8" s="33">
        <f>capex_sources!G5/4</f>
        <v>6.5000000000000002E-2</v>
      </c>
      <c r="G8" s="12"/>
    </row>
    <row r="9" spans="1:7" s="11" customFormat="1" ht="14.45" customHeight="1" x14ac:dyDescent="0.25">
      <c r="A9" s="11" t="s">
        <v>921</v>
      </c>
      <c r="B9" s="11" t="s">
        <v>2</v>
      </c>
      <c r="C9" s="49" t="s">
        <v>428</v>
      </c>
      <c r="D9" s="12" t="s">
        <v>345</v>
      </c>
      <c r="E9" s="7" t="s">
        <v>223</v>
      </c>
      <c r="F9" s="33">
        <f>capex_sources!G6/4</f>
        <v>4.2500000000000003E-2</v>
      </c>
      <c r="G9" s="7"/>
    </row>
    <row r="10" spans="1:7" s="11" customFormat="1" ht="14.45" customHeight="1" x14ac:dyDescent="0.25">
      <c r="A10" s="11" t="s">
        <v>921</v>
      </c>
      <c r="B10" s="11" t="s">
        <v>2</v>
      </c>
      <c r="C10" s="49" t="s">
        <v>428</v>
      </c>
      <c r="D10" s="12" t="s">
        <v>345</v>
      </c>
      <c r="E10" s="5" t="s">
        <v>255</v>
      </c>
      <c r="F10" s="33">
        <f>capex_sources!G6/4</f>
        <v>4.2500000000000003E-2</v>
      </c>
      <c r="G10" s="5"/>
    </row>
    <row r="11" spans="1:7" s="11" customFormat="1" ht="14.45" customHeight="1" x14ac:dyDescent="0.25">
      <c r="A11" s="11" t="s">
        <v>921</v>
      </c>
      <c r="B11" s="11" t="s">
        <v>2</v>
      </c>
      <c r="C11" s="49" t="s">
        <v>428</v>
      </c>
      <c r="D11" s="12" t="s">
        <v>345</v>
      </c>
      <c r="E11" s="5" t="s">
        <v>259</v>
      </c>
      <c r="F11" s="33">
        <f>capex_sources!G6/4</f>
        <v>4.2500000000000003E-2</v>
      </c>
      <c r="G11" s="5"/>
    </row>
    <row r="12" spans="1:7" s="11" customFormat="1" ht="14.45" customHeight="1" x14ac:dyDescent="0.25">
      <c r="A12" s="11" t="s">
        <v>921</v>
      </c>
      <c r="B12" s="11" t="s">
        <v>2</v>
      </c>
      <c r="C12" s="49" t="s">
        <v>428</v>
      </c>
      <c r="D12" s="12" t="s">
        <v>345</v>
      </c>
      <c r="E12" s="5" t="s">
        <v>263</v>
      </c>
      <c r="F12" s="33">
        <f>capex_sources!G6/4</f>
        <v>4.2500000000000003E-2</v>
      </c>
      <c r="G12" s="5"/>
    </row>
    <row r="13" spans="1:7" s="11" customFormat="1" ht="14.45" customHeight="1" x14ac:dyDescent="0.2">
      <c r="A13" s="11" t="s">
        <v>921</v>
      </c>
      <c r="B13" s="17" t="s">
        <v>2</v>
      </c>
      <c r="C13" s="68" t="s">
        <v>428</v>
      </c>
      <c r="D13" s="31" t="s">
        <v>346</v>
      </c>
      <c r="E13" s="31"/>
      <c r="F13" s="34">
        <f>SUM(F2:F12)</f>
        <v>0.99999999999999978</v>
      </c>
      <c r="G13" s="12"/>
    </row>
    <row r="14" spans="1:7" s="11" customFormat="1" ht="14.45" customHeight="1" x14ac:dyDescent="0.25">
      <c r="A14" s="11" t="s">
        <v>921</v>
      </c>
      <c r="B14" s="132" t="s">
        <v>4</v>
      </c>
      <c r="C14" s="20" t="s">
        <v>435</v>
      </c>
      <c r="D14" s="12" t="s">
        <v>349</v>
      </c>
      <c r="E14" s="7" t="s">
        <v>223</v>
      </c>
      <c r="F14" s="33">
        <f>capex_sources!G20</f>
        <v>0.04</v>
      </c>
      <c r="G14" s="12"/>
    </row>
    <row r="15" spans="1:7" s="11" customFormat="1" ht="14.45" customHeight="1" x14ac:dyDescent="0.25">
      <c r="A15" s="11" t="s">
        <v>921</v>
      </c>
      <c r="B15" s="132" t="s">
        <v>4</v>
      </c>
      <c r="C15" s="20" t="s">
        <v>435</v>
      </c>
      <c r="D15" s="12" t="s">
        <v>350</v>
      </c>
      <c r="E15" s="5" t="s">
        <v>193</v>
      </c>
      <c r="F15" s="33">
        <f>capex_sources!G21</f>
        <v>0.46</v>
      </c>
      <c r="G15" s="12"/>
    </row>
    <row r="16" spans="1:7" s="11" customFormat="1" ht="14.45" customHeight="1" x14ac:dyDescent="0.25">
      <c r="A16" s="11" t="s">
        <v>921</v>
      </c>
      <c r="B16" s="132" t="s">
        <v>4</v>
      </c>
      <c r="C16" s="20" t="s">
        <v>435</v>
      </c>
      <c r="D16" s="12" t="s">
        <v>351</v>
      </c>
      <c r="E16" s="5" t="s">
        <v>197</v>
      </c>
      <c r="F16" s="33">
        <f>capex_sources!G22</f>
        <v>0.06</v>
      </c>
      <c r="G16" s="12"/>
    </row>
    <row r="17" spans="1:7" s="11" customFormat="1" ht="14.45" customHeight="1" x14ac:dyDescent="0.25">
      <c r="A17" s="11" t="s">
        <v>921</v>
      </c>
      <c r="B17" s="132" t="s">
        <v>4</v>
      </c>
      <c r="C17" s="20" t="s">
        <v>435</v>
      </c>
      <c r="D17" s="12" t="s">
        <v>352</v>
      </c>
      <c r="E17" s="5" t="s">
        <v>253</v>
      </c>
      <c r="F17" s="33">
        <f>capex_sources!G23/4</f>
        <v>7.4999999999999997E-2</v>
      </c>
      <c r="G17" s="12"/>
    </row>
    <row r="18" spans="1:7" s="11" customFormat="1" ht="14.45" customHeight="1" x14ac:dyDescent="0.25">
      <c r="A18" s="11" t="s">
        <v>921</v>
      </c>
      <c r="B18" s="132" t="s">
        <v>4</v>
      </c>
      <c r="C18" s="20" t="s">
        <v>435</v>
      </c>
      <c r="D18" s="12" t="s">
        <v>352</v>
      </c>
      <c r="E18" s="5" t="s">
        <v>257</v>
      </c>
      <c r="F18" s="33">
        <f>capex_sources!G23/4</f>
        <v>7.4999999999999997E-2</v>
      </c>
      <c r="G18" s="12"/>
    </row>
    <row r="19" spans="1:7" s="11" customFormat="1" ht="14.45" customHeight="1" x14ac:dyDescent="0.25">
      <c r="A19" s="11" t="s">
        <v>921</v>
      </c>
      <c r="B19" s="132" t="s">
        <v>4</v>
      </c>
      <c r="C19" s="20" t="s">
        <v>435</v>
      </c>
      <c r="D19" s="12" t="s">
        <v>352</v>
      </c>
      <c r="E19" s="5" t="s">
        <v>263</v>
      </c>
      <c r="F19" s="33">
        <f>capex_sources!G23/4</f>
        <v>7.4999999999999997E-2</v>
      </c>
      <c r="G19" s="12"/>
    </row>
    <row r="20" spans="1:7" s="11" customFormat="1" ht="14.45" customHeight="1" x14ac:dyDescent="0.25">
      <c r="A20" s="11" t="s">
        <v>921</v>
      </c>
      <c r="B20" s="132" t="s">
        <v>4</v>
      </c>
      <c r="C20" s="20" t="s">
        <v>435</v>
      </c>
      <c r="D20" s="12" t="s">
        <v>352</v>
      </c>
      <c r="E20" s="5" t="s">
        <v>267</v>
      </c>
      <c r="F20" s="33">
        <f>capex_sources!G23/4</f>
        <v>7.4999999999999997E-2</v>
      </c>
      <c r="G20" s="12"/>
    </row>
    <row r="21" spans="1:7" s="11" customFormat="1" ht="14.45" customHeight="1" x14ac:dyDescent="0.25">
      <c r="A21" s="11" t="s">
        <v>921</v>
      </c>
      <c r="B21" s="132" t="s">
        <v>4</v>
      </c>
      <c r="C21" s="20" t="s">
        <v>435</v>
      </c>
      <c r="D21" s="12" t="s">
        <v>345</v>
      </c>
      <c r="E21" s="7" t="s">
        <v>223</v>
      </c>
      <c r="F21" s="33">
        <f>capex_sources!G24/4</f>
        <v>3.5000000000000003E-2</v>
      </c>
      <c r="G21" s="12"/>
    </row>
    <row r="22" spans="1:7" s="11" customFormat="1" ht="14.45" customHeight="1" x14ac:dyDescent="0.25">
      <c r="A22" s="11" t="s">
        <v>921</v>
      </c>
      <c r="B22" s="132" t="s">
        <v>4</v>
      </c>
      <c r="C22" s="20" t="s">
        <v>435</v>
      </c>
      <c r="D22" s="12" t="s">
        <v>345</v>
      </c>
      <c r="E22" s="5" t="s">
        <v>255</v>
      </c>
      <c r="F22" s="33">
        <f>capex_sources!G24/4</f>
        <v>3.5000000000000003E-2</v>
      </c>
      <c r="G22" s="12"/>
    </row>
    <row r="23" spans="1:7" s="11" customFormat="1" ht="14.45" customHeight="1" x14ac:dyDescent="0.25">
      <c r="A23" s="11" t="s">
        <v>921</v>
      </c>
      <c r="B23" s="132" t="s">
        <v>4</v>
      </c>
      <c r="C23" s="20" t="s">
        <v>435</v>
      </c>
      <c r="D23" s="12" t="s">
        <v>345</v>
      </c>
      <c r="E23" s="5" t="s">
        <v>259</v>
      </c>
      <c r="F23" s="33">
        <f>capex_sources!G24/4</f>
        <v>3.5000000000000003E-2</v>
      </c>
      <c r="G23" s="12"/>
    </row>
    <row r="24" spans="1:7" s="11" customFormat="1" ht="14.45" customHeight="1" x14ac:dyDescent="0.25">
      <c r="A24" s="11" t="s">
        <v>921</v>
      </c>
      <c r="B24" s="132" t="s">
        <v>4</v>
      </c>
      <c r="C24" s="20" t="s">
        <v>435</v>
      </c>
      <c r="D24" s="12" t="s">
        <v>345</v>
      </c>
      <c r="E24" s="5" t="s">
        <v>263</v>
      </c>
      <c r="F24" s="33">
        <f>capex_sources!G24/4</f>
        <v>3.5000000000000003E-2</v>
      </c>
      <c r="G24" s="12"/>
    </row>
    <row r="25" spans="1:7" s="11" customFormat="1" ht="14.45" customHeight="1" x14ac:dyDescent="0.2">
      <c r="A25" s="11" t="s">
        <v>921</v>
      </c>
      <c r="B25" s="68" t="s">
        <v>4</v>
      </c>
      <c r="C25" s="29" t="s">
        <v>435</v>
      </c>
      <c r="D25" s="31" t="s">
        <v>346</v>
      </c>
      <c r="E25" s="31"/>
      <c r="F25" s="34">
        <f>SUM(F14:F24)</f>
        <v>1</v>
      </c>
      <c r="G25" s="12"/>
    </row>
    <row r="26" spans="1:7" s="11" customFormat="1" ht="14.45" customHeight="1" x14ac:dyDescent="0.25">
      <c r="A26" s="11" t="s">
        <v>921</v>
      </c>
      <c r="B26" s="11" t="s">
        <v>6</v>
      </c>
      <c r="C26" s="20" t="s">
        <v>438</v>
      </c>
      <c r="D26" s="12" t="s">
        <v>349</v>
      </c>
      <c r="E26" s="7" t="s">
        <v>223</v>
      </c>
      <c r="F26" s="33">
        <f>capex_sources!G32</f>
        <v>0.15</v>
      </c>
      <c r="G26" s="12"/>
    </row>
    <row r="27" spans="1:7" s="11" customFormat="1" ht="14.45" customHeight="1" x14ac:dyDescent="0.25">
      <c r="A27" s="11" t="s">
        <v>921</v>
      </c>
      <c r="B27" s="11" t="s">
        <v>6</v>
      </c>
      <c r="C27" s="20" t="s">
        <v>438</v>
      </c>
      <c r="D27" s="12" t="s">
        <v>350</v>
      </c>
      <c r="E27" s="5" t="s">
        <v>193</v>
      </c>
      <c r="F27" s="33">
        <f>capex_sources!G33</f>
        <v>0.28000000000000003</v>
      </c>
      <c r="G27" s="12"/>
    </row>
    <row r="28" spans="1:7" s="11" customFormat="1" ht="14.45" customHeight="1" x14ac:dyDescent="0.25">
      <c r="A28" s="11" t="s">
        <v>921</v>
      </c>
      <c r="B28" s="11" t="s">
        <v>6</v>
      </c>
      <c r="C28" s="20" t="s">
        <v>438</v>
      </c>
      <c r="D28" s="12" t="s">
        <v>351</v>
      </c>
      <c r="E28" s="5" t="s">
        <v>197</v>
      </c>
      <c r="F28" s="33">
        <f>capex_sources!G34</f>
        <v>0.05</v>
      </c>
      <c r="G28" s="12"/>
    </row>
    <row r="29" spans="1:7" s="11" customFormat="1" ht="14.45" customHeight="1" x14ac:dyDescent="0.25">
      <c r="A29" s="11" t="s">
        <v>921</v>
      </c>
      <c r="B29" s="11" t="s">
        <v>6</v>
      </c>
      <c r="C29" s="20" t="s">
        <v>438</v>
      </c>
      <c r="D29" s="12" t="s">
        <v>352</v>
      </c>
      <c r="E29" s="5" t="s">
        <v>253</v>
      </c>
      <c r="F29" s="33">
        <f>capex_sources!G35/4</f>
        <v>8.5000000000000006E-2</v>
      </c>
      <c r="G29" s="12"/>
    </row>
    <row r="30" spans="1:7" s="11" customFormat="1" ht="14.45" customHeight="1" x14ac:dyDescent="0.25">
      <c r="A30" s="11" t="s">
        <v>921</v>
      </c>
      <c r="B30" s="11" t="s">
        <v>6</v>
      </c>
      <c r="C30" s="20" t="s">
        <v>438</v>
      </c>
      <c r="D30" s="12" t="s">
        <v>352</v>
      </c>
      <c r="E30" s="5" t="s">
        <v>257</v>
      </c>
      <c r="F30" s="33">
        <f>capex_sources!G35/4</f>
        <v>8.5000000000000006E-2</v>
      </c>
      <c r="G30" s="12"/>
    </row>
    <row r="31" spans="1:7" s="11" customFormat="1" ht="14.45" customHeight="1" x14ac:dyDescent="0.25">
      <c r="A31" s="11" t="s">
        <v>921</v>
      </c>
      <c r="B31" s="11" t="s">
        <v>6</v>
      </c>
      <c r="C31" s="20" t="s">
        <v>438</v>
      </c>
      <c r="D31" s="12" t="s">
        <v>352</v>
      </c>
      <c r="E31" s="5" t="s">
        <v>263</v>
      </c>
      <c r="F31" s="33">
        <f>capex_sources!G35/4</f>
        <v>8.5000000000000006E-2</v>
      </c>
      <c r="G31" s="12"/>
    </row>
    <row r="32" spans="1:7" s="11" customFormat="1" ht="14.45" customHeight="1" x14ac:dyDescent="0.25">
      <c r="A32" s="11" t="s">
        <v>921</v>
      </c>
      <c r="B32" s="11" t="s">
        <v>6</v>
      </c>
      <c r="C32" s="20" t="s">
        <v>438</v>
      </c>
      <c r="D32" s="12" t="s">
        <v>352</v>
      </c>
      <c r="E32" s="5" t="s">
        <v>267</v>
      </c>
      <c r="F32" s="33">
        <f>capex_sources!G35/4</f>
        <v>8.5000000000000006E-2</v>
      </c>
      <c r="G32" s="12"/>
    </row>
    <row r="33" spans="1:7" s="11" customFormat="1" ht="14.45" customHeight="1" x14ac:dyDescent="0.25">
      <c r="A33" s="11" t="s">
        <v>921</v>
      </c>
      <c r="B33" s="11" t="s">
        <v>6</v>
      </c>
      <c r="C33" s="20" t="s">
        <v>438</v>
      </c>
      <c r="D33" s="12" t="s">
        <v>345</v>
      </c>
      <c r="E33" s="7" t="s">
        <v>223</v>
      </c>
      <c r="F33" s="33">
        <f>capex_sources!G36/4</f>
        <v>4.4999999999999998E-2</v>
      </c>
      <c r="G33" s="12"/>
    </row>
    <row r="34" spans="1:7" s="11" customFormat="1" ht="14.45" customHeight="1" x14ac:dyDescent="0.25">
      <c r="A34" s="11" t="s">
        <v>921</v>
      </c>
      <c r="B34" s="11" t="s">
        <v>6</v>
      </c>
      <c r="C34" s="20" t="s">
        <v>438</v>
      </c>
      <c r="D34" s="12" t="s">
        <v>345</v>
      </c>
      <c r="E34" s="5" t="s">
        <v>255</v>
      </c>
      <c r="F34" s="33">
        <f>capex_sources!G36/4</f>
        <v>4.4999999999999998E-2</v>
      </c>
      <c r="G34" s="12"/>
    </row>
    <row r="35" spans="1:7" s="11" customFormat="1" ht="14.45" customHeight="1" x14ac:dyDescent="0.25">
      <c r="A35" s="11" t="s">
        <v>921</v>
      </c>
      <c r="B35" s="11" t="s">
        <v>6</v>
      </c>
      <c r="C35" s="20" t="s">
        <v>438</v>
      </c>
      <c r="D35" s="12" t="s">
        <v>345</v>
      </c>
      <c r="E35" s="5" t="s">
        <v>259</v>
      </c>
      <c r="F35" s="33">
        <f>capex_sources!G36/4</f>
        <v>4.4999999999999998E-2</v>
      </c>
      <c r="G35" s="12"/>
    </row>
    <row r="36" spans="1:7" s="11" customFormat="1" ht="14.45" customHeight="1" x14ac:dyDescent="0.25">
      <c r="A36" s="11" t="s">
        <v>921</v>
      </c>
      <c r="B36" s="11" t="s">
        <v>6</v>
      </c>
      <c r="C36" s="20" t="s">
        <v>438</v>
      </c>
      <c r="D36" s="12" t="s">
        <v>345</v>
      </c>
      <c r="E36" s="5" t="s">
        <v>263</v>
      </c>
      <c r="F36" s="33">
        <f>capex_sources!G36/4</f>
        <v>4.4999999999999998E-2</v>
      </c>
      <c r="G36" s="12"/>
    </row>
    <row r="37" spans="1:7" s="11" customFormat="1" ht="14.45" customHeight="1" x14ac:dyDescent="0.2">
      <c r="A37" s="11" t="s">
        <v>921</v>
      </c>
      <c r="B37" s="17" t="s">
        <v>6</v>
      </c>
      <c r="C37" s="29" t="s">
        <v>438</v>
      </c>
      <c r="D37" s="31" t="s">
        <v>346</v>
      </c>
      <c r="E37" s="31"/>
      <c r="F37" s="34">
        <f>SUM(F26:F36)</f>
        <v>1</v>
      </c>
      <c r="G37" s="12"/>
    </row>
    <row r="38" spans="1:7" ht="14.45" customHeight="1" x14ac:dyDescent="0.25">
      <c r="A38" s="11" t="s">
        <v>921</v>
      </c>
      <c r="B38" s="2" t="s">
        <v>8</v>
      </c>
      <c r="D38" s="12" t="s">
        <v>349</v>
      </c>
      <c r="E38" s="7" t="s">
        <v>223</v>
      </c>
      <c r="F38" s="33">
        <f>capex_sources!G38</f>
        <v>0.3</v>
      </c>
      <c r="G38" s="12"/>
    </row>
    <row r="39" spans="1:7" ht="14.45" customHeight="1" x14ac:dyDescent="0.25">
      <c r="A39" s="11" t="s">
        <v>921</v>
      </c>
      <c r="B39" s="2" t="s">
        <v>8</v>
      </c>
      <c r="D39" s="12" t="s">
        <v>350</v>
      </c>
      <c r="E39" s="5" t="s">
        <v>193</v>
      </c>
      <c r="F39" s="33">
        <f>capex_sources!G39</f>
        <v>0.33</v>
      </c>
      <c r="G39" s="12"/>
    </row>
    <row r="40" spans="1:7" ht="14.45" customHeight="1" x14ac:dyDescent="0.25">
      <c r="A40" s="11" t="s">
        <v>921</v>
      </c>
      <c r="B40" s="2" t="s">
        <v>8</v>
      </c>
      <c r="D40" s="12" t="s">
        <v>351</v>
      </c>
      <c r="E40" s="5" t="s">
        <v>197</v>
      </c>
      <c r="F40" s="33">
        <f>capex_sources!G40</f>
        <v>0.04</v>
      </c>
      <c r="G40" s="12"/>
    </row>
    <row r="41" spans="1:7" ht="14.45" customHeight="1" x14ac:dyDescent="0.25">
      <c r="A41" s="11" t="s">
        <v>921</v>
      </c>
      <c r="B41" s="2" t="s">
        <v>8</v>
      </c>
      <c r="D41" s="12" t="s">
        <v>352</v>
      </c>
      <c r="E41" s="5" t="s">
        <v>253</v>
      </c>
      <c r="F41" s="33">
        <f>capex_sources!G41/4</f>
        <v>2.2499999999999999E-2</v>
      </c>
      <c r="G41" s="12"/>
    </row>
    <row r="42" spans="1:7" ht="14.45" customHeight="1" x14ac:dyDescent="0.25">
      <c r="A42" s="11" t="s">
        <v>921</v>
      </c>
      <c r="B42" s="2" t="s">
        <v>8</v>
      </c>
      <c r="D42" s="12" t="s">
        <v>352</v>
      </c>
      <c r="E42" s="5" t="s">
        <v>257</v>
      </c>
      <c r="F42" s="33">
        <f>capex_sources!G41/4</f>
        <v>2.2499999999999999E-2</v>
      </c>
      <c r="G42" s="12"/>
    </row>
    <row r="43" spans="1:7" ht="14.45" customHeight="1" x14ac:dyDescent="0.25">
      <c r="A43" s="11" t="s">
        <v>921</v>
      </c>
      <c r="B43" s="2" t="s">
        <v>8</v>
      </c>
      <c r="D43" s="12" t="s">
        <v>352</v>
      </c>
      <c r="E43" s="5" t="s">
        <v>263</v>
      </c>
      <c r="F43" s="33">
        <f>capex_sources!G41/4</f>
        <v>2.2499999999999999E-2</v>
      </c>
      <c r="G43" s="12"/>
    </row>
    <row r="44" spans="1:7" ht="14.45" customHeight="1" x14ac:dyDescent="0.25">
      <c r="A44" s="11" t="s">
        <v>921</v>
      </c>
      <c r="B44" s="2" t="s">
        <v>8</v>
      </c>
      <c r="D44" s="12" t="s">
        <v>352</v>
      </c>
      <c r="E44" s="5" t="s">
        <v>267</v>
      </c>
      <c r="F44" s="33">
        <f>capex_sources!G41/4</f>
        <v>2.2499999999999999E-2</v>
      </c>
      <c r="G44" s="12"/>
    </row>
    <row r="45" spans="1:7" ht="14.45" customHeight="1" x14ac:dyDescent="0.25">
      <c r="A45" s="11" t="s">
        <v>921</v>
      </c>
      <c r="B45" s="2" t="s">
        <v>8</v>
      </c>
      <c r="D45" s="12" t="s">
        <v>345</v>
      </c>
      <c r="E45" s="7" t="s">
        <v>223</v>
      </c>
      <c r="F45" s="33">
        <f>capex_sources!G42/4</f>
        <v>0.06</v>
      </c>
      <c r="G45" s="12"/>
    </row>
    <row r="46" spans="1:7" ht="14.45" customHeight="1" x14ac:dyDescent="0.25">
      <c r="A46" s="11" t="s">
        <v>921</v>
      </c>
      <c r="B46" s="2" t="s">
        <v>8</v>
      </c>
      <c r="D46" s="12" t="s">
        <v>345</v>
      </c>
      <c r="E46" s="5" t="s">
        <v>255</v>
      </c>
      <c r="F46" s="33">
        <f>capex_sources!G42/4</f>
        <v>0.06</v>
      </c>
      <c r="G46" s="12"/>
    </row>
    <row r="47" spans="1:7" ht="14.45" customHeight="1" x14ac:dyDescent="0.25">
      <c r="A47" s="11" t="s">
        <v>921</v>
      </c>
      <c r="B47" s="2" t="s">
        <v>8</v>
      </c>
      <c r="D47" s="12" t="s">
        <v>345</v>
      </c>
      <c r="E47" s="5" t="s">
        <v>259</v>
      </c>
      <c r="F47" s="33">
        <f>capex_sources!G42/4</f>
        <v>0.06</v>
      </c>
      <c r="G47" s="12"/>
    </row>
    <row r="48" spans="1:7" ht="14.45" customHeight="1" x14ac:dyDescent="0.25">
      <c r="A48" s="11" t="s">
        <v>921</v>
      </c>
      <c r="B48" s="2" t="s">
        <v>8</v>
      </c>
      <c r="D48" s="12" t="s">
        <v>345</v>
      </c>
      <c r="E48" s="5" t="s">
        <v>263</v>
      </c>
      <c r="F48" s="33">
        <f>capex_sources!G42/4</f>
        <v>0.06</v>
      </c>
      <c r="G48" s="12"/>
    </row>
    <row r="49" spans="1:7" ht="14.45" customHeight="1" x14ac:dyDescent="0.25">
      <c r="A49" s="11" t="s">
        <v>921</v>
      </c>
      <c r="B49" s="24" t="s">
        <v>8</v>
      </c>
      <c r="C49" s="24"/>
      <c r="D49" s="31" t="s">
        <v>346</v>
      </c>
      <c r="E49" s="31"/>
      <c r="F49" s="34">
        <f>SUM(F38:F48)</f>
        <v>1</v>
      </c>
      <c r="G49" s="12"/>
    </row>
    <row r="50" spans="1:7" ht="14.45" customHeight="1" x14ac:dyDescent="0.25">
      <c r="A50" s="11" t="s">
        <v>921</v>
      </c>
      <c r="B50" s="1" t="s">
        <v>342</v>
      </c>
      <c r="C50" s="2" t="s">
        <v>361</v>
      </c>
      <c r="D50" s="12" t="s">
        <v>349</v>
      </c>
      <c r="E50" s="7" t="s">
        <v>223</v>
      </c>
      <c r="F50" s="33">
        <f>capex_sources!G51</f>
        <v>0.12</v>
      </c>
      <c r="G50" s="12"/>
    </row>
    <row r="51" spans="1:7" ht="14.45" customHeight="1" x14ac:dyDescent="0.25">
      <c r="A51" s="11" t="s">
        <v>921</v>
      </c>
      <c r="B51" s="1" t="s">
        <v>342</v>
      </c>
      <c r="C51" s="2" t="s">
        <v>361</v>
      </c>
      <c r="D51" s="12" t="s">
        <v>350</v>
      </c>
      <c r="E51" s="5" t="s">
        <v>193</v>
      </c>
      <c r="F51" s="33">
        <f>capex_sources!G52</f>
        <v>0.65</v>
      </c>
      <c r="G51" s="12"/>
    </row>
    <row r="52" spans="1:7" ht="14.45" customHeight="1" x14ac:dyDescent="0.25">
      <c r="A52" s="11" t="s">
        <v>921</v>
      </c>
      <c r="B52" s="1" t="s">
        <v>342</v>
      </c>
      <c r="C52" s="2" t="s">
        <v>361</v>
      </c>
      <c r="D52" s="12" t="s">
        <v>351</v>
      </c>
      <c r="E52" s="5" t="s">
        <v>197</v>
      </c>
      <c r="F52" s="33">
        <f>capex_sources!G53</f>
        <v>0.15</v>
      </c>
      <c r="G52" s="12"/>
    </row>
    <row r="53" spans="1:7" ht="14.45" customHeight="1" x14ac:dyDescent="0.25">
      <c r="A53" s="11" t="s">
        <v>921</v>
      </c>
      <c r="B53" s="1" t="s">
        <v>342</v>
      </c>
      <c r="C53" s="2" t="s">
        <v>361</v>
      </c>
      <c r="D53" s="12" t="s">
        <v>352</v>
      </c>
      <c r="E53" s="5" t="s">
        <v>253</v>
      </c>
      <c r="F53" s="33">
        <f>capex_sources!G54/6</f>
        <v>1.3333333333333334E-2</v>
      </c>
      <c r="G53" s="12"/>
    </row>
    <row r="54" spans="1:7" ht="14.45" customHeight="1" x14ac:dyDescent="0.25">
      <c r="A54" s="11" t="s">
        <v>921</v>
      </c>
      <c r="B54" s="1" t="s">
        <v>342</v>
      </c>
      <c r="C54" s="2" t="s">
        <v>361</v>
      </c>
      <c r="D54" s="12" t="s">
        <v>352</v>
      </c>
      <c r="E54" s="5" t="s">
        <v>257</v>
      </c>
      <c r="F54" s="33">
        <f>capex_sources!G54/6</f>
        <v>1.3333333333333334E-2</v>
      </c>
      <c r="G54" s="12"/>
    </row>
    <row r="55" spans="1:7" ht="14.45" customHeight="1" x14ac:dyDescent="0.25">
      <c r="A55" s="11" t="s">
        <v>921</v>
      </c>
      <c r="B55" s="1" t="s">
        <v>342</v>
      </c>
      <c r="C55" s="2" t="s">
        <v>361</v>
      </c>
      <c r="D55" s="12" t="s">
        <v>352</v>
      </c>
      <c r="E55" s="5" t="s">
        <v>263</v>
      </c>
      <c r="F55" s="33">
        <f>capex_sources!G54/6</f>
        <v>1.3333333333333334E-2</v>
      </c>
      <c r="G55" s="12"/>
    </row>
    <row r="56" spans="1:7" ht="14.45" customHeight="1" x14ac:dyDescent="0.25">
      <c r="A56" s="11" t="s">
        <v>921</v>
      </c>
      <c r="B56" s="1" t="s">
        <v>342</v>
      </c>
      <c r="C56" s="2" t="s">
        <v>361</v>
      </c>
      <c r="D56" s="12" t="s">
        <v>352</v>
      </c>
      <c r="E56" s="5" t="s">
        <v>267</v>
      </c>
      <c r="F56" s="33">
        <f>capex_sources!G54/6</f>
        <v>1.3333333333333334E-2</v>
      </c>
      <c r="G56" s="12"/>
    </row>
    <row r="57" spans="1:7" ht="14.45" customHeight="1" x14ac:dyDescent="0.25">
      <c r="A57" s="11" t="s">
        <v>921</v>
      </c>
      <c r="B57" s="1" t="s">
        <v>342</v>
      </c>
      <c r="C57" s="2" t="s">
        <v>361</v>
      </c>
      <c r="D57" s="12" t="s">
        <v>352</v>
      </c>
      <c r="E57" s="5" t="s">
        <v>255</v>
      </c>
      <c r="F57" s="33">
        <f>capex_sources!G54/6</f>
        <v>1.3333333333333334E-2</v>
      </c>
      <c r="G57" s="12"/>
    </row>
    <row r="58" spans="1:7" ht="14.45" customHeight="1" x14ac:dyDescent="0.25">
      <c r="A58" s="11" t="s">
        <v>921</v>
      </c>
      <c r="B58" s="1" t="s">
        <v>342</v>
      </c>
      <c r="C58" s="2" t="s">
        <v>361</v>
      </c>
      <c r="D58" s="12" t="s">
        <v>352</v>
      </c>
      <c r="E58" s="5" t="s">
        <v>259</v>
      </c>
      <c r="F58" s="33">
        <f>capex_sources!G54/6</f>
        <v>1.3333333333333334E-2</v>
      </c>
      <c r="G58" s="12"/>
    </row>
    <row r="59" spans="1:7" ht="14.45" customHeight="1" x14ac:dyDescent="0.25">
      <c r="A59" s="11" t="s">
        <v>921</v>
      </c>
      <c r="B59" s="18" t="s">
        <v>342</v>
      </c>
      <c r="C59" s="24" t="s">
        <v>361</v>
      </c>
      <c r="D59" s="31" t="s">
        <v>346</v>
      </c>
      <c r="E59" s="31"/>
      <c r="F59" s="34">
        <f>SUM(F50:F58)</f>
        <v>0.99999999999999989</v>
      </c>
      <c r="G59" s="12"/>
    </row>
    <row r="60" spans="1:7" s="11" customFormat="1" ht="14.45" customHeight="1" x14ac:dyDescent="0.25">
      <c r="A60" s="11" t="s">
        <v>921</v>
      </c>
      <c r="B60" s="11" t="s">
        <v>343</v>
      </c>
      <c r="C60" s="2" t="s">
        <v>444</v>
      </c>
      <c r="D60" s="12" t="s">
        <v>349</v>
      </c>
      <c r="E60" s="7" t="s">
        <v>223</v>
      </c>
      <c r="F60" s="33">
        <f>capex_sources!G62</f>
        <v>0.18</v>
      </c>
      <c r="G60" s="12"/>
    </row>
    <row r="61" spans="1:7" s="11" customFormat="1" ht="14.45" customHeight="1" x14ac:dyDescent="0.25">
      <c r="A61" s="11" t="s">
        <v>921</v>
      </c>
      <c r="B61" s="11" t="s">
        <v>343</v>
      </c>
      <c r="C61" s="2" t="s">
        <v>444</v>
      </c>
      <c r="D61" s="12" t="s">
        <v>350</v>
      </c>
      <c r="E61" s="5" t="s">
        <v>193</v>
      </c>
      <c r="F61" s="33">
        <f>capex_sources!G63</f>
        <v>0.51</v>
      </c>
      <c r="G61" s="12"/>
    </row>
    <row r="62" spans="1:7" s="11" customFormat="1" ht="14.45" customHeight="1" x14ac:dyDescent="0.25">
      <c r="A62" s="11" t="s">
        <v>921</v>
      </c>
      <c r="B62" s="11" t="s">
        <v>343</v>
      </c>
      <c r="C62" s="2" t="s">
        <v>444</v>
      </c>
      <c r="D62" s="12" t="s">
        <v>351</v>
      </c>
      <c r="E62" s="5" t="s">
        <v>197</v>
      </c>
      <c r="F62" s="33">
        <f>capex_sources!G64</f>
        <v>0.09</v>
      </c>
      <c r="G62" s="12"/>
    </row>
    <row r="63" spans="1:7" s="11" customFormat="1" ht="14.45" customHeight="1" x14ac:dyDescent="0.25">
      <c r="A63" s="11" t="s">
        <v>921</v>
      </c>
      <c r="B63" s="11" t="s">
        <v>343</v>
      </c>
      <c r="C63" s="2" t="s">
        <v>444</v>
      </c>
      <c r="D63" s="12" t="s">
        <v>352</v>
      </c>
      <c r="E63" s="5" t="s">
        <v>253</v>
      </c>
      <c r="F63" s="33">
        <f>capex_sources!G65/5</f>
        <v>4.3999999999999997E-2</v>
      </c>
      <c r="G63" s="12"/>
    </row>
    <row r="64" spans="1:7" s="11" customFormat="1" ht="14.45" customHeight="1" x14ac:dyDescent="0.25">
      <c r="A64" s="11" t="s">
        <v>921</v>
      </c>
      <c r="B64" s="11" t="s">
        <v>343</v>
      </c>
      <c r="C64" s="2" t="s">
        <v>444</v>
      </c>
      <c r="D64" s="12" t="s">
        <v>352</v>
      </c>
      <c r="E64" s="5" t="s">
        <v>257</v>
      </c>
      <c r="F64" s="33">
        <f>capex_sources!G65/5</f>
        <v>4.3999999999999997E-2</v>
      </c>
      <c r="G64" s="12"/>
    </row>
    <row r="65" spans="1:7" s="11" customFormat="1" ht="14.45" customHeight="1" x14ac:dyDescent="0.25">
      <c r="A65" s="11" t="s">
        <v>921</v>
      </c>
      <c r="B65" s="11" t="s">
        <v>343</v>
      </c>
      <c r="C65" s="2" t="s">
        <v>444</v>
      </c>
      <c r="D65" s="12" t="s">
        <v>352</v>
      </c>
      <c r="E65" s="5" t="s">
        <v>263</v>
      </c>
      <c r="F65" s="33">
        <f>capex_sources!G65/5</f>
        <v>4.3999999999999997E-2</v>
      </c>
      <c r="G65" s="12"/>
    </row>
    <row r="66" spans="1:7" s="11" customFormat="1" ht="14.45" customHeight="1" x14ac:dyDescent="0.25">
      <c r="A66" s="11" t="s">
        <v>921</v>
      </c>
      <c r="B66" s="11" t="s">
        <v>343</v>
      </c>
      <c r="C66" s="2" t="s">
        <v>444</v>
      </c>
      <c r="D66" s="12" t="s">
        <v>352</v>
      </c>
      <c r="E66" s="5" t="s">
        <v>267</v>
      </c>
      <c r="F66" s="33">
        <f>capex_sources!G65/5</f>
        <v>4.3999999999999997E-2</v>
      </c>
      <c r="G66" s="12"/>
    </row>
    <row r="67" spans="1:7" s="11" customFormat="1" ht="14.45" customHeight="1" x14ac:dyDescent="0.25">
      <c r="A67" s="11" t="s">
        <v>921</v>
      </c>
      <c r="B67" s="11" t="s">
        <v>343</v>
      </c>
      <c r="C67" s="2" t="s">
        <v>444</v>
      </c>
      <c r="D67" s="12" t="s">
        <v>352</v>
      </c>
      <c r="E67" s="5" t="s">
        <v>255</v>
      </c>
      <c r="F67" s="33">
        <f>capex_sources!G65/5</f>
        <v>4.3999999999999997E-2</v>
      </c>
      <c r="G67" s="12"/>
    </row>
    <row r="68" spans="1:7" ht="14.45" customHeight="1" x14ac:dyDescent="0.25">
      <c r="A68" s="11" t="s">
        <v>921</v>
      </c>
      <c r="B68" s="18" t="s">
        <v>343</v>
      </c>
      <c r="C68" s="24" t="s">
        <v>444</v>
      </c>
      <c r="D68" s="31" t="s">
        <v>346</v>
      </c>
      <c r="E68" s="31"/>
      <c r="F68" s="34">
        <f>SUM(F60:F67)</f>
        <v>1</v>
      </c>
      <c r="G68" s="12"/>
    </row>
    <row r="69" spans="1:7" s="11" customFormat="1" ht="14.45" customHeight="1" x14ac:dyDescent="0.25">
      <c r="A69" s="11" t="s">
        <v>921</v>
      </c>
      <c r="B69" s="49" t="s">
        <v>10</v>
      </c>
      <c r="C69" s="20" t="s">
        <v>430</v>
      </c>
      <c r="D69" s="12" t="s">
        <v>349</v>
      </c>
      <c r="E69" s="7" t="s">
        <v>223</v>
      </c>
      <c r="F69" s="33">
        <f>capex_sources!G81</f>
        <v>0.03</v>
      </c>
      <c r="G69" s="12"/>
    </row>
    <row r="70" spans="1:7" s="11" customFormat="1" ht="14.45" customHeight="1" x14ac:dyDescent="0.25">
      <c r="A70" s="11" t="s">
        <v>921</v>
      </c>
      <c r="B70" s="49" t="s">
        <v>10</v>
      </c>
      <c r="C70" s="20" t="s">
        <v>430</v>
      </c>
      <c r="D70" s="12" t="s">
        <v>350</v>
      </c>
      <c r="E70" s="5" t="s">
        <v>193</v>
      </c>
      <c r="F70" s="33">
        <f>capex_sources!G82</f>
        <v>0.46</v>
      </c>
      <c r="G70" s="12"/>
    </row>
    <row r="71" spans="1:7" s="11" customFormat="1" ht="14.45" customHeight="1" x14ac:dyDescent="0.25">
      <c r="A71" s="11" t="s">
        <v>921</v>
      </c>
      <c r="B71" s="49" t="s">
        <v>10</v>
      </c>
      <c r="C71" s="20" t="s">
        <v>430</v>
      </c>
      <c r="D71" s="12" t="s">
        <v>351</v>
      </c>
      <c r="E71" s="5" t="s">
        <v>197</v>
      </c>
      <c r="F71" s="33">
        <f>capex_sources!G83</f>
        <v>0.09</v>
      </c>
      <c r="G71" s="12"/>
    </row>
    <row r="72" spans="1:7" s="11" customFormat="1" ht="14.45" customHeight="1" x14ac:dyDescent="0.25">
      <c r="A72" s="11" t="s">
        <v>921</v>
      </c>
      <c r="B72" s="49" t="s">
        <v>10</v>
      </c>
      <c r="C72" s="20" t="s">
        <v>430</v>
      </c>
      <c r="D72" s="12" t="s">
        <v>352</v>
      </c>
      <c r="E72" s="5" t="s">
        <v>253</v>
      </c>
      <c r="F72" s="33">
        <f>capex_sources!G84/4</f>
        <v>0.06</v>
      </c>
      <c r="G72" s="12"/>
    </row>
    <row r="73" spans="1:7" s="11" customFormat="1" ht="14.45" customHeight="1" x14ac:dyDescent="0.25">
      <c r="A73" s="11" t="s">
        <v>921</v>
      </c>
      <c r="B73" s="49" t="s">
        <v>10</v>
      </c>
      <c r="C73" s="20" t="s">
        <v>430</v>
      </c>
      <c r="D73" s="12" t="s">
        <v>352</v>
      </c>
      <c r="E73" s="5" t="s">
        <v>257</v>
      </c>
      <c r="F73" s="33">
        <f>capex_sources!G84/4</f>
        <v>0.06</v>
      </c>
      <c r="G73" s="12"/>
    </row>
    <row r="74" spans="1:7" s="11" customFormat="1" ht="14.45" customHeight="1" x14ac:dyDescent="0.25">
      <c r="A74" s="11" t="s">
        <v>921</v>
      </c>
      <c r="B74" s="49" t="s">
        <v>10</v>
      </c>
      <c r="C74" s="20" t="s">
        <v>430</v>
      </c>
      <c r="D74" s="12" t="s">
        <v>352</v>
      </c>
      <c r="E74" s="5" t="s">
        <v>263</v>
      </c>
      <c r="F74" s="33">
        <f>capex_sources!G84/4</f>
        <v>0.06</v>
      </c>
      <c r="G74" s="12"/>
    </row>
    <row r="75" spans="1:7" s="11" customFormat="1" ht="14.45" customHeight="1" x14ac:dyDescent="0.25">
      <c r="A75" s="11" t="s">
        <v>921</v>
      </c>
      <c r="B75" s="49" t="s">
        <v>10</v>
      </c>
      <c r="C75" s="20" t="s">
        <v>430</v>
      </c>
      <c r="D75" s="12" t="s">
        <v>352</v>
      </c>
      <c r="E75" s="5" t="s">
        <v>267</v>
      </c>
      <c r="F75" s="33">
        <f>capex_sources!G84/4</f>
        <v>0.06</v>
      </c>
      <c r="G75" s="12"/>
    </row>
    <row r="76" spans="1:7" s="11" customFormat="1" ht="14.45" customHeight="1" x14ac:dyDescent="0.25">
      <c r="A76" s="11" t="s">
        <v>921</v>
      </c>
      <c r="B76" s="49" t="s">
        <v>10</v>
      </c>
      <c r="C76" s="20" t="s">
        <v>430</v>
      </c>
      <c r="D76" s="12" t="s">
        <v>345</v>
      </c>
      <c r="E76" s="7" t="s">
        <v>223</v>
      </c>
      <c r="F76" s="33">
        <f>capex_sources!G85/4</f>
        <v>4.4999999999999998E-2</v>
      </c>
      <c r="G76" s="12"/>
    </row>
    <row r="77" spans="1:7" s="11" customFormat="1" ht="14.45" customHeight="1" x14ac:dyDescent="0.25">
      <c r="A77" s="11" t="s">
        <v>921</v>
      </c>
      <c r="B77" s="49" t="s">
        <v>10</v>
      </c>
      <c r="C77" s="20" t="s">
        <v>430</v>
      </c>
      <c r="D77" s="12" t="s">
        <v>345</v>
      </c>
      <c r="E77" s="5" t="s">
        <v>255</v>
      </c>
      <c r="F77" s="33">
        <f>capex_sources!G85/4</f>
        <v>4.4999999999999998E-2</v>
      </c>
      <c r="G77" s="12"/>
    </row>
    <row r="78" spans="1:7" s="11" customFormat="1" ht="14.45" customHeight="1" x14ac:dyDescent="0.25">
      <c r="A78" s="11" t="s">
        <v>921</v>
      </c>
      <c r="B78" s="49" t="s">
        <v>10</v>
      </c>
      <c r="C78" s="20" t="s">
        <v>430</v>
      </c>
      <c r="D78" s="12" t="s">
        <v>345</v>
      </c>
      <c r="E78" s="5" t="s">
        <v>259</v>
      </c>
      <c r="F78" s="33">
        <f>capex_sources!G85/4</f>
        <v>4.4999999999999998E-2</v>
      </c>
      <c r="G78" s="12"/>
    </row>
    <row r="79" spans="1:7" s="11" customFormat="1" ht="14.45" customHeight="1" x14ac:dyDescent="0.25">
      <c r="A79" s="11" t="s">
        <v>921</v>
      </c>
      <c r="B79" s="49" t="s">
        <v>10</v>
      </c>
      <c r="C79" s="20" t="s">
        <v>430</v>
      </c>
      <c r="D79" s="12" t="s">
        <v>345</v>
      </c>
      <c r="E79" s="5" t="s">
        <v>263</v>
      </c>
      <c r="F79" s="33">
        <f>capex_sources!G85/4</f>
        <v>4.4999999999999998E-2</v>
      </c>
      <c r="G79" s="12"/>
    </row>
    <row r="80" spans="1:7" s="11" customFormat="1" ht="14.45" customHeight="1" x14ac:dyDescent="0.2">
      <c r="A80" s="11" t="s">
        <v>921</v>
      </c>
      <c r="B80" s="68" t="s">
        <v>10</v>
      </c>
      <c r="C80" s="29" t="s">
        <v>430</v>
      </c>
      <c r="D80" s="31" t="s">
        <v>346</v>
      </c>
      <c r="E80" s="31"/>
      <c r="F80" s="34">
        <f>SUM(F69:F79)</f>
        <v>1.0000000000000002</v>
      </c>
      <c r="G80" s="12"/>
    </row>
    <row r="81" spans="1:7" ht="14.45" customHeight="1" x14ac:dyDescent="0.25">
      <c r="A81" s="11" t="s">
        <v>921</v>
      </c>
      <c r="B81" s="2" t="s">
        <v>12</v>
      </c>
      <c r="C81" s="2" t="s">
        <v>357</v>
      </c>
      <c r="D81" s="12" t="s">
        <v>349</v>
      </c>
      <c r="E81" s="7" t="s">
        <v>223</v>
      </c>
      <c r="F81" s="33">
        <f>capex_sources!G87</f>
        <v>0.16</v>
      </c>
      <c r="G81" s="12"/>
    </row>
    <row r="82" spans="1:7" ht="14.45" customHeight="1" x14ac:dyDescent="0.25">
      <c r="A82" s="11" t="s">
        <v>921</v>
      </c>
      <c r="B82" s="2" t="s">
        <v>12</v>
      </c>
      <c r="C82" s="2" t="s">
        <v>357</v>
      </c>
      <c r="D82" s="12" t="s">
        <v>350</v>
      </c>
      <c r="E82" s="5" t="s">
        <v>193</v>
      </c>
      <c r="F82" s="33">
        <f>capex_sources!G88</f>
        <v>0.63</v>
      </c>
      <c r="G82" s="12"/>
    </row>
    <row r="83" spans="1:7" ht="14.45" customHeight="1" x14ac:dyDescent="0.25">
      <c r="A83" s="11" t="s">
        <v>921</v>
      </c>
      <c r="B83" s="2" t="s">
        <v>12</v>
      </c>
      <c r="C83" s="2" t="s">
        <v>357</v>
      </c>
      <c r="D83" s="12" t="s">
        <v>351</v>
      </c>
      <c r="E83" s="5" t="s">
        <v>197</v>
      </c>
      <c r="F83" s="33">
        <f>capex_sources!G89</f>
        <v>0.08</v>
      </c>
      <c r="G83" s="12"/>
    </row>
    <row r="84" spans="1:7" ht="14.45" customHeight="1" x14ac:dyDescent="0.25">
      <c r="A84" s="11" t="s">
        <v>921</v>
      </c>
      <c r="B84" s="2" t="s">
        <v>12</v>
      </c>
      <c r="C84" s="2" t="s">
        <v>357</v>
      </c>
      <c r="D84" s="12" t="s">
        <v>352</v>
      </c>
      <c r="E84" s="5" t="s">
        <v>253</v>
      </c>
      <c r="F84" s="33">
        <f>capex_sources!G90/4</f>
        <v>0.01</v>
      </c>
      <c r="G84" s="12"/>
    </row>
    <row r="85" spans="1:7" ht="14.45" customHeight="1" x14ac:dyDescent="0.25">
      <c r="A85" s="11" t="s">
        <v>921</v>
      </c>
      <c r="B85" s="2" t="s">
        <v>12</v>
      </c>
      <c r="C85" s="2" t="s">
        <v>357</v>
      </c>
      <c r="D85" s="12" t="s">
        <v>352</v>
      </c>
      <c r="E85" s="5" t="s">
        <v>257</v>
      </c>
      <c r="F85" s="33">
        <f>capex_sources!G90/4</f>
        <v>0.01</v>
      </c>
      <c r="G85" s="12"/>
    </row>
    <row r="86" spans="1:7" ht="14.45" customHeight="1" x14ac:dyDescent="0.25">
      <c r="A86" s="11" t="s">
        <v>921</v>
      </c>
      <c r="B86" s="2" t="s">
        <v>12</v>
      </c>
      <c r="C86" s="2" t="s">
        <v>357</v>
      </c>
      <c r="D86" s="12" t="s">
        <v>352</v>
      </c>
      <c r="E86" s="5" t="s">
        <v>263</v>
      </c>
      <c r="F86" s="33">
        <f>capex_sources!G90/4</f>
        <v>0.01</v>
      </c>
      <c r="G86" s="12"/>
    </row>
    <row r="87" spans="1:7" ht="14.45" customHeight="1" x14ac:dyDescent="0.25">
      <c r="A87" s="11" t="s">
        <v>921</v>
      </c>
      <c r="B87" s="2" t="s">
        <v>12</v>
      </c>
      <c r="C87" s="2" t="s">
        <v>357</v>
      </c>
      <c r="D87" s="12" t="s">
        <v>352</v>
      </c>
      <c r="E87" s="5" t="s">
        <v>267</v>
      </c>
      <c r="F87" s="33">
        <f>capex_sources!G90/4</f>
        <v>0.01</v>
      </c>
      <c r="G87" s="12"/>
    </row>
    <row r="88" spans="1:7" ht="14.45" customHeight="1" x14ac:dyDescent="0.25">
      <c r="A88" s="11" t="s">
        <v>921</v>
      </c>
      <c r="B88" s="2" t="s">
        <v>12</v>
      </c>
      <c r="C88" s="2" t="s">
        <v>357</v>
      </c>
      <c r="D88" s="12" t="s">
        <v>345</v>
      </c>
      <c r="E88" s="7" t="s">
        <v>223</v>
      </c>
      <c r="F88" s="33">
        <f>capex_sources!G91/4</f>
        <v>2.2499999999999999E-2</v>
      </c>
      <c r="G88" s="12"/>
    </row>
    <row r="89" spans="1:7" ht="14.45" customHeight="1" x14ac:dyDescent="0.25">
      <c r="A89" s="11" t="s">
        <v>921</v>
      </c>
      <c r="B89" s="2" t="s">
        <v>12</v>
      </c>
      <c r="C89" s="2" t="s">
        <v>357</v>
      </c>
      <c r="D89" s="12" t="s">
        <v>345</v>
      </c>
      <c r="E89" s="5" t="s">
        <v>255</v>
      </c>
      <c r="F89" s="33">
        <f>capex_sources!G91/4</f>
        <v>2.2499999999999999E-2</v>
      </c>
      <c r="G89" s="12"/>
    </row>
    <row r="90" spans="1:7" ht="14.45" customHeight="1" x14ac:dyDescent="0.25">
      <c r="A90" s="11" t="s">
        <v>921</v>
      </c>
      <c r="B90" s="2" t="s">
        <v>12</v>
      </c>
      <c r="C90" s="2" t="s">
        <v>357</v>
      </c>
      <c r="D90" s="12" t="s">
        <v>345</v>
      </c>
      <c r="E90" s="5" t="s">
        <v>259</v>
      </c>
      <c r="F90" s="33">
        <f>capex_sources!G91/4</f>
        <v>2.2499999999999999E-2</v>
      </c>
      <c r="G90" s="12"/>
    </row>
    <row r="91" spans="1:7" ht="14.45" customHeight="1" x14ac:dyDescent="0.25">
      <c r="A91" s="11" t="s">
        <v>921</v>
      </c>
      <c r="B91" s="2" t="s">
        <v>12</v>
      </c>
      <c r="C91" s="2" t="s">
        <v>357</v>
      </c>
      <c r="D91" s="12" t="s">
        <v>345</v>
      </c>
      <c r="E91" s="5" t="s">
        <v>263</v>
      </c>
      <c r="F91" s="33">
        <f>capex_sources!G91/4</f>
        <v>2.2499999999999999E-2</v>
      </c>
      <c r="G91" s="12"/>
    </row>
    <row r="92" spans="1:7" ht="14.45" customHeight="1" x14ac:dyDescent="0.25">
      <c r="A92" s="11" t="s">
        <v>921</v>
      </c>
      <c r="B92" s="24" t="s">
        <v>12</v>
      </c>
      <c r="C92" s="24" t="s">
        <v>357</v>
      </c>
      <c r="D92" s="31" t="s">
        <v>346</v>
      </c>
      <c r="E92" s="31"/>
      <c r="F92" s="34">
        <f>SUM(F81:F91)</f>
        <v>0.99999999999999989</v>
      </c>
      <c r="G92" s="12"/>
    </row>
    <row r="93" spans="1:7" ht="14.45" customHeight="1" x14ac:dyDescent="0.25">
      <c r="A93" s="11" t="s">
        <v>921</v>
      </c>
      <c r="B93" s="2" t="s">
        <v>340</v>
      </c>
      <c r="C93" s="2" t="s">
        <v>924</v>
      </c>
      <c r="D93" s="12" t="s">
        <v>349</v>
      </c>
      <c r="E93" s="7" t="s">
        <v>223</v>
      </c>
      <c r="F93" s="35">
        <f>capex_sources!G129</f>
        <v>0.17</v>
      </c>
      <c r="G93" s="12"/>
    </row>
    <row r="94" spans="1:7" ht="14.45" customHeight="1" x14ac:dyDescent="0.25">
      <c r="A94" s="11" t="s">
        <v>921</v>
      </c>
      <c r="B94" s="2" t="s">
        <v>340</v>
      </c>
      <c r="C94" s="2" t="s">
        <v>924</v>
      </c>
      <c r="D94" s="12" t="s">
        <v>350</v>
      </c>
      <c r="E94" s="5" t="s">
        <v>193</v>
      </c>
      <c r="F94" s="35">
        <f>capex_sources!G130</f>
        <v>0.45</v>
      </c>
      <c r="G94" s="12"/>
    </row>
    <row r="95" spans="1:7" ht="14.45" customHeight="1" x14ac:dyDescent="0.25">
      <c r="A95" s="11" t="s">
        <v>921</v>
      </c>
      <c r="B95" s="2" t="s">
        <v>340</v>
      </c>
      <c r="C95" s="2" t="s">
        <v>924</v>
      </c>
      <c r="D95" s="12" t="s">
        <v>351</v>
      </c>
      <c r="E95" s="5" t="s">
        <v>197</v>
      </c>
      <c r="F95" s="35">
        <f>capex_sources!G131</f>
        <v>0.1</v>
      </c>
      <c r="G95" s="12"/>
    </row>
    <row r="96" spans="1:7" ht="14.45" customHeight="1" x14ac:dyDescent="0.25">
      <c r="A96" s="11" t="s">
        <v>921</v>
      </c>
      <c r="B96" s="2" t="s">
        <v>340</v>
      </c>
      <c r="C96" s="2" t="s">
        <v>924</v>
      </c>
      <c r="D96" s="12" t="s">
        <v>352</v>
      </c>
      <c r="E96" s="5" t="s">
        <v>253</v>
      </c>
      <c r="F96" s="35">
        <f>capex_sources!G132/4</f>
        <v>4.4999999999999998E-2</v>
      </c>
      <c r="G96" s="12"/>
    </row>
    <row r="97" spans="1:7" ht="14.45" customHeight="1" x14ac:dyDescent="0.25">
      <c r="A97" s="11" t="s">
        <v>921</v>
      </c>
      <c r="B97" s="2" t="s">
        <v>340</v>
      </c>
      <c r="C97" s="2" t="s">
        <v>924</v>
      </c>
      <c r="D97" s="12" t="s">
        <v>352</v>
      </c>
      <c r="E97" s="5" t="s">
        <v>257</v>
      </c>
      <c r="F97" s="35">
        <f>capex_sources!G132/4</f>
        <v>4.4999999999999998E-2</v>
      </c>
      <c r="G97" s="12"/>
    </row>
    <row r="98" spans="1:7" ht="14.45" customHeight="1" x14ac:dyDescent="0.25">
      <c r="A98" s="11" t="s">
        <v>921</v>
      </c>
      <c r="B98" s="2" t="s">
        <v>340</v>
      </c>
      <c r="C98" s="2" t="s">
        <v>924</v>
      </c>
      <c r="D98" s="12" t="s">
        <v>352</v>
      </c>
      <c r="E98" s="5" t="s">
        <v>263</v>
      </c>
      <c r="F98" s="35">
        <f>capex_sources!G132/4</f>
        <v>4.4999999999999998E-2</v>
      </c>
      <c r="G98" s="12"/>
    </row>
    <row r="99" spans="1:7" ht="14.45" customHeight="1" x14ac:dyDescent="0.25">
      <c r="A99" s="11" t="s">
        <v>921</v>
      </c>
      <c r="B99" s="2" t="s">
        <v>340</v>
      </c>
      <c r="C99" s="2" t="s">
        <v>924</v>
      </c>
      <c r="D99" s="12" t="s">
        <v>352</v>
      </c>
      <c r="E99" s="5" t="s">
        <v>267</v>
      </c>
      <c r="F99" s="35">
        <f>capex_sources!G132/4</f>
        <v>4.4999999999999998E-2</v>
      </c>
      <c r="G99" s="12"/>
    </row>
    <row r="100" spans="1:7" ht="14.45" customHeight="1" x14ac:dyDescent="0.25">
      <c r="A100" s="11" t="s">
        <v>921</v>
      </c>
      <c r="B100" s="2" t="s">
        <v>340</v>
      </c>
      <c r="C100" s="2" t="s">
        <v>924</v>
      </c>
      <c r="D100" s="12" t="s">
        <v>345</v>
      </c>
      <c r="E100" s="7" t="s">
        <v>223</v>
      </c>
      <c r="F100" s="35">
        <f>capex_sources!G133/4</f>
        <v>2.5000000000000001E-2</v>
      </c>
      <c r="G100" s="12"/>
    </row>
    <row r="101" spans="1:7" ht="14.45" customHeight="1" x14ac:dyDescent="0.25">
      <c r="A101" s="11" t="s">
        <v>921</v>
      </c>
      <c r="B101" s="2" t="s">
        <v>340</v>
      </c>
      <c r="C101" s="2" t="s">
        <v>924</v>
      </c>
      <c r="D101" s="12" t="s">
        <v>345</v>
      </c>
      <c r="E101" s="5" t="s">
        <v>255</v>
      </c>
      <c r="F101" s="35">
        <f>capex_sources!G133/4</f>
        <v>2.5000000000000001E-2</v>
      </c>
      <c r="G101" s="12"/>
    </row>
    <row r="102" spans="1:7" ht="14.45" customHeight="1" x14ac:dyDescent="0.25">
      <c r="A102" s="11" t="s">
        <v>921</v>
      </c>
      <c r="B102" s="2" t="s">
        <v>340</v>
      </c>
      <c r="C102" s="2" t="s">
        <v>924</v>
      </c>
      <c r="D102" s="12" t="s">
        <v>345</v>
      </c>
      <c r="E102" s="5" t="s">
        <v>259</v>
      </c>
      <c r="F102" s="35">
        <f>capex_sources!G133/4</f>
        <v>2.5000000000000001E-2</v>
      </c>
      <c r="G102" s="12"/>
    </row>
    <row r="103" spans="1:7" ht="14.45" customHeight="1" x14ac:dyDescent="0.25">
      <c r="A103" s="11" t="s">
        <v>921</v>
      </c>
      <c r="B103" s="2" t="s">
        <v>340</v>
      </c>
      <c r="C103" s="2" t="s">
        <v>924</v>
      </c>
      <c r="D103" s="12" t="s">
        <v>345</v>
      </c>
      <c r="E103" s="5" t="s">
        <v>263</v>
      </c>
      <c r="F103" s="35">
        <f>capex_sources!G133/4</f>
        <v>2.5000000000000001E-2</v>
      </c>
      <c r="G103" s="12"/>
    </row>
    <row r="104" spans="1:7" ht="14.45" customHeight="1" x14ac:dyDescent="0.25">
      <c r="A104" s="11" t="s">
        <v>921</v>
      </c>
      <c r="B104" s="24" t="s">
        <v>340</v>
      </c>
      <c r="C104" s="24" t="s">
        <v>924</v>
      </c>
      <c r="D104" s="31" t="s">
        <v>346</v>
      </c>
      <c r="E104" s="31"/>
      <c r="F104" s="34">
        <f>SUM(F93:F103)</f>
        <v>1.0000000000000002</v>
      </c>
      <c r="G104" s="12"/>
    </row>
    <row r="105" spans="1:7" ht="14.45" customHeight="1" x14ac:dyDescent="0.25">
      <c r="A105" s="11" t="s">
        <v>921</v>
      </c>
      <c r="B105" s="2" t="s">
        <v>341</v>
      </c>
      <c r="C105" s="2" t="s">
        <v>925</v>
      </c>
      <c r="D105" s="12" t="s">
        <v>349</v>
      </c>
      <c r="E105" s="7" t="s">
        <v>223</v>
      </c>
      <c r="F105" s="36">
        <f>capex_sources!G165</f>
        <v>0.17</v>
      </c>
      <c r="G105" s="12"/>
    </row>
    <row r="106" spans="1:7" ht="14.45" customHeight="1" x14ac:dyDescent="0.25">
      <c r="A106" s="11" t="s">
        <v>921</v>
      </c>
      <c r="B106" s="2" t="s">
        <v>341</v>
      </c>
      <c r="C106" s="2" t="s">
        <v>925</v>
      </c>
      <c r="D106" s="12" t="s">
        <v>350</v>
      </c>
      <c r="E106" s="5" t="s">
        <v>193</v>
      </c>
      <c r="F106" s="36">
        <f>capex_sources!G166</f>
        <v>0.45</v>
      </c>
      <c r="G106" s="12"/>
    </row>
    <row r="107" spans="1:7" ht="14.45" customHeight="1" x14ac:dyDescent="0.25">
      <c r="A107" s="11" t="s">
        <v>921</v>
      </c>
      <c r="B107" s="2" t="s">
        <v>341</v>
      </c>
      <c r="C107" s="2" t="s">
        <v>925</v>
      </c>
      <c r="D107" s="12" t="s">
        <v>351</v>
      </c>
      <c r="E107" s="5" t="s">
        <v>197</v>
      </c>
      <c r="F107" s="36">
        <f>capex_sources!G167</f>
        <v>0.1</v>
      </c>
      <c r="G107" s="12"/>
    </row>
    <row r="108" spans="1:7" ht="14.45" customHeight="1" x14ac:dyDescent="0.25">
      <c r="A108" s="11" t="s">
        <v>921</v>
      </c>
      <c r="B108" s="2" t="s">
        <v>341</v>
      </c>
      <c r="C108" s="2" t="s">
        <v>925</v>
      </c>
      <c r="D108" s="12" t="s">
        <v>352</v>
      </c>
      <c r="E108" s="5" t="s">
        <v>253</v>
      </c>
      <c r="F108" s="36">
        <f>capex_sources!G168/4</f>
        <v>4.4999999999999998E-2</v>
      </c>
      <c r="G108" s="12"/>
    </row>
    <row r="109" spans="1:7" ht="14.45" customHeight="1" x14ac:dyDescent="0.25">
      <c r="A109" s="11" t="s">
        <v>921</v>
      </c>
      <c r="B109" s="2" t="s">
        <v>341</v>
      </c>
      <c r="C109" s="2" t="s">
        <v>925</v>
      </c>
      <c r="D109" s="12" t="s">
        <v>352</v>
      </c>
      <c r="E109" s="5" t="s">
        <v>257</v>
      </c>
      <c r="F109" s="36">
        <f>capex_sources!G168/4</f>
        <v>4.4999999999999998E-2</v>
      </c>
      <c r="G109" s="12"/>
    </row>
    <row r="110" spans="1:7" ht="14.45" customHeight="1" x14ac:dyDescent="0.25">
      <c r="A110" s="11" t="s">
        <v>921</v>
      </c>
      <c r="B110" s="2" t="s">
        <v>341</v>
      </c>
      <c r="C110" s="2" t="s">
        <v>925</v>
      </c>
      <c r="D110" s="12" t="s">
        <v>352</v>
      </c>
      <c r="E110" s="5" t="s">
        <v>263</v>
      </c>
      <c r="F110" s="36">
        <f>capex_sources!G168/4</f>
        <v>4.4999999999999998E-2</v>
      </c>
      <c r="G110" s="12"/>
    </row>
    <row r="111" spans="1:7" ht="14.45" customHeight="1" x14ac:dyDescent="0.25">
      <c r="A111" s="11" t="s">
        <v>921</v>
      </c>
      <c r="B111" s="2" t="s">
        <v>341</v>
      </c>
      <c r="C111" s="2" t="s">
        <v>925</v>
      </c>
      <c r="D111" s="12" t="s">
        <v>352</v>
      </c>
      <c r="E111" s="5" t="s">
        <v>267</v>
      </c>
      <c r="F111" s="36">
        <f>capex_sources!G168/4</f>
        <v>4.4999999999999998E-2</v>
      </c>
      <c r="G111" s="12"/>
    </row>
    <row r="112" spans="1:7" ht="14.45" customHeight="1" x14ac:dyDescent="0.25">
      <c r="A112" s="11" t="s">
        <v>921</v>
      </c>
      <c r="B112" s="2" t="s">
        <v>341</v>
      </c>
      <c r="C112" s="2" t="s">
        <v>925</v>
      </c>
      <c r="D112" s="12" t="s">
        <v>345</v>
      </c>
      <c r="E112" s="7" t="s">
        <v>223</v>
      </c>
      <c r="F112" s="36">
        <f>capex_sources!G169/3</f>
        <v>3.3333333333333333E-2</v>
      </c>
      <c r="G112" s="12"/>
    </row>
    <row r="113" spans="1:7" ht="14.45" customHeight="1" x14ac:dyDescent="0.25">
      <c r="A113" s="11" t="s">
        <v>921</v>
      </c>
      <c r="B113" s="2" t="s">
        <v>341</v>
      </c>
      <c r="C113" s="2" t="s">
        <v>925</v>
      </c>
      <c r="D113" s="12" t="s">
        <v>345</v>
      </c>
      <c r="E113" s="5" t="s">
        <v>255</v>
      </c>
      <c r="F113" s="36">
        <f>capex_sources!G169/3</f>
        <v>3.3333333333333333E-2</v>
      </c>
      <c r="G113" s="12"/>
    </row>
    <row r="114" spans="1:7" ht="14.45" customHeight="1" x14ac:dyDescent="0.25">
      <c r="A114" s="11" t="s">
        <v>921</v>
      </c>
      <c r="B114" s="2" t="s">
        <v>341</v>
      </c>
      <c r="C114" s="2" t="s">
        <v>925</v>
      </c>
      <c r="D114" s="12" t="s">
        <v>345</v>
      </c>
      <c r="E114" s="5" t="s">
        <v>263</v>
      </c>
      <c r="F114" s="36">
        <f>capex_sources!G169/3</f>
        <v>3.3333333333333333E-2</v>
      </c>
      <c r="G114" s="12"/>
    </row>
    <row r="115" spans="1:7" ht="14.45" customHeight="1" x14ac:dyDescent="0.25">
      <c r="A115" s="11" t="s">
        <v>921</v>
      </c>
      <c r="B115" s="24" t="s">
        <v>341</v>
      </c>
      <c r="C115" s="24" t="s">
        <v>925</v>
      </c>
      <c r="D115" s="31" t="s">
        <v>346</v>
      </c>
      <c r="E115" s="31"/>
      <c r="F115" s="34">
        <f>SUM(F105:F114)</f>
        <v>1.0000000000000002</v>
      </c>
      <c r="G115" s="12"/>
    </row>
    <row r="116" spans="1:7" ht="14.45" customHeight="1" x14ac:dyDescent="0.25">
      <c r="A116" s="11" t="s">
        <v>921</v>
      </c>
      <c r="B116" s="49" t="s">
        <v>14</v>
      </c>
      <c r="C116" s="12" t="s">
        <v>922</v>
      </c>
      <c r="D116" s="12" t="s">
        <v>349</v>
      </c>
      <c r="E116" s="7" t="s">
        <v>223</v>
      </c>
      <c r="F116" s="33">
        <f>capex_sources!G182</f>
        <v>0.57999999999999996</v>
      </c>
      <c r="G116" s="12"/>
    </row>
    <row r="117" spans="1:7" ht="14.45" customHeight="1" x14ac:dyDescent="0.25">
      <c r="A117" s="11" t="s">
        <v>921</v>
      </c>
      <c r="B117" s="49" t="s">
        <v>14</v>
      </c>
      <c r="C117" s="12" t="s">
        <v>922</v>
      </c>
      <c r="D117" s="12" t="s">
        <v>350</v>
      </c>
      <c r="E117" s="5" t="s">
        <v>193</v>
      </c>
      <c r="F117" s="33">
        <f>capex_sources!G183</f>
        <v>0.08</v>
      </c>
      <c r="G117" s="12"/>
    </row>
    <row r="118" spans="1:7" ht="14.45" customHeight="1" x14ac:dyDescent="0.25">
      <c r="A118" s="11" t="s">
        <v>921</v>
      </c>
      <c r="B118" s="49" t="s">
        <v>14</v>
      </c>
      <c r="C118" s="12" t="s">
        <v>922</v>
      </c>
      <c r="D118" s="12" t="s">
        <v>351</v>
      </c>
      <c r="E118" s="5" t="s">
        <v>197</v>
      </c>
      <c r="F118" s="33">
        <f>capex_sources!G184</f>
        <v>0.08</v>
      </c>
      <c r="G118" s="12"/>
    </row>
    <row r="119" spans="1:7" ht="14.45" customHeight="1" x14ac:dyDescent="0.25">
      <c r="A119" s="11" t="s">
        <v>921</v>
      </c>
      <c r="B119" s="49" t="s">
        <v>14</v>
      </c>
      <c r="C119" s="12" t="s">
        <v>922</v>
      </c>
      <c r="D119" s="12" t="s">
        <v>352</v>
      </c>
      <c r="E119" s="5" t="s">
        <v>253</v>
      </c>
      <c r="F119" s="33">
        <f>capex_sources!G185/4</f>
        <v>0.04</v>
      </c>
      <c r="G119" s="12"/>
    </row>
    <row r="120" spans="1:7" ht="14.45" customHeight="1" x14ac:dyDescent="0.25">
      <c r="A120" s="11" t="s">
        <v>921</v>
      </c>
      <c r="B120" s="49" t="s">
        <v>14</v>
      </c>
      <c r="C120" s="12" t="s">
        <v>922</v>
      </c>
      <c r="D120" s="12" t="s">
        <v>352</v>
      </c>
      <c r="E120" s="5" t="s">
        <v>257</v>
      </c>
      <c r="F120" s="33">
        <f>capex_sources!G185/4</f>
        <v>0.04</v>
      </c>
      <c r="G120" s="12"/>
    </row>
    <row r="121" spans="1:7" ht="14.45" customHeight="1" x14ac:dyDescent="0.25">
      <c r="A121" s="11" t="s">
        <v>921</v>
      </c>
      <c r="B121" s="49" t="s">
        <v>14</v>
      </c>
      <c r="C121" s="12" t="s">
        <v>922</v>
      </c>
      <c r="D121" s="12" t="s">
        <v>352</v>
      </c>
      <c r="E121" s="5" t="s">
        <v>263</v>
      </c>
      <c r="F121" s="33">
        <f>capex_sources!G185/4</f>
        <v>0.04</v>
      </c>
      <c r="G121" s="12"/>
    </row>
    <row r="122" spans="1:7" ht="14.45" customHeight="1" x14ac:dyDescent="0.25">
      <c r="A122" s="11" t="s">
        <v>921</v>
      </c>
      <c r="B122" s="49" t="s">
        <v>14</v>
      </c>
      <c r="C122" s="12" t="s">
        <v>922</v>
      </c>
      <c r="D122" s="12" t="s">
        <v>352</v>
      </c>
      <c r="E122" s="5" t="s">
        <v>267</v>
      </c>
      <c r="F122" s="33">
        <f>capex_sources!G185/4</f>
        <v>0.04</v>
      </c>
      <c r="G122" s="12"/>
    </row>
    <row r="123" spans="1:7" ht="14.45" customHeight="1" x14ac:dyDescent="0.25">
      <c r="A123" s="11" t="s">
        <v>921</v>
      </c>
      <c r="B123" s="49" t="s">
        <v>14</v>
      </c>
      <c r="C123" s="12" t="s">
        <v>922</v>
      </c>
      <c r="D123" s="12" t="s">
        <v>345</v>
      </c>
      <c r="E123" s="7" t="s">
        <v>223</v>
      </c>
      <c r="F123" s="33">
        <f>capex_sources!G186/4</f>
        <v>2.5000000000000001E-2</v>
      </c>
      <c r="G123" s="12"/>
    </row>
    <row r="124" spans="1:7" ht="14.45" customHeight="1" x14ac:dyDescent="0.25">
      <c r="A124" s="11" t="s">
        <v>921</v>
      </c>
      <c r="B124" s="49" t="s">
        <v>14</v>
      </c>
      <c r="C124" s="12" t="s">
        <v>922</v>
      </c>
      <c r="D124" s="12" t="s">
        <v>345</v>
      </c>
      <c r="E124" s="5" t="s">
        <v>255</v>
      </c>
      <c r="F124" s="33">
        <f>capex_sources!G186/4</f>
        <v>2.5000000000000001E-2</v>
      </c>
      <c r="G124" s="12"/>
    </row>
    <row r="125" spans="1:7" ht="14.45" customHeight="1" x14ac:dyDescent="0.25">
      <c r="A125" s="11" t="s">
        <v>921</v>
      </c>
      <c r="B125" s="49" t="s">
        <v>14</v>
      </c>
      <c r="C125" s="12" t="s">
        <v>922</v>
      </c>
      <c r="D125" s="12" t="s">
        <v>345</v>
      </c>
      <c r="E125" s="5" t="s">
        <v>259</v>
      </c>
      <c r="F125" s="33">
        <f>capex_sources!G186/4</f>
        <v>2.5000000000000001E-2</v>
      </c>
      <c r="G125" s="12"/>
    </row>
    <row r="126" spans="1:7" ht="14.45" customHeight="1" x14ac:dyDescent="0.25">
      <c r="A126" s="11" t="s">
        <v>921</v>
      </c>
      <c r="B126" s="49" t="s">
        <v>14</v>
      </c>
      <c r="C126" s="12" t="s">
        <v>922</v>
      </c>
      <c r="D126" s="12" t="s">
        <v>345</v>
      </c>
      <c r="E126" s="5" t="s">
        <v>263</v>
      </c>
      <c r="F126" s="33">
        <f>capex_sources!G186/4</f>
        <v>2.5000000000000001E-2</v>
      </c>
      <c r="G126" s="12"/>
    </row>
    <row r="127" spans="1:7" ht="13.5" customHeight="1" x14ac:dyDescent="0.25">
      <c r="A127" s="11" t="s">
        <v>921</v>
      </c>
      <c r="B127" s="68" t="s">
        <v>14</v>
      </c>
      <c r="C127" s="31" t="s">
        <v>922</v>
      </c>
      <c r="D127" s="31" t="s">
        <v>346</v>
      </c>
      <c r="E127" s="31"/>
      <c r="F127" s="34">
        <f>SUM(F116:F126)</f>
        <v>1</v>
      </c>
      <c r="G127" s="12"/>
    </row>
    <row r="128" spans="1:7" ht="14.45" customHeight="1" x14ac:dyDescent="0.25">
      <c r="A128" s="11" t="s">
        <v>921</v>
      </c>
      <c r="B128" s="49" t="s">
        <v>16</v>
      </c>
      <c r="C128" s="56" t="s">
        <v>461</v>
      </c>
      <c r="D128" s="12" t="s">
        <v>349</v>
      </c>
      <c r="E128" s="7" t="s">
        <v>223</v>
      </c>
      <c r="F128" s="33">
        <f>capex_sources!G207</f>
        <v>0.38</v>
      </c>
      <c r="G128" s="12"/>
    </row>
    <row r="129" spans="1:7" ht="14.45" customHeight="1" x14ac:dyDescent="0.25">
      <c r="A129" s="11" t="s">
        <v>921</v>
      </c>
      <c r="B129" s="49" t="s">
        <v>16</v>
      </c>
      <c r="C129" s="56" t="s">
        <v>461</v>
      </c>
      <c r="D129" s="12" t="s">
        <v>350</v>
      </c>
      <c r="E129" s="5" t="s">
        <v>193</v>
      </c>
      <c r="F129" s="33">
        <f>capex_sources!G208</f>
        <v>0.42</v>
      </c>
      <c r="G129" s="12"/>
    </row>
    <row r="130" spans="1:7" ht="14.45" customHeight="1" x14ac:dyDescent="0.25">
      <c r="A130" s="11" t="s">
        <v>921</v>
      </c>
      <c r="B130" s="49" t="s">
        <v>16</v>
      </c>
      <c r="C130" s="56" t="s">
        <v>461</v>
      </c>
      <c r="D130" s="12" t="s">
        <v>351</v>
      </c>
      <c r="E130" s="5" t="s">
        <v>197</v>
      </c>
      <c r="F130" s="33">
        <f>capex_sources!G209</f>
        <v>0.08</v>
      </c>
      <c r="G130" s="12"/>
    </row>
    <row r="131" spans="1:7" ht="14.45" customHeight="1" x14ac:dyDescent="0.25">
      <c r="A131" s="11" t="s">
        <v>921</v>
      </c>
      <c r="B131" s="49" t="s">
        <v>16</v>
      </c>
      <c r="C131" s="56" t="s">
        <v>461</v>
      </c>
      <c r="D131" s="12" t="s">
        <v>352</v>
      </c>
      <c r="E131" s="5" t="s">
        <v>253</v>
      </c>
      <c r="F131" s="33">
        <f>capex_sources!G210/4</f>
        <v>1.7500000000000002E-2</v>
      </c>
      <c r="G131" s="12"/>
    </row>
    <row r="132" spans="1:7" ht="14.45" customHeight="1" x14ac:dyDescent="0.25">
      <c r="A132" s="11" t="s">
        <v>921</v>
      </c>
      <c r="B132" s="49" t="s">
        <v>16</v>
      </c>
      <c r="C132" s="56" t="s">
        <v>461</v>
      </c>
      <c r="D132" s="12" t="s">
        <v>352</v>
      </c>
      <c r="E132" s="5" t="s">
        <v>257</v>
      </c>
      <c r="F132" s="33">
        <f>capex_sources!G210/4</f>
        <v>1.7500000000000002E-2</v>
      </c>
      <c r="G132" s="12"/>
    </row>
    <row r="133" spans="1:7" ht="14.45" customHeight="1" x14ac:dyDescent="0.25">
      <c r="A133" s="11" t="s">
        <v>921</v>
      </c>
      <c r="B133" s="49" t="s">
        <v>16</v>
      </c>
      <c r="C133" s="56" t="s">
        <v>461</v>
      </c>
      <c r="D133" s="12" t="s">
        <v>352</v>
      </c>
      <c r="E133" s="5" t="s">
        <v>263</v>
      </c>
      <c r="F133" s="33">
        <f>capex_sources!G210/4</f>
        <v>1.7500000000000002E-2</v>
      </c>
      <c r="G133" s="12"/>
    </row>
    <row r="134" spans="1:7" ht="14.45" customHeight="1" x14ac:dyDescent="0.25">
      <c r="A134" s="11" t="s">
        <v>921</v>
      </c>
      <c r="B134" s="49" t="s">
        <v>16</v>
      </c>
      <c r="C134" s="56" t="s">
        <v>461</v>
      </c>
      <c r="D134" s="12" t="s">
        <v>352</v>
      </c>
      <c r="E134" s="5" t="s">
        <v>267</v>
      </c>
      <c r="F134" s="33">
        <f>capex_sources!G210/4</f>
        <v>1.7500000000000002E-2</v>
      </c>
      <c r="G134" s="12"/>
    </row>
    <row r="135" spans="1:7" ht="14.45" customHeight="1" x14ac:dyDescent="0.25">
      <c r="A135" s="11" t="s">
        <v>921</v>
      </c>
      <c r="B135" s="49" t="s">
        <v>16</v>
      </c>
      <c r="C135" s="56" t="s">
        <v>461</v>
      </c>
      <c r="D135" s="12" t="s">
        <v>345</v>
      </c>
      <c r="E135" s="7" t="s">
        <v>223</v>
      </c>
      <c r="F135" s="33">
        <f>capex_sources!G211/4</f>
        <v>1.2500000000000001E-2</v>
      </c>
      <c r="G135" s="12"/>
    </row>
    <row r="136" spans="1:7" ht="14.45" customHeight="1" x14ac:dyDescent="0.25">
      <c r="A136" s="11" t="s">
        <v>921</v>
      </c>
      <c r="B136" s="49" t="s">
        <v>16</v>
      </c>
      <c r="C136" s="56" t="s">
        <v>461</v>
      </c>
      <c r="D136" s="12" t="s">
        <v>345</v>
      </c>
      <c r="E136" s="5" t="s">
        <v>255</v>
      </c>
      <c r="F136" s="33">
        <f>capex_sources!G211/4</f>
        <v>1.2500000000000001E-2</v>
      </c>
      <c r="G136" s="12"/>
    </row>
    <row r="137" spans="1:7" ht="14.45" customHeight="1" x14ac:dyDescent="0.25">
      <c r="A137" s="11" t="s">
        <v>921</v>
      </c>
      <c r="B137" s="49" t="s">
        <v>16</v>
      </c>
      <c r="C137" s="56" t="s">
        <v>461</v>
      </c>
      <c r="D137" s="12" t="s">
        <v>345</v>
      </c>
      <c r="E137" s="5" t="s">
        <v>259</v>
      </c>
      <c r="F137" s="33">
        <f>capex_sources!G211/4</f>
        <v>1.2500000000000001E-2</v>
      </c>
      <c r="G137" s="12"/>
    </row>
    <row r="138" spans="1:7" ht="14.45" customHeight="1" x14ac:dyDescent="0.25">
      <c r="A138" s="11" t="s">
        <v>921</v>
      </c>
      <c r="B138" s="49" t="s">
        <v>16</v>
      </c>
      <c r="C138" s="56" t="s">
        <v>461</v>
      </c>
      <c r="D138" s="12" t="s">
        <v>345</v>
      </c>
      <c r="E138" s="5" t="s">
        <v>263</v>
      </c>
      <c r="F138" s="33">
        <f>capex_sources!G211/4</f>
        <v>1.2500000000000001E-2</v>
      </c>
      <c r="G138" s="12"/>
    </row>
    <row r="139" spans="1:7" s="11" customFormat="1" ht="14.45" customHeight="1" x14ac:dyDescent="0.2">
      <c r="A139" s="11" t="s">
        <v>921</v>
      </c>
      <c r="B139" s="68" t="s">
        <v>16</v>
      </c>
      <c r="C139" s="152" t="s">
        <v>461</v>
      </c>
      <c r="D139" s="31" t="s">
        <v>346</v>
      </c>
      <c r="E139" s="31"/>
      <c r="F139" s="34">
        <f>SUM(F128:F138)</f>
        <v>0.99999999999999967</v>
      </c>
      <c r="G139" s="12"/>
    </row>
    <row r="140" spans="1:7" ht="14.45" customHeight="1" x14ac:dyDescent="0.25">
      <c r="A140" s="11" t="s">
        <v>921</v>
      </c>
      <c r="B140" s="15" t="s">
        <v>18</v>
      </c>
      <c r="D140" s="12" t="s">
        <v>349</v>
      </c>
      <c r="E140" s="7" t="s">
        <v>223</v>
      </c>
      <c r="F140" s="33">
        <f>capex_sources!G243</f>
        <v>0.05</v>
      </c>
      <c r="G140" s="12"/>
    </row>
    <row r="141" spans="1:7" ht="14.45" customHeight="1" x14ac:dyDescent="0.25">
      <c r="A141" s="11" t="s">
        <v>921</v>
      </c>
      <c r="B141" s="15" t="s">
        <v>18</v>
      </c>
      <c r="D141" s="12" t="s">
        <v>350</v>
      </c>
      <c r="E141" s="5" t="s">
        <v>193</v>
      </c>
      <c r="F141" s="33">
        <f>capex_sources!G244</f>
        <v>0.51</v>
      </c>
      <c r="G141" s="12"/>
    </row>
    <row r="142" spans="1:7" ht="14.45" customHeight="1" x14ac:dyDescent="0.25">
      <c r="A142" s="11" t="s">
        <v>921</v>
      </c>
      <c r="B142" s="15" t="s">
        <v>18</v>
      </c>
      <c r="D142" s="12" t="s">
        <v>351</v>
      </c>
      <c r="E142" s="5" t="s">
        <v>197</v>
      </c>
      <c r="F142" s="33">
        <f>capex_sources!G245</f>
        <v>7.0000000000000007E-2</v>
      </c>
      <c r="G142" s="12"/>
    </row>
    <row r="143" spans="1:7" ht="14.45" customHeight="1" x14ac:dyDescent="0.25">
      <c r="A143" s="11" t="s">
        <v>921</v>
      </c>
      <c r="B143" s="15" t="s">
        <v>18</v>
      </c>
      <c r="D143" s="12" t="s">
        <v>352</v>
      </c>
      <c r="E143" s="5" t="s">
        <v>253</v>
      </c>
      <c r="F143" s="33">
        <f>capex_sources!G246/4</f>
        <v>0.04</v>
      </c>
      <c r="G143" s="12"/>
    </row>
    <row r="144" spans="1:7" ht="14.45" customHeight="1" x14ac:dyDescent="0.25">
      <c r="A144" s="11" t="s">
        <v>921</v>
      </c>
      <c r="B144" s="15" t="s">
        <v>18</v>
      </c>
      <c r="D144" s="12" t="s">
        <v>352</v>
      </c>
      <c r="E144" s="5" t="s">
        <v>257</v>
      </c>
      <c r="F144" s="33">
        <f>capex_sources!G246/4</f>
        <v>0.04</v>
      </c>
      <c r="G144" s="12"/>
    </row>
    <row r="145" spans="1:7" ht="14.45" customHeight="1" x14ac:dyDescent="0.25">
      <c r="A145" s="11" t="s">
        <v>921</v>
      </c>
      <c r="B145" s="15" t="s">
        <v>18</v>
      </c>
      <c r="D145" s="12" t="s">
        <v>352</v>
      </c>
      <c r="E145" s="5" t="s">
        <v>263</v>
      </c>
      <c r="F145" s="33">
        <f>capex_sources!G246/4</f>
        <v>0.04</v>
      </c>
      <c r="G145" s="12"/>
    </row>
    <row r="146" spans="1:7" ht="14.45" customHeight="1" x14ac:dyDescent="0.25">
      <c r="A146" s="11" t="s">
        <v>921</v>
      </c>
      <c r="B146" s="15" t="s">
        <v>18</v>
      </c>
      <c r="D146" s="12" t="s">
        <v>352</v>
      </c>
      <c r="E146" s="5" t="s">
        <v>267</v>
      </c>
      <c r="F146" s="33">
        <f>capex_sources!G246/4</f>
        <v>0.04</v>
      </c>
      <c r="G146" s="12"/>
    </row>
    <row r="147" spans="1:7" ht="14.45" customHeight="1" x14ac:dyDescent="0.25">
      <c r="A147" s="11" t="s">
        <v>921</v>
      </c>
      <c r="B147" s="15" t="s">
        <v>18</v>
      </c>
      <c r="D147" s="12" t="s">
        <v>345</v>
      </c>
      <c r="E147" s="7" t="s">
        <v>223</v>
      </c>
      <c r="F147" s="33">
        <f>capex_sources!G247/4</f>
        <v>5.2499999999999998E-2</v>
      </c>
      <c r="G147" s="12"/>
    </row>
    <row r="148" spans="1:7" ht="14.45" customHeight="1" x14ac:dyDescent="0.25">
      <c r="A148" s="11" t="s">
        <v>921</v>
      </c>
      <c r="B148" s="15" t="s">
        <v>18</v>
      </c>
      <c r="D148" s="12" t="s">
        <v>345</v>
      </c>
      <c r="E148" s="5" t="s">
        <v>255</v>
      </c>
      <c r="F148" s="33">
        <f>capex_sources!G247/4</f>
        <v>5.2499999999999998E-2</v>
      </c>
      <c r="G148" s="12"/>
    </row>
    <row r="149" spans="1:7" ht="14.45" customHeight="1" x14ac:dyDescent="0.25">
      <c r="A149" s="11" t="s">
        <v>921</v>
      </c>
      <c r="B149" s="15" t="s">
        <v>18</v>
      </c>
      <c r="D149" s="12" t="s">
        <v>345</v>
      </c>
      <c r="E149" s="5" t="s">
        <v>259</v>
      </c>
      <c r="F149" s="33">
        <f>capex_sources!G247/4</f>
        <v>5.2499999999999998E-2</v>
      </c>
      <c r="G149" s="12"/>
    </row>
    <row r="150" spans="1:7" ht="14.45" customHeight="1" x14ac:dyDescent="0.25">
      <c r="A150" s="11" t="s">
        <v>921</v>
      </c>
      <c r="B150" s="15" t="s">
        <v>18</v>
      </c>
      <c r="D150" s="12" t="s">
        <v>345</v>
      </c>
      <c r="E150" s="5" t="s">
        <v>263</v>
      </c>
      <c r="F150" s="33">
        <f>capex_sources!G247/4</f>
        <v>5.2499999999999998E-2</v>
      </c>
      <c r="G150" s="12"/>
    </row>
    <row r="151" spans="1:7" ht="14.45" customHeight="1" x14ac:dyDescent="0.25">
      <c r="A151" s="11" t="s">
        <v>921</v>
      </c>
      <c r="B151" s="19" t="s">
        <v>18</v>
      </c>
      <c r="C151" s="24"/>
      <c r="D151" s="31" t="s">
        <v>346</v>
      </c>
      <c r="E151" s="31"/>
      <c r="F151" s="34">
        <f>SUM(F140:F150)</f>
        <v>1.0000000000000002</v>
      </c>
      <c r="G151" s="12"/>
    </row>
  </sheetData>
  <pageMargins left="0.7" right="0.7" top="0.78740157499999996" bottom="0.78740157499999996"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75"/>
  <sheetViews>
    <sheetView zoomScale="75" zoomScaleNormal="75" workbookViewId="0">
      <pane xSplit="3" ySplit="1" topLeftCell="D2" activePane="bottomRight" state="frozen"/>
      <selection activeCell="D2" sqref="D2"/>
      <selection pane="topRight" activeCell="D2" sqref="D2"/>
      <selection pane="bottomLeft" activeCell="D2" sqref="D2"/>
      <selection pane="bottomRight" activeCell="D2" sqref="D2"/>
    </sheetView>
  </sheetViews>
  <sheetFormatPr defaultColWidth="8.75" defaultRowHeight="15" x14ac:dyDescent="0.25"/>
  <cols>
    <col min="1" max="1" width="45.75" style="4" customWidth="1"/>
    <col min="2" max="2" width="12.375" style="4" customWidth="1"/>
    <col min="3" max="3" width="25" style="1" bestFit="1" customWidth="1"/>
    <col min="4" max="20" width="9" style="1" customWidth="1"/>
    <col min="21" max="30" width="9" style="25" customWidth="1"/>
    <col min="31" max="31" width="8.875" style="25" customWidth="1"/>
    <col min="32" max="33" width="9" style="25" customWidth="1"/>
    <col min="34" max="16384" width="8.75" style="4"/>
  </cols>
  <sheetData>
    <row r="1" spans="1:33" ht="15" customHeight="1" x14ac:dyDescent="0.25">
      <c r="A1" s="3" t="s">
        <v>0</v>
      </c>
      <c r="B1" s="3" t="s">
        <v>1</v>
      </c>
      <c r="C1" s="10" t="s">
        <v>324</v>
      </c>
      <c r="D1" s="24" t="s">
        <v>737</v>
      </c>
      <c r="E1" s="24" t="s">
        <v>738</v>
      </c>
      <c r="F1" s="24" t="s">
        <v>748</v>
      </c>
      <c r="G1" s="24" t="s">
        <v>140</v>
      </c>
      <c r="H1" s="24" t="s">
        <v>739</v>
      </c>
      <c r="I1" s="24" t="s">
        <v>740</v>
      </c>
      <c r="J1" s="24" t="s">
        <v>926</v>
      </c>
      <c r="K1" s="24" t="s">
        <v>735</v>
      </c>
      <c r="L1" s="24" t="s">
        <v>736</v>
      </c>
      <c r="M1" s="24" t="s">
        <v>744</v>
      </c>
      <c r="N1" s="24" t="s">
        <v>160</v>
      </c>
      <c r="O1" s="24" t="s">
        <v>730</v>
      </c>
      <c r="P1" s="24" t="s">
        <v>731</v>
      </c>
      <c r="Q1" s="24" t="s">
        <v>746</v>
      </c>
      <c r="R1" s="24" t="s">
        <v>166</v>
      </c>
      <c r="S1" s="24" t="s">
        <v>733</v>
      </c>
      <c r="T1" s="24" t="s">
        <v>734</v>
      </c>
      <c r="U1" s="26" t="s">
        <v>3</v>
      </c>
      <c r="V1" s="26" t="s">
        <v>5</v>
      </c>
      <c r="W1" s="26" t="s">
        <v>7</v>
      </c>
      <c r="X1" s="26" t="s">
        <v>9</v>
      </c>
      <c r="Y1" s="26" t="s">
        <v>336</v>
      </c>
      <c r="Z1" s="26" t="s">
        <v>337</v>
      </c>
      <c r="AA1" s="26" t="s">
        <v>11</v>
      </c>
      <c r="AB1" s="26" t="s">
        <v>13</v>
      </c>
      <c r="AC1" s="28" t="s">
        <v>338</v>
      </c>
      <c r="AD1" s="26" t="s">
        <v>339</v>
      </c>
      <c r="AE1" s="26" t="s">
        <v>15</v>
      </c>
      <c r="AF1" s="26" t="s">
        <v>17</v>
      </c>
      <c r="AG1" s="26" t="s">
        <v>19</v>
      </c>
    </row>
    <row r="2" spans="1:33" x14ac:dyDescent="0.25">
      <c r="A2" s="5" t="s">
        <v>23</v>
      </c>
      <c r="B2" s="2" t="s">
        <v>22</v>
      </c>
      <c r="C2" s="1" t="s">
        <v>325</v>
      </c>
      <c r="D2" s="2"/>
      <c r="E2" s="2"/>
      <c r="F2" s="2"/>
      <c r="G2" s="2"/>
      <c r="H2" s="2"/>
      <c r="I2" s="2"/>
      <c r="J2" s="2"/>
      <c r="K2" s="2"/>
      <c r="L2" s="2"/>
      <c r="M2" s="2"/>
      <c r="N2" s="2"/>
      <c r="O2" s="2"/>
      <c r="P2" s="2"/>
      <c r="Q2" s="2"/>
      <c r="R2" s="2"/>
      <c r="S2" s="2"/>
      <c r="T2" s="2"/>
      <c r="U2" s="27">
        <v>0</v>
      </c>
      <c r="V2" s="27">
        <v>0</v>
      </c>
      <c r="W2" s="27">
        <v>0</v>
      </c>
      <c r="X2" s="27">
        <v>0</v>
      </c>
      <c r="Y2" s="27">
        <v>0</v>
      </c>
      <c r="Z2" s="27">
        <v>0</v>
      </c>
      <c r="AA2" s="27">
        <v>0</v>
      </c>
      <c r="AB2" s="27">
        <v>0</v>
      </c>
      <c r="AC2" s="27">
        <v>0</v>
      </c>
      <c r="AD2" s="27">
        <v>0</v>
      </c>
      <c r="AE2" s="27">
        <v>0</v>
      </c>
      <c r="AF2" s="27">
        <v>0</v>
      </c>
      <c r="AG2" s="86">
        <v>0</v>
      </c>
    </row>
    <row r="3" spans="1:33" x14ac:dyDescent="0.25">
      <c r="A3" s="5" t="s">
        <v>25</v>
      </c>
      <c r="B3" s="2" t="s">
        <v>24</v>
      </c>
      <c r="C3" s="1" t="s">
        <v>325</v>
      </c>
      <c r="D3" s="2"/>
      <c r="E3" s="2"/>
      <c r="F3" s="2"/>
      <c r="G3" s="2"/>
      <c r="H3" s="2"/>
      <c r="I3" s="2"/>
      <c r="J3" s="2"/>
      <c r="K3" s="2"/>
      <c r="L3" s="2"/>
      <c r="M3" s="2"/>
      <c r="N3" s="2"/>
      <c r="O3" s="2"/>
      <c r="P3" s="2"/>
      <c r="Q3" s="2"/>
      <c r="R3" s="2"/>
      <c r="S3" s="2"/>
      <c r="T3" s="2"/>
      <c r="U3" s="27">
        <v>0</v>
      </c>
      <c r="V3" s="27">
        <v>0</v>
      </c>
      <c r="W3" s="27">
        <v>0</v>
      </c>
      <c r="X3" s="27">
        <v>0</v>
      </c>
      <c r="Y3" s="27">
        <v>0</v>
      </c>
      <c r="Z3" s="27">
        <v>0</v>
      </c>
      <c r="AA3" s="27">
        <v>0</v>
      </c>
      <c r="AB3" s="27">
        <v>0</v>
      </c>
      <c r="AC3" s="27">
        <v>0</v>
      </c>
      <c r="AD3" s="27">
        <v>0</v>
      </c>
      <c r="AE3" s="27">
        <v>0</v>
      </c>
      <c r="AF3" s="27">
        <v>0</v>
      </c>
      <c r="AG3" s="86">
        <v>0</v>
      </c>
    </row>
    <row r="4" spans="1:33" x14ac:dyDescent="0.25">
      <c r="A4" s="5" t="s">
        <v>27</v>
      </c>
      <c r="B4" s="2" t="s">
        <v>26</v>
      </c>
      <c r="C4" s="1" t="s">
        <v>325</v>
      </c>
      <c r="D4" s="2"/>
      <c r="E4" s="2"/>
      <c r="F4" s="2"/>
      <c r="G4" s="2"/>
      <c r="H4" s="2"/>
      <c r="I4" s="2"/>
      <c r="J4" s="2"/>
      <c r="K4" s="2"/>
      <c r="L4" s="2"/>
      <c r="M4" s="2"/>
      <c r="N4" s="2"/>
      <c r="O4" s="2"/>
      <c r="P4" s="2"/>
      <c r="Q4" s="2"/>
      <c r="R4" s="2"/>
      <c r="S4" s="2"/>
      <c r="T4" s="2"/>
      <c r="U4" s="27">
        <v>0</v>
      </c>
      <c r="V4" s="27">
        <v>0</v>
      </c>
      <c r="W4" s="27">
        <v>0</v>
      </c>
      <c r="X4" s="27">
        <v>0</v>
      </c>
      <c r="Y4" s="27">
        <v>0</v>
      </c>
      <c r="Z4" s="27">
        <v>0</v>
      </c>
      <c r="AA4" s="27">
        <v>0</v>
      </c>
      <c r="AB4" s="27">
        <v>0</v>
      </c>
      <c r="AC4" s="27">
        <v>0</v>
      </c>
      <c r="AD4" s="27">
        <v>0</v>
      </c>
      <c r="AE4" s="27">
        <v>0</v>
      </c>
      <c r="AF4" s="27">
        <v>0</v>
      </c>
      <c r="AG4" s="86">
        <v>0</v>
      </c>
    </row>
    <row r="5" spans="1:33" x14ac:dyDescent="0.25">
      <c r="A5" s="5" t="s">
        <v>29</v>
      </c>
      <c r="B5" s="2" t="s">
        <v>28</v>
      </c>
      <c r="C5" s="1" t="s">
        <v>325</v>
      </c>
      <c r="D5" s="2"/>
      <c r="E5" s="2"/>
      <c r="F5" s="2"/>
      <c r="G5" s="2"/>
      <c r="H5" s="2"/>
      <c r="I5" s="2"/>
      <c r="J5" s="2"/>
      <c r="K5" s="2"/>
      <c r="L5" s="2"/>
      <c r="M5" s="2"/>
      <c r="N5" s="2"/>
      <c r="O5" s="2"/>
      <c r="P5" s="2"/>
      <c r="Q5" s="2"/>
      <c r="R5" s="2"/>
      <c r="S5" s="2"/>
      <c r="T5" s="2"/>
      <c r="U5" s="27">
        <v>0</v>
      </c>
      <c r="V5" s="27">
        <v>0</v>
      </c>
      <c r="W5" s="27">
        <v>0</v>
      </c>
      <c r="X5" s="27">
        <v>0</v>
      </c>
      <c r="Y5" s="27">
        <v>0</v>
      </c>
      <c r="Z5" s="27">
        <v>0</v>
      </c>
      <c r="AA5" s="27">
        <v>0</v>
      </c>
      <c r="AB5" s="27">
        <v>0</v>
      </c>
      <c r="AC5" s="27">
        <v>0</v>
      </c>
      <c r="AD5" s="27">
        <v>0</v>
      </c>
      <c r="AE5" s="27">
        <v>0</v>
      </c>
      <c r="AF5" s="27">
        <v>0</v>
      </c>
      <c r="AG5" s="86">
        <v>0</v>
      </c>
    </row>
    <row r="6" spans="1:33" x14ac:dyDescent="0.25">
      <c r="A6" s="5" t="s">
        <v>31</v>
      </c>
      <c r="B6" s="2" t="s">
        <v>30</v>
      </c>
      <c r="C6" s="1" t="s">
        <v>325</v>
      </c>
      <c r="D6" s="2"/>
      <c r="E6" s="2"/>
      <c r="F6" s="2"/>
      <c r="G6" s="2"/>
      <c r="H6" s="2"/>
      <c r="I6" s="2"/>
      <c r="J6" s="2"/>
      <c r="K6" s="2"/>
      <c r="L6" s="2"/>
      <c r="M6" s="2"/>
      <c r="N6" s="2"/>
      <c r="O6" s="2"/>
      <c r="P6" s="2"/>
      <c r="Q6" s="2"/>
      <c r="R6" s="2"/>
      <c r="S6" s="2"/>
      <c r="T6" s="2"/>
      <c r="U6" s="27">
        <v>0</v>
      </c>
      <c r="V6" s="27">
        <v>0</v>
      </c>
      <c r="W6" s="27">
        <v>0</v>
      </c>
      <c r="X6" s="27">
        <v>0</v>
      </c>
      <c r="Y6" s="27">
        <v>0</v>
      </c>
      <c r="Z6" s="27">
        <v>0</v>
      </c>
      <c r="AA6" s="27">
        <v>0</v>
      </c>
      <c r="AB6" s="27">
        <v>0</v>
      </c>
      <c r="AC6" s="27">
        <v>0</v>
      </c>
      <c r="AD6" s="27">
        <v>0</v>
      </c>
      <c r="AE6" s="27">
        <v>0</v>
      </c>
      <c r="AF6" s="27">
        <v>0</v>
      </c>
      <c r="AG6" s="86">
        <v>0</v>
      </c>
    </row>
    <row r="7" spans="1:33" x14ac:dyDescent="0.25">
      <c r="A7" s="5" t="s">
        <v>33</v>
      </c>
      <c r="B7" s="2" t="s">
        <v>32</v>
      </c>
      <c r="C7" s="1" t="s">
        <v>325</v>
      </c>
      <c r="D7" s="2"/>
      <c r="E7" s="2"/>
      <c r="F7" s="2"/>
      <c r="G7" s="2"/>
      <c r="H7" s="2"/>
      <c r="I7" s="2"/>
      <c r="J7" s="2"/>
      <c r="K7" s="2"/>
      <c r="L7" s="2"/>
      <c r="M7" s="2"/>
      <c r="N7" s="2"/>
      <c r="O7" s="2"/>
      <c r="P7" s="2"/>
      <c r="Q7" s="2"/>
      <c r="R7" s="2"/>
      <c r="S7" s="2"/>
      <c r="T7" s="2"/>
      <c r="U7" s="27">
        <v>0</v>
      </c>
      <c r="V7" s="27">
        <v>0</v>
      </c>
      <c r="W7" s="27">
        <v>0</v>
      </c>
      <c r="X7" s="27">
        <v>0</v>
      </c>
      <c r="Y7" s="27">
        <v>0</v>
      </c>
      <c r="Z7" s="27">
        <v>0</v>
      </c>
      <c r="AA7" s="27">
        <v>0</v>
      </c>
      <c r="AB7" s="27">
        <v>0</v>
      </c>
      <c r="AC7" s="27">
        <v>0</v>
      </c>
      <c r="AD7" s="27">
        <v>0</v>
      </c>
      <c r="AE7" s="27">
        <v>0</v>
      </c>
      <c r="AF7" s="27">
        <v>0</v>
      </c>
      <c r="AG7" s="86">
        <v>0</v>
      </c>
    </row>
    <row r="8" spans="1:33" x14ac:dyDescent="0.25">
      <c r="A8" s="5" t="s">
        <v>35</v>
      </c>
      <c r="B8" s="2" t="s">
        <v>34</v>
      </c>
      <c r="C8" s="1" t="s">
        <v>325</v>
      </c>
      <c r="D8" s="2"/>
      <c r="E8" s="2"/>
      <c r="F8" s="2"/>
      <c r="G8" s="2"/>
      <c r="H8" s="2"/>
      <c r="I8" s="2"/>
      <c r="J8" s="2"/>
      <c r="K8" s="2"/>
      <c r="L8" s="2"/>
      <c r="M8" s="2"/>
      <c r="N8" s="2"/>
      <c r="O8" s="2"/>
      <c r="P8" s="2"/>
      <c r="Q8" s="2"/>
      <c r="R8" s="2"/>
      <c r="S8" s="2"/>
      <c r="T8" s="2"/>
      <c r="U8" s="27">
        <v>0</v>
      </c>
      <c r="V8" s="27">
        <v>0</v>
      </c>
      <c r="W8" s="27">
        <v>0</v>
      </c>
      <c r="X8" s="27">
        <v>0</v>
      </c>
      <c r="Y8" s="27">
        <v>0</v>
      </c>
      <c r="Z8" s="27">
        <v>0</v>
      </c>
      <c r="AA8" s="27">
        <v>0</v>
      </c>
      <c r="AB8" s="27">
        <v>0</v>
      </c>
      <c r="AC8" s="27">
        <v>0</v>
      </c>
      <c r="AD8" s="27">
        <v>0</v>
      </c>
      <c r="AE8" s="27">
        <v>0</v>
      </c>
      <c r="AF8" s="27">
        <v>0</v>
      </c>
      <c r="AG8" s="86">
        <v>0</v>
      </c>
    </row>
    <row r="9" spans="1:33" x14ac:dyDescent="0.25">
      <c r="A9" s="5" t="s">
        <v>37</v>
      </c>
      <c r="B9" s="2" t="s">
        <v>36</v>
      </c>
      <c r="C9" s="1" t="s">
        <v>325</v>
      </c>
      <c r="D9" s="2"/>
      <c r="E9" s="2"/>
      <c r="F9" s="2"/>
      <c r="G9" s="2"/>
      <c r="H9" s="2"/>
      <c r="I9" s="2"/>
      <c r="J9" s="2"/>
      <c r="K9" s="2"/>
      <c r="L9" s="2"/>
      <c r="M9" s="2"/>
      <c r="N9" s="2"/>
      <c r="O9" s="2"/>
      <c r="P9" s="2"/>
      <c r="Q9" s="2"/>
      <c r="R9" s="2"/>
      <c r="S9" s="2"/>
      <c r="T9" s="2"/>
      <c r="U9" s="27">
        <v>0</v>
      </c>
      <c r="V9" s="27">
        <v>0</v>
      </c>
      <c r="W9" s="27">
        <v>0</v>
      </c>
      <c r="X9" s="27">
        <v>0</v>
      </c>
      <c r="Y9" s="27">
        <v>0</v>
      </c>
      <c r="Z9" s="27">
        <v>0</v>
      </c>
      <c r="AA9" s="27">
        <v>0</v>
      </c>
      <c r="AB9" s="27">
        <v>0</v>
      </c>
      <c r="AC9" s="27">
        <v>0</v>
      </c>
      <c r="AD9" s="27">
        <v>0</v>
      </c>
      <c r="AE9" s="27">
        <v>0</v>
      </c>
      <c r="AF9" s="27">
        <v>0</v>
      </c>
      <c r="AG9" s="86">
        <v>0</v>
      </c>
    </row>
    <row r="10" spans="1:33" x14ac:dyDescent="0.25">
      <c r="A10" s="5" t="s">
        <v>39</v>
      </c>
      <c r="B10" s="2" t="s">
        <v>38</v>
      </c>
      <c r="C10" s="1" t="s">
        <v>325</v>
      </c>
      <c r="D10" s="2"/>
      <c r="E10" s="2"/>
      <c r="F10" s="2"/>
      <c r="G10" s="2"/>
      <c r="H10" s="2"/>
      <c r="I10" s="2"/>
      <c r="J10" s="2"/>
      <c r="K10" s="2"/>
      <c r="L10" s="2"/>
      <c r="M10" s="2"/>
      <c r="N10" s="2"/>
      <c r="O10" s="2"/>
      <c r="P10" s="2"/>
      <c r="Q10" s="2"/>
      <c r="R10" s="2"/>
      <c r="S10" s="2"/>
      <c r="T10" s="2"/>
      <c r="U10" s="27">
        <v>0</v>
      </c>
      <c r="V10" s="27">
        <v>0</v>
      </c>
      <c r="W10" s="27">
        <v>0</v>
      </c>
      <c r="X10" s="27">
        <v>0</v>
      </c>
      <c r="Y10" s="27">
        <v>0</v>
      </c>
      <c r="Z10" s="27">
        <v>0</v>
      </c>
      <c r="AA10" s="27">
        <v>0</v>
      </c>
      <c r="AB10" s="27">
        <v>0</v>
      </c>
      <c r="AC10" s="27">
        <v>0</v>
      </c>
      <c r="AD10" s="27">
        <v>0</v>
      </c>
      <c r="AE10" s="27">
        <v>0</v>
      </c>
      <c r="AF10" s="27">
        <v>0</v>
      </c>
      <c r="AG10" s="86">
        <v>0</v>
      </c>
    </row>
    <row r="11" spans="1:33" x14ac:dyDescent="0.25">
      <c r="A11" s="5" t="s">
        <v>41</v>
      </c>
      <c r="B11" s="2" t="s">
        <v>40</v>
      </c>
      <c r="C11" s="1" t="s">
        <v>325</v>
      </c>
      <c r="D11" s="2"/>
      <c r="E11" s="2"/>
      <c r="F11" s="2"/>
      <c r="G11" s="2"/>
      <c r="H11" s="2"/>
      <c r="I11" s="2"/>
      <c r="J11" s="2"/>
      <c r="K11" s="2"/>
      <c r="L11" s="2"/>
      <c r="M11" s="2"/>
      <c r="N11" s="2"/>
      <c r="O11" s="2"/>
      <c r="P11" s="2"/>
      <c r="Q11" s="2"/>
      <c r="R11" s="2"/>
      <c r="S11" s="2"/>
      <c r="T11" s="2"/>
      <c r="U11" s="27">
        <v>0</v>
      </c>
      <c r="V11" s="27">
        <v>0</v>
      </c>
      <c r="W11" s="27">
        <v>0</v>
      </c>
      <c r="X11" s="27">
        <v>0</v>
      </c>
      <c r="Y11" s="27">
        <v>0</v>
      </c>
      <c r="Z11" s="27">
        <v>0</v>
      </c>
      <c r="AA11" s="27">
        <v>0</v>
      </c>
      <c r="AB11" s="27">
        <v>0</v>
      </c>
      <c r="AC11" s="27">
        <v>0</v>
      </c>
      <c r="AD11" s="27">
        <v>0</v>
      </c>
      <c r="AE11" s="27">
        <v>0</v>
      </c>
      <c r="AF11" s="27">
        <v>0</v>
      </c>
      <c r="AG11" s="86">
        <v>0</v>
      </c>
    </row>
    <row r="12" spans="1:33" x14ac:dyDescent="0.25">
      <c r="A12" s="5" t="s">
        <v>43</v>
      </c>
      <c r="B12" s="2" t="s">
        <v>42</v>
      </c>
      <c r="C12" s="1" t="s">
        <v>325</v>
      </c>
      <c r="D12" s="2"/>
      <c r="E12" s="2"/>
      <c r="F12" s="2"/>
      <c r="G12" s="2"/>
      <c r="H12" s="2"/>
      <c r="I12" s="2"/>
      <c r="J12" s="2"/>
      <c r="K12" s="2"/>
      <c r="L12" s="2"/>
      <c r="M12" s="2"/>
      <c r="N12" s="2"/>
      <c r="O12" s="2"/>
      <c r="P12" s="2"/>
      <c r="Q12" s="2"/>
      <c r="R12" s="2"/>
      <c r="S12" s="2"/>
      <c r="T12" s="2"/>
      <c r="U12" s="27">
        <v>0</v>
      </c>
      <c r="V12" s="27">
        <v>0</v>
      </c>
      <c r="W12" s="27">
        <v>0</v>
      </c>
      <c r="X12" s="27">
        <v>0</v>
      </c>
      <c r="Y12" s="27">
        <v>0</v>
      </c>
      <c r="Z12" s="27">
        <v>0</v>
      </c>
      <c r="AA12" s="27">
        <v>0</v>
      </c>
      <c r="AB12" s="27">
        <v>0</v>
      </c>
      <c r="AC12" s="27">
        <v>0</v>
      </c>
      <c r="AD12" s="27">
        <v>0</v>
      </c>
      <c r="AE12" s="27">
        <v>0</v>
      </c>
      <c r="AF12" s="27">
        <v>0</v>
      </c>
      <c r="AG12" s="86">
        <v>0</v>
      </c>
    </row>
    <row r="13" spans="1:33" x14ac:dyDescent="0.25">
      <c r="A13" s="5" t="s">
        <v>45</v>
      </c>
      <c r="B13" s="2" t="s">
        <v>44</v>
      </c>
      <c r="C13" s="1" t="s">
        <v>325</v>
      </c>
      <c r="D13" s="2"/>
      <c r="E13" s="2"/>
      <c r="F13" s="2"/>
      <c r="G13" s="2"/>
      <c r="H13" s="2"/>
      <c r="I13" s="2"/>
      <c r="J13" s="2"/>
      <c r="K13" s="2"/>
      <c r="L13" s="2"/>
      <c r="M13" s="2"/>
      <c r="N13" s="2"/>
      <c r="O13" s="2"/>
      <c r="P13" s="2"/>
      <c r="Q13" s="2"/>
      <c r="R13" s="2"/>
      <c r="S13" s="2"/>
      <c r="T13" s="2"/>
      <c r="U13" s="27">
        <v>0</v>
      </c>
      <c r="V13" s="27">
        <v>0</v>
      </c>
      <c r="W13" s="27">
        <v>0</v>
      </c>
      <c r="X13" s="27">
        <v>0</v>
      </c>
      <c r="Y13" s="27">
        <v>0</v>
      </c>
      <c r="Z13" s="27">
        <v>0</v>
      </c>
      <c r="AA13" s="27">
        <v>0</v>
      </c>
      <c r="AB13" s="27">
        <v>0</v>
      </c>
      <c r="AC13" s="27">
        <v>0</v>
      </c>
      <c r="AD13" s="27">
        <v>0</v>
      </c>
      <c r="AE13" s="27">
        <v>0</v>
      </c>
      <c r="AF13" s="27">
        <v>0</v>
      </c>
      <c r="AG13" s="86">
        <v>0</v>
      </c>
    </row>
    <row r="14" spans="1:33" x14ac:dyDescent="0.25">
      <c r="A14" s="5" t="s">
        <v>47</v>
      </c>
      <c r="B14" s="2" t="s">
        <v>46</v>
      </c>
      <c r="C14" s="1" t="s">
        <v>325</v>
      </c>
      <c r="D14" s="2"/>
      <c r="E14" s="2"/>
      <c r="F14" s="2"/>
      <c r="G14" s="2"/>
      <c r="H14" s="2"/>
      <c r="I14" s="2"/>
      <c r="J14" s="2"/>
      <c r="K14" s="2"/>
      <c r="L14" s="2"/>
      <c r="M14" s="2"/>
      <c r="N14" s="2"/>
      <c r="O14" s="2"/>
      <c r="P14" s="2"/>
      <c r="Q14" s="2"/>
      <c r="R14" s="2"/>
      <c r="S14" s="2"/>
      <c r="T14" s="2"/>
      <c r="U14" s="27">
        <v>0</v>
      </c>
      <c r="V14" s="27">
        <v>0</v>
      </c>
      <c r="W14" s="27">
        <v>0</v>
      </c>
      <c r="X14" s="27">
        <v>0</v>
      </c>
      <c r="Y14" s="27">
        <v>0</v>
      </c>
      <c r="Z14" s="27">
        <v>0</v>
      </c>
      <c r="AA14" s="27">
        <v>0</v>
      </c>
      <c r="AB14" s="27">
        <v>0</v>
      </c>
      <c r="AC14" s="27">
        <v>0</v>
      </c>
      <c r="AD14" s="27">
        <v>0</v>
      </c>
      <c r="AE14" s="27">
        <v>0</v>
      </c>
      <c r="AF14" s="27">
        <v>0</v>
      </c>
      <c r="AG14" s="86">
        <v>0</v>
      </c>
    </row>
    <row r="15" spans="1:33" x14ac:dyDescent="0.25">
      <c r="A15" s="5" t="s">
        <v>49</v>
      </c>
      <c r="B15" s="2" t="s">
        <v>48</v>
      </c>
      <c r="C15" s="1" t="s">
        <v>325</v>
      </c>
      <c r="D15" s="2"/>
      <c r="E15" s="2"/>
      <c r="F15" s="2"/>
      <c r="G15" s="2"/>
      <c r="H15" s="2"/>
      <c r="I15" s="2"/>
      <c r="J15" s="2"/>
      <c r="K15" s="2"/>
      <c r="L15" s="2"/>
      <c r="M15" s="2"/>
      <c r="N15" s="2"/>
      <c r="O15" s="2"/>
      <c r="P15" s="2"/>
      <c r="Q15" s="2"/>
      <c r="R15" s="2"/>
      <c r="S15" s="2"/>
      <c r="T15" s="2"/>
      <c r="U15" s="27">
        <v>0</v>
      </c>
      <c r="V15" s="27">
        <v>0</v>
      </c>
      <c r="W15" s="27">
        <v>0</v>
      </c>
      <c r="X15" s="27">
        <v>0</v>
      </c>
      <c r="Y15" s="27">
        <v>0</v>
      </c>
      <c r="Z15" s="27">
        <v>0</v>
      </c>
      <c r="AA15" s="27">
        <v>0</v>
      </c>
      <c r="AB15" s="27">
        <v>0</v>
      </c>
      <c r="AC15" s="27">
        <v>0</v>
      </c>
      <c r="AD15" s="27">
        <v>0</v>
      </c>
      <c r="AE15" s="27">
        <v>0</v>
      </c>
      <c r="AF15" s="27">
        <v>0</v>
      </c>
      <c r="AG15" s="86">
        <v>0</v>
      </c>
    </row>
    <row r="16" spans="1:33" x14ac:dyDescent="0.25">
      <c r="A16" s="5" t="s">
        <v>51</v>
      </c>
      <c r="B16" s="2" t="s">
        <v>50</v>
      </c>
      <c r="C16" s="1" t="s">
        <v>325</v>
      </c>
      <c r="D16" s="2"/>
      <c r="E16" s="2"/>
      <c r="F16" s="2"/>
      <c r="G16" s="2"/>
      <c r="H16" s="2"/>
      <c r="I16" s="2"/>
      <c r="J16" s="2"/>
      <c r="K16" s="2"/>
      <c r="L16" s="2"/>
      <c r="M16" s="2"/>
      <c r="N16" s="2"/>
      <c r="O16" s="2"/>
      <c r="P16" s="2"/>
      <c r="Q16" s="2"/>
      <c r="R16" s="2"/>
      <c r="S16" s="2"/>
      <c r="T16" s="2"/>
      <c r="U16" s="27">
        <v>0</v>
      </c>
      <c r="V16" s="27">
        <v>0</v>
      </c>
      <c r="W16" s="27">
        <v>0</v>
      </c>
      <c r="X16" s="27">
        <v>0</v>
      </c>
      <c r="Y16" s="27">
        <v>0</v>
      </c>
      <c r="Z16" s="27">
        <v>0</v>
      </c>
      <c r="AA16" s="27">
        <v>0</v>
      </c>
      <c r="AB16" s="27">
        <v>0</v>
      </c>
      <c r="AC16" s="27">
        <v>0</v>
      </c>
      <c r="AD16" s="27">
        <v>0</v>
      </c>
      <c r="AE16" s="27">
        <v>0</v>
      </c>
      <c r="AF16" s="27">
        <v>0</v>
      </c>
      <c r="AG16" s="86">
        <v>0</v>
      </c>
    </row>
    <row r="17" spans="1:33" x14ac:dyDescent="0.25">
      <c r="A17" s="5" t="s">
        <v>53</v>
      </c>
      <c r="B17" s="2" t="s">
        <v>52</v>
      </c>
      <c r="C17" s="1" t="s">
        <v>325</v>
      </c>
      <c r="D17" s="2"/>
      <c r="E17" s="2"/>
      <c r="F17" s="2"/>
      <c r="G17" s="2"/>
      <c r="H17" s="2"/>
      <c r="I17" s="2"/>
      <c r="J17" s="2"/>
      <c r="K17" s="2"/>
      <c r="L17" s="2"/>
      <c r="M17" s="2"/>
      <c r="N17" s="2"/>
      <c r="O17" s="2"/>
      <c r="P17" s="2"/>
      <c r="Q17" s="2"/>
      <c r="R17" s="2"/>
      <c r="S17" s="2"/>
      <c r="T17" s="2"/>
      <c r="U17" s="27">
        <v>0</v>
      </c>
      <c r="V17" s="27">
        <v>0</v>
      </c>
      <c r="W17" s="27">
        <v>0</v>
      </c>
      <c r="X17" s="27">
        <v>0</v>
      </c>
      <c r="Y17" s="27">
        <v>0</v>
      </c>
      <c r="Z17" s="27">
        <v>0</v>
      </c>
      <c r="AA17" s="27">
        <v>0</v>
      </c>
      <c r="AB17" s="27">
        <v>0</v>
      </c>
      <c r="AC17" s="27">
        <v>0</v>
      </c>
      <c r="AD17" s="27">
        <v>0</v>
      </c>
      <c r="AE17" s="27">
        <v>0</v>
      </c>
      <c r="AF17" s="27">
        <v>0</v>
      </c>
      <c r="AG17" s="86">
        <v>0</v>
      </c>
    </row>
    <row r="18" spans="1:33" x14ac:dyDescent="0.25">
      <c r="A18" s="5" t="s">
        <v>55</v>
      </c>
      <c r="B18" s="2" t="s">
        <v>54</v>
      </c>
      <c r="C18" s="1" t="s">
        <v>325</v>
      </c>
      <c r="D18" s="2"/>
      <c r="E18" s="2"/>
      <c r="F18" s="2"/>
      <c r="G18" s="2"/>
      <c r="H18" s="2"/>
      <c r="I18" s="2"/>
      <c r="J18" s="2"/>
      <c r="K18" s="2"/>
      <c r="L18" s="2"/>
      <c r="M18" s="2"/>
      <c r="N18" s="2"/>
      <c r="O18" s="2"/>
      <c r="P18" s="2"/>
      <c r="Q18" s="2"/>
      <c r="R18" s="2"/>
      <c r="S18" s="2"/>
      <c r="T18" s="2"/>
      <c r="U18" s="27">
        <v>0</v>
      </c>
      <c r="V18" s="27">
        <v>0</v>
      </c>
      <c r="W18" s="27">
        <v>0</v>
      </c>
      <c r="X18" s="27">
        <v>0</v>
      </c>
      <c r="Y18" s="27">
        <v>0</v>
      </c>
      <c r="Z18" s="27">
        <v>0</v>
      </c>
      <c r="AA18" s="27">
        <v>0</v>
      </c>
      <c r="AB18" s="27">
        <v>0</v>
      </c>
      <c r="AC18" s="27">
        <v>0</v>
      </c>
      <c r="AD18" s="27">
        <v>0</v>
      </c>
      <c r="AE18" s="27">
        <v>0</v>
      </c>
      <c r="AF18" s="27">
        <v>0</v>
      </c>
      <c r="AG18" s="86">
        <v>0</v>
      </c>
    </row>
    <row r="19" spans="1:33" x14ac:dyDescent="0.25">
      <c r="A19" s="5" t="s">
        <v>57</v>
      </c>
      <c r="B19" s="2" t="s">
        <v>56</v>
      </c>
      <c r="C19" s="1" t="s">
        <v>325</v>
      </c>
      <c r="D19" s="2"/>
      <c r="E19" s="2"/>
      <c r="F19" s="2"/>
      <c r="G19" s="2"/>
      <c r="H19" s="2"/>
      <c r="I19" s="2"/>
      <c r="J19" s="2"/>
      <c r="K19" s="2"/>
      <c r="L19" s="2"/>
      <c r="M19" s="2"/>
      <c r="N19" s="2"/>
      <c r="O19" s="2"/>
      <c r="P19" s="2"/>
      <c r="Q19" s="2"/>
      <c r="R19" s="2"/>
      <c r="S19" s="2"/>
      <c r="T19" s="2"/>
      <c r="U19" s="27">
        <v>0</v>
      </c>
      <c r="V19" s="27">
        <v>0</v>
      </c>
      <c r="W19" s="27">
        <v>0</v>
      </c>
      <c r="X19" s="27">
        <v>0</v>
      </c>
      <c r="Y19" s="27">
        <v>0</v>
      </c>
      <c r="Z19" s="27">
        <v>0</v>
      </c>
      <c r="AA19" s="27">
        <v>0</v>
      </c>
      <c r="AB19" s="27">
        <v>0</v>
      </c>
      <c r="AC19" s="27">
        <v>0</v>
      </c>
      <c r="AD19" s="27">
        <v>0</v>
      </c>
      <c r="AE19" s="27">
        <v>0</v>
      </c>
      <c r="AF19" s="27">
        <v>0</v>
      </c>
      <c r="AG19" s="86">
        <v>0</v>
      </c>
    </row>
    <row r="20" spans="1:33" x14ac:dyDescent="0.25">
      <c r="A20" s="5" t="s">
        <v>59</v>
      </c>
      <c r="B20" s="2" t="s">
        <v>58</v>
      </c>
      <c r="C20" s="1" t="s">
        <v>325</v>
      </c>
      <c r="D20" s="2"/>
      <c r="E20" s="2"/>
      <c r="F20" s="2"/>
      <c r="G20" s="2"/>
      <c r="H20" s="2"/>
      <c r="I20" s="2"/>
      <c r="J20" s="2"/>
      <c r="K20" s="2"/>
      <c r="L20" s="2"/>
      <c r="M20" s="2"/>
      <c r="N20" s="2"/>
      <c r="O20" s="2"/>
      <c r="P20" s="2"/>
      <c r="Q20" s="2"/>
      <c r="R20" s="2"/>
      <c r="S20" s="2"/>
      <c r="T20" s="2"/>
      <c r="U20" s="27">
        <v>0</v>
      </c>
      <c r="V20" s="27">
        <v>0</v>
      </c>
      <c r="W20" s="27">
        <v>0</v>
      </c>
      <c r="X20" s="27">
        <v>0</v>
      </c>
      <c r="Y20" s="27">
        <v>0</v>
      </c>
      <c r="Z20" s="27">
        <v>0</v>
      </c>
      <c r="AA20" s="27">
        <v>0</v>
      </c>
      <c r="AB20" s="27">
        <v>0</v>
      </c>
      <c r="AC20" s="27">
        <v>0</v>
      </c>
      <c r="AD20" s="27">
        <v>0</v>
      </c>
      <c r="AE20" s="27">
        <v>0</v>
      </c>
      <c r="AF20" s="27">
        <v>0</v>
      </c>
      <c r="AG20" s="86">
        <v>0</v>
      </c>
    </row>
    <row r="21" spans="1:33" x14ac:dyDescent="0.25">
      <c r="A21" s="5" t="s">
        <v>61</v>
      </c>
      <c r="B21" s="2" t="s">
        <v>60</v>
      </c>
      <c r="C21" s="1" t="s">
        <v>326</v>
      </c>
      <c r="D21" s="2"/>
      <c r="E21" s="2"/>
      <c r="F21" s="2"/>
      <c r="G21" s="2"/>
      <c r="H21" s="2"/>
      <c r="I21" s="2"/>
      <c r="J21" s="2"/>
      <c r="K21" s="2"/>
      <c r="L21" s="2"/>
      <c r="M21" s="2"/>
      <c r="N21" s="2"/>
      <c r="O21" s="2"/>
      <c r="P21" s="2"/>
      <c r="Q21" s="2"/>
      <c r="R21" s="2"/>
      <c r="S21" s="2"/>
      <c r="T21" s="2"/>
      <c r="U21" s="27">
        <v>0</v>
      </c>
      <c r="V21" s="27">
        <v>0</v>
      </c>
      <c r="W21" s="27">
        <v>0</v>
      </c>
      <c r="X21" s="27">
        <v>0</v>
      </c>
      <c r="Y21" s="27">
        <v>0</v>
      </c>
      <c r="Z21" s="27">
        <v>0</v>
      </c>
      <c r="AA21" s="27">
        <v>0</v>
      </c>
      <c r="AB21" s="27">
        <v>0</v>
      </c>
      <c r="AC21" s="27">
        <v>0</v>
      </c>
      <c r="AD21" s="27">
        <v>0</v>
      </c>
      <c r="AE21" s="27">
        <v>0</v>
      </c>
      <c r="AF21" s="27">
        <v>0</v>
      </c>
      <c r="AG21" s="86">
        <v>0</v>
      </c>
    </row>
    <row r="22" spans="1:33" x14ac:dyDescent="0.25">
      <c r="A22" s="5" t="s">
        <v>63</v>
      </c>
      <c r="B22" s="2" t="s">
        <v>62</v>
      </c>
      <c r="C22" s="1" t="s">
        <v>326</v>
      </c>
      <c r="D22" s="2"/>
      <c r="E22" s="2"/>
      <c r="F22" s="2"/>
      <c r="G22" s="2"/>
      <c r="H22" s="2"/>
      <c r="I22" s="2"/>
      <c r="J22" s="2"/>
      <c r="K22" s="2"/>
      <c r="L22" s="2"/>
      <c r="M22" s="2"/>
      <c r="N22" s="2"/>
      <c r="O22" s="2"/>
      <c r="P22" s="2"/>
      <c r="Q22" s="2"/>
      <c r="R22" s="2"/>
      <c r="S22" s="2"/>
      <c r="T22" s="2"/>
      <c r="U22" s="27">
        <v>0</v>
      </c>
      <c r="V22" s="27">
        <v>0</v>
      </c>
      <c r="W22" s="27">
        <v>0</v>
      </c>
      <c r="X22" s="27">
        <v>0</v>
      </c>
      <c r="Y22" s="27">
        <v>0</v>
      </c>
      <c r="Z22" s="27">
        <v>0</v>
      </c>
      <c r="AA22" s="27">
        <v>0</v>
      </c>
      <c r="AB22" s="27">
        <v>0</v>
      </c>
      <c r="AC22" s="27">
        <v>0</v>
      </c>
      <c r="AD22" s="27">
        <v>0</v>
      </c>
      <c r="AE22" s="27">
        <v>0</v>
      </c>
      <c r="AF22" s="27">
        <v>0</v>
      </c>
      <c r="AG22" s="86">
        <v>0</v>
      </c>
    </row>
    <row r="23" spans="1:33" x14ac:dyDescent="0.25">
      <c r="A23" s="5" t="s">
        <v>65</v>
      </c>
      <c r="B23" s="2" t="s">
        <v>64</v>
      </c>
      <c r="C23" s="1" t="s">
        <v>326</v>
      </c>
      <c r="D23" s="2"/>
      <c r="E23" s="2"/>
      <c r="F23" s="2"/>
      <c r="G23" s="2"/>
      <c r="H23" s="2"/>
      <c r="I23" s="2"/>
      <c r="J23" s="2"/>
      <c r="K23" s="2"/>
      <c r="L23" s="2"/>
      <c r="M23" s="2"/>
      <c r="N23" s="2"/>
      <c r="O23" s="2"/>
      <c r="P23" s="2"/>
      <c r="Q23" s="2"/>
      <c r="R23" s="2"/>
      <c r="S23" s="2"/>
      <c r="T23" s="2"/>
      <c r="U23" s="27">
        <v>0</v>
      </c>
      <c r="V23" s="27">
        <v>0</v>
      </c>
      <c r="W23" s="27">
        <v>0</v>
      </c>
      <c r="X23" s="27">
        <v>0</v>
      </c>
      <c r="Y23" s="27">
        <v>0</v>
      </c>
      <c r="Z23" s="27">
        <v>0</v>
      </c>
      <c r="AA23" s="27">
        <v>0</v>
      </c>
      <c r="AB23" s="27">
        <v>0</v>
      </c>
      <c r="AC23" s="27">
        <v>0</v>
      </c>
      <c r="AD23" s="27">
        <v>0</v>
      </c>
      <c r="AE23" s="27">
        <v>0</v>
      </c>
      <c r="AF23" s="27">
        <v>0</v>
      </c>
      <c r="AG23" s="86">
        <v>0</v>
      </c>
    </row>
    <row r="24" spans="1:33" x14ac:dyDescent="0.25">
      <c r="A24" s="5" t="s">
        <v>67</v>
      </c>
      <c r="B24" s="2" t="s">
        <v>66</v>
      </c>
      <c r="C24" s="1" t="s">
        <v>326</v>
      </c>
      <c r="D24" s="2"/>
      <c r="E24" s="2"/>
      <c r="F24" s="2"/>
      <c r="G24" s="2"/>
      <c r="H24" s="2"/>
      <c r="I24" s="2"/>
      <c r="J24" s="2"/>
      <c r="K24" s="2"/>
      <c r="L24" s="2"/>
      <c r="M24" s="2"/>
      <c r="N24" s="2"/>
      <c r="O24" s="2"/>
      <c r="P24" s="2"/>
      <c r="Q24" s="2"/>
      <c r="R24" s="2"/>
      <c r="S24" s="2"/>
      <c r="T24" s="2"/>
      <c r="U24" s="27">
        <v>0</v>
      </c>
      <c r="V24" s="27">
        <v>0</v>
      </c>
      <c r="W24" s="27">
        <v>0</v>
      </c>
      <c r="X24" s="27">
        <v>0</v>
      </c>
      <c r="Y24" s="27">
        <v>0</v>
      </c>
      <c r="Z24" s="27">
        <v>0</v>
      </c>
      <c r="AA24" s="27">
        <v>0</v>
      </c>
      <c r="AB24" s="27">
        <v>0</v>
      </c>
      <c r="AC24" s="27">
        <v>0</v>
      </c>
      <c r="AD24" s="27">
        <v>0</v>
      </c>
      <c r="AE24" s="27">
        <v>0</v>
      </c>
      <c r="AF24" s="27">
        <v>0</v>
      </c>
      <c r="AG24" s="86">
        <v>0</v>
      </c>
    </row>
    <row r="25" spans="1:33" x14ac:dyDescent="0.25">
      <c r="A25" s="5" t="s">
        <v>69</v>
      </c>
      <c r="B25" s="2" t="s">
        <v>68</v>
      </c>
      <c r="C25" s="1" t="s">
        <v>326</v>
      </c>
      <c r="D25" s="2"/>
      <c r="E25" s="2"/>
      <c r="F25" s="2"/>
      <c r="G25" s="2"/>
      <c r="H25" s="2"/>
      <c r="I25" s="2"/>
      <c r="J25" s="2"/>
      <c r="K25" s="2"/>
      <c r="L25" s="2"/>
      <c r="M25" s="2"/>
      <c r="N25" s="2"/>
      <c r="O25" s="2"/>
      <c r="P25" s="2"/>
      <c r="Q25" s="2"/>
      <c r="R25" s="2"/>
      <c r="S25" s="2"/>
      <c r="T25" s="2"/>
      <c r="U25" s="27">
        <v>0</v>
      </c>
      <c r="V25" s="27">
        <v>0</v>
      </c>
      <c r="W25" s="27">
        <v>0</v>
      </c>
      <c r="X25" s="27">
        <v>0</v>
      </c>
      <c r="Y25" s="27">
        <v>0</v>
      </c>
      <c r="Z25" s="27">
        <v>0</v>
      </c>
      <c r="AA25" s="27">
        <v>0</v>
      </c>
      <c r="AB25" s="27">
        <v>0</v>
      </c>
      <c r="AC25" s="27">
        <v>0</v>
      </c>
      <c r="AD25" s="27">
        <v>0</v>
      </c>
      <c r="AE25" s="27">
        <v>0</v>
      </c>
      <c r="AF25" s="27">
        <v>0</v>
      </c>
      <c r="AG25" s="86">
        <v>0</v>
      </c>
    </row>
    <row r="26" spans="1:33" x14ac:dyDescent="0.25">
      <c r="A26" s="5" t="s">
        <v>71</v>
      </c>
      <c r="B26" s="2" t="s">
        <v>70</v>
      </c>
      <c r="C26" s="1" t="s">
        <v>326</v>
      </c>
      <c r="D26" s="2"/>
      <c r="E26" s="2"/>
      <c r="F26" s="2"/>
      <c r="G26" s="2"/>
      <c r="H26" s="2"/>
      <c r="I26" s="2"/>
      <c r="J26" s="2"/>
      <c r="K26" s="2"/>
      <c r="L26" s="2"/>
      <c r="M26" s="2"/>
      <c r="N26" s="2"/>
      <c r="O26" s="2"/>
      <c r="P26" s="2"/>
      <c r="Q26" s="2"/>
      <c r="R26" s="2"/>
      <c r="S26" s="2"/>
      <c r="T26" s="2"/>
      <c r="U26" s="27">
        <v>0</v>
      </c>
      <c r="V26" s="27">
        <v>0</v>
      </c>
      <c r="W26" s="27">
        <v>0</v>
      </c>
      <c r="X26" s="27">
        <v>0</v>
      </c>
      <c r="Y26" s="27">
        <v>0</v>
      </c>
      <c r="Z26" s="27">
        <v>0</v>
      </c>
      <c r="AA26" s="27">
        <v>0</v>
      </c>
      <c r="AB26" s="27">
        <v>0</v>
      </c>
      <c r="AC26" s="27">
        <v>0</v>
      </c>
      <c r="AD26" s="27">
        <v>0</v>
      </c>
      <c r="AE26" s="27">
        <v>0</v>
      </c>
      <c r="AF26" s="27">
        <v>0</v>
      </c>
      <c r="AG26" s="86">
        <v>0</v>
      </c>
    </row>
    <row r="27" spans="1:33" x14ac:dyDescent="0.25">
      <c r="A27" s="5" t="s">
        <v>73</v>
      </c>
      <c r="B27" s="2" t="s">
        <v>72</v>
      </c>
      <c r="C27" s="1" t="s">
        <v>326</v>
      </c>
      <c r="D27" s="2"/>
      <c r="E27" s="2"/>
      <c r="F27" s="2"/>
      <c r="G27" s="2"/>
      <c r="H27" s="2"/>
      <c r="I27" s="2"/>
      <c r="J27" s="2"/>
      <c r="K27" s="2"/>
      <c r="L27" s="2"/>
      <c r="M27" s="2"/>
      <c r="N27" s="2"/>
      <c r="O27" s="2"/>
      <c r="P27" s="2"/>
      <c r="Q27" s="2"/>
      <c r="R27" s="2"/>
      <c r="S27" s="2"/>
      <c r="T27" s="2"/>
      <c r="U27" s="27">
        <v>0</v>
      </c>
      <c r="V27" s="27">
        <v>0</v>
      </c>
      <c r="W27" s="27">
        <v>0</v>
      </c>
      <c r="X27" s="27">
        <v>0</v>
      </c>
      <c r="Y27" s="27">
        <v>0</v>
      </c>
      <c r="Z27" s="27">
        <v>0</v>
      </c>
      <c r="AA27" s="27">
        <v>0</v>
      </c>
      <c r="AB27" s="27">
        <v>0</v>
      </c>
      <c r="AC27" s="27">
        <v>0</v>
      </c>
      <c r="AD27" s="27">
        <v>0</v>
      </c>
      <c r="AE27" s="27">
        <v>0</v>
      </c>
      <c r="AF27" s="27">
        <v>0</v>
      </c>
      <c r="AG27" s="86">
        <v>0</v>
      </c>
    </row>
    <row r="28" spans="1:33" x14ac:dyDescent="0.25">
      <c r="A28" s="5" t="s">
        <v>75</v>
      </c>
      <c r="B28" s="2" t="s">
        <v>74</v>
      </c>
      <c r="C28" s="1" t="s">
        <v>326</v>
      </c>
      <c r="D28" s="2"/>
      <c r="E28" s="2"/>
      <c r="F28" s="2"/>
      <c r="G28" s="2"/>
      <c r="H28" s="2"/>
      <c r="I28" s="2"/>
      <c r="J28" s="2"/>
      <c r="K28" s="2"/>
      <c r="L28" s="2"/>
      <c r="M28" s="2"/>
      <c r="N28" s="2"/>
      <c r="O28" s="2"/>
      <c r="P28" s="2"/>
      <c r="Q28" s="2"/>
      <c r="R28" s="2"/>
      <c r="S28" s="2"/>
      <c r="T28" s="2"/>
      <c r="U28" s="27">
        <v>0</v>
      </c>
      <c r="V28" s="27">
        <v>0</v>
      </c>
      <c r="W28" s="27">
        <v>0</v>
      </c>
      <c r="X28" s="27">
        <v>0</v>
      </c>
      <c r="Y28" s="27">
        <v>0</v>
      </c>
      <c r="Z28" s="27">
        <v>0</v>
      </c>
      <c r="AA28" s="27">
        <v>0</v>
      </c>
      <c r="AB28" s="27">
        <v>0</v>
      </c>
      <c r="AC28" s="27">
        <v>0</v>
      </c>
      <c r="AD28" s="27">
        <v>0</v>
      </c>
      <c r="AE28" s="27">
        <v>0</v>
      </c>
      <c r="AF28" s="27">
        <v>0</v>
      </c>
      <c r="AG28" s="86">
        <v>0</v>
      </c>
    </row>
    <row r="29" spans="1:33" x14ac:dyDescent="0.25">
      <c r="A29" s="5" t="s">
        <v>77</v>
      </c>
      <c r="B29" s="2" t="s">
        <v>76</v>
      </c>
      <c r="C29" s="1" t="s">
        <v>326</v>
      </c>
      <c r="D29" s="2"/>
      <c r="E29" s="2"/>
      <c r="F29" s="2"/>
      <c r="G29" s="2"/>
      <c r="H29" s="2"/>
      <c r="I29" s="2"/>
      <c r="J29" s="2"/>
      <c r="K29" s="2"/>
      <c r="L29" s="2"/>
      <c r="M29" s="2"/>
      <c r="N29" s="2"/>
      <c r="O29" s="2"/>
      <c r="P29" s="2"/>
      <c r="Q29" s="2"/>
      <c r="R29" s="2"/>
      <c r="S29" s="2"/>
      <c r="T29" s="2"/>
      <c r="U29" s="27">
        <v>0</v>
      </c>
      <c r="V29" s="27">
        <v>0</v>
      </c>
      <c r="W29" s="27">
        <v>0</v>
      </c>
      <c r="X29" s="27">
        <v>0</v>
      </c>
      <c r="Y29" s="27">
        <v>0</v>
      </c>
      <c r="Z29" s="27">
        <v>0</v>
      </c>
      <c r="AA29" s="27">
        <v>0</v>
      </c>
      <c r="AB29" s="27">
        <v>0</v>
      </c>
      <c r="AC29" s="27">
        <v>0</v>
      </c>
      <c r="AD29" s="27">
        <v>0</v>
      </c>
      <c r="AE29" s="27">
        <v>0</v>
      </c>
      <c r="AF29" s="27">
        <v>0</v>
      </c>
      <c r="AG29" s="86">
        <v>0</v>
      </c>
    </row>
    <row r="30" spans="1:33" x14ac:dyDescent="0.25">
      <c r="A30" s="5" t="s">
        <v>79</v>
      </c>
      <c r="B30" s="2" t="s">
        <v>78</v>
      </c>
      <c r="C30" s="1" t="s">
        <v>326</v>
      </c>
      <c r="D30" s="2"/>
      <c r="E30" s="2"/>
      <c r="F30" s="2"/>
      <c r="G30" s="2"/>
      <c r="H30" s="2"/>
      <c r="I30" s="2"/>
      <c r="J30" s="2"/>
      <c r="K30" s="2"/>
      <c r="L30" s="2"/>
      <c r="M30" s="2"/>
      <c r="N30" s="2"/>
      <c r="O30" s="2"/>
      <c r="P30" s="2"/>
      <c r="Q30" s="2"/>
      <c r="R30" s="2"/>
      <c r="S30" s="2"/>
      <c r="T30" s="2"/>
      <c r="U30" s="27">
        <v>0</v>
      </c>
      <c r="V30" s="27">
        <v>0</v>
      </c>
      <c r="W30" s="27">
        <v>0</v>
      </c>
      <c r="X30" s="27">
        <v>0</v>
      </c>
      <c r="Y30" s="27">
        <v>0</v>
      </c>
      <c r="Z30" s="27">
        <v>0</v>
      </c>
      <c r="AA30" s="27">
        <v>0</v>
      </c>
      <c r="AB30" s="27">
        <v>0</v>
      </c>
      <c r="AC30" s="27">
        <v>0</v>
      </c>
      <c r="AD30" s="27">
        <v>0</v>
      </c>
      <c r="AE30" s="27">
        <v>0</v>
      </c>
      <c r="AF30" s="27">
        <v>0</v>
      </c>
      <c r="AG30" s="86">
        <v>0</v>
      </c>
    </row>
    <row r="31" spans="1:33" x14ac:dyDescent="0.25">
      <c r="A31" s="5" t="s">
        <v>81</v>
      </c>
      <c r="B31" s="2" t="s">
        <v>80</v>
      </c>
      <c r="C31" s="1" t="s">
        <v>326</v>
      </c>
      <c r="D31" s="2"/>
      <c r="E31" s="2"/>
      <c r="F31" s="2"/>
      <c r="G31" s="2"/>
      <c r="H31" s="2"/>
      <c r="I31" s="2"/>
      <c r="J31" s="2"/>
      <c r="K31" s="2"/>
      <c r="L31" s="2"/>
      <c r="M31" s="2"/>
      <c r="N31" s="2"/>
      <c r="O31" s="2"/>
      <c r="P31" s="2"/>
      <c r="Q31" s="2"/>
      <c r="R31" s="2"/>
      <c r="S31" s="2"/>
      <c r="T31" s="2"/>
      <c r="U31" s="27">
        <v>0</v>
      </c>
      <c r="V31" s="27">
        <v>0</v>
      </c>
      <c r="W31" s="27">
        <v>0</v>
      </c>
      <c r="X31" s="27">
        <v>0</v>
      </c>
      <c r="Y31" s="27">
        <v>0</v>
      </c>
      <c r="Z31" s="27">
        <v>0</v>
      </c>
      <c r="AA31" s="27">
        <v>0</v>
      </c>
      <c r="AB31" s="27">
        <v>0</v>
      </c>
      <c r="AC31" s="27">
        <v>0</v>
      </c>
      <c r="AD31" s="27">
        <v>0</v>
      </c>
      <c r="AE31" s="27">
        <v>0</v>
      </c>
      <c r="AF31" s="27">
        <v>0</v>
      </c>
      <c r="AG31" s="86">
        <v>0</v>
      </c>
    </row>
    <row r="32" spans="1:33" x14ac:dyDescent="0.25">
      <c r="A32" s="5" t="s">
        <v>83</v>
      </c>
      <c r="B32" s="2" t="s">
        <v>82</v>
      </c>
      <c r="C32" s="1" t="s">
        <v>326</v>
      </c>
      <c r="D32" s="2"/>
      <c r="E32" s="2"/>
      <c r="F32" s="2"/>
      <c r="G32" s="2"/>
      <c r="H32" s="2"/>
      <c r="I32" s="2"/>
      <c r="J32" s="2"/>
      <c r="K32" s="2"/>
      <c r="L32" s="2"/>
      <c r="M32" s="2"/>
      <c r="N32" s="2"/>
      <c r="O32" s="2"/>
      <c r="P32" s="2"/>
      <c r="Q32" s="2"/>
      <c r="R32" s="2"/>
      <c r="S32" s="2"/>
      <c r="T32" s="2"/>
      <c r="U32" s="27">
        <v>0</v>
      </c>
      <c r="V32" s="27">
        <v>0</v>
      </c>
      <c r="W32" s="27">
        <v>0</v>
      </c>
      <c r="X32" s="27">
        <v>0</v>
      </c>
      <c r="Y32" s="27">
        <v>0</v>
      </c>
      <c r="Z32" s="27">
        <v>0</v>
      </c>
      <c r="AA32" s="27">
        <v>0</v>
      </c>
      <c r="AB32" s="27">
        <v>0</v>
      </c>
      <c r="AC32" s="27">
        <v>0</v>
      </c>
      <c r="AD32" s="27">
        <v>0</v>
      </c>
      <c r="AE32" s="27">
        <v>0</v>
      </c>
      <c r="AF32" s="27">
        <v>0</v>
      </c>
      <c r="AG32" s="86">
        <v>0</v>
      </c>
    </row>
    <row r="33" spans="1:33" x14ac:dyDescent="0.25">
      <c r="A33" s="5" t="s">
        <v>85</v>
      </c>
      <c r="B33" s="2" t="s">
        <v>84</v>
      </c>
      <c r="C33" s="1" t="s">
        <v>326</v>
      </c>
      <c r="D33" s="2"/>
      <c r="E33" s="2"/>
      <c r="F33" s="2"/>
      <c r="G33" s="2"/>
      <c r="H33" s="2"/>
      <c r="I33" s="2"/>
      <c r="J33" s="2"/>
      <c r="K33" s="2"/>
      <c r="L33" s="2"/>
      <c r="M33" s="2"/>
      <c r="N33" s="2"/>
      <c r="O33" s="2"/>
      <c r="P33" s="2"/>
      <c r="Q33" s="2"/>
      <c r="R33" s="2"/>
      <c r="S33" s="2"/>
      <c r="T33" s="2"/>
      <c r="U33" s="27">
        <v>0</v>
      </c>
      <c r="V33" s="27">
        <v>0</v>
      </c>
      <c r="W33" s="27">
        <v>0</v>
      </c>
      <c r="X33" s="27">
        <v>0</v>
      </c>
      <c r="Y33" s="27">
        <v>0</v>
      </c>
      <c r="Z33" s="27">
        <v>0</v>
      </c>
      <c r="AA33" s="27">
        <v>0</v>
      </c>
      <c r="AB33" s="27">
        <v>0</v>
      </c>
      <c r="AC33" s="27">
        <v>0</v>
      </c>
      <c r="AD33" s="27">
        <v>0</v>
      </c>
      <c r="AE33" s="27">
        <v>0</v>
      </c>
      <c r="AF33" s="27">
        <v>0</v>
      </c>
      <c r="AG33" s="86">
        <v>0</v>
      </c>
    </row>
    <row r="34" spans="1:33" x14ac:dyDescent="0.25">
      <c r="A34" s="5" t="s">
        <v>87</v>
      </c>
      <c r="B34" s="2" t="s">
        <v>86</v>
      </c>
      <c r="C34" s="1" t="s">
        <v>326</v>
      </c>
      <c r="D34" s="2"/>
      <c r="E34" s="2"/>
      <c r="F34" s="2"/>
      <c r="G34" s="2"/>
      <c r="H34" s="2"/>
      <c r="I34" s="2"/>
      <c r="J34" s="2"/>
      <c r="K34" s="2"/>
      <c r="L34" s="2"/>
      <c r="M34" s="2"/>
      <c r="N34" s="2"/>
      <c r="O34" s="2"/>
      <c r="P34" s="2"/>
      <c r="Q34" s="2"/>
      <c r="R34" s="2"/>
      <c r="S34" s="2"/>
      <c r="T34" s="2"/>
      <c r="U34" s="27">
        <v>0</v>
      </c>
      <c r="V34" s="27">
        <v>0</v>
      </c>
      <c r="W34" s="27">
        <v>0</v>
      </c>
      <c r="X34" s="27">
        <v>0</v>
      </c>
      <c r="Y34" s="27">
        <v>0</v>
      </c>
      <c r="Z34" s="27">
        <v>0</v>
      </c>
      <c r="AA34" s="27">
        <v>0</v>
      </c>
      <c r="AB34" s="27">
        <v>0</v>
      </c>
      <c r="AC34" s="27">
        <v>0</v>
      </c>
      <c r="AD34" s="27">
        <v>0</v>
      </c>
      <c r="AE34" s="27">
        <v>0</v>
      </c>
      <c r="AF34" s="27">
        <v>0</v>
      </c>
      <c r="AG34" s="86">
        <v>0</v>
      </c>
    </row>
    <row r="35" spans="1:33" x14ac:dyDescent="0.25">
      <c r="A35" s="5" t="s">
        <v>89</v>
      </c>
      <c r="B35" s="2" t="s">
        <v>88</v>
      </c>
      <c r="C35" s="1" t="s">
        <v>326</v>
      </c>
      <c r="D35" s="2"/>
      <c r="E35" s="2"/>
      <c r="F35" s="2"/>
      <c r="G35" s="2"/>
      <c r="H35" s="2"/>
      <c r="I35" s="2"/>
      <c r="J35" s="2"/>
      <c r="K35" s="2"/>
      <c r="L35" s="2"/>
      <c r="M35" s="2"/>
      <c r="N35" s="2"/>
      <c r="O35" s="2"/>
      <c r="P35" s="2"/>
      <c r="Q35" s="2"/>
      <c r="R35" s="2"/>
      <c r="S35" s="2"/>
      <c r="T35" s="2"/>
      <c r="U35" s="27">
        <v>0</v>
      </c>
      <c r="V35" s="27">
        <v>0</v>
      </c>
      <c r="W35" s="27">
        <v>0</v>
      </c>
      <c r="X35" s="27">
        <v>0</v>
      </c>
      <c r="Y35" s="27">
        <v>0</v>
      </c>
      <c r="Z35" s="27">
        <v>0</v>
      </c>
      <c r="AA35" s="27">
        <v>0</v>
      </c>
      <c r="AB35" s="27">
        <v>0</v>
      </c>
      <c r="AC35" s="27">
        <v>0</v>
      </c>
      <c r="AD35" s="27">
        <v>0</v>
      </c>
      <c r="AE35" s="27">
        <v>0</v>
      </c>
      <c r="AF35" s="27">
        <v>0</v>
      </c>
      <c r="AG35" s="86">
        <v>0</v>
      </c>
    </row>
    <row r="36" spans="1:33" x14ac:dyDescent="0.25">
      <c r="A36" s="5" t="s">
        <v>91</v>
      </c>
      <c r="B36" s="2" t="s">
        <v>90</v>
      </c>
      <c r="C36" s="1" t="s">
        <v>327</v>
      </c>
      <c r="D36" s="2"/>
      <c r="E36" s="2"/>
      <c r="F36" s="2"/>
      <c r="G36" s="2"/>
      <c r="H36" s="2"/>
      <c r="I36" s="2"/>
      <c r="J36" s="2"/>
      <c r="K36" s="2"/>
      <c r="L36" s="2"/>
      <c r="M36" s="2"/>
      <c r="N36" s="2"/>
      <c r="O36" s="2"/>
      <c r="P36" s="2"/>
      <c r="Q36" s="2"/>
      <c r="R36" s="2"/>
      <c r="S36" s="2"/>
      <c r="T36" s="2"/>
      <c r="U36" s="27">
        <v>0</v>
      </c>
      <c r="V36" s="27">
        <v>0</v>
      </c>
      <c r="W36" s="27">
        <v>0</v>
      </c>
      <c r="X36" s="27">
        <v>0</v>
      </c>
      <c r="Y36" s="27">
        <v>0</v>
      </c>
      <c r="Z36" s="27">
        <v>0</v>
      </c>
      <c r="AA36" s="27">
        <v>0</v>
      </c>
      <c r="AB36" s="27">
        <v>0</v>
      </c>
      <c r="AC36" s="27">
        <v>0</v>
      </c>
      <c r="AD36" s="27">
        <v>0</v>
      </c>
      <c r="AE36" s="27">
        <v>0</v>
      </c>
      <c r="AF36" s="27">
        <v>0</v>
      </c>
      <c r="AG36" s="86">
        <v>0</v>
      </c>
    </row>
    <row r="37" spans="1:33" x14ac:dyDescent="0.25">
      <c r="A37" s="5" t="s">
        <v>93</v>
      </c>
      <c r="B37" s="2" t="s">
        <v>92</v>
      </c>
      <c r="C37" s="1" t="s">
        <v>327</v>
      </c>
      <c r="D37" s="2"/>
      <c r="E37" s="2"/>
      <c r="F37" s="2"/>
      <c r="G37" s="2"/>
      <c r="H37" s="2"/>
      <c r="I37" s="2"/>
      <c r="J37" s="2"/>
      <c r="K37" s="2"/>
      <c r="L37" s="2"/>
      <c r="M37" s="2"/>
      <c r="N37" s="2"/>
      <c r="O37" s="2"/>
      <c r="P37" s="2"/>
      <c r="Q37" s="2"/>
      <c r="R37" s="2"/>
      <c r="S37" s="2"/>
      <c r="T37" s="2"/>
      <c r="U37" s="27">
        <v>0</v>
      </c>
      <c r="V37" s="27">
        <v>0</v>
      </c>
      <c r="W37" s="27">
        <v>0</v>
      </c>
      <c r="X37" s="27">
        <v>0</v>
      </c>
      <c r="Y37" s="27">
        <v>0</v>
      </c>
      <c r="Z37" s="27">
        <v>0</v>
      </c>
      <c r="AA37" s="27">
        <v>0</v>
      </c>
      <c r="AB37" s="27">
        <v>0</v>
      </c>
      <c r="AC37" s="27">
        <v>0</v>
      </c>
      <c r="AD37" s="27">
        <v>0</v>
      </c>
      <c r="AE37" s="27">
        <v>0</v>
      </c>
      <c r="AF37" s="27">
        <v>0</v>
      </c>
      <c r="AG37" s="86">
        <v>0</v>
      </c>
    </row>
    <row r="38" spans="1:33" x14ac:dyDescent="0.25">
      <c r="A38" s="5" t="s">
        <v>95</v>
      </c>
      <c r="B38" s="2" t="s">
        <v>94</v>
      </c>
      <c r="C38" s="1" t="s">
        <v>327</v>
      </c>
      <c r="D38" s="2"/>
      <c r="E38" s="2"/>
      <c r="F38" s="2"/>
      <c r="G38" s="2"/>
      <c r="H38" s="2"/>
      <c r="I38" s="2"/>
      <c r="J38" s="2"/>
      <c r="K38" s="2"/>
      <c r="L38" s="2"/>
      <c r="M38" s="2"/>
      <c r="N38" s="2"/>
      <c r="O38" s="2"/>
      <c r="P38" s="2"/>
      <c r="Q38" s="2"/>
      <c r="R38" s="2"/>
      <c r="S38" s="2"/>
      <c r="T38" s="2"/>
      <c r="U38" s="27">
        <v>0</v>
      </c>
      <c r="V38" s="27">
        <v>0</v>
      </c>
      <c r="W38" s="27">
        <v>0</v>
      </c>
      <c r="X38" s="27">
        <v>0</v>
      </c>
      <c r="Y38" s="27">
        <v>0</v>
      </c>
      <c r="Z38" s="27">
        <v>0</v>
      </c>
      <c r="AA38" s="27">
        <v>0</v>
      </c>
      <c r="AB38" s="27">
        <v>0</v>
      </c>
      <c r="AC38" s="27">
        <v>0</v>
      </c>
      <c r="AD38" s="27">
        <v>0</v>
      </c>
      <c r="AE38" s="27">
        <v>0</v>
      </c>
      <c r="AF38" s="27">
        <v>0</v>
      </c>
      <c r="AG38" s="86">
        <v>0</v>
      </c>
    </row>
    <row r="39" spans="1:33" x14ac:dyDescent="0.25">
      <c r="A39" s="5" t="s">
        <v>97</v>
      </c>
      <c r="B39" s="2" t="s">
        <v>96</v>
      </c>
      <c r="C39" s="1" t="s">
        <v>327</v>
      </c>
      <c r="D39" s="2"/>
      <c r="E39" s="2"/>
      <c r="F39" s="2"/>
      <c r="G39" s="2"/>
      <c r="H39" s="2"/>
      <c r="I39" s="2"/>
      <c r="J39" s="2"/>
      <c r="K39" s="2"/>
      <c r="L39" s="2"/>
      <c r="M39" s="2"/>
      <c r="N39" s="2"/>
      <c r="O39" s="2"/>
      <c r="P39" s="2"/>
      <c r="Q39" s="2"/>
      <c r="R39" s="2"/>
      <c r="S39" s="2"/>
      <c r="T39" s="2"/>
      <c r="U39" s="27">
        <v>0</v>
      </c>
      <c r="V39" s="27">
        <v>0</v>
      </c>
      <c r="W39" s="27">
        <v>0</v>
      </c>
      <c r="X39" s="27">
        <v>0</v>
      </c>
      <c r="Y39" s="27">
        <v>0</v>
      </c>
      <c r="Z39" s="27">
        <v>0</v>
      </c>
      <c r="AA39" s="27">
        <v>0</v>
      </c>
      <c r="AB39" s="27">
        <v>0</v>
      </c>
      <c r="AC39" s="27">
        <v>0</v>
      </c>
      <c r="AD39" s="27">
        <v>0</v>
      </c>
      <c r="AE39" s="27">
        <v>0</v>
      </c>
      <c r="AF39" s="27">
        <v>0</v>
      </c>
      <c r="AG39" s="86">
        <v>0</v>
      </c>
    </row>
    <row r="40" spans="1:33" x14ac:dyDescent="0.25">
      <c r="A40" s="5" t="s">
        <v>99</v>
      </c>
      <c r="B40" s="2" t="s">
        <v>98</v>
      </c>
      <c r="C40" s="1" t="s">
        <v>327</v>
      </c>
      <c r="D40" s="2"/>
      <c r="E40" s="2"/>
      <c r="F40" s="2"/>
      <c r="G40" s="2"/>
      <c r="H40" s="2"/>
      <c r="I40" s="2"/>
      <c r="J40" s="2"/>
      <c r="K40" s="2"/>
      <c r="L40" s="2"/>
      <c r="M40" s="2"/>
      <c r="N40" s="2"/>
      <c r="O40" s="2"/>
      <c r="P40" s="2"/>
      <c r="Q40" s="2"/>
      <c r="R40" s="2"/>
      <c r="S40" s="2"/>
      <c r="T40" s="2"/>
      <c r="U40" s="27">
        <v>0</v>
      </c>
      <c r="V40" s="27">
        <v>0</v>
      </c>
      <c r="W40" s="27">
        <v>0</v>
      </c>
      <c r="X40" s="27">
        <v>0</v>
      </c>
      <c r="Y40" s="27">
        <v>0</v>
      </c>
      <c r="Z40" s="27">
        <v>0</v>
      </c>
      <c r="AA40" s="27">
        <v>0</v>
      </c>
      <c r="AB40" s="27">
        <v>0</v>
      </c>
      <c r="AC40" s="27">
        <v>0</v>
      </c>
      <c r="AD40" s="27">
        <v>0</v>
      </c>
      <c r="AE40" s="27">
        <v>0</v>
      </c>
      <c r="AF40" s="27">
        <v>0</v>
      </c>
      <c r="AG40" s="86">
        <v>0</v>
      </c>
    </row>
    <row r="41" spans="1:33" x14ac:dyDescent="0.25">
      <c r="A41" s="5" t="s">
        <v>101</v>
      </c>
      <c r="B41" s="2" t="s">
        <v>100</v>
      </c>
      <c r="C41" s="1" t="s">
        <v>327</v>
      </c>
      <c r="D41" s="2"/>
      <c r="E41" s="2"/>
      <c r="F41" s="2"/>
      <c r="G41" s="2"/>
      <c r="H41" s="2"/>
      <c r="I41" s="2"/>
      <c r="J41" s="2"/>
      <c r="K41" s="2"/>
      <c r="L41" s="2"/>
      <c r="M41" s="2"/>
      <c r="N41" s="2"/>
      <c r="O41" s="2"/>
      <c r="P41" s="2"/>
      <c r="Q41" s="2"/>
      <c r="R41" s="2"/>
      <c r="S41" s="2"/>
      <c r="T41" s="2"/>
      <c r="U41" s="27">
        <v>0</v>
      </c>
      <c r="V41" s="27">
        <v>0</v>
      </c>
      <c r="W41" s="27">
        <v>0</v>
      </c>
      <c r="X41" s="27">
        <v>0</v>
      </c>
      <c r="Y41" s="27">
        <v>0</v>
      </c>
      <c r="Z41" s="27">
        <v>0</v>
      </c>
      <c r="AA41" s="27">
        <v>0</v>
      </c>
      <c r="AB41" s="27">
        <v>0</v>
      </c>
      <c r="AC41" s="27">
        <v>0</v>
      </c>
      <c r="AD41" s="27">
        <v>0</v>
      </c>
      <c r="AE41" s="27">
        <v>0</v>
      </c>
      <c r="AF41" s="27">
        <v>0</v>
      </c>
      <c r="AG41" s="86">
        <v>0</v>
      </c>
    </row>
    <row r="42" spans="1:33" x14ac:dyDescent="0.25">
      <c r="A42" s="5" t="s">
        <v>103</v>
      </c>
      <c r="B42" s="2" t="s">
        <v>102</v>
      </c>
      <c r="C42" s="1" t="s">
        <v>327</v>
      </c>
      <c r="D42" s="2"/>
      <c r="E42" s="2"/>
      <c r="F42" s="2"/>
      <c r="G42" s="2"/>
      <c r="H42" s="2"/>
      <c r="I42" s="2"/>
      <c r="J42" s="2"/>
      <c r="K42" s="2"/>
      <c r="L42" s="2"/>
      <c r="M42" s="2"/>
      <c r="N42" s="2"/>
      <c r="O42" s="2"/>
      <c r="P42" s="2"/>
      <c r="Q42" s="2"/>
      <c r="R42" s="2"/>
      <c r="S42" s="2"/>
      <c r="T42" s="2"/>
      <c r="U42" s="27">
        <v>0</v>
      </c>
      <c r="V42" s="27">
        <v>0</v>
      </c>
      <c r="W42" s="27">
        <v>0</v>
      </c>
      <c r="X42" s="27">
        <v>0</v>
      </c>
      <c r="Y42" s="27">
        <v>0</v>
      </c>
      <c r="Z42" s="27">
        <v>0</v>
      </c>
      <c r="AA42" s="27">
        <v>0</v>
      </c>
      <c r="AB42" s="27">
        <v>0</v>
      </c>
      <c r="AC42" s="27">
        <v>0</v>
      </c>
      <c r="AD42" s="27">
        <v>0</v>
      </c>
      <c r="AE42" s="27">
        <v>0</v>
      </c>
      <c r="AF42" s="27">
        <v>0</v>
      </c>
      <c r="AG42" s="86">
        <v>0</v>
      </c>
    </row>
    <row r="43" spans="1:33" x14ac:dyDescent="0.25">
      <c r="A43" s="5" t="s">
        <v>105</v>
      </c>
      <c r="B43" s="2" t="s">
        <v>104</v>
      </c>
      <c r="C43" s="1" t="s">
        <v>327</v>
      </c>
      <c r="D43" s="2"/>
      <c r="E43" s="2"/>
      <c r="F43" s="2"/>
      <c r="G43" s="2"/>
      <c r="H43" s="2"/>
      <c r="I43" s="2"/>
      <c r="J43" s="2"/>
      <c r="K43" s="2"/>
      <c r="L43" s="2"/>
      <c r="M43" s="2"/>
      <c r="N43" s="2"/>
      <c r="O43" s="2"/>
      <c r="P43" s="2"/>
      <c r="Q43" s="2"/>
      <c r="R43" s="2"/>
      <c r="S43" s="2"/>
      <c r="T43" s="2"/>
      <c r="U43" s="27">
        <v>0</v>
      </c>
      <c r="V43" s="27">
        <v>0</v>
      </c>
      <c r="W43" s="27">
        <v>0</v>
      </c>
      <c r="X43" s="27">
        <v>0</v>
      </c>
      <c r="Y43" s="27">
        <v>0</v>
      </c>
      <c r="Z43" s="27">
        <v>0</v>
      </c>
      <c r="AA43" s="27">
        <v>0</v>
      </c>
      <c r="AB43" s="27">
        <v>0</v>
      </c>
      <c r="AC43" s="27">
        <v>0</v>
      </c>
      <c r="AD43" s="27">
        <v>0</v>
      </c>
      <c r="AE43" s="27">
        <v>0</v>
      </c>
      <c r="AF43" s="27">
        <v>0</v>
      </c>
      <c r="AG43" s="86">
        <v>0</v>
      </c>
    </row>
    <row r="44" spans="1:33" x14ac:dyDescent="0.25">
      <c r="A44" s="5" t="s">
        <v>107</v>
      </c>
      <c r="B44" s="2" t="s">
        <v>106</v>
      </c>
      <c r="C44" s="1" t="s">
        <v>327</v>
      </c>
      <c r="D44" s="2"/>
      <c r="E44" s="2"/>
      <c r="F44" s="2"/>
      <c r="G44" s="2"/>
      <c r="H44" s="2"/>
      <c r="I44" s="2"/>
      <c r="J44" s="2"/>
      <c r="K44" s="2"/>
      <c r="L44" s="2"/>
      <c r="M44" s="2"/>
      <c r="N44" s="2"/>
      <c r="O44" s="2"/>
      <c r="P44" s="2"/>
      <c r="Q44" s="2"/>
      <c r="R44" s="2"/>
      <c r="S44" s="2"/>
      <c r="T44" s="2"/>
      <c r="U44" s="27">
        <v>0</v>
      </c>
      <c r="V44" s="27">
        <v>0</v>
      </c>
      <c r="W44" s="27">
        <v>0</v>
      </c>
      <c r="X44" s="27">
        <v>0</v>
      </c>
      <c r="Y44" s="27">
        <v>0</v>
      </c>
      <c r="Z44" s="27">
        <v>0</v>
      </c>
      <c r="AA44" s="27">
        <v>0</v>
      </c>
      <c r="AB44" s="27">
        <v>0</v>
      </c>
      <c r="AC44" s="27">
        <v>0</v>
      </c>
      <c r="AD44" s="27">
        <v>0</v>
      </c>
      <c r="AE44" s="27">
        <v>0</v>
      </c>
      <c r="AF44" s="27">
        <v>0</v>
      </c>
      <c r="AG44" s="86">
        <v>0</v>
      </c>
    </row>
    <row r="45" spans="1:33" x14ac:dyDescent="0.25">
      <c r="A45" s="5" t="s">
        <v>109</v>
      </c>
      <c r="B45" s="2" t="s">
        <v>108</v>
      </c>
      <c r="C45" s="1" t="s">
        <v>327</v>
      </c>
      <c r="D45" s="2"/>
      <c r="E45" s="2"/>
      <c r="F45" s="2"/>
      <c r="G45" s="2"/>
      <c r="H45" s="2"/>
      <c r="I45" s="2"/>
      <c r="J45" s="2"/>
      <c r="K45" s="2"/>
      <c r="L45" s="2"/>
      <c r="M45" s="2"/>
      <c r="N45" s="2"/>
      <c r="O45" s="2"/>
      <c r="P45" s="2"/>
      <c r="Q45" s="2"/>
      <c r="R45" s="2"/>
      <c r="S45" s="2"/>
      <c r="T45" s="2"/>
      <c r="U45" s="27">
        <v>0</v>
      </c>
      <c r="V45" s="27">
        <v>0</v>
      </c>
      <c r="W45" s="27">
        <v>0</v>
      </c>
      <c r="X45" s="27">
        <v>0</v>
      </c>
      <c r="Y45" s="27">
        <v>0</v>
      </c>
      <c r="Z45" s="27">
        <v>0</v>
      </c>
      <c r="AA45" s="27">
        <v>0</v>
      </c>
      <c r="AB45" s="27">
        <v>0</v>
      </c>
      <c r="AC45" s="27">
        <v>0</v>
      </c>
      <c r="AD45" s="27">
        <v>0</v>
      </c>
      <c r="AE45" s="27">
        <v>0</v>
      </c>
      <c r="AF45" s="27">
        <v>0</v>
      </c>
      <c r="AG45" s="86">
        <v>0</v>
      </c>
    </row>
    <row r="46" spans="1:33" x14ac:dyDescent="0.25">
      <c r="A46" s="5" t="s">
        <v>111</v>
      </c>
      <c r="B46" s="2" t="s">
        <v>110</v>
      </c>
      <c r="C46" s="1" t="s">
        <v>327</v>
      </c>
      <c r="D46" s="2"/>
      <c r="E46" s="2"/>
      <c r="F46" s="2"/>
      <c r="G46" s="2"/>
      <c r="H46" s="2"/>
      <c r="I46" s="2"/>
      <c r="J46" s="2"/>
      <c r="K46" s="2"/>
      <c r="L46" s="2"/>
      <c r="M46" s="2"/>
      <c r="N46" s="2"/>
      <c r="O46" s="2"/>
      <c r="P46" s="2"/>
      <c r="Q46" s="2"/>
      <c r="R46" s="2"/>
      <c r="S46" s="2"/>
      <c r="T46" s="2"/>
      <c r="U46" s="27">
        <v>0</v>
      </c>
      <c r="V46" s="27">
        <v>0</v>
      </c>
      <c r="W46" s="27">
        <v>0</v>
      </c>
      <c r="X46" s="27">
        <v>0</v>
      </c>
      <c r="Y46" s="27">
        <v>0</v>
      </c>
      <c r="Z46" s="27">
        <v>0</v>
      </c>
      <c r="AA46" s="27">
        <v>0</v>
      </c>
      <c r="AB46" s="27">
        <v>0</v>
      </c>
      <c r="AC46" s="27">
        <v>0</v>
      </c>
      <c r="AD46" s="27">
        <v>0</v>
      </c>
      <c r="AE46" s="27">
        <v>0</v>
      </c>
      <c r="AF46" s="27">
        <v>0</v>
      </c>
      <c r="AG46" s="86">
        <v>0</v>
      </c>
    </row>
    <row r="47" spans="1:33" x14ac:dyDescent="0.25">
      <c r="A47" s="5" t="s">
        <v>113</v>
      </c>
      <c r="B47" s="2" t="s">
        <v>112</v>
      </c>
      <c r="C47" s="1" t="s">
        <v>327</v>
      </c>
      <c r="D47" s="2"/>
      <c r="E47" s="2"/>
      <c r="F47" s="2"/>
      <c r="G47" s="2"/>
      <c r="H47" s="2"/>
      <c r="I47" s="2"/>
      <c r="J47" s="2"/>
      <c r="K47" s="2"/>
      <c r="L47" s="2"/>
      <c r="M47" s="2"/>
      <c r="N47" s="2"/>
      <c r="O47" s="2"/>
      <c r="P47" s="2"/>
      <c r="Q47" s="2"/>
      <c r="R47" s="2"/>
      <c r="S47" s="2"/>
      <c r="T47" s="2"/>
      <c r="U47" s="27">
        <v>0</v>
      </c>
      <c r="V47" s="27">
        <v>0</v>
      </c>
      <c r="W47" s="27">
        <v>0</v>
      </c>
      <c r="X47" s="27">
        <v>0</v>
      </c>
      <c r="Y47" s="27">
        <v>0</v>
      </c>
      <c r="Z47" s="27">
        <v>0</v>
      </c>
      <c r="AA47" s="27">
        <v>0</v>
      </c>
      <c r="AB47" s="27">
        <v>0</v>
      </c>
      <c r="AC47" s="27">
        <v>0</v>
      </c>
      <c r="AD47" s="27">
        <v>0</v>
      </c>
      <c r="AE47" s="27">
        <v>0</v>
      </c>
      <c r="AF47" s="27">
        <v>0</v>
      </c>
      <c r="AG47" s="86">
        <v>0</v>
      </c>
    </row>
    <row r="48" spans="1:33" x14ac:dyDescent="0.25">
      <c r="A48" s="5" t="s">
        <v>115</v>
      </c>
      <c r="B48" s="2" t="s">
        <v>114</v>
      </c>
      <c r="C48" s="1" t="s">
        <v>327</v>
      </c>
      <c r="D48" s="2"/>
      <c r="E48" s="2"/>
      <c r="F48" s="2"/>
      <c r="G48" s="2"/>
      <c r="H48" s="2"/>
      <c r="I48" s="2"/>
      <c r="J48" s="2"/>
      <c r="K48" s="2"/>
      <c r="L48" s="2"/>
      <c r="M48" s="2"/>
      <c r="N48" s="2"/>
      <c r="O48" s="2"/>
      <c r="P48" s="2"/>
      <c r="Q48" s="2"/>
      <c r="R48" s="2"/>
      <c r="S48" s="2"/>
      <c r="T48" s="2"/>
      <c r="U48" s="27">
        <v>0</v>
      </c>
      <c r="V48" s="27">
        <v>0</v>
      </c>
      <c r="W48" s="27">
        <v>0</v>
      </c>
      <c r="X48" s="27">
        <v>0</v>
      </c>
      <c r="Y48" s="27">
        <v>0</v>
      </c>
      <c r="Z48" s="27">
        <v>0</v>
      </c>
      <c r="AA48" s="27">
        <v>0</v>
      </c>
      <c r="AB48" s="27">
        <v>0</v>
      </c>
      <c r="AC48" s="27">
        <v>0</v>
      </c>
      <c r="AD48" s="27">
        <v>0</v>
      </c>
      <c r="AE48" s="27">
        <v>0</v>
      </c>
      <c r="AF48" s="27">
        <v>0</v>
      </c>
      <c r="AG48" s="86">
        <v>0</v>
      </c>
    </row>
    <row r="49" spans="1:33" x14ac:dyDescent="0.25">
      <c r="A49" s="5" t="s">
        <v>117</v>
      </c>
      <c r="B49" s="2" t="s">
        <v>116</v>
      </c>
      <c r="C49" s="1" t="s">
        <v>327</v>
      </c>
      <c r="D49" s="2"/>
      <c r="E49" s="2"/>
      <c r="F49" s="2"/>
      <c r="G49" s="2"/>
      <c r="H49" s="2"/>
      <c r="I49" s="2"/>
      <c r="J49" s="2"/>
      <c r="K49" s="2"/>
      <c r="L49" s="2"/>
      <c r="M49" s="2"/>
      <c r="N49" s="2"/>
      <c r="O49" s="2"/>
      <c r="P49" s="2"/>
      <c r="Q49" s="2"/>
      <c r="R49" s="2"/>
      <c r="S49" s="2"/>
      <c r="T49" s="2"/>
      <c r="U49" s="27">
        <v>0</v>
      </c>
      <c r="V49" s="27">
        <v>0</v>
      </c>
      <c r="W49" s="27">
        <v>0</v>
      </c>
      <c r="X49" s="27">
        <v>0</v>
      </c>
      <c r="Y49" s="27">
        <v>0</v>
      </c>
      <c r="Z49" s="27">
        <v>0</v>
      </c>
      <c r="AA49" s="27">
        <v>0</v>
      </c>
      <c r="AB49" s="27">
        <v>0</v>
      </c>
      <c r="AC49" s="27">
        <v>0</v>
      </c>
      <c r="AD49" s="27">
        <v>0</v>
      </c>
      <c r="AE49" s="27">
        <v>0</v>
      </c>
      <c r="AF49" s="27">
        <v>0</v>
      </c>
      <c r="AG49" s="86">
        <v>0</v>
      </c>
    </row>
    <row r="50" spans="1:33" x14ac:dyDescent="0.25">
      <c r="A50" s="5" t="s">
        <v>119</v>
      </c>
      <c r="B50" s="2" t="s">
        <v>118</v>
      </c>
      <c r="C50" s="1" t="s">
        <v>327</v>
      </c>
      <c r="D50" s="2"/>
      <c r="E50" s="2"/>
      <c r="F50" s="2"/>
      <c r="G50" s="2"/>
      <c r="H50" s="2"/>
      <c r="I50" s="2"/>
      <c r="J50" s="2"/>
      <c r="K50" s="2"/>
      <c r="L50" s="2"/>
      <c r="M50" s="2"/>
      <c r="N50" s="2"/>
      <c r="O50" s="2"/>
      <c r="P50" s="2"/>
      <c r="Q50" s="2"/>
      <c r="R50" s="2"/>
      <c r="S50" s="2"/>
      <c r="T50" s="2"/>
      <c r="U50" s="27">
        <v>0</v>
      </c>
      <c r="V50" s="27">
        <v>0</v>
      </c>
      <c r="W50" s="27">
        <v>0</v>
      </c>
      <c r="X50" s="27">
        <v>0</v>
      </c>
      <c r="Y50" s="27">
        <v>0</v>
      </c>
      <c r="Z50" s="27">
        <v>0</v>
      </c>
      <c r="AA50" s="27">
        <v>0</v>
      </c>
      <c r="AB50" s="27">
        <v>0</v>
      </c>
      <c r="AC50" s="27">
        <v>0</v>
      </c>
      <c r="AD50" s="27">
        <v>0</v>
      </c>
      <c r="AE50" s="27">
        <v>0</v>
      </c>
      <c r="AF50" s="27">
        <v>0</v>
      </c>
      <c r="AG50" s="86">
        <v>0</v>
      </c>
    </row>
    <row r="51" spans="1:33" x14ac:dyDescent="0.25">
      <c r="A51" s="5" t="s">
        <v>121</v>
      </c>
      <c r="B51" s="2" t="s">
        <v>120</v>
      </c>
      <c r="C51" s="1" t="s">
        <v>327</v>
      </c>
      <c r="D51" s="2"/>
      <c r="E51" s="2"/>
      <c r="F51" s="2"/>
      <c r="G51" s="2"/>
      <c r="H51" s="2"/>
      <c r="I51" s="2"/>
      <c r="J51" s="2"/>
      <c r="K51" s="2"/>
      <c r="L51" s="2"/>
      <c r="M51" s="2"/>
      <c r="N51" s="2"/>
      <c r="O51" s="2"/>
      <c r="P51" s="2"/>
      <c r="Q51" s="2"/>
      <c r="R51" s="2"/>
      <c r="S51" s="2"/>
      <c r="T51" s="2"/>
      <c r="U51" s="27">
        <v>0</v>
      </c>
      <c r="V51" s="27">
        <v>0</v>
      </c>
      <c r="W51" s="27">
        <v>0</v>
      </c>
      <c r="X51" s="27">
        <v>0</v>
      </c>
      <c r="Y51" s="27">
        <v>0</v>
      </c>
      <c r="Z51" s="27">
        <v>0</v>
      </c>
      <c r="AA51" s="27">
        <v>0</v>
      </c>
      <c r="AB51" s="27">
        <v>0</v>
      </c>
      <c r="AC51" s="27">
        <v>0</v>
      </c>
      <c r="AD51" s="27">
        <v>0</v>
      </c>
      <c r="AE51" s="27">
        <v>0</v>
      </c>
      <c r="AF51" s="27">
        <v>0</v>
      </c>
      <c r="AG51" s="86">
        <v>0</v>
      </c>
    </row>
    <row r="52" spans="1:33" x14ac:dyDescent="0.25">
      <c r="A52" s="5" t="s">
        <v>123</v>
      </c>
      <c r="B52" s="2" t="s">
        <v>122</v>
      </c>
      <c r="C52" s="1" t="s">
        <v>327</v>
      </c>
      <c r="D52" s="2"/>
      <c r="E52" s="2"/>
      <c r="F52" s="2"/>
      <c r="G52" s="2"/>
      <c r="H52" s="2"/>
      <c r="I52" s="2"/>
      <c r="J52" s="2"/>
      <c r="K52" s="2"/>
      <c r="L52" s="2"/>
      <c r="M52" s="2"/>
      <c r="N52" s="2"/>
      <c r="O52" s="2"/>
      <c r="P52" s="2"/>
      <c r="Q52" s="2"/>
      <c r="R52" s="2"/>
      <c r="S52" s="2"/>
      <c r="T52" s="2"/>
      <c r="U52" s="27">
        <v>0</v>
      </c>
      <c r="V52" s="27">
        <v>0</v>
      </c>
      <c r="W52" s="27">
        <v>0</v>
      </c>
      <c r="X52" s="27">
        <v>0</v>
      </c>
      <c r="Y52" s="27">
        <v>0</v>
      </c>
      <c r="Z52" s="27">
        <v>0</v>
      </c>
      <c r="AA52" s="27">
        <v>0</v>
      </c>
      <c r="AB52" s="27">
        <v>0</v>
      </c>
      <c r="AC52" s="27">
        <v>0</v>
      </c>
      <c r="AD52" s="27">
        <v>0</v>
      </c>
      <c r="AE52" s="27">
        <v>0</v>
      </c>
      <c r="AF52" s="27">
        <v>0</v>
      </c>
      <c r="AG52" s="86">
        <v>0</v>
      </c>
    </row>
    <row r="53" spans="1:33" x14ac:dyDescent="0.25">
      <c r="A53" s="5" t="s">
        <v>125</v>
      </c>
      <c r="B53" s="2" t="s">
        <v>124</v>
      </c>
      <c r="C53" s="1" t="s">
        <v>327</v>
      </c>
      <c r="D53" s="2"/>
      <c r="E53" s="2"/>
      <c r="F53" s="2"/>
      <c r="G53" s="2"/>
      <c r="H53" s="2"/>
      <c r="I53" s="2"/>
      <c r="J53" s="2"/>
      <c r="K53" s="2"/>
      <c r="L53" s="2"/>
      <c r="M53" s="2"/>
      <c r="N53" s="2"/>
      <c r="O53" s="2"/>
      <c r="P53" s="2"/>
      <c r="Q53" s="2"/>
      <c r="R53" s="2"/>
      <c r="S53" s="2"/>
      <c r="T53" s="2"/>
      <c r="U53" s="27">
        <v>0</v>
      </c>
      <c r="V53" s="27">
        <v>0</v>
      </c>
      <c r="W53" s="27">
        <v>0</v>
      </c>
      <c r="X53" s="27">
        <v>0</v>
      </c>
      <c r="Y53" s="27">
        <v>0</v>
      </c>
      <c r="Z53" s="27">
        <v>0</v>
      </c>
      <c r="AA53" s="27">
        <v>0</v>
      </c>
      <c r="AB53" s="27">
        <v>0</v>
      </c>
      <c r="AC53" s="27">
        <v>0</v>
      </c>
      <c r="AD53" s="27">
        <v>0</v>
      </c>
      <c r="AE53" s="27">
        <v>0</v>
      </c>
      <c r="AF53" s="27">
        <v>0</v>
      </c>
      <c r="AG53" s="86">
        <v>0</v>
      </c>
    </row>
    <row r="54" spans="1:33" x14ac:dyDescent="0.25">
      <c r="A54" s="5" t="s">
        <v>127</v>
      </c>
      <c r="B54" s="2" t="s">
        <v>126</v>
      </c>
      <c r="C54" s="1" t="s">
        <v>327</v>
      </c>
      <c r="D54" s="2"/>
      <c r="E54" s="2"/>
      <c r="F54" s="2"/>
      <c r="G54" s="2"/>
      <c r="H54" s="2"/>
      <c r="I54" s="2"/>
      <c r="J54" s="2"/>
      <c r="K54" s="2"/>
      <c r="L54" s="2"/>
      <c r="M54" s="2"/>
      <c r="N54" s="2"/>
      <c r="O54" s="2"/>
      <c r="P54" s="2"/>
      <c r="Q54" s="2"/>
      <c r="R54" s="2"/>
      <c r="S54" s="2"/>
      <c r="T54" s="2"/>
      <c r="U54" s="27">
        <v>0</v>
      </c>
      <c r="V54" s="27">
        <v>0</v>
      </c>
      <c r="W54" s="27">
        <v>0</v>
      </c>
      <c r="X54" s="27">
        <v>0</v>
      </c>
      <c r="Y54" s="27">
        <v>0</v>
      </c>
      <c r="Z54" s="27">
        <v>0</v>
      </c>
      <c r="AA54" s="27">
        <v>0</v>
      </c>
      <c r="AB54" s="27">
        <v>0</v>
      </c>
      <c r="AC54" s="27">
        <v>0</v>
      </c>
      <c r="AD54" s="27">
        <v>0</v>
      </c>
      <c r="AE54" s="27">
        <v>0</v>
      </c>
      <c r="AF54" s="27">
        <v>0</v>
      </c>
      <c r="AG54" s="86">
        <v>0</v>
      </c>
    </row>
    <row r="55" spans="1:33" x14ac:dyDescent="0.25">
      <c r="A55" s="5" t="s">
        <v>129</v>
      </c>
      <c r="B55" s="2" t="s">
        <v>128</v>
      </c>
      <c r="C55" s="1" t="s">
        <v>327</v>
      </c>
      <c r="D55" s="2"/>
      <c r="E55" s="2"/>
      <c r="F55" s="2"/>
      <c r="G55" s="2"/>
      <c r="H55" s="2"/>
      <c r="I55" s="2"/>
      <c r="J55" s="2"/>
      <c r="K55" s="2"/>
      <c r="L55" s="2"/>
      <c r="M55" s="2"/>
      <c r="N55" s="2"/>
      <c r="O55" s="2"/>
      <c r="P55" s="2"/>
      <c r="Q55" s="2"/>
      <c r="R55" s="2"/>
      <c r="S55" s="2"/>
      <c r="T55" s="2"/>
      <c r="U55" s="27">
        <v>0</v>
      </c>
      <c r="V55" s="27">
        <v>0</v>
      </c>
      <c r="W55" s="27">
        <v>0</v>
      </c>
      <c r="X55" s="27">
        <v>0</v>
      </c>
      <c r="Y55" s="27">
        <v>0</v>
      </c>
      <c r="Z55" s="27">
        <v>0</v>
      </c>
      <c r="AA55" s="27">
        <v>0</v>
      </c>
      <c r="AB55" s="27">
        <v>0</v>
      </c>
      <c r="AC55" s="27">
        <v>0</v>
      </c>
      <c r="AD55" s="27">
        <v>0</v>
      </c>
      <c r="AE55" s="27">
        <v>0</v>
      </c>
      <c r="AF55" s="27">
        <v>0</v>
      </c>
      <c r="AG55" s="86">
        <v>0</v>
      </c>
    </row>
    <row r="56" spans="1:33" x14ac:dyDescent="0.25">
      <c r="A56" s="6" t="s">
        <v>131</v>
      </c>
      <c r="B56" s="2" t="s">
        <v>130</v>
      </c>
      <c r="C56" s="1" t="s">
        <v>327</v>
      </c>
      <c r="D56" s="2"/>
      <c r="E56" s="2"/>
      <c r="F56" s="2"/>
      <c r="G56" s="2"/>
      <c r="H56" s="2"/>
      <c r="I56" s="2"/>
      <c r="J56" s="2"/>
      <c r="K56" s="2"/>
      <c r="L56" s="2"/>
      <c r="M56" s="2"/>
      <c r="N56" s="2"/>
      <c r="O56" s="2"/>
      <c r="P56" s="2"/>
      <c r="Q56" s="2"/>
      <c r="R56" s="2"/>
      <c r="S56" s="2"/>
      <c r="T56" s="2"/>
      <c r="U56" s="27">
        <v>0</v>
      </c>
      <c r="V56" s="27">
        <v>0</v>
      </c>
      <c r="W56" s="27">
        <v>0</v>
      </c>
      <c r="X56" s="27">
        <v>0</v>
      </c>
      <c r="Y56" s="27">
        <v>0</v>
      </c>
      <c r="Z56" s="27">
        <v>0</v>
      </c>
      <c r="AA56" s="27">
        <v>0</v>
      </c>
      <c r="AB56" s="27">
        <v>0</v>
      </c>
      <c r="AC56" s="27">
        <v>0</v>
      </c>
      <c r="AD56" s="27">
        <v>0</v>
      </c>
      <c r="AE56" s="27">
        <v>0</v>
      </c>
      <c r="AF56" s="27">
        <v>0</v>
      </c>
      <c r="AG56" s="86">
        <v>0</v>
      </c>
    </row>
    <row r="57" spans="1:33" x14ac:dyDescent="0.25">
      <c r="A57" s="5" t="s">
        <v>133</v>
      </c>
      <c r="B57" s="2" t="s">
        <v>132</v>
      </c>
      <c r="C57" s="1" t="s">
        <v>328</v>
      </c>
      <c r="D57" s="2"/>
      <c r="E57" s="2"/>
      <c r="F57" s="2"/>
      <c r="G57" s="2"/>
      <c r="H57" s="2"/>
      <c r="I57" s="2"/>
      <c r="J57" s="2"/>
      <c r="K57" s="2"/>
      <c r="L57" s="2"/>
      <c r="M57" s="2"/>
      <c r="N57" s="2"/>
      <c r="O57" s="2"/>
      <c r="P57" s="2"/>
      <c r="Q57" s="2"/>
      <c r="R57" s="2"/>
      <c r="S57" s="2"/>
      <c r="T57" s="2"/>
      <c r="U57" s="27">
        <v>0</v>
      </c>
      <c r="V57" s="27">
        <v>0</v>
      </c>
      <c r="W57" s="27">
        <v>0</v>
      </c>
      <c r="X57" s="27">
        <v>0</v>
      </c>
      <c r="Y57" s="27">
        <v>0</v>
      </c>
      <c r="Z57" s="27">
        <v>0</v>
      </c>
      <c r="AA57" s="27">
        <v>0</v>
      </c>
      <c r="AB57" s="27">
        <v>0</v>
      </c>
      <c r="AC57" s="27">
        <v>0</v>
      </c>
      <c r="AD57" s="27">
        <v>0</v>
      </c>
      <c r="AE57" s="27">
        <v>0</v>
      </c>
      <c r="AF57" s="27">
        <v>0</v>
      </c>
      <c r="AG57" s="86">
        <v>0</v>
      </c>
    </row>
    <row r="58" spans="1:33" x14ac:dyDescent="0.25">
      <c r="A58" s="5" t="s">
        <v>135</v>
      </c>
      <c r="B58" s="2" t="s">
        <v>134</v>
      </c>
      <c r="C58" s="1" t="s">
        <v>328</v>
      </c>
      <c r="D58" s="2"/>
      <c r="E58" s="2"/>
      <c r="F58" s="2"/>
      <c r="G58" s="2"/>
      <c r="H58" s="2"/>
      <c r="I58" s="2"/>
      <c r="J58" s="2"/>
      <c r="K58" s="2"/>
      <c r="L58" s="2"/>
      <c r="M58" s="2"/>
      <c r="N58" s="2"/>
      <c r="O58" s="2"/>
      <c r="P58" s="2"/>
      <c r="Q58" s="2"/>
      <c r="R58" s="2"/>
      <c r="S58" s="2"/>
      <c r="T58" s="2"/>
      <c r="U58" s="27">
        <v>0</v>
      </c>
      <c r="V58" s="27">
        <v>0</v>
      </c>
      <c r="W58" s="27">
        <v>0</v>
      </c>
      <c r="X58" s="27">
        <v>0</v>
      </c>
      <c r="Y58" s="27">
        <v>0</v>
      </c>
      <c r="Z58" s="27">
        <v>0</v>
      </c>
      <c r="AA58" s="27">
        <v>0</v>
      </c>
      <c r="AB58" s="27">
        <v>0</v>
      </c>
      <c r="AC58" s="27">
        <v>0</v>
      </c>
      <c r="AD58" s="27">
        <v>0</v>
      </c>
      <c r="AE58" s="27">
        <v>0</v>
      </c>
      <c r="AF58" s="27">
        <v>0</v>
      </c>
      <c r="AG58" s="86">
        <v>0</v>
      </c>
    </row>
    <row r="59" spans="1:33" x14ac:dyDescent="0.25">
      <c r="A59" s="6" t="s">
        <v>137</v>
      </c>
      <c r="B59" s="2" t="s">
        <v>136</v>
      </c>
      <c r="C59" s="1" t="s">
        <v>328</v>
      </c>
      <c r="D59" s="2"/>
      <c r="E59" s="2"/>
      <c r="F59" s="2"/>
      <c r="G59" s="2"/>
      <c r="H59" s="2"/>
      <c r="I59" s="2"/>
      <c r="J59" s="2"/>
      <c r="K59" s="2"/>
      <c r="L59" s="2"/>
      <c r="M59" s="2"/>
      <c r="N59" s="2"/>
      <c r="O59" s="2"/>
      <c r="P59" s="2"/>
      <c r="Q59" s="2"/>
      <c r="R59" s="2"/>
      <c r="S59" s="2"/>
      <c r="T59" s="2"/>
      <c r="U59" s="27">
        <v>0</v>
      </c>
      <c r="V59" s="27">
        <v>0</v>
      </c>
      <c r="W59" s="27">
        <v>0</v>
      </c>
      <c r="X59" s="27">
        <v>0</v>
      </c>
      <c r="Y59" s="27">
        <v>0</v>
      </c>
      <c r="Z59" s="27">
        <v>0</v>
      </c>
      <c r="AA59" s="27">
        <v>0</v>
      </c>
      <c r="AB59" s="27">
        <v>0</v>
      </c>
      <c r="AC59" s="27">
        <v>0</v>
      </c>
      <c r="AD59" s="27">
        <v>0</v>
      </c>
      <c r="AE59" s="27">
        <v>0</v>
      </c>
      <c r="AF59" s="27">
        <v>0</v>
      </c>
      <c r="AG59" s="86">
        <v>0</v>
      </c>
    </row>
    <row r="60" spans="1:33" x14ac:dyDescent="0.25">
      <c r="A60" s="5" t="s">
        <v>139</v>
      </c>
      <c r="B60" s="2" t="s">
        <v>138</v>
      </c>
      <c r="C60" s="1" t="s">
        <v>328</v>
      </c>
      <c r="D60" s="2"/>
      <c r="E60" s="2"/>
      <c r="F60" s="2"/>
      <c r="G60" s="2"/>
      <c r="H60" s="2"/>
      <c r="I60" s="2"/>
      <c r="J60" s="2"/>
      <c r="K60" s="2"/>
      <c r="L60" s="2"/>
      <c r="M60" s="2"/>
      <c r="N60" s="2"/>
      <c r="O60" s="2"/>
      <c r="P60" s="2"/>
      <c r="Q60" s="2"/>
      <c r="R60" s="2"/>
      <c r="S60" s="2"/>
      <c r="T60" s="2"/>
      <c r="U60" s="27">
        <v>0</v>
      </c>
      <c r="V60" s="27">
        <v>0</v>
      </c>
      <c r="W60" s="27">
        <v>0</v>
      </c>
      <c r="X60" s="27">
        <v>0</v>
      </c>
      <c r="Y60" s="27">
        <v>0</v>
      </c>
      <c r="Z60" s="27">
        <v>0</v>
      </c>
      <c r="AA60" s="27">
        <v>0</v>
      </c>
      <c r="AB60" s="27">
        <v>0</v>
      </c>
      <c r="AC60" s="27">
        <v>0</v>
      </c>
      <c r="AD60" s="27">
        <v>0</v>
      </c>
      <c r="AE60" s="27">
        <v>0</v>
      </c>
      <c r="AF60" s="27">
        <v>0</v>
      </c>
      <c r="AG60" s="86">
        <v>0</v>
      </c>
    </row>
    <row r="61" spans="1:33" x14ac:dyDescent="0.25">
      <c r="A61" s="5" t="s">
        <v>141</v>
      </c>
      <c r="B61" s="2" t="s">
        <v>140</v>
      </c>
      <c r="C61" s="1" t="s">
        <v>328</v>
      </c>
      <c r="D61" s="2"/>
      <c r="E61" s="2"/>
      <c r="F61" s="2"/>
      <c r="G61" s="2"/>
      <c r="H61" s="2"/>
      <c r="I61" s="2"/>
      <c r="J61" s="2"/>
      <c r="K61" s="2"/>
      <c r="L61" s="2"/>
      <c r="M61" s="2"/>
      <c r="N61" s="2"/>
      <c r="O61" s="2"/>
      <c r="P61" s="2"/>
      <c r="Q61" s="2"/>
      <c r="R61" s="2"/>
      <c r="S61" s="2"/>
      <c r="T61" s="2"/>
      <c r="U61" s="27">
        <v>0</v>
      </c>
      <c r="V61" s="27">
        <v>0</v>
      </c>
      <c r="W61" s="27">
        <v>0</v>
      </c>
      <c r="X61" s="27">
        <v>0</v>
      </c>
      <c r="Y61" s="27">
        <v>0</v>
      </c>
      <c r="Z61" s="27">
        <v>0</v>
      </c>
      <c r="AA61" s="27">
        <v>0</v>
      </c>
      <c r="AB61" s="27">
        <v>0</v>
      </c>
      <c r="AC61" s="27">
        <v>0</v>
      </c>
      <c r="AD61" s="27">
        <v>0</v>
      </c>
      <c r="AE61" s="27">
        <v>0</v>
      </c>
      <c r="AF61" s="27">
        <v>0</v>
      </c>
      <c r="AG61" s="86">
        <v>0</v>
      </c>
    </row>
    <row r="62" spans="1:33" x14ac:dyDescent="0.25">
      <c r="A62" s="5" t="s">
        <v>143</v>
      </c>
      <c r="B62" s="2" t="s">
        <v>142</v>
      </c>
      <c r="C62" s="1" t="s">
        <v>328</v>
      </c>
      <c r="D62" s="2"/>
      <c r="E62" s="2"/>
      <c r="F62" s="2"/>
      <c r="G62" s="2"/>
      <c r="H62" s="2"/>
      <c r="I62" s="2"/>
      <c r="J62" s="2"/>
      <c r="K62" s="2"/>
      <c r="L62" s="2"/>
      <c r="M62" s="2"/>
      <c r="N62" s="2"/>
      <c r="O62" s="2"/>
      <c r="P62" s="2"/>
      <c r="Q62" s="2"/>
      <c r="R62" s="2"/>
      <c r="S62" s="2"/>
      <c r="T62" s="2"/>
      <c r="U62" s="27">
        <v>0</v>
      </c>
      <c r="V62" s="27">
        <v>0</v>
      </c>
      <c r="W62" s="27">
        <v>0</v>
      </c>
      <c r="X62" s="27">
        <v>0</v>
      </c>
      <c r="Y62" s="27">
        <v>0</v>
      </c>
      <c r="Z62" s="27">
        <v>0</v>
      </c>
      <c r="AA62" s="27">
        <v>0</v>
      </c>
      <c r="AB62" s="27">
        <v>0</v>
      </c>
      <c r="AC62" s="27">
        <v>0</v>
      </c>
      <c r="AD62" s="27">
        <v>0</v>
      </c>
      <c r="AE62" s="27">
        <v>0</v>
      </c>
      <c r="AF62" s="27">
        <v>0</v>
      </c>
      <c r="AG62" s="86">
        <v>0</v>
      </c>
    </row>
    <row r="63" spans="1:33" x14ac:dyDescent="0.25">
      <c r="A63" s="5" t="s">
        <v>145</v>
      </c>
      <c r="B63" s="2" t="s">
        <v>144</v>
      </c>
      <c r="C63" s="1" t="s">
        <v>328</v>
      </c>
      <c r="D63" s="2"/>
      <c r="E63" s="2"/>
      <c r="F63" s="2"/>
      <c r="G63" s="2"/>
      <c r="H63" s="2"/>
      <c r="I63" s="2"/>
      <c r="J63" s="2"/>
      <c r="K63" s="2"/>
      <c r="L63" s="2"/>
      <c r="M63" s="2"/>
      <c r="N63" s="2"/>
      <c r="O63" s="2"/>
      <c r="P63" s="2"/>
      <c r="Q63" s="2"/>
      <c r="R63" s="2"/>
      <c r="S63" s="2"/>
      <c r="T63" s="2"/>
      <c r="U63" s="27">
        <v>0</v>
      </c>
      <c r="V63" s="27">
        <v>0</v>
      </c>
      <c r="W63" s="27">
        <v>0</v>
      </c>
      <c r="X63" s="27">
        <v>0</v>
      </c>
      <c r="Y63" s="27">
        <v>0</v>
      </c>
      <c r="Z63" s="27">
        <v>0</v>
      </c>
      <c r="AA63" s="27">
        <v>0</v>
      </c>
      <c r="AB63" s="27">
        <v>0</v>
      </c>
      <c r="AC63" s="27">
        <v>0</v>
      </c>
      <c r="AD63" s="27">
        <v>0</v>
      </c>
      <c r="AE63" s="27">
        <v>0</v>
      </c>
      <c r="AF63" s="27">
        <v>0</v>
      </c>
      <c r="AG63" s="86">
        <v>0</v>
      </c>
    </row>
    <row r="64" spans="1:33" x14ac:dyDescent="0.25">
      <c r="A64" s="5" t="s">
        <v>147</v>
      </c>
      <c r="B64" s="2" t="s">
        <v>146</v>
      </c>
      <c r="C64" s="1" t="s">
        <v>328</v>
      </c>
      <c r="D64" s="2"/>
      <c r="E64" s="2"/>
      <c r="F64" s="2"/>
      <c r="G64" s="2"/>
      <c r="H64" s="2"/>
      <c r="I64" s="2"/>
      <c r="J64" s="2"/>
      <c r="K64" s="2"/>
      <c r="L64" s="2"/>
      <c r="M64" s="2"/>
      <c r="N64" s="2"/>
      <c r="O64" s="2"/>
      <c r="P64" s="2"/>
      <c r="Q64" s="2"/>
      <c r="R64" s="2"/>
      <c r="S64" s="2"/>
      <c r="T64" s="2"/>
      <c r="U64" s="27">
        <v>0</v>
      </c>
      <c r="V64" s="27">
        <v>0</v>
      </c>
      <c r="W64" s="27">
        <v>0</v>
      </c>
      <c r="X64" s="27">
        <v>0</v>
      </c>
      <c r="Y64" s="27">
        <v>0</v>
      </c>
      <c r="Z64" s="27">
        <v>0</v>
      </c>
      <c r="AA64" s="27">
        <v>0</v>
      </c>
      <c r="AB64" s="27">
        <v>0</v>
      </c>
      <c r="AC64" s="27">
        <v>0</v>
      </c>
      <c r="AD64" s="27">
        <v>0</v>
      </c>
      <c r="AE64" s="27">
        <v>0</v>
      </c>
      <c r="AF64" s="27">
        <v>0</v>
      </c>
      <c r="AG64" s="86">
        <v>0</v>
      </c>
    </row>
    <row r="65" spans="1:33" x14ac:dyDescent="0.25">
      <c r="A65" s="5" t="s">
        <v>149</v>
      </c>
      <c r="B65" s="2" t="s">
        <v>148</v>
      </c>
      <c r="C65" s="1" t="s">
        <v>328</v>
      </c>
      <c r="D65" s="2"/>
      <c r="E65" s="2"/>
      <c r="F65" s="2"/>
      <c r="G65" s="2"/>
      <c r="H65" s="2"/>
      <c r="I65" s="2"/>
      <c r="J65" s="2"/>
      <c r="K65" s="2"/>
      <c r="L65" s="2"/>
      <c r="M65" s="2"/>
      <c r="N65" s="2"/>
      <c r="O65" s="2"/>
      <c r="P65" s="2"/>
      <c r="Q65" s="2"/>
      <c r="R65" s="2"/>
      <c r="S65" s="2"/>
      <c r="T65" s="2"/>
      <c r="U65" s="27">
        <v>0</v>
      </c>
      <c r="V65" s="27">
        <v>0</v>
      </c>
      <c r="W65" s="27">
        <v>0</v>
      </c>
      <c r="X65" s="27">
        <v>0</v>
      </c>
      <c r="Y65" s="27">
        <v>0</v>
      </c>
      <c r="Z65" s="27">
        <v>0</v>
      </c>
      <c r="AA65" s="27">
        <v>0</v>
      </c>
      <c r="AB65" s="27">
        <v>0</v>
      </c>
      <c r="AC65" s="27">
        <v>0</v>
      </c>
      <c r="AD65" s="27">
        <v>0</v>
      </c>
      <c r="AE65" s="27">
        <v>0</v>
      </c>
      <c r="AF65" s="27">
        <v>0</v>
      </c>
      <c r="AG65" s="86">
        <v>0</v>
      </c>
    </row>
    <row r="66" spans="1:33" x14ac:dyDescent="0.25">
      <c r="A66" s="5" t="s">
        <v>151</v>
      </c>
      <c r="B66" s="2" t="s">
        <v>150</v>
      </c>
      <c r="C66" s="1" t="s">
        <v>329</v>
      </c>
      <c r="D66" s="2"/>
      <c r="E66" s="2"/>
      <c r="F66" s="2"/>
      <c r="G66" s="2"/>
      <c r="H66" s="2"/>
      <c r="I66" s="2"/>
      <c r="J66" s="2"/>
      <c r="K66" s="2"/>
      <c r="L66" s="2"/>
      <c r="M66" s="2"/>
      <c r="N66" s="2"/>
      <c r="O66" s="2"/>
      <c r="P66" s="2"/>
      <c r="Q66" s="2"/>
      <c r="R66" s="2"/>
      <c r="S66" s="2"/>
      <c r="T66" s="2"/>
      <c r="U66" s="27">
        <v>0</v>
      </c>
      <c r="V66" s="27">
        <v>0</v>
      </c>
      <c r="W66" s="27">
        <v>0</v>
      </c>
      <c r="X66" s="27">
        <v>0</v>
      </c>
      <c r="Y66" s="27">
        <v>0</v>
      </c>
      <c r="Z66" s="27">
        <v>0</v>
      </c>
      <c r="AA66" s="27">
        <v>0</v>
      </c>
      <c r="AB66" s="27">
        <v>0</v>
      </c>
      <c r="AC66" s="27">
        <v>0</v>
      </c>
      <c r="AD66" s="27">
        <v>0</v>
      </c>
      <c r="AE66" s="27">
        <v>0</v>
      </c>
      <c r="AF66" s="27">
        <v>0</v>
      </c>
      <c r="AG66" s="86">
        <v>0</v>
      </c>
    </row>
    <row r="67" spans="1:33" x14ac:dyDescent="0.25">
      <c r="A67" s="5" t="s">
        <v>153</v>
      </c>
      <c r="B67" s="2" t="s">
        <v>152</v>
      </c>
      <c r="C67" s="1" t="s">
        <v>329</v>
      </c>
      <c r="D67" s="2"/>
      <c r="E67" s="2"/>
      <c r="F67" s="2"/>
      <c r="G67" s="2"/>
      <c r="H67" s="2"/>
      <c r="I67" s="2"/>
      <c r="J67" s="2"/>
      <c r="K67" s="2"/>
      <c r="L67" s="2"/>
      <c r="M67" s="2"/>
      <c r="N67" s="2"/>
      <c r="O67" s="2"/>
      <c r="P67" s="2"/>
      <c r="Q67" s="2"/>
      <c r="R67" s="2"/>
      <c r="S67" s="2"/>
      <c r="T67" s="2"/>
      <c r="U67" s="27">
        <v>0</v>
      </c>
      <c r="V67" s="27">
        <v>0</v>
      </c>
      <c r="W67" s="27">
        <v>0</v>
      </c>
      <c r="X67" s="27">
        <v>0</v>
      </c>
      <c r="Y67" s="27">
        <v>0</v>
      </c>
      <c r="Z67" s="27">
        <v>0</v>
      </c>
      <c r="AA67" s="27">
        <v>0</v>
      </c>
      <c r="AB67" s="27">
        <v>0</v>
      </c>
      <c r="AC67" s="27">
        <v>0</v>
      </c>
      <c r="AD67" s="27">
        <v>0</v>
      </c>
      <c r="AE67" s="27">
        <v>0</v>
      </c>
      <c r="AF67" s="27">
        <v>0</v>
      </c>
      <c r="AG67" s="86">
        <v>0</v>
      </c>
    </row>
    <row r="68" spans="1:33" x14ac:dyDescent="0.25">
      <c r="A68" s="5" t="s">
        <v>155</v>
      </c>
      <c r="B68" s="2" t="s">
        <v>154</v>
      </c>
      <c r="C68" s="1" t="s">
        <v>329</v>
      </c>
      <c r="D68" s="2"/>
      <c r="E68" s="2"/>
      <c r="F68" s="2"/>
      <c r="G68" s="2"/>
      <c r="H68" s="2"/>
      <c r="I68" s="2"/>
      <c r="J68" s="2"/>
      <c r="K68" s="2"/>
      <c r="L68" s="2"/>
      <c r="M68" s="2"/>
      <c r="N68" s="2"/>
      <c r="O68" s="2"/>
      <c r="P68" s="2"/>
      <c r="Q68" s="2"/>
      <c r="R68" s="2"/>
      <c r="S68" s="2"/>
      <c r="T68" s="2"/>
      <c r="U68" s="27">
        <v>0</v>
      </c>
      <c r="V68" s="27">
        <v>0</v>
      </c>
      <c r="W68" s="27">
        <v>0</v>
      </c>
      <c r="X68" s="27">
        <v>0</v>
      </c>
      <c r="Y68" s="27">
        <v>0</v>
      </c>
      <c r="Z68" s="27">
        <v>0</v>
      </c>
      <c r="AA68" s="27">
        <v>0</v>
      </c>
      <c r="AB68" s="27">
        <v>0</v>
      </c>
      <c r="AC68" s="27">
        <v>0</v>
      </c>
      <c r="AD68" s="27">
        <v>0</v>
      </c>
      <c r="AE68" s="27">
        <v>0</v>
      </c>
      <c r="AF68" s="27">
        <v>0</v>
      </c>
      <c r="AG68" s="86">
        <v>0</v>
      </c>
    </row>
    <row r="69" spans="1:33" x14ac:dyDescent="0.25">
      <c r="A69" s="5" t="s">
        <v>157</v>
      </c>
      <c r="B69" s="2" t="s">
        <v>156</v>
      </c>
      <c r="C69" s="1" t="s">
        <v>329</v>
      </c>
      <c r="D69" s="2"/>
      <c r="E69" s="2"/>
      <c r="F69" s="2"/>
      <c r="G69" s="2"/>
      <c r="H69" s="2"/>
      <c r="I69" s="2"/>
      <c r="J69" s="2"/>
      <c r="K69" s="2"/>
      <c r="L69" s="2"/>
      <c r="M69" s="2"/>
      <c r="N69" s="2"/>
      <c r="O69" s="2"/>
      <c r="P69" s="2"/>
      <c r="Q69" s="2"/>
      <c r="R69" s="2"/>
      <c r="S69" s="2"/>
      <c r="T69" s="2"/>
      <c r="U69" s="27">
        <v>0</v>
      </c>
      <c r="V69" s="27">
        <v>0</v>
      </c>
      <c r="W69" s="27">
        <v>0</v>
      </c>
      <c r="X69" s="27">
        <v>0</v>
      </c>
      <c r="Y69" s="27">
        <v>0</v>
      </c>
      <c r="Z69" s="27">
        <v>0</v>
      </c>
      <c r="AA69" s="27">
        <v>0</v>
      </c>
      <c r="AB69" s="27">
        <v>0</v>
      </c>
      <c r="AC69" s="27">
        <v>0</v>
      </c>
      <c r="AD69" s="27">
        <v>0</v>
      </c>
      <c r="AE69" s="27">
        <v>0</v>
      </c>
      <c r="AF69" s="27">
        <v>0</v>
      </c>
      <c r="AG69" s="86">
        <v>0</v>
      </c>
    </row>
    <row r="70" spans="1:33" x14ac:dyDescent="0.25">
      <c r="A70" s="5" t="s">
        <v>159</v>
      </c>
      <c r="B70" s="2" t="s">
        <v>158</v>
      </c>
      <c r="C70" s="1" t="s">
        <v>329</v>
      </c>
      <c r="D70" s="2"/>
      <c r="E70" s="2"/>
      <c r="F70" s="2"/>
      <c r="G70" s="2"/>
      <c r="H70" s="2"/>
      <c r="I70" s="2"/>
      <c r="J70" s="2"/>
      <c r="K70" s="2"/>
      <c r="L70" s="2"/>
      <c r="M70" s="2"/>
      <c r="N70" s="2"/>
      <c r="O70" s="2"/>
      <c r="P70" s="2"/>
      <c r="Q70" s="2"/>
      <c r="R70" s="2"/>
      <c r="S70" s="2"/>
      <c r="T70" s="2"/>
      <c r="U70" s="27">
        <v>0</v>
      </c>
      <c r="V70" s="27">
        <v>0</v>
      </c>
      <c r="W70" s="27">
        <v>0</v>
      </c>
      <c r="X70" s="27">
        <v>0</v>
      </c>
      <c r="Y70" s="27">
        <v>0</v>
      </c>
      <c r="Z70" s="27">
        <v>0</v>
      </c>
      <c r="AA70" s="27">
        <v>0</v>
      </c>
      <c r="AB70" s="27">
        <v>0</v>
      </c>
      <c r="AC70" s="27">
        <v>0</v>
      </c>
      <c r="AD70" s="27">
        <v>0</v>
      </c>
      <c r="AE70" s="27">
        <v>0</v>
      </c>
      <c r="AF70" s="27">
        <v>0</v>
      </c>
      <c r="AG70" s="86">
        <v>0</v>
      </c>
    </row>
    <row r="71" spans="1:33" x14ac:dyDescent="0.25">
      <c r="A71" s="5" t="s">
        <v>161</v>
      </c>
      <c r="B71" s="2" t="s">
        <v>160</v>
      </c>
      <c r="C71" s="1" t="s">
        <v>329</v>
      </c>
      <c r="D71" s="2"/>
      <c r="E71" s="2"/>
      <c r="F71" s="2"/>
      <c r="G71" s="2"/>
      <c r="H71" s="2"/>
      <c r="I71" s="2"/>
      <c r="J71" s="2"/>
      <c r="K71" s="2"/>
      <c r="L71" s="2"/>
      <c r="M71" s="2"/>
      <c r="N71" s="2"/>
      <c r="O71" s="2"/>
      <c r="P71" s="2"/>
      <c r="Q71" s="2"/>
      <c r="R71" s="2"/>
      <c r="S71" s="2"/>
      <c r="T71" s="2"/>
      <c r="U71" s="27">
        <v>0</v>
      </c>
      <c r="V71" s="27">
        <v>0</v>
      </c>
      <c r="W71" s="27">
        <v>0</v>
      </c>
      <c r="X71" s="27">
        <v>0</v>
      </c>
      <c r="Y71" s="27">
        <v>0</v>
      </c>
      <c r="Z71" s="27">
        <v>0</v>
      </c>
      <c r="AA71" s="27">
        <v>0</v>
      </c>
      <c r="AB71" s="27">
        <v>0</v>
      </c>
      <c r="AC71" s="27">
        <v>0</v>
      </c>
      <c r="AD71" s="27">
        <v>0</v>
      </c>
      <c r="AE71" s="27">
        <v>0</v>
      </c>
      <c r="AF71" s="27">
        <v>0</v>
      </c>
      <c r="AG71" s="86">
        <v>0</v>
      </c>
    </row>
    <row r="72" spans="1:33" x14ac:dyDescent="0.25">
      <c r="A72" s="5" t="s">
        <v>163</v>
      </c>
      <c r="B72" s="2" t="s">
        <v>162</v>
      </c>
      <c r="C72" s="1" t="s">
        <v>329</v>
      </c>
      <c r="D72" s="2"/>
      <c r="E72" s="2"/>
      <c r="F72" s="2"/>
      <c r="G72" s="2"/>
      <c r="H72" s="2"/>
      <c r="I72" s="2"/>
      <c r="J72" s="2"/>
      <c r="K72" s="2"/>
      <c r="L72" s="2"/>
      <c r="M72" s="2"/>
      <c r="N72" s="2"/>
      <c r="O72" s="2"/>
      <c r="P72" s="2"/>
      <c r="Q72" s="2"/>
      <c r="R72" s="2"/>
      <c r="S72" s="2"/>
      <c r="T72" s="2"/>
      <c r="U72" s="27">
        <v>0</v>
      </c>
      <c r="V72" s="27">
        <v>0</v>
      </c>
      <c r="W72" s="27">
        <v>0</v>
      </c>
      <c r="X72" s="27">
        <v>0</v>
      </c>
      <c r="Y72" s="27">
        <v>0</v>
      </c>
      <c r="Z72" s="27">
        <v>0</v>
      </c>
      <c r="AA72" s="27">
        <v>0</v>
      </c>
      <c r="AB72" s="27">
        <v>0</v>
      </c>
      <c r="AC72" s="27">
        <v>0</v>
      </c>
      <c r="AD72" s="27">
        <v>0</v>
      </c>
      <c r="AE72" s="27">
        <v>0</v>
      </c>
      <c r="AF72" s="27">
        <v>0</v>
      </c>
      <c r="AG72" s="86">
        <v>0</v>
      </c>
    </row>
    <row r="73" spans="1:33" x14ac:dyDescent="0.25">
      <c r="A73" s="5" t="s">
        <v>165</v>
      </c>
      <c r="B73" s="2" t="s">
        <v>164</v>
      </c>
      <c r="C73" s="1" t="s">
        <v>329</v>
      </c>
      <c r="D73" s="2"/>
      <c r="E73" s="2"/>
      <c r="F73" s="2"/>
      <c r="G73" s="2"/>
      <c r="H73" s="2"/>
      <c r="I73" s="2"/>
      <c r="J73" s="2"/>
      <c r="K73" s="2"/>
      <c r="L73" s="2"/>
      <c r="M73" s="2"/>
      <c r="N73" s="2"/>
      <c r="O73" s="2"/>
      <c r="P73" s="2"/>
      <c r="Q73" s="2"/>
      <c r="R73" s="2"/>
      <c r="S73" s="2"/>
      <c r="T73" s="2"/>
      <c r="U73" s="27">
        <v>0</v>
      </c>
      <c r="V73" s="27">
        <v>0</v>
      </c>
      <c r="W73" s="27">
        <v>0</v>
      </c>
      <c r="X73" s="27">
        <v>0</v>
      </c>
      <c r="Y73" s="27">
        <v>0</v>
      </c>
      <c r="Z73" s="27">
        <v>0</v>
      </c>
      <c r="AA73" s="27">
        <v>0</v>
      </c>
      <c r="AB73" s="27">
        <v>0</v>
      </c>
      <c r="AC73" s="27">
        <v>0</v>
      </c>
      <c r="AD73" s="27">
        <v>0</v>
      </c>
      <c r="AE73" s="27">
        <v>0</v>
      </c>
      <c r="AF73" s="27">
        <v>0</v>
      </c>
      <c r="AG73" s="86">
        <v>0</v>
      </c>
    </row>
    <row r="74" spans="1:33" x14ac:dyDescent="0.25">
      <c r="A74" s="5" t="s">
        <v>167</v>
      </c>
      <c r="B74" s="2" t="s">
        <v>166</v>
      </c>
      <c r="C74" s="1" t="s">
        <v>329</v>
      </c>
      <c r="D74" s="2"/>
      <c r="E74" s="2"/>
      <c r="F74" s="2"/>
      <c r="G74" s="2"/>
      <c r="H74" s="2"/>
      <c r="I74" s="2"/>
      <c r="J74" s="2"/>
      <c r="K74" s="2"/>
      <c r="L74" s="2"/>
      <c r="M74" s="2"/>
      <c r="N74" s="2"/>
      <c r="O74" s="2"/>
      <c r="P74" s="2"/>
      <c r="Q74" s="2"/>
      <c r="R74" s="2"/>
      <c r="S74" s="2"/>
      <c r="T74" s="2"/>
      <c r="U74" s="27">
        <v>0</v>
      </c>
      <c r="V74" s="27">
        <v>0</v>
      </c>
      <c r="W74" s="27">
        <v>0</v>
      </c>
      <c r="X74" s="27">
        <v>0</v>
      </c>
      <c r="Y74" s="27">
        <v>0</v>
      </c>
      <c r="Z74" s="27">
        <v>0</v>
      </c>
      <c r="AA74" s="27">
        <v>0</v>
      </c>
      <c r="AB74" s="27">
        <v>0</v>
      </c>
      <c r="AC74" s="27">
        <v>0</v>
      </c>
      <c r="AD74" s="27">
        <v>0</v>
      </c>
      <c r="AE74" s="27">
        <v>0</v>
      </c>
      <c r="AF74" s="27">
        <v>0</v>
      </c>
      <c r="AG74" s="86">
        <v>0</v>
      </c>
    </row>
    <row r="75" spans="1:33" x14ac:dyDescent="0.25">
      <c r="A75" s="5" t="s">
        <v>169</v>
      </c>
      <c r="B75" s="2" t="s">
        <v>168</v>
      </c>
      <c r="C75" s="1" t="s">
        <v>329</v>
      </c>
      <c r="D75" s="2"/>
      <c r="E75" s="2"/>
      <c r="F75" s="2"/>
      <c r="G75" s="2"/>
      <c r="H75" s="2"/>
      <c r="I75" s="2"/>
      <c r="J75" s="2"/>
      <c r="K75" s="2"/>
      <c r="L75" s="2"/>
      <c r="M75" s="2"/>
      <c r="N75" s="2"/>
      <c r="O75" s="2"/>
      <c r="P75" s="2"/>
      <c r="Q75" s="2"/>
      <c r="R75" s="2"/>
      <c r="S75" s="2"/>
      <c r="T75" s="2"/>
      <c r="U75" s="27">
        <v>0</v>
      </c>
      <c r="V75" s="27">
        <v>0</v>
      </c>
      <c r="W75" s="27">
        <v>0</v>
      </c>
      <c r="X75" s="27">
        <v>0</v>
      </c>
      <c r="Y75" s="27">
        <v>0</v>
      </c>
      <c r="Z75" s="27">
        <v>0</v>
      </c>
      <c r="AA75" s="27">
        <v>0</v>
      </c>
      <c r="AB75" s="27">
        <v>0</v>
      </c>
      <c r="AC75" s="27">
        <v>0</v>
      </c>
      <c r="AD75" s="27">
        <v>0</v>
      </c>
      <c r="AE75" s="27">
        <v>0</v>
      </c>
      <c r="AF75" s="27">
        <v>0</v>
      </c>
      <c r="AG75" s="86">
        <v>0</v>
      </c>
    </row>
    <row r="76" spans="1:33" x14ac:dyDescent="0.25">
      <c r="A76" s="5" t="s">
        <v>171</v>
      </c>
      <c r="B76" s="2" t="s">
        <v>170</v>
      </c>
      <c r="C76" s="1" t="s">
        <v>329</v>
      </c>
      <c r="D76" s="2"/>
      <c r="E76" s="2"/>
      <c r="F76" s="2"/>
      <c r="G76" s="2"/>
      <c r="H76" s="2"/>
      <c r="I76" s="2"/>
      <c r="J76" s="2"/>
      <c r="K76" s="2"/>
      <c r="L76" s="2"/>
      <c r="M76" s="2"/>
      <c r="N76" s="2"/>
      <c r="O76" s="2"/>
      <c r="P76" s="2"/>
      <c r="Q76" s="2"/>
      <c r="R76" s="2"/>
      <c r="S76" s="2"/>
      <c r="T76" s="2"/>
      <c r="U76" s="27">
        <v>0</v>
      </c>
      <c r="V76" s="27">
        <v>0</v>
      </c>
      <c r="W76" s="27">
        <v>0</v>
      </c>
      <c r="X76" s="27">
        <v>0</v>
      </c>
      <c r="Y76" s="27">
        <v>0</v>
      </c>
      <c r="Z76" s="27">
        <v>0</v>
      </c>
      <c r="AA76" s="27">
        <v>0</v>
      </c>
      <c r="AB76" s="27">
        <v>0</v>
      </c>
      <c r="AC76" s="27">
        <v>0</v>
      </c>
      <c r="AD76" s="27">
        <v>0</v>
      </c>
      <c r="AE76" s="27">
        <v>0</v>
      </c>
      <c r="AF76" s="27">
        <v>0</v>
      </c>
      <c r="AG76" s="86">
        <v>0</v>
      </c>
    </row>
    <row r="77" spans="1:33" x14ac:dyDescent="0.25">
      <c r="A77" s="5" t="s">
        <v>173</v>
      </c>
      <c r="B77" s="2" t="s">
        <v>172</v>
      </c>
      <c r="C77" s="1" t="s">
        <v>329</v>
      </c>
      <c r="D77" s="2"/>
      <c r="E77" s="2"/>
      <c r="F77" s="2"/>
      <c r="G77" s="2"/>
      <c r="H77" s="2"/>
      <c r="I77" s="2"/>
      <c r="J77" s="2"/>
      <c r="K77" s="2"/>
      <c r="L77" s="2"/>
      <c r="M77" s="2"/>
      <c r="N77" s="2"/>
      <c r="O77" s="2"/>
      <c r="P77" s="2"/>
      <c r="Q77" s="2"/>
      <c r="R77" s="2"/>
      <c r="S77" s="2"/>
      <c r="T77" s="2"/>
      <c r="U77" s="27">
        <v>0</v>
      </c>
      <c r="V77" s="27">
        <v>0</v>
      </c>
      <c r="W77" s="27">
        <v>0</v>
      </c>
      <c r="X77" s="27">
        <v>0</v>
      </c>
      <c r="Y77" s="27">
        <v>0</v>
      </c>
      <c r="Z77" s="27">
        <v>0</v>
      </c>
      <c r="AA77" s="27">
        <v>0</v>
      </c>
      <c r="AB77" s="27">
        <v>0</v>
      </c>
      <c r="AC77" s="27">
        <v>0</v>
      </c>
      <c r="AD77" s="27">
        <v>0</v>
      </c>
      <c r="AE77" s="27">
        <v>0</v>
      </c>
      <c r="AF77" s="27">
        <v>0</v>
      </c>
      <c r="AG77" s="86">
        <v>0</v>
      </c>
    </row>
    <row r="78" spans="1:33" x14ac:dyDescent="0.25">
      <c r="A78" s="5" t="s">
        <v>175</v>
      </c>
      <c r="B78" s="2" t="s">
        <v>174</v>
      </c>
      <c r="C78" s="1" t="s">
        <v>329</v>
      </c>
      <c r="D78" s="2"/>
      <c r="E78" s="2"/>
      <c r="F78" s="2"/>
      <c r="G78" s="2"/>
      <c r="H78" s="2"/>
      <c r="I78" s="2"/>
      <c r="J78" s="2"/>
      <c r="K78" s="2"/>
      <c r="L78" s="2"/>
      <c r="M78" s="2"/>
      <c r="N78" s="2"/>
      <c r="O78" s="2"/>
      <c r="P78" s="2"/>
      <c r="Q78" s="2"/>
      <c r="R78" s="2"/>
      <c r="S78" s="2"/>
      <c r="T78" s="2"/>
      <c r="U78" s="27">
        <v>0</v>
      </c>
      <c r="V78" s="27">
        <v>0</v>
      </c>
      <c r="W78" s="27">
        <v>0</v>
      </c>
      <c r="X78" s="27">
        <v>0</v>
      </c>
      <c r="Y78" s="27">
        <v>0</v>
      </c>
      <c r="Z78" s="27">
        <v>0</v>
      </c>
      <c r="AA78" s="27">
        <v>0</v>
      </c>
      <c r="AB78" s="27">
        <v>0</v>
      </c>
      <c r="AC78" s="27">
        <v>0</v>
      </c>
      <c r="AD78" s="27">
        <v>0</v>
      </c>
      <c r="AE78" s="27">
        <v>0</v>
      </c>
      <c r="AF78" s="27">
        <v>0</v>
      </c>
      <c r="AG78" s="86">
        <v>0</v>
      </c>
    </row>
    <row r="79" spans="1:33" x14ac:dyDescent="0.25">
      <c r="A79" s="5" t="s">
        <v>177</v>
      </c>
      <c r="B79" s="2" t="s">
        <v>176</v>
      </c>
      <c r="C79" s="1" t="s">
        <v>329</v>
      </c>
      <c r="D79" s="2"/>
      <c r="E79" s="2"/>
      <c r="F79" s="2"/>
      <c r="G79" s="2"/>
      <c r="H79" s="2"/>
      <c r="I79" s="2"/>
      <c r="J79" s="2"/>
      <c r="K79" s="2"/>
      <c r="L79" s="2"/>
      <c r="M79" s="2"/>
      <c r="N79" s="2"/>
      <c r="O79" s="2"/>
      <c r="P79" s="2"/>
      <c r="Q79" s="2"/>
      <c r="R79" s="2"/>
      <c r="S79" s="2"/>
      <c r="T79" s="2"/>
      <c r="U79" s="27">
        <v>0</v>
      </c>
      <c r="V79" s="27">
        <v>0</v>
      </c>
      <c r="W79" s="27">
        <v>0</v>
      </c>
      <c r="X79" s="27">
        <v>0</v>
      </c>
      <c r="Y79" s="27">
        <v>0</v>
      </c>
      <c r="Z79" s="27">
        <v>0</v>
      </c>
      <c r="AA79" s="27">
        <v>0</v>
      </c>
      <c r="AB79" s="27">
        <v>0</v>
      </c>
      <c r="AC79" s="27">
        <v>0</v>
      </c>
      <c r="AD79" s="27">
        <v>0</v>
      </c>
      <c r="AE79" s="27">
        <v>0</v>
      </c>
      <c r="AF79" s="27">
        <v>0</v>
      </c>
      <c r="AG79" s="86">
        <v>0</v>
      </c>
    </row>
    <row r="80" spans="1:33" x14ac:dyDescent="0.25">
      <c r="A80" s="5" t="s">
        <v>179</v>
      </c>
      <c r="B80" s="2" t="s">
        <v>178</v>
      </c>
      <c r="C80" s="1" t="s">
        <v>329</v>
      </c>
      <c r="D80" s="2"/>
      <c r="E80" s="2"/>
      <c r="F80" s="2"/>
      <c r="G80" s="2"/>
      <c r="H80" s="2"/>
      <c r="I80" s="2"/>
      <c r="J80" s="2"/>
      <c r="K80" s="2"/>
      <c r="L80" s="2"/>
      <c r="M80" s="2"/>
      <c r="N80" s="2"/>
      <c r="O80" s="2"/>
      <c r="P80" s="2"/>
      <c r="Q80" s="2"/>
      <c r="R80" s="2"/>
      <c r="S80" s="2"/>
      <c r="T80" s="2"/>
      <c r="U80" s="27">
        <v>0</v>
      </c>
      <c r="V80" s="27">
        <v>0</v>
      </c>
      <c r="W80" s="27">
        <v>0</v>
      </c>
      <c r="X80" s="27">
        <v>0</v>
      </c>
      <c r="Y80" s="27">
        <v>0</v>
      </c>
      <c r="Z80" s="27">
        <v>0</v>
      </c>
      <c r="AA80" s="27">
        <v>0</v>
      </c>
      <c r="AB80" s="27">
        <v>0</v>
      </c>
      <c r="AC80" s="27">
        <v>0</v>
      </c>
      <c r="AD80" s="27">
        <v>0</v>
      </c>
      <c r="AE80" s="27">
        <v>0</v>
      </c>
      <c r="AF80" s="27">
        <v>0</v>
      </c>
      <c r="AG80" s="86">
        <v>0</v>
      </c>
    </row>
    <row r="81" spans="1:33" x14ac:dyDescent="0.25">
      <c r="A81" s="5" t="s">
        <v>181</v>
      </c>
      <c r="B81" s="2" t="s">
        <v>180</v>
      </c>
      <c r="C81" s="1" t="s">
        <v>329</v>
      </c>
      <c r="D81" s="2"/>
      <c r="E81" s="2"/>
      <c r="F81" s="2"/>
      <c r="G81" s="2"/>
      <c r="H81" s="2"/>
      <c r="I81" s="2"/>
      <c r="J81" s="2"/>
      <c r="K81" s="2"/>
      <c r="L81" s="2"/>
      <c r="M81" s="2"/>
      <c r="N81" s="2"/>
      <c r="O81" s="2"/>
      <c r="P81" s="2"/>
      <c r="Q81" s="2"/>
      <c r="R81" s="2"/>
      <c r="S81" s="2"/>
      <c r="T81" s="2"/>
      <c r="U81" s="27">
        <v>0</v>
      </c>
      <c r="V81" s="27">
        <v>0</v>
      </c>
      <c r="W81" s="27">
        <v>0</v>
      </c>
      <c r="X81" s="27">
        <v>0</v>
      </c>
      <c r="Y81" s="27">
        <v>0</v>
      </c>
      <c r="Z81" s="27">
        <v>0</v>
      </c>
      <c r="AA81" s="27">
        <v>0</v>
      </c>
      <c r="AB81" s="27">
        <v>0</v>
      </c>
      <c r="AC81" s="27">
        <v>0</v>
      </c>
      <c r="AD81" s="27">
        <v>0</v>
      </c>
      <c r="AE81" s="27">
        <v>0</v>
      </c>
      <c r="AF81" s="27">
        <v>0</v>
      </c>
      <c r="AG81" s="86">
        <v>0</v>
      </c>
    </row>
    <row r="82" spans="1:33" x14ac:dyDescent="0.25">
      <c r="A82" s="5" t="s">
        <v>183</v>
      </c>
      <c r="B82" s="2" t="s">
        <v>182</v>
      </c>
      <c r="C82" s="1" t="s">
        <v>329</v>
      </c>
      <c r="D82" s="2"/>
      <c r="E82" s="2"/>
      <c r="F82" s="2"/>
      <c r="G82" s="2"/>
      <c r="H82" s="2"/>
      <c r="I82" s="2"/>
      <c r="J82" s="2"/>
      <c r="K82" s="2"/>
      <c r="L82" s="2"/>
      <c r="M82" s="2"/>
      <c r="N82" s="2"/>
      <c r="O82" s="2"/>
      <c r="P82" s="2"/>
      <c r="Q82" s="2"/>
      <c r="R82" s="2"/>
      <c r="S82" s="2"/>
      <c r="T82" s="2"/>
      <c r="U82" s="27">
        <v>0</v>
      </c>
      <c r="V82" s="27">
        <v>0</v>
      </c>
      <c r="W82" s="27">
        <v>0</v>
      </c>
      <c r="X82" s="27">
        <v>0</v>
      </c>
      <c r="Y82" s="27">
        <v>0</v>
      </c>
      <c r="Z82" s="27">
        <v>0</v>
      </c>
      <c r="AA82" s="27">
        <v>0</v>
      </c>
      <c r="AB82" s="27">
        <v>0</v>
      </c>
      <c r="AC82" s="27">
        <v>0</v>
      </c>
      <c r="AD82" s="27">
        <v>0</v>
      </c>
      <c r="AE82" s="27">
        <v>0</v>
      </c>
      <c r="AF82" s="27">
        <v>0</v>
      </c>
      <c r="AG82" s="86">
        <v>0</v>
      </c>
    </row>
    <row r="83" spans="1:33" x14ac:dyDescent="0.25">
      <c r="A83" s="5" t="s">
        <v>185</v>
      </c>
      <c r="B83" s="2" t="s">
        <v>184</v>
      </c>
      <c r="C83" s="1" t="s">
        <v>329</v>
      </c>
      <c r="D83" s="2"/>
      <c r="E83" s="2"/>
      <c r="F83" s="2"/>
      <c r="G83" s="2"/>
      <c r="H83" s="2"/>
      <c r="I83" s="2"/>
      <c r="J83" s="2"/>
      <c r="K83" s="2"/>
      <c r="L83" s="2"/>
      <c r="M83" s="2"/>
      <c r="N83" s="2"/>
      <c r="O83" s="2"/>
      <c r="P83" s="2"/>
      <c r="Q83" s="2"/>
      <c r="R83" s="2"/>
      <c r="S83" s="2"/>
      <c r="T83" s="2"/>
      <c r="U83" s="27">
        <v>0</v>
      </c>
      <c r="V83" s="27">
        <v>0</v>
      </c>
      <c r="W83" s="27">
        <v>0</v>
      </c>
      <c r="X83" s="27">
        <v>0</v>
      </c>
      <c r="Y83" s="27">
        <v>0</v>
      </c>
      <c r="Z83" s="27">
        <v>0</v>
      </c>
      <c r="AA83" s="27">
        <v>0</v>
      </c>
      <c r="AB83" s="27">
        <v>0</v>
      </c>
      <c r="AC83" s="27">
        <v>0</v>
      </c>
      <c r="AD83" s="27">
        <v>0</v>
      </c>
      <c r="AE83" s="27">
        <v>0</v>
      </c>
      <c r="AF83" s="27">
        <v>0</v>
      </c>
      <c r="AG83" s="86">
        <v>0</v>
      </c>
    </row>
    <row r="84" spans="1:33" x14ac:dyDescent="0.25">
      <c r="A84" s="5" t="s">
        <v>187</v>
      </c>
      <c r="B84" s="2" t="s">
        <v>186</v>
      </c>
      <c r="C84" s="1" t="s">
        <v>329</v>
      </c>
      <c r="D84" s="2"/>
      <c r="E84" s="2"/>
      <c r="F84" s="2"/>
      <c r="G84" s="2"/>
      <c r="H84" s="2"/>
      <c r="I84" s="2"/>
      <c r="J84" s="2"/>
      <c r="K84" s="2"/>
      <c r="L84" s="2"/>
      <c r="M84" s="2"/>
      <c r="N84" s="2"/>
      <c r="O84" s="2"/>
      <c r="P84" s="2"/>
      <c r="Q84" s="2"/>
      <c r="R84" s="2"/>
      <c r="S84" s="2"/>
      <c r="T84" s="2"/>
      <c r="U84" s="27">
        <v>0</v>
      </c>
      <c r="V84" s="27">
        <v>0</v>
      </c>
      <c r="W84" s="27">
        <v>0</v>
      </c>
      <c r="X84" s="27">
        <v>0</v>
      </c>
      <c r="Y84" s="27">
        <v>0</v>
      </c>
      <c r="Z84" s="27">
        <v>0</v>
      </c>
      <c r="AA84" s="27">
        <v>0</v>
      </c>
      <c r="AB84" s="27">
        <v>0</v>
      </c>
      <c r="AC84" s="27">
        <v>0</v>
      </c>
      <c r="AD84" s="27">
        <v>0</v>
      </c>
      <c r="AE84" s="27">
        <v>0</v>
      </c>
      <c r="AF84" s="27">
        <v>0</v>
      </c>
      <c r="AG84" s="86">
        <v>0</v>
      </c>
    </row>
    <row r="85" spans="1:33" x14ac:dyDescent="0.25">
      <c r="A85" s="5" t="s">
        <v>189</v>
      </c>
      <c r="B85" s="2" t="s">
        <v>188</v>
      </c>
      <c r="C85" s="1" t="s">
        <v>329</v>
      </c>
      <c r="D85" s="2"/>
      <c r="E85" s="2"/>
      <c r="F85" s="2"/>
      <c r="G85" s="2"/>
      <c r="H85" s="2"/>
      <c r="I85" s="2"/>
      <c r="J85" s="2"/>
      <c r="K85" s="2"/>
      <c r="L85" s="2"/>
      <c r="M85" s="2"/>
      <c r="N85" s="2"/>
      <c r="O85" s="2"/>
      <c r="P85" s="2"/>
      <c r="Q85" s="2"/>
      <c r="R85" s="2"/>
      <c r="S85" s="2"/>
      <c r="T85" s="2"/>
      <c r="U85" s="27">
        <v>0</v>
      </c>
      <c r="V85" s="27">
        <v>0</v>
      </c>
      <c r="W85" s="27">
        <v>0</v>
      </c>
      <c r="X85" s="27">
        <v>0</v>
      </c>
      <c r="Y85" s="27">
        <v>0</v>
      </c>
      <c r="Z85" s="27">
        <v>0</v>
      </c>
      <c r="AA85" s="27">
        <v>0</v>
      </c>
      <c r="AB85" s="27">
        <v>0</v>
      </c>
      <c r="AC85" s="27">
        <v>0</v>
      </c>
      <c r="AD85" s="27">
        <v>0</v>
      </c>
      <c r="AE85" s="27">
        <v>0</v>
      </c>
      <c r="AF85" s="27">
        <v>0</v>
      </c>
      <c r="AG85" s="86">
        <v>0</v>
      </c>
    </row>
    <row r="86" spans="1:33" x14ac:dyDescent="0.25">
      <c r="A86" s="5" t="s">
        <v>191</v>
      </c>
      <c r="B86" s="2" t="s">
        <v>190</v>
      </c>
      <c r="C86" s="1" t="s">
        <v>329</v>
      </c>
      <c r="D86" s="2"/>
      <c r="E86" s="2"/>
      <c r="F86" s="2"/>
      <c r="G86" s="2"/>
      <c r="H86" s="2"/>
      <c r="I86" s="2"/>
      <c r="J86" s="2"/>
      <c r="K86" s="2"/>
      <c r="L86" s="2"/>
      <c r="M86" s="2"/>
      <c r="N86" s="2"/>
      <c r="O86" s="2"/>
      <c r="P86" s="2"/>
      <c r="Q86" s="2"/>
      <c r="R86" s="2"/>
      <c r="S86" s="2"/>
      <c r="T86" s="2"/>
      <c r="U86" s="27">
        <v>0</v>
      </c>
      <c r="V86" s="27">
        <v>0</v>
      </c>
      <c r="W86" s="27">
        <v>0</v>
      </c>
      <c r="X86" s="27">
        <v>0</v>
      </c>
      <c r="Y86" s="27">
        <v>0</v>
      </c>
      <c r="Z86" s="27">
        <v>0</v>
      </c>
      <c r="AA86" s="27">
        <v>0</v>
      </c>
      <c r="AB86" s="27">
        <v>0</v>
      </c>
      <c r="AC86" s="27">
        <v>0</v>
      </c>
      <c r="AD86" s="27">
        <v>0</v>
      </c>
      <c r="AE86" s="27">
        <v>0</v>
      </c>
      <c r="AF86" s="27">
        <v>0</v>
      </c>
      <c r="AG86" s="86">
        <v>0</v>
      </c>
    </row>
    <row r="87" spans="1:33" x14ac:dyDescent="0.25">
      <c r="A87" s="5" t="s">
        <v>193</v>
      </c>
      <c r="B87" s="2" t="s">
        <v>192</v>
      </c>
      <c r="C87" s="1" t="s">
        <v>329</v>
      </c>
      <c r="D87" s="2"/>
      <c r="E87" s="2"/>
      <c r="F87" s="2"/>
      <c r="G87" s="2"/>
      <c r="H87" s="2"/>
      <c r="I87" s="2"/>
      <c r="J87" s="2"/>
      <c r="K87" s="2"/>
      <c r="L87" s="2"/>
      <c r="M87" s="2"/>
      <c r="N87" s="2"/>
      <c r="O87" s="2"/>
      <c r="P87" s="2"/>
      <c r="Q87" s="2"/>
      <c r="R87" s="2"/>
      <c r="S87" s="2"/>
      <c r="T87" s="2"/>
      <c r="U87" s="27">
        <f>capex_concordance!F3</f>
        <v>0.4</v>
      </c>
      <c r="V87" s="27">
        <f>capex_concordance!F15</f>
        <v>0.46</v>
      </c>
      <c r="W87" s="27">
        <f>capex_concordance!F27</f>
        <v>0.28000000000000003</v>
      </c>
      <c r="X87" s="27">
        <f>capex_concordance!F39</f>
        <v>0.33</v>
      </c>
      <c r="Y87" s="27">
        <f>capex_concordance!F51</f>
        <v>0.65</v>
      </c>
      <c r="Z87" s="27">
        <f>capex_concordance!F61</f>
        <v>0.51</v>
      </c>
      <c r="AA87" s="27">
        <f>capex_concordance!F70</f>
        <v>0.46</v>
      </c>
      <c r="AB87" s="27">
        <f>capex_concordance!F82</f>
        <v>0.63</v>
      </c>
      <c r="AC87" s="27">
        <f>capex_concordance!F94</f>
        <v>0.45</v>
      </c>
      <c r="AD87" s="27">
        <f>capex_concordance!F106</f>
        <v>0.45</v>
      </c>
      <c r="AE87" s="27">
        <f>capex_concordance!F117</f>
        <v>0.08</v>
      </c>
      <c r="AF87" s="27">
        <f>capex_concordance!F129</f>
        <v>0.42</v>
      </c>
      <c r="AG87" s="86">
        <f>capex_concordance!F141</f>
        <v>0.51</v>
      </c>
    </row>
    <row r="88" spans="1:33" x14ac:dyDescent="0.25">
      <c r="A88" s="5" t="s">
        <v>195</v>
      </c>
      <c r="B88" s="2" t="s">
        <v>194</v>
      </c>
      <c r="C88" s="1" t="s">
        <v>329</v>
      </c>
      <c r="D88" s="2"/>
      <c r="E88" s="2"/>
      <c r="F88" s="2"/>
      <c r="G88" s="2"/>
      <c r="H88" s="2"/>
      <c r="I88" s="2"/>
      <c r="J88" s="2"/>
      <c r="K88" s="2"/>
      <c r="L88" s="2"/>
      <c r="M88" s="2"/>
      <c r="N88" s="2"/>
      <c r="O88" s="2"/>
      <c r="P88" s="2"/>
      <c r="Q88" s="2"/>
      <c r="R88" s="2"/>
      <c r="S88" s="2"/>
      <c r="T88" s="2"/>
      <c r="U88" s="27">
        <v>0</v>
      </c>
      <c r="V88" s="27">
        <v>0</v>
      </c>
      <c r="W88" s="27">
        <v>0</v>
      </c>
      <c r="X88" s="27">
        <v>0</v>
      </c>
      <c r="Y88" s="27">
        <v>0</v>
      </c>
      <c r="Z88" s="27">
        <v>0</v>
      </c>
      <c r="AA88" s="27">
        <v>0</v>
      </c>
      <c r="AB88" s="27">
        <v>0</v>
      </c>
      <c r="AC88" s="27">
        <v>0</v>
      </c>
      <c r="AD88" s="27">
        <v>0</v>
      </c>
      <c r="AE88" s="27">
        <v>0</v>
      </c>
      <c r="AF88" s="27">
        <v>0</v>
      </c>
      <c r="AG88" s="86">
        <v>0</v>
      </c>
    </row>
    <row r="89" spans="1:33" x14ac:dyDescent="0.25">
      <c r="A89" s="5" t="s">
        <v>197</v>
      </c>
      <c r="B89" s="2" t="s">
        <v>196</v>
      </c>
      <c r="C89" s="1" t="s">
        <v>329</v>
      </c>
      <c r="D89" s="2"/>
      <c r="E89" s="2"/>
      <c r="F89" s="2"/>
      <c r="G89" s="2"/>
      <c r="H89" s="2"/>
      <c r="I89" s="2"/>
      <c r="J89" s="2"/>
      <c r="K89" s="2"/>
      <c r="L89" s="2"/>
      <c r="M89" s="2"/>
      <c r="N89" s="2"/>
      <c r="O89" s="2"/>
      <c r="P89" s="2"/>
      <c r="Q89" s="2"/>
      <c r="R89" s="2"/>
      <c r="S89" s="2"/>
      <c r="T89" s="2"/>
      <c r="U89" s="27">
        <f>capex_concordance!F4</f>
        <v>0.06</v>
      </c>
      <c r="V89" s="27">
        <f>capex_concordance!F16</f>
        <v>0.06</v>
      </c>
      <c r="W89" s="27">
        <f>capex_concordance!F28</f>
        <v>0.05</v>
      </c>
      <c r="X89" s="27">
        <f>capex_concordance!F40</f>
        <v>0.04</v>
      </c>
      <c r="Y89" s="27">
        <f>capex_concordance!F52</f>
        <v>0.15</v>
      </c>
      <c r="Z89" s="27">
        <f>capex_concordance!F62</f>
        <v>0.09</v>
      </c>
      <c r="AA89" s="27">
        <f>capex_concordance!F62</f>
        <v>0.09</v>
      </c>
      <c r="AB89" s="27">
        <f>capex_concordance!F83</f>
        <v>0.08</v>
      </c>
      <c r="AC89" s="27">
        <f>capex_concordance!F95</f>
        <v>0.1</v>
      </c>
      <c r="AD89" s="27">
        <f>capex_concordance!F107</f>
        <v>0.1</v>
      </c>
      <c r="AE89" s="27">
        <f>capex_concordance!F118</f>
        <v>0.08</v>
      </c>
      <c r="AF89" s="27">
        <f>capex_concordance!F130</f>
        <v>0.08</v>
      </c>
      <c r="AG89" s="86">
        <f>capex_concordance!F142</f>
        <v>7.0000000000000007E-2</v>
      </c>
    </row>
    <row r="90" spans="1:33" x14ac:dyDescent="0.25">
      <c r="A90" s="5" t="s">
        <v>199</v>
      </c>
      <c r="B90" s="2" t="s">
        <v>198</v>
      </c>
      <c r="C90" s="1" t="s">
        <v>329</v>
      </c>
      <c r="D90" s="2"/>
      <c r="E90" s="2"/>
      <c r="F90" s="2"/>
      <c r="G90" s="2"/>
      <c r="H90" s="2"/>
      <c r="I90" s="2"/>
      <c r="J90" s="2"/>
      <c r="K90" s="2"/>
      <c r="L90" s="2"/>
      <c r="M90" s="2"/>
      <c r="N90" s="2"/>
      <c r="O90" s="2"/>
      <c r="P90" s="2"/>
      <c r="Q90" s="2"/>
      <c r="R90" s="2"/>
      <c r="S90" s="2"/>
      <c r="T90" s="2"/>
      <c r="U90" s="27">
        <v>0</v>
      </c>
      <c r="V90" s="27">
        <v>0</v>
      </c>
      <c r="W90" s="27">
        <v>0</v>
      </c>
      <c r="X90" s="27">
        <v>0</v>
      </c>
      <c r="Y90" s="27">
        <v>0</v>
      </c>
      <c r="Z90" s="27">
        <v>0</v>
      </c>
      <c r="AA90" s="27">
        <v>0</v>
      </c>
      <c r="AB90" s="27">
        <v>0</v>
      </c>
      <c r="AC90" s="27">
        <v>0</v>
      </c>
      <c r="AD90" s="27">
        <v>0</v>
      </c>
      <c r="AE90" s="27">
        <v>0</v>
      </c>
      <c r="AF90" s="27">
        <v>0</v>
      </c>
      <c r="AG90" s="86">
        <v>0</v>
      </c>
    </row>
    <row r="91" spans="1:33" x14ac:dyDescent="0.25">
      <c r="A91" s="5" t="s">
        <v>201</v>
      </c>
      <c r="B91" s="2" t="s">
        <v>200</v>
      </c>
      <c r="C91" s="1" t="s">
        <v>329</v>
      </c>
      <c r="D91" s="2"/>
      <c r="E91" s="2"/>
      <c r="F91" s="2"/>
      <c r="G91" s="2"/>
      <c r="H91" s="2"/>
      <c r="I91" s="2"/>
      <c r="J91" s="2"/>
      <c r="K91" s="2"/>
      <c r="L91" s="2"/>
      <c r="M91" s="2"/>
      <c r="N91" s="2"/>
      <c r="O91" s="2"/>
      <c r="P91" s="2"/>
      <c r="Q91" s="2"/>
      <c r="R91" s="2"/>
      <c r="S91" s="2"/>
      <c r="T91" s="2"/>
      <c r="U91" s="27">
        <v>0</v>
      </c>
      <c r="V91" s="27">
        <v>0</v>
      </c>
      <c r="W91" s="27">
        <v>0</v>
      </c>
      <c r="X91" s="27">
        <v>0</v>
      </c>
      <c r="Y91" s="27">
        <v>0</v>
      </c>
      <c r="Z91" s="27">
        <v>0</v>
      </c>
      <c r="AA91" s="27">
        <v>0</v>
      </c>
      <c r="AB91" s="27">
        <v>0</v>
      </c>
      <c r="AC91" s="27">
        <v>0</v>
      </c>
      <c r="AD91" s="27">
        <v>0</v>
      </c>
      <c r="AE91" s="27">
        <v>0</v>
      </c>
      <c r="AF91" s="27">
        <v>0</v>
      </c>
      <c r="AG91" s="86">
        <v>0</v>
      </c>
    </row>
    <row r="92" spans="1:33" x14ac:dyDescent="0.25">
      <c r="A92" s="5" t="s">
        <v>203</v>
      </c>
      <c r="B92" s="2" t="s">
        <v>202</v>
      </c>
      <c r="C92" s="1" t="s">
        <v>329</v>
      </c>
      <c r="D92" s="2"/>
      <c r="E92" s="2"/>
      <c r="F92" s="2"/>
      <c r="G92" s="2"/>
      <c r="H92" s="2"/>
      <c r="I92" s="2"/>
      <c r="J92" s="2"/>
      <c r="K92" s="2"/>
      <c r="L92" s="2"/>
      <c r="M92" s="2"/>
      <c r="N92" s="2"/>
      <c r="O92" s="2"/>
      <c r="P92" s="2"/>
      <c r="Q92" s="2"/>
      <c r="R92" s="2"/>
      <c r="S92" s="2"/>
      <c r="T92" s="2"/>
      <c r="U92" s="27">
        <v>0</v>
      </c>
      <c r="V92" s="27">
        <v>0</v>
      </c>
      <c r="W92" s="27">
        <v>0</v>
      </c>
      <c r="X92" s="27">
        <v>0</v>
      </c>
      <c r="Y92" s="27">
        <v>0</v>
      </c>
      <c r="Z92" s="27">
        <v>0</v>
      </c>
      <c r="AA92" s="27">
        <v>0</v>
      </c>
      <c r="AB92" s="27">
        <v>0</v>
      </c>
      <c r="AC92" s="27">
        <v>0</v>
      </c>
      <c r="AD92" s="27">
        <v>0</v>
      </c>
      <c r="AE92" s="27">
        <v>0</v>
      </c>
      <c r="AF92" s="27">
        <v>0</v>
      </c>
      <c r="AG92" s="86">
        <v>0</v>
      </c>
    </row>
    <row r="93" spans="1:33" x14ac:dyDescent="0.25">
      <c r="A93" s="5" t="s">
        <v>205</v>
      </c>
      <c r="B93" s="2" t="s">
        <v>204</v>
      </c>
      <c r="C93" s="1" t="s">
        <v>329</v>
      </c>
      <c r="D93" s="2"/>
      <c r="E93" s="2"/>
      <c r="F93" s="2"/>
      <c r="G93" s="2"/>
      <c r="H93" s="2"/>
      <c r="I93" s="2"/>
      <c r="J93" s="2"/>
      <c r="K93" s="2"/>
      <c r="L93" s="2"/>
      <c r="M93" s="2"/>
      <c r="N93" s="2"/>
      <c r="O93" s="2"/>
      <c r="P93" s="2"/>
      <c r="Q93" s="2"/>
      <c r="R93" s="2"/>
      <c r="S93" s="2"/>
      <c r="T93" s="2"/>
      <c r="U93" s="27">
        <v>0</v>
      </c>
      <c r="V93" s="27">
        <v>0</v>
      </c>
      <c r="W93" s="27">
        <v>0</v>
      </c>
      <c r="X93" s="27">
        <v>0</v>
      </c>
      <c r="Y93" s="27">
        <v>0</v>
      </c>
      <c r="Z93" s="27">
        <v>0</v>
      </c>
      <c r="AA93" s="27">
        <v>0</v>
      </c>
      <c r="AB93" s="27">
        <v>0</v>
      </c>
      <c r="AC93" s="27">
        <v>0</v>
      </c>
      <c r="AD93" s="27">
        <v>0</v>
      </c>
      <c r="AE93" s="27">
        <v>0</v>
      </c>
      <c r="AF93" s="27">
        <v>0</v>
      </c>
      <c r="AG93" s="86">
        <v>0</v>
      </c>
    </row>
    <row r="94" spans="1:33" x14ac:dyDescent="0.25">
      <c r="A94" s="5" t="s">
        <v>207</v>
      </c>
      <c r="B94" s="2" t="s">
        <v>206</v>
      </c>
      <c r="C94" s="1" t="s">
        <v>329</v>
      </c>
      <c r="D94" s="2"/>
      <c r="E94" s="2"/>
      <c r="F94" s="2"/>
      <c r="G94" s="2"/>
      <c r="H94" s="2"/>
      <c r="I94" s="2"/>
      <c r="J94" s="2"/>
      <c r="K94" s="2"/>
      <c r="L94" s="2"/>
      <c r="M94" s="2"/>
      <c r="N94" s="2"/>
      <c r="O94" s="2"/>
      <c r="P94" s="2"/>
      <c r="Q94" s="2"/>
      <c r="R94" s="2"/>
      <c r="S94" s="2"/>
      <c r="T94" s="2"/>
      <c r="U94" s="27">
        <v>0</v>
      </c>
      <c r="V94" s="27">
        <v>0</v>
      </c>
      <c r="W94" s="27">
        <v>0</v>
      </c>
      <c r="X94" s="27">
        <v>0</v>
      </c>
      <c r="Y94" s="27">
        <v>0</v>
      </c>
      <c r="Z94" s="27">
        <v>0</v>
      </c>
      <c r="AA94" s="27">
        <v>0</v>
      </c>
      <c r="AB94" s="27">
        <v>0</v>
      </c>
      <c r="AC94" s="27">
        <v>0</v>
      </c>
      <c r="AD94" s="27">
        <v>0</v>
      </c>
      <c r="AE94" s="27">
        <v>0</v>
      </c>
      <c r="AF94" s="27">
        <v>0</v>
      </c>
      <c r="AG94" s="86">
        <v>0</v>
      </c>
    </row>
    <row r="95" spans="1:33" x14ac:dyDescent="0.25">
      <c r="A95" s="6" t="s">
        <v>209</v>
      </c>
      <c r="B95" s="2" t="s">
        <v>208</v>
      </c>
      <c r="C95" s="1" t="s">
        <v>330</v>
      </c>
      <c r="D95" s="2"/>
      <c r="E95" s="2"/>
      <c r="F95" s="2"/>
      <c r="G95" s="2"/>
      <c r="H95" s="2"/>
      <c r="I95" s="2"/>
      <c r="J95" s="2"/>
      <c r="K95" s="2"/>
      <c r="L95" s="2"/>
      <c r="M95" s="2"/>
      <c r="N95" s="2"/>
      <c r="O95" s="2"/>
      <c r="P95" s="2"/>
      <c r="Q95" s="2"/>
      <c r="R95" s="2"/>
      <c r="S95" s="2"/>
      <c r="T95" s="2"/>
      <c r="U95" s="27">
        <v>0</v>
      </c>
      <c r="V95" s="27">
        <v>0</v>
      </c>
      <c r="W95" s="27">
        <v>0</v>
      </c>
      <c r="X95" s="27">
        <v>0</v>
      </c>
      <c r="Y95" s="27">
        <v>0</v>
      </c>
      <c r="Z95" s="27">
        <v>0</v>
      </c>
      <c r="AA95" s="27">
        <v>0</v>
      </c>
      <c r="AB95" s="27">
        <v>0</v>
      </c>
      <c r="AC95" s="27">
        <v>0</v>
      </c>
      <c r="AD95" s="27">
        <v>0</v>
      </c>
      <c r="AE95" s="27">
        <v>0</v>
      </c>
      <c r="AF95" s="27">
        <v>0</v>
      </c>
      <c r="AG95" s="86">
        <v>0</v>
      </c>
    </row>
    <row r="96" spans="1:33" x14ac:dyDescent="0.25">
      <c r="A96" s="6" t="s">
        <v>211</v>
      </c>
      <c r="B96" s="2" t="s">
        <v>210</v>
      </c>
      <c r="C96" s="1" t="s">
        <v>330</v>
      </c>
      <c r="D96" s="2"/>
      <c r="E96" s="2"/>
      <c r="F96" s="2"/>
      <c r="G96" s="2"/>
      <c r="H96" s="2"/>
      <c r="I96" s="2"/>
      <c r="J96" s="2"/>
      <c r="K96" s="2"/>
      <c r="L96" s="2"/>
      <c r="M96" s="2"/>
      <c r="N96" s="2"/>
      <c r="O96" s="2"/>
      <c r="P96" s="2"/>
      <c r="Q96" s="2"/>
      <c r="R96" s="2"/>
      <c r="S96" s="2"/>
      <c r="T96" s="2"/>
      <c r="U96" s="27">
        <v>0</v>
      </c>
      <c r="V96" s="27">
        <v>0</v>
      </c>
      <c r="W96" s="27">
        <v>0</v>
      </c>
      <c r="X96" s="27">
        <v>0</v>
      </c>
      <c r="Y96" s="27">
        <v>0</v>
      </c>
      <c r="Z96" s="27">
        <v>0</v>
      </c>
      <c r="AA96" s="27">
        <v>0</v>
      </c>
      <c r="AB96" s="27">
        <v>0</v>
      </c>
      <c r="AC96" s="27">
        <v>0</v>
      </c>
      <c r="AD96" s="27">
        <v>0</v>
      </c>
      <c r="AE96" s="27">
        <v>0</v>
      </c>
      <c r="AF96" s="27">
        <v>0</v>
      </c>
      <c r="AG96" s="86">
        <v>0</v>
      </c>
    </row>
    <row r="97" spans="1:33" x14ac:dyDescent="0.25">
      <c r="A97" s="5" t="s">
        <v>2</v>
      </c>
      <c r="B97" s="2" t="s">
        <v>3</v>
      </c>
      <c r="C97" s="1" t="s">
        <v>330</v>
      </c>
      <c r="D97" s="2"/>
      <c r="E97" s="2"/>
      <c r="F97" s="2"/>
      <c r="G97" s="2"/>
      <c r="H97" s="2"/>
      <c r="I97" s="2"/>
      <c r="J97" s="2"/>
      <c r="K97" s="2"/>
      <c r="L97" s="2"/>
      <c r="M97" s="2"/>
      <c r="N97" s="2"/>
      <c r="O97" s="2"/>
      <c r="P97" s="2"/>
      <c r="Q97" s="2"/>
      <c r="R97" s="2"/>
      <c r="S97" s="2"/>
      <c r="T97" s="2"/>
      <c r="U97" s="27">
        <v>0</v>
      </c>
      <c r="V97" s="27">
        <v>0</v>
      </c>
      <c r="W97" s="27">
        <v>0</v>
      </c>
      <c r="X97" s="27">
        <v>0</v>
      </c>
      <c r="Y97" s="27">
        <v>0</v>
      </c>
      <c r="Z97" s="27">
        <v>0</v>
      </c>
      <c r="AA97" s="27">
        <v>0</v>
      </c>
      <c r="AB97" s="27">
        <v>0</v>
      </c>
      <c r="AC97" s="27">
        <v>0</v>
      </c>
      <c r="AD97" s="27">
        <v>0</v>
      </c>
      <c r="AE97" s="27">
        <v>0</v>
      </c>
      <c r="AF97" s="27">
        <v>0</v>
      </c>
      <c r="AG97" s="86">
        <v>0</v>
      </c>
    </row>
    <row r="98" spans="1:33" x14ac:dyDescent="0.25">
      <c r="A98" s="5" t="s">
        <v>4</v>
      </c>
      <c r="B98" s="2" t="s">
        <v>5</v>
      </c>
      <c r="C98" s="1" t="s">
        <v>330</v>
      </c>
      <c r="D98" s="2"/>
      <c r="E98" s="2"/>
      <c r="F98" s="2"/>
      <c r="G98" s="2"/>
      <c r="H98" s="2"/>
      <c r="I98" s="2"/>
      <c r="J98" s="2"/>
      <c r="K98" s="2"/>
      <c r="L98" s="2"/>
      <c r="M98" s="2"/>
      <c r="N98" s="2"/>
      <c r="O98" s="2"/>
      <c r="P98" s="2"/>
      <c r="Q98" s="2"/>
      <c r="R98" s="2"/>
      <c r="S98" s="2"/>
      <c r="T98" s="2"/>
      <c r="U98" s="27">
        <v>0</v>
      </c>
      <c r="V98" s="27">
        <v>0</v>
      </c>
      <c r="W98" s="27">
        <v>0</v>
      </c>
      <c r="X98" s="27">
        <v>0</v>
      </c>
      <c r="Y98" s="27">
        <v>0</v>
      </c>
      <c r="Z98" s="27">
        <v>0</v>
      </c>
      <c r="AA98" s="27">
        <v>0</v>
      </c>
      <c r="AB98" s="27">
        <v>0</v>
      </c>
      <c r="AC98" s="27">
        <v>0</v>
      </c>
      <c r="AD98" s="27">
        <v>0</v>
      </c>
      <c r="AE98" s="27">
        <v>0</v>
      </c>
      <c r="AF98" s="27">
        <v>0</v>
      </c>
      <c r="AG98" s="86">
        <v>0</v>
      </c>
    </row>
    <row r="99" spans="1:33" x14ac:dyDescent="0.25">
      <c r="A99" s="5" t="s">
        <v>6</v>
      </c>
      <c r="B99" s="2" t="s">
        <v>7</v>
      </c>
      <c r="C99" s="1" t="s">
        <v>330</v>
      </c>
      <c r="D99" s="2"/>
      <c r="E99" s="2"/>
      <c r="F99" s="2"/>
      <c r="G99" s="2"/>
      <c r="H99" s="2"/>
      <c r="I99" s="2"/>
      <c r="J99" s="2"/>
      <c r="K99" s="2"/>
      <c r="L99" s="2"/>
      <c r="M99" s="2"/>
      <c r="N99" s="2"/>
      <c r="O99" s="2"/>
      <c r="P99" s="2"/>
      <c r="Q99" s="2"/>
      <c r="R99" s="2"/>
      <c r="S99" s="2"/>
      <c r="T99" s="2"/>
      <c r="U99" s="27">
        <v>0</v>
      </c>
      <c r="V99" s="27">
        <v>0</v>
      </c>
      <c r="W99" s="27">
        <v>0</v>
      </c>
      <c r="X99" s="27">
        <v>0</v>
      </c>
      <c r="Y99" s="27">
        <v>0</v>
      </c>
      <c r="Z99" s="27">
        <v>0</v>
      </c>
      <c r="AA99" s="27">
        <v>0</v>
      </c>
      <c r="AB99" s="27">
        <v>0</v>
      </c>
      <c r="AC99" s="27">
        <v>0</v>
      </c>
      <c r="AD99" s="27">
        <v>0</v>
      </c>
      <c r="AE99" s="27">
        <v>0</v>
      </c>
      <c r="AF99" s="27">
        <v>0</v>
      </c>
      <c r="AG99" s="86">
        <v>0</v>
      </c>
    </row>
    <row r="100" spans="1:33" x14ac:dyDescent="0.25">
      <c r="A100" s="5" t="s">
        <v>8</v>
      </c>
      <c r="B100" s="2" t="s">
        <v>9</v>
      </c>
      <c r="C100" s="1" t="s">
        <v>330</v>
      </c>
      <c r="D100" s="2"/>
      <c r="E100" s="2"/>
      <c r="F100" s="2"/>
      <c r="G100" s="2"/>
      <c r="H100" s="2"/>
      <c r="I100" s="2"/>
      <c r="J100" s="2"/>
      <c r="K100" s="2"/>
      <c r="L100" s="2"/>
      <c r="M100" s="2"/>
      <c r="N100" s="2"/>
      <c r="O100" s="2"/>
      <c r="P100" s="2"/>
      <c r="Q100" s="2"/>
      <c r="R100" s="2"/>
      <c r="S100" s="2"/>
      <c r="T100" s="2"/>
      <c r="U100" s="27">
        <v>0</v>
      </c>
      <c r="V100" s="27">
        <v>0</v>
      </c>
      <c r="W100" s="27">
        <v>0</v>
      </c>
      <c r="X100" s="27">
        <v>0</v>
      </c>
      <c r="Y100" s="27">
        <v>0</v>
      </c>
      <c r="Z100" s="27">
        <v>0</v>
      </c>
      <c r="AA100" s="27">
        <v>0</v>
      </c>
      <c r="AB100" s="27">
        <v>0</v>
      </c>
      <c r="AC100" s="27">
        <v>0</v>
      </c>
      <c r="AD100" s="27">
        <v>0</v>
      </c>
      <c r="AE100" s="27">
        <v>0</v>
      </c>
      <c r="AF100" s="27">
        <v>0</v>
      </c>
      <c r="AG100" s="86">
        <v>0</v>
      </c>
    </row>
    <row r="101" spans="1:33" x14ac:dyDescent="0.25">
      <c r="A101" s="1" t="s">
        <v>342</v>
      </c>
      <c r="B101" s="2" t="s">
        <v>336</v>
      </c>
      <c r="C101" s="1" t="s">
        <v>330</v>
      </c>
      <c r="D101" s="2"/>
      <c r="E101" s="2"/>
      <c r="F101" s="2"/>
      <c r="G101" s="2"/>
      <c r="H101" s="2"/>
      <c r="I101" s="2"/>
      <c r="J101" s="2"/>
      <c r="K101" s="2"/>
      <c r="L101" s="2"/>
      <c r="M101" s="2"/>
      <c r="N101" s="2"/>
      <c r="O101" s="2"/>
      <c r="P101" s="2"/>
      <c r="Q101" s="2"/>
      <c r="R101" s="2"/>
      <c r="S101" s="2"/>
      <c r="T101" s="2"/>
      <c r="U101" s="27">
        <v>0</v>
      </c>
      <c r="V101" s="27">
        <v>0</v>
      </c>
      <c r="W101" s="27">
        <v>0</v>
      </c>
      <c r="X101" s="27">
        <v>0</v>
      </c>
      <c r="Y101" s="27">
        <v>0</v>
      </c>
      <c r="Z101" s="27">
        <v>0</v>
      </c>
      <c r="AA101" s="27">
        <v>0</v>
      </c>
      <c r="AB101" s="27">
        <v>0</v>
      </c>
      <c r="AC101" s="27">
        <v>0</v>
      </c>
      <c r="AD101" s="27">
        <v>0</v>
      </c>
      <c r="AE101" s="27">
        <v>0</v>
      </c>
      <c r="AF101" s="27">
        <v>0</v>
      </c>
      <c r="AG101" s="86">
        <v>0</v>
      </c>
    </row>
    <row r="102" spans="1:33" x14ac:dyDescent="0.25">
      <c r="A102" s="1" t="s">
        <v>343</v>
      </c>
      <c r="B102" s="2" t="s">
        <v>337</v>
      </c>
      <c r="C102" s="1" t="s">
        <v>330</v>
      </c>
      <c r="D102" s="2"/>
      <c r="E102" s="2"/>
      <c r="F102" s="2"/>
      <c r="G102" s="2"/>
      <c r="H102" s="2"/>
      <c r="I102" s="2"/>
      <c r="J102" s="2"/>
      <c r="K102" s="2"/>
      <c r="L102" s="2"/>
      <c r="M102" s="2"/>
      <c r="N102" s="2"/>
      <c r="O102" s="2"/>
      <c r="P102" s="2"/>
      <c r="Q102" s="2"/>
      <c r="R102" s="2"/>
      <c r="S102" s="2"/>
      <c r="T102" s="2"/>
      <c r="U102" s="27">
        <v>0</v>
      </c>
      <c r="V102" s="27">
        <v>0</v>
      </c>
      <c r="W102" s="27">
        <v>0</v>
      </c>
      <c r="X102" s="27">
        <v>0</v>
      </c>
      <c r="Y102" s="27">
        <v>0</v>
      </c>
      <c r="Z102" s="27">
        <v>0</v>
      </c>
      <c r="AA102" s="27">
        <v>0</v>
      </c>
      <c r="AB102" s="27">
        <v>0</v>
      </c>
      <c r="AC102" s="27">
        <v>0</v>
      </c>
      <c r="AD102" s="27">
        <v>0</v>
      </c>
      <c r="AE102" s="27">
        <v>0</v>
      </c>
      <c r="AF102" s="27">
        <v>0</v>
      </c>
      <c r="AG102" s="86">
        <v>0</v>
      </c>
    </row>
    <row r="103" spans="1:33" x14ac:dyDescent="0.25">
      <c r="A103" s="1" t="s">
        <v>10</v>
      </c>
      <c r="B103" s="2" t="s">
        <v>11</v>
      </c>
      <c r="C103" s="1" t="s">
        <v>330</v>
      </c>
      <c r="D103" s="2"/>
      <c r="E103" s="2"/>
      <c r="F103" s="2"/>
      <c r="G103" s="2"/>
      <c r="H103" s="2"/>
      <c r="I103" s="2"/>
      <c r="J103" s="2"/>
      <c r="K103" s="2"/>
      <c r="L103" s="2"/>
      <c r="M103" s="2"/>
      <c r="N103" s="2"/>
      <c r="O103" s="2"/>
      <c r="P103" s="2"/>
      <c r="Q103" s="2"/>
      <c r="R103" s="2"/>
      <c r="S103" s="2"/>
      <c r="T103" s="2"/>
      <c r="U103" s="27">
        <v>0</v>
      </c>
      <c r="V103" s="27">
        <v>0</v>
      </c>
      <c r="W103" s="27">
        <v>0</v>
      </c>
      <c r="X103" s="27">
        <v>0</v>
      </c>
      <c r="Y103" s="27">
        <v>0</v>
      </c>
      <c r="Z103" s="27">
        <v>0</v>
      </c>
      <c r="AA103" s="27">
        <v>0</v>
      </c>
      <c r="AB103" s="27">
        <v>0</v>
      </c>
      <c r="AC103" s="27">
        <v>0</v>
      </c>
      <c r="AD103" s="27">
        <v>0</v>
      </c>
      <c r="AE103" s="27">
        <v>0</v>
      </c>
      <c r="AF103" s="27">
        <v>0</v>
      </c>
      <c r="AG103" s="86">
        <v>0</v>
      </c>
    </row>
    <row r="104" spans="1:33" x14ac:dyDescent="0.25">
      <c r="A104" s="1" t="s">
        <v>12</v>
      </c>
      <c r="B104" s="2" t="s">
        <v>13</v>
      </c>
      <c r="C104" s="1" t="s">
        <v>330</v>
      </c>
      <c r="D104" s="2"/>
      <c r="E104" s="2"/>
      <c r="F104" s="2"/>
      <c r="G104" s="2"/>
      <c r="H104" s="2"/>
      <c r="I104" s="2"/>
      <c r="J104" s="2"/>
      <c r="K104" s="2"/>
      <c r="L104" s="2"/>
      <c r="M104" s="2"/>
      <c r="N104" s="2"/>
      <c r="O104" s="2"/>
      <c r="P104" s="2"/>
      <c r="Q104" s="2"/>
      <c r="R104" s="2"/>
      <c r="S104" s="2"/>
      <c r="T104" s="2"/>
      <c r="U104" s="27">
        <v>0</v>
      </c>
      <c r="V104" s="27">
        <v>0</v>
      </c>
      <c r="W104" s="27">
        <v>0</v>
      </c>
      <c r="X104" s="27">
        <v>0</v>
      </c>
      <c r="Y104" s="27">
        <v>0</v>
      </c>
      <c r="Z104" s="27">
        <v>0</v>
      </c>
      <c r="AA104" s="27">
        <v>0</v>
      </c>
      <c r="AB104" s="27">
        <v>0</v>
      </c>
      <c r="AC104" s="27">
        <v>0</v>
      </c>
      <c r="AD104" s="27">
        <v>0</v>
      </c>
      <c r="AE104" s="27">
        <v>0</v>
      </c>
      <c r="AF104" s="27">
        <v>0</v>
      </c>
      <c r="AG104" s="86">
        <v>0</v>
      </c>
    </row>
    <row r="105" spans="1:33" x14ac:dyDescent="0.25">
      <c r="A105" s="1" t="s">
        <v>340</v>
      </c>
      <c r="B105" s="2" t="s">
        <v>338</v>
      </c>
      <c r="C105" s="1" t="s">
        <v>330</v>
      </c>
      <c r="D105" s="2"/>
      <c r="E105" s="2"/>
      <c r="F105" s="2"/>
      <c r="G105" s="2"/>
      <c r="H105" s="2"/>
      <c r="I105" s="2"/>
      <c r="J105" s="2"/>
      <c r="K105" s="2"/>
      <c r="L105" s="2"/>
      <c r="M105" s="2"/>
      <c r="N105" s="2"/>
      <c r="O105" s="2"/>
      <c r="P105" s="2"/>
      <c r="Q105" s="2"/>
      <c r="R105" s="2"/>
      <c r="S105" s="2"/>
      <c r="T105" s="2"/>
      <c r="U105" s="27">
        <v>0</v>
      </c>
      <c r="V105" s="27">
        <v>0</v>
      </c>
      <c r="W105" s="27">
        <v>0</v>
      </c>
      <c r="X105" s="27">
        <v>0</v>
      </c>
      <c r="Y105" s="27">
        <v>0</v>
      </c>
      <c r="Z105" s="27">
        <v>0</v>
      </c>
      <c r="AA105" s="27">
        <v>0</v>
      </c>
      <c r="AB105" s="27">
        <v>0</v>
      </c>
      <c r="AC105" s="27">
        <v>0</v>
      </c>
      <c r="AD105" s="27">
        <v>0</v>
      </c>
      <c r="AE105" s="27">
        <v>0</v>
      </c>
      <c r="AF105" s="27">
        <v>0</v>
      </c>
      <c r="AG105" s="86">
        <v>0</v>
      </c>
    </row>
    <row r="106" spans="1:33" x14ac:dyDescent="0.25">
      <c r="A106" s="1" t="s">
        <v>341</v>
      </c>
      <c r="B106" s="2" t="s">
        <v>339</v>
      </c>
      <c r="C106" s="1" t="s">
        <v>330</v>
      </c>
      <c r="D106" s="2"/>
      <c r="E106" s="2"/>
      <c r="F106" s="2"/>
      <c r="G106" s="2"/>
      <c r="H106" s="2"/>
      <c r="I106" s="2"/>
      <c r="J106" s="2"/>
      <c r="K106" s="2"/>
      <c r="L106" s="2"/>
      <c r="M106" s="2"/>
      <c r="N106" s="2"/>
      <c r="O106" s="2"/>
      <c r="P106" s="2"/>
      <c r="Q106" s="2"/>
      <c r="R106" s="2"/>
      <c r="S106" s="2"/>
      <c r="T106" s="2"/>
      <c r="U106" s="27">
        <v>0</v>
      </c>
      <c r="V106" s="27">
        <v>0</v>
      </c>
      <c r="W106" s="27">
        <v>0</v>
      </c>
      <c r="X106" s="27">
        <v>0</v>
      </c>
      <c r="Y106" s="27">
        <v>0</v>
      </c>
      <c r="Z106" s="27">
        <v>0</v>
      </c>
      <c r="AA106" s="27">
        <v>0</v>
      </c>
      <c r="AB106" s="27">
        <v>0</v>
      </c>
      <c r="AC106" s="27">
        <v>0</v>
      </c>
      <c r="AD106" s="27">
        <v>0</v>
      </c>
      <c r="AE106" s="27">
        <v>0</v>
      </c>
      <c r="AF106" s="27">
        <v>0</v>
      </c>
      <c r="AG106" s="86">
        <v>0</v>
      </c>
    </row>
    <row r="107" spans="1:33" x14ac:dyDescent="0.25">
      <c r="A107" s="5" t="s">
        <v>14</v>
      </c>
      <c r="B107" s="2" t="s">
        <v>15</v>
      </c>
      <c r="C107" s="1" t="s">
        <v>330</v>
      </c>
      <c r="D107" s="2"/>
      <c r="E107" s="2"/>
      <c r="F107" s="2"/>
      <c r="G107" s="2"/>
      <c r="H107" s="2"/>
      <c r="I107" s="2"/>
      <c r="J107" s="2"/>
      <c r="K107" s="2"/>
      <c r="L107" s="2"/>
      <c r="M107" s="2"/>
      <c r="N107" s="2"/>
      <c r="O107" s="2"/>
      <c r="P107" s="2"/>
      <c r="Q107" s="2"/>
      <c r="R107" s="2"/>
      <c r="S107" s="2"/>
      <c r="T107" s="2"/>
      <c r="U107" s="27">
        <v>0</v>
      </c>
      <c r="V107" s="27">
        <v>0</v>
      </c>
      <c r="W107" s="27">
        <v>0</v>
      </c>
      <c r="X107" s="27">
        <v>0</v>
      </c>
      <c r="Y107" s="27">
        <v>0</v>
      </c>
      <c r="Z107" s="27">
        <v>0</v>
      </c>
      <c r="AA107" s="27">
        <v>0</v>
      </c>
      <c r="AB107" s="27">
        <v>0</v>
      </c>
      <c r="AC107" s="27">
        <v>0</v>
      </c>
      <c r="AD107" s="27">
        <v>0</v>
      </c>
      <c r="AE107" s="27">
        <v>0</v>
      </c>
      <c r="AF107" s="27">
        <v>0</v>
      </c>
      <c r="AG107" s="86">
        <v>0</v>
      </c>
    </row>
    <row r="108" spans="1:33" x14ac:dyDescent="0.25">
      <c r="A108" s="5" t="s">
        <v>16</v>
      </c>
      <c r="B108" s="2" t="s">
        <v>17</v>
      </c>
      <c r="C108" s="1" t="s">
        <v>330</v>
      </c>
      <c r="D108" s="2"/>
      <c r="E108" s="2"/>
      <c r="F108" s="2"/>
      <c r="G108" s="2"/>
      <c r="H108" s="2"/>
      <c r="I108" s="2"/>
      <c r="J108" s="2"/>
      <c r="K108" s="2"/>
      <c r="L108" s="2"/>
      <c r="M108" s="2"/>
      <c r="N108" s="2"/>
      <c r="O108" s="2"/>
      <c r="P108" s="2"/>
      <c r="Q108" s="2"/>
      <c r="R108" s="2"/>
      <c r="S108" s="2"/>
      <c r="T108" s="2"/>
      <c r="U108" s="27">
        <v>0</v>
      </c>
      <c r="V108" s="27">
        <v>0</v>
      </c>
      <c r="W108" s="27">
        <v>0</v>
      </c>
      <c r="X108" s="27">
        <v>0</v>
      </c>
      <c r="Y108" s="27">
        <v>0</v>
      </c>
      <c r="Z108" s="27">
        <v>0</v>
      </c>
      <c r="AA108" s="27">
        <v>0</v>
      </c>
      <c r="AB108" s="27">
        <v>0</v>
      </c>
      <c r="AC108" s="27">
        <v>0</v>
      </c>
      <c r="AD108" s="27">
        <v>0</v>
      </c>
      <c r="AE108" s="27">
        <v>0</v>
      </c>
      <c r="AF108" s="27">
        <v>0</v>
      </c>
      <c r="AG108" s="86">
        <v>0</v>
      </c>
    </row>
    <row r="109" spans="1:33" x14ac:dyDescent="0.25">
      <c r="A109" s="5" t="s">
        <v>18</v>
      </c>
      <c r="B109" s="2" t="s">
        <v>19</v>
      </c>
      <c r="C109" s="1" t="s">
        <v>330</v>
      </c>
      <c r="D109" s="2"/>
      <c r="E109" s="2"/>
      <c r="F109" s="2"/>
      <c r="G109" s="2"/>
      <c r="H109" s="2"/>
      <c r="I109" s="2"/>
      <c r="J109" s="2"/>
      <c r="K109" s="2"/>
      <c r="L109" s="2"/>
      <c r="M109" s="2"/>
      <c r="N109" s="2"/>
      <c r="O109" s="2"/>
      <c r="P109" s="2"/>
      <c r="Q109" s="2"/>
      <c r="R109" s="2"/>
      <c r="S109" s="2"/>
      <c r="T109" s="2"/>
      <c r="U109" s="27">
        <v>0</v>
      </c>
      <c r="V109" s="27">
        <v>0</v>
      </c>
      <c r="W109" s="27">
        <v>0</v>
      </c>
      <c r="X109" s="27">
        <v>0</v>
      </c>
      <c r="Y109" s="27">
        <v>0</v>
      </c>
      <c r="Z109" s="27">
        <v>0</v>
      </c>
      <c r="AA109" s="27">
        <v>0</v>
      </c>
      <c r="AB109" s="27">
        <v>0</v>
      </c>
      <c r="AC109" s="27">
        <v>0</v>
      </c>
      <c r="AD109" s="27">
        <v>0</v>
      </c>
      <c r="AE109" s="27">
        <v>0</v>
      </c>
      <c r="AF109" s="27">
        <v>0</v>
      </c>
      <c r="AG109" s="86">
        <v>0</v>
      </c>
    </row>
    <row r="110" spans="1:33" x14ac:dyDescent="0.25">
      <c r="A110" s="5" t="s">
        <v>20</v>
      </c>
      <c r="B110" s="2" t="s">
        <v>21</v>
      </c>
      <c r="C110" s="1" t="s">
        <v>330</v>
      </c>
      <c r="D110" s="2"/>
      <c r="E110" s="2"/>
      <c r="F110" s="2"/>
      <c r="G110" s="2"/>
      <c r="H110" s="2"/>
      <c r="I110" s="2"/>
      <c r="J110" s="2"/>
      <c r="K110" s="2"/>
      <c r="L110" s="2"/>
      <c r="M110" s="2"/>
      <c r="N110" s="2"/>
      <c r="O110" s="2"/>
      <c r="P110" s="2"/>
      <c r="Q110" s="2"/>
      <c r="R110" s="2"/>
      <c r="S110" s="2"/>
      <c r="T110" s="2"/>
      <c r="U110" s="27">
        <v>0</v>
      </c>
      <c r="V110" s="27">
        <v>0</v>
      </c>
      <c r="W110" s="27">
        <v>0</v>
      </c>
      <c r="X110" s="27">
        <v>0</v>
      </c>
      <c r="Y110" s="27">
        <v>0</v>
      </c>
      <c r="Z110" s="27">
        <v>0</v>
      </c>
      <c r="AA110" s="27">
        <v>0</v>
      </c>
      <c r="AB110" s="27">
        <v>0</v>
      </c>
      <c r="AC110" s="27">
        <v>0</v>
      </c>
      <c r="AD110" s="27">
        <v>0</v>
      </c>
      <c r="AE110" s="27">
        <v>0</v>
      </c>
      <c r="AF110" s="27">
        <v>0</v>
      </c>
      <c r="AG110" s="86">
        <v>0</v>
      </c>
    </row>
    <row r="111" spans="1:33" x14ac:dyDescent="0.25">
      <c r="A111" s="5" t="s">
        <v>213</v>
      </c>
      <c r="B111" s="2" t="s">
        <v>212</v>
      </c>
      <c r="C111" s="1" t="s">
        <v>330</v>
      </c>
      <c r="D111" s="2"/>
      <c r="E111" s="2"/>
      <c r="F111" s="2"/>
      <c r="G111" s="2"/>
      <c r="H111" s="2"/>
      <c r="I111" s="2"/>
      <c r="J111" s="2"/>
      <c r="K111" s="2"/>
      <c r="L111" s="2"/>
      <c r="M111" s="2"/>
      <c r="N111" s="2"/>
      <c r="O111" s="2"/>
      <c r="P111" s="2"/>
      <c r="Q111" s="2"/>
      <c r="R111" s="2"/>
      <c r="S111" s="2"/>
      <c r="T111" s="2"/>
      <c r="U111" s="27">
        <v>0</v>
      </c>
      <c r="V111" s="27">
        <v>0</v>
      </c>
      <c r="W111" s="27">
        <v>0</v>
      </c>
      <c r="X111" s="27">
        <v>0</v>
      </c>
      <c r="Y111" s="27">
        <v>0</v>
      </c>
      <c r="Z111" s="27">
        <v>0</v>
      </c>
      <c r="AA111" s="27">
        <v>0</v>
      </c>
      <c r="AB111" s="27">
        <v>0</v>
      </c>
      <c r="AC111" s="27">
        <v>0</v>
      </c>
      <c r="AD111" s="27">
        <v>0</v>
      </c>
      <c r="AE111" s="27">
        <v>0</v>
      </c>
      <c r="AF111" s="27">
        <v>0</v>
      </c>
      <c r="AG111" s="86">
        <v>0</v>
      </c>
    </row>
    <row r="112" spans="1:33" x14ac:dyDescent="0.25">
      <c r="A112" s="5" t="s">
        <v>215</v>
      </c>
      <c r="B112" s="2" t="s">
        <v>214</v>
      </c>
      <c r="C112" s="1" t="s">
        <v>330</v>
      </c>
      <c r="D112" s="2"/>
      <c r="E112" s="2"/>
      <c r="F112" s="2"/>
      <c r="G112" s="2"/>
      <c r="H112" s="2"/>
      <c r="I112" s="2"/>
      <c r="J112" s="2"/>
      <c r="K112" s="2"/>
      <c r="L112" s="2"/>
      <c r="M112" s="2"/>
      <c r="N112" s="2"/>
      <c r="O112" s="2"/>
      <c r="P112" s="2"/>
      <c r="Q112" s="2"/>
      <c r="R112" s="2"/>
      <c r="S112" s="2"/>
      <c r="T112" s="2"/>
      <c r="U112" s="27">
        <v>0</v>
      </c>
      <c r="V112" s="27">
        <v>0</v>
      </c>
      <c r="W112" s="27">
        <v>0</v>
      </c>
      <c r="X112" s="27">
        <v>0</v>
      </c>
      <c r="Y112" s="27">
        <v>0</v>
      </c>
      <c r="Z112" s="27">
        <v>0</v>
      </c>
      <c r="AA112" s="27">
        <v>0</v>
      </c>
      <c r="AB112" s="27">
        <v>0</v>
      </c>
      <c r="AC112" s="27">
        <v>0</v>
      </c>
      <c r="AD112" s="27">
        <v>0</v>
      </c>
      <c r="AE112" s="27">
        <v>0</v>
      </c>
      <c r="AF112" s="27">
        <v>0</v>
      </c>
      <c r="AG112" s="86">
        <v>0</v>
      </c>
    </row>
    <row r="113" spans="1:33" x14ac:dyDescent="0.25">
      <c r="A113" s="5" t="s">
        <v>217</v>
      </c>
      <c r="B113" s="2" t="s">
        <v>216</v>
      </c>
      <c r="C113" s="1" t="s">
        <v>330</v>
      </c>
      <c r="D113" s="2"/>
      <c r="E113" s="2"/>
      <c r="F113" s="2"/>
      <c r="G113" s="2"/>
      <c r="H113" s="2"/>
      <c r="I113" s="2"/>
      <c r="J113" s="2"/>
      <c r="K113" s="2"/>
      <c r="L113" s="2"/>
      <c r="M113" s="2"/>
      <c r="N113" s="2"/>
      <c r="O113" s="2"/>
      <c r="P113" s="2"/>
      <c r="Q113" s="2"/>
      <c r="R113" s="2"/>
      <c r="S113" s="2"/>
      <c r="T113" s="2"/>
      <c r="U113" s="27">
        <v>0</v>
      </c>
      <c r="V113" s="27">
        <v>0</v>
      </c>
      <c r="W113" s="27">
        <v>0</v>
      </c>
      <c r="X113" s="27">
        <v>0</v>
      </c>
      <c r="Y113" s="27">
        <v>0</v>
      </c>
      <c r="Z113" s="27">
        <v>0</v>
      </c>
      <c r="AA113" s="27">
        <v>0</v>
      </c>
      <c r="AB113" s="27">
        <v>0</v>
      </c>
      <c r="AC113" s="27">
        <v>0</v>
      </c>
      <c r="AD113" s="27">
        <v>0</v>
      </c>
      <c r="AE113" s="27">
        <v>0</v>
      </c>
      <c r="AF113" s="27">
        <v>0</v>
      </c>
      <c r="AG113" s="86">
        <v>0</v>
      </c>
    </row>
    <row r="114" spans="1:33" x14ac:dyDescent="0.25">
      <c r="A114" s="5" t="s">
        <v>219</v>
      </c>
      <c r="B114" s="2" t="s">
        <v>218</v>
      </c>
      <c r="C114" s="1" t="s">
        <v>330</v>
      </c>
      <c r="D114" s="2"/>
      <c r="E114" s="2"/>
      <c r="F114" s="2"/>
      <c r="G114" s="2"/>
      <c r="H114" s="2"/>
      <c r="I114" s="2"/>
      <c r="J114" s="2"/>
      <c r="K114" s="2"/>
      <c r="L114" s="2"/>
      <c r="M114" s="2"/>
      <c r="N114" s="2"/>
      <c r="O114" s="2"/>
      <c r="P114" s="2"/>
      <c r="Q114" s="2"/>
      <c r="R114" s="2"/>
      <c r="S114" s="2"/>
      <c r="T114" s="2"/>
      <c r="U114" s="27">
        <v>0</v>
      </c>
      <c r="V114" s="27">
        <v>0</v>
      </c>
      <c r="W114" s="27">
        <v>0</v>
      </c>
      <c r="X114" s="27">
        <v>0</v>
      </c>
      <c r="Y114" s="27">
        <v>0</v>
      </c>
      <c r="Z114" s="27">
        <v>0</v>
      </c>
      <c r="AA114" s="27">
        <v>0</v>
      </c>
      <c r="AB114" s="27">
        <v>0</v>
      </c>
      <c r="AC114" s="27">
        <v>0</v>
      </c>
      <c r="AD114" s="27">
        <v>0</v>
      </c>
      <c r="AE114" s="27">
        <v>0</v>
      </c>
      <c r="AF114" s="27">
        <v>0</v>
      </c>
      <c r="AG114" s="86">
        <v>0</v>
      </c>
    </row>
    <row r="115" spans="1:33" x14ac:dyDescent="0.25">
      <c r="A115" s="5" t="s">
        <v>221</v>
      </c>
      <c r="B115" s="2" t="s">
        <v>220</v>
      </c>
      <c r="C115" s="1" t="s">
        <v>330</v>
      </c>
      <c r="D115" s="2"/>
      <c r="E115" s="2"/>
      <c r="F115" s="2"/>
      <c r="G115" s="2"/>
      <c r="H115" s="2"/>
      <c r="I115" s="2"/>
      <c r="J115" s="2"/>
      <c r="K115" s="2"/>
      <c r="L115" s="2"/>
      <c r="M115" s="2"/>
      <c r="N115" s="2"/>
      <c r="O115" s="2"/>
      <c r="P115" s="2"/>
      <c r="Q115" s="2"/>
      <c r="R115" s="2"/>
      <c r="S115" s="2"/>
      <c r="T115" s="2"/>
      <c r="U115" s="27">
        <v>0</v>
      </c>
      <c r="V115" s="27">
        <v>0</v>
      </c>
      <c r="W115" s="27">
        <v>0</v>
      </c>
      <c r="X115" s="27">
        <v>0</v>
      </c>
      <c r="Y115" s="27">
        <v>0</v>
      </c>
      <c r="Z115" s="27">
        <v>0</v>
      </c>
      <c r="AA115" s="27">
        <v>0</v>
      </c>
      <c r="AB115" s="27">
        <v>0</v>
      </c>
      <c r="AC115" s="27">
        <v>0</v>
      </c>
      <c r="AD115" s="27">
        <v>0</v>
      </c>
      <c r="AE115" s="27">
        <v>0</v>
      </c>
      <c r="AF115" s="27">
        <v>0</v>
      </c>
      <c r="AG115" s="86">
        <v>0</v>
      </c>
    </row>
    <row r="116" spans="1:33" s="8" customFormat="1" x14ac:dyDescent="0.25">
      <c r="A116" s="7" t="s">
        <v>223</v>
      </c>
      <c r="B116" s="2" t="s">
        <v>222</v>
      </c>
      <c r="C116" s="1" t="s">
        <v>331</v>
      </c>
      <c r="D116" s="2"/>
      <c r="E116" s="2"/>
      <c r="F116" s="2"/>
      <c r="G116" s="2"/>
      <c r="H116" s="2"/>
      <c r="I116" s="2"/>
      <c r="J116" s="2"/>
      <c r="K116" s="2"/>
      <c r="L116" s="2"/>
      <c r="M116" s="2"/>
      <c r="N116" s="2"/>
      <c r="O116" s="2"/>
      <c r="P116" s="2"/>
      <c r="Q116" s="2"/>
      <c r="R116" s="2"/>
      <c r="S116" s="2"/>
      <c r="T116" s="2"/>
      <c r="U116" s="27">
        <f>capex_concordance!F2+capex_concordance!F9</f>
        <v>0.1525</v>
      </c>
      <c r="V116" s="27">
        <f>capex_concordance!F14+capex_concordance!F21</f>
        <v>7.5000000000000011E-2</v>
      </c>
      <c r="W116" s="27">
        <f>capex_concordance!F26+capex_concordance!F33</f>
        <v>0.19500000000000001</v>
      </c>
      <c r="X116" s="27">
        <f>capex_concordance!F38+capex_concordance!F45</f>
        <v>0.36</v>
      </c>
      <c r="Y116" s="27">
        <f>capex_concordance!F50</f>
        <v>0.12</v>
      </c>
      <c r="Z116" s="27">
        <f>capex_concordance!F60</f>
        <v>0.18</v>
      </c>
      <c r="AA116" s="27">
        <f>capex_concordance!F69+capex_concordance!F76</f>
        <v>7.4999999999999997E-2</v>
      </c>
      <c r="AB116" s="27">
        <f>capex_concordance!F81+capex_concordance!F88</f>
        <v>0.1825</v>
      </c>
      <c r="AC116" s="27">
        <f>capex_concordance!F93+capex_concordance!F100</f>
        <v>0.19500000000000001</v>
      </c>
      <c r="AD116" s="27">
        <f>capex_concordance!F105+capex_concordance!F112</f>
        <v>0.20333333333333334</v>
      </c>
      <c r="AE116" s="27">
        <f>capex_concordance!F116+capex_concordance!F123</f>
        <v>0.60499999999999998</v>
      </c>
      <c r="AF116" s="27">
        <f>capex_concordance!F128+capex_concordance!F135</f>
        <v>0.39250000000000002</v>
      </c>
      <c r="AG116" s="86">
        <f>capex_concordance!F140+capex_concordance!F147</f>
        <v>0.10250000000000001</v>
      </c>
    </row>
    <row r="117" spans="1:33" x14ac:dyDescent="0.25">
      <c r="A117" s="5" t="s">
        <v>225</v>
      </c>
      <c r="B117" s="2" t="s">
        <v>224</v>
      </c>
      <c r="C117" s="1" t="s">
        <v>331</v>
      </c>
      <c r="D117" s="2"/>
      <c r="E117" s="2"/>
      <c r="F117" s="2"/>
      <c r="G117" s="2"/>
      <c r="H117" s="2"/>
      <c r="I117" s="2"/>
      <c r="J117" s="2"/>
      <c r="K117" s="2"/>
      <c r="L117" s="2"/>
      <c r="M117" s="2"/>
      <c r="N117" s="2"/>
      <c r="O117" s="2"/>
      <c r="P117" s="2"/>
      <c r="Q117" s="2"/>
      <c r="R117" s="2"/>
      <c r="S117" s="2"/>
      <c r="T117" s="2"/>
      <c r="U117" s="27">
        <v>0</v>
      </c>
      <c r="V117" s="27">
        <v>0</v>
      </c>
      <c r="W117" s="27">
        <v>0</v>
      </c>
      <c r="X117" s="27">
        <v>0</v>
      </c>
      <c r="Y117" s="27">
        <v>0</v>
      </c>
      <c r="Z117" s="27">
        <v>0</v>
      </c>
      <c r="AA117" s="27">
        <v>0</v>
      </c>
      <c r="AB117" s="27">
        <v>0</v>
      </c>
      <c r="AC117" s="27">
        <v>0</v>
      </c>
      <c r="AD117" s="27">
        <v>0</v>
      </c>
      <c r="AE117" s="27">
        <v>0</v>
      </c>
      <c r="AF117" s="27">
        <v>0</v>
      </c>
      <c r="AG117" s="86">
        <v>0</v>
      </c>
    </row>
    <row r="118" spans="1:33" x14ac:dyDescent="0.25">
      <c r="A118" s="5" t="s">
        <v>227</v>
      </c>
      <c r="B118" s="2" t="s">
        <v>226</v>
      </c>
      <c r="C118" s="1" t="s">
        <v>332</v>
      </c>
      <c r="D118" s="2"/>
      <c r="E118" s="2"/>
      <c r="F118" s="2"/>
      <c r="G118" s="2"/>
      <c r="H118" s="2"/>
      <c r="I118" s="2"/>
      <c r="J118" s="2"/>
      <c r="K118" s="2"/>
      <c r="L118" s="2"/>
      <c r="M118" s="2"/>
      <c r="N118" s="2"/>
      <c r="O118" s="2"/>
      <c r="P118" s="2"/>
      <c r="Q118" s="2"/>
      <c r="R118" s="2"/>
      <c r="S118" s="2"/>
      <c r="T118" s="2"/>
      <c r="U118" s="27">
        <v>0</v>
      </c>
      <c r="V118" s="27">
        <v>0</v>
      </c>
      <c r="W118" s="27">
        <v>0</v>
      </c>
      <c r="X118" s="27">
        <v>0</v>
      </c>
      <c r="Y118" s="27">
        <v>0</v>
      </c>
      <c r="Z118" s="27">
        <v>0</v>
      </c>
      <c r="AA118" s="27">
        <v>0</v>
      </c>
      <c r="AB118" s="27">
        <v>0</v>
      </c>
      <c r="AC118" s="27">
        <v>0</v>
      </c>
      <c r="AD118" s="27">
        <v>0</v>
      </c>
      <c r="AE118" s="27">
        <v>0</v>
      </c>
      <c r="AF118" s="27">
        <v>0</v>
      </c>
      <c r="AG118" s="86">
        <v>0</v>
      </c>
    </row>
    <row r="119" spans="1:33" x14ac:dyDescent="0.25">
      <c r="A119" s="5" t="s">
        <v>229</v>
      </c>
      <c r="B119" s="2" t="s">
        <v>228</v>
      </c>
      <c r="C119" s="1" t="s">
        <v>332</v>
      </c>
      <c r="D119" s="2"/>
      <c r="E119" s="2"/>
      <c r="F119" s="2"/>
      <c r="G119" s="2"/>
      <c r="H119" s="2"/>
      <c r="I119" s="2"/>
      <c r="J119" s="2"/>
      <c r="K119" s="2"/>
      <c r="L119" s="2"/>
      <c r="M119" s="2"/>
      <c r="N119" s="2"/>
      <c r="O119" s="2"/>
      <c r="P119" s="2"/>
      <c r="Q119" s="2"/>
      <c r="R119" s="2"/>
      <c r="S119" s="2"/>
      <c r="T119" s="2"/>
      <c r="U119" s="27">
        <v>0</v>
      </c>
      <c r="V119" s="27">
        <v>0</v>
      </c>
      <c r="W119" s="27">
        <v>0</v>
      </c>
      <c r="X119" s="27">
        <v>0</v>
      </c>
      <c r="Y119" s="27">
        <v>0</v>
      </c>
      <c r="Z119" s="27">
        <v>0</v>
      </c>
      <c r="AA119" s="27">
        <v>0</v>
      </c>
      <c r="AB119" s="27">
        <v>0</v>
      </c>
      <c r="AC119" s="27">
        <v>0</v>
      </c>
      <c r="AD119" s="27">
        <v>0</v>
      </c>
      <c r="AE119" s="27">
        <v>0</v>
      </c>
      <c r="AF119" s="27">
        <v>0</v>
      </c>
      <c r="AG119" s="86">
        <v>0</v>
      </c>
    </row>
    <row r="120" spans="1:33" x14ac:dyDescent="0.25">
      <c r="A120" s="5" t="s">
        <v>231</v>
      </c>
      <c r="B120" s="2" t="s">
        <v>230</v>
      </c>
      <c r="C120" s="1" t="s">
        <v>332</v>
      </c>
      <c r="D120" s="2"/>
      <c r="E120" s="2"/>
      <c r="F120" s="2"/>
      <c r="G120" s="2"/>
      <c r="H120" s="2"/>
      <c r="I120" s="2"/>
      <c r="J120" s="2"/>
      <c r="K120" s="2"/>
      <c r="L120" s="2"/>
      <c r="M120" s="2"/>
      <c r="N120" s="2"/>
      <c r="O120" s="2"/>
      <c r="P120" s="2"/>
      <c r="Q120" s="2"/>
      <c r="R120" s="2"/>
      <c r="S120" s="2"/>
      <c r="T120" s="2"/>
      <c r="U120" s="27">
        <v>0</v>
      </c>
      <c r="V120" s="27">
        <v>0</v>
      </c>
      <c r="W120" s="27">
        <v>0</v>
      </c>
      <c r="X120" s="27">
        <v>0</v>
      </c>
      <c r="Y120" s="27">
        <v>0</v>
      </c>
      <c r="Z120" s="27">
        <v>0</v>
      </c>
      <c r="AA120" s="27">
        <v>0</v>
      </c>
      <c r="AB120" s="27">
        <v>0</v>
      </c>
      <c r="AC120" s="27">
        <v>0</v>
      </c>
      <c r="AD120" s="27">
        <v>0</v>
      </c>
      <c r="AE120" s="27">
        <v>0</v>
      </c>
      <c r="AF120" s="27">
        <v>0</v>
      </c>
      <c r="AG120" s="86">
        <v>0</v>
      </c>
    </row>
    <row r="121" spans="1:33" x14ac:dyDescent="0.25">
      <c r="A121" s="5" t="s">
        <v>233</v>
      </c>
      <c r="B121" s="2" t="s">
        <v>232</v>
      </c>
      <c r="C121" s="1" t="s">
        <v>332</v>
      </c>
      <c r="D121" s="2"/>
      <c r="E121" s="2"/>
      <c r="F121" s="2"/>
      <c r="G121" s="2"/>
      <c r="H121" s="2"/>
      <c r="I121" s="2"/>
      <c r="J121" s="2"/>
      <c r="K121" s="2"/>
      <c r="L121" s="2"/>
      <c r="M121" s="2"/>
      <c r="N121" s="2"/>
      <c r="O121" s="2"/>
      <c r="P121" s="2"/>
      <c r="Q121" s="2"/>
      <c r="R121" s="2"/>
      <c r="S121" s="2"/>
      <c r="T121" s="2"/>
      <c r="U121" s="27">
        <v>0</v>
      </c>
      <c r="V121" s="27">
        <v>0</v>
      </c>
      <c r="W121" s="27">
        <v>0</v>
      </c>
      <c r="X121" s="27">
        <v>0</v>
      </c>
      <c r="Y121" s="27">
        <v>0</v>
      </c>
      <c r="Z121" s="27">
        <v>0</v>
      </c>
      <c r="AA121" s="27">
        <v>0</v>
      </c>
      <c r="AB121" s="27">
        <v>0</v>
      </c>
      <c r="AC121" s="27">
        <v>0</v>
      </c>
      <c r="AD121" s="27">
        <v>0</v>
      </c>
      <c r="AE121" s="27">
        <v>0</v>
      </c>
      <c r="AF121" s="27">
        <v>0</v>
      </c>
      <c r="AG121" s="86">
        <v>0</v>
      </c>
    </row>
    <row r="122" spans="1:33" x14ac:dyDescent="0.25">
      <c r="A122" s="6" t="s">
        <v>235</v>
      </c>
      <c r="B122" s="2" t="s">
        <v>234</v>
      </c>
      <c r="C122" s="1" t="s">
        <v>332</v>
      </c>
      <c r="D122" s="2"/>
      <c r="E122" s="2"/>
      <c r="F122" s="2"/>
      <c r="G122" s="2"/>
      <c r="H122" s="2"/>
      <c r="I122" s="2"/>
      <c r="J122" s="2"/>
      <c r="K122" s="2"/>
      <c r="L122" s="2"/>
      <c r="M122" s="2"/>
      <c r="N122" s="2"/>
      <c r="O122" s="2"/>
      <c r="P122" s="2"/>
      <c r="Q122" s="2"/>
      <c r="R122" s="2"/>
      <c r="S122" s="2"/>
      <c r="T122" s="2"/>
      <c r="U122" s="27">
        <v>0</v>
      </c>
      <c r="V122" s="27">
        <v>0</v>
      </c>
      <c r="W122" s="27">
        <v>0</v>
      </c>
      <c r="X122" s="27">
        <v>0</v>
      </c>
      <c r="Y122" s="27">
        <v>0</v>
      </c>
      <c r="Z122" s="27">
        <v>0</v>
      </c>
      <c r="AA122" s="27">
        <v>0</v>
      </c>
      <c r="AB122" s="27">
        <v>0</v>
      </c>
      <c r="AC122" s="27">
        <v>0</v>
      </c>
      <c r="AD122" s="27">
        <v>0</v>
      </c>
      <c r="AE122" s="27">
        <v>0</v>
      </c>
      <c r="AF122" s="27">
        <v>0</v>
      </c>
      <c r="AG122" s="86">
        <v>0</v>
      </c>
    </row>
    <row r="123" spans="1:33" x14ac:dyDescent="0.25">
      <c r="A123" s="5" t="s">
        <v>237</v>
      </c>
      <c r="B123" s="2" t="s">
        <v>236</v>
      </c>
      <c r="C123" s="1" t="s">
        <v>333</v>
      </c>
      <c r="D123" s="2"/>
      <c r="E123" s="2"/>
      <c r="F123" s="2"/>
      <c r="G123" s="2"/>
      <c r="H123" s="2"/>
      <c r="I123" s="2"/>
      <c r="J123" s="2"/>
      <c r="K123" s="2"/>
      <c r="L123" s="2"/>
      <c r="M123" s="2"/>
      <c r="N123" s="2"/>
      <c r="O123" s="2"/>
      <c r="P123" s="2"/>
      <c r="Q123" s="2"/>
      <c r="R123" s="2"/>
      <c r="S123" s="2"/>
      <c r="T123" s="2"/>
      <c r="U123" s="27">
        <v>0</v>
      </c>
      <c r="V123" s="27">
        <v>0</v>
      </c>
      <c r="W123" s="27">
        <v>0</v>
      </c>
      <c r="X123" s="27">
        <v>0</v>
      </c>
      <c r="Y123" s="27">
        <v>0</v>
      </c>
      <c r="Z123" s="27">
        <v>0</v>
      </c>
      <c r="AA123" s="27">
        <v>0</v>
      </c>
      <c r="AB123" s="27">
        <v>0</v>
      </c>
      <c r="AC123" s="27">
        <v>0</v>
      </c>
      <c r="AD123" s="27">
        <v>0</v>
      </c>
      <c r="AE123" s="27">
        <v>0</v>
      </c>
      <c r="AF123" s="27">
        <v>0</v>
      </c>
      <c r="AG123" s="86">
        <v>0</v>
      </c>
    </row>
    <row r="124" spans="1:33" x14ac:dyDescent="0.25">
      <c r="A124" s="5" t="s">
        <v>239</v>
      </c>
      <c r="B124" s="2" t="s">
        <v>238</v>
      </c>
      <c r="C124" s="1" t="s">
        <v>333</v>
      </c>
      <c r="D124" s="2"/>
      <c r="E124" s="2"/>
      <c r="F124" s="2"/>
      <c r="G124" s="2"/>
      <c r="H124" s="2"/>
      <c r="I124" s="2"/>
      <c r="J124" s="2"/>
      <c r="K124" s="2"/>
      <c r="L124" s="2"/>
      <c r="M124" s="2"/>
      <c r="N124" s="2"/>
      <c r="O124" s="2"/>
      <c r="P124" s="2"/>
      <c r="Q124" s="2"/>
      <c r="R124" s="2"/>
      <c r="S124" s="2"/>
      <c r="T124" s="2"/>
      <c r="U124" s="27">
        <v>0</v>
      </c>
      <c r="V124" s="27">
        <v>0</v>
      </c>
      <c r="W124" s="27">
        <v>0</v>
      </c>
      <c r="X124" s="27">
        <v>0</v>
      </c>
      <c r="Y124" s="27">
        <v>0</v>
      </c>
      <c r="Z124" s="27">
        <v>0</v>
      </c>
      <c r="AA124" s="27">
        <v>0</v>
      </c>
      <c r="AB124" s="27">
        <v>0</v>
      </c>
      <c r="AC124" s="27">
        <v>0</v>
      </c>
      <c r="AD124" s="27">
        <v>0</v>
      </c>
      <c r="AE124" s="27">
        <v>0</v>
      </c>
      <c r="AF124" s="27">
        <v>0</v>
      </c>
      <c r="AG124" s="86">
        <v>0</v>
      </c>
    </row>
    <row r="125" spans="1:33" x14ac:dyDescent="0.25">
      <c r="A125" s="5" t="s">
        <v>241</v>
      </c>
      <c r="B125" s="2" t="s">
        <v>240</v>
      </c>
      <c r="C125" s="1" t="s">
        <v>333</v>
      </c>
      <c r="D125" s="2"/>
      <c r="E125" s="2"/>
      <c r="F125" s="2"/>
      <c r="G125" s="2"/>
      <c r="H125" s="2"/>
      <c r="I125" s="2"/>
      <c r="J125" s="2"/>
      <c r="K125" s="2"/>
      <c r="L125" s="2"/>
      <c r="M125" s="2"/>
      <c r="N125" s="2"/>
      <c r="O125" s="2"/>
      <c r="P125" s="2"/>
      <c r="Q125" s="2"/>
      <c r="R125" s="2"/>
      <c r="S125" s="2"/>
      <c r="T125" s="2"/>
      <c r="U125" s="27">
        <v>0</v>
      </c>
      <c r="V125" s="27">
        <v>0</v>
      </c>
      <c r="W125" s="27">
        <v>0</v>
      </c>
      <c r="X125" s="27">
        <v>0</v>
      </c>
      <c r="Y125" s="27">
        <v>0</v>
      </c>
      <c r="Z125" s="27">
        <v>0</v>
      </c>
      <c r="AA125" s="27">
        <v>0</v>
      </c>
      <c r="AB125" s="27">
        <v>0</v>
      </c>
      <c r="AC125" s="27">
        <v>0</v>
      </c>
      <c r="AD125" s="27">
        <v>0</v>
      </c>
      <c r="AE125" s="27">
        <v>0</v>
      </c>
      <c r="AF125" s="27">
        <v>0</v>
      </c>
      <c r="AG125" s="86">
        <v>0</v>
      </c>
    </row>
    <row r="126" spans="1:33" x14ac:dyDescent="0.25">
      <c r="A126" s="5" t="s">
        <v>243</v>
      </c>
      <c r="B126" s="2" t="s">
        <v>242</v>
      </c>
      <c r="C126" s="1" t="s">
        <v>333</v>
      </c>
      <c r="D126" s="2"/>
      <c r="E126" s="2"/>
      <c r="F126" s="2"/>
      <c r="G126" s="2"/>
      <c r="H126" s="2"/>
      <c r="I126" s="2"/>
      <c r="J126" s="2"/>
      <c r="K126" s="2"/>
      <c r="L126" s="2"/>
      <c r="M126" s="2"/>
      <c r="N126" s="2"/>
      <c r="O126" s="2"/>
      <c r="P126" s="2"/>
      <c r="Q126" s="2"/>
      <c r="R126" s="2"/>
      <c r="S126" s="2"/>
      <c r="T126" s="2"/>
      <c r="U126" s="27">
        <v>0</v>
      </c>
      <c r="V126" s="27">
        <v>0</v>
      </c>
      <c r="W126" s="27">
        <v>0</v>
      </c>
      <c r="X126" s="27">
        <v>0</v>
      </c>
      <c r="Y126" s="27">
        <v>0</v>
      </c>
      <c r="Z126" s="27">
        <v>0</v>
      </c>
      <c r="AA126" s="27">
        <v>0</v>
      </c>
      <c r="AB126" s="27">
        <v>0</v>
      </c>
      <c r="AC126" s="27">
        <v>0</v>
      </c>
      <c r="AD126" s="27">
        <v>0</v>
      </c>
      <c r="AE126" s="27">
        <v>0</v>
      </c>
      <c r="AF126" s="27">
        <v>0</v>
      </c>
      <c r="AG126" s="86">
        <v>0</v>
      </c>
    </row>
    <row r="127" spans="1:33" x14ac:dyDescent="0.25">
      <c r="A127" s="5" t="s">
        <v>245</v>
      </c>
      <c r="B127" s="2" t="s">
        <v>244</v>
      </c>
      <c r="C127" s="1" t="s">
        <v>333</v>
      </c>
      <c r="D127" s="2"/>
      <c r="E127" s="2"/>
      <c r="F127" s="2"/>
      <c r="G127" s="2"/>
      <c r="H127" s="2"/>
      <c r="I127" s="2"/>
      <c r="J127" s="2"/>
      <c r="K127" s="2"/>
      <c r="L127" s="2"/>
      <c r="M127" s="2"/>
      <c r="N127" s="2"/>
      <c r="O127" s="2"/>
      <c r="P127" s="2"/>
      <c r="Q127" s="2"/>
      <c r="R127" s="2"/>
      <c r="S127" s="2"/>
      <c r="T127" s="2"/>
      <c r="U127" s="27">
        <v>0</v>
      </c>
      <c r="V127" s="27">
        <v>0</v>
      </c>
      <c r="W127" s="27">
        <v>0</v>
      </c>
      <c r="X127" s="27">
        <v>0</v>
      </c>
      <c r="Y127" s="27">
        <v>0</v>
      </c>
      <c r="Z127" s="27">
        <v>0</v>
      </c>
      <c r="AA127" s="27">
        <v>0</v>
      </c>
      <c r="AB127" s="27">
        <v>0</v>
      </c>
      <c r="AC127" s="27">
        <v>0</v>
      </c>
      <c r="AD127" s="27">
        <v>0</v>
      </c>
      <c r="AE127" s="27">
        <v>0</v>
      </c>
      <c r="AF127" s="27">
        <v>0</v>
      </c>
      <c r="AG127" s="86">
        <v>0</v>
      </c>
    </row>
    <row r="128" spans="1:33" x14ac:dyDescent="0.25">
      <c r="A128" s="5" t="s">
        <v>247</v>
      </c>
      <c r="B128" s="2" t="s">
        <v>246</v>
      </c>
      <c r="C128" s="1" t="s">
        <v>333</v>
      </c>
      <c r="D128" s="2"/>
      <c r="E128" s="2"/>
      <c r="F128" s="2"/>
      <c r="G128" s="2"/>
      <c r="H128" s="2"/>
      <c r="I128" s="2"/>
      <c r="J128" s="2"/>
      <c r="K128" s="2"/>
      <c r="L128" s="2"/>
      <c r="M128" s="2"/>
      <c r="N128" s="2"/>
      <c r="O128" s="2"/>
      <c r="P128" s="2"/>
      <c r="Q128" s="2"/>
      <c r="R128" s="2"/>
      <c r="S128" s="2"/>
      <c r="T128" s="2"/>
      <c r="U128" s="27">
        <v>0</v>
      </c>
      <c r="V128" s="27">
        <v>0</v>
      </c>
      <c r="W128" s="27">
        <v>0</v>
      </c>
      <c r="X128" s="27">
        <v>0</v>
      </c>
      <c r="Y128" s="27">
        <v>0</v>
      </c>
      <c r="Z128" s="27">
        <v>0</v>
      </c>
      <c r="AA128" s="27">
        <v>0</v>
      </c>
      <c r="AB128" s="27">
        <v>0</v>
      </c>
      <c r="AC128" s="27">
        <v>0</v>
      </c>
      <c r="AD128" s="27">
        <v>0</v>
      </c>
      <c r="AE128" s="27">
        <v>0</v>
      </c>
      <c r="AF128" s="27">
        <v>0</v>
      </c>
      <c r="AG128" s="86">
        <v>0</v>
      </c>
    </row>
    <row r="129" spans="1:33" x14ac:dyDescent="0.25">
      <c r="A129" s="5" t="s">
        <v>249</v>
      </c>
      <c r="B129" s="2" t="s">
        <v>248</v>
      </c>
      <c r="C129" s="1" t="s">
        <v>333</v>
      </c>
      <c r="D129" s="2"/>
      <c r="E129" s="2"/>
      <c r="F129" s="2"/>
      <c r="G129" s="2"/>
      <c r="H129" s="2"/>
      <c r="I129" s="2"/>
      <c r="J129" s="2"/>
      <c r="K129" s="2"/>
      <c r="L129" s="2"/>
      <c r="M129" s="2"/>
      <c r="N129" s="2"/>
      <c r="O129" s="2"/>
      <c r="P129" s="2"/>
      <c r="Q129" s="2"/>
      <c r="R129" s="2"/>
      <c r="S129" s="2"/>
      <c r="T129" s="2"/>
      <c r="U129" s="27">
        <v>0</v>
      </c>
      <c r="V129" s="27">
        <v>0</v>
      </c>
      <c r="W129" s="27">
        <v>0</v>
      </c>
      <c r="X129" s="27">
        <v>0</v>
      </c>
      <c r="Y129" s="27">
        <v>0</v>
      </c>
      <c r="Z129" s="27">
        <v>0</v>
      </c>
      <c r="AA129" s="27">
        <v>0</v>
      </c>
      <c r="AB129" s="27">
        <v>0</v>
      </c>
      <c r="AC129" s="27">
        <v>0</v>
      </c>
      <c r="AD129" s="27">
        <v>0</v>
      </c>
      <c r="AE129" s="27">
        <v>0</v>
      </c>
      <c r="AF129" s="27">
        <v>0</v>
      </c>
      <c r="AG129" s="86">
        <v>0</v>
      </c>
    </row>
    <row r="130" spans="1:33" x14ac:dyDescent="0.25">
      <c r="A130" s="9" t="s">
        <v>251</v>
      </c>
      <c r="B130" s="2" t="s">
        <v>250</v>
      </c>
      <c r="C130" s="1" t="s">
        <v>333</v>
      </c>
      <c r="D130" s="2"/>
      <c r="E130" s="2"/>
      <c r="F130" s="2"/>
      <c r="G130" s="2"/>
      <c r="H130" s="2"/>
      <c r="I130" s="2"/>
      <c r="J130" s="2"/>
      <c r="K130" s="2"/>
      <c r="L130" s="2"/>
      <c r="M130" s="2"/>
      <c r="N130" s="2"/>
      <c r="O130" s="2"/>
      <c r="P130" s="2"/>
      <c r="Q130" s="2"/>
      <c r="R130" s="2"/>
      <c r="S130" s="2"/>
      <c r="T130" s="2"/>
      <c r="U130" s="27">
        <v>0</v>
      </c>
      <c r="V130" s="27">
        <v>0</v>
      </c>
      <c r="W130" s="27">
        <v>0</v>
      </c>
      <c r="X130" s="27">
        <v>0</v>
      </c>
      <c r="Y130" s="27">
        <v>0</v>
      </c>
      <c r="Z130" s="27">
        <v>0</v>
      </c>
      <c r="AA130" s="27">
        <v>0</v>
      </c>
      <c r="AB130" s="27">
        <v>0</v>
      </c>
      <c r="AC130" s="27">
        <v>0</v>
      </c>
      <c r="AD130" s="27">
        <v>0</v>
      </c>
      <c r="AE130" s="27">
        <v>0</v>
      </c>
      <c r="AF130" s="27">
        <v>0</v>
      </c>
      <c r="AG130" s="86">
        <v>0</v>
      </c>
    </row>
    <row r="131" spans="1:33" x14ac:dyDescent="0.25">
      <c r="A131" s="5" t="s">
        <v>253</v>
      </c>
      <c r="B131" s="2" t="s">
        <v>252</v>
      </c>
      <c r="C131" s="1" t="s">
        <v>334</v>
      </c>
      <c r="D131" s="2"/>
      <c r="E131" s="2"/>
      <c r="F131" s="2"/>
      <c r="G131" s="2"/>
      <c r="H131" s="2"/>
      <c r="I131" s="2"/>
      <c r="J131" s="2"/>
      <c r="K131" s="2"/>
      <c r="L131" s="2"/>
      <c r="M131" s="2"/>
      <c r="N131" s="2"/>
      <c r="O131" s="2"/>
      <c r="P131" s="2"/>
      <c r="Q131" s="2"/>
      <c r="R131" s="2"/>
      <c r="S131" s="2"/>
      <c r="T131" s="2"/>
      <c r="U131" s="27">
        <f>capex_concordance!F5</f>
        <v>6.5000000000000002E-2</v>
      </c>
      <c r="V131" s="27">
        <f>capex_concordance!F17</f>
        <v>7.4999999999999997E-2</v>
      </c>
      <c r="W131" s="27">
        <f>capex_concordance!F29</f>
        <v>8.5000000000000006E-2</v>
      </c>
      <c r="X131" s="27">
        <f>capex_concordance!F41</f>
        <v>2.2499999999999999E-2</v>
      </c>
      <c r="Y131" s="27">
        <f>capex_concordance!F53</f>
        <v>1.3333333333333334E-2</v>
      </c>
      <c r="Z131" s="27">
        <f>capex_concordance!F63</f>
        <v>4.3999999999999997E-2</v>
      </c>
      <c r="AA131" s="27">
        <f>capex_concordance!F72</f>
        <v>0.06</v>
      </c>
      <c r="AB131" s="27">
        <f>capex_concordance!F84</f>
        <v>0.01</v>
      </c>
      <c r="AC131" s="27">
        <f>capex_concordance!F96</f>
        <v>4.4999999999999998E-2</v>
      </c>
      <c r="AD131" s="27">
        <f>capex_concordance!F108</f>
        <v>4.4999999999999998E-2</v>
      </c>
      <c r="AE131" s="27">
        <f>capex_concordance!F119</f>
        <v>0.04</v>
      </c>
      <c r="AF131" s="27">
        <f>capex_concordance!F131</f>
        <v>1.7500000000000002E-2</v>
      </c>
      <c r="AG131" s="86">
        <f>capex_concordance!F143</f>
        <v>0.04</v>
      </c>
    </row>
    <row r="132" spans="1:33" x14ac:dyDescent="0.25">
      <c r="A132" s="5" t="s">
        <v>255</v>
      </c>
      <c r="B132" s="2" t="s">
        <v>254</v>
      </c>
      <c r="C132" s="1" t="s">
        <v>334</v>
      </c>
      <c r="D132" s="2"/>
      <c r="E132" s="2"/>
      <c r="F132" s="2"/>
      <c r="G132" s="2"/>
      <c r="H132" s="2"/>
      <c r="I132" s="2"/>
      <c r="J132" s="2"/>
      <c r="K132" s="2"/>
      <c r="L132" s="2"/>
      <c r="M132" s="2"/>
      <c r="N132" s="2"/>
      <c r="O132" s="2"/>
      <c r="P132" s="2"/>
      <c r="Q132" s="2"/>
      <c r="R132" s="2"/>
      <c r="S132" s="2"/>
      <c r="T132" s="2"/>
      <c r="U132" s="27">
        <f>capex_concordance!F10</f>
        <v>4.2500000000000003E-2</v>
      </c>
      <c r="V132" s="27">
        <f>capex_concordance!F22</f>
        <v>3.5000000000000003E-2</v>
      </c>
      <c r="W132" s="27">
        <f>capex_concordance!F34</f>
        <v>4.4999999999999998E-2</v>
      </c>
      <c r="X132" s="27">
        <f>capex_concordance!F46</f>
        <v>0.06</v>
      </c>
      <c r="Y132" s="27">
        <f>capex_concordance!F57</f>
        <v>1.3333333333333334E-2</v>
      </c>
      <c r="Z132" s="27">
        <f>capex_concordance!F67</f>
        <v>4.3999999999999997E-2</v>
      </c>
      <c r="AA132" s="27">
        <f>capex_concordance!F77</f>
        <v>4.4999999999999998E-2</v>
      </c>
      <c r="AB132" s="27">
        <f>capex_concordance!F89</f>
        <v>2.2499999999999999E-2</v>
      </c>
      <c r="AC132" s="27">
        <f>capex_concordance!F101</f>
        <v>2.5000000000000001E-2</v>
      </c>
      <c r="AD132" s="27">
        <f>capex_concordance!F113</f>
        <v>3.3333333333333333E-2</v>
      </c>
      <c r="AE132" s="27">
        <f>capex_concordance!F124</f>
        <v>2.5000000000000001E-2</v>
      </c>
      <c r="AF132" s="27">
        <f>capex_concordance!F136</f>
        <v>1.2500000000000001E-2</v>
      </c>
      <c r="AG132" s="86">
        <f>capex_concordance!F148</f>
        <v>5.2499999999999998E-2</v>
      </c>
    </row>
    <row r="133" spans="1:33" x14ac:dyDescent="0.25">
      <c r="A133" s="5" t="s">
        <v>257</v>
      </c>
      <c r="B133" s="2" t="s">
        <v>256</v>
      </c>
      <c r="C133" s="1" t="s">
        <v>334</v>
      </c>
      <c r="D133" s="2"/>
      <c r="E133" s="2"/>
      <c r="F133" s="2"/>
      <c r="G133" s="2"/>
      <c r="H133" s="2"/>
      <c r="I133" s="2"/>
      <c r="J133" s="2"/>
      <c r="K133" s="2"/>
      <c r="L133" s="2"/>
      <c r="M133" s="2"/>
      <c r="N133" s="2"/>
      <c r="O133" s="2"/>
      <c r="P133" s="2"/>
      <c r="Q133" s="2"/>
      <c r="R133" s="2"/>
      <c r="S133" s="2"/>
      <c r="T133" s="2"/>
      <c r="U133" s="27">
        <f>capex_concordance!F6</f>
        <v>6.5000000000000002E-2</v>
      </c>
      <c r="V133" s="27">
        <f>capex_concordance!F18</f>
        <v>7.4999999999999997E-2</v>
      </c>
      <c r="W133" s="27">
        <f>capex_concordance!F30</f>
        <v>8.5000000000000006E-2</v>
      </c>
      <c r="X133" s="27">
        <f>capex_concordance!F42</f>
        <v>2.2499999999999999E-2</v>
      </c>
      <c r="Y133" s="27">
        <f>capex_concordance!F54</f>
        <v>1.3333333333333334E-2</v>
      </c>
      <c r="Z133" s="27">
        <f>capex_concordance!F64</f>
        <v>4.3999999999999997E-2</v>
      </c>
      <c r="AA133" s="27">
        <f>capex_concordance!F73</f>
        <v>0.06</v>
      </c>
      <c r="AB133" s="27">
        <f>capex_concordance!F85</f>
        <v>0.01</v>
      </c>
      <c r="AC133" s="27">
        <f>capex_concordance!F97</f>
        <v>4.4999999999999998E-2</v>
      </c>
      <c r="AD133" s="27">
        <f>capex_concordance!F109</f>
        <v>4.4999999999999998E-2</v>
      </c>
      <c r="AE133" s="27">
        <f>capex_concordance!F120</f>
        <v>0.04</v>
      </c>
      <c r="AF133" s="27">
        <f>capex_concordance!F132</f>
        <v>1.7500000000000002E-2</v>
      </c>
      <c r="AG133" s="86">
        <f>capex_concordance!F144</f>
        <v>0.04</v>
      </c>
    </row>
    <row r="134" spans="1:33" x14ac:dyDescent="0.25">
      <c r="A134" s="5" t="s">
        <v>259</v>
      </c>
      <c r="B134" s="2" t="s">
        <v>258</v>
      </c>
      <c r="C134" s="1" t="s">
        <v>334</v>
      </c>
      <c r="D134" s="2"/>
      <c r="E134" s="2"/>
      <c r="F134" s="2"/>
      <c r="G134" s="2"/>
      <c r="H134" s="2"/>
      <c r="I134" s="2"/>
      <c r="J134" s="2"/>
      <c r="K134" s="2"/>
      <c r="L134" s="2"/>
      <c r="M134" s="2"/>
      <c r="N134" s="2"/>
      <c r="O134" s="2"/>
      <c r="P134" s="2"/>
      <c r="Q134" s="2"/>
      <c r="R134" s="2"/>
      <c r="S134" s="2"/>
      <c r="T134" s="2"/>
      <c r="U134" s="27">
        <f>capex_concordance!F11</f>
        <v>4.2500000000000003E-2</v>
      </c>
      <c r="V134" s="27">
        <f>capex_concordance!F23</f>
        <v>3.5000000000000003E-2</v>
      </c>
      <c r="W134" s="27">
        <f>capex_concordance!F35</f>
        <v>4.4999999999999998E-2</v>
      </c>
      <c r="X134" s="27">
        <f>capex_concordance!F47</f>
        <v>0.06</v>
      </c>
      <c r="Y134" s="27">
        <f>capex_concordance!F58</f>
        <v>1.3333333333333334E-2</v>
      </c>
      <c r="Z134" s="27">
        <v>0</v>
      </c>
      <c r="AA134" s="27">
        <f>capex_concordance!F78</f>
        <v>4.4999999999999998E-2</v>
      </c>
      <c r="AB134" s="27">
        <f>capex_concordance!F90</f>
        <v>2.2499999999999999E-2</v>
      </c>
      <c r="AC134" s="27">
        <f>capex_concordance!F102</f>
        <v>2.5000000000000001E-2</v>
      </c>
      <c r="AD134" s="27">
        <v>0</v>
      </c>
      <c r="AE134" s="27">
        <f>capex_concordance!F125</f>
        <v>2.5000000000000001E-2</v>
      </c>
      <c r="AF134" s="27">
        <f>capex_concordance!F137</f>
        <v>1.2500000000000001E-2</v>
      </c>
      <c r="AG134" s="86">
        <f>capex_concordance!F149</f>
        <v>5.2499999999999998E-2</v>
      </c>
    </row>
    <row r="135" spans="1:33" x14ac:dyDescent="0.25">
      <c r="A135" s="5" t="s">
        <v>261</v>
      </c>
      <c r="B135" s="2" t="s">
        <v>260</v>
      </c>
      <c r="C135" s="1" t="s">
        <v>335</v>
      </c>
      <c r="D135" s="2"/>
      <c r="E135" s="2"/>
      <c r="F135" s="2"/>
      <c r="G135" s="2"/>
      <c r="H135" s="2"/>
      <c r="I135" s="2"/>
      <c r="J135" s="2"/>
      <c r="K135" s="2"/>
      <c r="L135" s="2"/>
      <c r="M135" s="2"/>
      <c r="N135" s="2"/>
      <c r="O135" s="2"/>
      <c r="P135" s="2"/>
      <c r="Q135" s="2"/>
      <c r="R135" s="2"/>
      <c r="S135" s="2"/>
      <c r="T135" s="2"/>
      <c r="U135" s="27">
        <v>0</v>
      </c>
      <c r="V135" s="27">
        <v>0</v>
      </c>
      <c r="W135" s="27">
        <v>0</v>
      </c>
      <c r="X135" s="27">
        <v>0</v>
      </c>
      <c r="Y135" s="27">
        <v>0</v>
      </c>
      <c r="Z135" s="27">
        <v>0</v>
      </c>
      <c r="AA135" s="27">
        <v>0</v>
      </c>
      <c r="AB135" s="27">
        <v>0</v>
      </c>
      <c r="AC135" s="27">
        <v>0</v>
      </c>
      <c r="AD135" s="27">
        <v>0</v>
      </c>
      <c r="AE135" s="27">
        <v>0</v>
      </c>
      <c r="AF135" s="27">
        <v>0</v>
      </c>
      <c r="AG135" s="86">
        <v>0</v>
      </c>
    </row>
    <row r="136" spans="1:33" x14ac:dyDescent="0.25">
      <c r="A136" s="5" t="s">
        <v>263</v>
      </c>
      <c r="B136" s="2" t="s">
        <v>262</v>
      </c>
      <c r="C136" s="1" t="s">
        <v>335</v>
      </c>
      <c r="D136" s="2"/>
      <c r="E136" s="2"/>
      <c r="F136" s="2"/>
      <c r="G136" s="2"/>
      <c r="H136" s="2"/>
      <c r="I136" s="2"/>
      <c r="J136" s="2"/>
      <c r="K136" s="2"/>
      <c r="L136" s="2"/>
      <c r="M136" s="2"/>
      <c r="N136" s="2"/>
      <c r="O136" s="2"/>
      <c r="P136" s="2"/>
      <c r="Q136" s="2"/>
      <c r="R136" s="2"/>
      <c r="S136" s="2"/>
      <c r="T136" s="2"/>
      <c r="U136" s="27">
        <f>capex_concordance!F7+capex_concordance!F12</f>
        <v>0.10750000000000001</v>
      </c>
      <c r="V136" s="27">
        <f>capex_concordance!F19+capex_concordance!F24</f>
        <v>0.11</v>
      </c>
      <c r="W136" s="27">
        <f>capex_concordance!F31+capex_concordance!F36</f>
        <v>0.13</v>
      </c>
      <c r="X136" s="27">
        <f>capex_concordance!F43+capex_concordance!F48</f>
        <v>8.249999999999999E-2</v>
      </c>
      <c r="Y136" s="27">
        <f>capex_concordance!F55</f>
        <v>1.3333333333333334E-2</v>
      </c>
      <c r="Z136" s="27">
        <f>capex_concordance!F65</f>
        <v>4.3999999999999997E-2</v>
      </c>
      <c r="AA136" s="27">
        <f>capex_concordance!F74+capex_concordance!F79</f>
        <v>0.105</v>
      </c>
      <c r="AB136" s="27">
        <f>capex_concordance!F86+capex_concordance!F91</f>
        <v>3.2500000000000001E-2</v>
      </c>
      <c r="AC136" s="27">
        <f>capex_concordance!F98+capex_concordance!F103</f>
        <v>7.0000000000000007E-2</v>
      </c>
      <c r="AD136" s="27">
        <f>capex_concordance!F110+capex_concordance!F114</f>
        <v>7.8333333333333338E-2</v>
      </c>
      <c r="AE136" s="27">
        <f>capex_concordance!F121+capex_concordance!F126</f>
        <v>6.5000000000000002E-2</v>
      </c>
      <c r="AF136" s="27">
        <f>capex_concordance!F133+capex_concordance!F138</f>
        <v>3.0000000000000002E-2</v>
      </c>
      <c r="AG136" s="86">
        <f>capex_concordance!F145+capex_concordance!F150</f>
        <v>9.2499999999999999E-2</v>
      </c>
    </row>
    <row r="137" spans="1:33" x14ac:dyDescent="0.25">
      <c r="A137" s="5" t="s">
        <v>265</v>
      </c>
      <c r="B137" s="2" t="s">
        <v>264</v>
      </c>
      <c r="C137" s="1" t="s">
        <v>335</v>
      </c>
      <c r="D137" s="2"/>
      <c r="E137" s="2"/>
      <c r="F137" s="2"/>
      <c r="G137" s="2"/>
      <c r="H137" s="2"/>
      <c r="I137" s="2"/>
      <c r="J137" s="2"/>
      <c r="K137" s="2"/>
      <c r="L137" s="2"/>
      <c r="M137" s="2"/>
      <c r="N137" s="2"/>
      <c r="O137" s="2"/>
      <c r="P137" s="2"/>
      <c r="Q137" s="2"/>
      <c r="R137" s="2"/>
      <c r="S137" s="2"/>
      <c r="T137" s="2"/>
      <c r="U137" s="27">
        <v>0</v>
      </c>
      <c r="V137" s="27">
        <v>0</v>
      </c>
      <c r="W137" s="27">
        <v>0</v>
      </c>
      <c r="X137" s="27">
        <v>0</v>
      </c>
      <c r="Y137" s="27">
        <v>0</v>
      </c>
      <c r="Z137" s="27">
        <v>0</v>
      </c>
      <c r="AA137" s="27">
        <v>0</v>
      </c>
      <c r="AB137" s="27">
        <v>0</v>
      </c>
      <c r="AC137" s="27">
        <v>0</v>
      </c>
      <c r="AD137" s="27">
        <v>0</v>
      </c>
      <c r="AE137" s="27">
        <v>0</v>
      </c>
      <c r="AF137" s="27">
        <v>0</v>
      </c>
      <c r="AG137" s="86">
        <v>0</v>
      </c>
    </row>
    <row r="138" spans="1:33" x14ac:dyDescent="0.25">
      <c r="A138" s="5" t="s">
        <v>267</v>
      </c>
      <c r="B138" s="2" t="s">
        <v>266</v>
      </c>
      <c r="C138" s="1" t="s">
        <v>335</v>
      </c>
      <c r="D138" s="2"/>
      <c r="E138" s="2"/>
      <c r="F138" s="2"/>
      <c r="G138" s="2"/>
      <c r="H138" s="2"/>
      <c r="I138" s="2"/>
      <c r="J138" s="2"/>
      <c r="K138" s="2"/>
      <c r="L138" s="2"/>
      <c r="M138" s="2"/>
      <c r="N138" s="2"/>
      <c r="O138" s="2"/>
      <c r="P138" s="2"/>
      <c r="Q138" s="2"/>
      <c r="R138" s="2"/>
      <c r="S138" s="2"/>
      <c r="T138" s="2"/>
      <c r="U138" s="27">
        <f>capex_concordance!F8</f>
        <v>6.5000000000000002E-2</v>
      </c>
      <c r="V138" s="27">
        <f>capex_concordance!F20</f>
        <v>7.4999999999999997E-2</v>
      </c>
      <c r="W138" s="27">
        <f>capex_concordance!F32</f>
        <v>8.5000000000000006E-2</v>
      </c>
      <c r="X138" s="27">
        <f>capex_concordance!F44</f>
        <v>2.2499999999999999E-2</v>
      </c>
      <c r="Y138" s="27">
        <f>capex_concordance!F56</f>
        <v>1.3333333333333334E-2</v>
      </c>
      <c r="Z138" s="27">
        <f>capex_concordance!F66</f>
        <v>4.3999999999999997E-2</v>
      </c>
      <c r="AA138" s="27">
        <f>capex_concordance!F75</f>
        <v>0.06</v>
      </c>
      <c r="AB138" s="27">
        <f>capex_concordance!F87</f>
        <v>0.01</v>
      </c>
      <c r="AC138" s="27">
        <f>capex_concordance!F99</f>
        <v>4.4999999999999998E-2</v>
      </c>
      <c r="AD138" s="27">
        <f>capex_concordance!F111</f>
        <v>4.4999999999999998E-2</v>
      </c>
      <c r="AE138" s="27">
        <f>capex_concordance!F122</f>
        <v>0.04</v>
      </c>
      <c r="AF138" s="27">
        <f>capex_concordance!F134</f>
        <v>1.7500000000000002E-2</v>
      </c>
      <c r="AG138" s="86">
        <f>capex_concordance!F146</f>
        <v>0.04</v>
      </c>
    </row>
    <row r="139" spans="1:33" x14ac:dyDescent="0.25">
      <c r="A139" s="5" t="s">
        <v>269</v>
      </c>
      <c r="B139" s="2" t="s">
        <v>268</v>
      </c>
      <c r="C139" s="1" t="s">
        <v>335</v>
      </c>
      <c r="D139" s="2"/>
      <c r="E139" s="2"/>
      <c r="F139" s="2"/>
      <c r="G139" s="2"/>
      <c r="H139" s="2"/>
      <c r="I139" s="2"/>
      <c r="J139" s="2"/>
      <c r="K139" s="2"/>
      <c r="L139" s="2"/>
      <c r="M139" s="2"/>
      <c r="N139" s="2"/>
      <c r="O139" s="2"/>
      <c r="P139" s="2"/>
      <c r="Q139" s="2"/>
      <c r="R139" s="2"/>
      <c r="S139" s="2"/>
      <c r="T139" s="2"/>
      <c r="U139" s="27">
        <v>0</v>
      </c>
      <c r="V139" s="27">
        <v>0</v>
      </c>
      <c r="W139" s="27">
        <v>0</v>
      </c>
      <c r="X139" s="27">
        <v>0</v>
      </c>
      <c r="Y139" s="27">
        <v>0</v>
      </c>
      <c r="Z139" s="27">
        <v>0</v>
      </c>
      <c r="AA139" s="27">
        <v>0</v>
      </c>
      <c r="AB139" s="27">
        <v>0</v>
      </c>
      <c r="AC139" s="27">
        <v>0</v>
      </c>
      <c r="AD139" s="27">
        <v>0</v>
      </c>
      <c r="AE139" s="27">
        <v>0</v>
      </c>
      <c r="AF139" s="27">
        <v>0</v>
      </c>
      <c r="AG139" s="86">
        <v>0</v>
      </c>
    </row>
    <row r="140" spans="1:33" x14ac:dyDescent="0.25">
      <c r="A140" s="5" t="s">
        <v>271</v>
      </c>
      <c r="B140" s="2" t="s">
        <v>270</v>
      </c>
      <c r="C140" s="1" t="s">
        <v>335</v>
      </c>
      <c r="D140" s="2"/>
      <c r="E140" s="2"/>
      <c r="F140" s="2"/>
      <c r="G140" s="2"/>
      <c r="H140" s="2"/>
      <c r="I140" s="2"/>
      <c r="J140" s="2"/>
      <c r="K140" s="2"/>
      <c r="L140" s="2"/>
      <c r="M140" s="2"/>
      <c r="N140" s="2"/>
      <c r="O140" s="2"/>
      <c r="P140" s="2"/>
      <c r="Q140" s="2"/>
      <c r="R140" s="2"/>
      <c r="S140" s="2"/>
      <c r="T140" s="2"/>
      <c r="U140" s="27">
        <v>0</v>
      </c>
      <c r="V140" s="27">
        <v>0</v>
      </c>
      <c r="W140" s="27">
        <v>0</v>
      </c>
      <c r="X140" s="27">
        <v>0</v>
      </c>
      <c r="Y140" s="27">
        <v>0</v>
      </c>
      <c r="Z140" s="27">
        <v>0</v>
      </c>
      <c r="AA140" s="27">
        <v>0</v>
      </c>
      <c r="AB140" s="27">
        <v>0</v>
      </c>
      <c r="AC140" s="27">
        <v>0</v>
      </c>
      <c r="AD140" s="27">
        <v>0</v>
      </c>
      <c r="AE140" s="27">
        <v>0</v>
      </c>
      <c r="AF140" s="27">
        <v>0</v>
      </c>
      <c r="AG140" s="86">
        <v>0</v>
      </c>
    </row>
    <row r="141" spans="1:33" x14ac:dyDescent="0.25">
      <c r="A141" s="5" t="s">
        <v>273</v>
      </c>
      <c r="B141" s="2" t="s">
        <v>272</v>
      </c>
      <c r="C141" s="1" t="s">
        <v>335</v>
      </c>
      <c r="D141" s="2"/>
      <c r="E141" s="2"/>
      <c r="F141" s="2"/>
      <c r="G141" s="2"/>
      <c r="H141" s="2"/>
      <c r="I141" s="2"/>
      <c r="J141" s="2"/>
      <c r="K141" s="2"/>
      <c r="L141" s="2"/>
      <c r="M141" s="2"/>
      <c r="N141" s="2"/>
      <c r="O141" s="2"/>
      <c r="P141" s="2"/>
      <c r="Q141" s="2"/>
      <c r="R141" s="2"/>
      <c r="S141" s="2"/>
      <c r="T141" s="2"/>
      <c r="U141" s="27">
        <v>0</v>
      </c>
      <c r="V141" s="27">
        <v>0</v>
      </c>
      <c r="W141" s="27">
        <v>0</v>
      </c>
      <c r="X141" s="27">
        <v>0</v>
      </c>
      <c r="Y141" s="27">
        <v>0</v>
      </c>
      <c r="Z141" s="27">
        <v>0</v>
      </c>
      <c r="AA141" s="27">
        <v>0</v>
      </c>
      <c r="AB141" s="27">
        <v>0</v>
      </c>
      <c r="AC141" s="27">
        <v>0</v>
      </c>
      <c r="AD141" s="27">
        <v>0</v>
      </c>
      <c r="AE141" s="27">
        <v>0</v>
      </c>
      <c r="AF141" s="27">
        <v>0</v>
      </c>
      <c r="AG141" s="86">
        <v>0</v>
      </c>
    </row>
    <row r="142" spans="1:33" x14ac:dyDescent="0.25">
      <c r="A142" s="6" t="s">
        <v>275</v>
      </c>
      <c r="B142" s="2" t="s">
        <v>274</v>
      </c>
      <c r="C142" s="1" t="s">
        <v>335</v>
      </c>
      <c r="D142" s="2"/>
      <c r="E142" s="2"/>
      <c r="F142" s="2"/>
      <c r="G142" s="2"/>
      <c r="H142" s="2"/>
      <c r="I142" s="2"/>
      <c r="J142" s="2"/>
      <c r="K142" s="2"/>
      <c r="L142" s="2"/>
      <c r="M142" s="2"/>
      <c r="N142" s="2"/>
      <c r="O142" s="2"/>
      <c r="P142" s="2"/>
      <c r="Q142" s="2"/>
      <c r="R142" s="2"/>
      <c r="S142" s="2"/>
      <c r="T142" s="2"/>
      <c r="U142" s="27">
        <v>0</v>
      </c>
      <c r="V142" s="27">
        <v>0</v>
      </c>
      <c r="W142" s="27">
        <v>0</v>
      </c>
      <c r="X142" s="27">
        <v>0</v>
      </c>
      <c r="Y142" s="27">
        <v>0</v>
      </c>
      <c r="Z142" s="27">
        <v>0</v>
      </c>
      <c r="AA142" s="27">
        <v>0</v>
      </c>
      <c r="AB142" s="27">
        <v>0</v>
      </c>
      <c r="AC142" s="27">
        <v>0</v>
      </c>
      <c r="AD142" s="27">
        <v>0</v>
      </c>
      <c r="AE142" s="27">
        <v>0</v>
      </c>
      <c r="AF142" s="27">
        <v>0</v>
      </c>
      <c r="AG142" s="86">
        <v>0</v>
      </c>
    </row>
    <row r="143" spans="1:33" x14ac:dyDescent="0.25">
      <c r="A143" s="6" t="s">
        <v>277</v>
      </c>
      <c r="B143" s="2" t="s">
        <v>276</v>
      </c>
      <c r="C143" s="1" t="s">
        <v>335</v>
      </c>
      <c r="D143" s="2"/>
      <c r="E143" s="2"/>
      <c r="F143" s="2"/>
      <c r="G143" s="2"/>
      <c r="H143" s="2"/>
      <c r="I143" s="2"/>
      <c r="J143" s="2"/>
      <c r="K143" s="2"/>
      <c r="L143" s="2"/>
      <c r="M143" s="2"/>
      <c r="N143" s="2"/>
      <c r="O143" s="2"/>
      <c r="P143" s="2"/>
      <c r="Q143" s="2"/>
      <c r="R143" s="2"/>
      <c r="S143" s="2"/>
      <c r="T143" s="2"/>
      <c r="U143" s="27">
        <v>0</v>
      </c>
      <c r="V143" s="27">
        <v>0</v>
      </c>
      <c r="W143" s="27">
        <v>0</v>
      </c>
      <c r="X143" s="27">
        <v>0</v>
      </c>
      <c r="Y143" s="27">
        <v>0</v>
      </c>
      <c r="Z143" s="27">
        <v>0</v>
      </c>
      <c r="AA143" s="27">
        <v>0</v>
      </c>
      <c r="AB143" s="27">
        <v>0</v>
      </c>
      <c r="AC143" s="27">
        <v>0</v>
      </c>
      <c r="AD143" s="27">
        <v>0</v>
      </c>
      <c r="AE143" s="27">
        <v>0</v>
      </c>
      <c r="AF143" s="27">
        <v>0</v>
      </c>
      <c r="AG143" s="86">
        <v>0</v>
      </c>
    </row>
    <row r="144" spans="1:33" x14ac:dyDescent="0.25">
      <c r="A144" s="6" t="s">
        <v>279</v>
      </c>
      <c r="B144" s="2" t="s">
        <v>278</v>
      </c>
      <c r="C144" s="1" t="s">
        <v>335</v>
      </c>
      <c r="D144" s="2"/>
      <c r="E144" s="2"/>
      <c r="F144" s="2"/>
      <c r="G144" s="2"/>
      <c r="H144" s="2"/>
      <c r="I144" s="2"/>
      <c r="J144" s="2"/>
      <c r="K144" s="2"/>
      <c r="L144" s="2"/>
      <c r="M144" s="2"/>
      <c r="N144" s="2"/>
      <c r="O144" s="2"/>
      <c r="P144" s="2"/>
      <c r="Q144" s="2"/>
      <c r="R144" s="2"/>
      <c r="S144" s="2"/>
      <c r="T144" s="2"/>
      <c r="U144" s="27">
        <v>0</v>
      </c>
      <c r="V144" s="27">
        <v>0</v>
      </c>
      <c r="W144" s="27">
        <v>0</v>
      </c>
      <c r="X144" s="27">
        <v>0</v>
      </c>
      <c r="Y144" s="27">
        <v>0</v>
      </c>
      <c r="Z144" s="27">
        <v>0</v>
      </c>
      <c r="AA144" s="27">
        <v>0</v>
      </c>
      <c r="AB144" s="27">
        <v>0</v>
      </c>
      <c r="AC144" s="27">
        <v>0</v>
      </c>
      <c r="AD144" s="27">
        <v>0</v>
      </c>
      <c r="AE144" s="27">
        <v>0</v>
      </c>
      <c r="AF144" s="27">
        <v>0</v>
      </c>
      <c r="AG144" s="86">
        <v>0</v>
      </c>
    </row>
    <row r="145" spans="1:33" x14ac:dyDescent="0.25">
      <c r="A145" s="6" t="s">
        <v>281</v>
      </c>
      <c r="B145" s="2" t="s">
        <v>280</v>
      </c>
      <c r="C145" s="1" t="s">
        <v>335</v>
      </c>
      <c r="D145" s="2"/>
      <c r="E145" s="2"/>
      <c r="F145" s="2"/>
      <c r="G145" s="2"/>
      <c r="H145" s="2"/>
      <c r="I145" s="2"/>
      <c r="J145" s="2"/>
      <c r="K145" s="2"/>
      <c r="L145" s="2"/>
      <c r="M145" s="2"/>
      <c r="N145" s="2"/>
      <c r="O145" s="2"/>
      <c r="P145" s="2"/>
      <c r="Q145" s="2"/>
      <c r="R145" s="2"/>
      <c r="S145" s="2"/>
      <c r="T145" s="2"/>
      <c r="U145" s="27">
        <v>0</v>
      </c>
      <c r="V145" s="27">
        <v>0</v>
      </c>
      <c r="W145" s="27">
        <v>0</v>
      </c>
      <c r="X145" s="27">
        <v>0</v>
      </c>
      <c r="Y145" s="27">
        <v>0</v>
      </c>
      <c r="Z145" s="27">
        <v>0</v>
      </c>
      <c r="AA145" s="27">
        <v>0</v>
      </c>
      <c r="AB145" s="27">
        <v>0</v>
      </c>
      <c r="AC145" s="27">
        <v>0</v>
      </c>
      <c r="AD145" s="27">
        <v>0</v>
      </c>
      <c r="AE145" s="27">
        <v>0</v>
      </c>
      <c r="AF145" s="27">
        <v>0</v>
      </c>
      <c r="AG145" s="86">
        <v>0</v>
      </c>
    </row>
    <row r="146" spans="1:33" x14ac:dyDescent="0.25">
      <c r="A146" s="6" t="s">
        <v>283</v>
      </c>
      <c r="B146" s="2" t="s">
        <v>282</v>
      </c>
      <c r="C146" s="1" t="s">
        <v>335</v>
      </c>
      <c r="D146" s="2"/>
      <c r="E146" s="2"/>
      <c r="F146" s="2"/>
      <c r="G146" s="2"/>
      <c r="H146" s="2"/>
      <c r="I146" s="2"/>
      <c r="J146" s="2"/>
      <c r="K146" s="2"/>
      <c r="L146" s="2"/>
      <c r="M146" s="2"/>
      <c r="N146" s="2"/>
      <c r="O146" s="2"/>
      <c r="P146" s="2"/>
      <c r="Q146" s="2"/>
      <c r="R146" s="2"/>
      <c r="S146" s="2"/>
      <c r="T146" s="2"/>
      <c r="U146" s="27">
        <v>0</v>
      </c>
      <c r="V146" s="27">
        <v>0</v>
      </c>
      <c r="W146" s="27">
        <v>0</v>
      </c>
      <c r="X146" s="27">
        <v>0</v>
      </c>
      <c r="Y146" s="27">
        <v>0</v>
      </c>
      <c r="Z146" s="27">
        <v>0</v>
      </c>
      <c r="AA146" s="27">
        <v>0</v>
      </c>
      <c r="AB146" s="27">
        <v>0</v>
      </c>
      <c r="AC146" s="27">
        <v>0</v>
      </c>
      <c r="AD146" s="27">
        <v>0</v>
      </c>
      <c r="AE146" s="27">
        <v>0</v>
      </c>
      <c r="AF146" s="27">
        <v>0</v>
      </c>
      <c r="AG146" s="86">
        <v>0</v>
      </c>
    </row>
    <row r="147" spans="1:33" x14ac:dyDescent="0.25">
      <c r="A147" s="6" t="s">
        <v>285</v>
      </c>
      <c r="B147" s="2" t="s">
        <v>284</v>
      </c>
      <c r="C147" s="1" t="s">
        <v>335</v>
      </c>
      <c r="D147" s="2"/>
      <c r="E147" s="2"/>
      <c r="F147" s="2"/>
      <c r="G147" s="2"/>
      <c r="H147" s="2"/>
      <c r="I147" s="2"/>
      <c r="J147" s="2"/>
      <c r="K147" s="2"/>
      <c r="L147" s="2"/>
      <c r="M147" s="2"/>
      <c r="N147" s="2"/>
      <c r="O147" s="2"/>
      <c r="P147" s="2"/>
      <c r="Q147" s="2"/>
      <c r="R147" s="2"/>
      <c r="S147" s="2"/>
      <c r="T147" s="2"/>
      <c r="U147" s="27">
        <v>0</v>
      </c>
      <c r="V147" s="27">
        <v>0</v>
      </c>
      <c r="W147" s="27">
        <v>0</v>
      </c>
      <c r="X147" s="27">
        <v>0</v>
      </c>
      <c r="Y147" s="27">
        <v>0</v>
      </c>
      <c r="Z147" s="27">
        <v>0</v>
      </c>
      <c r="AA147" s="27">
        <v>0</v>
      </c>
      <c r="AB147" s="27">
        <v>0</v>
      </c>
      <c r="AC147" s="27">
        <v>0</v>
      </c>
      <c r="AD147" s="27">
        <v>0</v>
      </c>
      <c r="AE147" s="27">
        <v>0</v>
      </c>
      <c r="AF147" s="27">
        <v>0</v>
      </c>
      <c r="AG147" s="86">
        <v>0</v>
      </c>
    </row>
    <row r="148" spans="1:33" x14ac:dyDescent="0.25">
      <c r="A148" s="6" t="s">
        <v>287</v>
      </c>
      <c r="B148" s="2" t="s">
        <v>286</v>
      </c>
      <c r="C148" s="1" t="s">
        <v>335</v>
      </c>
      <c r="D148" s="2"/>
      <c r="E148" s="2"/>
      <c r="F148" s="2"/>
      <c r="G148" s="2"/>
      <c r="H148" s="2"/>
      <c r="I148" s="2"/>
      <c r="J148" s="2"/>
      <c r="K148" s="2"/>
      <c r="L148" s="2"/>
      <c r="M148" s="2"/>
      <c r="N148" s="2"/>
      <c r="O148" s="2"/>
      <c r="P148" s="2"/>
      <c r="Q148" s="2"/>
      <c r="R148" s="2"/>
      <c r="S148" s="2"/>
      <c r="T148" s="2"/>
      <c r="U148" s="27">
        <v>0</v>
      </c>
      <c r="V148" s="27">
        <v>0</v>
      </c>
      <c r="W148" s="27">
        <v>0</v>
      </c>
      <c r="X148" s="27">
        <v>0</v>
      </c>
      <c r="Y148" s="27">
        <v>0</v>
      </c>
      <c r="Z148" s="27">
        <v>0</v>
      </c>
      <c r="AA148" s="27">
        <v>0</v>
      </c>
      <c r="AB148" s="27">
        <v>0</v>
      </c>
      <c r="AC148" s="27">
        <v>0</v>
      </c>
      <c r="AD148" s="27">
        <v>0</v>
      </c>
      <c r="AE148" s="27">
        <v>0</v>
      </c>
      <c r="AF148" s="27">
        <v>0</v>
      </c>
      <c r="AG148" s="86">
        <v>0</v>
      </c>
    </row>
    <row r="149" spans="1:33" x14ac:dyDescent="0.25">
      <c r="A149" s="6" t="s">
        <v>289</v>
      </c>
      <c r="B149" s="2" t="s">
        <v>288</v>
      </c>
      <c r="C149" s="1" t="s">
        <v>335</v>
      </c>
      <c r="D149" s="2"/>
      <c r="E149" s="2"/>
      <c r="F149" s="2"/>
      <c r="G149" s="2"/>
      <c r="H149" s="2"/>
      <c r="I149" s="2"/>
      <c r="J149" s="2"/>
      <c r="K149" s="2"/>
      <c r="L149" s="2"/>
      <c r="M149" s="2"/>
      <c r="N149" s="2"/>
      <c r="O149" s="2"/>
      <c r="P149" s="2"/>
      <c r="Q149" s="2"/>
      <c r="R149" s="2"/>
      <c r="S149" s="2"/>
      <c r="T149" s="2"/>
      <c r="U149" s="27">
        <v>0</v>
      </c>
      <c r="V149" s="27">
        <v>0</v>
      </c>
      <c r="W149" s="27">
        <v>0</v>
      </c>
      <c r="X149" s="27">
        <v>0</v>
      </c>
      <c r="Y149" s="27">
        <v>0</v>
      </c>
      <c r="Z149" s="27">
        <v>0</v>
      </c>
      <c r="AA149" s="27">
        <v>0</v>
      </c>
      <c r="AB149" s="27">
        <v>0</v>
      </c>
      <c r="AC149" s="27">
        <v>0</v>
      </c>
      <c r="AD149" s="27">
        <v>0</v>
      </c>
      <c r="AE149" s="27">
        <v>0</v>
      </c>
      <c r="AF149" s="27">
        <v>0</v>
      </c>
      <c r="AG149" s="86">
        <v>0</v>
      </c>
    </row>
    <row r="150" spans="1:33" x14ac:dyDescent="0.25">
      <c r="A150" s="6" t="s">
        <v>291</v>
      </c>
      <c r="B150" s="2" t="s">
        <v>290</v>
      </c>
      <c r="C150" s="1" t="s">
        <v>335</v>
      </c>
      <c r="D150" s="2"/>
      <c r="E150" s="2"/>
      <c r="F150" s="2"/>
      <c r="G150" s="2"/>
      <c r="H150" s="2"/>
      <c r="I150" s="2"/>
      <c r="J150" s="2"/>
      <c r="K150" s="2"/>
      <c r="L150" s="2"/>
      <c r="M150" s="2"/>
      <c r="N150" s="2"/>
      <c r="O150" s="2"/>
      <c r="P150" s="2"/>
      <c r="Q150" s="2"/>
      <c r="R150" s="2"/>
      <c r="S150" s="2"/>
      <c r="T150" s="2"/>
      <c r="U150" s="27">
        <v>0</v>
      </c>
      <c r="V150" s="27">
        <v>0</v>
      </c>
      <c r="W150" s="27">
        <v>0</v>
      </c>
      <c r="X150" s="27">
        <v>0</v>
      </c>
      <c r="Y150" s="27">
        <v>0</v>
      </c>
      <c r="Z150" s="27">
        <v>0</v>
      </c>
      <c r="AA150" s="27">
        <v>0</v>
      </c>
      <c r="AB150" s="27">
        <v>0</v>
      </c>
      <c r="AC150" s="27">
        <v>0</v>
      </c>
      <c r="AD150" s="27">
        <v>0</v>
      </c>
      <c r="AE150" s="27">
        <v>0</v>
      </c>
      <c r="AF150" s="27">
        <v>0</v>
      </c>
      <c r="AG150" s="86">
        <v>0</v>
      </c>
    </row>
    <row r="151" spans="1:33" x14ac:dyDescent="0.25">
      <c r="A151" s="6" t="s">
        <v>293</v>
      </c>
      <c r="B151" s="2" t="s">
        <v>292</v>
      </c>
      <c r="C151" s="1" t="s">
        <v>335</v>
      </c>
      <c r="D151" s="2"/>
      <c r="E151" s="2"/>
      <c r="F151" s="2"/>
      <c r="G151" s="2"/>
      <c r="H151" s="2"/>
      <c r="I151" s="2"/>
      <c r="J151" s="2"/>
      <c r="K151" s="2"/>
      <c r="L151" s="2"/>
      <c r="M151" s="2"/>
      <c r="N151" s="2"/>
      <c r="O151" s="2"/>
      <c r="P151" s="2"/>
      <c r="Q151" s="2"/>
      <c r="R151" s="2"/>
      <c r="S151" s="2"/>
      <c r="T151" s="2"/>
      <c r="U151" s="27">
        <v>0</v>
      </c>
      <c r="V151" s="27">
        <v>0</v>
      </c>
      <c r="W151" s="27">
        <v>0</v>
      </c>
      <c r="X151" s="27">
        <v>0</v>
      </c>
      <c r="Y151" s="27">
        <v>0</v>
      </c>
      <c r="Z151" s="27">
        <v>0</v>
      </c>
      <c r="AA151" s="27">
        <v>0</v>
      </c>
      <c r="AB151" s="27">
        <v>0</v>
      </c>
      <c r="AC151" s="27">
        <v>0</v>
      </c>
      <c r="AD151" s="27">
        <v>0</v>
      </c>
      <c r="AE151" s="27">
        <v>0</v>
      </c>
      <c r="AF151" s="27">
        <v>0</v>
      </c>
      <c r="AG151" s="86">
        <v>0</v>
      </c>
    </row>
    <row r="152" spans="1:33" x14ac:dyDescent="0.25">
      <c r="A152" s="6" t="s">
        <v>295</v>
      </c>
      <c r="B152" s="2" t="s">
        <v>294</v>
      </c>
      <c r="C152" s="1" t="s">
        <v>335</v>
      </c>
      <c r="D152" s="2"/>
      <c r="E152" s="2"/>
      <c r="F152" s="2"/>
      <c r="G152" s="2"/>
      <c r="H152" s="2"/>
      <c r="I152" s="2"/>
      <c r="J152" s="2"/>
      <c r="K152" s="2"/>
      <c r="L152" s="2"/>
      <c r="M152" s="2"/>
      <c r="N152" s="2"/>
      <c r="O152" s="2"/>
      <c r="P152" s="2"/>
      <c r="Q152" s="2"/>
      <c r="R152" s="2"/>
      <c r="S152" s="2"/>
      <c r="T152" s="2"/>
      <c r="U152" s="27">
        <v>0</v>
      </c>
      <c r="V152" s="27">
        <v>0</v>
      </c>
      <c r="W152" s="27">
        <v>0</v>
      </c>
      <c r="X152" s="27">
        <v>0</v>
      </c>
      <c r="Y152" s="27">
        <v>0</v>
      </c>
      <c r="Z152" s="27">
        <v>0</v>
      </c>
      <c r="AA152" s="27">
        <v>0</v>
      </c>
      <c r="AB152" s="27">
        <v>0</v>
      </c>
      <c r="AC152" s="27">
        <v>0</v>
      </c>
      <c r="AD152" s="27">
        <v>0</v>
      </c>
      <c r="AE152" s="27">
        <v>0</v>
      </c>
      <c r="AF152" s="27">
        <v>0</v>
      </c>
      <c r="AG152" s="86">
        <v>0</v>
      </c>
    </row>
    <row r="153" spans="1:33" x14ac:dyDescent="0.25">
      <c r="A153" s="6" t="s">
        <v>297</v>
      </c>
      <c r="B153" s="2" t="s">
        <v>296</v>
      </c>
      <c r="C153" s="1" t="s">
        <v>335</v>
      </c>
      <c r="D153" s="2"/>
      <c r="E153" s="2"/>
      <c r="F153" s="2"/>
      <c r="G153" s="2"/>
      <c r="H153" s="2"/>
      <c r="I153" s="2"/>
      <c r="J153" s="2"/>
      <c r="K153" s="2"/>
      <c r="L153" s="2"/>
      <c r="M153" s="2"/>
      <c r="N153" s="2"/>
      <c r="O153" s="2"/>
      <c r="P153" s="2"/>
      <c r="Q153" s="2"/>
      <c r="R153" s="2"/>
      <c r="S153" s="2"/>
      <c r="T153" s="2"/>
      <c r="U153" s="27">
        <v>0</v>
      </c>
      <c r="V153" s="27">
        <v>0</v>
      </c>
      <c r="W153" s="27">
        <v>0</v>
      </c>
      <c r="X153" s="27">
        <v>0</v>
      </c>
      <c r="Y153" s="27">
        <v>0</v>
      </c>
      <c r="Z153" s="27">
        <v>0</v>
      </c>
      <c r="AA153" s="27">
        <v>0</v>
      </c>
      <c r="AB153" s="27">
        <v>0</v>
      </c>
      <c r="AC153" s="27">
        <v>0</v>
      </c>
      <c r="AD153" s="27">
        <v>0</v>
      </c>
      <c r="AE153" s="27">
        <v>0</v>
      </c>
      <c r="AF153" s="27">
        <v>0</v>
      </c>
      <c r="AG153" s="86">
        <v>0</v>
      </c>
    </row>
    <row r="154" spans="1:33" x14ac:dyDescent="0.25">
      <c r="A154" s="6" t="s">
        <v>299</v>
      </c>
      <c r="B154" s="2" t="s">
        <v>298</v>
      </c>
      <c r="C154" s="1" t="s">
        <v>335</v>
      </c>
      <c r="D154" s="2"/>
      <c r="E154" s="2"/>
      <c r="F154" s="2"/>
      <c r="G154" s="2"/>
      <c r="H154" s="2"/>
      <c r="I154" s="2"/>
      <c r="J154" s="2"/>
      <c r="K154" s="2"/>
      <c r="L154" s="2"/>
      <c r="M154" s="2"/>
      <c r="N154" s="2"/>
      <c r="O154" s="2"/>
      <c r="P154" s="2"/>
      <c r="Q154" s="2"/>
      <c r="R154" s="2"/>
      <c r="S154" s="2"/>
      <c r="T154" s="2"/>
      <c r="U154" s="27">
        <v>0</v>
      </c>
      <c r="V154" s="27">
        <v>0</v>
      </c>
      <c r="W154" s="27">
        <v>0</v>
      </c>
      <c r="X154" s="27">
        <v>0</v>
      </c>
      <c r="Y154" s="27">
        <v>0</v>
      </c>
      <c r="Z154" s="27">
        <v>0</v>
      </c>
      <c r="AA154" s="27">
        <v>0</v>
      </c>
      <c r="AB154" s="27">
        <v>0</v>
      </c>
      <c r="AC154" s="27">
        <v>0</v>
      </c>
      <c r="AD154" s="27">
        <v>0</v>
      </c>
      <c r="AE154" s="27">
        <v>0</v>
      </c>
      <c r="AF154" s="27">
        <v>0</v>
      </c>
      <c r="AG154" s="86">
        <v>0</v>
      </c>
    </row>
    <row r="155" spans="1:33" x14ac:dyDescent="0.25">
      <c r="A155" s="6" t="s">
        <v>301</v>
      </c>
      <c r="B155" s="2" t="s">
        <v>300</v>
      </c>
      <c r="C155" s="1" t="s">
        <v>335</v>
      </c>
      <c r="D155" s="2"/>
      <c r="E155" s="2"/>
      <c r="F155" s="2"/>
      <c r="G155" s="2"/>
      <c r="H155" s="2"/>
      <c r="I155" s="2"/>
      <c r="J155" s="2"/>
      <c r="K155" s="2"/>
      <c r="L155" s="2"/>
      <c r="M155" s="2"/>
      <c r="N155" s="2"/>
      <c r="O155" s="2"/>
      <c r="P155" s="2"/>
      <c r="Q155" s="2"/>
      <c r="R155" s="2"/>
      <c r="S155" s="2"/>
      <c r="T155" s="2"/>
      <c r="U155" s="27">
        <v>0</v>
      </c>
      <c r="V155" s="27">
        <v>0</v>
      </c>
      <c r="W155" s="27">
        <v>0</v>
      </c>
      <c r="X155" s="27">
        <v>0</v>
      </c>
      <c r="Y155" s="27">
        <v>0</v>
      </c>
      <c r="Z155" s="27">
        <v>0</v>
      </c>
      <c r="AA155" s="27">
        <v>0</v>
      </c>
      <c r="AB155" s="27">
        <v>0</v>
      </c>
      <c r="AC155" s="27">
        <v>0</v>
      </c>
      <c r="AD155" s="27">
        <v>0</v>
      </c>
      <c r="AE155" s="27">
        <v>0</v>
      </c>
      <c r="AF155" s="27">
        <v>0</v>
      </c>
      <c r="AG155" s="86">
        <v>0</v>
      </c>
    </row>
    <row r="156" spans="1:33" x14ac:dyDescent="0.25">
      <c r="A156" s="6" t="s">
        <v>303</v>
      </c>
      <c r="B156" s="2" t="s">
        <v>302</v>
      </c>
      <c r="C156" s="1" t="s">
        <v>335</v>
      </c>
      <c r="D156" s="2"/>
      <c r="E156" s="2"/>
      <c r="F156" s="2"/>
      <c r="G156" s="2"/>
      <c r="H156" s="2"/>
      <c r="I156" s="2"/>
      <c r="J156" s="2"/>
      <c r="K156" s="2"/>
      <c r="L156" s="2"/>
      <c r="M156" s="2"/>
      <c r="N156" s="2"/>
      <c r="O156" s="2"/>
      <c r="P156" s="2"/>
      <c r="Q156" s="2"/>
      <c r="R156" s="2"/>
      <c r="S156" s="2"/>
      <c r="T156" s="2"/>
      <c r="U156" s="27">
        <v>0</v>
      </c>
      <c r="V156" s="27">
        <v>0</v>
      </c>
      <c r="W156" s="27">
        <v>0</v>
      </c>
      <c r="X156" s="27">
        <v>0</v>
      </c>
      <c r="Y156" s="27">
        <v>0</v>
      </c>
      <c r="Z156" s="27">
        <v>0</v>
      </c>
      <c r="AA156" s="27">
        <v>0</v>
      </c>
      <c r="AB156" s="27">
        <v>0</v>
      </c>
      <c r="AC156" s="27">
        <v>0</v>
      </c>
      <c r="AD156" s="27">
        <v>0</v>
      </c>
      <c r="AE156" s="27">
        <v>0</v>
      </c>
      <c r="AF156" s="27">
        <v>0</v>
      </c>
      <c r="AG156" s="86">
        <v>0</v>
      </c>
    </row>
    <row r="157" spans="1:33" x14ac:dyDescent="0.25">
      <c r="A157" s="6" t="s">
        <v>305</v>
      </c>
      <c r="B157" s="2" t="s">
        <v>304</v>
      </c>
      <c r="C157" s="1" t="s">
        <v>335</v>
      </c>
      <c r="D157" s="2"/>
      <c r="E157" s="2"/>
      <c r="F157" s="2"/>
      <c r="G157" s="2"/>
      <c r="H157" s="2"/>
      <c r="I157" s="2"/>
      <c r="J157" s="2"/>
      <c r="K157" s="2"/>
      <c r="L157" s="2"/>
      <c r="M157" s="2"/>
      <c r="N157" s="2"/>
      <c r="O157" s="2"/>
      <c r="P157" s="2"/>
      <c r="Q157" s="2"/>
      <c r="R157" s="2"/>
      <c r="S157" s="2"/>
      <c r="T157" s="2"/>
      <c r="U157" s="27">
        <v>0</v>
      </c>
      <c r="V157" s="27">
        <v>0</v>
      </c>
      <c r="W157" s="27">
        <v>0</v>
      </c>
      <c r="X157" s="27">
        <v>0</v>
      </c>
      <c r="Y157" s="27">
        <v>0</v>
      </c>
      <c r="Z157" s="27">
        <v>0</v>
      </c>
      <c r="AA157" s="27">
        <v>0</v>
      </c>
      <c r="AB157" s="27">
        <v>0</v>
      </c>
      <c r="AC157" s="27">
        <v>0</v>
      </c>
      <c r="AD157" s="27">
        <v>0</v>
      </c>
      <c r="AE157" s="27">
        <v>0</v>
      </c>
      <c r="AF157" s="27">
        <v>0</v>
      </c>
      <c r="AG157" s="86">
        <v>0</v>
      </c>
    </row>
    <row r="158" spans="1:33" x14ac:dyDescent="0.25">
      <c r="A158" s="6" t="s">
        <v>307</v>
      </c>
      <c r="B158" s="2" t="s">
        <v>306</v>
      </c>
      <c r="C158" s="1" t="s">
        <v>335</v>
      </c>
      <c r="D158" s="2"/>
      <c r="E158" s="2"/>
      <c r="F158" s="2"/>
      <c r="G158" s="2"/>
      <c r="H158" s="2"/>
      <c r="I158" s="2"/>
      <c r="J158" s="2"/>
      <c r="K158" s="2"/>
      <c r="L158" s="2"/>
      <c r="M158" s="2"/>
      <c r="N158" s="2"/>
      <c r="O158" s="2"/>
      <c r="P158" s="2"/>
      <c r="Q158" s="2"/>
      <c r="R158" s="2"/>
      <c r="S158" s="2"/>
      <c r="T158" s="2"/>
      <c r="U158" s="27">
        <v>0</v>
      </c>
      <c r="V158" s="27">
        <v>0</v>
      </c>
      <c r="W158" s="27">
        <v>0</v>
      </c>
      <c r="X158" s="27">
        <v>0</v>
      </c>
      <c r="Y158" s="27">
        <v>0</v>
      </c>
      <c r="Z158" s="27">
        <v>0</v>
      </c>
      <c r="AA158" s="27">
        <v>0</v>
      </c>
      <c r="AB158" s="27">
        <v>0</v>
      </c>
      <c r="AC158" s="27">
        <v>0</v>
      </c>
      <c r="AD158" s="27">
        <v>0</v>
      </c>
      <c r="AE158" s="27">
        <v>0</v>
      </c>
      <c r="AF158" s="27">
        <v>0</v>
      </c>
      <c r="AG158" s="86">
        <v>0</v>
      </c>
    </row>
    <row r="159" spans="1:33" x14ac:dyDescent="0.25">
      <c r="A159" s="6" t="s">
        <v>309</v>
      </c>
      <c r="B159" s="2" t="s">
        <v>308</v>
      </c>
      <c r="C159" s="1" t="s">
        <v>335</v>
      </c>
      <c r="D159" s="2"/>
      <c r="E159" s="2"/>
      <c r="F159" s="2"/>
      <c r="G159" s="2"/>
      <c r="H159" s="2"/>
      <c r="I159" s="2"/>
      <c r="J159" s="2"/>
      <c r="K159" s="2"/>
      <c r="L159" s="2"/>
      <c r="M159" s="2"/>
      <c r="N159" s="2"/>
      <c r="O159" s="2"/>
      <c r="P159" s="2"/>
      <c r="Q159" s="2"/>
      <c r="R159" s="2"/>
      <c r="S159" s="2"/>
      <c r="T159" s="2"/>
      <c r="U159" s="27">
        <v>0</v>
      </c>
      <c r="V159" s="27">
        <v>0</v>
      </c>
      <c r="W159" s="27">
        <v>0</v>
      </c>
      <c r="X159" s="27">
        <v>0</v>
      </c>
      <c r="Y159" s="27">
        <v>0</v>
      </c>
      <c r="Z159" s="27">
        <v>0</v>
      </c>
      <c r="AA159" s="27">
        <v>0</v>
      </c>
      <c r="AB159" s="27">
        <v>0</v>
      </c>
      <c r="AC159" s="27">
        <v>0</v>
      </c>
      <c r="AD159" s="27">
        <v>0</v>
      </c>
      <c r="AE159" s="27">
        <v>0</v>
      </c>
      <c r="AF159" s="27">
        <v>0</v>
      </c>
      <c r="AG159" s="86">
        <v>0</v>
      </c>
    </row>
    <row r="160" spans="1:33" x14ac:dyDescent="0.25">
      <c r="A160" s="6" t="s">
        <v>311</v>
      </c>
      <c r="B160" s="2" t="s">
        <v>310</v>
      </c>
      <c r="C160" s="1" t="s">
        <v>335</v>
      </c>
      <c r="D160" s="2"/>
      <c r="E160" s="2"/>
      <c r="F160" s="2"/>
      <c r="G160" s="2"/>
      <c r="H160" s="2"/>
      <c r="I160" s="2"/>
      <c r="J160" s="2"/>
      <c r="K160" s="2"/>
      <c r="L160" s="2"/>
      <c r="M160" s="2"/>
      <c r="N160" s="2"/>
      <c r="O160" s="2"/>
      <c r="P160" s="2"/>
      <c r="Q160" s="2"/>
      <c r="R160" s="2"/>
      <c r="S160" s="2"/>
      <c r="T160" s="2"/>
      <c r="U160" s="27">
        <v>0</v>
      </c>
      <c r="V160" s="27">
        <v>0</v>
      </c>
      <c r="W160" s="27">
        <v>0</v>
      </c>
      <c r="X160" s="27">
        <v>0</v>
      </c>
      <c r="Y160" s="27">
        <v>0</v>
      </c>
      <c r="Z160" s="27">
        <v>0</v>
      </c>
      <c r="AA160" s="27">
        <v>0</v>
      </c>
      <c r="AB160" s="27">
        <v>0</v>
      </c>
      <c r="AC160" s="27">
        <v>0</v>
      </c>
      <c r="AD160" s="27">
        <v>0</v>
      </c>
      <c r="AE160" s="27">
        <v>0</v>
      </c>
      <c r="AF160" s="27">
        <v>0</v>
      </c>
      <c r="AG160" s="86">
        <v>0</v>
      </c>
    </row>
    <row r="161" spans="1:33" x14ac:dyDescent="0.25">
      <c r="A161" s="6" t="s">
        <v>313</v>
      </c>
      <c r="B161" s="2" t="s">
        <v>312</v>
      </c>
      <c r="C161" s="1" t="s">
        <v>335</v>
      </c>
      <c r="D161" s="2"/>
      <c r="E161" s="2"/>
      <c r="F161" s="2"/>
      <c r="G161" s="2"/>
      <c r="H161" s="2"/>
      <c r="I161" s="2"/>
      <c r="J161" s="2"/>
      <c r="K161" s="2"/>
      <c r="L161" s="2"/>
      <c r="M161" s="2"/>
      <c r="N161" s="2"/>
      <c r="O161" s="2"/>
      <c r="P161" s="2"/>
      <c r="Q161" s="2"/>
      <c r="R161" s="2"/>
      <c r="S161" s="2"/>
      <c r="T161" s="2"/>
      <c r="U161" s="27">
        <v>0</v>
      </c>
      <c r="V161" s="27">
        <v>0</v>
      </c>
      <c r="W161" s="27">
        <v>0</v>
      </c>
      <c r="X161" s="27">
        <v>0</v>
      </c>
      <c r="Y161" s="27">
        <v>0</v>
      </c>
      <c r="Z161" s="27">
        <v>0</v>
      </c>
      <c r="AA161" s="27">
        <v>0</v>
      </c>
      <c r="AB161" s="27">
        <v>0</v>
      </c>
      <c r="AC161" s="27">
        <v>0</v>
      </c>
      <c r="AD161" s="27">
        <v>0</v>
      </c>
      <c r="AE161" s="27">
        <v>0</v>
      </c>
      <c r="AF161" s="27">
        <v>0</v>
      </c>
      <c r="AG161" s="86">
        <v>0</v>
      </c>
    </row>
    <row r="162" spans="1:33" x14ac:dyDescent="0.25">
      <c r="A162" s="5" t="s">
        <v>315</v>
      </c>
      <c r="B162" s="2" t="s">
        <v>314</v>
      </c>
      <c r="C162" s="1" t="s">
        <v>335</v>
      </c>
      <c r="D162" s="2"/>
      <c r="E162" s="2"/>
      <c r="F162" s="2"/>
      <c r="G162" s="2"/>
      <c r="H162" s="2"/>
      <c r="I162" s="2"/>
      <c r="J162" s="2"/>
      <c r="K162" s="2"/>
      <c r="L162" s="2"/>
      <c r="M162" s="2"/>
      <c r="N162" s="2"/>
      <c r="O162" s="2"/>
      <c r="P162" s="2"/>
      <c r="Q162" s="2"/>
      <c r="R162" s="2"/>
      <c r="S162" s="2"/>
      <c r="T162" s="2"/>
      <c r="U162" s="27">
        <v>0</v>
      </c>
      <c r="V162" s="27">
        <v>0</v>
      </c>
      <c r="W162" s="27">
        <v>0</v>
      </c>
      <c r="X162" s="27">
        <v>0</v>
      </c>
      <c r="Y162" s="27">
        <v>0</v>
      </c>
      <c r="Z162" s="27">
        <v>0</v>
      </c>
      <c r="AA162" s="27">
        <v>0</v>
      </c>
      <c r="AB162" s="27">
        <v>0</v>
      </c>
      <c r="AC162" s="27">
        <v>0</v>
      </c>
      <c r="AD162" s="27">
        <v>0</v>
      </c>
      <c r="AE162" s="27">
        <v>0</v>
      </c>
      <c r="AF162" s="27">
        <v>0</v>
      </c>
      <c r="AG162" s="86">
        <v>0</v>
      </c>
    </row>
    <row r="163" spans="1:33" x14ac:dyDescent="0.25">
      <c r="A163" s="5" t="s">
        <v>317</v>
      </c>
      <c r="B163" s="2" t="s">
        <v>316</v>
      </c>
      <c r="C163" s="1" t="s">
        <v>335</v>
      </c>
      <c r="D163" s="2"/>
      <c r="E163" s="2"/>
      <c r="F163" s="2"/>
      <c r="G163" s="2"/>
      <c r="H163" s="2"/>
      <c r="I163" s="2"/>
      <c r="J163" s="2"/>
      <c r="K163" s="2"/>
      <c r="L163" s="2"/>
      <c r="M163" s="2"/>
      <c r="N163" s="2"/>
      <c r="O163" s="2"/>
      <c r="P163" s="2"/>
      <c r="Q163" s="2"/>
      <c r="R163" s="2"/>
      <c r="S163" s="2"/>
      <c r="T163" s="2"/>
      <c r="U163" s="27">
        <v>0</v>
      </c>
      <c r="V163" s="27">
        <v>0</v>
      </c>
      <c r="W163" s="27">
        <v>0</v>
      </c>
      <c r="X163" s="27">
        <v>0</v>
      </c>
      <c r="Y163" s="27">
        <v>0</v>
      </c>
      <c r="Z163" s="27">
        <v>0</v>
      </c>
      <c r="AA163" s="27">
        <v>0</v>
      </c>
      <c r="AB163" s="27">
        <v>0</v>
      </c>
      <c r="AC163" s="27">
        <v>0</v>
      </c>
      <c r="AD163" s="27">
        <v>0</v>
      </c>
      <c r="AE163" s="27">
        <v>0</v>
      </c>
      <c r="AF163" s="27">
        <v>0</v>
      </c>
      <c r="AG163" s="86">
        <v>0</v>
      </c>
    </row>
    <row r="164" spans="1:33" x14ac:dyDescent="0.25">
      <c r="A164" s="5" t="s">
        <v>319</v>
      </c>
      <c r="B164" s="2" t="s">
        <v>318</v>
      </c>
      <c r="C164" s="1" t="s">
        <v>335</v>
      </c>
      <c r="D164" s="2"/>
      <c r="E164" s="2"/>
      <c r="F164" s="2"/>
      <c r="G164" s="2"/>
      <c r="H164" s="2"/>
      <c r="I164" s="2"/>
      <c r="J164" s="2"/>
      <c r="K164" s="2"/>
      <c r="L164" s="2"/>
      <c r="M164" s="2"/>
      <c r="N164" s="2"/>
      <c r="O164" s="2"/>
      <c r="P164" s="2"/>
      <c r="Q164" s="2"/>
      <c r="R164" s="2"/>
      <c r="S164" s="2"/>
      <c r="T164" s="2"/>
      <c r="U164" s="27">
        <v>0</v>
      </c>
      <c r="V164" s="27">
        <v>0</v>
      </c>
      <c r="W164" s="27">
        <v>0</v>
      </c>
      <c r="X164" s="27">
        <v>0</v>
      </c>
      <c r="Y164" s="27">
        <v>0</v>
      </c>
      <c r="Z164" s="27">
        <v>0</v>
      </c>
      <c r="AA164" s="27">
        <v>0</v>
      </c>
      <c r="AB164" s="27">
        <v>0</v>
      </c>
      <c r="AC164" s="27">
        <v>0</v>
      </c>
      <c r="AD164" s="27">
        <v>0</v>
      </c>
      <c r="AE164" s="27">
        <v>0</v>
      </c>
      <c r="AF164" s="27">
        <v>0</v>
      </c>
      <c r="AG164" s="86">
        <v>0</v>
      </c>
    </row>
    <row r="165" spans="1:33" x14ac:dyDescent="0.25">
      <c r="A165" s="5" t="s">
        <v>321</v>
      </c>
      <c r="B165" s="2" t="s">
        <v>320</v>
      </c>
      <c r="C165" s="1" t="s">
        <v>335</v>
      </c>
      <c r="D165" s="2"/>
      <c r="E165" s="2"/>
      <c r="F165" s="2"/>
      <c r="G165" s="2"/>
      <c r="H165" s="2"/>
      <c r="I165" s="2"/>
      <c r="J165" s="2"/>
      <c r="K165" s="2"/>
      <c r="L165" s="2"/>
      <c r="M165" s="2"/>
      <c r="N165" s="2"/>
      <c r="O165" s="2"/>
      <c r="P165" s="2"/>
      <c r="Q165" s="2"/>
      <c r="R165" s="2"/>
      <c r="S165" s="2"/>
      <c r="T165" s="2"/>
      <c r="U165" s="27">
        <v>0</v>
      </c>
      <c r="V165" s="27">
        <v>0</v>
      </c>
      <c r="W165" s="27">
        <v>0</v>
      </c>
      <c r="X165" s="27">
        <v>0</v>
      </c>
      <c r="Y165" s="27">
        <v>0</v>
      </c>
      <c r="Z165" s="27">
        <v>0</v>
      </c>
      <c r="AA165" s="27">
        <v>0</v>
      </c>
      <c r="AB165" s="27">
        <v>0</v>
      </c>
      <c r="AC165" s="27">
        <v>0</v>
      </c>
      <c r="AD165" s="27">
        <v>0</v>
      </c>
      <c r="AE165" s="27">
        <v>0</v>
      </c>
      <c r="AF165" s="27">
        <v>0</v>
      </c>
      <c r="AG165" s="86">
        <v>0</v>
      </c>
    </row>
    <row r="166" spans="1:33" x14ac:dyDescent="0.25">
      <c r="A166" s="5" t="s">
        <v>323</v>
      </c>
      <c r="B166" s="2" t="s">
        <v>322</v>
      </c>
      <c r="C166" s="1" t="s">
        <v>335</v>
      </c>
      <c r="D166" s="2"/>
      <c r="E166" s="2"/>
      <c r="F166" s="2"/>
      <c r="G166" s="2"/>
      <c r="H166" s="2"/>
      <c r="I166" s="2"/>
      <c r="J166" s="2"/>
      <c r="K166" s="2"/>
      <c r="L166" s="2"/>
      <c r="M166" s="2"/>
      <c r="N166" s="2"/>
      <c r="O166" s="2"/>
      <c r="P166" s="2"/>
      <c r="Q166" s="2"/>
      <c r="R166" s="2"/>
      <c r="S166" s="2"/>
      <c r="T166" s="2"/>
      <c r="U166" s="27">
        <v>0</v>
      </c>
      <c r="V166" s="27">
        <v>0</v>
      </c>
      <c r="W166" s="27">
        <v>0</v>
      </c>
      <c r="X166" s="27">
        <v>0</v>
      </c>
      <c r="Y166" s="27">
        <v>0</v>
      </c>
      <c r="Z166" s="27">
        <v>0</v>
      </c>
      <c r="AA166" s="27">
        <v>0</v>
      </c>
      <c r="AB166" s="27">
        <v>0</v>
      </c>
      <c r="AC166" s="27">
        <v>0</v>
      </c>
      <c r="AD166" s="27">
        <v>0</v>
      </c>
      <c r="AE166" s="27">
        <v>0</v>
      </c>
      <c r="AF166" s="27">
        <v>0</v>
      </c>
      <c r="AG166" s="86">
        <v>0</v>
      </c>
    </row>
    <row r="167" spans="1:33" x14ac:dyDescent="0.25">
      <c r="D167" s="2"/>
      <c r="E167" s="2"/>
      <c r="F167" s="2"/>
      <c r="G167" s="2"/>
      <c r="H167" s="2"/>
      <c r="I167" s="2"/>
      <c r="J167" s="2"/>
      <c r="K167" s="2"/>
      <c r="L167" s="2"/>
      <c r="M167" s="2"/>
      <c r="N167" s="2"/>
      <c r="O167" s="2"/>
      <c r="P167" s="2"/>
      <c r="Q167" s="2"/>
      <c r="R167" s="2"/>
      <c r="S167" s="2"/>
      <c r="T167" s="2"/>
      <c r="U167" s="87"/>
      <c r="V167" s="87"/>
      <c r="W167" s="87"/>
      <c r="X167" s="87"/>
      <c r="Y167" s="87"/>
      <c r="Z167" s="87"/>
      <c r="AA167" s="87"/>
      <c r="AB167" s="87"/>
      <c r="AC167" s="87"/>
      <c r="AD167" s="87"/>
      <c r="AE167" s="87"/>
      <c r="AF167" s="87"/>
      <c r="AG167" s="87"/>
    </row>
    <row r="168" spans="1:33" x14ac:dyDescent="0.25">
      <c r="D168" s="2"/>
      <c r="E168" s="2"/>
      <c r="F168" s="2"/>
      <c r="G168" s="2"/>
      <c r="H168" s="2"/>
      <c r="I168" s="2"/>
      <c r="J168" s="2"/>
      <c r="K168" s="2"/>
      <c r="L168" s="2"/>
      <c r="M168" s="2"/>
      <c r="N168" s="2"/>
      <c r="O168" s="2"/>
      <c r="P168" s="2"/>
      <c r="Q168" s="2"/>
      <c r="R168" s="2"/>
      <c r="S168" s="2"/>
      <c r="T168" s="2"/>
    </row>
    <row r="169" spans="1:33" x14ac:dyDescent="0.25">
      <c r="D169" s="2"/>
      <c r="E169" s="2"/>
      <c r="F169" s="2"/>
      <c r="G169" s="2"/>
      <c r="H169" s="2"/>
      <c r="I169" s="2"/>
      <c r="J169" s="2"/>
      <c r="K169" s="2"/>
      <c r="L169" s="2"/>
      <c r="M169" s="2"/>
      <c r="N169" s="2"/>
      <c r="O169" s="2"/>
      <c r="P169" s="2"/>
      <c r="Q169" s="2"/>
      <c r="R169" s="2"/>
      <c r="S169" s="2"/>
      <c r="T169" s="2"/>
    </row>
    <row r="170" spans="1:33" x14ac:dyDescent="0.25">
      <c r="D170" s="2"/>
      <c r="E170" s="2"/>
      <c r="F170" s="2"/>
      <c r="G170" s="2"/>
      <c r="H170" s="2"/>
      <c r="I170" s="2"/>
      <c r="J170" s="2"/>
      <c r="K170" s="2"/>
      <c r="L170" s="2"/>
      <c r="M170" s="2"/>
      <c r="N170" s="2"/>
      <c r="O170" s="2"/>
      <c r="P170" s="2"/>
      <c r="Q170" s="2"/>
      <c r="R170" s="2"/>
      <c r="S170" s="2"/>
      <c r="T170" s="2"/>
    </row>
    <row r="171" spans="1:33" x14ac:dyDescent="0.25">
      <c r="D171" s="2"/>
      <c r="E171" s="2"/>
      <c r="F171" s="2"/>
      <c r="G171" s="2"/>
      <c r="H171" s="2"/>
      <c r="I171" s="2"/>
      <c r="J171" s="2"/>
      <c r="K171" s="2"/>
      <c r="L171" s="2"/>
      <c r="M171" s="2"/>
      <c r="N171" s="2"/>
      <c r="O171" s="2"/>
      <c r="P171" s="2"/>
      <c r="Q171" s="2"/>
      <c r="R171" s="2"/>
      <c r="S171" s="2"/>
      <c r="T171" s="2"/>
    </row>
    <row r="172" spans="1:33" x14ac:dyDescent="0.25">
      <c r="D172" s="2"/>
      <c r="E172" s="2"/>
      <c r="F172" s="2"/>
      <c r="G172" s="2"/>
      <c r="H172" s="2"/>
      <c r="I172" s="2"/>
      <c r="J172" s="2"/>
      <c r="K172" s="2"/>
      <c r="L172" s="2"/>
      <c r="M172" s="2"/>
      <c r="N172" s="2"/>
      <c r="O172" s="2"/>
      <c r="P172" s="2"/>
      <c r="Q172" s="2"/>
      <c r="R172" s="2"/>
      <c r="S172" s="2"/>
      <c r="T172" s="2"/>
    </row>
    <row r="173" spans="1:33" x14ac:dyDescent="0.25">
      <c r="D173" s="2"/>
      <c r="E173" s="2"/>
      <c r="F173" s="2"/>
      <c r="G173" s="2"/>
      <c r="H173" s="2"/>
      <c r="I173" s="2"/>
      <c r="J173" s="2"/>
      <c r="K173" s="2"/>
      <c r="L173" s="2"/>
      <c r="M173" s="2"/>
      <c r="N173" s="2"/>
      <c r="O173" s="2"/>
      <c r="P173" s="2"/>
      <c r="Q173" s="2"/>
      <c r="R173" s="2"/>
      <c r="S173" s="2"/>
      <c r="T173" s="2"/>
    </row>
    <row r="174" spans="1:33" x14ac:dyDescent="0.25">
      <c r="D174" s="2"/>
      <c r="E174" s="2"/>
      <c r="F174" s="2"/>
      <c r="G174" s="2"/>
      <c r="H174" s="2"/>
      <c r="I174" s="2"/>
      <c r="J174" s="2"/>
      <c r="K174" s="2"/>
      <c r="L174" s="2"/>
      <c r="M174" s="2"/>
      <c r="N174" s="2"/>
      <c r="O174" s="2"/>
      <c r="P174" s="2"/>
      <c r="Q174" s="2"/>
      <c r="R174" s="2"/>
      <c r="S174" s="2"/>
      <c r="T174" s="2"/>
    </row>
    <row r="175" spans="1:33" x14ac:dyDescent="0.25">
      <c r="D175" s="2"/>
      <c r="E175" s="2"/>
      <c r="F175" s="2"/>
      <c r="G175" s="2"/>
      <c r="H175" s="2"/>
      <c r="I175" s="2"/>
      <c r="J175" s="2"/>
      <c r="K175" s="2"/>
      <c r="L175" s="2"/>
      <c r="M175" s="2"/>
      <c r="N175" s="2"/>
      <c r="O175" s="2"/>
      <c r="P175" s="2"/>
      <c r="Q175" s="2"/>
      <c r="R175" s="2"/>
      <c r="S175" s="2"/>
      <c r="T175" s="2"/>
    </row>
  </sheetData>
  <conditionalFormatting sqref="U1">
    <cfRule type="colorScale" priority="13">
      <colorScale>
        <cfvo type="min"/>
        <cfvo type="max"/>
        <color rgb="FFFCFCFF"/>
        <color rgb="FF63BE7B"/>
      </colorScale>
    </cfRule>
  </conditionalFormatting>
  <conditionalFormatting sqref="V1">
    <cfRule type="colorScale" priority="12">
      <colorScale>
        <cfvo type="min"/>
        <cfvo type="max"/>
        <color rgb="FFFCFCFF"/>
        <color rgb="FF63BE7B"/>
      </colorScale>
    </cfRule>
  </conditionalFormatting>
  <conditionalFormatting sqref="W1">
    <cfRule type="colorScale" priority="11">
      <colorScale>
        <cfvo type="min"/>
        <cfvo type="max"/>
        <color rgb="FFFCFCFF"/>
        <color rgb="FF63BE7B"/>
      </colorScale>
    </cfRule>
  </conditionalFormatting>
  <conditionalFormatting sqref="X1">
    <cfRule type="colorScale" priority="10">
      <colorScale>
        <cfvo type="min"/>
        <cfvo type="max"/>
        <color rgb="FFFCFCFF"/>
        <color rgb="FF63BE7B"/>
      </colorScale>
    </cfRule>
  </conditionalFormatting>
  <conditionalFormatting sqref="Y1">
    <cfRule type="colorScale" priority="9">
      <colorScale>
        <cfvo type="min"/>
        <cfvo type="max"/>
        <color rgb="FFFCFCFF"/>
        <color rgb="FF63BE7B"/>
      </colorScale>
    </cfRule>
  </conditionalFormatting>
  <conditionalFormatting sqref="Z1">
    <cfRule type="colorScale" priority="8">
      <colorScale>
        <cfvo type="min"/>
        <cfvo type="max"/>
        <color rgb="FFFCFCFF"/>
        <color rgb="FF63BE7B"/>
      </colorScale>
    </cfRule>
  </conditionalFormatting>
  <conditionalFormatting sqref="AA1">
    <cfRule type="colorScale" priority="7">
      <colorScale>
        <cfvo type="min"/>
        <cfvo type="max"/>
        <color rgb="FFFCFCFF"/>
        <color rgb="FF63BE7B"/>
      </colorScale>
    </cfRule>
  </conditionalFormatting>
  <conditionalFormatting sqref="AB1">
    <cfRule type="colorScale" priority="6">
      <colorScale>
        <cfvo type="min"/>
        <cfvo type="max"/>
        <color rgb="FFFCFCFF"/>
        <color rgb="FF63BE7B"/>
      </colorScale>
    </cfRule>
  </conditionalFormatting>
  <conditionalFormatting sqref="AD1">
    <cfRule type="colorScale" priority="5">
      <colorScale>
        <cfvo type="min"/>
        <cfvo type="max"/>
        <color rgb="FFFCFCFF"/>
        <color rgb="FF63BE7B"/>
      </colorScale>
    </cfRule>
  </conditionalFormatting>
  <conditionalFormatting sqref="AE1">
    <cfRule type="colorScale" priority="4">
      <colorScale>
        <cfvo type="min"/>
        <cfvo type="max"/>
        <color rgb="FFFCFCFF"/>
        <color rgb="FF63BE7B"/>
      </colorScale>
    </cfRule>
  </conditionalFormatting>
  <conditionalFormatting sqref="AF1">
    <cfRule type="colorScale" priority="3">
      <colorScale>
        <cfvo type="min"/>
        <cfvo type="max"/>
        <color rgb="FFFCFCFF"/>
        <color rgb="FF63BE7B"/>
      </colorScale>
    </cfRule>
  </conditionalFormatting>
  <conditionalFormatting sqref="AG1">
    <cfRule type="colorScale" priority="2">
      <colorScale>
        <cfvo type="min"/>
        <cfvo type="max"/>
        <color rgb="FFFCFCFF"/>
        <color rgb="FF63BE7B"/>
      </colorScale>
    </cfRule>
  </conditionalFormatting>
  <conditionalFormatting sqref="U1:AG1048576">
    <cfRule type="colorScale" priority="1">
      <colorScale>
        <cfvo type="min"/>
        <cfvo type="max"/>
        <color rgb="FFFCFCFF"/>
        <color rgb="FF63BE7B"/>
      </colorScale>
    </cfRule>
  </conditionalFormatting>
  <pageMargins left="0.7" right="0.7" top="0.78740157499999996" bottom="0.78740157499999996"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8"/>
  <sheetViews>
    <sheetView zoomScale="75" zoomScaleNormal="75" workbookViewId="0">
      <pane xSplit="3" ySplit="1" topLeftCell="D2" activePane="bottomRight" state="frozen"/>
      <selection pane="topRight" activeCell="D1" sqref="D1"/>
      <selection pane="bottomLeft" activeCell="A2" sqref="A2"/>
      <selection pane="bottomRight" activeCell="D4" sqref="D4"/>
    </sheetView>
  </sheetViews>
  <sheetFormatPr defaultColWidth="8.25" defaultRowHeight="15" x14ac:dyDescent="0.25"/>
  <cols>
    <col min="1" max="1" width="94.25" style="118" bestFit="1" customWidth="1"/>
    <col min="2" max="2" width="14.625" style="118" customWidth="1"/>
    <col min="3" max="3" width="21.125" style="118" customWidth="1"/>
    <col min="4" max="11" width="10.25" style="15" customWidth="1"/>
    <col min="12" max="14" width="50" style="15" customWidth="1"/>
    <col min="15" max="16384" width="8.25" style="15"/>
  </cols>
  <sheetData>
    <row r="1" spans="1:14" x14ac:dyDescent="0.25">
      <c r="A1" s="387" t="s">
        <v>0</v>
      </c>
      <c r="B1" s="387" t="s">
        <v>1</v>
      </c>
      <c r="C1" s="387" t="s">
        <v>1147</v>
      </c>
      <c r="D1" s="373" t="s">
        <v>1148</v>
      </c>
      <c r="E1" s="297"/>
      <c r="F1" s="297"/>
      <c r="G1" s="297"/>
      <c r="H1" s="297"/>
      <c r="I1" s="297"/>
      <c r="J1" s="297"/>
      <c r="K1" s="297"/>
      <c r="L1" s="373" t="s">
        <v>1146</v>
      </c>
      <c r="M1" s="373" t="s">
        <v>1145</v>
      </c>
      <c r="N1" s="373" t="s">
        <v>1177</v>
      </c>
    </row>
    <row r="2" spans="1:14" x14ac:dyDescent="0.25">
      <c r="A2" s="387" t="s">
        <v>1057</v>
      </c>
      <c r="B2" s="387"/>
      <c r="C2" s="387"/>
      <c r="D2" s="439" t="s">
        <v>1172</v>
      </c>
      <c r="E2" s="288" t="s">
        <v>1175</v>
      </c>
      <c r="F2" s="297"/>
      <c r="G2" s="297"/>
      <c r="H2" s="297"/>
      <c r="I2" s="297"/>
      <c r="J2" s="297"/>
      <c r="K2" s="297"/>
      <c r="L2" s="429"/>
      <c r="M2" s="431"/>
      <c r="N2" s="431"/>
    </row>
    <row r="3" spans="1:14" x14ac:dyDescent="0.25">
      <c r="A3" s="375" t="s">
        <v>914</v>
      </c>
      <c r="B3" s="375"/>
      <c r="C3" s="375"/>
      <c r="D3" s="376" t="s">
        <v>1129</v>
      </c>
      <c r="E3" s="376" t="s">
        <v>1130</v>
      </c>
      <c r="F3" s="376" t="s">
        <v>1131</v>
      </c>
      <c r="G3" s="376" t="s">
        <v>1132</v>
      </c>
      <c r="H3" s="376" t="s">
        <v>1133</v>
      </c>
      <c r="I3" s="376" t="s">
        <v>1134</v>
      </c>
      <c r="J3" s="376" t="s">
        <v>1135</v>
      </c>
      <c r="K3" s="376" t="s">
        <v>1136</v>
      </c>
      <c r="L3" s="373"/>
      <c r="M3" s="373"/>
      <c r="N3" s="373"/>
    </row>
    <row r="4" spans="1:14" ht="15" customHeight="1" x14ac:dyDescent="0.25">
      <c r="A4" s="15" t="s">
        <v>1037</v>
      </c>
      <c r="B4" s="2" t="s">
        <v>730</v>
      </c>
      <c r="C4" s="288" t="s">
        <v>1196</v>
      </c>
      <c r="D4" s="436">
        <f>100%*D$7</f>
        <v>1</v>
      </c>
      <c r="E4" s="437">
        <f t="shared" ref="E4:E9" si="0">D4+(K4-D4)/7</f>
        <v>0.85714285714285721</v>
      </c>
      <c r="F4" s="437">
        <f t="shared" ref="F4:F9" si="1">D4+2*(K4-D4)/7</f>
        <v>0.7142857142857143</v>
      </c>
      <c r="G4" s="437">
        <f t="shared" ref="G4:G9" si="2">D4+3*(K4-D4)/7</f>
        <v>0.5714285714285714</v>
      </c>
      <c r="H4" s="437">
        <f t="shared" ref="H4:H9" si="3">D4+4*(K4-D4)/7</f>
        <v>0.4285714285714286</v>
      </c>
      <c r="I4" s="437">
        <f t="shared" ref="I4:I9" si="4">D4+5*(K4-D4)/7</f>
        <v>0.2857142857142857</v>
      </c>
      <c r="J4" s="437">
        <f t="shared" ref="J4:J9" si="5">D4+6*(K4-D4)/7</f>
        <v>0.1428571428571429</v>
      </c>
      <c r="K4" s="436">
        <f>0%*193/100</f>
        <v>0</v>
      </c>
      <c r="L4" s="15" t="s">
        <v>1159</v>
      </c>
      <c r="M4" s="15" t="s">
        <v>1159</v>
      </c>
      <c r="N4" s="476" t="s">
        <v>1185</v>
      </c>
    </row>
    <row r="5" spans="1:14" x14ac:dyDescent="0.25">
      <c r="A5" s="15" t="s">
        <v>1038</v>
      </c>
      <c r="B5" s="2" t="s">
        <v>731</v>
      </c>
      <c r="C5" s="288" t="s">
        <v>1196</v>
      </c>
      <c r="D5" s="436">
        <f>0%*D$7</f>
        <v>0</v>
      </c>
      <c r="E5" s="437">
        <f t="shared" si="0"/>
        <v>9.0985714285714295E-2</v>
      </c>
      <c r="F5" s="437">
        <f t="shared" si="1"/>
        <v>0.18197142857142859</v>
      </c>
      <c r="G5" s="437">
        <f t="shared" si="2"/>
        <v>0.27295714285714284</v>
      </c>
      <c r="H5" s="437">
        <f t="shared" si="3"/>
        <v>0.36394285714285718</v>
      </c>
      <c r="I5" s="437">
        <f t="shared" si="4"/>
        <v>0.4549285714285714</v>
      </c>
      <c r="J5" s="437">
        <f t="shared" si="5"/>
        <v>0.54591428571428569</v>
      </c>
      <c r="K5" s="436">
        <f>33%*193/100</f>
        <v>0.63690000000000002</v>
      </c>
      <c r="L5" s="15" t="s">
        <v>1159</v>
      </c>
      <c r="M5" s="15" t="s">
        <v>1159</v>
      </c>
      <c r="N5" s="477"/>
    </row>
    <row r="6" spans="1:14" x14ac:dyDescent="0.25">
      <c r="A6" s="15" t="s">
        <v>1039</v>
      </c>
      <c r="B6" s="2" t="s">
        <v>746</v>
      </c>
      <c r="C6" s="288" t="s">
        <v>1196</v>
      </c>
      <c r="D6" s="436">
        <f>0%*D$7</f>
        <v>0</v>
      </c>
      <c r="E6" s="437">
        <f t="shared" si="0"/>
        <v>1.3785714285714287E-2</v>
      </c>
      <c r="F6" s="437">
        <f t="shared" si="1"/>
        <v>2.7571428571428573E-2</v>
      </c>
      <c r="G6" s="437">
        <f t="shared" si="2"/>
        <v>4.1357142857142856E-2</v>
      </c>
      <c r="H6" s="437">
        <f t="shared" si="3"/>
        <v>5.5142857142857146E-2</v>
      </c>
      <c r="I6" s="437">
        <f t="shared" si="4"/>
        <v>6.8928571428571436E-2</v>
      </c>
      <c r="J6" s="437">
        <f t="shared" si="5"/>
        <v>8.2714285714285712E-2</v>
      </c>
      <c r="K6" s="436">
        <f>5%*193/100</f>
        <v>9.6500000000000002E-2</v>
      </c>
      <c r="L6" s="15" t="s">
        <v>1159</v>
      </c>
      <c r="M6" s="15" t="s">
        <v>1159</v>
      </c>
      <c r="N6" s="477"/>
    </row>
    <row r="7" spans="1:14" x14ac:dyDescent="0.25">
      <c r="A7" s="24" t="s">
        <v>1105</v>
      </c>
      <c r="B7" s="2"/>
      <c r="C7" s="288" t="s">
        <v>1158</v>
      </c>
      <c r="D7" s="435">
        <f>100/100</f>
        <v>1</v>
      </c>
      <c r="E7" s="440">
        <f t="shared" si="0"/>
        <v>0.96191428571428572</v>
      </c>
      <c r="F7" s="440">
        <f t="shared" si="1"/>
        <v>0.92382857142857144</v>
      </c>
      <c r="G7" s="440">
        <f t="shared" si="2"/>
        <v>0.88574285714285717</v>
      </c>
      <c r="H7" s="440">
        <f t="shared" si="3"/>
        <v>0.84765714285714289</v>
      </c>
      <c r="I7" s="440">
        <f t="shared" si="4"/>
        <v>0.80957142857142861</v>
      </c>
      <c r="J7" s="440">
        <f t="shared" si="5"/>
        <v>0.77148571428571433</v>
      </c>
      <c r="K7" s="435">
        <f>(33%+5%)*193/100</f>
        <v>0.73340000000000005</v>
      </c>
      <c r="L7" s="15" t="s">
        <v>1161</v>
      </c>
      <c r="M7" s="15" t="s">
        <v>1161</v>
      </c>
      <c r="N7" s="477"/>
    </row>
    <row r="8" spans="1:14" x14ac:dyDescent="0.25">
      <c r="A8" s="15" t="s">
        <v>1040</v>
      </c>
      <c r="B8" s="2" t="s">
        <v>166</v>
      </c>
      <c r="C8" s="288" t="s">
        <v>1196</v>
      </c>
      <c r="D8" s="436">
        <f>100%*D$9</f>
        <v>1</v>
      </c>
      <c r="E8" s="437">
        <f t="shared" si="0"/>
        <v>1.1048861283643894</v>
      </c>
      <c r="F8" s="437">
        <f t="shared" si="1"/>
        <v>1.2097722567287785</v>
      </c>
      <c r="G8" s="437">
        <f t="shared" si="2"/>
        <v>1.3146583850931677</v>
      </c>
      <c r="H8" s="437">
        <f t="shared" si="3"/>
        <v>1.4195445134575571</v>
      </c>
      <c r="I8" s="437">
        <f t="shared" si="4"/>
        <v>1.5244306418219464</v>
      </c>
      <c r="J8" s="437">
        <f t="shared" si="5"/>
        <v>1.6293167701863356</v>
      </c>
      <c r="K8" s="436">
        <f>(6%+56%)*193/69</f>
        <v>1.734202898550725</v>
      </c>
      <c r="L8" s="15" t="s">
        <v>1159</v>
      </c>
      <c r="M8" s="15" t="s">
        <v>1159</v>
      </c>
      <c r="N8" s="477"/>
    </row>
    <row r="9" spans="1:14" x14ac:dyDescent="0.25">
      <c r="A9" s="24" t="s">
        <v>1101</v>
      </c>
      <c r="B9" s="2"/>
      <c r="C9" s="288" t="s">
        <v>1158</v>
      </c>
      <c r="D9" s="435">
        <f>69/69</f>
        <v>1</v>
      </c>
      <c r="E9" s="440">
        <f t="shared" si="0"/>
        <v>1.1048861283643894</v>
      </c>
      <c r="F9" s="440">
        <f t="shared" si="1"/>
        <v>1.2097722567287785</v>
      </c>
      <c r="G9" s="440">
        <f t="shared" si="2"/>
        <v>1.3146583850931677</v>
      </c>
      <c r="H9" s="440">
        <f t="shared" si="3"/>
        <v>1.4195445134575571</v>
      </c>
      <c r="I9" s="440">
        <f t="shared" si="4"/>
        <v>1.5244306418219464</v>
      </c>
      <c r="J9" s="440">
        <f t="shared" si="5"/>
        <v>1.6293167701863356</v>
      </c>
      <c r="K9" s="435">
        <f>(6%+56%)*193/69</f>
        <v>1.734202898550725</v>
      </c>
      <c r="L9" s="15" t="s">
        <v>1161</v>
      </c>
      <c r="M9" s="15" t="s">
        <v>1161</v>
      </c>
      <c r="N9" s="477"/>
    </row>
    <row r="10" spans="1:14" x14ac:dyDescent="0.25">
      <c r="A10" s="373" t="s">
        <v>917</v>
      </c>
      <c r="B10" s="373"/>
      <c r="C10" s="373"/>
      <c r="D10" s="376" t="s">
        <v>1129</v>
      </c>
      <c r="E10" s="376" t="s">
        <v>1130</v>
      </c>
      <c r="F10" s="376" t="s">
        <v>1131</v>
      </c>
      <c r="G10" s="376" t="s">
        <v>1132</v>
      </c>
      <c r="H10" s="376" t="s">
        <v>1133</v>
      </c>
      <c r="I10" s="376" t="s">
        <v>1134</v>
      </c>
      <c r="J10" s="376" t="s">
        <v>1135</v>
      </c>
      <c r="K10" s="376" t="s">
        <v>1136</v>
      </c>
      <c r="L10" s="297"/>
      <c r="M10" s="297"/>
      <c r="N10" s="297"/>
    </row>
    <row r="11" spans="1:14" ht="15" customHeight="1" x14ac:dyDescent="0.25">
      <c r="A11" s="15" t="s">
        <v>1041</v>
      </c>
      <c r="B11" s="2" t="s">
        <v>735</v>
      </c>
      <c r="C11" s="15" t="s">
        <v>1196</v>
      </c>
      <c r="D11" s="436">
        <f>100%*D$7</f>
        <v>1</v>
      </c>
      <c r="E11" s="437">
        <f t="shared" ref="E11:E16" si="6">D11+(K11-D11)/7</f>
        <v>0.85714285714285721</v>
      </c>
      <c r="F11" s="437">
        <f t="shared" ref="F11:F16" si="7">D11+2*(K11-D11)/7</f>
        <v>0.7142857142857143</v>
      </c>
      <c r="G11" s="437">
        <f t="shared" ref="G11:G16" si="8">D11+3*(K11-D11)/7</f>
        <v>0.5714285714285714</v>
      </c>
      <c r="H11" s="437">
        <f t="shared" ref="H11:H16" si="9">D11+4*(K11-D11)/7</f>
        <v>0.4285714285714286</v>
      </c>
      <c r="I11" s="437">
        <f t="shared" ref="I11:I16" si="10">D11+5*(K11-D11)/7</f>
        <v>0.2857142857142857</v>
      </c>
      <c r="J11" s="437">
        <f t="shared" ref="J11:J16" si="11">D11+6*(K11-D11)/7</f>
        <v>0.1428571428571429</v>
      </c>
      <c r="K11" s="436">
        <f>0/(((184-19)/184)*167)</f>
        <v>0</v>
      </c>
      <c r="L11" s="20" t="s">
        <v>1023</v>
      </c>
      <c r="M11" s="20" t="s">
        <v>1179</v>
      </c>
      <c r="N11" s="476" t="s">
        <v>1178</v>
      </c>
    </row>
    <row r="12" spans="1:14" x14ac:dyDescent="0.25">
      <c r="A12" s="15" t="s">
        <v>1042</v>
      </c>
      <c r="B12" s="2" t="s">
        <v>736</v>
      </c>
      <c r="C12" s="15" t="s">
        <v>1196</v>
      </c>
      <c r="D12" s="436">
        <f>0%*D$7</f>
        <v>0</v>
      </c>
      <c r="E12" s="437">
        <f t="shared" si="6"/>
        <v>0.13355107965886409</v>
      </c>
      <c r="F12" s="437">
        <f t="shared" si="7"/>
        <v>0.26710215931772818</v>
      </c>
      <c r="G12" s="437">
        <f t="shared" si="8"/>
        <v>0.40065323897659233</v>
      </c>
      <c r="H12" s="437">
        <f t="shared" si="9"/>
        <v>0.53420431863545637</v>
      </c>
      <c r="I12" s="437">
        <f t="shared" si="10"/>
        <v>0.66775539829432051</v>
      </c>
      <c r="J12" s="437">
        <f t="shared" si="11"/>
        <v>0.80130647795318466</v>
      </c>
      <c r="K12" s="436">
        <f>(14+126)/(((184-19)/184)*167)</f>
        <v>0.9348575576120487</v>
      </c>
      <c r="L12" s="20" t="s">
        <v>1023</v>
      </c>
      <c r="M12" s="20" t="s">
        <v>1179</v>
      </c>
      <c r="N12" s="477"/>
    </row>
    <row r="13" spans="1:14" x14ac:dyDescent="0.25">
      <c r="A13" s="15" t="s">
        <v>1043</v>
      </c>
      <c r="B13" s="2" t="s">
        <v>744</v>
      </c>
      <c r="C13" s="15" t="s">
        <v>1196</v>
      </c>
      <c r="D13" s="436">
        <f>0%*D$7</f>
        <v>0</v>
      </c>
      <c r="E13" s="437">
        <f t="shared" si="6"/>
        <v>0</v>
      </c>
      <c r="F13" s="437">
        <f t="shared" si="7"/>
        <v>0</v>
      </c>
      <c r="G13" s="437">
        <f t="shared" si="8"/>
        <v>0</v>
      </c>
      <c r="H13" s="437">
        <f t="shared" si="9"/>
        <v>0</v>
      </c>
      <c r="I13" s="437">
        <f t="shared" si="10"/>
        <v>0</v>
      </c>
      <c r="J13" s="437">
        <f t="shared" si="11"/>
        <v>0</v>
      </c>
      <c r="K13" s="436">
        <f>0/(((184-19)/184)*167)</f>
        <v>0</v>
      </c>
      <c r="L13" s="20" t="s">
        <v>1023</v>
      </c>
      <c r="M13" s="20" t="s">
        <v>1179</v>
      </c>
      <c r="N13" s="477"/>
    </row>
    <row r="14" spans="1:14" x14ac:dyDescent="0.25">
      <c r="A14" s="19" t="s">
        <v>1155</v>
      </c>
      <c r="B14" s="2"/>
      <c r="C14" s="288" t="s">
        <v>1158</v>
      </c>
      <c r="D14" s="435">
        <f>(((184-19)/184)*167)/(((184-19)/184)*167)</f>
        <v>1</v>
      </c>
      <c r="E14" s="440">
        <f t="shared" si="6"/>
        <v>0.99069393680172124</v>
      </c>
      <c r="F14" s="440">
        <f t="shared" si="7"/>
        <v>0.98138787360344248</v>
      </c>
      <c r="G14" s="440">
        <f t="shared" si="8"/>
        <v>0.97208181040516373</v>
      </c>
      <c r="H14" s="440">
        <f t="shared" si="9"/>
        <v>0.96277574720688497</v>
      </c>
      <c r="I14" s="440">
        <f t="shared" si="10"/>
        <v>0.95346968400860621</v>
      </c>
      <c r="J14" s="440">
        <f t="shared" si="11"/>
        <v>0.94416362081032745</v>
      </c>
      <c r="K14" s="435">
        <f>(14+126)/(((184-19)/184)*167)</f>
        <v>0.9348575576120487</v>
      </c>
      <c r="L14" s="15" t="s">
        <v>1197</v>
      </c>
      <c r="M14" s="15" t="s">
        <v>1197</v>
      </c>
      <c r="N14" s="477"/>
    </row>
    <row r="15" spans="1:14" x14ac:dyDescent="0.25">
      <c r="A15" s="15" t="s">
        <v>161</v>
      </c>
      <c r="B15" s="2" t="s">
        <v>160</v>
      </c>
      <c r="C15" s="15" t="s">
        <v>1196</v>
      </c>
      <c r="D15" s="436">
        <f>100%*D$9</f>
        <v>1</v>
      </c>
      <c r="E15" s="437">
        <f t="shared" si="6"/>
        <v>1.2216469317005088</v>
      </c>
      <c r="F15" s="437">
        <f t="shared" si="7"/>
        <v>1.4432938634010175</v>
      </c>
      <c r="G15" s="437">
        <f t="shared" si="8"/>
        <v>1.664940795101526</v>
      </c>
      <c r="H15" s="437">
        <f t="shared" si="9"/>
        <v>1.886587726802035</v>
      </c>
      <c r="I15" s="437">
        <f t="shared" si="10"/>
        <v>2.1082346585025435</v>
      </c>
      <c r="J15" s="437">
        <f t="shared" si="11"/>
        <v>2.3298815902030521</v>
      </c>
      <c r="K15" s="436">
        <f>44/((19/184)*167)</f>
        <v>2.5515285219035611</v>
      </c>
      <c r="L15" s="20" t="s">
        <v>1179</v>
      </c>
      <c r="M15" s="20" t="s">
        <v>1179</v>
      </c>
      <c r="N15" s="477"/>
    </row>
    <row r="16" spans="1:14" x14ac:dyDescent="0.25">
      <c r="A16" s="19" t="s">
        <v>1155</v>
      </c>
      <c r="B16" s="2"/>
      <c r="C16" s="288" t="s">
        <v>1158</v>
      </c>
      <c r="D16" s="435">
        <f>((19/184)*167)/((19/184)*167)</f>
        <v>1</v>
      </c>
      <c r="E16" s="440">
        <f t="shared" si="6"/>
        <v>1.2216469317005088</v>
      </c>
      <c r="F16" s="440">
        <f t="shared" si="7"/>
        <v>1.4432938634010175</v>
      </c>
      <c r="G16" s="440">
        <f t="shared" si="8"/>
        <v>1.664940795101526</v>
      </c>
      <c r="H16" s="440">
        <f t="shared" si="9"/>
        <v>1.886587726802035</v>
      </c>
      <c r="I16" s="440">
        <f t="shared" si="10"/>
        <v>2.1082346585025435</v>
      </c>
      <c r="J16" s="440">
        <f t="shared" si="11"/>
        <v>2.3298815902030521</v>
      </c>
      <c r="K16" s="435">
        <f>44/((19/184)*167)</f>
        <v>2.5515285219035611</v>
      </c>
      <c r="L16" s="15" t="s">
        <v>1197</v>
      </c>
      <c r="M16" s="15" t="s">
        <v>1197</v>
      </c>
      <c r="N16" s="477"/>
    </row>
    <row r="17" spans="1:14" x14ac:dyDescent="0.25">
      <c r="A17" s="373" t="s">
        <v>1054</v>
      </c>
      <c r="B17" s="373"/>
      <c r="C17" s="373"/>
      <c r="D17" s="376" t="s">
        <v>1129</v>
      </c>
      <c r="E17" s="376" t="s">
        <v>1130</v>
      </c>
      <c r="F17" s="376" t="s">
        <v>1131</v>
      </c>
      <c r="G17" s="376" t="s">
        <v>1132</v>
      </c>
      <c r="H17" s="376" t="s">
        <v>1133</v>
      </c>
      <c r="I17" s="376" t="s">
        <v>1134</v>
      </c>
      <c r="J17" s="376" t="s">
        <v>1135</v>
      </c>
      <c r="K17" s="376" t="s">
        <v>1136</v>
      </c>
      <c r="L17" s="297"/>
      <c r="M17" s="297"/>
      <c r="N17" s="297"/>
    </row>
    <row r="18" spans="1:14" ht="15" customHeight="1" x14ac:dyDescent="0.25">
      <c r="A18" s="15" t="s">
        <v>1044</v>
      </c>
      <c r="B18" s="2" t="s">
        <v>737</v>
      </c>
      <c r="C18" s="15" t="s">
        <v>1196</v>
      </c>
      <c r="D18" s="436">
        <f>100%*D$7</f>
        <v>1</v>
      </c>
      <c r="E18" s="437">
        <f t="shared" ref="E18:E23" si="12">D18+(K18-D18)/7</f>
        <v>0.85714285714285721</v>
      </c>
      <c r="F18" s="437">
        <f t="shared" ref="F18:F23" si="13">D18+2*(K18-D18)/7</f>
        <v>0.7142857142857143</v>
      </c>
      <c r="G18" s="437">
        <f t="shared" ref="G18:G23" si="14">D18+3*(K18-D18)/7</f>
        <v>0.5714285714285714</v>
      </c>
      <c r="H18" s="437">
        <f t="shared" ref="H18:H23" si="15">D18+4*(K18-D18)/7</f>
        <v>0.4285714285714286</v>
      </c>
      <c r="I18" s="437">
        <f t="shared" ref="I18:I23" si="16">D18+5*(K18-D18)/7</f>
        <v>0.2857142857142857</v>
      </c>
      <c r="J18" s="437">
        <f t="shared" ref="J18:J23" si="17">D18+6*(K18-D18)/7</f>
        <v>0.1428571428571429</v>
      </c>
      <c r="K18" s="436">
        <f>(0%*72)/(((72-4)/72)*64)</f>
        <v>0</v>
      </c>
      <c r="L18" s="20" t="s">
        <v>1180</v>
      </c>
      <c r="M18" s="20" t="s">
        <v>1180</v>
      </c>
      <c r="N18" s="476" t="s">
        <v>1178</v>
      </c>
    </row>
    <row r="19" spans="1:14" x14ac:dyDescent="0.25">
      <c r="A19" s="15" t="s">
        <v>1045</v>
      </c>
      <c r="B19" s="2" t="s">
        <v>738</v>
      </c>
      <c r="C19" s="15" t="s">
        <v>1196</v>
      </c>
      <c r="D19" s="436">
        <f>0%*D$7</f>
        <v>0</v>
      </c>
      <c r="E19" s="437">
        <f t="shared" si="12"/>
        <v>0</v>
      </c>
      <c r="F19" s="437">
        <f t="shared" si="13"/>
        <v>0</v>
      </c>
      <c r="G19" s="437">
        <f t="shared" si="14"/>
        <v>0</v>
      </c>
      <c r="H19" s="437">
        <f t="shared" si="15"/>
        <v>0</v>
      </c>
      <c r="I19" s="437">
        <f t="shared" si="16"/>
        <v>0</v>
      </c>
      <c r="J19" s="437">
        <f t="shared" si="17"/>
        <v>0</v>
      </c>
      <c r="K19" s="436">
        <f>(0%*72)/(((72-4)/72)*64)</f>
        <v>0</v>
      </c>
      <c r="L19" s="20" t="s">
        <v>1180</v>
      </c>
      <c r="M19" s="20" t="s">
        <v>1180</v>
      </c>
      <c r="N19" s="477"/>
    </row>
    <row r="20" spans="1:14" x14ac:dyDescent="0.25">
      <c r="A20" s="15" t="s">
        <v>1046</v>
      </c>
      <c r="B20" s="2" t="s">
        <v>748</v>
      </c>
      <c r="C20" s="15" t="s">
        <v>1196</v>
      </c>
      <c r="D20" s="436">
        <f>0%*D$7</f>
        <v>0</v>
      </c>
      <c r="E20" s="437">
        <f t="shared" si="12"/>
        <v>5.6155462184873953E-2</v>
      </c>
      <c r="F20" s="437">
        <f t="shared" si="13"/>
        <v>0.11231092436974791</v>
      </c>
      <c r="G20" s="437">
        <f t="shared" si="14"/>
        <v>0.16846638655462187</v>
      </c>
      <c r="H20" s="437">
        <f t="shared" si="15"/>
        <v>0.22462184873949581</v>
      </c>
      <c r="I20" s="437">
        <f t="shared" si="16"/>
        <v>0.28077731092436975</v>
      </c>
      <c r="J20" s="437">
        <f t="shared" si="17"/>
        <v>0.33693277310924374</v>
      </c>
      <c r="K20" s="436">
        <f>(33%*72)/(((72-4)/72)*64)</f>
        <v>0.39308823529411768</v>
      </c>
      <c r="L20" s="20" t="s">
        <v>1180</v>
      </c>
      <c r="M20" s="20" t="s">
        <v>1180</v>
      </c>
      <c r="N20" s="477"/>
    </row>
    <row r="21" spans="1:14" x14ac:dyDescent="0.25">
      <c r="A21" s="19" t="s">
        <v>1155</v>
      </c>
      <c r="B21" s="2"/>
      <c r="C21" s="288" t="s">
        <v>1158</v>
      </c>
      <c r="D21" s="435">
        <f>(((72-4)/72)*64)/(((72-4)/72)*64)</f>
        <v>1</v>
      </c>
      <c r="E21" s="440">
        <f t="shared" si="12"/>
        <v>0.91329831932773109</v>
      </c>
      <c r="F21" s="440">
        <f t="shared" si="13"/>
        <v>0.82659663865546218</v>
      </c>
      <c r="G21" s="440">
        <f t="shared" si="14"/>
        <v>0.73989495798319327</v>
      </c>
      <c r="H21" s="440">
        <f t="shared" si="15"/>
        <v>0.65319327731092436</v>
      </c>
      <c r="I21" s="440">
        <f t="shared" si="16"/>
        <v>0.56649159663865545</v>
      </c>
      <c r="J21" s="440">
        <f t="shared" si="17"/>
        <v>0.47978991596638654</v>
      </c>
      <c r="K21" s="435">
        <f>(33%*72)/(((72-4)/72)*64)</f>
        <v>0.39308823529411768</v>
      </c>
      <c r="L21" s="20" t="s">
        <v>1192</v>
      </c>
      <c r="M21" s="20" t="s">
        <v>1192</v>
      </c>
      <c r="N21" s="477"/>
    </row>
    <row r="22" spans="1:14" x14ac:dyDescent="0.25">
      <c r="A22" s="15" t="s">
        <v>1047</v>
      </c>
      <c r="B22" s="2" t="s">
        <v>140</v>
      </c>
      <c r="C22" s="15" t="s">
        <v>1196</v>
      </c>
      <c r="D22" s="436">
        <f>100%*D$9</f>
        <v>1</v>
      </c>
      <c r="E22" s="437">
        <f t="shared" si="12"/>
        <v>2.7953571428571431</v>
      </c>
      <c r="F22" s="437">
        <f t="shared" si="13"/>
        <v>4.5907142857142862</v>
      </c>
      <c r="G22" s="437">
        <f t="shared" si="14"/>
        <v>6.3860714285714284</v>
      </c>
      <c r="H22" s="437">
        <f t="shared" si="15"/>
        <v>8.1814285714285724</v>
      </c>
      <c r="I22" s="437">
        <f t="shared" si="16"/>
        <v>9.9767857142857146</v>
      </c>
      <c r="J22" s="437">
        <f t="shared" si="17"/>
        <v>11.772142857142857</v>
      </c>
      <c r="K22" s="436">
        <f>((14%+13%+40%)*72)/((4/72)*64)</f>
        <v>13.567500000000001</v>
      </c>
      <c r="L22" s="20" t="s">
        <v>1180</v>
      </c>
      <c r="M22" s="20" t="s">
        <v>1180</v>
      </c>
      <c r="N22" s="477"/>
    </row>
    <row r="23" spans="1:14" x14ac:dyDescent="0.25">
      <c r="A23" s="19" t="s">
        <v>1155</v>
      </c>
      <c r="B23" s="2"/>
      <c r="C23" s="288" t="s">
        <v>1158</v>
      </c>
      <c r="D23" s="435">
        <f>((4/72)*64)/((4/72)*64)</f>
        <v>1</v>
      </c>
      <c r="E23" s="440">
        <f t="shared" si="12"/>
        <v>2.7953571428571431</v>
      </c>
      <c r="F23" s="440">
        <f t="shared" si="13"/>
        <v>4.5907142857142862</v>
      </c>
      <c r="G23" s="440">
        <f t="shared" si="14"/>
        <v>6.3860714285714284</v>
      </c>
      <c r="H23" s="440">
        <f t="shared" si="15"/>
        <v>8.1814285714285724</v>
      </c>
      <c r="I23" s="440">
        <f t="shared" si="16"/>
        <v>9.9767857142857146</v>
      </c>
      <c r="J23" s="440">
        <f t="shared" si="17"/>
        <v>11.772142857142857</v>
      </c>
      <c r="K23" s="435">
        <f>((14%+13%+40%)*72)/((4/72)*64)</f>
        <v>13.567500000000001</v>
      </c>
      <c r="L23" s="20" t="s">
        <v>1192</v>
      </c>
      <c r="M23" s="20" t="s">
        <v>1192</v>
      </c>
      <c r="N23" s="477"/>
    </row>
    <row r="24" spans="1:14" x14ac:dyDescent="0.25">
      <c r="A24" s="373" t="s">
        <v>1055</v>
      </c>
      <c r="B24" s="373"/>
      <c r="C24" s="373"/>
      <c r="D24" s="376" t="s">
        <v>1129</v>
      </c>
      <c r="E24" s="376" t="s">
        <v>1130</v>
      </c>
      <c r="F24" s="376" t="s">
        <v>1131</v>
      </c>
      <c r="G24" s="376" t="s">
        <v>1132</v>
      </c>
      <c r="H24" s="376" t="s">
        <v>1133</v>
      </c>
      <c r="I24" s="376" t="s">
        <v>1134</v>
      </c>
      <c r="J24" s="376" t="s">
        <v>1135</v>
      </c>
      <c r="K24" s="376" t="s">
        <v>1136</v>
      </c>
      <c r="L24" s="297"/>
      <c r="M24" s="297"/>
      <c r="N24" s="297"/>
    </row>
    <row r="25" spans="1:14" ht="15" customHeight="1" x14ac:dyDescent="0.25">
      <c r="A25" s="15" t="s">
        <v>1049</v>
      </c>
      <c r="B25" s="2" t="s">
        <v>739</v>
      </c>
      <c r="C25" s="15" t="s">
        <v>1196</v>
      </c>
      <c r="D25" s="436">
        <f>100%*D$28</f>
        <v>1</v>
      </c>
      <c r="E25" s="437">
        <f t="shared" ref="E25:E28" si="18">D25+(K25-D25)/7</f>
        <v>0.85714285714285721</v>
      </c>
      <c r="F25" s="437">
        <f t="shared" ref="F25:F28" si="19">D25+2*(K25-D25)/7</f>
        <v>0.7142857142857143</v>
      </c>
      <c r="G25" s="437">
        <f t="shared" ref="G25:G28" si="20">D25+3*(K25-D25)/7</f>
        <v>0.5714285714285714</v>
      </c>
      <c r="H25" s="437">
        <f t="shared" ref="H25:H28" si="21">D25+4*(K25-D25)/7</f>
        <v>0.4285714285714286</v>
      </c>
      <c r="I25" s="437">
        <f t="shared" ref="I25:I28" si="22">D25+5*(K25-D25)/7</f>
        <v>0.2857142857142857</v>
      </c>
      <c r="J25" s="437">
        <f t="shared" ref="J25:J28" si="23">D25+6*(K25-D25)/7</f>
        <v>0.1428571428571429</v>
      </c>
      <c r="K25" s="436">
        <f>((1*(0/(27+0+0))+0)/(1+27+0+0))*K$28</f>
        <v>0</v>
      </c>
      <c r="L25" s="20" t="s">
        <v>1182</v>
      </c>
      <c r="M25" s="20" t="s">
        <v>1182</v>
      </c>
      <c r="N25" s="478" t="s">
        <v>1186</v>
      </c>
    </row>
    <row r="26" spans="1:14" x14ac:dyDescent="0.25">
      <c r="A26" s="15" t="s">
        <v>1050</v>
      </c>
      <c r="B26" s="2" t="s">
        <v>740</v>
      </c>
      <c r="C26" s="15" t="s">
        <v>1196</v>
      </c>
      <c r="D26" s="436">
        <f>0%*D$28</f>
        <v>0</v>
      </c>
      <c r="E26" s="437">
        <f t="shared" si="18"/>
        <v>0</v>
      </c>
      <c r="F26" s="437">
        <f t="shared" si="19"/>
        <v>0</v>
      </c>
      <c r="G26" s="437">
        <f t="shared" si="20"/>
        <v>0</v>
      </c>
      <c r="H26" s="437">
        <f t="shared" si="21"/>
        <v>0</v>
      </c>
      <c r="I26" s="437">
        <f t="shared" si="22"/>
        <v>0</v>
      </c>
      <c r="J26" s="437">
        <f t="shared" si="23"/>
        <v>0</v>
      </c>
      <c r="K26" s="436">
        <f>((1*(0/(27+0+0))+0)/(1+27+0+0))*K$28</f>
        <v>0</v>
      </c>
      <c r="L26" s="20" t="s">
        <v>1182</v>
      </c>
      <c r="M26" s="20" t="s">
        <v>1182</v>
      </c>
      <c r="N26" s="479"/>
    </row>
    <row r="27" spans="1:14" x14ac:dyDescent="0.25">
      <c r="A27" s="15" t="s">
        <v>1051</v>
      </c>
      <c r="B27" s="2" t="s">
        <v>926</v>
      </c>
      <c r="C27" s="15" t="s">
        <v>1196</v>
      </c>
      <c r="D27" s="436">
        <f>0%*D$28</f>
        <v>0</v>
      </c>
      <c r="E27" s="437">
        <f t="shared" si="18"/>
        <v>9.2592592592592601E-2</v>
      </c>
      <c r="F27" s="437">
        <f t="shared" si="19"/>
        <v>0.1851851851851852</v>
      </c>
      <c r="G27" s="437">
        <f t="shared" si="20"/>
        <v>0.27777777777777779</v>
      </c>
      <c r="H27" s="437">
        <f t="shared" si="21"/>
        <v>0.37037037037037041</v>
      </c>
      <c r="I27" s="437">
        <f t="shared" si="22"/>
        <v>0.46296296296296308</v>
      </c>
      <c r="J27" s="437">
        <f t="shared" si="23"/>
        <v>0.55555555555555558</v>
      </c>
      <c r="K27" s="436">
        <f>((1*(27/(27+0+0))+27)/(1+27+0+0))*K$28</f>
        <v>0.64814814814814825</v>
      </c>
      <c r="L27" s="20" t="s">
        <v>1182</v>
      </c>
      <c r="M27" s="20" t="s">
        <v>1182</v>
      </c>
      <c r="N27" s="479"/>
    </row>
    <row r="28" spans="1:14" x14ac:dyDescent="0.25">
      <c r="A28" s="19" t="s">
        <v>1155</v>
      </c>
      <c r="B28" s="2"/>
      <c r="C28" s="288" t="s">
        <v>1188</v>
      </c>
      <c r="D28" s="435">
        <f>16.2/16.2</f>
        <v>1</v>
      </c>
      <c r="E28" s="440">
        <f t="shared" si="18"/>
        <v>0.94973544973544977</v>
      </c>
      <c r="F28" s="440">
        <f t="shared" si="19"/>
        <v>0.89947089947089953</v>
      </c>
      <c r="G28" s="440">
        <f t="shared" si="20"/>
        <v>0.8492063492063493</v>
      </c>
      <c r="H28" s="440">
        <f t="shared" si="21"/>
        <v>0.79894179894179906</v>
      </c>
      <c r="I28" s="440">
        <f t="shared" si="22"/>
        <v>0.74867724867724883</v>
      </c>
      <c r="J28" s="440">
        <f t="shared" si="23"/>
        <v>0.69841269841269848</v>
      </c>
      <c r="K28" s="435">
        <f>(12/16.2)*((32-4)/32)</f>
        <v>0.64814814814814825</v>
      </c>
      <c r="L28" s="20" t="s">
        <v>1182</v>
      </c>
      <c r="M28" s="20" t="s">
        <v>1182</v>
      </c>
      <c r="N28" s="479"/>
    </row>
    <row r="29" spans="1:14" x14ac:dyDescent="0.25">
      <c r="A29" s="373" t="s">
        <v>944</v>
      </c>
      <c r="B29" s="373"/>
      <c r="C29" s="373"/>
      <c r="D29" s="376" t="s">
        <v>1129</v>
      </c>
      <c r="E29" s="376" t="s">
        <v>1130</v>
      </c>
      <c r="F29" s="376" t="s">
        <v>1131</v>
      </c>
      <c r="G29" s="376" t="s">
        <v>1132</v>
      </c>
      <c r="H29" s="376" t="s">
        <v>1133</v>
      </c>
      <c r="I29" s="376" t="s">
        <v>1134</v>
      </c>
      <c r="J29" s="376" t="s">
        <v>1135</v>
      </c>
      <c r="K29" s="376" t="s">
        <v>1136</v>
      </c>
      <c r="L29" s="297"/>
      <c r="M29" s="297"/>
      <c r="N29" s="297"/>
    </row>
    <row r="30" spans="1:14" ht="15" customHeight="1" x14ac:dyDescent="0.25">
      <c r="A30" s="15" t="s">
        <v>1052</v>
      </c>
      <c r="B30" s="2" t="s">
        <v>733</v>
      </c>
      <c r="C30" s="15" t="s">
        <v>1194</v>
      </c>
      <c r="D30" s="436">
        <f>99%*D$32</f>
        <v>0.99</v>
      </c>
      <c r="E30" s="436">
        <f>95%*E$32</f>
        <v>0.96064425770308115</v>
      </c>
      <c r="F30" s="436">
        <f>45%*F$32</f>
        <v>0.46008403361344535</v>
      </c>
      <c r="G30" s="436">
        <f>10%*G$32</f>
        <v>0.10336134453781512</v>
      </c>
      <c r="H30" s="436">
        <f>0%*H$32</f>
        <v>0</v>
      </c>
      <c r="I30" s="436">
        <f>0%*I$32</f>
        <v>0</v>
      </c>
      <c r="J30" s="436">
        <f>0%*J$32</f>
        <v>0</v>
      </c>
      <c r="K30" s="436">
        <f>0%*K$32</f>
        <v>0</v>
      </c>
      <c r="L30" s="2" t="s">
        <v>1195</v>
      </c>
      <c r="M30" s="2" t="s">
        <v>1195</v>
      </c>
      <c r="N30" s="476" t="s">
        <v>1176</v>
      </c>
    </row>
    <row r="31" spans="1:14" x14ac:dyDescent="0.25">
      <c r="A31" s="15" t="s">
        <v>1053</v>
      </c>
      <c r="B31" s="2" t="s">
        <v>734</v>
      </c>
      <c r="C31" s="15" t="s">
        <v>1194</v>
      </c>
      <c r="D31" s="436">
        <f>1%*D$32</f>
        <v>0.01</v>
      </c>
      <c r="E31" s="436">
        <f>5%*E$32</f>
        <v>5.0560224089635855E-2</v>
      </c>
      <c r="F31" s="436">
        <f>55%*F$32</f>
        <v>0.5623249299719888</v>
      </c>
      <c r="G31" s="436">
        <f>90%*G$32</f>
        <v>0.93025210084033605</v>
      </c>
      <c r="H31" s="436">
        <f>100%*H$32</f>
        <v>1.0448179271708684</v>
      </c>
      <c r="I31" s="436">
        <f>100%*I$32</f>
        <v>1.0560224089635855</v>
      </c>
      <c r="J31" s="436">
        <f>100%*J$32</f>
        <v>1.0672268907563025</v>
      </c>
      <c r="K31" s="436">
        <f>100%*K$32</f>
        <v>1.0784313725490196</v>
      </c>
      <c r="L31" s="2" t="s">
        <v>1195</v>
      </c>
      <c r="M31" s="2" t="s">
        <v>1195</v>
      </c>
      <c r="N31" s="477"/>
    </row>
    <row r="32" spans="1:14" x14ac:dyDescent="0.25">
      <c r="A32" s="19" t="s">
        <v>1155</v>
      </c>
      <c r="B32" s="2"/>
      <c r="C32" s="15" t="s">
        <v>1194</v>
      </c>
      <c r="D32" s="435">
        <f>255/255</f>
        <v>1</v>
      </c>
      <c r="E32" s="440">
        <f>D32+(K32-D32)/7</f>
        <v>1.011204481792717</v>
      </c>
      <c r="F32" s="440">
        <f>D32+2*(K32-D32)/7</f>
        <v>1.0224089635854341</v>
      </c>
      <c r="G32" s="440">
        <f>D32+3*(K32-D32)/7</f>
        <v>1.0336134453781511</v>
      </c>
      <c r="H32" s="440">
        <f>D32+4*(K32-D32)/7</f>
        <v>1.0448179271708684</v>
      </c>
      <c r="I32" s="440">
        <f>D32+5*(K32-D32)/7</f>
        <v>1.0560224089635855</v>
      </c>
      <c r="J32" s="440">
        <f>D32+6*(K32-D32)/7</f>
        <v>1.0672268907563025</v>
      </c>
      <c r="K32" s="435">
        <f>275/255</f>
        <v>1.0784313725490196</v>
      </c>
      <c r="L32" s="2" t="s">
        <v>1195</v>
      </c>
      <c r="M32" s="2" t="s">
        <v>1195</v>
      </c>
      <c r="N32" s="477"/>
    </row>
    <row r="33" spans="1:14" s="117" customFormat="1" x14ac:dyDescent="0.25">
      <c r="A33" s="387" t="s">
        <v>637</v>
      </c>
      <c r="B33" s="387"/>
      <c r="C33" s="387"/>
      <c r="D33" s="376" t="s">
        <v>1129</v>
      </c>
      <c r="E33" s="376" t="s">
        <v>1130</v>
      </c>
      <c r="F33" s="376" t="s">
        <v>1131</v>
      </c>
      <c r="G33" s="376" t="s">
        <v>1132</v>
      </c>
      <c r="H33" s="376" t="s">
        <v>1133</v>
      </c>
      <c r="I33" s="376" t="s">
        <v>1134</v>
      </c>
      <c r="J33" s="376" t="s">
        <v>1135</v>
      </c>
      <c r="K33" s="376" t="s">
        <v>1136</v>
      </c>
      <c r="L33" s="376"/>
      <c r="M33" s="376"/>
      <c r="N33" s="376"/>
    </row>
    <row r="34" spans="1:14" ht="15" customHeight="1" x14ac:dyDescent="0.25">
      <c r="A34" s="2" t="s">
        <v>2</v>
      </c>
      <c r="B34" s="2" t="s">
        <v>3</v>
      </c>
      <c r="C34" s="53" t="s">
        <v>1199</v>
      </c>
      <c r="D34" s="442">
        <f>[5]CZ_B!D17</f>
        <v>40242.944878557013</v>
      </c>
      <c r="E34" s="442">
        <f>[5]CZ_B!E17</f>
        <v>31820.991388285718</v>
      </c>
      <c r="F34" s="442">
        <f>[5]CZ_B!F17</f>
        <v>19388.446843052749</v>
      </c>
      <c r="G34" s="442">
        <f>[5]CZ_B!G17</f>
        <v>12864.065672681449</v>
      </c>
      <c r="H34" s="174">
        <f>IF(G34+([6]CZ_B!H17-[6]CZ_B!G17)&gt;=0,G34+([6]CZ_B!H17-[6]CZ_B!G17),0)</f>
        <v>11528.986766516169</v>
      </c>
      <c r="I34" s="174">
        <f>IF(H34+([6]CZ_B!I17-[6]CZ_B!H17)&gt;=0,H34+([6]CZ_B!I17-[6]CZ_B!H17),0)</f>
        <v>1740.9615407781894</v>
      </c>
      <c r="J34" s="174">
        <f>IF(I34+([6]CZ_B!J17-[6]CZ_B!I17)&gt;=0,I34+([6]CZ_B!J17-[6]CZ_B!I17),0)</f>
        <v>0</v>
      </c>
      <c r="K34" s="174">
        <f>IF(J34+([6]CZ_B!K17-[6]CZ_B!J17)&gt;=0,J34+([6]CZ_B!K17-[6]CZ_B!J17),0)</f>
        <v>0</v>
      </c>
      <c r="L34" s="445" t="s">
        <v>1200</v>
      </c>
      <c r="M34" s="447" t="s">
        <v>1201</v>
      </c>
    </row>
    <row r="35" spans="1:14" x14ac:dyDescent="0.25">
      <c r="A35" s="2" t="s">
        <v>4</v>
      </c>
      <c r="B35" s="2" t="s">
        <v>5</v>
      </c>
      <c r="C35" s="53" t="s">
        <v>1199</v>
      </c>
      <c r="D35" s="442">
        <f>[5]CZ_B!D19</f>
        <v>4329.3496187121027</v>
      </c>
      <c r="E35" s="442">
        <f>[5]CZ_B!E19</f>
        <v>2880.9777862008568</v>
      </c>
      <c r="F35" s="442">
        <f>[5]CZ_B!F19</f>
        <v>3443.6981323407281</v>
      </c>
      <c r="G35" s="442">
        <f>[5]CZ_B!G19</f>
        <v>7155.8342284379878</v>
      </c>
      <c r="H35" s="174">
        <f>IF(G35+([6]CZ_B!H19-[6]CZ_B!G19)&gt;=0,G35+([6]CZ_B!H19-[6]CZ_B!G19),0)</f>
        <v>14572.257321992854</v>
      </c>
      <c r="I35" s="174">
        <f>IF(H35+([6]CZ_B!I19-[6]CZ_B!H19)&gt;=0,H35+([6]CZ_B!I19-[6]CZ_B!H19),0)</f>
        <v>19999.452459186738</v>
      </c>
      <c r="J35" s="174">
        <f>IF(I35+([6]CZ_B!J19-[6]CZ_B!I19)&gt;=0,I35+([6]CZ_B!J19-[6]CZ_B!I19),0)</f>
        <v>21664.490274094791</v>
      </c>
      <c r="K35" s="174">
        <f>IF(J35+([6]CZ_B!K19-[6]CZ_B!J19)&gt;=0,J35+([6]CZ_B!K19-[6]CZ_B!J19),0)</f>
        <v>26871.893600310494</v>
      </c>
      <c r="L35" s="445" t="s">
        <v>1200</v>
      </c>
      <c r="M35" s="447" t="s">
        <v>1201</v>
      </c>
    </row>
    <row r="36" spans="1:14" x14ac:dyDescent="0.25">
      <c r="A36" s="2" t="s">
        <v>6</v>
      </c>
      <c r="B36" s="2" t="s">
        <v>7</v>
      </c>
      <c r="C36" s="53" t="s">
        <v>1199</v>
      </c>
      <c r="D36" s="442">
        <f>[5]CZ_B!D5</f>
        <v>26822.981164016233</v>
      </c>
      <c r="E36" s="442">
        <f>[5]CZ_B!E5</f>
        <v>30109.524669135197</v>
      </c>
      <c r="F36" s="442">
        <f>[5]CZ_B!F5</f>
        <v>31594.407351610902</v>
      </c>
      <c r="G36" s="442">
        <f>[5]CZ_B!G5</f>
        <v>31309.061655280566</v>
      </c>
      <c r="H36" s="174">
        <f>IF(G36+([6]CZ_B!H5-[6]CZ_B!G5)&gt;=0,G36+([6]CZ_B!H5-[6]CZ_B!G5),0)</f>
        <v>31060.128706712723</v>
      </c>
      <c r="I36" s="174">
        <f>IF(H36+([6]CZ_B!I5-[6]CZ_B!H5)&gt;=0,H36+([6]CZ_B!I5-[6]CZ_B!H5),0)</f>
        <v>38428.477193327693</v>
      </c>
      <c r="J36" s="174">
        <f>IF(I36+([6]CZ_B!J5-[6]CZ_B!I5)&gt;=0,I36+([6]CZ_B!J5-[6]CZ_B!I5),0)</f>
        <v>38060.619729876082</v>
      </c>
      <c r="K36" s="174">
        <f>IF(J36+([6]CZ_B!K5-[6]CZ_B!J5)&gt;=0,J36+([6]CZ_B!K5-[6]CZ_B!J5),0)</f>
        <v>32651.711267478895</v>
      </c>
      <c r="L36" s="445" t="s">
        <v>1200</v>
      </c>
      <c r="M36" s="447" t="s">
        <v>1201</v>
      </c>
    </row>
    <row r="37" spans="1:14" x14ac:dyDescent="0.25">
      <c r="A37" s="2" t="s">
        <v>8</v>
      </c>
      <c r="B37" s="2" t="s">
        <v>9</v>
      </c>
      <c r="C37" s="53" t="s">
        <v>1199</v>
      </c>
      <c r="D37" s="442">
        <f>[5]CZ_B!D8</f>
        <v>1799.699655522192</v>
      </c>
      <c r="E37" s="442">
        <f>[5]CZ_B!E8</f>
        <v>2532.3212406356552</v>
      </c>
      <c r="F37" s="442">
        <f>[5]CZ_B!F8</f>
        <v>2358.6567345208286</v>
      </c>
      <c r="G37" s="442">
        <f>[5]CZ_B!G8</f>
        <v>2424.7621866677227</v>
      </c>
      <c r="H37" s="174">
        <f>IF(G37+([6]CZ_B!H8-[6]CZ_B!G8)&gt;=0,G37+([6]CZ_B!H8-[6]CZ_B!G8),0)</f>
        <v>2429.0436409198337</v>
      </c>
      <c r="I37" s="174">
        <f>IF(H37+([6]CZ_B!I8-[6]CZ_B!H8)&gt;=0,H37+([6]CZ_B!I8-[6]CZ_B!H8),0)</f>
        <v>2476.9428531233411</v>
      </c>
      <c r="J37" s="174">
        <f>IF(I37+([6]CZ_B!J8-[6]CZ_B!I8)&gt;=0,I37+([6]CZ_B!J8-[6]CZ_B!I8),0)</f>
        <v>2485.8404797041139</v>
      </c>
      <c r="K37" s="174">
        <f>IF(J37+([6]CZ_B!K8-[6]CZ_B!J8)&gt;=0,J37+([6]CZ_B!K8-[6]CZ_B!J8),0)</f>
        <v>2485.3712183030907</v>
      </c>
      <c r="L37" s="445" t="s">
        <v>1200</v>
      </c>
      <c r="M37" s="447" t="s">
        <v>1201</v>
      </c>
    </row>
    <row r="38" spans="1:14" x14ac:dyDescent="0.25">
      <c r="A38" s="2" t="s">
        <v>342</v>
      </c>
      <c r="B38" s="2" t="s">
        <v>336</v>
      </c>
      <c r="C38" s="53" t="s">
        <v>1199</v>
      </c>
      <c r="D38" s="442">
        <f>[5]CZ_B!D12</f>
        <v>563.96620342367009</v>
      </c>
      <c r="E38" s="442">
        <f>[5]CZ_B!E12</f>
        <v>794.9766596809684</v>
      </c>
      <c r="F38" s="442">
        <f>[5]CZ_B!F12</f>
        <v>11267.096346877875</v>
      </c>
      <c r="G38" s="442">
        <f>[5]CZ_B!G12</f>
        <v>16042.020551213849</v>
      </c>
      <c r="H38" s="174">
        <f>IF(G38+([6]CZ_B!H12-[6]CZ_B!G12)&gt;=0,G38+([6]CZ_B!H12-[6]CZ_B!G12),0)</f>
        <v>18684.014783242779</v>
      </c>
      <c r="I38" s="174">
        <f>IF(H38+([6]CZ_B!I12-[6]CZ_B!H12)&gt;=0,H38+([6]CZ_B!I12-[6]CZ_B!H12),0)</f>
        <v>20256.822339188075</v>
      </c>
      <c r="J38" s="174">
        <f>IF(I38+([6]CZ_B!J12-[6]CZ_B!I12)&gt;=0,I38+([6]CZ_B!J12-[6]CZ_B!I12),0)</f>
        <v>21202.622605284654</v>
      </c>
      <c r="K38" s="174">
        <f>IF(J38+([6]CZ_B!K12-[6]CZ_B!J12)&gt;=0,J38+([6]CZ_B!K12-[6]CZ_B!J12),0)</f>
        <v>21679.851433587362</v>
      </c>
      <c r="L38" s="445" t="s">
        <v>1200</v>
      </c>
      <c r="M38" s="447" t="s">
        <v>1201</v>
      </c>
    </row>
    <row r="39" spans="1:14" x14ac:dyDescent="0.25">
      <c r="A39" s="2" t="s">
        <v>343</v>
      </c>
      <c r="B39" s="2" t="s">
        <v>337</v>
      </c>
      <c r="C39" s="53" t="s">
        <v>1199</v>
      </c>
      <c r="D39" s="442">
        <f>[5]CZ_B!D13</f>
        <v>0</v>
      </c>
      <c r="E39" s="442">
        <f>[5]CZ_B!E13</f>
        <v>0</v>
      </c>
      <c r="F39" s="442">
        <f>[5]CZ_B!F13</f>
        <v>0</v>
      </c>
      <c r="G39" s="442">
        <f>[5]CZ_B!G13</f>
        <v>0</v>
      </c>
      <c r="H39" s="174">
        <f>IF(G39+([6]CZ_B!H13-[6]CZ_B!G13)&gt;=0,G39+([6]CZ_B!H13-[6]CZ_B!G13),0)</f>
        <v>0</v>
      </c>
      <c r="I39" s="174">
        <f>IF(H39+([6]CZ_B!I13-[6]CZ_B!H13)&gt;=0,H39+([6]CZ_B!I13-[6]CZ_B!H13),0)</f>
        <v>0</v>
      </c>
      <c r="J39" s="174">
        <f>IF(I39+([6]CZ_B!J13-[6]CZ_B!I13)&gt;=0,I39+([6]CZ_B!J13-[6]CZ_B!I13),0)</f>
        <v>0</v>
      </c>
      <c r="K39" s="174">
        <f>IF(J39+([6]CZ_B!K13-[6]CZ_B!J13)&gt;=0,J39+([6]CZ_B!K13-[6]CZ_B!J13),0)</f>
        <v>0</v>
      </c>
      <c r="L39" s="445" t="s">
        <v>1200</v>
      </c>
      <c r="M39" s="447" t="s">
        <v>1201</v>
      </c>
    </row>
    <row r="40" spans="1:14" x14ac:dyDescent="0.25">
      <c r="A40" s="1" t="s">
        <v>10</v>
      </c>
      <c r="B40" s="1" t="s">
        <v>11</v>
      </c>
      <c r="C40" s="53" t="s">
        <v>1199</v>
      </c>
      <c r="D40" s="442">
        <f>[5]CZ_B!D18</f>
        <v>185.89149840122761</v>
      </c>
      <c r="E40" s="442">
        <f>[5]CZ_B!E18</f>
        <v>131.3372440911177</v>
      </c>
      <c r="F40" s="442">
        <f>[5]CZ_B!F18</f>
        <v>122.98976777964876</v>
      </c>
      <c r="G40" s="442">
        <f>[5]CZ_B!G18</f>
        <v>123.05980419962947</v>
      </c>
      <c r="H40" s="174">
        <f>IF(G40+([6]CZ_B!H18-[6]CZ_B!G18)&gt;=0,G40+([6]CZ_B!H18-[6]CZ_B!G18),0)</f>
        <v>100.71926441256844</v>
      </c>
      <c r="I40" s="174">
        <f>IF(H40+([6]CZ_B!I18-[6]CZ_B!H18)&gt;=0,H40+([6]CZ_B!I18-[6]CZ_B!H18),0)</f>
        <v>98.315911231453526</v>
      </c>
      <c r="J40" s="174">
        <f>IF(I40+([6]CZ_B!J18-[6]CZ_B!I18)&gt;=0,I40+([6]CZ_B!J18-[6]CZ_B!I18),0)</f>
        <v>62.919805192986217</v>
      </c>
      <c r="K40" s="174">
        <f>IF(J40+([6]CZ_B!K18-[6]CZ_B!J18)&gt;=0,J40+([6]CZ_B!K18-[6]CZ_B!J18),0)</f>
        <v>16.135355124362981</v>
      </c>
      <c r="L40" s="445" t="s">
        <v>1200</v>
      </c>
      <c r="M40" s="447" t="s">
        <v>1201</v>
      </c>
    </row>
    <row r="41" spans="1:14" x14ac:dyDescent="0.25">
      <c r="A41" s="2" t="s">
        <v>12</v>
      </c>
      <c r="B41" s="2" t="s">
        <v>13</v>
      </c>
      <c r="C41" s="53" t="s">
        <v>1199</v>
      </c>
      <c r="D41" s="442">
        <f>[5]CZ_B!D7</f>
        <v>4138.2738323800368</v>
      </c>
      <c r="E41" s="442">
        <f>[5]CZ_B!E7</f>
        <v>3214.5886003196761</v>
      </c>
      <c r="F41" s="442">
        <f>[5]CZ_B!F7</f>
        <v>1926.4490345529334</v>
      </c>
      <c r="G41" s="442">
        <f>[5]CZ_B!G7</f>
        <v>3421.2644331808783</v>
      </c>
      <c r="H41" s="174">
        <f>IF(G41+([6]CZ_B!H7-[6]CZ_B!G7)&gt;=0,G41+([6]CZ_B!H7-[6]CZ_B!G7),0)</f>
        <v>3900.4852526921595</v>
      </c>
      <c r="I41" s="174">
        <f>IF(H41+([6]CZ_B!I7-[6]CZ_B!H7)&gt;=0,H41+([6]CZ_B!I7-[6]CZ_B!H7),0)</f>
        <v>5714.2681615493402</v>
      </c>
      <c r="J41" s="174">
        <f>IF(I41+([6]CZ_B!J7-[6]CZ_B!I7)&gt;=0,I41+([6]CZ_B!J7-[6]CZ_B!I7),0)</f>
        <v>6582.2539079585349</v>
      </c>
      <c r="K41" s="174">
        <f>IF(J41+([6]CZ_B!K7-[6]CZ_B!J7)&gt;=0,J41+([6]CZ_B!K7-[6]CZ_B!J7),0)</f>
        <v>8692.8723378609866</v>
      </c>
      <c r="L41" s="445" t="s">
        <v>1200</v>
      </c>
      <c r="M41" s="447" t="s">
        <v>1201</v>
      </c>
    </row>
    <row r="42" spans="1:14" x14ac:dyDescent="0.25">
      <c r="A42" s="2" t="s">
        <v>831</v>
      </c>
      <c r="B42" s="2" t="s">
        <v>338</v>
      </c>
      <c r="C42" s="53" t="s">
        <v>1199</v>
      </c>
      <c r="D42" s="174">
        <f>[5]CZ_B!D14*el_generation!$L10/(el_generation!$L10+el_generation!$L11)</f>
        <v>1481.0807732553615</v>
      </c>
      <c r="E42" s="174">
        <f>[5]CZ_B!E14*el_generation!$L10/(el_generation!$L10+el_generation!$L11)</f>
        <v>1481.0807732553615</v>
      </c>
      <c r="F42" s="174">
        <f>[5]CZ_B!F14*el_generation!$L10/(el_generation!$L10+el_generation!$L11)</f>
        <v>2752.1960652339649</v>
      </c>
      <c r="G42" s="174">
        <f>[5]CZ_B!G14*el_generation!$L10/(el_generation!$L10+el_generation!$L11)</f>
        <v>3098.8582431712543</v>
      </c>
      <c r="H42" s="174">
        <f>IF(G42+([6]CZ_B!H14-[6]CZ_B!G14)&gt;=0,G42+([6]CZ_B!H14-[6]CZ_B!G14),0)</f>
        <v>3333.5418806934035</v>
      </c>
      <c r="I42" s="174">
        <f>IF(H42+([6]CZ_B!I14-[6]CZ_B!H14)&gt;=0,H42+([6]CZ_B!I14-[6]CZ_B!H14),0)</f>
        <v>3985.9184933500906</v>
      </c>
      <c r="J42" s="174">
        <f>IF(I42+([6]CZ_B!J14-[6]CZ_B!I14)&gt;=0,I42+([6]CZ_B!J14-[6]CZ_B!I14),0)</f>
        <v>5087.021579549084</v>
      </c>
      <c r="K42" s="174">
        <f>IF(J42+([6]CZ_B!K14-[6]CZ_B!J14)&gt;=0,J42+([6]CZ_B!K14-[6]CZ_B!J14),0)</f>
        <v>5096.1670195490842</v>
      </c>
      <c r="L42" s="445" t="s">
        <v>1200</v>
      </c>
      <c r="M42" s="447" t="s">
        <v>1201</v>
      </c>
    </row>
    <row r="43" spans="1:14" x14ac:dyDescent="0.25">
      <c r="A43" s="2" t="s">
        <v>832</v>
      </c>
      <c r="B43" s="2" t="s">
        <v>339</v>
      </c>
      <c r="C43" s="53" t="s">
        <v>1199</v>
      </c>
      <c r="D43" s="174">
        <f>[5]CZ_B!D14*el_generation!$L11/(el_generation!$L10+el_generation!$L11)</f>
        <v>783.17729450243792</v>
      </c>
      <c r="E43" s="174">
        <f>[5]CZ_B!E14*el_generation!$L11/(el_generation!$L10+el_generation!$L11)</f>
        <v>783.17729450243792</v>
      </c>
      <c r="F43" s="174">
        <f>[5]CZ_B!F14*el_generation!$L11/(el_generation!$L10+el_generation!$L11)</f>
        <v>1455.327425237298</v>
      </c>
      <c r="G43" s="174">
        <f>[5]CZ_B!G14*el_generation!$L11/(el_generation!$L10+el_generation!$L11)</f>
        <v>1638.6381207279339</v>
      </c>
      <c r="H43" s="174">
        <f>IF(G43+([6]CZ_B!H14-[6]CZ_B!G14)&gt;=0,G43+([6]CZ_B!H14-[6]CZ_B!G14),0)</f>
        <v>1873.3217582500831</v>
      </c>
      <c r="I43" s="174">
        <f>IF(H43+([6]CZ_B!I14-[6]CZ_B!H14)&gt;=0,H43+([6]CZ_B!I14-[6]CZ_B!H14),0)</f>
        <v>2525.6983709067699</v>
      </c>
      <c r="J43" s="174">
        <f>IF(I43+([6]CZ_B!J14-[6]CZ_B!I14)&gt;=0,I43+([6]CZ_B!J14-[6]CZ_B!I14),0)</f>
        <v>3626.8014571057629</v>
      </c>
      <c r="K43" s="174">
        <f>IF(J43+([6]CZ_B!K14-[6]CZ_B!J14)&gt;=0,J43+([6]CZ_B!K14-[6]CZ_B!J14),0)</f>
        <v>3635.9468971057631</v>
      </c>
      <c r="L43" s="445" t="s">
        <v>1200</v>
      </c>
      <c r="M43" s="447" t="s">
        <v>1201</v>
      </c>
    </row>
    <row r="44" spans="1:14" x14ac:dyDescent="0.25">
      <c r="A44" s="2" t="s">
        <v>14</v>
      </c>
      <c r="B44" s="2" t="s">
        <v>15</v>
      </c>
      <c r="C44" s="53" t="s">
        <v>1199</v>
      </c>
      <c r="D44" s="174">
        <v>0</v>
      </c>
      <c r="E44" s="174">
        <v>0</v>
      </c>
      <c r="F44" s="174">
        <v>0</v>
      </c>
      <c r="G44" s="174">
        <v>0</v>
      </c>
      <c r="H44" s="174">
        <v>0</v>
      </c>
      <c r="I44" s="174">
        <v>0</v>
      </c>
      <c r="J44" s="174">
        <v>0</v>
      </c>
      <c r="K44" s="174">
        <v>0</v>
      </c>
      <c r="L44" s="445" t="s">
        <v>1200</v>
      </c>
      <c r="M44" s="447" t="s">
        <v>1201</v>
      </c>
    </row>
    <row r="45" spans="1:14" x14ac:dyDescent="0.25">
      <c r="A45" s="2" t="s">
        <v>16</v>
      </c>
      <c r="B45" s="2" t="s">
        <v>17</v>
      </c>
      <c r="C45" s="53" t="s">
        <v>1199</v>
      </c>
      <c r="D45" s="174">
        <v>0</v>
      </c>
      <c r="E45" s="174">
        <v>0</v>
      </c>
      <c r="F45" s="174">
        <v>0</v>
      </c>
      <c r="G45" s="174">
        <v>0</v>
      </c>
      <c r="H45" s="174">
        <v>0</v>
      </c>
      <c r="I45" s="174">
        <v>0</v>
      </c>
      <c r="J45" s="174">
        <v>0</v>
      </c>
      <c r="K45" s="174">
        <v>0</v>
      </c>
      <c r="L45" s="445" t="s">
        <v>1200</v>
      </c>
      <c r="M45" s="447" t="s">
        <v>1201</v>
      </c>
    </row>
    <row r="46" spans="1:14" x14ac:dyDescent="0.25">
      <c r="A46" s="2" t="s">
        <v>18</v>
      </c>
      <c r="B46" s="2" t="s">
        <v>19</v>
      </c>
      <c r="C46" s="53" t="s">
        <v>1199</v>
      </c>
      <c r="D46" s="442">
        <f>[5]CZ_B!D15</f>
        <v>0</v>
      </c>
      <c r="E46" s="442">
        <f>[5]CZ_B!E15</f>
        <v>0</v>
      </c>
      <c r="F46" s="442">
        <f>[5]CZ_B!F15</f>
        <v>0</v>
      </c>
      <c r="G46" s="442">
        <f>[5]CZ_B!G15</f>
        <v>0</v>
      </c>
      <c r="H46" s="174">
        <f>IF(G46+([6]CZ_B!H15-[6]CZ_B!G15)&gt;=0,G46+([6]CZ_B!H15-[6]CZ_B!G15),0)</f>
        <v>0</v>
      </c>
      <c r="I46" s="174">
        <f>IF(H46+([6]CZ_B!I15-[6]CZ_B!H15)&gt;=0,H46+([6]CZ_B!I15-[6]CZ_B!H15),0)</f>
        <v>68.361574428975999</v>
      </c>
      <c r="J46" s="174">
        <f>IF(I46+([6]CZ_B!J15-[6]CZ_B!I15)&gt;=0,I46+([6]CZ_B!J15-[6]CZ_B!I15),0)</f>
        <v>2591.4657531098469</v>
      </c>
      <c r="K46" s="174">
        <f>IF(J46+([6]CZ_B!K15-[6]CZ_B!J15)&gt;=0,J46+([6]CZ_B!K15-[6]CZ_B!J15),0)</f>
        <v>2989.3160414994272</v>
      </c>
      <c r="L46" s="445" t="s">
        <v>1200</v>
      </c>
      <c r="M46" s="447" t="s">
        <v>1201</v>
      </c>
    </row>
    <row r="47" spans="1:14" x14ac:dyDescent="0.25">
      <c r="A47" s="19" t="s">
        <v>1155</v>
      </c>
      <c r="B47" s="2"/>
      <c r="C47" s="53" t="s">
        <v>1199</v>
      </c>
      <c r="D47" s="443">
        <f>SUM(D34:D46)</f>
        <v>80347.364918770283</v>
      </c>
      <c r="E47" s="443">
        <f t="shared" ref="E47:K47" si="24">SUM(E34:E46)</f>
        <v>73748.97565610701</v>
      </c>
      <c r="F47" s="443">
        <f t="shared" si="24"/>
        <v>74309.267701206933</v>
      </c>
      <c r="G47" s="443">
        <f t="shared" si="24"/>
        <v>78077.564895561271</v>
      </c>
      <c r="H47" s="444">
        <f t="shared" si="24"/>
        <v>87482.49937543257</v>
      </c>
      <c r="I47" s="444">
        <f t="shared" si="24"/>
        <v>95295.218897070663</v>
      </c>
      <c r="J47" s="444">
        <f t="shared" si="24"/>
        <v>101364.03559187586</v>
      </c>
      <c r="K47" s="444">
        <f t="shared" si="24"/>
        <v>104119.26517081948</v>
      </c>
      <c r="L47" s="445" t="s">
        <v>1200</v>
      </c>
      <c r="M47" s="447" t="s">
        <v>1201</v>
      </c>
    </row>
    <row r="48" spans="1:14" x14ac:dyDescent="0.25">
      <c r="A48" s="429" t="s">
        <v>1058</v>
      </c>
      <c r="B48" s="429"/>
      <c r="C48" s="429"/>
      <c r="D48" s="430"/>
      <c r="E48" s="430"/>
      <c r="F48" s="430"/>
      <c r="G48" s="430"/>
      <c r="H48" s="430"/>
      <c r="I48" s="430"/>
      <c r="J48" s="430"/>
      <c r="K48" s="430"/>
      <c r="L48" s="297"/>
      <c r="M48" s="297"/>
      <c r="N48" s="297"/>
    </row>
    <row r="49" spans="1:14" x14ac:dyDescent="0.25">
      <c r="A49" s="387" t="s">
        <v>1107</v>
      </c>
      <c r="B49" s="387"/>
      <c r="C49" s="387"/>
      <c r="D49" s="376" t="s">
        <v>1129</v>
      </c>
      <c r="E49" s="376" t="s">
        <v>1130</v>
      </c>
      <c r="F49" s="376" t="s">
        <v>1131</v>
      </c>
      <c r="G49" s="376" t="s">
        <v>1132</v>
      </c>
      <c r="H49" s="376" t="s">
        <v>1133</v>
      </c>
      <c r="I49" s="376" t="s">
        <v>1134</v>
      </c>
      <c r="J49" s="376" t="s">
        <v>1135</v>
      </c>
      <c r="K49" s="376" t="s">
        <v>1136</v>
      </c>
      <c r="L49" s="297"/>
      <c r="M49" s="297"/>
      <c r="N49" s="297"/>
    </row>
    <row r="50" spans="1:14" x14ac:dyDescent="0.25">
      <c r="A50" s="431" t="s">
        <v>2</v>
      </c>
      <c r="B50" s="431" t="s">
        <v>3</v>
      </c>
      <c r="C50" s="53" t="s">
        <v>1199</v>
      </c>
      <c r="D50" s="430">
        <f>[5]CZ_B!D35</f>
        <v>9656.4015500000005</v>
      </c>
      <c r="E50" s="430">
        <f>[5]CZ_B!E35</f>
        <v>10043.422550000003</v>
      </c>
      <c r="F50" s="430">
        <f>[5]CZ_B!F35</f>
        <v>9970.7425500000008</v>
      </c>
      <c r="G50" s="430">
        <f>[5]CZ_B!G35</f>
        <v>9354.0625500000006</v>
      </c>
      <c r="H50" s="174">
        <f>IF(G50+([6]CZ_B!H35-[6]CZ_B!G35)&gt;=0,G50+([6]CZ_B!H35-[6]CZ_B!G35),0)</f>
        <v>5533.9675500000003</v>
      </c>
      <c r="I50" s="174">
        <f>IF(H50+([6]CZ_B!I35-[6]CZ_B!H35)&gt;=0,H50+([6]CZ_B!I35-[6]CZ_B!H35),0)</f>
        <v>2803.0445500000001</v>
      </c>
      <c r="J50" s="174">
        <f>IF(I50+([6]CZ_B!J35-[6]CZ_B!I35)&gt;=0,I50+([6]CZ_B!J35-[6]CZ_B!I35),0)</f>
        <v>1892.0527500000001</v>
      </c>
      <c r="K50" s="174">
        <f>IF(J50+([6]CZ_B!K35-[6]CZ_B!J35)&gt;=0,J50+([6]CZ_B!K35-[6]CZ_B!J35),0)</f>
        <v>1788.8687500000001</v>
      </c>
      <c r="L50" s="446" t="s">
        <v>1200</v>
      </c>
      <c r="M50" s="448" t="s">
        <v>1201</v>
      </c>
      <c r="N50" s="297"/>
    </row>
    <row r="51" spans="1:14" x14ac:dyDescent="0.25">
      <c r="A51" s="431" t="s">
        <v>4</v>
      </c>
      <c r="B51" s="431" t="s">
        <v>5</v>
      </c>
      <c r="C51" s="53" t="s">
        <v>1199</v>
      </c>
      <c r="D51" s="430">
        <f>[5]CZ_B!D37</f>
        <v>929.38926602726997</v>
      </c>
      <c r="E51" s="430">
        <f>[5]CZ_B!E37</f>
        <v>588.57516352972516</v>
      </c>
      <c r="F51" s="430">
        <f>[5]CZ_B!F37</f>
        <v>817.25463184904424</v>
      </c>
      <c r="G51" s="430">
        <f>[5]CZ_B!G37</f>
        <v>1105.7451686578227</v>
      </c>
      <c r="H51" s="174">
        <f>IF(G51+([6]CZ_B!H37-[6]CZ_B!G37)&gt;=0,G51+([6]CZ_B!H37-[6]CZ_B!G37),0)</f>
        <v>1861.7960535624579</v>
      </c>
      <c r="I51" s="174">
        <f>IF(H51+([6]CZ_B!I37-[6]CZ_B!H37)&gt;=0,H51+([6]CZ_B!I37-[6]CZ_B!H37),0)</f>
        <v>2467.8089229615389</v>
      </c>
      <c r="J51" s="174">
        <f>IF(I51+([6]CZ_B!J37-[6]CZ_B!I37)&gt;=0,I51+([6]CZ_B!J37-[6]CZ_B!I37),0)</f>
        <v>3201.4897984741133</v>
      </c>
      <c r="K51" s="174">
        <f>IF(J51+([6]CZ_B!K37-[6]CZ_B!J37)&gt;=0,J51+([6]CZ_B!K37-[6]CZ_B!J37),0)</f>
        <v>4052.9817437479419</v>
      </c>
      <c r="L51" s="446" t="s">
        <v>1200</v>
      </c>
      <c r="M51" s="448" t="s">
        <v>1201</v>
      </c>
      <c r="N51" s="297"/>
    </row>
    <row r="52" spans="1:14" x14ac:dyDescent="0.25">
      <c r="A52" s="431" t="s">
        <v>6</v>
      </c>
      <c r="B52" s="431" t="s">
        <v>7</v>
      </c>
      <c r="C52" s="53" t="s">
        <v>1199</v>
      </c>
      <c r="D52" s="430">
        <f>[5]CZ_B!D23</f>
        <v>4006.08</v>
      </c>
      <c r="E52" s="430">
        <f>[5]CZ_B!E23</f>
        <v>4006.08</v>
      </c>
      <c r="F52" s="430">
        <f>[5]CZ_B!F23</f>
        <v>4006.08</v>
      </c>
      <c r="G52" s="430">
        <f>[5]CZ_B!G23</f>
        <v>4006.08</v>
      </c>
      <c r="H52" s="174">
        <f>IF(G52+([6]CZ_B!H23-[6]CZ_B!G23)&gt;=0,G52+([6]CZ_B!H23-[6]CZ_B!G23),0)</f>
        <v>4006.08</v>
      </c>
      <c r="I52" s="174">
        <f>IF(H52+([6]CZ_B!I23-[6]CZ_B!H23)&gt;=0,H52+([6]CZ_B!I23-[6]CZ_B!H23),0)</f>
        <v>5206.08</v>
      </c>
      <c r="J52" s="174">
        <f>IF(I52+([6]CZ_B!J23-[6]CZ_B!I23)&gt;=0,I52+([6]CZ_B!J23-[6]CZ_B!I23),0)</f>
        <v>5206.08</v>
      </c>
      <c r="K52" s="174">
        <f>IF(J52+([6]CZ_B!K23-[6]CZ_B!J23)&gt;=0,J52+([6]CZ_B!K23-[6]CZ_B!J23),0)</f>
        <v>4447.68</v>
      </c>
      <c r="L52" s="446" t="s">
        <v>1200</v>
      </c>
      <c r="M52" s="448" t="s">
        <v>1201</v>
      </c>
      <c r="N52" s="297"/>
    </row>
    <row r="53" spans="1:14" x14ac:dyDescent="0.25">
      <c r="A53" s="431" t="s">
        <v>8</v>
      </c>
      <c r="B53" s="431" t="s">
        <v>9</v>
      </c>
      <c r="C53" s="53" t="s">
        <v>1199</v>
      </c>
      <c r="D53" s="430">
        <f>[5]CZ_B!D26</f>
        <v>1088.0000000000002</v>
      </c>
      <c r="E53" s="430">
        <f>[5]CZ_B!E26</f>
        <v>1090</v>
      </c>
      <c r="F53" s="430">
        <f>[5]CZ_B!F26</f>
        <v>1105.714280438036</v>
      </c>
      <c r="G53" s="430">
        <f>[5]CZ_B!G26</f>
        <v>1119.9642510902015</v>
      </c>
      <c r="H53" s="174">
        <f>IF(G53+([6]CZ_B!H26-[6]CZ_B!G26)&gt;=0,G53+([6]CZ_B!H26-[6]CZ_B!G26),0)</f>
        <v>1119.9642510902015</v>
      </c>
      <c r="I53" s="174">
        <f>IF(H53+([6]CZ_B!I26-[6]CZ_B!H26)&gt;=0,H53+([6]CZ_B!I26-[6]CZ_B!H26),0)</f>
        <v>1130.4305524060721</v>
      </c>
      <c r="J53" s="174">
        <f>IF(I53+([6]CZ_B!J26-[6]CZ_B!I26)&gt;=0,I53+([6]CZ_B!J26-[6]CZ_B!I26),0)</f>
        <v>1134.3888761136595</v>
      </c>
      <c r="K53" s="174">
        <f>IF(J53+([6]CZ_B!K26-[6]CZ_B!J26)&gt;=0,J53+([6]CZ_B!K26-[6]CZ_B!J26),0)</f>
        <v>1134.9153661026658</v>
      </c>
      <c r="L53" s="446" t="s">
        <v>1200</v>
      </c>
      <c r="M53" s="448" t="s">
        <v>1201</v>
      </c>
      <c r="N53" s="297"/>
    </row>
    <row r="54" spans="1:14" x14ac:dyDescent="0.25">
      <c r="A54" s="431" t="s">
        <v>342</v>
      </c>
      <c r="B54" s="431" t="s">
        <v>336</v>
      </c>
      <c r="C54" s="53" t="s">
        <v>1199</v>
      </c>
      <c r="D54" s="430">
        <f>[5]CZ_B!D30</f>
        <v>281.05</v>
      </c>
      <c r="E54" s="430">
        <f>[5]CZ_B!E30</f>
        <v>396.10000000000014</v>
      </c>
      <c r="F54" s="430">
        <f>[5]CZ_B!F30</f>
        <v>4557.766665997262</v>
      </c>
      <c r="G54" s="430">
        <f>[5]CZ_B!G30</f>
        <v>6542.6633323723381</v>
      </c>
      <c r="H54" s="174">
        <f>IF(G54+([6]CZ_B!H30-[6]CZ_B!G30)&gt;=0,G54+([6]CZ_B!H30-[6]CZ_B!G30),0)</f>
        <v>7595.225458217712</v>
      </c>
      <c r="I54" s="174">
        <f>IF(H54+([6]CZ_B!I30-[6]CZ_B!H30)&gt;=0,H54+([6]CZ_B!I30-[6]CZ_B!H30),0)</f>
        <v>8223.4129599379303</v>
      </c>
      <c r="J54" s="174">
        <f>IF(I54+([6]CZ_B!J30-[6]CZ_B!I30)&gt;=0,I54+([6]CZ_B!J30-[6]CZ_B!I30),0)</f>
        <v>8584.3231846293929</v>
      </c>
      <c r="K54" s="174">
        <f>IF(J54+([6]CZ_B!K30-[6]CZ_B!J30)&gt;=0,J54+([6]CZ_B!K30-[6]CZ_B!J30),0)</f>
        <v>8760.0569598589627</v>
      </c>
      <c r="L54" s="446" t="s">
        <v>1200</v>
      </c>
      <c r="M54" s="448" t="s">
        <v>1201</v>
      </c>
      <c r="N54" s="297"/>
    </row>
    <row r="55" spans="1:14" x14ac:dyDescent="0.25">
      <c r="A55" s="431" t="s">
        <v>343</v>
      </c>
      <c r="B55" s="431" t="s">
        <v>337</v>
      </c>
      <c r="C55" s="53" t="s">
        <v>1199</v>
      </c>
      <c r="D55" s="430">
        <f>[5]CZ_B!D31</f>
        <v>0</v>
      </c>
      <c r="E55" s="430">
        <f>[5]CZ_B!E31</f>
        <v>0</v>
      </c>
      <c r="F55" s="430">
        <f>[5]CZ_B!F31</f>
        <v>0</v>
      </c>
      <c r="G55" s="430">
        <f>[5]CZ_B!G31</f>
        <v>0</v>
      </c>
      <c r="H55" s="174">
        <f>IF(G55+([6]CZ_B!H31-[6]CZ_B!G31)&gt;=0,G55+([6]CZ_B!H31-[6]CZ_B!G31),0)</f>
        <v>0</v>
      </c>
      <c r="I55" s="174">
        <f>IF(H55+([6]CZ_B!I31-[6]CZ_B!H31)&gt;=0,H55+([6]CZ_B!I31-[6]CZ_B!H31),0)</f>
        <v>0</v>
      </c>
      <c r="J55" s="174">
        <f>IF(I55+([6]CZ_B!J31-[6]CZ_B!I31)&gt;=0,I55+([6]CZ_B!J31-[6]CZ_B!I31),0)</f>
        <v>0</v>
      </c>
      <c r="K55" s="174">
        <f>IF(J55+([6]CZ_B!K31-[6]CZ_B!J31)&gt;=0,J55+([6]CZ_B!K31-[6]CZ_B!J31),0)</f>
        <v>0</v>
      </c>
      <c r="L55" s="446" t="s">
        <v>1200</v>
      </c>
      <c r="M55" s="448" t="s">
        <v>1201</v>
      </c>
      <c r="N55" s="297"/>
    </row>
    <row r="56" spans="1:14" x14ac:dyDescent="0.25">
      <c r="A56" s="431" t="s">
        <v>10</v>
      </c>
      <c r="B56" s="431" t="s">
        <v>11</v>
      </c>
      <c r="C56" s="53" t="s">
        <v>1199</v>
      </c>
      <c r="D56" s="430">
        <f>[5]CZ_B!D36</f>
        <v>133.93011999999999</v>
      </c>
      <c r="E56" s="430">
        <f>[5]CZ_B!E36</f>
        <v>71.85011999999999</v>
      </c>
      <c r="F56" s="430">
        <f>[5]CZ_B!F36</f>
        <v>63.702119999999987</v>
      </c>
      <c r="G56" s="430">
        <f>[5]CZ_B!G36</f>
        <v>63.702119999999987</v>
      </c>
      <c r="H56" s="174">
        <f>IF(G56+([6]CZ_B!H36-[6]CZ_B!G36)&gt;=0,G56+([6]CZ_B!H36-[6]CZ_B!G36),0)</f>
        <v>44.702120000000001</v>
      </c>
      <c r="I56" s="174">
        <f>IF(H56+([6]CZ_B!I36-[6]CZ_B!H36)&gt;=0,H56+([6]CZ_B!I36-[6]CZ_B!H36),0)</f>
        <v>41.204299999999996</v>
      </c>
      <c r="J56" s="174">
        <f>IF(I56+([6]CZ_B!J36-[6]CZ_B!I36)&gt;=0,I56+([6]CZ_B!J36-[6]CZ_B!I36),0)</f>
        <v>41.204299999999996</v>
      </c>
      <c r="K56" s="174">
        <f>IF(J56+([6]CZ_B!K36-[6]CZ_B!J36)&gt;=0,J56+([6]CZ_B!K36-[6]CZ_B!J36),0)</f>
        <v>24.104299999999999</v>
      </c>
      <c r="L56" s="446" t="s">
        <v>1200</v>
      </c>
      <c r="M56" s="448" t="s">
        <v>1201</v>
      </c>
      <c r="N56" s="297"/>
    </row>
    <row r="57" spans="1:14" x14ac:dyDescent="0.25">
      <c r="A57" s="431" t="s">
        <v>12</v>
      </c>
      <c r="B57" s="431" t="s">
        <v>13</v>
      </c>
      <c r="C57" s="53" t="s">
        <v>1199</v>
      </c>
      <c r="D57" s="430">
        <f>[5]CZ_B!D25</f>
        <v>527.6919839727301</v>
      </c>
      <c r="E57" s="430">
        <f>[5]CZ_B!E25</f>
        <v>647.60234676074128</v>
      </c>
      <c r="F57" s="430">
        <f>[5]CZ_B!F25</f>
        <v>663.36076830698005</v>
      </c>
      <c r="G57" s="430">
        <f>[5]CZ_B!G25</f>
        <v>851.55129706148546</v>
      </c>
      <c r="H57" s="174">
        <f>IF(G57+([6]CZ_B!H25-[6]CZ_B!G25)&gt;=0,G57+([6]CZ_B!H25-[6]CZ_B!G25),0)</f>
        <v>976.42661927596089</v>
      </c>
      <c r="I57" s="174">
        <f>IF(H57+([6]CZ_B!I25-[6]CZ_B!H25)&gt;=0,H57+([6]CZ_B!I25-[6]CZ_B!H25),0)</f>
        <v>1156.361749089242</v>
      </c>
      <c r="J57" s="174">
        <f>IF(I57+([6]CZ_B!J25-[6]CZ_B!I25)&gt;=0,I57+([6]CZ_B!J25-[6]CZ_B!I25),0)</f>
        <v>1319.053700361176</v>
      </c>
      <c r="K57" s="174">
        <f>IF(J57+([6]CZ_B!K25-[6]CZ_B!J25)&gt;=0,J57+([6]CZ_B!K25-[6]CZ_B!J25),0)</f>
        <v>1624.1885874409822</v>
      </c>
      <c r="L57" s="446" t="s">
        <v>1200</v>
      </c>
      <c r="M57" s="448" t="s">
        <v>1201</v>
      </c>
      <c r="N57" s="297"/>
    </row>
    <row r="58" spans="1:14" x14ac:dyDescent="0.25">
      <c r="A58" s="431" t="s">
        <v>831</v>
      </c>
      <c r="B58" s="431" t="s">
        <v>338</v>
      </c>
      <c r="C58" s="53" t="s">
        <v>1199</v>
      </c>
      <c r="D58" s="174">
        <f>[5]CZ_B!D32*el_capacity!$L10/(el_capacity!$L10+el_capacity!$L11)</f>
        <v>1329.7245711524522</v>
      </c>
      <c r="E58" s="174">
        <f>[5]CZ_B!E32*el_capacity!$L10/(el_capacity!$L10+el_capacity!$L11)</f>
        <v>1329.7245711524522</v>
      </c>
      <c r="F58" s="174">
        <f>[5]CZ_B!F32*el_capacity!$L10/(el_capacity!$L10+el_capacity!$L11)</f>
        <v>2463.516728935012</v>
      </c>
      <c r="G58" s="174">
        <f>[5]CZ_B!G32*el_capacity!$L10/(el_capacity!$L10+el_capacity!$L11)</f>
        <v>2772.6374582095968</v>
      </c>
      <c r="H58" s="174">
        <f>IF(G58+([6]CZ_B!H32-[6]CZ_B!G32)&gt;=0,G58+([6]CZ_B!H32-[6]CZ_B!G32),0)</f>
        <v>2983.609727189777</v>
      </c>
      <c r="I58" s="174">
        <f>IF(H58+([6]CZ_B!I32-[6]CZ_B!H32)&gt;=0,H58+([6]CZ_B!I32-[6]CZ_B!H32),0)</f>
        <v>3565.5014029721051</v>
      </c>
      <c r="J58" s="174">
        <f>IF(I58+([6]CZ_B!J32-[6]CZ_B!I32)&gt;=0,I58+([6]CZ_B!J32-[6]CZ_B!I32),0)</f>
        <v>4510.2396580889636</v>
      </c>
      <c r="K58" s="174">
        <f>IF(J58+([6]CZ_B!K32-[6]CZ_B!J32)&gt;=0,J58+([6]CZ_B!K32-[6]CZ_B!J32),0)</f>
        <v>4510.2396580889636</v>
      </c>
      <c r="L58" s="446" t="s">
        <v>1200</v>
      </c>
      <c r="M58" s="448" t="s">
        <v>1201</v>
      </c>
      <c r="N58" s="297"/>
    </row>
    <row r="59" spans="1:14" x14ac:dyDescent="0.25">
      <c r="A59" s="431" t="s">
        <v>832</v>
      </c>
      <c r="B59" s="431" t="s">
        <v>339</v>
      </c>
      <c r="C59" s="53" t="s">
        <v>1199</v>
      </c>
      <c r="D59" s="174">
        <f>[5]CZ_B!D32*el_capacity!$L11/(el_capacity!$L10+el_capacity!$L11)</f>
        <v>745.27542884754769</v>
      </c>
      <c r="E59" s="174">
        <f>[5]CZ_B!E32*el_capacity!$L11/(el_capacity!$L10+el_capacity!$L11)</f>
        <v>745.27542884754769</v>
      </c>
      <c r="F59" s="174">
        <f>[5]CZ_B!F32*el_capacity!$L11/(el_capacity!$L10+el_capacity!$L11)</f>
        <v>1380.7359256653554</v>
      </c>
      <c r="G59" s="174">
        <f>[5]CZ_B!G32*el_capacity!$L11/(el_capacity!$L10+el_capacity!$L11)</f>
        <v>1553.9899130502135</v>
      </c>
      <c r="H59" s="174">
        <f>IF(G59+([6]CZ_B!H32-[6]CZ_B!G32)&gt;=0,G59+([6]CZ_B!H32-[6]CZ_B!G32),0)</f>
        <v>1764.9621820303937</v>
      </c>
      <c r="I59" s="174">
        <f>IF(H59+([6]CZ_B!I32-[6]CZ_B!H32)&gt;=0,H59+([6]CZ_B!I32-[6]CZ_B!H32),0)</f>
        <v>2346.8538578127218</v>
      </c>
      <c r="J59" s="174">
        <f>IF(I59+([6]CZ_B!J32-[6]CZ_B!I32)&gt;=0,I59+([6]CZ_B!J32-[6]CZ_B!I32),0)</f>
        <v>3291.5921129295803</v>
      </c>
      <c r="K59" s="174">
        <f>IF(J59+([6]CZ_B!K32-[6]CZ_B!J32)&gt;=0,J59+([6]CZ_B!K32-[6]CZ_B!J32),0)</f>
        <v>3291.5921129295803</v>
      </c>
      <c r="L59" s="446" t="s">
        <v>1200</v>
      </c>
      <c r="M59" s="448" t="s">
        <v>1201</v>
      </c>
      <c r="N59" s="297"/>
    </row>
    <row r="60" spans="1:14" x14ac:dyDescent="0.25">
      <c r="A60" s="431" t="s">
        <v>14</v>
      </c>
      <c r="B60" s="431" t="s">
        <v>15</v>
      </c>
      <c r="C60" s="53" t="s">
        <v>1199</v>
      </c>
      <c r="D60" s="174">
        <v>0</v>
      </c>
      <c r="E60" s="174">
        <v>0</v>
      </c>
      <c r="F60" s="174">
        <v>0</v>
      </c>
      <c r="G60" s="174">
        <v>0</v>
      </c>
      <c r="H60" s="174">
        <v>0</v>
      </c>
      <c r="I60" s="174">
        <v>0</v>
      </c>
      <c r="J60" s="174">
        <v>0</v>
      </c>
      <c r="K60" s="174">
        <v>0</v>
      </c>
      <c r="L60" s="446" t="s">
        <v>1200</v>
      </c>
      <c r="M60" s="448" t="s">
        <v>1201</v>
      </c>
      <c r="N60" s="297"/>
    </row>
    <row r="61" spans="1:14" x14ac:dyDescent="0.25">
      <c r="A61" s="431" t="s">
        <v>16</v>
      </c>
      <c r="B61" s="431" t="s">
        <v>17</v>
      </c>
      <c r="C61" s="53" t="s">
        <v>1199</v>
      </c>
      <c r="D61" s="174">
        <v>0</v>
      </c>
      <c r="E61" s="174">
        <v>0</v>
      </c>
      <c r="F61" s="174">
        <v>0</v>
      </c>
      <c r="G61" s="174">
        <v>0</v>
      </c>
      <c r="H61" s="174">
        <v>0</v>
      </c>
      <c r="I61" s="174">
        <v>0</v>
      </c>
      <c r="J61" s="174">
        <v>0</v>
      </c>
      <c r="K61" s="174">
        <v>0</v>
      </c>
      <c r="L61" s="446" t="s">
        <v>1200</v>
      </c>
      <c r="M61" s="448" t="s">
        <v>1201</v>
      </c>
      <c r="N61" s="297"/>
    </row>
    <row r="62" spans="1:14" x14ac:dyDescent="0.25">
      <c r="A62" s="431" t="s">
        <v>18</v>
      </c>
      <c r="B62" s="431" t="s">
        <v>19</v>
      </c>
      <c r="C62" s="53" t="s">
        <v>1199</v>
      </c>
      <c r="D62" s="430">
        <f>[5]CZ_B!D33</f>
        <v>0</v>
      </c>
      <c r="E62" s="430">
        <f>[5]CZ_B!E33</f>
        <v>0</v>
      </c>
      <c r="F62" s="430">
        <f>[5]CZ_B!F33</f>
        <v>0</v>
      </c>
      <c r="G62" s="430">
        <f>[5]CZ_B!G33</f>
        <v>0</v>
      </c>
      <c r="H62" s="174">
        <f>IF(G62+([6]CZ_B!H33-[6]CZ_B!G33)&gt;=0,G62+([6]CZ_B!H33-[6]CZ_B!G33),0)</f>
        <v>0</v>
      </c>
      <c r="I62" s="174">
        <f>IF(H62+([6]CZ_B!I33-[6]CZ_B!H33)&gt;=0,H62+([6]CZ_B!I33-[6]CZ_B!H33),0)</f>
        <v>11.969068554251068</v>
      </c>
      <c r="J62" s="174">
        <f>IF(I62+([6]CZ_B!J33-[6]CZ_B!I33)&gt;=0,I62+([6]CZ_B!J33-[6]CZ_B!I33),0)</f>
        <v>453.38759908852768</v>
      </c>
      <c r="K62" s="174">
        <f>IF(J62+([6]CZ_B!K33-[6]CZ_B!J33)&gt;=0,J62+([6]CZ_B!K33-[6]CZ_B!J33),0)</f>
        <v>522.93844072382876</v>
      </c>
      <c r="L62" s="446" t="s">
        <v>1200</v>
      </c>
      <c r="M62" s="448" t="s">
        <v>1201</v>
      </c>
      <c r="N62" s="297"/>
    </row>
    <row r="63" spans="1:14" x14ac:dyDescent="0.25">
      <c r="A63" s="373" t="s">
        <v>1156</v>
      </c>
      <c r="B63" s="431"/>
      <c r="C63" s="53" t="s">
        <v>1199</v>
      </c>
      <c r="D63" s="441">
        <f>SUM(D50:D62)</f>
        <v>18697.54292</v>
      </c>
      <c r="E63" s="441">
        <f t="shared" ref="E63:H63" si="25">SUM(E50:E62)</f>
        <v>18918.630180290471</v>
      </c>
      <c r="F63" s="441">
        <f t="shared" si="25"/>
        <v>25028.87367119169</v>
      </c>
      <c r="G63" s="441">
        <f t="shared" si="25"/>
        <v>27370.396090441656</v>
      </c>
      <c r="H63" s="444">
        <f t="shared" si="25"/>
        <v>25886.733961366506</v>
      </c>
      <c r="I63" s="444">
        <f t="shared" ref="I63:K63" si="26">SUM(I50:I62)</f>
        <v>26952.667363733868</v>
      </c>
      <c r="J63" s="444">
        <f t="shared" si="26"/>
        <v>29633.811979685415</v>
      </c>
      <c r="K63" s="444">
        <f t="shared" si="26"/>
        <v>30157.565918892924</v>
      </c>
      <c r="L63" s="446" t="s">
        <v>1200</v>
      </c>
      <c r="M63" s="448" t="s">
        <v>1201</v>
      </c>
      <c r="N63" s="297"/>
    </row>
    <row r="64" spans="1:14" x14ac:dyDescent="0.25">
      <c r="A64" s="429" t="s">
        <v>1150</v>
      </c>
      <c r="B64" s="429"/>
      <c r="C64" s="429"/>
      <c r="D64" s="430"/>
      <c r="E64" s="430"/>
      <c r="F64" s="430"/>
      <c r="G64" s="430"/>
      <c r="H64" s="430"/>
      <c r="I64" s="430"/>
      <c r="J64" s="430"/>
      <c r="K64" s="430"/>
      <c r="L64" s="297"/>
      <c r="M64" s="297"/>
      <c r="N64" s="297"/>
    </row>
    <row r="65" spans="1:14" x14ac:dyDescent="0.25">
      <c r="A65" s="387" t="s">
        <v>834</v>
      </c>
      <c r="B65" s="387"/>
      <c r="C65" s="387"/>
      <c r="D65" s="376" t="s">
        <v>1129</v>
      </c>
      <c r="E65" s="376" t="s">
        <v>1130</v>
      </c>
      <c r="F65" s="376" t="s">
        <v>1131</v>
      </c>
      <c r="G65" s="376" t="s">
        <v>1132</v>
      </c>
      <c r="H65" s="376" t="s">
        <v>1133</v>
      </c>
      <c r="I65" s="376" t="s">
        <v>1134</v>
      </c>
      <c r="J65" s="376" t="s">
        <v>1135</v>
      </c>
      <c r="K65" s="376" t="s">
        <v>1136</v>
      </c>
      <c r="L65" s="297"/>
      <c r="M65" s="297"/>
      <c r="N65" s="297"/>
    </row>
    <row r="66" spans="1:14" x14ac:dyDescent="0.25">
      <c r="A66" s="450" t="s">
        <v>636</v>
      </c>
      <c r="B66" s="450" t="s">
        <v>1149</v>
      </c>
      <c r="C66" s="431" t="s">
        <v>1199</v>
      </c>
      <c r="D66" s="452">
        <f>[5]CZ_A!D44</f>
        <v>1564.8065042600704</v>
      </c>
      <c r="E66" s="452">
        <f>[5]CZ_A!E44</f>
        <v>1308.8198380816207</v>
      </c>
      <c r="F66" s="452">
        <f>[5]CZ_A!F44</f>
        <v>1024.2222632011496</v>
      </c>
      <c r="G66" s="452">
        <f>[5]CZ_A!G44</f>
        <v>450.32781351453008</v>
      </c>
      <c r="H66" s="452">
        <f>IF(G66+([6]CZ_A!H44-[6]CZ_A!G44)&gt;=0,G66+([6]CZ_A!H44-[6]CZ_A!G44),0)</f>
        <v>18.0947739637582</v>
      </c>
      <c r="I66" s="452">
        <f>IF(H66+([6]CZ_A!I44-[6]CZ_A!H44)&gt;=0,H66+([6]CZ_A!I44-[6]CZ_A!H44),0)</f>
        <v>0</v>
      </c>
      <c r="J66" s="452">
        <f>IF(I66+([6]CZ_A!J44-[6]CZ_A!I44)&gt;=0,I66+([6]CZ_A!J44-[6]CZ_A!I44),0)</f>
        <v>0</v>
      </c>
      <c r="K66" s="452">
        <f>IF(J66+([6]CZ_A!K44-[6]CZ_A!J44)&gt;=0,J66+([6]CZ_A!K44-[6]CZ_A!J44),0)</f>
        <v>0</v>
      </c>
      <c r="L66" s="448" t="s">
        <v>1200</v>
      </c>
      <c r="M66" s="448" t="s">
        <v>1201</v>
      </c>
      <c r="N66" s="297"/>
    </row>
    <row r="67" spans="1:14" x14ac:dyDescent="0.25">
      <c r="A67" s="450" t="s">
        <v>715</v>
      </c>
      <c r="B67" s="450" t="s">
        <v>1149</v>
      </c>
      <c r="C67" s="431" t="s">
        <v>1199</v>
      </c>
      <c r="D67" s="452">
        <f>[5]CZ_A!D45</f>
        <v>6409.9195558461797</v>
      </c>
      <c r="E67" s="452">
        <f>[5]CZ_A!E45</f>
        <v>5823.0976255661571</v>
      </c>
      <c r="F67" s="452">
        <f>[5]CZ_A!F45</f>
        <v>5985.5720942227108</v>
      </c>
      <c r="G67" s="452">
        <f>[5]CZ_A!G45</f>
        <v>5371.3541387891219</v>
      </c>
      <c r="H67" s="452">
        <f>IF(G67+([6]CZ_A!H45-[6]CZ_A!G45)&gt;=0,G67+([6]CZ_A!H45-[6]CZ_A!G45),0)</f>
        <v>5088.0621276819193</v>
      </c>
      <c r="I67" s="452">
        <f>IF(H67+([6]CZ_A!I45-[6]CZ_A!H45)&gt;=0,H67+([6]CZ_A!I45-[6]CZ_A!H45),0)</f>
        <v>4869.1443371052546</v>
      </c>
      <c r="J67" s="452">
        <f>IF(I67+([6]CZ_A!J45-[6]CZ_A!I45)&gt;=0,I67+([6]CZ_A!J45-[6]CZ_A!I45),0)</f>
        <v>4610.340968723136</v>
      </c>
      <c r="K67" s="452">
        <f>IF(J67+([6]CZ_A!K45-[6]CZ_A!J45)&gt;=0,J67+([6]CZ_A!K45-[6]CZ_A!J45),0)</f>
        <v>4433.936935321377</v>
      </c>
      <c r="L67" s="448" t="s">
        <v>1200</v>
      </c>
      <c r="M67" s="448" t="s">
        <v>1201</v>
      </c>
      <c r="N67" s="297"/>
    </row>
    <row r="68" spans="1:14" x14ac:dyDescent="0.25">
      <c r="A68" s="450" t="s">
        <v>432</v>
      </c>
      <c r="B68" s="450" t="s">
        <v>1149</v>
      </c>
      <c r="C68" s="431" t="s">
        <v>1199</v>
      </c>
      <c r="D68" s="452">
        <f>[5]CZ_A!D46</f>
        <v>5298.5598659146217</v>
      </c>
      <c r="E68" s="452">
        <f>[5]CZ_A!E46</f>
        <v>4966.5368667020448</v>
      </c>
      <c r="F68" s="452">
        <f>[5]CZ_A!F46</f>
        <v>5218.5799780071175</v>
      </c>
      <c r="G68" s="452">
        <f>[5]CZ_A!G46</f>
        <v>4378.5394201458048</v>
      </c>
      <c r="H68" s="452">
        <f>IF(G68+([6]CZ_A!H46-[6]CZ_A!G46)&gt;=0,G68+([6]CZ_A!H46-[6]CZ_A!G46),0)</f>
        <v>4203.9261908995049</v>
      </c>
      <c r="I68" s="452">
        <f>IF(H68+([6]CZ_A!I46-[6]CZ_A!H46)&gt;=0,H68+([6]CZ_A!I46-[6]CZ_A!H46),0)</f>
        <v>4141.6383113612419</v>
      </c>
      <c r="J68" s="452">
        <f>IF(I68+([6]CZ_A!J46-[6]CZ_A!I46)&gt;=0,I68+([6]CZ_A!J46-[6]CZ_A!I46),0)</f>
        <v>4237.9760366684568</v>
      </c>
      <c r="K68" s="452">
        <f>IF(J68+([6]CZ_A!K46-[6]CZ_A!J46)&gt;=0,J68+([6]CZ_A!K46-[6]CZ_A!J46),0)</f>
        <v>4234.6789874922615</v>
      </c>
      <c r="L68" s="448" t="s">
        <v>1200</v>
      </c>
      <c r="M68" s="448" t="s">
        <v>1201</v>
      </c>
      <c r="N68" s="297"/>
    </row>
    <row r="69" spans="1:14" x14ac:dyDescent="0.25">
      <c r="A69" s="297" t="s">
        <v>835</v>
      </c>
      <c r="B69" s="450" t="s">
        <v>1149</v>
      </c>
      <c r="C69" s="431" t="s">
        <v>1199</v>
      </c>
      <c r="D69" s="452">
        <f>[5]CZ_A!D48</f>
        <v>2075.5436363662893</v>
      </c>
      <c r="E69" s="452">
        <f>[5]CZ_A!E48</f>
        <v>1946.3296538490479</v>
      </c>
      <c r="F69" s="452">
        <f>[5]CZ_A!F48</f>
        <v>2328.3807114479046</v>
      </c>
      <c r="G69" s="452">
        <f>[5]CZ_A!G48</f>
        <v>2259.423587812023</v>
      </c>
      <c r="H69" s="452">
        <f>IF(G69+([6]CZ_A!H48-[6]CZ_A!G48)&gt;=0,G69+([6]CZ_A!H48-[6]CZ_A!G48),0)</f>
        <v>2286.6577485547987</v>
      </c>
      <c r="I69" s="452">
        <f>IF(H69+([6]CZ_A!I48-[6]CZ_A!H48)&gt;=0,H69+([6]CZ_A!I48-[6]CZ_A!H48),0)</f>
        <v>2283.2221960821848</v>
      </c>
      <c r="J69" s="452">
        <f>IF(I69+([6]CZ_A!J48-[6]CZ_A!I48)&gt;=0,I69+([6]CZ_A!J48-[6]CZ_A!I48),0)</f>
        <v>2182.9924169472706</v>
      </c>
      <c r="K69" s="452">
        <f>IF(J69+([6]CZ_A!K48-[6]CZ_A!J48)&gt;=0,J69+([6]CZ_A!K48-[6]CZ_A!J48),0)</f>
        <v>2168.5670526933368</v>
      </c>
      <c r="L69" s="448" t="s">
        <v>1200</v>
      </c>
      <c r="M69" s="448" t="s">
        <v>1201</v>
      </c>
      <c r="N69" s="297"/>
    </row>
    <row r="70" spans="1:14" x14ac:dyDescent="0.25">
      <c r="A70" s="431" t="s">
        <v>711</v>
      </c>
      <c r="B70" s="450" t="s">
        <v>1149</v>
      </c>
      <c r="C70" s="431" t="s">
        <v>1199</v>
      </c>
      <c r="D70" s="452">
        <f>[5]CZ_A!D49</f>
        <v>3025.884650644588</v>
      </c>
      <c r="E70" s="452">
        <f>[5]CZ_A!E49</f>
        <v>3550.6992105285226</v>
      </c>
      <c r="F70" s="452">
        <f>[5]CZ_A!F49</f>
        <v>3729.839040651927</v>
      </c>
      <c r="G70" s="452">
        <f>[5]CZ_A!G49</f>
        <v>3738.3408432553133</v>
      </c>
      <c r="H70" s="452">
        <f>IF(G70+([6]CZ_A!H49-[6]CZ_A!G49)&gt;=0,G70+([6]CZ_A!H49-[6]CZ_A!G49),0)</f>
        <v>4063.4467023975403</v>
      </c>
      <c r="I70" s="452">
        <f>IF(H70+([6]CZ_A!I49-[6]CZ_A!H49)&gt;=0,H70+([6]CZ_A!I49-[6]CZ_A!H49),0)</f>
        <v>3967.4560920718232</v>
      </c>
      <c r="J70" s="452">
        <f>IF(I70+([6]CZ_A!J49-[6]CZ_A!I49)&gt;=0,I70+([6]CZ_A!J49-[6]CZ_A!I49),0)</f>
        <v>3731.8088177382924</v>
      </c>
      <c r="K70" s="452">
        <f>IF(J70+([6]CZ_A!K49-[6]CZ_A!J49)&gt;=0,J70+([6]CZ_A!K49-[6]CZ_A!J49),0)</f>
        <v>3637.9719317984959</v>
      </c>
      <c r="L70" s="448" t="s">
        <v>1200</v>
      </c>
      <c r="M70" s="448" t="s">
        <v>1201</v>
      </c>
      <c r="N70" s="297"/>
    </row>
    <row r="71" spans="1:14" x14ac:dyDescent="0.25">
      <c r="A71" s="450" t="s">
        <v>836</v>
      </c>
      <c r="B71" s="450" t="s">
        <v>1149</v>
      </c>
      <c r="C71" s="431" t="s">
        <v>1199</v>
      </c>
      <c r="D71" s="452">
        <f>[5]CZ_A!D47</f>
        <v>4689.3430071064868</v>
      </c>
      <c r="E71" s="452">
        <f>[5]CZ_A!E47</f>
        <v>4462.7411410777249</v>
      </c>
      <c r="F71" s="452">
        <f>[5]CZ_A!F47</f>
        <v>4985.3302137815999</v>
      </c>
      <c r="G71" s="452">
        <f>[5]CZ_A!G47</f>
        <v>5606.8969350458383</v>
      </c>
      <c r="H71" s="452">
        <f>IF(G71+([6]CZ_A!H47-[6]CZ_A!G47)&gt;=0,G71+([6]CZ_A!H47-[6]CZ_A!G47),0)</f>
        <v>5883.7873158011016</v>
      </c>
      <c r="I71" s="452">
        <f>IF(H71+([6]CZ_A!I47-[6]CZ_A!H47)&gt;=0,H71+([6]CZ_A!I47-[6]CZ_A!H47),0)</f>
        <v>6197.7397235763938</v>
      </c>
      <c r="J71" s="452">
        <f>IF(I71+([6]CZ_A!J47-[6]CZ_A!I47)&gt;=0,I71+([6]CZ_A!J47-[6]CZ_A!I47),0)</f>
        <v>6512.539061079201</v>
      </c>
      <c r="K71" s="452">
        <f>IF(J71+([6]CZ_A!K47-[6]CZ_A!J47)&gt;=0,J71+([6]CZ_A!K47-[6]CZ_A!J47),0)</f>
        <v>6763.4830982896892</v>
      </c>
      <c r="L71" s="448" t="s">
        <v>1200</v>
      </c>
      <c r="M71" s="448" t="s">
        <v>1201</v>
      </c>
      <c r="N71" s="297"/>
    </row>
    <row r="72" spans="1:14" x14ac:dyDescent="0.25">
      <c r="A72" s="373" t="s">
        <v>1157</v>
      </c>
      <c r="B72" s="453"/>
      <c r="C72" s="431" t="s">
        <v>1199</v>
      </c>
      <c r="D72" s="441">
        <f>SUM(D66:D71)</f>
        <v>23064.057220138235</v>
      </c>
      <c r="E72" s="441">
        <f t="shared" ref="E72:K72" si="27">SUM(E66:E71)</f>
        <v>22058.224335805116</v>
      </c>
      <c r="F72" s="441">
        <f t="shared" si="27"/>
        <v>23271.924301312407</v>
      </c>
      <c r="G72" s="441">
        <f t="shared" si="27"/>
        <v>21804.882738562632</v>
      </c>
      <c r="H72" s="441">
        <f t="shared" si="27"/>
        <v>21543.974859298625</v>
      </c>
      <c r="I72" s="441">
        <f t="shared" si="27"/>
        <v>21459.200660196897</v>
      </c>
      <c r="J72" s="441">
        <f t="shared" si="27"/>
        <v>21275.657301156356</v>
      </c>
      <c r="K72" s="441">
        <f t="shared" si="27"/>
        <v>21238.638005595159</v>
      </c>
      <c r="L72" s="448" t="s">
        <v>1200</v>
      </c>
      <c r="M72" s="448" t="s">
        <v>1201</v>
      </c>
      <c r="N72" s="297"/>
    </row>
    <row r="73" spans="1:14" x14ac:dyDescent="0.25">
      <c r="C73" s="2"/>
    </row>
    <row r="74" spans="1:14" x14ac:dyDescent="0.25">
      <c r="C74" s="2"/>
    </row>
    <row r="75" spans="1:14" x14ac:dyDescent="0.25">
      <c r="C75" s="2"/>
    </row>
    <row r="76" spans="1:14" x14ac:dyDescent="0.25">
      <c r="C76" s="2"/>
    </row>
    <row r="77" spans="1:14" x14ac:dyDescent="0.25">
      <c r="C77" s="2"/>
    </row>
    <row r="78" spans="1:14" x14ac:dyDescent="0.25">
      <c r="C78" s="2"/>
    </row>
  </sheetData>
  <mergeCells count="5">
    <mergeCell ref="N4:N9"/>
    <mergeCell ref="N11:N16"/>
    <mergeCell ref="N30:N32"/>
    <mergeCell ref="N18:N23"/>
    <mergeCell ref="N25:N28"/>
  </mergeCells>
  <pageMargins left="0.7" right="0.7" top="0.78740157499999996" bottom="0.78740157499999996" header="0.3" footer="0.3"/>
  <pageSetup paperSize="9" orientation="portrait" verticalDpi="0"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8"/>
  <sheetViews>
    <sheetView zoomScale="75" zoomScaleNormal="75" workbookViewId="0">
      <pane xSplit="3" ySplit="1" topLeftCell="D2" activePane="bottomRight" state="frozen"/>
      <selection pane="topRight" activeCell="D1" sqref="D1"/>
      <selection pane="bottomLeft" activeCell="A2" sqref="A2"/>
      <selection pane="bottomRight" activeCell="D4" sqref="D4"/>
    </sheetView>
  </sheetViews>
  <sheetFormatPr defaultColWidth="8.25" defaultRowHeight="15" x14ac:dyDescent="0.25"/>
  <cols>
    <col min="1" max="1" width="94.25" style="118" bestFit="1" customWidth="1"/>
    <col min="2" max="2" width="14.625" style="118" customWidth="1"/>
    <col min="3" max="3" width="21.125" style="118" customWidth="1"/>
    <col min="4" max="11" width="10.25" style="15" customWidth="1"/>
    <col min="12" max="14" width="50" style="15" customWidth="1"/>
    <col min="15" max="16384" width="8.25" style="15"/>
  </cols>
  <sheetData>
    <row r="1" spans="1:14" x14ac:dyDescent="0.25">
      <c r="A1" s="387" t="s">
        <v>0</v>
      </c>
      <c r="B1" s="387" t="s">
        <v>1</v>
      </c>
      <c r="C1" s="387" t="s">
        <v>1147</v>
      </c>
      <c r="D1" s="373" t="s">
        <v>1148</v>
      </c>
      <c r="E1" s="297"/>
      <c r="F1" s="297"/>
      <c r="G1" s="297"/>
      <c r="H1" s="297"/>
      <c r="I1" s="297"/>
      <c r="J1" s="297"/>
      <c r="K1" s="297"/>
      <c r="L1" s="373" t="s">
        <v>1146</v>
      </c>
      <c r="M1" s="373" t="s">
        <v>1145</v>
      </c>
      <c r="N1" s="373" t="s">
        <v>1177</v>
      </c>
    </row>
    <row r="2" spans="1:14" x14ac:dyDescent="0.25">
      <c r="A2" s="387" t="s">
        <v>1057</v>
      </c>
      <c r="B2" s="387"/>
      <c r="C2" s="387"/>
      <c r="D2" s="439" t="s">
        <v>1172</v>
      </c>
      <c r="E2" s="288" t="s">
        <v>1175</v>
      </c>
      <c r="F2" s="297"/>
      <c r="G2" s="297"/>
      <c r="H2" s="297"/>
      <c r="I2" s="297"/>
      <c r="J2" s="297"/>
      <c r="K2" s="297"/>
      <c r="L2" s="429"/>
      <c r="M2" s="431"/>
      <c r="N2" s="431"/>
    </row>
    <row r="3" spans="1:14" x14ac:dyDescent="0.25">
      <c r="A3" s="375" t="s">
        <v>914</v>
      </c>
      <c r="B3" s="375"/>
      <c r="C3" s="375"/>
      <c r="D3" s="376" t="s">
        <v>1129</v>
      </c>
      <c r="E3" s="376" t="s">
        <v>1130</v>
      </c>
      <c r="F3" s="376" t="s">
        <v>1131</v>
      </c>
      <c r="G3" s="376" t="s">
        <v>1132</v>
      </c>
      <c r="H3" s="376" t="s">
        <v>1133</v>
      </c>
      <c r="I3" s="376" t="s">
        <v>1134</v>
      </c>
      <c r="J3" s="376" t="s">
        <v>1135</v>
      </c>
      <c r="K3" s="376" t="s">
        <v>1136</v>
      </c>
      <c r="L3" s="373"/>
      <c r="M3" s="373"/>
      <c r="N3" s="373"/>
    </row>
    <row r="4" spans="1:14" ht="15" customHeight="1" x14ac:dyDescent="0.25">
      <c r="A4" s="15" t="s">
        <v>1037</v>
      </c>
      <c r="B4" s="2" t="s">
        <v>730</v>
      </c>
      <c r="C4" s="288" t="s">
        <v>1191</v>
      </c>
      <c r="D4" s="436">
        <f>100%*D$7</f>
        <v>1</v>
      </c>
      <c r="E4" s="437">
        <f t="shared" ref="E4:E9" si="0">D4+(K4-D4)/7</f>
        <v>0.85714285714285721</v>
      </c>
      <c r="F4" s="437">
        <f t="shared" ref="F4:F9" si="1">D4+2*(K4-D4)/7</f>
        <v>0.7142857142857143</v>
      </c>
      <c r="G4" s="437">
        <f t="shared" ref="G4:G9" si="2">D4+3*(K4-D4)/7</f>
        <v>0.5714285714285714</v>
      </c>
      <c r="H4" s="437">
        <f t="shared" ref="H4:H9" si="3">D4+4*(K4-D4)/7</f>
        <v>0.4285714285714286</v>
      </c>
      <c r="I4" s="437">
        <f t="shared" ref="I4:I9" si="4">D4+5*(K4-D4)/7</f>
        <v>0.2857142857142857</v>
      </c>
      <c r="J4" s="437">
        <f t="shared" ref="J4:J9" si="5">D4+6*(K4-D4)/7</f>
        <v>0.1428571428571429</v>
      </c>
      <c r="K4" s="436">
        <f>0%*193/100</f>
        <v>0</v>
      </c>
      <c r="L4" s="15" t="s">
        <v>1159</v>
      </c>
      <c r="M4" s="15" t="s">
        <v>1159</v>
      </c>
      <c r="N4" s="476" t="s">
        <v>1185</v>
      </c>
    </row>
    <row r="5" spans="1:14" x14ac:dyDescent="0.25">
      <c r="A5" s="15" t="s">
        <v>1038</v>
      </c>
      <c r="B5" s="2" t="s">
        <v>731</v>
      </c>
      <c r="C5" s="288" t="s">
        <v>1191</v>
      </c>
      <c r="D5" s="436">
        <f>0%*D$7</f>
        <v>0</v>
      </c>
      <c r="E5" s="437">
        <f t="shared" si="0"/>
        <v>5.2385714285714292E-2</v>
      </c>
      <c r="F5" s="437">
        <f t="shared" si="1"/>
        <v>0.10477142857142858</v>
      </c>
      <c r="G5" s="437">
        <f t="shared" si="2"/>
        <v>0.15715714285714286</v>
      </c>
      <c r="H5" s="437">
        <f t="shared" si="3"/>
        <v>0.20954285714285717</v>
      </c>
      <c r="I5" s="437">
        <f t="shared" si="4"/>
        <v>0.26192857142857146</v>
      </c>
      <c r="J5" s="437">
        <f t="shared" si="5"/>
        <v>0.31431428571428571</v>
      </c>
      <c r="K5" s="436">
        <f>19%*193/100</f>
        <v>0.36670000000000003</v>
      </c>
      <c r="L5" s="15" t="s">
        <v>1159</v>
      </c>
      <c r="M5" s="15" t="s">
        <v>1159</v>
      </c>
      <c r="N5" s="477"/>
    </row>
    <row r="6" spans="1:14" x14ac:dyDescent="0.25">
      <c r="A6" s="15" t="s">
        <v>1039</v>
      </c>
      <c r="B6" s="2" t="s">
        <v>746</v>
      </c>
      <c r="C6" s="288" t="s">
        <v>1191</v>
      </c>
      <c r="D6" s="436">
        <f>0%*D$7</f>
        <v>0</v>
      </c>
      <c r="E6" s="437">
        <f t="shared" si="0"/>
        <v>7.7200000000000019E-2</v>
      </c>
      <c r="F6" s="437">
        <f t="shared" si="1"/>
        <v>0.15440000000000004</v>
      </c>
      <c r="G6" s="437">
        <f t="shared" si="2"/>
        <v>0.23160000000000006</v>
      </c>
      <c r="H6" s="437">
        <f t="shared" si="3"/>
        <v>0.30880000000000007</v>
      </c>
      <c r="I6" s="437">
        <f t="shared" si="4"/>
        <v>0.38600000000000007</v>
      </c>
      <c r="J6" s="437">
        <f t="shared" si="5"/>
        <v>0.46320000000000011</v>
      </c>
      <c r="K6" s="436">
        <f>28%*193/100</f>
        <v>0.5404000000000001</v>
      </c>
      <c r="L6" s="15" t="s">
        <v>1159</v>
      </c>
      <c r="M6" s="15" t="s">
        <v>1159</v>
      </c>
      <c r="N6" s="477"/>
    </row>
    <row r="7" spans="1:14" x14ac:dyDescent="0.25">
      <c r="A7" s="24" t="s">
        <v>1105</v>
      </c>
      <c r="B7" s="2"/>
      <c r="C7" s="288" t="s">
        <v>1158</v>
      </c>
      <c r="D7" s="435">
        <f>100/100</f>
        <v>1</v>
      </c>
      <c r="E7" s="440">
        <f t="shared" si="0"/>
        <v>0.9867285714285714</v>
      </c>
      <c r="F7" s="440">
        <f t="shared" si="1"/>
        <v>0.97345714285714291</v>
      </c>
      <c r="G7" s="440">
        <f t="shared" si="2"/>
        <v>0.96018571428571431</v>
      </c>
      <c r="H7" s="440">
        <f t="shared" si="3"/>
        <v>0.94691428571428582</v>
      </c>
      <c r="I7" s="440">
        <f t="shared" si="4"/>
        <v>0.93364285714285722</v>
      </c>
      <c r="J7" s="440">
        <f t="shared" si="5"/>
        <v>0.92037142857142873</v>
      </c>
      <c r="K7" s="435">
        <f>(19%+28%)*193/100</f>
        <v>0.90710000000000013</v>
      </c>
      <c r="L7" s="15" t="s">
        <v>1161</v>
      </c>
      <c r="M7" s="15" t="s">
        <v>1161</v>
      </c>
      <c r="N7" s="477"/>
    </row>
    <row r="8" spans="1:14" x14ac:dyDescent="0.25">
      <c r="A8" s="15" t="s">
        <v>1040</v>
      </c>
      <c r="B8" s="2" t="s">
        <v>166</v>
      </c>
      <c r="C8" s="288" t="s">
        <v>1191</v>
      </c>
      <c r="D8" s="436">
        <f>100%*D$9</f>
        <v>1</v>
      </c>
      <c r="E8" s="437">
        <f t="shared" si="0"/>
        <v>1.0689233954451345</v>
      </c>
      <c r="F8" s="437">
        <f t="shared" si="1"/>
        <v>1.1378467908902692</v>
      </c>
      <c r="G8" s="437">
        <f t="shared" si="2"/>
        <v>1.2067701863354037</v>
      </c>
      <c r="H8" s="437">
        <f t="shared" si="3"/>
        <v>1.2756935817805384</v>
      </c>
      <c r="I8" s="437">
        <f t="shared" si="4"/>
        <v>1.3446169772256729</v>
      </c>
      <c r="J8" s="437">
        <f t="shared" si="5"/>
        <v>1.4135403726708073</v>
      </c>
      <c r="K8" s="436">
        <f>(6%+47%)*193/69</f>
        <v>1.482463768115942</v>
      </c>
      <c r="L8" s="15" t="s">
        <v>1159</v>
      </c>
      <c r="M8" s="15" t="s">
        <v>1159</v>
      </c>
      <c r="N8" s="477"/>
    </row>
    <row r="9" spans="1:14" x14ac:dyDescent="0.25">
      <c r="A9" s="24" t="s">
        <v>1101</v>
      </c>
      <c r="B9" s="2"/>
      <c r="C9" s="288" t="s">
        <v>1158</v>
      </c>
      <c r="D9" s="435">
        <f>69/69</f>
        <v>1</v>
      </c>
      <c r="E9" s="440">
        <f t="shared" si="0"/>
        <v>1.0689233954451345</v>
      </c>
      <c r="F9" s="440">
        <f t="shared" si="1"/>
        <v>1.1378467908902692</v>
      </c>
      <c r="G9" s="440">
        <f t="shared" si="2"/>
        <v>1.2067701863354037</v>
      </c>
      <c r="H9" s="440">
        <f t="shared" si="3"/>
        <v>1.2756935817805384</v>
      </c>
      <c r="I9" s="440">
        <f t="shared" si="4"/>
        <v>1.3446169772256729</v>
      </c>
      <c r="J9" s="440">
        <f t="shared" si="5"/>
        <v>1.4135403726708073</v>
      </c>
      <c r="K9" s="435">
        <f>(6%+47%)*193/69</f>
        <v>1.482463768115942</v>
      </c>
      <c r="L9" s="15" t="s">
        <v>1161</v>
      </c>
      <c r="M9" s="15" t="s">
        <v>1161</v>
      </c>
      <c r="N9" s="477"/>
    </row>
    <row r="10" spans="1:14" x14ac:dyDescent="0.25">
      <c r="A10" s="373" t="s">
        <v>917</v>
      </c>
      <c r="B10" s="373"/>
      <c r="C10" s="373"/>
      <c r="D10" s="376" t="s">
        <v>1129</v>
      </c>
      <c r="E10" s="376" t="s">
        <v>1130</v>
      </c>
      <c r="F10" s="376" t="s">
        <v>1131</v>
      </c>
      <c r="G10" s="376" t="s">
        <v>1132</v>
      </c>
      <c r="H10" s="376" t="s">
        <v>1133</v>
      </c>
      <c r="I10" s="376" t="s">
        <v>1134</v>
      </c>
      <c r="J10" s="376" t="s">
        <v>1135</v>
      </c>
      <c r="K10" s="376" t="s">
        <v>1136</v>
      </c>
      <c r="L10" s="297"/>
      <c r="M10" s="297"/>
      <c r="N10" s="297"/>
    </row>
    <row r="11" spans="1:14" ht="15" customHeight="1" x14ac:dyDescent="0.25">
      <c r="A11" s="15" t="s">
        <v>1041</v>
      </c>
      <c r="B11" s="2" t="s">
        <v>735</v>
      </c>
      <c r="C11" s="15" t="s">
        <v>1191</v>
      </c>
      <c r="D11" s="436">
        <f>100%*D$7</f>
        <v>1</v>
      </c>
      <c r="E11" s="437">
        <f t="shared" ref="E11:E16" si="6">D11+(K11-D11)/7</f>
        <v>0.85714285714285721</v>
      </c>
      <c r="F11" s="437">
        <f t="shared" ref="F11:F16" si="7">D11+2*(K11-D11)/7</f>
        <v>0.7142857142857143</v>
      </c>
      <c r="G11" s="437">
        <f t="shared" ref="G11:G16" si="8">D11+3*(K11-D11)/7</f>
        <v>0.5714285714285714</v>
      </c>
      <c r="H11" s="437">
        <f t="shared" ref="H11:H16" si="9">D11+4*(K11-D11)/7</f>
        <v>0.4285714285714286</v>
      </c>
      <c r="I11" s="437">
        <f t="shared" ref="I11:I16" si="10">D11+5*(K11-D11)/7</f>
        <v>0.2857142857142857</v>
      </c>
      <c r="J11" s="437">
        <f t="shared" ref="J11:J16" si="11">D11+6*(K11-D11)/7</f>
        <v>0.1428571428571429</v>
      </c>
      <c r="K11" s="436">
        <f>0/(((184-19)/184)*167)</f>
        <v>0</v>
      </c>
      <c r="L11" s="20" t="s">
        <v>1023</v>
      </c>
      <c r="M11" s="20" t="s">
        <v>1179</v>
      </c>
      <c r="N11" s="476" t="s">
        <v>1178</v>
      </c>
    </row>
    <row r="12" spans="1:14" x14ac:dyDescent="0.25">
      <c r="A12" s="15" t="s">
        <v>1042</v>
      </c>
      <c r="B12" s="2" t="s">
        <v>736</v>
      </c>
      <c r="C12" s="15" t="s">
        <v>1191</v>
      </c>
      <c r="D12" s="436">
        <f>0%*D$7</f>
        <v>0</v>
      </c>
      <c r="E12" s="437">
        <f t="shared" si="6"/>
        <v>1.5262980532441612E-2</v>
      </c>
      <c r="F12" s="437">
        <f t="shared" si="7"/>
        <v>3.0525961064883225E-2</v>
      </c>
      <c r="G12" s="437">
        <f t="shared" si="8"/>
        <v>4.5788941597324835E-2</v>
      </c>
      <c r="H12" s="437">
        <f t="shared" si="9"/>
        <v>6.1051922129766449E-2</v>
      </c>
      <c r="I12" s="437">
        <f t="shared" si="10"/>
        <v>7.6314902662208056E-2</v>
      </c>
      <c r="J12" s="437">
        <f t="shared" si="11"/>
        <v>9.157788319464967E-2</v>
      </c>
      <c r="K12" s="436">
        <f>16/(((184-19)/184)*167)</f>
        <v>0.10684086372709128</v>
      </c>
      <c r="L12" s="20" t="s">
        <v>1023</v>
      </c>
      <c r="M12" s="20" t="s">
        <v>1179</v>
      </c>
      <c r="N12" s="477"/>
    </row>
    <row r="13" spans="1:14" x14ac:dyDescent="0.25">
      <c r="A13" s="15" t="s">
        <v>1043</v>
      </c>
      <c r="B13" s="2" t="s">
        <v>744</v>
      </c>
      <c r="C13" s="15" t="s">
        <v>1191</v>
      </c>
      <c r="D13" s="436">
        <f>0%*D$7</f>
        <v>0</v>
      </c>
      <c r="E13" s="437">
        <f t="shared" si="6"/>
        <v>0.14118256992508491</v>
      </c>
      <c r="F13" s="437">
        <f t="shared" si="7"/>
        <v>0.28236513985016981</v>
      </c>
      <c r="G13" s="437">
        <f t="shared" si="8"/>
        <v>0.42354770977525469</v>
      </c>
      <c r="H13" s="437">
        <f t="shared" si="9"/>
        <v>0.56473027970033962</v>
      </c>
      <c r="I13" s="437">
        <f t="shared" si="10"/>
        <v>0.70591284962542455</v>
      </c>
      <c r="J13" s="437">
        <f t="shared" si="11"/>
        <v>0.84709541955050938</v>
      </c>
      <c r="K13" s="436">
        <f>148/(((184-19)/184)*167)</f>
        <v>0.98827798947559431</v>
      </c>
      <c r="L13" s="20" t="s">
        <v>1023</v>
      </c>
      <c r="M13" s="20" t="s">
        <v>1179</v>
      </c>
      <c r="N13" s="477"/>
    </row>
    <row r="14" spans="1:14" x14ac:dyDescent="0.25">
      <c r="A14" s="19" t="s">
        <v>1155</v>
      </c>
      <c r="B14" s="2"/>
      <c r="C14" s="288" t="s">
        <v>1158</v>
      </c>
      <c r="D14" s="435">
        <f>(((184-19)/184)*167)/(((184-19)/184)*167)</f>
        <v>1</v>
      </c>
      <c r="E14" s="440">
        <f t="shared" si="6"/>
        <v>1.0135884076003836</v>
      </c>
      <c r="F14" s="440">
        <f t="shared" si="7"/>
        <v>1.0271768152007674</v>
      </c>
      <c r="G14" s="440">
        <f t="shared" si="8"/>
        <v>1.040765222801151</v>
      </c>
      <c r="H14" s="440">
        <f t="shared" si="9"/>
        <v>1.0543536304015346</v>
      </c>
      <c r="I14" s="440">
        <f t="shared" si="10"/>
        <v>1.0679420380019182</v>
      </c>
      <c r="J14" s="440">
        <f t="shared" si="11"/>
        <v>1.081530445602302</v>
      </c>
      <c r="K14" s="435">
        <f>(16+148)/(((184-19)/184)*167)</f>
        <v>1.0951188532026856</v>
      </c>
      <c r="L14" s="15" t="s">
        <v>1197</v>
      </c>
      <c r="M14" s="15" t="s">
        <v>1197</v>
      </c>
      <c r="N14" s="477"/>
    </row>
    <row r="15" spans="1:14" x14ac:dyDescent="0.25">
      <c r="A15" s="15" t="s">
        <v>161</v>
      </c>
      <c r="B15" s="2" t="s">
        <v>160</v>
      </c>
      <c r="C15" s="15" t="s">
        <v>1191</v>
      </c>
      <c r="D15" s="436">
        <f>100%*D$9</f>
        <v>1</v>
      </c>
      <c r="E15" s="437">
        <f t="shared" si="6"/>
        <v>1.0145423438836612</v>
      </c>
      <c r="F15" s="437">
        <f t="shared" si="7"/>
        <v>1.0290846877673225</v>
      </c>
      <c r="G15" s="437">
        <f t="shared" si="8"/>
        <v>1.0436270316509837</v>
      </c>
      <c r="H15" s="437">
        <f t="shared" si="9"/>
        <v>1.0581693755346451</v>
      </c>
      <c r="I15" s="437">
        <f t="shared" si="10"/>
        <v>1.0727117194183062</v>
      </c>
      <c r="J15" s="437">
        <f t="shared" si="11"/>
        <v>1.0872540633019676</v>
      </c>
      <c r="K15" s="436">
        <f>19/((19/184)*167)</f>
        <v>1.1017964071856288</v>
      </c>
      <c r="L15" s="20" t="s">
        <v>1179</v>
      </c>
      <c r="M15" s="20" t="s">
        <v>1179</v>
      </c>
      <c r="N15" s="477"/>
    </row>
    <row r="16" spans="1:14" x14ac:dyDescent="0.25">
      <c r="A16" s="19" t="s">
        <v>1155</v>
      </c>
      <c r="B16" s="2"/>
      <c r="C16" s="288" t="s">
        <v>1158</v>
      </c>
      <c r="D16" s="435">
        <f>((19/184)*167)/((19/184)*167)</f>
        <v>1</v>
      </c>
      <c r="E16" s="440">
        <f t="shared" si="6"/>
        <v>1.0145423438836612</v>
      </c>
      <c r="F16" s="440">
        <f t="shared" si="7"/>
        <v>1.0290846877673225</v>
      </c>
      <c r="G16" s="440">
        <f t="shared" si="8"/>
        <v>1.0436270316509837</v>
      </c>
      <c r="H16" s="440">
        <f t="shared" si="9"/>
        <v>1.0581693755346451</v>
      </c>
      <c r="I16" s="440">
        <f t="shared" si="10"/>
        <v>1.0727117194183062</v>
      </c>
      <c r="J16" s="440">
        <f t="shared" si="11"/>
        <v>1.0872540633019676</v>
      </c>
      <c r="K16" s="435">
        <f>19/((19/184)*167)</f>
        <v>1.1017964071856288</v>
      </c>
      <c r="L16" s="15" t="s">
        <v>1197</v>
      </c>
      <c r="M16" s="15" t="s">
        <v>1197</v>
      </c>
      <c r="N16" s="477"/>
    </row>
    <row r="17" spans="1:14" x14ac:dyDescent="0.25">
      <c r="A17" s="373" t="s">
        <v>1054</v>
      </c>
      <c r="B17" s="373"/>
      <c r="C17" s="373"/>
      <c r="D17" s="376" t="s">
        <v>1129</v>
      </c>
      <c r="E17" s="376" t="s">
        <v>1130</v>
      </c>
      <c r="F17" s="376" t="s">
        <v>1131</v>
      </c>
      <c r="G17" s="376" t="s">
        <v>1132</v>
      </c>
      <c r="H17" s="376" t="s">
        <v>1133</v>
      </c>
      <c r="I17" s="376" t="s">
        <v>1134</v>
      </c>
      <c r="J17" s="376" t="s">
        <v>1135</v>
      </c>
      <c r="K17" s="376" t="s">
        <v>1136</v>
      </c>
      <c r="L17" s="297"/>
      <c r="M17" s="297"/>
      <c r="N17" s="297"/>
    </row>
    <row r="18" spans="1:14" ht="15" customHeight="1" x14ac:dyDescent="0.25">
      <c r="A18" s="15" t="s">
        <v>1044</v>
      </c>
      <c r="B18" s="2" t="s">
        <v>737</v>
      </c>
      <c r="C18" s="15" t="s">
        <v>1191</v>
      </c>
      <c r="D18" s="436">
        <f>100%*D$7</f>
        <v>1</v>
      </c>
      <c r="E18" s="437">
        <f t="shared" ref="E18:E23" si="12">D18+(K18-D18)/7</f>
        <v>0.85714285714285721</v>
      </c>
      <c r="F18" s="437">
        <f t="shared" ref="F18:F23" si="13">D18+2*(K18-D18)/7</f>
        <v>0.7142857142857143</v>
      </c>
      <c r="G18" s="437">
        <f t="shared" ref="G18:G23" si="14">D18+3*(K18-D18)/7</f>
        <v>0.5714285714285714</v>
      </c>
      <c r="H18" s="437">
        <f t="shared" ref="H18:H23" si="15">D18+4*(K18-D18)/7</f>
        <v>0.4285714285714286</v>
      </c>
      <c r="I18" s="437">
        <f t="shared" ref="I18:I23" si="16">D18+5*(K18-D18)/7</f>
        <v>0.2857142857142857</v>
      </c>
      <c r="J18" s="437">
        <f t="shared" ref="J18:J23" si="17">D18+6*(K18-D18)/7</f>
        <v>0.1428571428571429</v>
      </c>
      <c r="K18" s="436">
        <f>(0%*72)/(((72-4)/72)*64)</f>
        <v>0</v>
      </c>
      <c r="L18" s="20" t="s">
        <v>1180</v>
      </c>
      <c r="M18" s="20" t="s">
        <v>1180</v>
      </c>
      <c r="N18" s="476" t="s">
        <v>1178</v>
      </c>
    </row>
    <row r="19" spans="1:14" x14ac:dyDescent="0.25">
      <c r="A19" s="15" t="s">
        <v>1045</v>
      </c>
      <c r="B19" s="2" t="s">
        <v>738</v>
      </c>
      <c r="C19" s="15" t="s">
        <v>1191</v>
      </c>
      <c r="D19" s="436">
        <f>0%*D$7</f>
        <v>0</v>
      </c>
      <c r="E19" s="437">
        <f t="shared" si="12"/>
        <v>5.4453781512605041E-2</v>
      </c>
      <c r="F19" s="437">
        <f t="shared" si="13"/>
        <v>0.10890756302521008</v>
      </c>
      <c r="G19" s="437">
        <f t="shared" si="14"/>
        <v>0.16336134453781512</v>
      </c>
      <c r="H19" s="437">
        <f t="shared" si="15"/>
        <v>0.21781512605042017</v>
      </c>
      <c r="I19" s="437">
        <f t="shared" si="16"/>
        <v>0.27226890756302519</v>
      </c>
      <c r="J19" s="437">
        <f t="shared" si="17"/>
        <v>0.32672268907563023</v>
      </c>
      <c r="K19" s="436">
        <f>((16%+16%)*72)/(((72-4)/72)*64)</f>
        <v>0.38117647058823528</v>
      </c>
      <c r="L19" s="20" t="s">
        <v>1180</v>
      </c>
      <c r="M19" s="20" t="s">
        <v>1180</v>
      </c>
      <c r="N19" s="477"/>
    </row>
    <row r="20" spans="1:14" x14ac:dyDescent="0.25">
      <c r="A20" s="15" t="s">
        <v>1046</v>
      </c>
      <c r="B20" s="2" t="s">
        <v>748</v>
      </c>
      <c r="C20" s="15" t="s">
        <v>1191</v>
      </c>
      <c r="D20" s="436">
        <f>0%*D$7</f>
        <v>0</v>
      </c>
      <c r="E20" s="437">
        <f t="shared" si="12"/>
        <v>4.7647058823529424E-2</v>
      </c>
      <c r="F20" s="437">
        <f t="shared" si="13"/>
        <v>9.5294117647058849E-2</v>
      </c>
      <c r="G20" s="437">
        <f t="shared" si="14"/>
        <v>0.14294117647058829</v>
      </c>
      <c r="H20" s="437">
        <f t="shared" si="15"/>
        <v>0.1905882352941177</v>
      </c>
      <c r="I20" s="437">
        <f t="shared" si="16"/>
        <v>0.2382352941176471</v>
      </c>
      <c r="J20" s="437">
        <f t="shared" si="17"/>
        <v>0.28588235294117659</v>
      </c>
      <c r="K20" s="436">
        <f>(28%*72)/(((72-4)/72)*64)</f>
        <v>0.33352941176470596</v>
      </c>
      <c r="L20" s="20" t="s">
        <v>1180</v>
      </c>
      <c r="M20" s="20" t="s">
        <v>1180</v>
      </c>
      <c r="N20" s="477"/>
    </row>
    <row r="21" spans="1:14" x14ac:dyDescent="0.25">
      <c r="A21" s="19" t="s">
        <v>1155</v>
      </c>
      <c r="B21" s="2"/>
      <c r="C21" s="288" t="s">
        <v>1158</v>
      </c>
      <c r="D21" s="435">
        <f>(((72-4)/72)*64)/(((72-4)/72)*64)</f>
        <v>1</v>
      </c>
      <c r="E21" s="440">
        <f t="shared" si="12"/>
        <v>0.95924369747899163</v>
      </c>
      <c r="F21" s="440">
        <f t="shared" si="13"/>
        <v>0.91848739495798315</v>
      </c>
      <c r="G21" s="440">
        <f t="shared" si="14"/>
        <v>0.87773109243697478</v>
      </c>
      <c r="H21" s="440">
        <f t="shared" si="15"/>
        <v>0.83697478991596641</v>
      </c>
      <c r="I21" s="440">
        <f t="shared" si="16"/>
        <v>0.79621848739495804</v>
      </c>
      <c r="J21" s="440">
        <f t="shared" si="17"/>
        <v>0.75546218487394956</v>
      </c>
      <c r="K21" s="435">
        <f>((28%+16%+16%)*72)/(((72-4)/72)*64)</f>
        <v>0.71470588235294119</v>
      </c>
      <c r="L21" s="20" t="s">
        <v>1192</v>
      </c>
      <c r="M21" s="20" t="s">
        <v>1192</v>
      </c>
      <c r="N21" s="477"/>
    </row>
    <row r="22" spans="1:14" x14ac:dyDescent="0.25">
      <c r="A22" s="15" t="s">
        <v>1047</v>
      </c>
      <c r="B22" s="2" t="s">
        <v>140</v>
      </c>
      <c r="C22" s="15" t="s">
        <v>1191</v>
      </c>
      <c r="D22" s="436">
        <f>100%*D$9</f>
        <v>1</v>
      </c>
      <c r="E22" s="437">
        <f t="shared" si="12"/>
        <v>1.985357142857143</v>
      </c>
      <c r="F22" s="437">
        <f t="shared" si="13"/>
        <v>2.9707142857142861</v>
      </c>
      <c r="G22" s="437">
        <f t="shared" si="14"/>
        <v>3.9560714285714291</v>
      </c>
      <c r="H22" s="437">
        <f t="shared" si="15"/>
        <v>4.9414285714285722</v>
      </c>
      <c r="I22" s="437">
        <f t="shared" si="16"/>
        <v>5.9267857142857148</v>
      </c>
      <c r="J22" s="437">
        <f t="shared" si="17"/>
        <v>6.9121428571428583</v>
      </c>
      <c r="K22" s="436">
        <f>((14%+13%+12%)*72)/((4/72)*64)</f>
        <v>7.8975000000000009</v>
      </c>
      <c r="L22" s="20" t="s">
        <v>1180</v>
      </c>
      <c r="M22" s="20" t="s">
        <v>1180</v>
      </c>
      <c r="N22" s="477"/>
    </row>
    <row r="23" spans="1:14" x14ac:dyDescent="0.25">
      <c r="A23" s="19" t="s">
        <v>1155</v>
      </c>
      <c r="B23" s="2"/>
      <c r="C23" s="288" t="s">
        <v>1158</v>
      </c>
      <c r="D23" s="435">
        <f>((4/72)*64)/((4/72)*64)</f>
        <v>1</v>
      </c>
      <c r="E23" s="440">
        <f t="shared" si="12"/>
        <v>1.985357142857143</v>
      </c>
      <c r="F23" s="440">
        <f t="shared" si="13"/>
        <v>2.9707142857142861</v>
      </c>
      <c r="G23" s="440">
        <f t="shared" si="14"/>
        <v>3.9560714285714291</v>
      </c>
      <c r="H23" s="440">
        <f t="shared" si="15"/>
        <v>4.9414285714285722</v>
      </c>
      <c r="I23" s="440">
        <f t="shared" si="16"/>
        <v>5.9267857142857148</v>
      </c>
      <c r="J23" s="440">
        <f t="shared" si="17"/>
        <v>6.9121428571428583</v>
      </c>
      <c r="K23" s="435">
        <f>((14%+13%+12%)*72)/((4/72)*64)</f>
        <v>7.8975000000000009</v>
      </c>
      <c r="L23" s="20" t="s">
        <v>1192</v>
      </c>
      <c r="M23" s="20" t="s">
        <v>1192</v>
      </c>
      <c r="N23" s="477"/>
    </row>
    <row r="24" spans="1:14" x14ac:dyDescent="0.25">
      <c r="A24" s="373" t="s">
        <v>1055</v>
      </c>
      <c r="B24" s="373"/>
      <c r="C24" s="373"/>
      <c r="D24" s="376" t="s">
        <v>1129</v>
      </c>
      <c r="E24" s="376" t="s">
        <v>1130</v>
      </c>
      <c r="F24" s="376" t="s">
        <v>1131</v>
      </c>
      <c r="G24" s="376" t="s">
        <v>1132</v>
      </c>
      <c r="H24" s="376" t="s">
        <v>1133</v>
      </c>
      <c r="I24" s="376" t="s">
        <v>1134</v>
      </c>
      <c r="J24" s="376" t="s">
        <v>1135</v>
      </c>
      <c r="K24" s="376" t="s">
        <v>1136</v>
      </c>
      <c r="L24" s="297"/>
      <c r="M24" s="297"/>
      <c r="N24" s="297"/>
    </row>
    <row r="25" spans="1:14" ht="15" customHeight="1" x14ac:dyDescent="0.25">
      <c r="A25" s="15" t="s">
        <v>1049</v>
      </c>
      <c r="B25" s="2" t="s">
        <v>739</v>
      </c>
      <c r="C25" s="15" t="s">
        <v>1191</v>
      </c>
      <c r="D25" s="436">
        <f>100%*D$28</f>
        <v>1</v>
      </c>
      <c r="E25" s="437">
        <f t="shared" ref="E25:E28" si="18">D25+(K25-D25)/7</f>
        <v>0.86400156770527148</v>
      </c>
      <c r="F25" s="437">
        <f t="shared" ref="F25:F28" si="19">D25+2*(K25-D25)/7</f>
        <v>0.72800313541054285</v>
      </c>
      <c r="G25" s="437">
        <f t="shared" ref="G25:G28" si="20">D25+3*(K25-D25)/7</f>
        <v>0.59200470311581421</v>
      </c>
      <c r="H25" s="437">
        <f t="shared" ref="H25:H28" si="21">D25+4*(K25-D25)/7</f>
        <v>0.45600627082108569</v>
      </c>
      <c r="I25" s="437">
        <f t="shared" ref="I25:I28" si="22">D25+5*(K25-D25)/7</f>
        <v>0.32000783852635706</v>
      </c>
      <c r="J25" s="437">
        <f t="shared" ref="J25:J28" si="23">D25+6*(K25-D25)/7</f>
        <v>0.18400940623162854</v>
      </c>
      <c r="K25" s="436">
        <f>((1*(2/(8+17+2))+2)/(1+8+17+2))*K$28</f>
        <v>4.8010973936899869E-2</v>
      </c>
      <c r="L25" s="20" t="s">
        <v>1182</v>
      </c>
      <c r="M25" s="20" t="s">
        <v>1182</v>
      </c>
      <c r="N25" s="478" t="s">
        <v>1186</v>
      </c>
    </row>
    <row r="26" spans="1:14" x14ac:dyDescent="0.25">
      <c r="A26" s="15" t="s">
        <v>1050</v>
      </c>
      <c r="B26" s="2" t="s">
        <v>740</v>
      </c>
      <c r="C26" s="15" t="s">
        <v>1191</v>
      </c>
      <c r="D26" s="436">
        <f>0%*D$28</f>
        <v>0</v>
      </c>
      <c r="E26" s="437">
        <f t="shared" si="18"/>
        <v>5.829903978052127E-2</v>
      </c>
      <c r="F26" s="437">
        <f t="shared" si="19"/>
        <v>0.11659807956104254</v>
      </c>
      <c r="G26" s="437">
        <f t="shared" si="20"/>
        <v>0.17489711934156382</v>
      </c>
      <c r="H26" s="437">
        <f t="shared" si="21"/>
        <v>0.23319615912208508</v>
      </c>
      <c r="I26" s="437">
        <f t="shared" si="22"/>
        <v>0.29149519890260633</v>
      </c>
      <c r="J26" s="437">
        <f t="shared" si="23"/>
        <v>0.34979423868312765</v>
      </c>
      <c r="K26" s="436">
        <f>((1*(17/(8+17+2))+17)/(1+8+17+2))*K$28</f>
        <v>0.4080932784636489</v>
      </c>
      <c r="L26" s="20" t="s">
        <v>1182</v>
      </c>
      <c r="M26" s="20" t="s">
        <v>1182</v>
      </c>
      <c r="N26" s="479"/>
    </row>
    <row r="27" spans="1:14" x14ac:dyDescent="0.25">
      <c r="A27" s="15" t="s">
        <v>1051</v>
      </c>
      <c r="B27" s="2" t="s">
        <v>926</v>
      </c>
      <c r="C27" s="15" t="s">
        <v>1191</v>
      </c>
      <c r="D27" s="436">
        <f>0%*D$28</f>
        <v>0</v>
      </c>
      <c r="E27" s="437">
        <f t="shared" si="18"/>
        <v>2.7434842249657067E-2</v>
      </c>
      <c r="F27" s="437">
        <f t="shared" si="19"/>
        <v>5.4869684499314134E-2</v>
      </c>
      <c r="G27" s="437">
        <f t="shared" si="20"/>
        <v>8.2304526748971193E-2</v>
      </c>
      <c r="H27" s="437">
        <f t="shared" si="21"/>
        <v>0.10973936899862827</v>
      </c>
      <c r="I27" s="437">
        <f t="shared" si="22"/>
        <v>0.13717421124828535</v>
      </c>
      <c r="J27" s="437">
        <f t="shared" si="23"/>
        <v>0.16460905349794239</v>
      </c>
      <c r="K27" s="436">
        <f>((1*(8/(8+17+2))+8)/(1+8+17+2))*K$28</f>
        <v>0.19204389574759947</v>
      </c>
      <c r="L27" s="20" t="s">
        <v>1182</v>
      </c>
      <c r="M27" s="20" t="s">
        <v>1182</v>
      </c>
      <c r="N27" s="479"/>
    </row>
    <row r="28" spans="1:14" x14ac:dyDescent="0.25">
      <c r="A28" s="19" t="s">
        <v>1155</v>
      </c>
      <c r="B28" s="2"/>
      <c r="C28" s="288" t="s">
        <v>1188</v>
      </c>
      <c r="D28" s="435">
        <f>16.2/16.2</f>
        <v>1</v>
      </c>
      <c r="E28" s="440">
        <f t="shared" si="18"/>
        <v>0.94973544973544977</v>
      </c>
      <c r="F28" s="440">
        <f t="shared" si="19"/>
        <v>0.89947089947089953</v>
      </c>
      <c r="G28" s="440">
        <f t="shared" si="20"/>
        <v>0.8492063492063493</v>
      </c>
      <c r="H28" s="440">
        <f t="shared" si="21"/>
        <v>0.79894179894179906</v>
      </c>
      <c r="I28" s="440">
        <f t="shared" si="22"/>
        <v>0.74867724867724883</v>
      </c>
      <c r="J28" s="440">
        <f t="shared" si="23"/>
        <v>0.69841269841269848</v>
      </c>
      <c r="K28" s="435">
        <f>(12/16.2)*((32-4)/32)</f>
        <v>0.64814814814814825</v>
      </c>
      <c r="L28" s="20" t="s">
        <v>1182</v>
      </c>
      <c r="M28" s="20" t="s">
        <v>1182</v>
      </c>
      <c r="N28" s="479"/>
    </row>
    <row r="29" spans="1:14" x14ac:dyDescent="0.25">
      <c r="A29" s="373" t="s">
        <v>944</v>
      </c>
      <c r="B29" s="373"/>
      <c r="C29" s="373"/>
      <c r="D29" s="376" t="s">
        <v>1129</v>
      </c>
      <c r="E29" s="376" t="s">
        <v>1130</v>
      </c>
      <c r="F29" s="376" t="s">
        <v>1131</v>
      </c>
      <c r="G29" s="376" t="s">
        <v>1132</v>
      </c>
      <c r="H29" s="376" t="s">
        <v>1133</v>
      </c>
      <c r="I29" s="376" t="s">
        <v>1134</v>
      </c>
      <c r="J29" s="376" t="s">
        <v>1135</v>
      </c>
      <c r="K29" s="376" t="s">
        <v>1136</v>
      </c>
      <c r="L29" s="297"/>
      <c r="M29" s="297"/>
      <c r="N29" s="297"/>
    </row>
    <row r="30" spans="1:14" ht="15" customHeight="1" x14ac:dyDescent="0.25">
      <c r="A30" s="15" t="s">
        <v>1052</v>
      </c>
      <c r="B30" s="2" t="s">
        <v>733</v>
      </c>
      <c r="C30" s="288" t="s">
        <v>1193</v>
      </c>
      <c r="D30" s="436">
        <f>99%*D$32</f>
        <v>0.99</v>
      </c>
      <c r="E30" s="436">
        <f>95%*E$32</f>
        <v>0.96064425770308115</v>
      </c>
      <c r="F30" s="436">
        <f>77%*F$32</f>
        <v>0.78725490196078429</v>
      </c>
      <c r="G30" s="436">
        <f>50%*G$32</f>
        <v>0.51680672268907557</v>
      </c>
      <c r="H30" s="436">
        <f>20%*H$32</f>
        <v>0.2089635854341737</v>
      </c>
      <c r="I30" s="436">
        <f>0%*I$32</f>
        <v>0</v>
      </c>
      <c r="J30" s="436">
        <f>0%*J$32</f>
        <v>0</v>
      </c>
      <c r="K30" s="436">
        <f>0%*K$32</f>
        <v>0</v>
      </c>
      <c r="L30" s="2" t="s">
        <v>1019</v>
      </c>
      <c r="M30" s="2" t="s">
        <v>1019</v>
      </c>
      <c r="N30" s="476" t="s">
        <v>1176</v>
      </c>
    </row>
    <row r="31" spans="1:14" x14ac:dyDescent="0.25">
      <c r="A31" s="15" t="s">
        <v>1053</v>
      </c>
      <c r="B31" s="2" t="s">
        <v>734</v>
      </c>
      <c r="C31" s="288" t="s">
        <v>1193</v>
      </c>
      <c r="D31" s="436">
        <f>1%*D$32</f>
        <v>0.01</v>
      </c>
      <c r="E31" s="436">
        <f>5%*E$32</f>
        <v>5.0560224089635855E-2</v>
      </c>
      <c r="F31" s="436">
        <f>23%*F$32</f>
        <v>0.23515406162464986</v>
      </c>
      <c r="G31" s="436">
        <f>50%*G$32</f>
        <v>0.51680672268907557</v>
      </c>
      <c r="H31" s="436">
        <f>80%*H$32</f>
        <v>0.83585434173669482</v>
      </c>
      <c r="I31" s="436">
        <f>100%*I$32</f>
        <v>1.0560224089635855</v>
      </c>
      <c r="J31" s="436">
        <f>100%*J$32</f>
        <v>1.0672268907563025</v>
      </c>
      <c r="K31" s="436">
        <f>100%*K$32</f>
        <v>1.0784313725490196</v>
      </c>
      <c r="L31" s="2" t="s">
        <v>1019</v>
      </c>
      <c r="M31" s="2" t="s">
        <v>1019</v>
      </c>
      <c r="N31" s="477"/>
    </row>
    <row r="32" spans="1:14" x14ac:dyDescent="0.25">
      <c r="A32" s="19" t="s">
        <v>1155</v>
      </c>
      <c r="B32" s="2"/>
      <c r="C32" s="288" t="s">
        <v>1193</v>
      </c>
      <c r="D32" s="435">
        <f>255/255</f>
        <v>1</v>
      </c>
      <c r="E32" s="440">
        <f>D32+(K32-D32)/7</f>
        <v>1.011204481792717</v>
      </c>
      <c r="F32" s="440">
        <f>D32+2*(K32-D32)/7</f>
        <v>1.0224089635854341</v>
      </c>
      <c r="G32" s="440">
        <f>D32+3*(K32-D32)/7</f>
        <v>1.0336134453781511</v>
      </c>
      <c r="H32" s="440">
        <f>D32+4*(K32-D32)/7</f>
        <v>1.0448179271708684</v>
      </c>
      <c r="I32" s="440">
        <f>D32+5*(K32-D32)/7</f>
        <v>1.0560224089635855</v>
      </c>
      <c r="J32" s="440">
        <f>D32+6*(K32-D32)/7</f>
        <v>1.0672268907563025</v>
      </c>
      <c r="K32" s="435">
        <f>275/255</f>
        <v>1.0784313725490196</v>
      </c>
      <c r="N32" s="477"/>
    </row>
    <row r="33" spans="1:14" s="117" customFormat="1" x14ac:dyDescent="0.25">
      <c r="A33" s="387" t="s">
        <v>637</v>
      </c>
      <c r="B33" s="387"/>
      <c r="C33" s="387"/>
      <c r="D33" s="376" t="s">
        <v>1129</v>
      </c>
      <c r="E33" s="376" t="s">
        <v>1130</v>
      </c>
      <c r="F33" s="376" t="s">
        <v>1131</v>
      </c>
      <c r="G33" s="376" t="s">
        <v>1132</v>
      </c>
      <c r="H33" s="376" t="s">
        <v>1133</v>
      </c>
      <c r="I33" s="376" t="s">
        <v>1134</v>
      </c>
      <c r="J33" s="376" t="s">
        <v>1135</v>
      </c>
      <c r="K33" s="376" t="s">
        <v>1136</v>
      </c>
      <c r="L33" s="376"/>
      <c r="M33" s="376"/>
      <c r="N33" s="376"/>
    </row>
    <row r="34" spans="1:14" x14ac:dyDescent="0.25">
      <c r="A34" s="2" t="s">
        <v>2</v>
      </c>
      <c r="B34" s="2" t="s">
        <v>3</v>
      </c>
      <c r="C34" s="53" t="s">
        <v>1199</v>
      </c>
      <c r="D34" s="442">
        <f>[5]CZ_B!D17</f>
        <v>40242.944878557013</v>
      </c>
      <c r="E34" s="442">
        <f>[5]CZ_B!E17</f>
        <v>31820.991388285718</v>
      </c>
      <c r="F34" s="442">
        <f>[5]CZ_B!F17</f>
        <v>19388.446843052749</v>
      </c>
      <c r="G34" s="442">
        <f>[5]CZ_B!G17</f>
        <v>12864.065672681449</v>
      </c>
      <c r="H34" s="174">
        <f>IF(G34+([6]CZ_B!H17-[6]CZ_B!G17)&gt;=0,G34+([6]CZ_B!H17-[6]CZ_B!G17),0)</f>
        <v>11528.986766516169</v>
      </c>
      <c r="I34" s="174">
        <f>IF(H34+([6]CZ_B!I17-[6]CZ_B!H17)&gt;=0,H34+([6]CZ_B!I17-[6]CZ_B!H17),0)</f>
        <v>1740.9615407781894</v>
      </c>
      <c r="J34" s="174">
        <f>IF(I34+([6]CZ_B!J17-[6]CZ_B!I17)&gt;=0,I34+([6]CZ_B!J17-[6]CZ_B!I17),0)</f>
        <v>0</v>
      </c>
      <c r="K34" s="174">
        <f>IF(J34+([6]CZ_B!K17-[6]CZ_B!J17)&gt;=0,J34+([6]CZ_B!K17-[6]CZ_B!J17),0)</f>
        <v>0</v>
      </c>
      <c r="L34" s="445" t="s">
        <v>1200</v>
      </c>
      <c r="M34" s="447" t="s">
        <v>1201</v>
      </c>
    </row>
    <row r="35" spans="1:14" x14ac:dyDescent="0.25">
      <c r="A35" s="2" t="s">
        <v>4</v>
      </c>
      <c r="B35" s="2" t="s">
        <v>5</v>
      </c>
      <c r="C35" s="53" t="s">
        <v>1199</v>
      </c>
      <c r="D35" s="442">
        <f>[5]CZ_B!D19</f>
        <v>4329.3496187121027</v>
      </c>
      <c r="E35" s="442">
        <f>[5]CZ_B!E19</f>
        <v>2880.9777862008568</v>
      </c>
      <c r="F35" s="442">
        <f>[5]CZ_B!F19</f>
        <v>3443.6981323407281</v>
      </c>
      <c r="G35" s="442">
        <f>[5]CZ_B!G19</f>
        <v>7155.8342284379878</v>
      </c>
      <c r="H35" s="174">
        <f>IF(G35+([6]CZ_B!H19-[6]CZ_B!G19)&gt;=0,G35+([6]CZ_B!H19-[6]CZ_B!G19),0)</f>
        <v>14572.257321992854</v>
      </c>
      <c r="I35" s="174">
        <f>IF(H35+([6]CZ_B!I19-[6]CZ_B!H19)&gt;=0,H35+([6]CZ_B!I19-[6]CZ_B!H19),0)</f>
        <v>19999.452459186738</v>
      </c>
      <c r="J35" s="174">
        <f>IF(I35+([6]CZ_B!J19-[6]CZ_B!I19)&gt;=0,I35+([6]CZ_B!J19-[6]CZ_B!I19),0)</f>
        <v>21664.490274094791</v>
      </c>
      <c r="K35" s="174">
        <f>IF(J35+([6]CZ_B!K19-[6]CZ_B!J19)&gt;=0,J35+([6]CZ_B!K19-[6]CZ_B!J19),0)</f>
        <v>26871.893600310494</v>
      </c>
      <c r="L35" s="445" t="s">
        <v>1200</v>
      </c>
      <c r="M35" s="447" t="s">
        <v>1201</v>
      </c>
    </row>
    <row r="36" spans="1:14" x14ac:dyDescent="0.25">
      <c r="A36" s="2" t="s">
        <v>6</v>
      </c>
      <c r="B36" s="2" t="s">
        <v>7</v>
      </c>
      <c r="C36" s="53" t="s">
        <v>1199</v>
      </c>
      <c r="D36" s="442">
        <f>[5]CZ_B!D5</f>
        <v>26822.981164016233</v>
      </c>
      <c r="E36" s="442">
        <f>[5]CZ_B!E5</f>
        <v>30109.524669135197</v>
      </c>
      <c r="F36" s="442">
        <f>[5]CZ_B!F5</f>
        <v>31594.407351610902</v>
      </c>
      <c r="G36" s="442">
        <f>[5]CZ_B!G5</f>
        <v>31309.061655280566</v>
      </c>
      <c r="H36" s="174">
        <f>IF(G36+([6]CZ_B!H5-[6]CZ_B!G5)&gt;=0,G36+([6]CZ_B!H5-[6]CZ_B!G5),0)</f>
        <v>31060.128706712723</v>
      </c>
      <c r="I36" s="174">
        <f>IF(H36+([6]CZ_B!I5-[6]CZ_B!H5)&gt;=0,H36+([6]CZ_B!I5-[6]CZ_B!H5),0)</f>
        <v>38428.477193327693</v>
      </c>
      <c r="J36" s="174">
        <f>IF(I36+([6]CZ_B!J5-[6]CZ_B!I5)&gt;=0,I36+([6]CZ_B!J5-[6]CZ_B!I5),0)</f>
        <v>38060.619729876082</v>
      </c>
      <c r="K36" s="174">
        <f>IF(J36+([6]CZ_B!K5-[6]CZ_B!J5)&gt;=0,J36+([6]CZ_B!K5-[6]CZ_B!J5),0)</f>
        <v>32651.711267478895</v>
      </c>
      <c r="L36" s="445" t="s">
        <v>1200</v>
      </c>
      <c r="M36" s="447" t="s">
        <v>1201</v>
      </c>
    </row>
    <row r="37" spans="1:14" x14ac:dyDescent="0.25">
      <c r="A37" s="2" t="s">
        <v>8</v>
      </c>
      <c r="B37" s="2" t="s">
        <v>9</v>
      </c>
      <c r="C37" s="53" t="s">
        <v>1199</v>
      </c>
      <c r="D37" s="442">
        <f>[5]CZ_B!D8</f>
        <v>1799.699655522192</v>
      </c>
      <c r="E37" s="442">
        <f>[5]CZ_B!E8</f>
        <v>2532.3212406356552</v>
      </c>
      <c r="F37" s="442">
        <f>[5]CZ_B!F8</f>
        <v>2358.6567345208286</v>
      </c>
      <c r="G37" s="442">
        <f>[5]CZ_B!G8</f>
        <v>2424.7621866677227</v>
      </c>
      <c r="H37" s="174">
        <f>IF(G37+([6]CZ_B!H8-[6]CZ_B!G8)&gt;=0,G37+([6]CZ_B!H8-[6]CZ_B!G8),0)</f>
        <v>2429.0436409198337</v>
      </c>
      <c r="I37" s="174">
        <f>IF(H37+([6]CZ_B!I8-[6]CZ_B!H8)&gt;=0,H37+([6]CZ_B!I8-[6]CZ_B!H8),0)</f>
        <v>2476.9428531233411</v>
      </c>
      <c r="J37" s="174">
        <f>IF(I37+([6]CZ_B!J8-[6]CZ_B!I8)&gt;=0,I37+([6]CZ_B!J8-[6]CZ_B!I8),0)</f>
        <v>2485.8404797041139</v>
      </c>
      <c r="K37" s="174">
        <f>IF(J37+([6]CZ_B!K8-[6]CZ_B!J8)&gt;=0,J37+([6]CZ_B!K8-[6]CZ_B!J8),0)</f>
        <v>2485.3712183030907</v>
      </c>
      <c r="L37" s="445" t="s">
        <v>1200</v>
      </c>
      <c r="M37" s="447" t="s">
        <v>1201</v>
      </c>
    </row>
    <row r="38" spans="1:14" x14ac:dyDescent="0.25">
      <c r="A38" s="2" t="s">
        <v>342</v>
      </c>
      <c r="B38" s="2" t="s">
        <v>336</v>
      </c>
      <c r="C38" s="53" t="s">
        <v>1199</v>
      </c>
      <c r="D38" s="442">
        <f>[5]CZ_B!D12</f>
        <v>563.96620342367009</v>
      </c>
      <c r="E38" s="442">
        <f>[5]CZ_B!E12</f>
        <v>794.9766596809684</v>
      </c>
      <c r="F38" s="442">
        <f>[5]CZ_B!F12</f>
        <v>11267.096346877875</v>
      </c>
      <c r="G38" s="442">
        <f>[5]CZ_B!G12</f>
        <v>16042.020551213849</v>
      </c>
      <c r="H38" s="174">
        <f>IF(G38+([6]CZ_B!H12-[6]CZ_B!G12)&gt;=0,G38+([6]CZ_B!H12-[6]CZ_B!G12),0)</f>
        <v>18684.014783242779</v>
      </c>
      <c r="I38" s="174">
        <f>IF(H38+([6]CZ_B!I12-[6]CZ_B!H12)&gt;=0,H38+([6]CZ_B!I12-[6]CZ_B!H12),0)</f>
        <v>20256.822339188075</v>
      </c>
      <c r="J38" s="174">
        <f>IF(I38+([6]CZ_B!J12-[6]CZ_B!I12)&gt;=0,I38+([6]CZ_B!J12-[6]CZ_B!I12),0)</f>
        <v>21202.622605284654</v>
      </c>
      <c r="K38" s="174">
        <f>IF(J38+([6]CZ_B!K12-[6]CZ_B!J12)&gt;=0,J38+([6]CZ_B!K12-[6]CZ_B!J12),0)</f>
        <v>21679.851433587362</v>
      </c>
      <c r="L38" s="445" t="s">
        <v>1200</v>
      </c>
      <c r="M38" s="447" t="s">
        <v>1201</v>
      </c>
    </row>
    <row r="39" spans="1:14" x14ac:dyDescent="0.25">
      <c r="A39" s="2" t="s">
        <v>343</v>
      </c>
      <c r="B39" s="2" t="s">
        <v>337</v>
      </c>
      <c r="C39" s="53" t="s">
        <v>1199</v>
      </c>
      <c r="D39" s="442">
        <f>[5]CZ_B!D13</f>
        <v>0</v>
      </c>
      <c r="E39" s="442">
        <f>[5]CZ_B!E13</f>
        <v>0</v>
      </c>
      <c r="F39" s="442">
        <f>[5]CZ_B!F13</f>
        <v>0</v>
      </c>
      <c r="G39" s="442">
        <f>[5]CZ_B!G13</f>
        <v>0</v>
      </c>
      <c r="H39" s="174">
        <f>IF(G39+([6]CZ_B!H13-[6]CZ_B!G13)&gt;=0,G39+([6]CZ_B!H13-[6]CZ_B!G13),0)</f>
        <v>0</v>
      </c>
      <c r="I39" s="174">
        <f>IF(H39+([6]CZ_B!I13-[6]CZ_B!H13)&gt;=0,H39+([6]CZ_B!I13-[6]CZ_B!H13),0)</f>
        <v>0</v>
      </c>
      <c r="J39" s="174">
        <f>IF(I39+([6]CZ_B!J13-[6]CZ_B!I13)&gt;=0,I39+([6]CZ_B!J13-[6]CZ_B!I13),0)</f>
        <v>0</v>
      </c>
      <c r="K39" s="174">
        <f>IF(J39+([6]CZ_B!K13-[6]CZ_B!J13)&gt;=0,J39+([6]CZ_B!K13-[6]CZ_B!J13),0)</f>
        <v>0</v>
      </c>
      <c r="L39" s="445" t="s">
        <v>1200</v>
      </c>
      <c r="M39" s="447" t="s">
        <v>1201</v>
      </c>
    </row>
    <row r="40" spans="1:14" x14ac:dyDescent="0.25">
      <c r="A40" s="1" t="s">
        <v>10</v>
      </c>
      <c r="B40" s="1" t="s">
        <v>11</v>
      </c>
      <c r="C40" s="53" t="s">
        <v>1199</v>
      </c>
      <c r="D40" s="442">
        <f>[5]CZ_B!D18</f>
        <v>185.89149840122761</v>
      </c>
      <c r="E40" s="442">
        <f>[5]CZ_B!E18</f>
        <v>131.3372440911177</v>
      </c>
      <c r="F40" s="442">
        <f>[5]CZ_B!F18</f>
        <v>122.98976777964876</v>
      </c>
      <c r="G40" s="442">
        <f>[5]CZ_B!G18</f>
        <v>123.05980419962947</v>
      </c>
      <c r="H40" s="174">
        <f>IF(G40+([6]CZ_B!H18-[6]CZ_B!G18)&gt;=0,G40+([6]CZ_B!H18-[6]CZ_B!G18),0)</f>
        <v>100.71926441256844</v>
      </c>
      <c r="I40" s="174">
        <f>IF(H40+([6]CZ_B!I18-[6]CZ_B!H18)&gt;=0,H40+([6]CZ_B!I18-[6]CZ_B!H18),0)</f>
        <v>98.315911231453526</v>
      </c>
      <c r="J40" s="174">
        <f>IF(I40+([6]CZ_B!J18-[6]CZ_B!I18)&gt;=0,I40+([6]CZ_B!J18-[6]CZ_B!I18),0)</f>
        <v>62.919805192986217</v>
      </c>
      <c r="K40" s="174">
        <f>IF(J40+([6]CZ_B!K18-[6]CZ_B!J18)&gt;=0,J40+([6]CZ_B!K18-[6]CZ_B!J18),0)</f>
        <v>16.135355124362981</v>
      </c>
      <c r="L40" s="445" t="s">
        <v>1200</v>
      </c>
      <c r="M40" s="447" t="s">
        <v>1201</v>
      </c>
    </row>
    <row r="41" spans="1:14" x14ac:dyDescent="0.25">
      <c r="A41" s="2" t="s">
        <v>12</v>
      </c>
      <c r="B41" s="2" t="s">
        <v>13</v>
      </c>
      <c r="C41" s="53" t="s">
        <v>1199</v>
      </c>
      <c r="D41" s="442">
        <f>[5]CZ_B!D7</f>
        <v>4138.2738323800368</v>
      </c>
      <c r="E41" s="442">
        <f>[5]CZ_B!E7</f>
        <v>3214.5886003196761</v>
      </c>
      <c r="F41" s="442">
        <f>[5]CZ_B!F7</f>
        <v>1926.4490345529334</v>
      </c>
      <c r="G41" s="442">
        <f>[5]CZ_B!G7</f>
        <v>3421.2644331808783</v>
      </c>
      <c r="H41" s="174">
        <f>IF(G41+([6]CZ_B!H7-[6]CZ_B!G7)&gt;=0,G41+([6]CZ_B!H7-[6]CZ_B!G7),0)</f>
        <v>3900.4852526921595</v>
      </c>
      <c r="I41" s="174">
        <f>IF(H41+([6]CZ_B!I7-[6]CZ_B!H7)&gt;=0,H41+([6]CZ_B!I7-[6]CZ_B!H7),0)</f>
        <v>5714.2681615493402</v>
      </c>
      <c r="J41" s="174">
        <f>IF(I41+([6]CZ_B!J7-[6]CZ_B!I7)&gt;=0,I41+([6]CZ_B!J7-[6]CZ_B!I7),0)</f>
        <v>6582.2539079585349</v>
      </c>
      <c r="K41" s="174">
        <f>IF(J41+([6]CZ_B!K7-[6]CZ_B!J7)&gt;=0,J41+([6]CZ_B!K7-[6]CZ_B!J7),0)</f>
        <v>8692.8723378609866</v>
      </c>
      <c r="L41" s="445" t="s">
        <v>1200</v>
      </c>
      <c r="M41" s="447" t="s">
        <v>1201</v>
      </c>
    </row>
    <row r="42" spans="1:14" x14ac:dyDescent="0.25">
      <c r="A42" s="2" t="s">
        <v>831</v>
      </c>
      <c r="B42" s="2" t="s">
        <v>338</v>
      </c>
      <c r="C42" s="53" t="s">
        <v>1199</v>
      </c>
      <c r="D42" s="174">
        <f>[5]CZ_B!D14*el_generation!$L10/(el_generation!$L10+el_generation!$L11)</f>
        <v>1481.0807732553615</v>
      </c>
      <c r="E42" s="174">
        <f>[5]CZ_B!E14*el_generation!$L10/(el_generation!$L10+el_generation!$L11)</f>
        <v>1481.0807732553615</v>
      </c>
      <c r="F42" s="174">
        <f>[5]CZ_B!F14*el_generation!$L10/(el_generation!$L10+el_generation!$L11)</f>
        <v>2752.1960652339649</v>
      </c>
      <c r="G42" s="174">
        <f>[5]CZ_B!G14*el_generation!$L10/(el_generation!$L10+el_generation!$L11)</f>
        <v>3098.8582431712543</v>
      </c>
      <c r="H42" s="174">
        <f>IF(G42+([6]CZ_B!H14-[6]CZ_B!G14)&gt;=0,G42+([6]CZ_B!H14-[6]CZ_B!G14),0)</f>
        <v>3333.5418806934035</v>
      </c>
      <c r="I42" s="174">
        <f>IF(H42+([6]CZ_B!I14-[6]CZ_B!H14)&gt;=0,H42+([6]CZ_B!I14-[6]CZ_B!H14),0)</f>
        <v>3985.9184933500906</v>
      </c>
      <c r="J42" s="174">
        <f>IF(I42+([6]CZ_B!J14-[6]CZ_B!I14)&gt;=0,I42+([6]CZ_B!J14-[6]CZ_B!I14),0)</f>
        <v>5087.021579549084</v>
      </c>
      <c r="K42" s="174">
        <f>IF(J42+([6]CZ_B!K14-[6]CZ_B!J14)&gt;=0,J42+([6]CZ_B!K14-[6]CZ_B!J14),0)</f>
        <v>5096.1670195490842</v>
      </c>
      <c r="L42" s="445" t="s">
        <v>1200</v>
      </c>
      <c r="M42" s="447" t="s">
        <v>1201</v>
      </c>
    </row>
    <row r="43" spans="1:14" x14ac:dyDescent="0.25">
      <c r="A43" s="2" t="s">
        <v>832</v>
      </c>
      <c r="B43" s="2" t="s">
        <v>339</v>
      </c>
      <c r="C43" s="53" t="s">
        <v>1199</v>
      </c>
      <c r="D43" s="174">
        <f>[5]CZ_B!D14*el_generation!$L11/(el_generation!$L10+el_generation!$L11)</f>
        <v>783.17729450243792</v>
      </c>
      <c r="E43" s="174">
        <f>[5]CZ_B!E14*el_generation!$L11/(el_generation!$L10+el_generation!$L11)</f>
        <v>783.17729450243792</v>
      </c>
      <c r="F43" s="174">
        <f>[5]CZ_B!F14*el_generation!$L11/(el_generation!$L10+el_generation!$L11)</f>
        <v>1455.327425237298</v>
      </c>
      <c r="G43" s="174">
        <f>[5]CZ_B!G14*el_generation!$L11/(el_generation!$L10+el_generation!$L11)</f>
        <v>1638.6381207279339</v>
      </c>
      <c r="H43" s="174">
        <f>IF(G43+([6]CZ_B!H14-[6]CZ_B!G14)&gt;=0,G43+([6]CZ_B!H14-[6]CZ_B!G14),0)</f>
        <v>1873.3217582500831</v>
      </c>
      <c r="I43" s="174">
        <f>IF(H43+([6]CZ_B!I14-[6]CZ_B!H14)&gt;=0,H43+([6]CZ_B!I14-[6]CZ_B!H14),0)</f>
        <v>2525.6983709067699</v>
      </c>
      <c r="J43" s="174">
        <f>IF(I43+([6]CZ_B!J14-[6]CZ_B!I14)&gt;=0,I43+([6]CZ_B!J14-[6]CZ_B!I14),0)</f>
        <v>3626.8014571057629</v>
      </c>
      <c r="K43" s="174">
        <f>IF(J43+([6]CZ_B!K14-[6]CZ_B!J14)&gt;=0,J43+([6]CZ_B!K14-[6]CZ_B!J14),0)</f>
        <v>3635.9468971057631</v>
      </c>
      <c r="L43" s="445" t="s">
        <v>1200</v>
      </c>
      <c r="M43" s="447" t="s">
        <v>1201</v>
      </c>
    </row>
    <row r="44" spans="1:14" x14ac:dyDescent="0.25">
      <c r="A44" s="2" t="s">
        <v>14</v>
      </c>
      <c r="B44" s="2" t="s">
        <v>15</v>
      </c>
      <c r="C44" s="53" t="s">
        <v>1199</v>
      </c>
      <c r="D44" s="174">
        <v>0</v>
      </c>
      <c r="E44" s="174">
        <v>0</v>
      </c>
      <c r="F44" s="174">
        <v>0</v>
      </c>
      <c r="G44" s="174">
        <v>0</v>
      </c>
      <c r="H44" s="174">
        <v>0</v>
      </c>
      <c r="I44" s="174">
        <v>0</v>
      </c>
      <c r="J44" s="174">
        <v>0</v>
      </c>
      <c r="K44" s="174">
        <v>0</v>
      </c>
      <c r="L44" s="445" t="s">
        <v>1200</v>
      </c>
      <c r="M44" s="447" t="s">
        <v>1201</v>
      </c>
    </row>
    <row r="45" spans="1:14" x14ac:dyDescent="0.25">
      <c r="A45" s="2" t="s">
        <v>16</v>
      </c>
      <c r="B45" s="2" t="s">
        <v>17</v>
      </c>
      <c r="C45" s="53" t="s">
        <v>1199</v>
      </c>
      <c r="D45" s="174">
        <v>0</v>
      </c>
      <c r="E45" s="174">
        <v>0</v>
      </c>
      <c r="F45" s="174">
        <v>0</v>
      </c>
      <c r="G45" s="174">
        <v>0</v>
      </c>
      <c r="H45" s="174">
        <v>0</v>
      </c>
      <c r="I45" s="174">
        <v>0</v>
      </c>
      <c r="J45" s="174">
        <v>0</v>
      </c>
      <c r="K45" s="174">
        <v>0</v>
      </c>
      <c r="L45" s="445" t="s">
        <v>1200</v>
      </c>
      <c r="M45" s="447" t="s">
        <v>1201</v>
      </c>
    </row>
    <row r="46" spans="1:14" x14ac:dyDescent="0.25">
      <c r="A46" s="2" t="s">
        <v>18</v>
      </c>
      <c r="B46" s="2" t="s">
        <v>19</v>
      </c>
      <c r="C46" s="53" t="s">
        <v>1199</v>
      </c>
      <c r="D46" s="442">
        <f>[5]CZ_B!D15</f>
        <v>0</v>
      </c>
      <c r="E46" s="442">
        <f>[5]CZ_B!E15</f>
        <v>0</v>
      </c>
      <c r="F46" s="442">
        <f>[5]CZ_B!F15</f>
        <v>0</v>
      </c>
      <c r="G46" s="442">
        <f>[5]CZ_B!G15</f>
        <v>0</v>
      </c>
      <c r="H46" s="174">
        <f>IF(G46+([6]CZ_B!H15-[6]CZ_B!G15)&gt;=0,G46+([6]CZ_B!H15-[6]CZ_B!G15),0)</f>
        <v>0</v>
      </c>
      <c r="I46" s="174">
        <f>IF(H46+([6]CZ_B!I15-[6]CZ_B!H15)&gt;=0,H46+([6]CZ_B!I15-[6]CZ_B!H15),0)</f>
        <v>68.361574428975999</v>
      </c>
      <c r="J46" s="174">
        <f>IF(I46+([6]CZ_B!J15-[6]CZ_B!I15)&gt;=0,I46+([6]CZ_B!J15-[6]CZ_B!I15),0)</f>
        <v>2591.4657531098469</v>
      </c>
      <c r="K46" s="174">
        <f>IF(J46+([6]CZ_B!K15-[6]CZ_B!J15)&gt;=0,J46+([6]CZ_B!K15-[6]CZ_B!J15),0)</f>
        <v>2989.3160414994272</v>
      </c>
      <c r="L46" s="445" t="s">
        <v>1200</v>
      </c>
      <c r="M46" s="447" t="s">
        <v>1201</v>
      </c>
    </row>
    <row r="47" spans="1:14" x14ac:dyDescent="0.25">
      <c r="A47" s="19" t="s">
        <v>1155</v>
      </c>
      <c r="B47" s="2"/>
      <c r="C47" s="53" t="s">
        <v>1199</v>
      </c>
      <c r="D47" s="443">
        <f>SUM(D34:D46)</f>
        <v>80347.364918770283</v>
      </c>
      <c r="E47" s="443">
        <f t="shared" ref="E47:K47" si="24">SUM(E34:E46)</f>
        <v>73748.97565610701</v>
      </c>
      <c r="F47" s="443">
        <f t="shared" si="24"/>
        <v>74309.267701206933</v>
      </c>
      <c r="G47" s="443">
        <f t="shared" si="24"/>
        <v>78077.564895561271</v>
      </c>
      <c r="H47" s="444">
        <f t="shared" si="24"/>
        <v>87482.49937543257</v>
      </c>
      <c r="I47" s="444">
        <f t="shared" si="24"/>
        <v>95295.218897070663</v>
      </c>
      <c r="J47" s="444">
        <f t="shared" si="24"/>
        <v>101364.03559187586</v>
      </c>
      <c r="K47" s="444">
        <f t="shared" si="24"/>
        <v>104119.26517081948</v>
      </c>
      <c r="L47" s="445" t="s">
        <v>1200</v>
      </c>
      <c r="M47" s="447" t="s">
        <v>1201</v>
      </c>
    </row>
    <row r="48" spans="1:14" x14ac:dyDescent="0.25">
      <c r="A48" s="429" t="s">
        <v>1058</v>
      </c>
      <c r="B48" s="429"/>
      <c r="C48" s="429"/>
      <c r="D48" s="430"/>
      <c r="E48" s="430"/>
      <c r="F48" s="430"/>
      <c r="G48" s="430"/>
      <c r="H48" s="430"/>
      <c r="I48" s="430"/>
      <c r="J48" s="430"/>
      <c r="K48" s="430"/>
      <c r="L48" s="297"/>
      <c r="M48" s="297"/>
      <c r="N48" s="297"/>
    </row>
    <row r="49" spans="1:14" x14ac:dyDescent="0.25">
      <c r="A49" s="387" t="s">
        <v>1107</v>
      </c>
      <c r="B49" s="387"/>
      <c r="C49" s="387"/>
      <c r="D49" s="376" t="s">
        <v>1129</v>
      </c>
      <c r="E49" s="376" t="s">
        <v>1130</v>
      </c>
      <c r="F49" s="376" t="s">
        <v>1131</v>
      </c>
      <c r="G49" s="376" t="s">
        <v>1132</v>
      </c>
      <c r="H49" s="376" t="s">
        <v>1133</v>
      </c>
      <c r="I49" s="376" t="s">
        <v>1134</v>
      </c>
      <c r="J49" s="376" t="s">
        <v>1135</v>
      </c>
      <c r="K49" s="376" t="s">
        <v>1136</v>
      </c>
      <c r="L49" s="297"/>
      <c r="M49" s="297"/>
      <c r="N49" s="297"/>
    </row>
    <row r="50" spans="1:14" x14ac:dyDescent="0.25">
      <c r="A50" s="431" t="s">
        <v>2</v>
      </c>
      <c r="B50" s="431" t="s">
        <v>3</v>
      </c>
      <c r="C50" s="53" t="s">
        <v>1199</v>
      </c>
      <c r="D50" s="430">
        <f>[5]CZ_B!D35</f>
        <v>9656.4015500000005</v>
      </c>
      <c r="E50" s="430">
        <f>[5]CZ_B!E35</f>
        <v>10043.422550000003</v>
      </c>
      <c r="F50" s="430">
        <f>[5]CZ_B!F35</f>
        <v>9970.7425500000008</v>
      </c>
      <c r="G50" s="430">
        <f>[5]CZ_B!G35</f>
        <v>9354.0625500000006</v>
      </c>
      <c r="H50" s="174">
        <f>IF(G50+([6]CZ_B!H35-[6]CZ_B!G35)&gt;=0,G50+([6]CZ_B!H35-[6]CZ_B!G35),0)</f>
        <v>5533.9675500000003</v>
      </c>
      <c r="I50" s="174">
        <f>IF(H50+([6]CZ_B!I35-[6]CZ_B!H35)&gt;=0,H50+([6]CZ_B!I35-[6]CZ_B!H35),0)</f>
        <v>2803.0445500000001</v>
      </c>
      <c r="J50" s="174">
        <f>IF(I50+([6]CZ_B!J35-[6]CZ_B!I35)&gt;=0,I50+([6]CZ_B!J35-[6]CZ_B!I35),0)</f>
        <v>1892.0527500000001</v>
      </c>
      <c r="K50" s="174">
        <f>IF(J50+([6]CZ_B!K35-[6]CZ_B!J35)&gt;=0,J50+([6]CZ_B!K35-[6]CZ_B!J35),0)</f>
        <v>1788.8687500000001</v>
      </c>
      <c r="L50" s="446" t="s">
        <v>1200</v>
      </c>
      <c r="M50" s="448" t="s">
        <v>1201</v>
      </c>
      <c r="N50" s="297"/>
    </row>
    <row r="51" spans="1:14" x14ac:dyDescent="0.25">
      <c r="A51" s="431" t="s">
        <v>4</v>
      </c>
      <c r="B51" s="431" t="s">
        <v>5</v>
      </c>
      <c r="C51" s="53" t="s">
        <v>1199</v>
      </c>
      <c r="D51" s="430">
        <f>[5]CZ_B!D37</f>
        <v>929.38926602726997</v>
      </c>
      <c r="E51" s="430">
        <f>[5]CZ_B!E37</f>
        <v>588.57516352972516</v>
      </c>
      <c r="F51" s="430">
        <f>[5]CZ_B!F37</f>
        <v>817.25463184904424</v>
      </c>
      <c r="G51" s="430">
        <f>[5]CZ_B!G37</f>
        <v>1105.7451686578227</v>
      </c>
      <c r="H51" s="174">
        <f>IF(G51+([6]CZ_B!H37-[6]CZ_B!G37)&gt;=0,G51+([6]CZ_B!H37-[6]CZ_B!G37),0)</f>
        <v>1861.7960535624579</v>
      </c>
      <c r="I51" s="174">
        <f>IF(H51+([6]CZ_B!I37-[6]CZ_B!H37)&gt;=0,H51+([6]CZ_B!I37-[6]CZ_B!H37),0)</f>
        <v>2467.8089229615389</v>
      </c>
      <c r="J51" s="174">
        <f>IF(I51+([6]CZ_B!J37-[6]CZ_B!I37)&gt;=0,I51+([6]CZ_B!J37-[6]CZ_B!I37),0)</f>
        <v>3201.4897984741133</v>
      </c>
      <c r="K51" s="174">
        <f>IF(J51+([6]CZ_B!K37-[6]CZ_B!J37)&gt;=0,J51+([6]CZ_B!K37-[6]CZ_B!J37),0)</f>
        <v>4052.9817437479419</v>
      </c>
      <c r="L51" s="446" t="s">
        <v>1200</v>
      </c>
      <c r="M51" s="448" t="s">
        <v>1201</v>
      </c>
      <c r="N51" s="297"/>
    </row>
    <row r="52" spans="1:14" x14ac:dyDescent="0.25">
      <c r="A52" s="431" t="s">
        <v>6</v>
      </c>
      <c r="B52" s="431" t="s">
        <v>7</v>
      </c>
      <c r="C52" s="53" t="s">
        <v>1199</v>
      </c>
      <c r="D52" s="430">
        <f>[5]CZ_B!D23</f>
        <v>4006.08</v>
      </c>
      <c r="E52" s="430">
        <f>[5]CZ_B!E23</f>
        <v>4006.08</v>
      </c>
      <c r="F52" s="430">
        <f>[5]CZ_B!F23</f>
        <v>4006.08</v>
      </c>
      <c r="G52" s="430">
        <f>[5]CZ_B!G23</f>
        <v>4006.08</v>
      </c>
      <c r="H52" s="174">
        <f>IF(G52+([6]CZ_B!H23-[6]CZ_B!G23)&gt;=0,G52+([6]CZ_B!H23-[6]CZ_B!G23),0)</f>
        <v>4006.08</v>
      </c>
      <c r="I52" s="174">
        <f>IF(H52+([6]CZ_B!I23-[6]CZ_B!H23)&gt;=0,H52+([6]CZ_B!I23-[6]CZ_B!H23),0)</f>
        <v>5206.08</v>
      </c>
      <c r="J52" s="174">
        <f>IF(I52+([6]CZ_B!J23-[6]CZ_B!I23)&gt;=0,I52+([6]CZ_B!J23-[6]CZ_B!I23),0)</f>
        <v>5206.08</v>
      </c>
      <c r="K52" s="174">
        <f>IF(J52+([6]CZ_B!K23-[6]CZ_B!J23)&gt;=0,J52+([6]CZ_B!K23-[6]CZ_B!J23),0)</f>
        <v>4447.68</v>
      </c>
      <c r="L52" s="446" t="s">
        <v>1200</v>
      </c>
      <c r="M52" s="448" t="s">
        <v>1201</v>
      </c>
      <c r="N52" s="297"/>
    </row>
    <row r="53" spans="1:14" x14ac:dyDescent="0.25">
      <c r="A53" s="431" t="s">
        <v>8</v>
      </c>
      <c r="B53" s="431" t="s">
        <v>9</v>
      </c>
      <c r="C53" s="53" t="s">
        <v>1199</v>
      </c>
      <c r="D53" s="430">
        <f>[5]CZ_B!D26</f>
        <v>1088.0000000000002</v>
      </c>
      <c r="E53" s="430">
        <f>[5]CZ_B!E26</f>
        <v>1090</v>
      </c>
      <c r="F53" s="430">
        <f>[5]CZ_B!F26</f>
        <v>1105.714280438036</v>
      </c>
      <c r="G53" s="430">
        <f>[5]CZ_B!G26</f>
        <v>1119.9642510902015</v>
      </c>
      <c r="H53" s="174">
        <f>IF(G53+([6]CZ_B!H26-[6]CZ_B!G26)&gt;=0,G53+([6]CZ_B!H26-[6]CZ_B!G26),0)</f>
        <v>1119.9642510902015</v>
      </c>
      <c r="I53" s="174">
        <f>IF(H53+([6]CZ_B!I26-[6]CZ_B!H26)&gt;=0,H53+([6]CZ_B!I26-[6]CZ_B!H26),0)</f>
        <v>1130.4305524060721</v>
      </c>
      <c r="J53" s="174">
        <f>IF(I53+([6]CZ_B!J26-[6]CZ_B!I26)&gt;=0,I53+([6]CZ_B!J26-[6]CZ_B!I26),0)</f>
        <v>1134.3888761136595</v>
      </c>
      <c r="K53" s="174">
        <f>IF(J53+([6]CZ_B!K26-[6]CZ_B!J26)&gt;=0,J53+([6]CZ_B!K26-[6]CZ_B!J26),0)</f>
        <v>1134.9153661026658</v>
      </c>
      <c r="L53" s="446" t="s">
        <v>1200</v>
      </c>
      <c r="M53" s="448" t="s">
        <v>1201</v>
      </c>
      <c r="N53" s="297"/>
    </row>
    <row r="54" spans="1:14" x14ac:dyDescent="0.25">
      <c r="A54" s="431" t="s">
        <v>342</v>
      </c>
      <c r="B54" s="431" t="s">
        <v>336</v>
      </c>
      <c r="C54" s="53" t="s">
        <v>1199</v>
      </c>
      <c r="D54" s="430">
        <f>[5]CZ_B!D30</f>
        <v>281.05</v>
      </c>
      <c r="E54" s="430">
        <f>[5]CZ_B!E30</f>
        <v>396.10000000000014</v>
      </c>
      <c r="F54" s="430">
        <f>[5]CZ_B!F30</f>
        <v>4557.766665997262</v>
      </c>
      <c r="G54" s="430">
        <f>[5]CZ_B!G30</f>
        <v>6542.6633323723381</v>
      </c>
      <c r="H54" s="174">
        <f>IF(G54+([6]CZ_B!H30-[6]CZ_B!G30)&gt;=0,G54+([6]CZ_B!H30-[6]CZ_B!G30),0)</f>
        <v>7595.225458217712</v>
      </c>
      <c r="I54" s="174">
        <f>IF(H54+([6]CZ_B!I30-[6]CZ_B!H30)&gt;=0,H54+([6]CZ_B!I30-[6]CZ_B!H30),0)</f>
        <v>8223.4129599379303</v>
      </c>
      <c r="J54" s="174">
        <f>IF(I54+([6]CZ_B!J30-[6]CZ_B!I30)&gt;=0,I54+([6]CZ_B!J30-[6]CZ_B!I30),0)</f>
        <v>8584.3231846293929</v>
      </c>
      <c r="K54" s="174">
        <f>IF(J54+([6]CZ_B!K30-[6]CZ_B!J30)&gt;=0,J54+([6]CZ_B!K30-[6]CZ_B!J30),0)</f>
        <v>8760.0569598589627</v>
      </c>
      <c r="L54" s="446" t="s">
        <v>1200</v>
      </c>
      <c r="M54" s="448" t="s">
        <v>1201</v>
      </c>
      <c r="N54" s="297"/>
    </row>
    <row r="55" spans="1:14" x14ac:dyDescent="0.25">
      <c r="A55" s="431" t="s">
        <v>343</v>
      </c>
      <c r="B55" s="431" t="s">
        <v>337</v>
      </c>
      <c r="C55" s="53" t="s">
        <v>1199</v>
      </c>
      <c r="D55" s="430">
        <f>[5]CZ_B!D31</f>
        <v>0</v>
      </c>
      <c r="E55" s="430">
        <f>[5]CZ_B!E31</f>
        <v>0</v>
      </c>
      <c r="F55" s="430">
        <f>[5]CZ_B!F31</f>
        <v>0</v>
      </c>
      <c r="G55" s="430">
        <f>[5]CZ_B!G31</f>
        <v>0</v>
      </c>
      <c r="H55" s="174">
        <f>IF(G55+([6]CZ_B!H31-[6]CZ_B!G31)&gt;=0,G55+([6]CZ_B!H31-[6]CZ_B!G31),0)</f>
        <v>0</v>
      </c>
      <c r="I55" s="174">
        <f>IF(H55+([6]CZ_B!I31-[6]CZ_B!H31)&gt;=0,H55+([6]CZ_B!I31-[6]CZ_B!H31),0)</f>
        <v>0</v>
      </c>
      <c r="J55" s="174">
        <f>IF(I55+([6]CZ_B!J31-[6]CZ_B!I31)&gt;=0,I55+([6]CZ_B!J31-[6]CZ_B!I31),0)</f>
        <v>0</v>
      </c>
      <c r="K55" s="174">
        <f>IF(J55+([6]CZ_B!K31-[6]CZ_B!J31)&gt;=0,J55+([6]CZ_B!K31-[6]CZ_B!J31),0)</f>
        <v>0</v>
      </c>
      <c r="L55" s="446" t="s">
        <v>1200</v>
      </c>
      <c r="M55" s="448" t="s">
        <v>1201</v>
      </c>
      <c r="N55" s="297"/>
    </row>
    <row r="56" spans="1:14" x14ac:dyDescent="0.25">
      <c r="A56" s="431" t="s">
        <v>10</v>
      </c>
      <c r="B56" s="431" t="s">
        <v>11</v>
      </c>
      <c r="C56" s="53" t="s">
        <v>1199</v>
      </c>
      <c r="D56" s="430">
        <f>[5]CZ_B!D36</f>
        <v>133.93011999999999</v>
      </c>
      <c r="E56" s="430">
        <f>[5]CZ_B!E36</f>
        <v>71.85011999999999</v>
      </c>
      <c r="F56" s="430">
        <f>[5]CZ_B!F36</f>
        <v>63.702119999999987</v>
      </c>
      <c r="G56" s="430">
        <f>[5]CZ_B!G36</f>
        <v>63.702119999999987</v>
      </c>
      <c r="H56" s="174">
        <f>IF(G56+([6]CZ_B!H36-[6]CZ_B!G36)&gt;=0,G56+([6]CZ_B!H36-[6]CZ_B!G36),0)</f>
        <v>44.702120000000001</v>
      </c>
      <c r="I56" s="174">
        <f>IF(H56+([6]CZ_B!I36-[6]CZ_B!H36)&gt;=0,H56+([6]CZ_B!I36-[6]CZ_B!H36),0)</f>
        <v>41.204299999999996</v>
      </c>
      <c r="J56" s="174">
        <f>IF(I56+([6]CZ_B!J36-[6]CZ_B!I36)&gt;=0,I56+([6]CZ_B!J36-[6]CZ_B!I36),0)</f>
        <v>41.204299999999996</v>
      </c>
      <c r="K56" s="174">
        <f>IF(J56+([6]CZ_B!K36-[6]CZ_B!J36)&gt;=0,J56+([6]CZ_B!K36-[6]CZ_B!J36),0)</f>
        <v>24.104299999999999</v>
      </c>
      <c r="L56" s="446" t="s">
        <v>1200</v>
      </c>
      <c r="M56" s="448" t="s">
        <v>1201</v>
      </c>
      <c r="N56" s="297"/>
    </row>
    <row r="57" spans="1:14" x14ac:dyDescent="0.25">
      <c r="A57" s="431" t="s">
        <v>12</v>
      </c>
      <c r="B57" s="431" t="s">
        <v>13</v>
      </c>
      <c r="C57" s="53" t="s">
        <v>1199</v>
      </c>
      <c r="D57" s="430">
        <f>[5]CZ_B!D25</f>
        <v>527.6919839727301</v>
      </c>
      <c r="E57" s="430">
        <f>[5]CZ_B!E25</f>
        <v>647.60234676074128</v>
      </c>
      <c r="F57" s="430">
        <f>[5]CZ_B!F25</f>
        <v>663.36076830698005</v>
      </c>
      <c r="G57" s="430">
        <f>[5]CZ_B!G25</f>
        <v>851.55129706148546</v>
      </c>
      <c r="H57" s="174">
        <f>IF(G57+([6]CZ_B!H25-[6]CZ_B!G25)&gt;=0,G57+([6]CZ_B!H25-[6]CZ_B!G25),0)</f>
        <v>976.42661927596089</v>
      </c>
      <c r="I57" s="174">
        <f>IF(H57+([6]CZ_B!I25-[6]CZ_B!H25)&gt;=0,H57+([6]CZ_B!I25-[6]CZ_B!H25),0)</f>
        <v>1156.361749089242</v>
      </c>
      <c r="J57" s="174">
        <f>IF(I57+([6]CZ_B!J25-[6]CZ_B!I25)&gt;=0,I57+([6]CZ_B!J25-[6]CZ_B!I25),0)</f>
        <v>1319.053700361176</v>
      </c>
      <c r="K57" s="174">
        <f>IF(J57+([6]CZ_B!K25-[6]CZ_B!J25)&gt;=0,J57+([6]CZ_B!K25-[6]CZ_B!J25),0)</f>
        <v>1624.1885874409822</v>
      </c>
      <c r="L57" s="446" t="s">
        <v>1200</v>
      </c>
      <c r="M57" s="448" t="s">
        <v>1201</v>
      </c>
      <c r="N57" s="297"/>
    </row>
    <row r="58" spans="1:14" x14ac:dyDescent="0.25">
      <c r="A58" s="431" t="s">
        <v>831</v>
      </c>
      <c r="B58" s="431" t="s">
        <v>338</v>
      </c>
      <c r="C58" s="53" t="s">
        <v>1199</v>
      </c>
      <c r="D58" s="174">
        <f>[5]CZ_B!D32*el_capacity!$L10/(el_capacity!$L10+el_capacity!$L11)</f>
        <v>1329.7245711524522</v>
      </c>
      <c r="E58" s="174">
        <f>[5]CZ_B!E32*el_capacity!$L10/(el_capacity!$L10+el_capacity!$L11)</f>
        <v>1329.7245711524522</v>
      </c>
      <c r="F58" s="174">
        <f>[5]CZ_B!F32*el_capacity!$L10/(el_capacity!$L10+el_capacity!$L11)</f>
        <v>2463.516728935012</v>
      </c>
      <c r="G58" s="174">
        <f>[5]CZ_B!G32*el_capacity!$L10/(el_capacity!$L10+el_capacity!$L11)</f>
        <v>2772.6374582095968</v>
      </c>
      <c r="H58" s="174">
        <f>IF(G58+([6]CZ_B!H32-[6]CZ_B!G32)&gt;=0,G58+([6]CZ_B!H32-[6]CZ_B!G32),0)</f>
        <v>2983.609727189777</v>
      </c>
      <c r="I58" s="174">
        <f>IF(H58+([6]CZ_B!I32-[6]CZ_B!H32)&gt;=0,H58+([6]CZ_B!I32-[6]CZ_B!H32),0)</f>
        <v>3565.5014029721051</v>
      </c>
      <c r="J58" s="174">
        <f>IF(I58+([6]CZ_B!J32-[6]CZ_B!I32)&gt;=0,I58+([6]CZ_B!J32-[6]CZ_B!I32),0)</f>
        <v>4510.2396580889636</v>
      </c>
      <c r="K58" s="174">
        <f>IF(J58+([6]CZ_B!K32-[6]CZ_B!J32)&gt;=0,J58+([6]CZ_B!K32-[6]CZ_B!J32),0)</f>
        <v>4510.2396580889636</v>
      </c>
      <c r="L58" s="446" t="s">
        <v>1200</v>
      </c>
      <c r="M58" s="448" t="s">
        <v>1201</v>
      </c>
      <c r="N58" s="297"/>
    </row>
    <row r="59" spans="1:14" x14ac:dyDescent="0.25">
      <c r="A59" s="431" t="s">
        <v>832</v>
      </c>
      <c r="B59" s="431" t="s">
        <v>339</v>
      </c>
      <c r="C59" s="53" t="s">
        <v>1199</v>
      </c>
      <c r="D59" s="174">
        <f>[5]CZ_B!D32*el_capacity!$L11/(el_capacity!$L10+el_capacity!$L11)</f>
        <v>745.27542884754769</v>
      </c>
      <c r="E59" s="174">
        <f>[5]CZ_B!E32*el_capacity!$L11/(el_capacity!$L10+el_capacity!$L11)</f>
        <v>745.27542884754769</v>
      </c>
      <c r="F59" s="174">
        <f>[5]CZ_B!F32*el_capacity!$L11/(el_capacity!$L10+el_capacity!$L11)</f>
        <v>1380.7359256653554</v>
      </c>
      <c r="G59" s="174">
        <f>[5]CZ_B!G32*el_capacity!$L11/(el_capacity!$L10+el_capacity!$L11)</f>
        <v>1553.9899130502135</v>
      </c>
      <c r="H59" s="174">
        <f>IF(G59+([6]CZ_B!H32-[6]CZ_B!G32)&gt;=0,G59+([6]CZ_B!H32-[6]CZ_B!G32),0)</f>
        <v>1764.9621820303937</v>
      </c>
      <c r="I59" s="174">
        <f>IF(H59+([6]CZ_B!I32-[6]CZ_B!H32)&gt;=0,H59+([6]CZ_B!I32-[6]CZ_B!H32),0)</f>
        <v>2346.8538578127218</v>
      </c>
      <c r="J59" s="174">
        <f>IF(I59+([6]CZ_B!J32-[6]CZ_B!I32)&gt;=0,I59+([6]CZ_B!J32-[6]CZ_B!I32),0)</f>
        <v>3291.5921129295803</v>
      </c>
      <c r="K59" s="174">
        <f>IF(J59+([6]CZ_B!K32-[6]CZ_B!J32)&gt;=0,J59+([6]CZ_B!K32-[6]CZ_B!J32),0)</f>
        <v>3291.5921129295803</v>
      </c>
      <c r="L59" s="446" t="s">
        <v>1200</v>
      </c>
      <c r="M59" s="448" t="s">
        <v>1201</v>
      </c>
      <c r="N59" s="297"/>
    </row>
    <row r="60" spans="1:14" x14ac:dyDescent="0.25">
      <c r="A60" s="431" t="s">
        <v>14</v>
      </c>
      <c r="B60" s="431" t="s">
        <v>15</v>
      </c>
      <c r="C60" s="53" t="s">
        <v>1199</v>
      </c>
      <c r="D60" s="174">
        <v>0</v>
      </c>
      <c r="E60" s="174">
        <v>0</v>
      </c>
      <c r="F60" s="174">
        <v>0</v>
      </c>
      <c r="G60" s="174">
        <v>0</v>
      </c>
      <c r="H60" s="174">
        <v>0</v>
      </c>
      <c r="I60" s="174">
        <v>0</v>
      </c>
      <c r="J60" s="174">
        <v>0</v>
      </c>
      <c r="K60" s="174">
        <v>0</v>
      </c>
      <c r="L60" s="446" t="s">
        <v>1200</v>
      </c>
      <c r="M60" s="448" t="s">
        <v>1201</v>
      </c>
      <c r="N60" s="297"/>
    </row>
    <row r="61" spans="1:14" x14ac:dyDescent="0.25">
      <c r="A61" s="431" t="s">
        <v>16</v>
      </c>
      <c r="B61" s="431" t="s">
        <v>17</v>
      </c>
      <c r="C61" s="53" t="s">
        <v>1199</v>
      </c>
      <c r="D61" s="174">
        <v>0</v>
      </c>
      <c r="E61" s="174">
        <v>0</v>
      </c>
      <c r="F61" s="174">
        <v>0</v>
      </c>
      <c r="G61" s="174">
        <v>0</v>
      </c>
      <c r="H61" s="174">
        <v>0</v>
      </c>
      <c r="I61" s="174">
        <v>0</v>
      </c>
      <c r="J61" s="174">
        <v>0</v>
      </c>
      <c r="K61" s="174">
        <v>0</v>
      </c>
      <c r="L61" s="446" t="s">
        <v>1200</v>
      </c>
      <c r="M61" s="448" t="s">
        <v>1201</v>
      </c>
      <c r="N61" s="297"/>
    </row>
    <row r="62" spans="1:14" x14ac:dyDescent="0.25">
      <c r="A62" s="431" t="s">
        <v>18</v>
      </c>
      <c r="B62" s="431" t="s">
        <v>19</v>
      </c>
      <c r="C62" s="53" t="s">
        <v>1199</v>
      </c>
      <c r="D62" s="430">
        <f>[5]CZ_B!D33</f>
        <v>0</v>
      </c>
      <c r="E62" s="430">
        <f>[5]CZ_B!E33</f>
        <v>0</v>
      </c>
      <c r="F62" s="430">
        <f>[5]CZ_B!F33</f>
        <v>0</v>
      </c>
      <c r="G62" s="430">
        <f>[5]CZ_B!G33</f>
        <v>0</v>
      </c>
      <c r="H62" s="174">
        <f>IF(G62+([6]CZ_B!H33-[6]CZ_B!G33)&gt;=0,G62+([6]CZ_B!H33-[6]CZ_B!G33),0)</f>
        <v>0</v>
      </c>
      <c r="I62" s="174">
        <f>IF(H62+([6]CZ_B!I33-[6]CZ_B!H33)&gt;=0,H62+([6]CZ_B!I33-[6]CZ_B!H33),0)</f>
        <v>11.969068554251068</v>
      </c>
      <c r="J62" s="174">
        <f>IF(I62+([6]CZ_B!J33-[6]CZ_B!I33)&gt;=0,I62+([6]CZ_B!J33-[6]CZ_B!I33),0)</f>
        <v>453.38759908852768</v>
      </c>
      <c r="K62" s="174">
        <f>IF(J62+([6]CZ_B!K33-[6]CZ_B!J33)&gt;=0,J62+([6]CZ_B!K33-[6]CZ_B!J33),0)</f>
        <v>522.93844072382876</v>
      </c>
      <c r="L62" s="446" t="s">
        <v>1200</v>
      </c>
      <c r="M62" s="448" t="s">
        <v>1201</v>
      </c>
      <c r="N62" s="297"/>
    </row>
    <row r="63" spans="1:14" x14ac:dyDescent="0.25">
      <c r="A63" s="373" t="s">
        <v>1156</v>
      </c>
      <c r="B63" s="431"/>
      <c r="C63" s="53" t="s">
        <v>1199</v>
      </c>
      <c r="D63" s="441">
        <f>SUM(D50:D62)</f>
        <v>18697.54292</v>
      </c>
      <c r="E63" s="441">
        <f t="shared" ref="E63:K63" si="25">SUM(E50:E62)</f>
        <v>18918.630180290471</v>
      </c>
      <c r="F63" s="441">
        <f t="shared" si="25"/>
        <v>25028.87367119169</v>
      </c>
      <c r="G63" s="441">
        <f t="shared" si="25"/>
        <v>27370.396090441656</v>
      </c>
      <c r="H63" s="444">
        <f t="shared" si="25"/>
        <v>25886.733961366506</v>
      </c>
      <c r="I63" s="444">
        <f t="shared" si="25"/>
        <v>26952.667363733868</v>
      </c>
      <c r="J63" s="444">
        <f t="shared" si="25"/>
        <v>29633.811979685415</v>
      </c>
      <c r="K63" s="444">
        <f t="shared" si="25"/>
        <v>30157.565918892924</v>
      </c>
      <c r="L63" s="446" t="s">
        <v>1200</v>
      </c>
      <c r="M63" s="448" t="s">
        <v>1201</v>
      </c>
      <c r="N63" s="297"/>
    </row>
    <row r="64" spans="1:14" x14ac:dyDescent="0.25">
      <c r="A64" s="429" t="s">
        <v>1150</v>
      </c>
      <c r="B64" s="429"/>
      <c r="C64" s="429"/>
      <c r="D64" s="430"/>
      <c r="E64" s="430"/>
      <c r="F64" s="430"/>
      <c r="G64" s="430"/>
      <c r="H64" s="430"/>
      <c r="I64" s="430"/>
      <c r="J64" s="430"/>
      <c r="K64" s="430"/>
      <c r="L64" s="297"/>
      <c r="M64" s="297"/>
      <c r="N64" s="297"/>
    </row>
    <row r="65" spans="1:14" x14ac:dyDescent="0.25">
      <c r="A65" s="387" t="s">
        <v>834</v>
      </c>
      <c r="B65" s="387"/>
      <c r="C65" s="387"/>
      <c r="D65" s="376" t="s">
        <v>1129</v>
      </c>
      <c r="E65" s="376" t="s">
        <v>1130</v>
      </c>
      <c r="F65" s="376" t="s">
        <v>1131</v>
      </c>
      <c r="G65" s="376" t="s">
        <v>1132</v>
      </c>
      <c r="H65" s="376" t="s">
        <v>1133</v>
      </c>
      <c r="I65" s="376" t="s">
        <v>1134</v>
      </c>
      <c r="J65" s="376" t="s">
        <v>1135</v>
      </c>
      <c r="K65" s="376" t="s">
        <v>1136</v>
      </c>
      <c r="L65" s="297"/>
      <c r="M65" s="297"/>
      <c r="N65" s="297"/>
    </row>
    <row r="66" spans="1:14" x14ac:dyDescent="0.25">
      <c r="A66" s="450" t="s">
        <v>636</v>
      </c>
      <c r="B66" s="450" t="s">
        <v>1149</v>
      </c>
      <c r="C66" s="431" t="s">
        <v>1199</v>
      </c>
      <c r="D66" s="452">
        <f>[5]CZ_A!D44</f>
        <v>1564.8065042600704</v>
      </c>
      <c r="E66" s="452">
        <f>[5]CZ_A!E44</f>
        <v>1308.8198380816207</v>
      </c>
      <c r="F66" s="452">
        <f>[5]CZ_A!F44</f>
        <v>1024.2222632011496</v>
      </c>
      <c r="G66" s="452">
        <f>[5]CZ_A!G44</f>
        <v>450.32781351453008</v>
      </c>
      <c r="H66" s="452">
        <f>IF(G66+([6]CZ_A!H44-[6]CZ_A!G44)&gt;=0,G66+([6]CZ_A!H44-[6]CZ_A!G44),0)</f>
        <v>18.0947739637582</v>
      </c>
      <c r="I66" s="452">
        <f>IF(H66+([6]CZ_A!I44-[6]CZ_A!H44)&gt;=0,H66+([6]CZ_A!I44-[6]CZ_A!H44),0)</f>
        <v>0</v>
      </c>
      <c r="J66" s="452">
        <f>IF(I66+([6]CZ_A!J44-[6]CZ_A!I44)&gt;=0,I66+([6]CZ_A!J44-[6]CZ_A!I44),0)</f>
        <v>0</v>
      </c>
      <c r="K66" s="452">
        <f>IF(J66+([6]CZ_A!K44-[6]CZ_A!J44)&gt;=0,J66+([6]CZ_A!K44-[6]CZ_A!J44),0)</f>
        <v>0</v>
      </c>
      <c r="L66" s="448" t="s">
        <v>1200</v>
      </c>
      <c r="M66" s="448" t="s">
        <v>1201</v>
      </c>
      <c r="N66" s="297"/>
    </row>
    <row r="67" spans="1:14" x14ac:dyDescent="0.25">
      <c r="A67" s="450" t="s">
        <v>715</v>
      </c>
      <c r="B67" s="450" t="s">
        <v>1149</v>
      </c>
      <c r="C67" s="431" t="s">
        <v>1199</v>
      </c>
      <c r="D67" s="452">
        <f>[5]CZ_A!D45</f>
        <v>6409.9195558461797</v>
      </c>
      <c r="E67" s="452">
        <f>[5]CZ_A!E45</f>
        <v>5823.0976255661571</v>
      </c>
      <c r="F67" s="452">
        <f>[5]CZ_A!F45</f>
        <v>5985.5720942227108</v>
      </c>
      <c r="G67" s="452">
        <f>[5]CZ_A!G45</f>
        <v>5371.3541387891219</v>
      </c>
      <c r="H67" s="452">
        <f>IF(G67+([6]CZ_A!H45-[6]CZ_A!G45)&gt;=0,G67+([6]CZ_A!H45-[6]CZ_A!G45),0)</f>
        <v>5088.0621276819193</v>
      </c>
      <c r="I67" s="452">
        <f>IF(H67+([6]CZ_A!I45-[6]CZ_A!H45)&gt;=0,H67+([6]CZ_A!I45-[6]CZ_A!H45),0)</f>
        <v>4869.1443371052546</v>
      </c>
      <c r="J67" s="452">
        <f>IF(I67+([6]CZ_A!J45-[6]CZ_A!I45)&gt;=0,I67+([6]CZ_A!J45-[6]CZ_A!I45),0)</f>
        <v>4610.340968723136</v>
      </c>
      <c r="K67" s="452">
        <f>IF(J67+([6]CZ_A!K45-[6]CZ_A!J45)&gt;=0,J67+([6]CZ_A!K45-[6]CZ_A!J45),0)</f>
        <v>4433.936935321377</v>
      </c>
      <c r="L67" s="448" t="s">
        <v>1200</v>
      </c>
      <c r="M67" s="448" t="s">
        <v>1201</v>
      </c>
      <c r="N67" s="297"/>
    </row>
    <row r="68" spans="1:14" x14ac:dyDescent="0.25">
      <c r="A68" s="450" t="s">
        <v>432</v>
      </c>
      <c r="B68" s="450" t="s">
        <v>1149</v>
      </c>
      <c r="C68" s="431" t="s">
        <v>1199</v>
      </c>
      <c r="D68" s="452">
        <f>[5]CZ_A!D46</f>
        <v>5298.5598659146217</v>
      </c>
      <c r="E68" s="452">
        <f>[5]CZ_A!E46</f>
        <v>4966.5368667020448</v>
      </c>
      <c r="F68" s="452">
        <f>[5]CZ_A!F46</f>
        <v>5218.5799780071175</v>
      </c>
      <c r="G68" s="452">
        <f>[5]CZ_A!G46</f>
        <v>4378.5394201458048</v>
      </c>
      <c r="H68" s="452">
        <f>IF(G68+([6]CZ_A!H46-[6]CZ_A!G46)&gt;=0,G68+([6]CZ_A!H46-[6]CZ_A!G46),0)</f>
        <v>4203.9261908995049</v>
      </c>
      <c r="I68" s="452">
        <f>IF(H68+([6]CZ_A!I46-[6]CZ_A!H46)&gt;=0,H68+([6]CZ_A!I46-[6]CZ_A!H46),0)</f>
        <v>4141.6383113612419</v>
      </c>
      <c r="J68" s="452">
        <f>IF(I68+([6]CZ_A!J46-[6]CZ_A!I46)&gt;=0,I68+([6]CZ_A!J46-[6]CZ_A!I46),0)</f>
        <v>4237.9760366684568</v>
      </c>
      <c r="K68" s="452">
        <f>IF(J68+([6]CZ_A!K46-[6]CZ_A!J46)&gt;=0,J68+([6]CZ_A!K46-[6]CZ_A!J46),0)</f>
        <v>4234.6789874922615</v>
      </c>
      <c r="L68" s="448" t="s">
        <v>1200</v>
      </c>
      <c r="M68" s="448" t="s">
        <v>1201</v>
      </c>
      <c r="N68" s="297"/>
    </row>
    <row r="69" spans="1:14" x14ac:dyDescent="0.25">
      <c r="A69" s="297" t="s">
        <v>835</v>
      </c>
      <c r="B69" s="450" t="s">
        <v>1149</v>
      </c>
      <c r="C69" s="431" t="s">
        <v>1199</v>
      </c>
      <c r="D69" s="452">
        <f>[5]CZ_A!D48</f>
        <v>2075.5436363662893</v>
      </c>
      <c r="E69" s="452">
        <f>[5]CZ_A!E48</f>
        <v>1946.3296538490479</v>
      </c>
      <c r="F69" s="452">
        <f>[5]CZ_A!F48</f>
        <v>2328.3807114479046</v>
      </c>
      <c r="G69" s="452">
        <f>[5]CZ_A!G48</f>
        <v>2259.423587812023</v>
      </c>
      <c r="H69" s="452">
        <f>IF(G69+([6]CZ_A!H48-[6]CZ_A!G48)&gt;=0,G69+([6]CZ_A!H48-[6]CZ_A!G48),0)</f>
        <v>2286.6577485547987</v>
      </c>
      <c r="I69" s="452">
        <f>IF(H69+([6]CZ_A!I48-[6]CZ_A!H48)&gt;=0,H69+([6]CZ_A!I48-[6]CZ_A!H48),0)</f>
        <v>2283.2221960821848</v>
      </c>
      <c r="J69" s="452">
        <f>IF(I69+([6]CZ_A!J48-[6]CZ_A!I48)&gt;=0,I69+([6]CZ_A!J48-[6]CZ_A!I48),0)</f>
        <v>2182.9924169472706</v>
      </c>
      <c r="K69" s="452">
        <f>IF(J69+([6]CZ_A!K48-[6]CZ_A!J48)&gt;=0,J69+([6]CZ_A!K48-[6]CZ_A!J48),0)</f>
        <v>2168.5670526933368</v>
      </c>
      <c r="L69" s="448" t="s">
        <v>1200</v>
      </c>
      <c r="M69" s="448" t="s">
        <v>1201</v>
      </c>
      <c r="N69" s="297"/>
    </row>
    <row r="70" spans="1:14" x14ac:dyDescent="0.25">
      <c r="A70" s="431" t="s">
        <v>711</v>
      </c>
      <c r="B70" s="450" t="s">
        <v>1149</v>
      </c>
      <c r="C70" s="431" t="s">
        <v>1199</v>
      </c>
      <c r="D70" s="452">
        <f>[5]CZ_A!D49</f>
        <v>3025.884650644588</v>
      </c>
      <c r="E70" s="452">
        <f>[5]CZ_A!E49</f>
        <v>3550.6992105285226</v>
      </c>
      <c r="F70" s="452">
        <f>[5]CZ_A!F49</f>
        <v>3729.839040651927</v>
      </c>
      <c r="G70" s="452">
        <f>[5]CZ_A!G49</f>
        <v>3738.3408432553133</v>
      </c>
      <c r="H70" s="452">
        <f>IF(G70+([6]CZ_A!H49-[6]CZ_A!G49)&gt;=0,G70+([6]CZ_A!H49-[6]CZ_A!G49),0)</f>
        <v>4063.4467023975403</v>
      </c>
      <c r="I70" s="452">
        <f>IF(H70+([6]CZ_A!I49-[6]CZ_A!H49)&gt;=0,H70+([6]CZ_A!I49-[6]CZ_A!H49),0)</f>
        <v>3967.4560920718232</v>
      </c>
      <c r="J70" s="452">
        <f>IF(I70+([6]CZ_A!J49-[6]CZ_A!I49)&gt;=0,I70+([6]CZ_A!J49-[6]CZ_A!I49),0)</f>
        <v>3731.8088177382924</v>
      </c>
      <c r="K70" s="452">
        <f>IF(J70+([6]CZ_A!K49-[6]CZ_A!J49)&gt;=0,J70+([6]CZ_A!K49-[6]CZ_A!J49),0)</f>
        <v>3637.9719317984959</v>
      </c>
      <c r="L70" s="448" t="s">
        <v>1200</v>
      </c>
      <c r="M70" s="448" t="s">
        <v>1201</v>
      </c>
      <c r="N70" s="297"/>
    </row>
    <row r="71" spans="1:14" x14ac:dyDescent="0.25">
      <c r="A71" s="450" t="s">
        <v>836</v>
      </c>
      <c r="B71" s="450" t="s">
        <v>1149</v>
      </c>
      <c r="C71" s="431" t="s">
        <v>1199</v>
      </c>
      <c r="D71" s="452">
        <f>[5]CZ_A!D47</f>
        <v>4689.3430071064868</v>
      </c>
      <c r="E71" s="452">
        <f>[5]CZ_A!E47</f>
        <v>4462.7411410777249</v>
      </c>
      <c r="F71" s="452">
        <f>[5]CZ_A!F47</f>
        <v>4985.3302137815999</v>
      </c>
      <c r="G71" s="452">
        <f>[5]CZ_A!G47</f>
        <v>5606.8969350458383</v>
      </c>
      <c r="H71" s="452">
        <f>IF(G71+([6]CZ_A!H47-[6]CZ_A!G47)&gt;=0,G71+([6]CZ_A!H47-[6]CZ_A!G47),0)</f>
        <v>5883.7873158011016</v>
      </c>
      <c r="I71" s="452">
        <f>IF(H71+([6]CZ_A!I47-[6]CZ_A!H47)&gt;=0,H71+([6]CZ_A!I47-[6]CZ_A!H47),0)</f>
        <v>6197.7397235763938</v>
      </c>
      <c r="J71" s="452">
        <f>IF(I71+([6]CZ_A!J47-[6]CZ_A!I47)&gt;=0,I71+([6]CZ_A!J47-[6]CZ_A!I47),0)</f>
        <v>6512.539061079201</v>
      </c>
      <c r="K71" s="452">
        <f>IF(J71+([6]CZ_A!K47-[6]CZ_A!J47)&gt;=0,J71+([6]CZ_A!K47-[6]CZ_A!J47),0)</f>
        <v>6763.4830982896892</v>
      </c>
      <c r="L71" s="448" t="s">
        <v>1200</v>
      </c>
      <c r="M71" s="448" t="s">
        <v>1201</v>
      </c>
      <c r="N71" s="297"/>
    </row>
    <row r="72" spans="1:14" x14ac:dyDescent="0.25">
      <c r="A72" s="373" t="s">
        <v>1157</v>
      </c>
      <c r="B72" s="453"/>
      <c r="C72" s="431" t="s">
        <v>1199</v>
      </c>
      <c r="D72" s="441">
        <f>SUM(D66:D71)</f>
        <v>23064.057220138235</v>
      </c>
      <c r="E72" s="441">
        <f t="shared" ref="E72:K72" si="26">SUM(E66:E71)</f>
        <v>22058.224335805116</v>
      </c>
      <c r="F72" s="441">
        <f t="shared" si="26"/>
        <v>23271.924301312407</v>
      </c>
      <c r="G72" s="441">
        <f t="shared" si="26"/>
        <v>21804.882738562632</v>
      </c>
      <c r="H72" s="441">
        <f t="shared" si="26"/>
        <v>21543.974859298625</v>
      </c>
      <c r="I72" s="441">
        <f t="shared" si="26"/>
        <v>21459.200660196897</v>
      </c>
      <c r="J72" s="441">
        <f t="shared" si="26"/>
        <v>21275.657301156356</v>
      </c>
      <c r="K72" s="441">
        <f t="shared" si="26"/>
        <v>21238.638005595159</v>
      </c>
      <c r="L72" s="448" t="s">
        <v>1200</v>
      </c>
      <c r="M72" s="448" t="s">
        <v>1201</v>
      </c>
      <c r="N72" s="297"/>
    </row>
    <row r="73" spans="1:14" x14ac:dyDescent="0.25">
      <c r="C73" s="2"/>
    </row>
    <row r="74" spans="1:14" x14ac:dyDescent="0.25">
      <c r="C74" s="2"/>
    </row>
    <row r="75" spans="1:14" x14ac:dyDescent="0.25">
      <c r="C75" s="2"/>
    </row>
    <row r="76" spans="1:14" x14ac:dyDescent="0.25">
      <c r="C76" s="2"/>
    </row>
    <row r="77" spans="1:14" x14ac:dyDescent="0.25">
      <c r="C77" s="2"/>
    </row>
    <row r="78" spans="1:14" x14ac:dyDescent="0.25">
      <c r="C78" s="2"/>
    </row>
  </sheetData>
  <mergeCells count="5">
    <mergeCell ref="N4:N9"/>
    <mergeCell ref="N11:N16"/>
    <mergeCell ref="N30:N32"/>
    <mergeCell ref="N25:N28"/>
    <mergeCell ref="N18:N23"/>
  </mergeCells>
  <pageMargins left="0.7" right="0.7" top="0.78740157499999996" bottom="0.78740157499999996" header="0.3" footer="0.3"/>
  <pageSetup paperSize="9" orientation="portrait" verticalDpi="0"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8"/>
  <sheetViews>
    <sheetView zoomScale="75" zoomScaleNormal="75" workbookViewId="0">
      <pane xSplit="3" ySplit="1" topLeftCell="D2" activePane="bottomRight" state="frozen"/>
      <selection pane="topRight" activeCell="D1" sqref="D1"/>
      <selection pane="bottomLeft" activeCell="A2" sqref="A2"/>
      <selection pane="bottomRight" activeCell="D4" sqref="D4"/>
    </sheetView>
  </sheetViews>
  <sheetFormatPr defaultColWidth="8.25" defaultRowHeight="15" x14ac:dyDescent="0.25"/>
  <cols>
    <col min="1" max="1" width="94.25" style="118" bestFit="1" customWidth="1"/>
    <col min="2" max="2" width="14.625" style="118" customWidth="1"/>
    <col min="3" max="3" width="21.125" style="118" customWidth="1"/>
    <col min="4" max="11" width="10.25" style="15" customWidth="1"/>
    <col min="12" max="14" width="50" style="15" customWidth="1"/>
    <col min="15" max="16384" width="8.25" style="15"/>
  </cols>
  <sheetData>
    <row r="1" spans="1:14" x14ac:dyDescent="0.25">
      <c r="A1" s="387" t="s">
        <v>0</v>
      </c>
      <c r="B1" s="387" t="s">
        <v>1</v>
      </c>
      <c r="C1" s="387" t="s">
        <v>1147</v>
      </c>
      <c r="D1" s="373" t="s">
        <v>1148</v>
      </c>
      <c r="E1" s="297"/>
      <c r="F1" s="297"/>
      <c r="G1" s="297"/>
      <c r="H1" s="297"/>
      <c r="I1" s="297"/>
      <c r="J1" s="297"/>
      <c r="K1" s="297"/>
      <c r="L1" s="373" t="s">
        <v>1146</v>
      </c>
      <c r="M1" s="373" t="s">
        <v>1145</v>
      </c>
      <c r="N1" s="373" t="s">
        <v>1177</v>
      </c>
    </row>
    <row r="2" spans="1:14" x14ac:dyDescent="0.25">
      <c r="A2" s="387" t="s">
        <v>1057</v>
      </c>
      <c r="B2" s="387"/>
      <c r="C2" s="387"/>
      <c r="D2" s="439" t="s">
        <v>1172</v>
      </c>
      <c r="E2" s="288" t="s">
        <v>1175</v>
      </c>
      <c r="F2" s="297"/>
      <c r="G2" s="297"/>
      <c r="H2" s="297"/>
      <c r="I2" s="297"/>
      <c r="J2" s="297"/>
      <c r="K2" s="297"/>
      <c r="L2" s="429"/>
      <c r="M2" s="431"/>
      <c r="N2" s="431"/>
    </row>
    <row r="3" spans="1:14" x14ac:dyDescent="0.25">
      <c r="A3" s="375" t="s">
        <v>914</v>
      </c>
      <c r="B3" s="375"/>
      <c r="C3" s="375"/>
      <c r="D3" s="376" t="s">
        <v>1129</v>
      </c>
      <c r="E3" s="376" t="s">
        <v>1130</v>
      </c>
      <c r="F3" s="376" t="s">
        <v>1131</v>
      </c>
      <c r="G3" s="376" t="s">
        <v>1132</v>
      </c>
      <c r="H3" s="376" t="s">
        <v>1133</v>
      </c>
      <c r="I3" s="376" t="s">
        <v>1134</v>
      </c>
      <c r="J3" s="376" t="s">
        <v>1135</v>
      </c>
      <c r="K3" s="376" t="s">
        <v>1136</v>
      </c>
      <c r="L3" s="373"/>
      <c r="M3" s="373"/>
      <c r="N3" s="373"/>
    </row>
    <row r="4" spans="1:14" x14ac:dyDescent="0.25">
      <c r="A4" s="15" t="s">
        <v>1037</v>
      </c>
      <c r="B4" s="2" t="s">
        <v>730</v>
      </c>
      <c r="C4" s="288" t="s">
        <v>1184</v>
      </c>
      <c r="D4" s="436">
        <f>100%*D$7</f>
        <v>1</v>
      </c>
      <c r="E4" s="437">
        <f t="shared" ref="E4:E6" si="0">D4+(K4-D4)/7</f>
        <v>0.85714285714285721</v>
      </c>
      <c r="F4" s="437">
        <f t="shared" ref="F4:F6" si="1">D4+2*(K4-D4)/7</f>
        <v>0.7142857142857143</v>
      </c>
      <c r="G4" s="437">
        <f t="shared" ref="G4:G6" si="2">D4+3*(K4-D4)/7</f>
        <v>0.5714285714285714</v>
      </c>
      <c r="H4" s="437">
        <f t="shared" ref="H4:H6" si="3">D4+4*(K4-D4)/7</f>
        <v>0.4285714285714286</v>
      </c>
      <c r="I4" s="437">
        <f t="shared" ref="I4:I6" si="4">D4+5*(K4-D4)/7</f>
        <v>0.2857142857142857</v>
      </c>
      <c r="J4" s="437">
        <f t="shared" ref="J4:J6" si="5">D4+6*(K4-D4)/7</f>
        <v>0.1428571428571429</v>
      </c>
      <c r="K4" s="436">
        <f>0%*(193-54)/100</f>
        <v>0</v>
      </c>
      <c r="L4" s="15" t="s">
        <v>1159</v>
      </c>
      <c r="M4" s="15" t="s">
        <v>1159</v>
      </c>
      <c r="N4" s="476" t="s">
        <v>1185</v>
      </c>
    </row>
    <row r="5" spans="1:14" x14ac:dyDescent="0.25">
      <c r="A5" s="15" t="s">
        <v>1038</v>
      </c>
      <c r="B5" s="2" t="s">
        <v>731</v>
      </c>
      <c r="C5" s="288" t="s">
        <v>1184</v>
      </c>
      <c r="D5" s="436">
        <f>0%*D$7</f>
        <v>0</v>
      </c>
      <c r="E5" s="437">
        <f t="shared" si="0"/>
        <v>2.7799999999999998E-2</v>
      </c>
      <c r="F5" s="437">
        <f t="shared" si="1"/>
        <v>5.5599999999999997E-2</v>
      </c>
      <c r="G5" s="437">
        <f t="shared" si="2"/>
        <v>8.3400000000000002E-2</v>
      </c>
      <c r="H5" s="437">
        <f t="shared" si="3"/>
        <v>0.11119999999999999</v>
      </c>
      <c r="I5" s="437">
        <f t="shared" si="4"/>
        <v>0.13899999999999998</v>
      </c>
      <c r="J5" s="437">
        <f t="shared" si="5"/>
        <v>0.1668</v>
      </c>
      <c r="K5" s="436">
        <f>14%*(193-54)/100</f>
        <v>0.1946</v>
      </c>
      <c r="L5" s="15" t="s">
        <v>1159</v>
      </c>
      <c r="M5" s="15" t="s">
        <v>1159</v>
      </c>
      <c r="N5" s="477"/>
    </row>
    <row r="6" spans="1:14" x14ac:dyDescent="0.25">
      <c r="A6" s="15" t="s">
        <v>1039</v>
      </c>
      <c r="B6" s="2" t="s">
        <v>746</v>
      </c>
      <c r="C6" s="288" t="s">
        <v>1184</v>
      </c>
      <c r="D6" s="436">
        <f>0%*D$7</f>
        <v>0</v>
      </c>
      <c r="E6" s="437">
        <f t="shared" si="0"/>
        <v>1.3899999999999999E-2</v>
      </c>
      <c r="F6" s="437">
        <f t="shared" si="1"/>
        <v>2.7799999999999998E-2</v>
      </c>
      <c r="G6" s="437">
        <f t="shared" si="2"/>
        <v>4.1700000000000001E-2</v>
      </c>
      <c r="H6" s="437">
        <f t="shared" si="3"/>
        <v>5.5599999999999997E-2</v>
      </c>
      <c r="I6" s="437">
        <f t="shared" si="4"/>
        <v>6.9499999999999992E-2</v>
      </c>
      <c r="J6" s="437">
        <f t="shared" si="5"/>
        <v>8.3400000000000002E-2</v>
      </c>
      <c r="K6" s="436">
        <f>7%*(193-54)/100</f>
        <v>9.7299999999999998E-2</v>
      </c>
      <c r="L6" s="15" t="s">
        <v>1159</v>
      </c>
      <c r="M6" s="15" t="s">
        <v>1159</v>
      </c>
      <c r="N6" s="477"/>
    </row>
    <row r="7" spans="1:14" x14ac:dyDescent="0.25">
      <c r="A7" s="24" t="s">
        <v>1105</v>
      </c>
      <c r="B7" s="2"/>
      <c r="C7" s="288" t="s">
        <v>1188</v>
      </c>
      <c r="D7" s="435">
        <f>100/100</f>
        <v>1</v>
      </c>
      <c r="E7" s="440">
        <f t="shared" ref="E7:E8" si="6">D7+(K7-D7)/7</f>
        <v>0.89884285714285717</v>
      </c>
      <c r="F7" s="440">
        <f t="shared" ref="F7:F8" si="7">D7+2*(K7-D7)/7</f>
        <v>0.79768571428571433</v>
      </c>
      <c r="G7" s="440">
        <f t="shared" ref="G7:G8" si="8">D7+3*(K7-D7)/7</f>
        <v>0.69652857142857139</v>
      </c>
      <c r="H7" s="440">
        <f t="shared" ref="H7:H8" si="9">D7+4*(K7-D7)/7</f>
        <v>0.59537142857142866</v>
      </c>
      <c r="I7" s="440">
        <f t="shared" ref="I7:I8" si="10">D7+5*(K7-D7)/7</f>
        <v>0.49421428571428572</v>
      </c>
      <c r="J7" s="440">
        <f t="shared" ref="J7:J8" si="11">D7+6*(K7-D7)/7</f>
        <v>0.39305714285714288</v>
      </c>
      <c r="K7" s="435">
        <f>(14%+7%)*(193-54)/100</f>
        <v>0.29189999999999999</v>
      </c>
      <c r="L7" s="15" t="s">
        <v>1190</v>
      </c>
      <c r="M7" s="15" t="s">
        <v>1190</v>
      </c>
      <c r="N7" s="477"/>
    </row>
    <row r="8" spans="1:14" x14ac:dyDescent="0.25">
      <c r="A8" s="15" t="s">
        <v>1040</v>
      </c>
      <c r="B8" s="2" t="s">
        <v>166</v>
      </c>
      <c r="C8" s="288" t="s">
        <v>1184</v>
      </c>
      <c r="D8" s="436">
        <f>100%*D$9</f>
        <v>1</v>
      </c>
      <c r="E8" s="437">
        <f t="shared" si="6"/>
        <v>1.0816149068322982</v>
      </c>
      <c r="F8" s="437">
        <f t="shared" si="7"/>
        <v>1.1632298136645962</v>
      </c>
      <c r="G8" s="437">
        <f t="shared" si="8"/>
        <v>1.2448447204968944</v>
      </c>
      <c r="H8" s="437">
        <f t="shared" si="9"/>
        <v>1.3264596273291926</v>
      </c>
      <c r="I8" s="437">
        <f t="shared" si="10"/>
        <v>1.4080745341614906</v>
      </c>
      <c r="J8" s="437">
        <f t="shared" si="11"/>
        <v>1.4896894409937889</v>
      </c>
      <c r="K8" s="436">
        <f>(28%+50%)*(193-54)/69</f>
        <v>1.5713043478260871</v>
      </c>
      <c r="L8" s="15" t="s">
        <v>1159</v>
      </c>
      <c r="M8" s="15" t="s">
        <v>1159</v>
      </c>
      <c r="N8" s="477"/>
    </row>
    <row r="9" spans="1:14" x14ac:dyDescent="0.25">
      <c r="A9" s="24" t="s">
        <v>1101</v>
      </c>
      <c r="B9" s="2"/>
      <c r="C9" s="288" t="s">
        <v>1188</v>
      </c>
      <c r="D9" s="435">
        <f>69/69</f>
        <v>1</v>
      </c>
      <c r="E9" s="440">
        <f t="shared" ref="E9" si="12">D9+(K9-D9)/7</f>
        <v>1.0816149068322982</v>
      </c>
      <c r="F9" s="440">
        <f t="shared" ref="F9" si="13">D9+2*(K9-D9)/7</f>
        <v>1.1632298136645962</v>
      </c>
      <c r="G9" s="440">
        <f t="shared" ref="G9" si="14">D9+3*(K9-D9)/7</f>
        <v>1.2448447204968944</v>
      </c>
      <c r="H9" s="440">
        <f t="shared" ref="H9" si="15">D9+4*(K9-D9)/7</f>
        <v>1.3264596273291926</v>
      </c>
      <c r="I9" s="440">
        <f t="shared" ref="I9" si="16">D9+5*(K9-D9)/7</f>
        <v>1.4080745341614906</v>
      </c>
      <c r="J9" s="440">
        <f t="shared" ref="J9" si="17">D9+6*(K9-D9)/7</f>
        <v>1.4896894409937889</v>
      </c>
      <c r="K9" s="435">
        <f>(28%+50%)*(193-54)/69</f>
        <v>1.5713043478260871</v>
      </c>
      <c r="L9" s="15" t="s">
        <v>1190</v>
      </c>
      <c r="M9" s="15" t="s">
        <v>1190</v>
      </c>
      <c r="N9" s="477"/>
    </row>
    <row r="10" spans="1:14" x14ac:dyDescent="0.25">
      <c r="A10" s="373" t="s">
        <v>917</v>
      </c>
      <c r="B10" s="373"/>
      <c r="C10" s="373"/>
      <c r="D10" s="376" t="s">
        <v>1129</v>
      </c>
      <c r="E10" s="376" t="s">
        <v>1130</v>
      </c>
      <c r="F10" s="376" t="s">
        <v>1131</v>
      </c>
      <c r="G10" s="376" t="s">
        <v>1132</v>
      </c>
      <c r="H10" s="376" t="s">
        <v>1133</v>
      </c>
      <c r="I10" s="376" t="s">
        <v>1134</v>
      </c>
      <c r="J10" s="376" t="s">
        <v>1135</v>
      </c>
      <c r="K10" s="376" t="s">
        <v>1136</v>
      </c>
      <c r="L10" s="297"/>
      <c r="M10" s="297"/>
      <c r="N10" s="297"/>
    </row>
    <row r="11" spans="1:14" x14ac:dyDescent="0.25">
      <c r="A11" s="15" t="s">
        <v>1041</v>
      </c>
      <c r="B11" s="2" t="s">
        <v>735</v>
      </c>
      <c r="C11" s="15" t="s">
        <v>1184</v>
      </c>
      <c r="D11" s="436">
        <f>100%*D$7</f>
        <v>1</v>
      </c>
      <c r="E11" s="437">
        <f t="shared" ref="E11:E16" si="18">D11+(K11-D11)/7</f>
        <v>0.85714285714285721</v>
      </c>
      <c r="F11" s="437">
        <f t="shared" ref="F11:F16" si="19">D11+2*(K11-D11)/7</f>
        <v>0.7142857142857143</v>
      </c>
      <c r="G11" s="437">
        <f t="shared" ref="G11:G16" si="20">D11+3*(K11-D11)/7</f>
        <v>0.5714285714285714</v>
      </c>
      <c r="H11" s="437">
        <f t="shared" ref="H11:H16" si="21">D11+4*(K11-D11)/7</f>
        <v>0.4285714285714286</v>
      </c>
      <c r="I11" s="437">
        <f t="shared" ref="I11:I16" si="22">D11+5*(K11-D11)/7</f>
        <v>0.2857142857142857</v>
      </c>
      <c r="J11" s="437">
        <f t="shared" ref="J11:J16" si="23">D11+6*(K11-D11)/7</f>
        <v>0.1428571428571429</v>
      </c>
      <c r="K11" s="436">
        <f>0/((((184-121)-19)/(184-121))*167)</f>
        <v>0</v>
      </c>
      <c r="L11" s="20" t="s">
        <v>1023</v>
      </c>
      <c r="M11" s="20" t="s">
        <v>1179</v>
      </c>
      <c r="N11" s="476" t="s">
        <v>1178</v>
      </c>
    </row>
    <row r="12" spans="1:14" x14ac:dyDescent="0.25">
      <c r="A12" s="15" t="s">
        <v>1042</v>
      </c>
      <c r="B12" s="2" t="s">
        <v>736</v>
      </c>
      <c r="C12" s="15" t="s">
        <v>1184</v>
      </c>
      <c r="D12" s="436">
        <f>0%*D$7</f>
        <v>0</v>
      </c>
      <c r="E12" s="437">
        <f t="shared" si="18"/>
        <v>6.8590092542188355E-2</v>
      </c>
      <c r="F12" s="437">
        <f t="shared" si="19"/>
        <v>0.13718018508437671</v>
      </c>
      <c r="G12" s="437">
        <f t="shared" si="20"/>
        <v>0.20577027762656505</v>
      </c>
      <c r="H12" s="437">
        <f t="shared" si="21"/>
        <v>0.27436037016875342</v>
      </c>
      <c r="I12" s="437">
        <f t="shared" si="22"/>
        <v>0.34295046271094176</v>
      </c>
      <c r="J12" s="437">
        <f t="shared" si="23"/>
        <v>0.4115405552531301</v>
      </c>
      <c r="K12" s="436">
        <f>(10+46)/((((184-121)-19)/(184-121))*167)</f>
        <v>0.48013064779531844</v>
      </c>
      <c r="L12" s="20" t="s">
        <v>1023</v>
      </c>
      <c r="M12" s="20" t="s">
        <v>1179</v>
      </c>
      <c r="N12" s="477"/>
    </row>
    <row r="13" spans="1:14" x14ac:dyDescent="0.25">
      <c r="A13" s="15" t="s">
        <v>1043</v>
      </c>
      <c r="B13" s="2" t="s">
        <v>744</v>
      </c>
      <c r="C13" s="15" t="s">
        <v>1184</v>
      </c>
      <c r="D13" s="436">
        <f>0%*D$7</f>
        <v>0</v>
      </c>
      <c r="E13" s="437">
        <f t="shared" si="18"/>
        <v>5.6341861731083291E-2</v>
      </c>
      <c r="F13" s="437">
        <f t="shared" si="19"/>
        <v>0.11268372346216658</v>
      </c>
      <c r="G13" s="437">
        <f t="shared" si="20"/>
        <v>0.16902558519324987</v>
      </c>
      <c r="H13" s="437">
        <f t="shared" si="21"/>
        <v>0.22536744692433316</v>
      </c>
      <c r="I13" s="437">
        <f t="shared" si="22"/>
        <v>0.28170930865541643</v>
      </c>
      <c r="J13" s="437">
        <f t="shared" si="23"/>
        <v>0.33805117038649973</v>
      </c>
      <c r="K13" s="436">
        <f>46/((((184-121)-19)/(184-121))*167)</f>
        <v>0.39439303211758303</v>
      </c>
      <c r="L13" s="20" t="s">
        <v>1023</v>
      </c>
      <c r="M13" s="20" t="s">
        <v>1179</v>
      </c>
      <c r="N13" s="477"/>
    </row>
    <row r="14" spans="1:14" x14ac:dyDescent="0.25">
      <c r="A14" s="19" t="s">
        <v>1155</v>
      </c>
      <c r="B14" s="2"/>
      <c r="C14" s="288" t="s">
        <v>1189</v>
      </c>
      <c r="D14" s="435">
        <f>((((184-121)-19)/(184-121))*167)/((((184-121)-19)/(184-121))*167)</f>
        <v>1</v>
      </c>
      <c r="E14" s="440">
        <f t="shared" si="18"/>
        <v>0.98207481141612873</v>
      </c>
      <c r="F14" s="440">
        <f t="shared" si="19"/>
        <v>0.96414962283225758</v>
      </c>
      <c r="G14" s="440">
        <f t="shared" si="20"/>
        <v>0.94622443424838631</v>
      </c>
      <c r="H14" s="440">
        <f t="shared" si="21"/>
        <v>0.92829924566451516</v>
      </c>
      <c r="I14" s="440">
        <f t="shared" si="22"/>
        <v>0.91037405708064389</v>
      </c>
      <c r="J14" s="440">
        <f t="shared" si="23"/>
        <v>0.89244886849677274</v>
      </c>
      <c r="K14" s="435">
        <f>(10+46+46)/((((184-121)-19)/(184-121))*167)</f>
        <v>0.87452367991290147</v>
      </c>
      <c r="L14" s="15" t="s">
        <v>1198</v>
      </c>
      <c r="M14" s="15" t="s">
        <v>1198</v>
      </c>
      <c r="N14" s="477"/>
    </row>
    <row r="15" spans="1:14" x14ac:dyDescent="0.25">
      <c r="A15" s="15" t="s">
        <v>161</v>
      </c>
      <c r="B15" s="2" t="s">
        <v>160</v>
      </c>
      <c r="C15" s="15" t="s">
        <v>1184</v>
      </c>
      <c r="D15" s="436">
        <f>100%*D$9</f>
        <v>1</v>
      </c>
      <c r="E15" s="437">
        <f t="shared" si="18"/>
        <v>1.0868938814101121</v>
      </c>
      <c r="F15" s="437">
        <f t="shared" si="19"/>
        <v>1.1737877628202242</v>
      </c>
      <c r="G15" s="437">
        <f t="shared" si="20"/>
        <v>1.2606816442303364</v>
      </c>
      <c r="H15" s="437">
        <f t="shared" si="21"/>
        <v>1.3475755256404485</v>
      </c>
      <c r="I15" s="437">
        <f t="shared" si="22"/>
        <v>1.4344694070505606</v>
      </c>
      <c r="J15" s="437">
        <f t="shared" si="23"/>
        <v>1.5213632884606727</v>
      </c>
      <c r="K15" s="436">
        <f>81/((19/(184-121))*167)</f>
        <v>1.6082571698707848</v>
      </c>
      <c r="L15" s="20" t="s">
        <v>1179</v>
      </c>
      <c r="M15" s="20" t="s">
        <v>1179</v>
      </c>
      <c r="N15" s="477"/>
    </row>
    <row r="16" spans="1:14" x14ac:dyDescent="0.25">
      <c r="A16" s="19" t="s">
        <v>1155</v>
      </c>
      <c r="B16" s="2"/>
      <c r="C16" s="288" t="s">
        <v>1189</v>
      </c>
      <c r="D16" s="435">
        <f>((19/(184-121))*167)/((19/(184-121))*167)</f>
        <v>1</v>
      </c>
      <c r="E16" s="440">
        <f t="shared" si="18"/>
        <v>1.0868938814101121</v>
      </c>
      <c r="F16" s="440">
        <f t="shared" si="19"/>
        <v>1.1737877628202242</v>
      </c>
      <c r="G16" s="440">
        <f t="shared" si="20"/>
        <v>1.2606816442303364</v>
      </c>
      <c r="H16" s="440">
        <f t="shared" si="21"/>
        <v>1.3475755256404485</v>
      </c>
      <c r="I16" s="440">
        <f t="shared" si="22"/>
        <v>1.4344694070505606</v>
      </c>
      <c r="J16" s="440">
        <f t="shared" si="23"/>
        <v>1.5213632884606727</v>
      </c>
      <c r="K16" s="435">
        <f>81/((19/(184-121))*167)</f>
        <v>1.6082571698707848</v>
      </c>
      <c r="L16" s="15" t="s">
        <v>1198</v>
      </c>
      <c r="M16" s="15" t="s">
        <v>1198</v>
      </c>
      <c r="N16" s="477"/>
    </row>
    <row r="17" spans="1:14" x14ac:dyDescent="0.25">
      <c r="A17" s="373" t="s">
        <v>1054</v>
      </c>
      <c r="B17" s="373"/>
      <c r="C17" s="373"/>
      <c r="D17" s="376" t="s">
        <v>1129</v>
      </c>
      <c r="E17" s="376" t="s">
        <v>1130</v>
      </c>
      <c r="F17" s="376" t="s">
        <v>1131</v>
      </c>
      <c r="G17" s="376" t="s">
        <v>1132</v>
      </c>
      <c r="H17" s="376" t="s">
        <v>1133</v>
      </c>
      <c r="I17" s="376" t="s">
        <v>1134</v>
      </c>
      <c r="J17" s="376" t="s">
        <v>1135</v>
      </c>
      <c r="K17" s="376" t="s">
        <v>1136</v>
      </c>
      <c r="L17" s="297"/>
      <c r="M17" s="297"/>
      <c r="N17" s="297"/>
    </row>
    <row r="18" spans="1:14" x14ac:dyDescent="0.25">
      <c r="A18" s="15" t="s">
        <v>1044</v>
      </c>
      <c r="B18" s="2" t="s">
        <v>737</v>
      </c>
      <c r="C18" s="15" t="s">
        <v>1184</v>
      </c>
      <c r="D18" s="436">
        <f>100%*D$7</f>
        <v>1</v>
      </c>
      <c r="E18" s="437">
        <f t="shared" ref="E18:E23" si="24">D18+(K18-D18)/7</f>
        <v>0.85714285714285721</v>
      </c>
      <c r="F18" s="437">
        <f t="shared" ref="F18:F23" si="25">D18+2*(K18-D18)/7</f>
        <v>0.7142857142857143</v>
      </c>
      <c r="G18" s="437">
        <f t="shared" ref="G18:G23" si="26">D18+3*(K18-D18)/7</f>
        <v>0.5714285714285714</v>
      </c>
      <c r="H18" s="437">
        <f t="shared" ref="H18:H23" si="27">D18+4*(K18-D18)/7</f>
        <v>0.4285714285714286</v>
      </c>
      <c r="I18" s="437">
        <f t="shared" ref="I18:I23" si="28">D18+5*(K18-D18)/7</f>
        <v>0.2857142857142857</v>
      </c>
      <c r="J18" s="437">
        <f t="shared" ref="J18:J23" si="29">D18+6*(K18-D18)/7</f>
        <v>0.1428571428571429</v>
      </c>
      <c r="K18" s="436">
        <f>(0%*(72-13))/((((72-13)-4)/(72-13))*64)</f>
        <v>0</v>
      </c>
      <c r="L18" s="20" t="s">
        <v>1180</v>
      </c>
      <c r="M18" s="20" t="s">
        <v>1180</v>
      </c>
      <c r="N18" s="476" t="s">
        <v>1178</v>
      </c>
    </row>
    <row r="19" spans="1:14" x14ac:dyDescent="0.25">
      <c r="A19" s="15" t="s">
        <v>1045</v>
      </c>
      <c r="B19" s="2" t="s">
        <v>738</v>
      </c>
      <c r="C19" s="15" t="s">
        <v>1184</v>
      </c>
      <c r="D19" s="436">
        <f>0%*D$7</f>
        <v>0</v>
      </c>
      <c r="E19" s="437">
        <f t="shared" si="24"/>
        <v>0</v>
      </c>
      <c r="F19" s="437">
        <f t="shared" si="25"/>
        <v>0</v>
      </c>
      <c r="G19" s="437">
        <f t="shared" si="26"/>
        <v>0</v>
      </c>
      <c r="H19" s="437">
        <f t="shared" si="27"/>
        <v>0</v>
      </c>
      <c r="I19" s="437">
        <f t="shared" si="28"/>
        <v>0</v>
      </c>
      <c r="J19" s="437">
        <f t="shared" si="29"/>
        <v>0</v>
      </c>
      <c r="K19" s="436">
        <f>(0%*(72-13))/((((72-13)-4)/(72-13))*64)</f>
        <v>0</v>
      </c>
      <c r="L19" s="20" t="s">
        <v>1180</v>
      </c>
      <c r="M19" s="20" t="s">
        <v>1180</v>
      </c>
      <c r="N19" s="477"/>
    </row>
    <row r="20" spans="1:14" x14ac:dyDescent="0.25">
      <c r="A20" s="15" t="s">
        <v>1046</v>
      </c>
      <c r="B20" s="2" t="s">
        <v>748</v>
      </c>
      <c r="C20" s="15" t="s">
        <v>1184</v>
      </c>
      <c r="D20" s="436">
        <f>0%*D$7</f>
        <v>0</v>
      </c>
      <c r="E20" s="437">
        <f t="shared" si="24"/>
        <v>3.8144074675324678E-2</v>
      </c>
      <c r="F20" s="437">
        <f t="shared" si="25"/>
        <v>7.6288149350649356E-2</v>
      </c>
      <c r="G20" s="437">
        <f t="shared" si="26"/>
        <v>0.11443222402597406</v>
      </c>
      <c r="H20" s="437">
        <f t="shared" si="27"/>
        <v>0.15257629870129871</v>
      </c>
      <c r="I20" s="437">
        <f t="shared" si="28"/>
        <v>0.1907203733766234</v>
      </c>
      <c r="J20" s="437">
        <f t="shared" si="29"/>
        <v>0.22886444805194811</v>
      </c>
      <c r="K20" s="436">
        <f>(27%*(72-13))/((((72-13)-4)/(72-13))*64)</f>
        <v>0.26700852272727277</v>
      </c>
      <c r="L20" s="20" t="s">
        <v>1180</v>
      </c>
      <c r="M20" s="20" t="s">
        <v>1180</v>
      </c>
      <c r="N20" s="477"/>
    </row>
    <row r="21" spans="1:14" x14ac:dyDescent="0.25">
      <c r="A21" s="19" t="s">
        <v>1155</v>
      </c>
      <c r="B21" s="2"/>
      <c r="C21" s="288" t="s">
        <v>1188</v>
      </c>
      <c r="D21" s="435">
        <f>((((72-13)-4)/(72-13))*64)/((((72-13)-4)/(72-13))*64)</f>
        <v>1</v>
      </c>
      <c r="E21" s="440">
        <f t="shared" si="24"/>
        <v>0.89528693181818186</v>
      </c>
      <c r="F21" s="440">
        <f t="shared" si="25"/>
        <v>0.79057386363636362</v>
      </c>
      <c r="G21" s="440">
        <f t="shared" si="26"/>
        <v>0.68586079545454548</v>
      </c>
      <c r="H21" s="440">
        <f t="shared" si="27"/>
        <v>0.58114772727272723</v>
      </c>
      <c r="I21" s="440">
        <f t="shared" si="28"/>
        <v>0.4764346590909091</v>
      </c>
      <c r="J21" s="440">
        <f t="shared" si="29"/>
        <v>0.37172159090909085</v>
      </c>
      <c r="K21" s="435">
        <f>(27%*(72-13))/((((72-13)-4)/(72-13))*64)</f>
        <v>0.26700852272727277</v>
      </c>
      <c r="L21" s="20" t="s">
        <v>1187</v>
      </c>
      <c r="M21" s="20" t="s">
        <v>1187</v>
      </c>
      <c r="N21" s="477"/>
    </row>
    <row r="22" spans="1:14" x14ac:dyDescent="0.25">
      <c r="A22" s="15" t="s">
        <v>1047</v>
      </c>
      <c r="B22" s="2" t="s">
        <v>140</v>
      </c>
      <c r="C22" s="15" t="s">
        <v>1184</v>
      </c>
      <c r="D22" s="436">
        <f>100%*D$9</f>
        <v>1</v>
      </c>
      <c r="E22" s="437">
        <f t="shared" si="24"/>
        <v>2.2751841517857141</v>
      </c>
      <c r="F22" s="437">
        <f t="shared" si="25"/>
        <v>3.5503683035714286</v>
      </c>
      <c r="G22" s="437">
        <f t="shared" si="26"/>
        <v>4.8255524553571432</v>
      </c>
      <c r="H22" s="437">
        <f t="shared" si="27"/>
        <v>6.1007366071428573</v>
      </c>
      <c r="I22" s="437">
        <f t="shared" si="28"/>
        <v>7.3759207589285722</v>
      </c>
      <c r="J22" s="437">
        <f t="shared" si="29"/>
        <v>8.6511049107142863</v>
      </c>
      <c r="K22" s="436">
        <f>((27%+18%+28%)*(72-13))/((4/(72-13))*64)</f>
        <v>9.9262890625000004</v>
      </c>
      <c r="L22" s="20" t="s">
        <v>1180</v>
      </c>
      <c r="M22" s="20" t="s">
        <v>1180</v>
      </c>
      <c r="N22" s="477"/>
    </row>
    <row r="23" spans="1:14" x14ac:dyDescent="0.25">
      <c r="A23" s="19" t="s">
        <v>1155</v>
      </c>
      <c r="B23" s="2"/>
      <c r="C23" s="288" t="s">
        <v>1188</v>
      </c>
      <c r="D23" s="435">
        <f>((4/(72-13))*64)/((4/(72-13))*64)</f>
        <v>1</v>
      </c>
      <c r="E23" s="440">
        <f t="shared" si="24"/>
        <v>2.2751841517857141</v>
      </c>
      <c r="F23" s="440">
        <f t="shared" si="25"/>
        <v>3.5503683035714286</v>
      </c>
      <c r="G23" s="440">
        <f t="shared" si="26"/>
        <v>4.8255524553571432</v>
      </c>
      <c r="H23" s="440">
        <f t="shared" si="27"/>
        <v>6.1007366071428573</v>
      </c>
      <c r="I23" s="440">
        <f t="shared" si="28"/>
        <v>7.3759207589285722</v>
      </c>
      <c r="J23" s="440">
        <f t="shared" si="29"/>
        <v>8.6511049107142863</v>
      </c>
      <c r="K23" s="435">
        <f>((27%+18%+28%)*(72-13))/((4/(72-13))*64)</f>
        <v>9.9262890625000004</v>
      </c>
      <c r="L23" s="20" t="s">
        <v>1187</v>
      </c>
      <c r="M23" s="20" t="s">
        <v>1187</v>
      </c>
      <c r="N23" s="477"/>
    </row>
    <row r="24" spans="1:14" x14ac:dyDescent="0.25">
      <c r="A24" s="373" t="s">
        <v>1055</v>
      </c>
      <c r="B24" s="373"/>
      <c r="C24" s="373"/>
      <c r="D24" s="376" t="s">
        <v>1129</v>
      </c>
      <c r="E24" s="376" t="s">
        <v>1130</v>
      </c>
      <c r="F24" s="376" t="s">
        <v>1131</v>
      </c>
      <c r="G24" s="376" t="s">
        <v>1132</v>
      </c>
      <c r="H24" s="376" t="s">
        <v>1133</v>
      </c>
      <c r="I24" s="376" t="s">
        <v>1134</v>
      </c>
      <c r="J24" s="376" t="s">
        <v>1135</v>
      </c>
      <c r="K24" s="376" t="s">
        <v>1136</v>
      </c>
      <c r="L24" s="297"/>
      <c r="M24" s="297"/>
      <c r="N24" s="297"/>
    </row>
    <row r="25" spans="1:14" ht="15" customHeight="1" x14ac:dyDescent="0.25">
      <c r="A25" s="15" t="s">
        <v>1049</v>
      </c>
      <c r="B25" s="2" t="s">
        <v>739</v>
      </c>
      <c r="C25" s="15" t="s">
        <v>1184</v>
      </c>
      <c r="D25" s="436">
        <f>100%*D$28</f>
        <v>1</v>
      </c>
      <c r="E25" s="437">
        <f t="shared" ref="E25:E28" si="30">D25+(K25-D25)/7</f>
        <v>0.85714285714285721</v>
      </c>
      <c r="F25" s="437">
        <f t="shared" ref="F25:F28" si="31">D25+2*(K25-D25)/7</f>
        <v>0.7142857142857143</v>
      </c>
      <c r="G25" s="437">
        <f t="shared" ref="G25:G28" si="32">D25+3*(K25-D25)/7</f>
        <v>0.5714285714285714</v>
      </c>
      <c r="H25" s="437">
        <f t="shared" ref="H25:H28" si="33">D25+4*(K25-D25)/7</f>
        <v>0.4285714285714286</v>
      </c>
      <c r="I25" s="437">
        <f t="shared" ref="I25:I28" si="34">D25+5*(K25-D25)/7</f>
        <v>0.2857142857142857</v>
      </c>
      <c r="J25" s="437">
        <f t="shared" ref="J25:J28" si="35">D25+6*(K25-D25)/7</f>
        <v>0.1428571428571429</v>
      </c>
      <c r="K25" s="436">
        <f>((2*(0/(22+0+0))+0)/(2+22+0+0))*K$28</f>
        <v>0</v>
      </c>
      <c r="L25" s="20" t="s">
        <v>1182</v>
      </c>
      <c r="M25" s="20" t="s">
        <v>1182</v>
      </c>
      <c r="N25" s="478" t="s">
        <v>1186</v>
      </c>
    </row>
    <row r="26" spans="1:14" x14ac:dyDescent="0.25">
      <c r="A26" s="15" t="s">
        <v>1050</v>
      </c>
      <c r="B26" s="2" t="s">
        <v>740</v>
      </c>
      <c r="C26" s="15" t="s">
        <v>1184</v>
      </c>
      <c r="D26" s="436">
        <f>0%*D$28</f>
        <v>0</v>
      </c>
      <c r="E26" s="437">
        <f t="shared" si="30"/>
        <v>0</v>
      </c>
      <c r="F26" s="437">
        <f t="shared" si="31"/>
        <v>0</v>
      </c>
      <c r="G26" s="437">
        <f t="shared" si="32"/>
        <v>0</v>
      </c>
      <c r="H26" s="437">
        <f t="shared" si="33"/>
        <v>0</v>
      </c>
      <c r="I26" s="437">
        <f t="shared" si="34"/>
        <v>0</v>
      </c>
      <c r="J26" s="437">
        <f t="shared" si="35"/>
        <v>0</v>
      </c>
      <c r="K26" s="436">
        <f>((2*(0/(22+0+0))+0)/(2+22+0+0))*K$28</f>
        <v>0</v>
      </c>
      <c r="L26" s="20" t="s">
        <v>1182</v>
      </c>
      <c r="M26" s="20" t="s">
        <v>1182</v>
      </c>
      <c r="N26" s="479"/>
    </row>
    <row r="27" spans="1:14" x14ac:dyDescent="0.25">
      <c r="A27" s="15" t="s">
        <v>1051</v>
      </c>
      <c r="B27" s="2" t="s">
        <v>926</v>
      </c>
      <c r="C27" s="15" t="s">
        <v>1184</v>
      </c>
      <c r="D27" s="436">
        <f>0%*D$28</f>
        <v>0</v>
      </c>
      <c r="E27" s="437">
        <f t="shared" si="30"/>
        <v>7.9365079365079375E-2</v>
      </c>
      <c r="F27" s="437">
        <f t="shared" si="31"/>
        <v>0.15873015873015875</v>
      </c>
      <c r="G27" s="437">
        <f t="shared" si="32"/>
        <v>0.23809523809523811</v>
      </c>
      <c r="H27" s="437">
        <f t="shared" si="33"/>
        <v>0.3174603174603175</v>
      </c>
      <c r="I27" s="437">
        <f t="shared" si="34"/>
        <v>0.3968253968253968</v>
      </c>
      <c r="J27" s="437">
        <f t="shared" si="35"/>
        <v>0.47619047619047622</v>
      </c>
      <c r="K27" s="436">
        <f>((2*(22/(22+0+0))+22)/(2+22+0+0))*K$28</f>
        <v>0.55555555555555558</v>
      </c>
      <c r="L27" s="20" t="s">
        <v>1182</v>
      </c>
      <c r="M27" s="20" t="s">
        <v>1182</v>
      </c>
      <c r="N27" s="479"/>
    </row>
    <row r="28" spans="1:14" x14ac:dyDescent="0.25">
      <c r="A28" s="19" t="s">
        <v>1155</v>
      </c>
      <c r="B28" s="2"/>
      <c r="C28" s="288" t="s">
        <v>1188</v>
      </c>
      <c r="D28" s="435">
        <f>16.2/16.2</f>
        <v>1</v>
      </c>
      <c r="E28" s="440">
        <f t="shared" si="30"/>
        <v>0.93650793650793651</v>
      </c>
      <c r="F28" s="440">
        <f t="shared" si="31"/>
        <v>0.87301587301587302</v>
      </c>
      <c r="G28" s="440">
        <f t="shared" si="32"/>
        <v>0.80952380952380953</v>
      </c>
      <c r="H28" s="440">
        <f t="shared" si="33"/>
        <v>0.74603174603174605</v>
      </c>
      <c r="I28" s="440">
        <f t="shared" si="34"/>
        <v>0.68253968253968256</v>
      </c>
      <c r="J28" s="440">
        <f t="shared" si="35"/>
        <v>0.61904761904761907</v>
      </c>
      <c r="K28" s="435">
        <f>(12/16.2)*((32-8)/32)</f>
        <v>0.55555555555555558</v>
      </c>
      <c r="L28" s="20" t="s">
        <v>1182</v>
      </c>
      <c r="M28" s="20" t="s">
        <v>1182</v>
      </c>
      <c r="N28" s="479"/>
    </row>
    <row r="29" spans="1:14" x14ac:dyDescent="0.25">
      <c r="A29" s="373" t="s">
        <v>944</v>
      </c>
      <c r="B29" s="373"/>
      <c r="C29" s="373"/>
      <c r="D29" s="376" t="s">
        <v>1129</v>
      </c>
      <c r="E29" s="376" t="s">
        <v>1130</v>
      </c>
      <c r="F29" s="376" t="s">
        <v>1131</v>
      </c>
      <c r="G29" s="376" t="s">
        <v>1132</v>
      </c>
      <c r="H29" s="376" t="s">
        <v>1133</v>
      </c>
      <c r="I29" s="376" t="s">
        <v>1134</v>
      </c>
      <c r="J29" s="376" t="s">
        <v>1135</v>
      </c>
      <c r="K29" s="376" t="s">
        <v>1136</v>
      </c>
      <c r="L29" s="297"/>
      <c r="M29" s="297"/>
      <c r="N29" s="297"/>
    </row>
    <row r="30" spans="1:14" x14ac:dyDescent="0.25">
      <c r="A30" s="15" t="s">
        <v>1052</v>
      </c>
      <c r="B30" s="2" t="s">
        <v>733</v>
      </c>
      <c r="C30" s="288" t="s">
        <v>1193</v>
      </c>
      <c r="D30" s="436">
        <f>99%*D$32</f>
        <v>0.99</v>
      </c>
      <c r="E30" s="436">
        <f>95%*E$32</f>
        <v>0.96064425770308115</v>
      </c>
      <c r="F30" s="436">
        <f>77%*F$32</f>
        <v>0.78725490196078429</v>
      </c>
      <c r="G30" s="436">
        <f>50%*G$32</f>
        <v>0.51680672268907557</v>
      </c>
      <c r="H30" s="436">
        <f>20%*H$32</f>
        <v>0.2089635854341737</v>
      </c>
      <c r="I30" s="436">
        <f>0%*I$32</f>
        <v>0</v>
      </c>
      <c r="J30" s="436">
        <f>0%*J$32</f>
        <v>0</v>
      </c>
      <c r="K30" s="436">
        <f>0%*K$32</f>
        <v>0</v>
      </c>
      <c r="L30" s="2" t="s">
        <v>1019</v>
      </c>
      <c r="M30" s="2" t="s">
        <v>1019</v>
      </c>
      <c r="N30" s="476" t="s">
        <v>1176</v>
      </c>
    </row>
    <row r="31" spans="1:14" x14ac:dyDescent="0.25">
      <c r="A31" s="15" t="s">
        <v>1053</v>
      </c>
      <c r="B31" s="2" t="s">
        <v>734</v>
      </c>
      <c r="C31" s="288" t="s">
        <v>1193</v>
      </c>
      <c r="D31" s="436">
        <f>1%*D$32</f>
        <v>0.01</v>
      </c>
      <c r="E31" s="436">
        <f>5%*E$32</f>
        <v>5.0560224089635855E-2</v>
      </c>
      <c r="F31" s="436">
        <f>23%*F$32</f>
        <v>0.23515406162464986</v>
      </c>
      <c r="G31" s="436">
        <f>50%*G$32</f>
        <v>0.51680672268907557</v>
      </c>
      <c r="H31" s="436">
        <f>80%*H$32</f>
        <v>0.83585434173669482</v>
      </c>
      <c r="I31" s="436">
        <f>100%*I$32</f>
        <v>1.0560224089635855</v>
      </c>
      <c r="J31" s="436">
        <f>100%*J$32</f>
        <v>1.0672268907563025</v>
      </c>
      <c r="K31" s="436">
        <f>100%*K$32</f>
        <v>1.0784313725490196</v>
      </c>
      <c r="L31" s="2" t="s">
        <v>1019</v>
      </c>
      <c r="M31" s="2" t="s">
        <v>1019</v>
      </c>
      <c r="N31" s="477"/>
    </row>
    <row r="32" spans="1:14" x14ac:dyDescent="0.25">
      <c r="A32" s="19" t="s">
        <v>1155</v>
      </c>
      <c r="B32" s="2"/>
      <c r="C32" s="288" t="s">
        <v>1193</v>
      </c>
      <c r="D32" s="435">
        <f>255/255</f>
        <v>1</v>
      </c>
      <c r="E32" s="440">
        <f>D32+(K32-D32)/7</f>
        <v>1.011204481792717</v>
      </c>
      <c r="F32" s="440">
        <f>D32+2*(K32-D32)/7</f>
        <v>1.0224089635854341</v>
      </c>
      <c r="G32" s="440">
        <f>D32+3*(K32-D32)/7</f>
        <v>1.0336134453781511</v>
      </c>
      <c r="H32" s="440">
        <f>D32+4*(K32-D32)/7</f>
        <v>1.0448179271708684</v>
      </c>
      <c r="I32" s="440">
        <f>D32+5*(K32-D32)/7</f>
        <v>1.0560224089635855</v>
      </c>
      <c r="J32" s="440">
        <f>D32+6*(K32-D32)/7</f>
        <v>1.0672268907563025</v>
      </c>
      <c r="K32" s="435">
        <f>275/255</f>
        <v>1.0784313725490196</v>
      </c>
      <c r="N32" s="477"/>
    </row>
    <row r="33" spans="1:14" s="117" customFormat="1" x14ac:dyDescent="0.25">
      <c r="A33" s="387" t="s">
        <v>637</v>
      </c>
      <c r="B33" s="387"/>
      <c r="C33" s="387"/>
      <c r="D33" s="376" t="s">
        <v>1129</v>
      </c>
      <c r="E33" s="376" t="s">
        <v>1130</v>
      </c>
      <c r="F33" s="376" t="s">
        <v>1131</v>
      </c>
      <c r="G33" s="376" t="s">
        <v>1132</v>
      </c>
      <c r="H33" s="376" t="s">
        <v>1133</v>
      </c>
      <c r="I33" s="376" t="s">
        <v>1134</v>
      </c>
      <c r="J33" s="376" t="s">
        <v>1135</v>
      </c>
      <c r="K33" s="376" t="s">
        <v>1136</v>
      </c>
      <c r="L33" s="376"/>
      <c r="M33" s="376"/>
      <c r="N33" s="376"/>
    </row>
    <row r="34" spans="1:14" x14ac:dyDescent="0.25">
      <c r="A34" s="2" t="s">
        <v>2</v>
      </c>
      <c r="B34" s="2" t="s">
        <v>3</v>
      </c>
      <c r="C34" s="53" t="s">
        <v>1199</v>
      </c>
      <c r="D34" s="442">
        <f>[5]CZ_B!D17</f>
        <v>40242.944878557013</v>
      </c>
      <c r="E34" s="442">
        <f>[5]CZ_B!E17</f>
        <v>31820.991388285718</v>
      </c>
      <c r="F34" s="442">
        <f>[5]CZ_B!F17</f>
        <v>19388.446843052749</v>
      </c>
      <c r="G34" s="442">
        <f>[5]CZ_B!G17</f>
        <v>12864.065672681449</v>
      </c>
      <c r="H34" s="174">
        <f>IF(G34+([6]CZ_B!H17-[6]CZ_B!G17)&gt;=0,G34+([6]CZ_B!H17-[6]CZ_B!G17),0)</f>
        <v>11528.986766516169</v>
      </c>
      <c r="I34" s="174">
        <f>IF(H34+([6]CZ_B!I17-[6]CZ_B!H17)&gt;=0,H34+([6]CZ_B!I17-[6]CZ_B!H17),0)</f>
        <v>1740.9615407781894</v>
      </c>
      <c r="J34" s="174">
        <f>IF(I34+([6]CZ_B!J17-[6]CZ_B!I17)&gt;=0,I34+([6]CZ_B!J17-[6]CZ_B!I17),0)</f>
        <v>0</v>
      </c>
      <c r="K34" s="174">
        <f>IF(J34+([6]CZ_B!K17-[6]CZ_B!J17)&gt;=0,J34+([6]CZ_B!K17-[6]CZ_B!J17),0)</f>
        <v>0</v>
      </c>
      <c r="L34" s="445" t="s">
        <v>1200</v>
      </c>
      <c r="M34" s="447" t="s">
        <v>1201</v>
      </c>
    </row>
    <row r="35" spans="1:14" x14ac:dyDescent="0.25">
      <c r="A35" s="2" t="s">
        <v>4</v>
      </c>
      <c r="B35" s="2" t="s">
        <v>5</v>
      </c>
      <c r="C35" s="53" t="s">
        <v>1199</v>
      </c>
      <c r="D35" s="442">
        <f>[5]CZ_B!D19</f>
        <v>4329.3496187121027</v>
      </c>
      <c r="E35" s="442">
        <f>[5]CZ_B!E19</f>
        <v>2880.9777862008568</v>
      </c>
      <c r="F35" s="442">
        <f>[5]CZ_B!F19</f>
        <v>3443.6981323407281</v>
      </c>
      <c r="G35" s="442">
        <f>[5]CZ_B!G19</f>
        <v>7155.8342284379878</v>
      </c>
      <c r="H35" s="174">
        <f>IF(G35+([6]CZ_B!H19-[6]CZ_B!G19)&gt;=0,G35+([6]CZ_B!H19-[6]CZ_B!G19),0)</f>
        <v>14572.257321992854</v>
      </c>
      <c r="I35" s="174">
        <f>IF(H35+([6]CZ_B!I19-[6]CZ_B!H19)&gt;=0,H35+([6]CZ_B!I19-[6]CZ_B!H19),0)</f>
        <v>19999.452459186738</v>
      </c>
      <c r="J35" s="174">
        <f>IF(I35+([6]CZ_B!J19-[6]CZ_B!I19)&gt;=0,I35+([6]CZ_B!J19-[6]CZ_B!I19),0)</f>
        <v>21664.490274094791</v>
      </c>
      <c r="K35" s="174">
        <f>IF(J35+([6]CZ_B!K19-[6]CZ_B!J19)&gt;=0,J35+([6]CZ_B!K19-[6]CZ_B!J19),0)</f>
        <v>26871.893600310494</v>
      </c>
      <c r="L35" s="445" t="s">
        <v>1200</v>
      </c>
      <c r="M35" s="447" t="s">
        <v>1201</v>
      </c>
    </row>
    <row r="36" spans="1:14" x14ac:dyDescent="0.25">
      <c r="A36" s="2" t="s">
        <v>6</v>
      </c>
      <c r="B36" s="2" t="s">
        <v>7</v>
      </c>
      <c r="C36" s="53" t="s">
        <v>1199</v>
      </c>
      <c r="D36" s="442">
        <f>[5]CZ_B!D5</f>
        <v>26822.981164016233</v>
      </c>
      <c r="E36" s="442">
        <f>[5]CZ_B!E5</f>
        <v>30109.524669135197</v>
      </c>
      <c r="F36" s="442">
        <f>[5]CZ_B!F5</f>
        <v>31594.407351610902</v>
      </c>
      <c r="G36" s="442">
        <f>[5]CZ_B!G5</f>
        <v>31309.061655280566</v>
      </c>
      <c r="H36" s="174">
        <f>IF(G36+([6]CZ_B!H5-[6]CZ_B!G5)&gt;=0,G36+([6]CZ_B!H5-[6]CZ_B!G5),0)</f>
        <v>31060.128706712723</v>
      </c>
      <c r="I36" s="174">
        <f>IF(H36+([6]CZ_B!I5-[6]CZ_B!H5)&gt;=0,H36+([6]CZ_B!I5-[6]CZ_B!H5),0)</f>
        <v>38428.477193327693</v>
      </c>
      <c r="J36" s="174">
        <f>IF(I36+([6]CZ_B!J5-[6]CZ_B!I5)&gt;=0,I36+([6]CZ_B!J5-[6]CZ_B!I5),0)</f>
        <v>38060.619729876082</v>
      </c>
      <c r="K36" s="174">
        <f>IF(J36+([6]CZ_B!K5-[6]CZ_B!J5)&gt;=0,J36+([6]CZ_B!K5-[6]CZ_B!J5),0)</f>
        <v>32651.711267478895</v>
      </c>
      <c r="L36" s="445" t="s">
        <v>1200</v>
      </c>
      <c r="M36" s="447" t="s">
        <v>1201</v>
      </c>
    </row>
    <row r="37" spans="1:14" x14ac:dyDescent="0.25">
      <c r="A37" s="2" t="s">
        <v>8</v>
      </c>
      <c r="B37" s="2" t="s">
        <v>9</v>
      </c>
      <c r="C37" s="53" t="s">
        <v>1199</v>
      </c>
      <c r="D37" s="442">
        <f>[5]CZ_B!D8</f>
        <v>1799.699655522192</v>
      </c>
      <c r="E37" s="442">
        <f>[5]CZ_B!E8</f>
        <v>2532.3212406356552</v>
      </c>
      <c r="F37" s="442">
        <f>[5]CZ_B!F8</f>
        <v>2358.6567345208286</v>
      </c>
      <c r="G37" s="442">
        <f>[5]CZ_B!G8</f>
        <v>2424.7621866677227</v>
      </c>
      <c r="H37" s="174">
        <f>IF(G37+([6]CZ_B!H8-[6]CZ_B!G8)&gt;=0,G37+([6]CZ_B!H8-[6]CZ_B!G8),0)</f>
        <v>2429.0436409198337</v>
      </c>
      <c r="I37" s="174">
        <f>IF(H37+([6]CZ_B!I8-[6]CZ_B!H8)&gt;=0,H37+([6]CZ_B!I8-[6]CZ_B!H8),0)</f>
        <v>2476.9428531233411</v>
      </c>
      <c r="J37" s="174">
        <f>IF(I37+([6]CZ_B!J8-[6]CZ_B!I8)&gt;=0,I37+([6]CZ_B!J8-[6]CZ_B!I8),0)</f>
        <v>2485.8404797041139</v>
      </c>
      <c r="K37" s="174">
        <f>IF(J37+([6]CZ_B!K8-[6]CZ_B!J8)&gt;=0,J37+([6]CZ_B!K8-[6]CZ_B!J8),0)</f>
        <v>2485.3712183030907</v>
      </c>
      <c r="L37" s="445" t="s">
        <v>1200</v>
      </c>
      <c r="M37" s="447" t="s">
        <v>1201</v>
      </c>
    </row>
    <row r="38" spans="1:14" x14ac:dyDescent="0.25">
      <c r="A38" s="2" t="s">
        <v>342</v>
      </c>
      <c r="B38" s="2" t="s">
        <v>336</v>
      </c>
      <c r="C38" s="53" t="s">
        <v>1199</v>
      </c>
      <c r="D38" s="442">
        <f>[5]CZ_B!D12</f>
        <v>563.96620342367009</v>
      </c>
      <c r="E38" s="442">
        <f>[5]CZ_B!E12</f>
        <v>794.9766596809684</v>
      </c>
      <c r="F38" s="442">
        <f>[5]CZ_B!F12</f>
        <v>11267.096346877875</v>
      </c>
      <c r="G38" s="442">
        <f>[5]CZ_B!G12</f>
        <v>16042.020551213849</v>
      </c>
      <c r="H38" s="174">
        <f>IF(G38+([6]CZ_B!H12-[6]CZ_B!G12)&gt;=0,G38+([6]CZ_B!H12-[6]CZ_B!G12),0)</f>
        <v>18684.014783242779</v>
      </c>
      <c r="I38" s="174">
        <f>IF(H38+([6]CZ_B!I12-[6]CZ_B!H12)&gt;=0,H38+([6]CZ_B!I12-[6]CZ_B!H12),0)</f>
        <v>20256.822339188075</v>
      </c>
      <c r="J38" s="174">
        <f>IF(I38+([6]CZ_B!J12-[6]CZ_B!I12)&gt;=0,I38+([6]CZ_B!J12-[6]CZ_B!I12),0)</f>
        <v>21202.622605284654</v>
      </c>
      <c r="K38" s="174">
        <f>IF(J38+([6]CZ_B!K12-[6]CZ_B!J12)&gt;=0,J38+([6]CZ_B!K12-[6]CZ_B!J12),0)</f>
        <v>21679.851433587362</v>
      </c>
      <c r="L38" s="445" t="s">
        <v>1200</v>
      </c>
      <c r="M38" s="447" t="s">
        <v>1201</v>
      </c>
    </row>
    <row r="39" spans="1:14" x14ac:dyDescent="0.25">
      <c r="A39" s="2" t="s">
        <v>343</v>
      </c>
      <c r="B39" s="2" t="s">
        <v>337</v>
      </c>
      <c r="C39" s="53" t="s">
        <v>1199</v>
      </c>
      <c r="D39" s="442">
        <f>[5]CZ_B!D13</f>
        <v>0</v>
      </c>
      <c r="E39" s="442">
        <f>[5]CZ_B!E13</f>
        <v>0</v>
      </c>
      <c r="F39" s="442">
        <f>[5]CZ_B!F13</f>
        <v>0</v>
      </c>
      <c r="G39" s="442">
        <f>[5]CZ_B!G13</f>
        <v>0</v>
      </c>
      <c r="H39" s="174">
        <f>IF(G39+([6]CZ_B!H13-[6]CZ_B!G13)&gt;=0,G39+([6]CZ_B!H13-[6]CZ_B!G13),0)</f>
        <v>0</v>
      </c>
      <c r="I39" s="174">
        <f>IF(H39+([6]CZ_B!I13-[6]CZ_B!H13)&gt;=0,H39+([6]CZ_B!I13-[6]CZ_B!H13),0)</f>
        <v>0</v>
      </c>
      <c r="J39" s="174">
        <f>IF(I39+([6]CZ_B!J13-[6]CZ_B!I13)&gt;=0,I39+([6]CZ_B!J13-[6]CZ_B!I13),0)</f>
        <v>0</v>
      </c>
      <c r="K39" s="174">
        <f>IF(J39+([6]CZ_B!K13-[6]CZ_B!J13)&gt;=0,J39+([6]CZ_B!K13-[6]CZ_B!J13),0)</f>
        <v>0</v>
      </c>
      <c r="L39" s="445" t="s">
        <v>1200</v>
      </c>
      <c r="M39" s="447" t="s">
        <v>1201</v>
      </c>
    </row>
    <row r="40" spans="1:14" x14ac:dyDescent="0.25">
      <c r="A40" s="1" t="s">
        <v>10</v>
      </c>
      <c r="B40" s="1" t="s">
        <v>11</v>
      </c>
      <c r="C40" s="53" t="s">
        <v>1199</v>
      </c>
      <c r="D40" s="442">
        <f>[5]CZ_B!D18</f>
        <v>185.89149840122761</v>
      </c>
      <c r="E40" s="442">
        <f>[5]CZ_B!E18</f>
        <v>131.3372440911177</v>
      </c>
      <c r="F40" s="442">
        <f>[5]CZ_B!F18</f>
        <v>122.98976777964876</v>
      </c>
      <c r="G40" s="442">
        <f>[5]CZ_B!G18</f>
        <v>123.05980419962947</v>
      </c>
      <c r="H40" s="174">
        <f>IF(G40+([6]CZ_B!H18-[6]CZ_B!G18)&gt;=0,G40+([6]CZ_B!H18-[6]CZ_B!G18),0)</f>
        <v>100.71926441256844</v>
      </c>
      <c r="I40" s="174">
        <f>IF(H40+([6]CZ_B!I18-[6]CZ_B!H18)&gt;=0,H40+([6]CZ_B!I18-[6]CZ_B!H18),0)</f>
        <v>98.315911231453526</v>
      </c>
      <c r="J40" s="174">
        <f>IF(I40+([6]CZ_B!J18-[6]CZ_B!I18)&gt;=0,I40+([6]CZ_B!J18-[6]CZ_B!I18),0)</f>
        <v>62.919805192986217</v>
      </c>
      <c r="K40" s="174">
        <f>IF(J40+([6]CZ_B!K18-[6]CZ_B!J18)&gt;=0,J40+([6]CZ_B!K18-[6]CZ_B!J18),0)</f>
        <v>16.135355124362981</v>
      </c>
      <c r="L40" s="445" t="s">
        <v>1200</v>
      </c>
      <c r="M40" s="447" t="s">
        <v>1201</v>
      </c>
    </row>
    <row r="41" spans="1:14" x14ac:dyDescent="0.25">
      <c r="A41" s="2" t="s">
        <v>12</v>
      </c>
      <c r="B41" s="2" t="s">
        <v>13</v>
      </c>
      <c r="C41" s="53" t="s">
        <v>1199</v>
      </c>
      <c r="D41" s="442">
        <f>[5]CZ_B!D7</f>
        <v>4138.2738323800368</v>
      </c>
      <c r="E41" s="442">
        <f>[5]CZ_B!E7</f>
        <v>3214.5886003196761</v>
      </c>
      <c r="F41" s="442">
        <f>[5]CZ_B!F7</f>
        <v>1926.4490345529334</v>
      </c>
      <c r="G41" s="442">
        <f>[5]CZ_B!G7</f>
        <v>3421.2644331808783</v>
      </c>
      <c r="H41" s="174">
        <f>IF(G41+([6]CZ_B!H7-[6]CZ_B!G7)&gt;=0,G41+([6]CZ_B!H7-[6]CZ_B!G7),0)</f>
        <v>3900.4852526921595</v>
      </c>
      <c r="I41" s="174">
        <f>IF(H41+([6]CZ_B!I7-[6]CZ_B!H7)&gt;=0,H41+([6]CZ_B!I7-[6]CZ_B!H7),0)</f>
        <v>5714.2681615493402</v>
      </c>
      <c r="J41" s="174">
        <f>IF(I41+([6]CZ_B!J7-[6]CZ_B!I7)&gt;=0,I41+([6]CZ_B!J7-[6]CZ_B!I7),0)</f>
        <v>6582.2539079585349</v>
      </c>
      <c r="K41" s="174">
        <f>IF(J41+([6]CZ_B!K7-[6]CZ_B!J7)&gt;=0,J41+([6]CZ_B!K7-[6]CZ_B!J7),0)</f>
        <v>8692.8723378609866</v>
      </c>
      <c r="L41" s="445" t="s">
        <v>1200</v>
      </c>
      <c r="M41" s="447" t="s">
        <v>1201</v>
      </c>
    </row>
    <row r="42" spans="1:14" x14ac:dyDescent="0.25">
      <c r="A42" s="2" t="s">
        <v>831</v>
      </c>
      <c r="B42" s="2" t="s">
        <v>338</v>
      </c>
      <c r="C42" s="53" t="s">
        <v>1199</v>
      </c>
      <c r="D42" s="174">
        <f>[5]CZ_B!D14*el_generation!$L10/(el_generation!$L10+el_generation!$L11)</f>
        <v>1481.0807732553615</v>
      </c>
      <c r="E42" s="174">
        <f>[5]CZ_B!E14*el_generation!$L10/(el_generation!$L10+el_generation!$L11)</f>
        <v>1481.0807732553615</v>
      </c>
      <c r="F42" s="174">
        <f>[5]CZ_B!F14*el_generation!$L10/(el_generation!$L10+el_generation!$L11)</f>
        <v>2752.1960652339649</v>
      </c>
      <c r="G42" s="174">
        <f>[5]CZ_B!G14*el_generation!$L10/(el_generation!$L10+el_generation!$L11)</f>
        <v>3098.8582431712543</v>
      </c>
      <c r="H42" s="174">
        <f>IF(G42+([6]CZ_B!H14-[6]CZ_B!G14)&gt;=0,G42+([6]CZ_B!H14-[6]CZ_B!G14),0)</f>
        <v>3333.5418806934035</v>
      </c>
      <c r="I42" s="174">
        <f>IF(H42+([6]CZ_B!I14-[6]CZ_B!H14)&gt;=0,H42+([6]CZ_B!I14-[6]CZ_B!H14),0)</f>
        <v>3985.9184933500906</v>
      </c>
      <c r="J42" s="174">
        <f>IF(I42+([6]CZ_B!J14-[6]CZ_B!I14)&gt;=0,I42+([6]CZ_B!J14-[6]CZ_B!I14),0)</f>
        <v>5087.021579549084</v>
      </c>
      <c r="K42" s="174">
        <f>IF(J42+([6]CZ_B!K14-[6]CZ_B!J14)&gt;=0,J42+([6]CZ_B!K14-[6]CZ_B!J14),0)</f>
        <v>5096.1670195490842</v>
      </c>
      <c r="L42" s="445" t="s">
        <v>1200</v>
      </c>
      <c r="M42" s="447" t="s">
        <v>1201</v>
      </c>
    </row>
    <row r="43" spans="1:14" x14ac:dyDescent="0.25">
      <c r="A43" s="2" t="s">
        <v>832</v>
      </c>
      <c r="B43" s="2" t="s">
        <v>339</v>
      </c>
      <c r="C43" s="53" t="s">
        <v>1199</v>
      </c>
      <c r="D43" s="174">
        <f>[5]CZ_B!D14*el_generation!$L11/(el_generation!$L10+el_generation!$L11)</f>
        <v>783.17729450243792</v>
      </c>
      <c r="E43" s="174">
        <f>[5]CZ_B!E14*el_generation!$L11/(el_generation!$L10+el_generation!$L11)</f>
        <v>783.17729450243792</v>
      </c>
      <c r="F43" s="174">
        <f>[5]CZ_B!F14*el_generation!$L11/(el_generation!$L10+el_generation!$L11)</f>
        <v>1455.327425237298</v>
      </c>
      <c r="G43" s="174">
        <f>[5]CZ_B!G14*el_generation!$L11/(el_generation!$L10+el_generation!$L11)</f>
        <v>1638.6381207279339</v>
      </c>
      <c r="H43" s="174">
        <f>IF(G43+([6]CZ_B!H14-[6]CZ_B!G14)&gt;=0,G43+([6]CZ_B!H14-[6]CZ_B!G14),0)</f>
        <v>1873.3217582500831</v>
      </c>
      <c r="I43" s="174">
        <f>IF(H43+([6]CZ_B!I14-[6]CZ_B!H14)&gt;=0,H43+([6]CZ_B!I14-[6]CZ_B!H14),0)</f>
        <v>2525.6983709067699</v>
      </c>
      <c r="J43" s="174">
        <f>IF(I43+([6]CZ_B!J14-[6]CZ_B!I14)&gt;=0,I43+([6]CZ_B!J14-[6]CZ_B!I14),0)</f>
        <v>3626.8014571057629</v>
      </c>
      <c r="K43" s="174">
        <f>IF(J43+([6]CZ_B!K14-[6]CZ_B!J14)&gt;=0,J43+([6]CZ_B!K14-[6]CZ_B!J14),0)</f>
        <v>3635.9468971057631</v>
      </c>
      <c r="L43" s="445" t="s">
        <v>1200</v>
      </c>
      <c r="M43" s="447" t="s">
        <v>1201</v>
      </c>
    </row>
    <row r="44" spans="1:14" x14ac:dyDescent="0.25">
      <c r="A44" s="2" t="s">
        <v>14</v>
      </c>
      <c r="B44" s="2" t="s">
        <v>15</v>
      </c>
      <c r="C44" s="53" t="s">
        <v>1199</v>
      </c>
      <c r="D44" s="174">
        <v>0</v>
      </c>
      <c r="E44" s="174">
        <v>0</v>
      </c>
      <c r="F44" s="174">
        <v>0</v>
      </c>
      <c r="G44" s="174">
        <v>0</v>
      </c>
      <c r="H44" s="174">
        <v>0</v>
      </c>
      <c r="I44" s="174">
        <v>0</v>
      </c>
      <c r="J44" s="174">
        <v>0</v>
      </c>
      <c r="K44" s="174">
        <v>0</v>
      </c>
      <c r="L44" s="445" t="s">
        <v>1200</v>
      </c>
      <c r="M44" s="447" t="s">
        <v>1201</v>
      </c>
    </row>
    <row r="45" spans="1:14" x14ac:dyDescent="0.25">
      <c r="A45" s="2" t="s">
        <v>16</v>
      </c>
      <c r="B45" s="2" t="s">
        <v>17</v>
      </c>
      <c r="C45" s="53" t="s">
        <v>1199</v>
      </c>
      <c r="D45" s="174">
        <v>0</v>
      </c>
      <c r="E45" s="174">
        <v>0</v>
      </c>
      <c r="F45" s="174">
        <v>0</v>
      </c>
      <c r="G45" s="174">
        <v>0</v>
      </c>
      <c r="H45" s="174">
        <v>0</v>
      </c>
      <c r="I45" s="174">
        <v>0</v>
      </c>
      <c r="J45" s="174">
        <v>0</v>
      </c>
      <c r="K45" s="174">
        <v>0</v>
      </c>
      <c r="L45" s="445" t="s">
        <v>1200</v>
      </c>
      <c r="M45" s="447" t="s">
        <v>1201</v>
      </c>
    </row>
    <row r="46" spans="1:14" x14ac:dyDescent="0.25">
      <c r="A46" s="2" t="s">
        <v>18</v>
      </c>
      <c r="B46" s="2" t="s">
        <v>19</v>
      </c>
      <c r="C46" s="53" t="s">
        <v>1199</v>
      </c>
      <c r="D46" s="442">
        <f>[5]CZ_B!D15</f>
        <v>0</v>
      </c>
      <c r="E46" s="442">
        <f>[5]CZ_B!E15</f>
        <v>0</v>
      </c>
      <c r="F46" s="442">
        <f>[5]CZ_B!F15</f>
        <v>0</v>
      </c>
      <c r="G46" s="442">
        <f>[5]CZ_B!G15</f>
        <v>0</v>
      </c>
      <c r="H46" s="174">
        <f>IF(G46+([6]CZ_B!H15-[6]CZ_B!G15)&gt;=0,G46+([6]CZ_B!H15-[6]CZ_B!G15),0)</f>
        <v>0</v>
      </c>
      <c r="I46" s="174">
        <f>IF(H46+([6]CZ_B!I15-[6]CZ_B!H15)&gt;=0,H46+([6]CZ_B!I15-[6]CZ_B!H15),0)</f>
        <v>68.361574428975999</v>
      </c>
      <c r="J46" s="174">
        <f>IF(I46+([6]CZ_B!J15-[6]CZ_B!I15)&gt;=0,I46+([6]CZ_B!J15-[6]CZ_B!I15),0)</f>
        <v>2591.4657531098469</v>
      </c>
      <c r="K46" s="174">
        <f>IF(J46+([6]CZ_B!K15-[6]CZ_B!J15)&gt;=0,J46+([6]CZ_B!K15-[6]CZ_B!J15),0)</f>
        <v>2989.3160414994272</v>
      </c>
      <c r="L46" s="445" t="s">
        <v>1200</v>
      </c>
      <c r="M46" s="447" t="s">
        <v>1201</v>
      </c>
    </row>
    <row r="47" spans="1:14" x14ac:dyDescent="0.25">
      <c r="A47" s="19" t="s">
        <v>1155</v>
      </c>
      <c r="B47" s="2"/>
      <c r="C47" s="53" t="s">
        <v>1199</v>
      </c>
      <c r="D47" s="443">
        <f>SUM(D34:D46)</f>
        <v>80347.364918770283</v>
      </c>
      <c r="E47" s="443">
        <f t="shared" ref="E47:K47" si="36">SUM(E34:E46)</f>
        <v>73748.97565610701</v>
      </c>
      <c r="F47" s="443">
        <f t="shared" si="36"/>
        <v>74309.267701206933</v>
      </c>
      <c r="G47" s="443">
        <f t="shared" si="36"/>
        <v>78077.564895561271</v>
      </c>
      <c r="H47" s="444">
        <f t="shared" si="36"/>
        <v>87482.49937543257</v>
      </c>
      <c r="I47" s="444">
        <f t="shared" si="36"/>
        <v>95295.218897070663</v>
      </c>
      <c r="J47" s="444">
        <f t="shared" si="36"/>
        <v>101364.03559187586</v>
      </c>
      <c r="K47" s="444">
        <f t="shared" si="36"/>
        <v>104119.26517081948</v>
      </c>
      <c r="L47" s="445" t="s">
        <v>1200</v>
      </c>
      <c r="M47" s="447" t="s">
        <v>1201</v>
      </c>
    </row>
    <row r="48" spans="1:14" x14ac:dyDescent="0.25">
      <c r="A48" s="429" t="s">
        <v>1058</v>
      </c>
      <c r="B48" s="429"/>
      <c r="C48" s="429"/>
      <c r="D48" s="430"/>
      <c r="E48" s="430"/>
      <c r="F48" s="430"/>
      <c r="G48" s="430"/>
      <c r="H48" s="430"/>
      <c r="I48" s="430"/>
      <c r="J48" s="430"/>
      <c r="K48" s="430"/>
      <c r="L48" s="297"/>
      <c r="M48" s="297"/>
      <c r="N48" s="297"/>
    </row>
    <row r="49" spans="1:14" x14ac:dyDescent="0.25">
      <c r="A49" s="387" t="s">
        <v>1107</v>
      </c>
      <c r="B49" s="387"/>
      <c r="C49" s="387"/>
      <c r="D49" s="376" t="s">
        <v>1129</v>
      </c>
      <c r="E49" s="376" t="s">
        <v>1130</v>
      </c>
      <c r="F49" s="376" t="s">
        <v>1131</v>
      </c>
      <c r="G49" s="376" t="s">
        <v>1132</v>
      </c>
      <c r="H49" s="376" t="s">
        <v>1133</v>
      </c>
      <c r="I49" s="376" t="s">
        <v>1134</v>
      </c>
      <c r="J49" s="376" t="s">
        <v>1135</v>
      </c>
      <c r="K49" s="376" t="s">
        <v>1136</v>
      </c>
      <c r="L49" s="297"/>
      <c r="M49" s="297"/>
      <c r="N49" s="297"/>
    </row>
    <row r="50" spans="1:14" x14ac:dyDescent="0.25">
      <c r="A50" s="431" t="s">
        <v>2</v>
      </c>
      <c r="B50" s="431" t="s">
        <v>3</v>
      </c>
      <c r="C50" s="53" t="s">
        <v>1199</v>
      </c>
      <c r="D50" s="430">
        <f>[5]CZ_B!D35</f>
        <v>9656.4015500000005</v>
      </c>
      <c r="E50" s="430">
        <f>[5]CZ_B!E35</f>
        <v>10043.422550000003</v>
      </c>
      <c r="F50" s="430">
        <f>[5]CZ_B!F35</f>
        <v>9970.7425500000008</v>
      </c>
      <c r="G50" s="430">
        <f>[5]CZ_B!G35</f>
        <v>9354.0625500000006</v>
      </c>
      <c r="H50" s="174">
        <f>IF(G50+([6]CZ_B!H35-[6]CZ_B!G35)&gt;=0,G50+([6]CZ_B!H35-[6]CZ_B!G35),0)</f>
        <v>5533.9675500000003</v>
      </c>
      <c r="I50" s="174">
        <f>IF(H50+([6]CZ_B!I35-[6]CZ_B!H35)&gt;=0,H50+([6]CZ_B!I35-[6]CZ_B!H35),0)</f>
        <v>2803.0445500000001</v>
      </c>
      <c r="J50" s="174">
        <f>IF(I50+([6]CZ_B!J35-[6]CZ_B!I35)&gt;=0,I50+([6]CZ_B!J35-[6]CZ_B!I35),0)</f>
        <v>1892.0527500000001</v>
      </c>
      <c r="K50" s="174">
        <f>IF(J50+([6]CZ_B!K35-[6]CZ_B!J35)&gt;=0,J50+([6]CZ_B!K35-[6]CZ_B!J35),0)</f>
        <v>1788.8687500000001</v>
      </c>
      <c r="L50" s="446" t="s">
        <v>1200</v>
      </c>
      <c r="M50" s="448" t="s">
        <v>1201</v>
      </c>
      <c r="N50" s="297"/>
    </row>
    <row r="51" spans="1:14" x14ac:dyDescent="0.25">
      <c r="A51" s="431" t="s">
        <v>4</v>
      </c>
      <c r="B51" s="431" t="s">
        <v>5</v>
      </c>
      <c r="C51" s="53" t="s">
        <v>1199</v>
      </c>
      <c r="D51" s="430">
        <f>[5]CZ_B!D37</f>
        <v>929.38926602726997</v>
      </c>
      <c r="E51" s="430">
        <f>[5]CZ_B!E37</f>
        <v>588.57516352972516</v>
      </c>
      <c r="F51" s="430">
        <f>[5]CZ_B!F37</f>
        <v>817.25463184904424</v>
      </c>
      <c r="G51" s="430">
        <f>[5]CZ_B!G37</f>
        <v>1105.7451686578227</v>
      </c>
      <c r="H51" s="174">
        <f>IF(G51+([6]CZ_B!H37-[6]CZ_B!G37)&gt;=0,G51+([6]CZ_B!H37-[6]CZ_B!G37),0)</f>
        <v>1861.7960535624579</v>
      </c>
      <c r="I51" s="174">
        <f>IF(H51+([6]CZ_B!I37-[6]CZ_B!H37)&gt;=0,H51+([6]CZ_B!I37-[6]CZ_B!H37),0)</f>
        <v>2467.8089229615389</v>
      </c>
      <c r="J51" s="174">
        <f>IF(I51+([6]CZ_B!J37-[6]CZ_B!I37)&gt;=0,I51+([6]CZ_B!J37-[6]CZ_B!I37),0)</f>
        <v>3201.4897984741133</v>
      </c>
      <c r="K51" s="174">
        <f>IF(J51+([6]CZ_B!K37-[6]CZ_B!J37)&gt;=0,J51+([6]CZ_B!K37-[6]CZ_B!J37),0)</f>
        <v>4052.9817437479419</v>
      </c>
      <c r="L51" s="446" t="s">
        <v>1200</v>
      </c>
      <c r="M51" s="448" t="s">
        <v>1201</v>
      </c>
      <c r="N51" s="297"/>
    </row>
    <row r="52" spans="1:14" x14ac:dyDescent="0.25">
      <c r="A52" s="431" t="s">
        <v>6</v>
      </c>
      <c r="B52" s="431" t="s">
        <v>7</v>
      </c>
      <c r="C52" s="53" t="s">
        <v>1199</v>
      </c>
      <c r="D52" s="430">
        <f>[5]CZ_B!D23</f>
        <v>4006.08</v>
      </c>
      <c r="E52" s="430">
        <f>[5]CZ_B!E23</f>
        <v>4006.08</v>
      </c>
      <c r="F52" s="430">
        <f>[5]CZ_B!F23</f>
        <v>4006.08</v>
      </c>
      <c r="G52" s="430">
        <f>[5]CZ_B!G23</f>
        <v>4006.08</v>
      </c>
      <c r="H52" s="174">
        <f>IF(G52+([6]CZ_B!H23-[6]CZ_B!G23)&gt;=0,G52+([6]CZ_B!H23-[6]CZ_B!G23),0)</f>
        <v>4006.08</v>
      </c>
      <c r="I52" s="174">
        <f>IF(H52+([6]CZ_B!I23-[6]CZ_B!H23)&gt;=0,H52+([6]CZ_B!I23-[6]CZ_B!H23),0)</f>
        <v>5206.08</v>
      </c>
      <c r="J52" s="174">
        <f>IF(I52+([6]CZ_B!J23-[6]CZ_B!I23)&gt;=0,I52+([6]CZ_B!J23-[6]CZ_B!I23),0)</f>
        <v>5206.08</v>
      </c>
      <c r="K52" s="174">
        <f>IF(J52+([6]CZ_B!K23-[6]CZ_B!J23)&gt;=0,J52+([6]CZ_B!K23-[6]CZ_B!J23),0)</f>
        <v>4447.68</v>
      </c>
      <c r="L52" s="446" t="s">
        <v>1200</v>
      </c>
      <c r="M52" s="448" t="s">
        <v>1201</v>
      </c>
      <c r="N52" s="297"/>
    </row>
    <row r="53" spans="1:14" x14ac:dyDescent="0.25">
      <c r="A53" s="431" t="s">
        <v>8</v>
      </c>
      <c r="B53" s="431" t="s">
        <v>9</v>
      </c>
      <c r="C53" s="53" t="s">
        <v>1199</v>
      </c>
      <c r="D53" s="430">
        <f>[5]CZ_B!D26</f>
        <v>1088.0000000000002</v>
      </c>
      <c r="E53" s="430">
        <f>[5]CZ_B!E26</f>
        <v>1090</v>
      </c>
      <c r="F53" s="430">
        <f>[5]CZ_B!F26</f>
        <v>1105.714280438036</v>
      </c>
      <c r="G53" s="430">
        <f>[5]CZ_B!G26</f>
        <v>1119.9642510902015</v>
      </c>
      <c r="H53" s="174">
        <f>IF(G53+([6]CZ_B!H26-[6]CZ_B!G26)&gt;=0,G53+([6]CZ_B!H26-[6]CZ_B!G26),0)</f>
        <v>1119.9642510902015</v>
      </c>
      <c r="I53" s="174">
        <f>IF(H53+([6]CZ_B!I26-[6]CZ_B!H26)&gt;=0,H53+([6]CZ_B!I26-[6]CZ_B!H26),0)</f>
        <v>1130.4305524060721</v>
      </c>
      <c r="J53" s="174">
        <f>IF(I53+([6]CZ_B!J26-[6]CZ_B!I26)&gt;=0,I53+([6]CZ_B!J26-[6]CZ_B!I26),0)</f>
        <v>1134.3888761136595</v>
      </c>
      <c r="K53" s="174">
        <f>IF(J53+([6]CZ_B!K26-[6]CZ_B!J26)&gt;=0,J53+([6]CZ_B!K26-[6]CZ_B!J26),0)</f>
        <v>1134.9153661026658</v>
      </c>
      <c r="L53" s="446" t="s">
        <v>1200</v>
      </c>
      <c r="M53" s="448" t="s">
        <v>1201</v>
      </c>
      <c r="N53" s="297"/>
    </row>
    <row r="54" spans="1:14" x14ac:dyDescent="0.25">
      <c r="A54" s="431" t="s">
        <v>342</v>
      </c>
      <c r="B54" s="431" t="s">
        <v>336</v>
      </c>
      <c r="C54" s="53" t="s">
        <v>1199</v>
      </c>
      <c r="D54" s="430">
        <f>[5]CZ_B!D30</f>
        <v>281.05</v>
      </c>
      <c r="E54" s="430">
        <f>[5]CZ_B!E30</f>
        <v>396.10000000000014</v>
      </c>
      <c r="F54" s="430">
        <f>[5]CZ_B!F30</f>
        <v>4557.766665997262</v>
      </c>
      <c r="G54" s="430">
        <f>[5]CZ_B!G30</f>
        <v>6542.6633323723381</v>
      </c>
      <c r="H54" s="174">
        <f>IF(G54+([6]CZ_B!H30-[6]CZ_B!G30)&gt;=0,G54+([6]CZ_B!H30-[6]CZ_B!G30),0)</f>
        <v>7595.225458217712</v>
      </c>
      <c r="I54" s="174">
        <f>IF(H54+([6]CZ_B!I30-[6]CZ_B!H30)&gt;=0,H54+([6]CZ_B!I30-[6]CZ_B!H30),0)</f>
        <v>8223.4129599379303</v>
      </c>
      <c r="J54" s="174">
        <f>IF(I54+([6]CZ_B!J30-[6]CZ_B!I30)&gt;=0,I54+([6]CZ_B!J30-[6]CZ_B!I30),0)</f>
        <v>8584.3231846293929</v>
      </c>
      <c r="K54" s="174">
        <f>IF(J54+([6]CZ_B!K30-[6]CZ_B!J30)&gt;=0,J54+([6]CZ_B!K30-[6]CZ_B!J30),0)</f>
        <v>8760.0569598589627</v>
      </c>
      <c r="L54" s="446" t="s">
        <v>1200</v>
      </c>
      <c r="M54" s="448" t="s">
        <v>1201</v>
      </c>
      <c r="N54" s="297"/>
    </row>
    <row r="55" spans="1:14" x14ac:dyDescent="0.25">
      <c r="A55" s="431" t="s">
        <v>343</v>
      </c>
      <c r="B55" s="431" t="s">
        <v>337</v>
      </c>
      <c r="C55" s="53" t="s">
        <v>1199</v>
      </c>
      <c r="D55" s="430">
        <f>[5]CZ_B!D31</f>
        <v>0</v>
      </c>
      <c r="E55" s="430">
        <f>[5]CZ_B!E31</f>
        <v>0</v>
      </c>
      <c r="F55" s="430">
        <f>[5]CZ_B!F31</f>
        <v>0</v>
      </c>
      <c r="G55" s="430">
        <f>[5]CZ_B!G31</f>
        <v>0</v>
      </c>
      <c r="H55" s="174">
        <f>IF(G55+([6]CZ_B!H31-[6]CZ_B!G31)&gt;=0,G55+([6]CZ_B!H31-[6]CZ_B!G31),0)</f>
        <v>0</v>
      </c>
      <c r="I55" s="174">
        <f>IF(H55+([6]CZ_B!I31-[6]CZ_B!H31)&gt;=0,H55+([6]CZ_B!I31-[6]CZ_B!H31),0)</f>
        <v>0</v>
      </c>
      <c r="J55" s="174">
        <f>IF(I55+([6]CZ_B!J31-[6]CZ_B!I31)&gt;=0,I55+([6]CZ_B!J31-[6]CZ_B!I31),0)</f>
        <v>0</v>
      </c>
      <c r="K55" s="174">
        <f>IF(J55+([6]CZ_B!K31-[6]CZ_B!J31)&gt;=0,J55+([6]CZ_B!K31-[6]CZ_B!J31),0)</f>
        <v>0</v>
      </c>
      <c r="L55" s="446" t="s">
        <v>1200</v>
      </c>
      <c r="M55" s="448" t="s">
        <v>1201</v>
      </c>
      <c r="N55" s="297"/>
    </row>
    <row r="56" spans="1:14" x14ac:dyDescent="0.25">
      <c r="A56" s="431" t="s">
        <v>10</v>
      </c>
      <c r="B56" s="431" t="s">
        <v>11</v>
      </c>
      <c r="C56" s="53" t="s">
        <v>1199</v>
      </c>
      <c r="D56" s="430">
        <f>[5]CZ_B!D36</f>
        <v>133.93011999999999</v>
      </c>
      <c r="E56" s="430">
        <f>[5]CZ_B!E36</f>
        <v>71.85011999999999</v>
      </c>
      <c r="F56" s="430">
        <f>[5]CZ_B!F36</f>
        <v>63.702119999999987</v>
      </c>
      <c r="G56" s="430">
        <f>[5]CZ_B!G36</f>
        <v>63.702119999999987</v>
      </c>
      <c r="H56" s="174">
        <f>IF(G56+([6]CZ_B!H36-[6]CZ_B!G36)&gt;=0,G56+([6]CZ_B!H36-[6]CZ_B!G36),0)</f>
        <v>44.702120000000001</v>
      </c>
      <c r="I56" s="174">
        <f>IF(H56+([6]CZ_B!I36-[6]CZ_B!H36)&gt;=0,H56+([6]CZ_B!I36-[6]CZ_B!H36),0)</f>
        <v>41.204299999999996</v>
      </c>
      <c r="J56" s="174">
        <f>IF(I56+([6]CZ_B!J36-[6]CZ_B!I36)&gt;=0,I56+([6]CZ_B!J36-[6]CZ_B!I36),0)</f>
        <v>41.204299999999996</v>
      </c>
      <c r="K56" s="174">
        <f>IF(J56+([6]CZ_B!K36-[6]CZ_B!J36)&gt;=0,J56+([6]CZ_B!K36-[6]CZ_B!J36),0)</f>
        <v>24.104299999999999</v>
      </c>
      <c r="L56" s="446" t="s">
        <v>1200</v>
      </c>
      <c r="M56" s="448" t="s">
        <v>1201</v>
      </c>
      <c r="N56" s="297"/>
    </row>
    <row r="57" spans="1:14" x14ac:dyDescent="0.25">
      <c r="A57" s="431" t="s">
        <v>12</v>
      </c>
      <c r="B57" s="431" t="s">
        <v>13</v>
      </c>
      <c r="C57" s="53" t="s">
        <v>1199</v>
      </c>
      <c r="D57" s="430">
        <f>[5]CZ_B!D25</f>
        <v>527.6919839727301</v>
      </c>
      <c r="E57" s="430">
        <f>[5]CZ_B!E25</f>
        <v>647.60234676074128</v>
      </c>
      <c r="F57" s="430">
        <f>[5]CZ_B!F25</f>
        <v>663.36076830698005</v>
      </c>
      <c r="G57" s="430">
        <f>[5]CZ_B!G25</f>
        <v>851.55129706148546</v>
      </c>
      <c r="H57" s="174">
        <f>IF(G57+([6]CZ_B!H25-[6]CZ_B!G25)&gt;=0,G57+([6]CZ_B!H25-[6]CZ_B!G25),0)</f>
        <v>976.42661927596089</v>
      </c>
      <c r="I57" s="174">
        <f>IF(H57+([6]CZ_B!I25-[6]CZ_B!H25)&gt;=0,H57+([6]CZ_B!I25-[6]CZ_B!H25),0)</f>
        <v>1156.361749089242</v>
      </c>
      <c r="J57" s="174">
        <f>IF(I57+([6]CZ_B!J25-[6]CZ_B!I25)&gt;=0,I57+([6]CZ_B!J25-[6]CZ_B!I25),0)</f>
        <v>1319.053700361176</v>
      </c>
      <c r="K57" s="174">
        <f>IF(J57+([6]CZ_B!K25-[6]CZ_B!J25)&gt;=0,J57+([6]CZ_B!K25-[6]CZ_B!J25),0)</f>
        <v>1624.1885874409822</v>
      </c>
      <c r="L57" s="446" t="s">
        <v>1200</v>
      </c>
      <c r="M57" s="448" t="s">
        <v>1201</v>
      </c>
      <c r="N57" s="297"/>
    </row>
    <row r="58" spans="1:14" x14ac:dyDescent="0.25">
      <c r="A58" s="431" t="s">
        <v>831</v>
      </c>
      <c r="B58" s="431" t="s">
        <v>338</v>
      </c>
      <c r="C58" s="53" t="s">
        <v>1199</v>
      </c>
      <c r="D58" s="174">
        <f>[5]CZ_B!D32*el_capacity!$L10/(el_capacity!$L10+el_capacity!$L11)</f>
        <v>1329.7245711524522</v>
      </c>
      <c r="E58" s="174">
        <f>[5]CZ_B!E32*el_capacity!$L10/(el_capacity!$L10+el_capacity!$L11)</f>
        <v>1329.7245711524522</v>
      </c>
      <c r="F58" s="174">
        <f>[5]CZ_B!F32*el_capacity!$L10/(el_capacity!$L10+el_capacity!$L11)</f>
        <v>2463.516728935012</v>
      </c>
      <c r="G58" s="174">
        <f>[5]CZ_B!G32*el_capacity!$L10/(el_capacity!$L10+el_capacity!$L11)</f>
        <v>2772.6374582095968</v>
      </c>
      <c r="H58" s="174">
        <f>IF(G58+([6]CZ_B!H32-[6]CZ_B!G32)&gt;=0,G58+([6]CZ_B!H32-[6]CZ_B!G32),0)</f>
        <v>2983.609727189777</v>
      </c>
      <c r="I58" s="174">
        <f>IF(H58+([6]CZ_B!I32-[6]CZ_B!H32)&gt;=0,H58+([6]CZ_B!I32-[6]CZ_B!H32),0)</f>
        <v>3565.5014029721051</v>
      </c>
      <c r="J58" s="174">
        <f>IF(I58+([6]CZ_B!J32-[6]CZ_B!I32)&gt;=0,I58+([6]CZ_B!J32-[6]CZ_B!I32),0)</f>
        <v>4510.2396580889636</v>
      </c>
      <c r="K58" s="174">
        <f>IF(J58+([6]CZ_B!K32-[6]CZ_B!J32)&gt;=0,J58+([6]CZ_B!K32-[6]CZ_B!J32),0)</f>
        <v>4510.2396580889636</v>
      </c>
      <c r="L58" s="446" t="s">
        <v>1200</v>
      </c>
      <c r="M58" s="448" t="s">
        <v>1201</v>
      </c>
      <c r="N58" s="297"/>
    </row>
    <row r="59" spans="1:14" x14ac:dyDescent="0.25">
      <c r="A59" s="431" t="s">
        <v>832</v>
      </c>
      <c r="B59" s="431" t="s">
        <v>339</v>
      </c>
      <c r="C59" s="53" t="s">
        <v>1199</v>
      </c>
      <c r="D59" s="174">
        <f>[5]CZ_B!D32*el_capacity!$L11/(el_capacity!$L10+el_capacity!$L11)</f>
        <v>745.27542884754769</v>
      </c>
      <c r="E59" s="174">
        <f>[5]CZ_B!E32*el_capacity!$L11/(el_capacity!$L10+el_capacity!$L11)</f>
        <v>745.27542884754769</v>
      </c>
      <c r="F59" s="174">
        <f>[5]CZ_B!F32*el_capacity!$L11/(el_capacity!$L10+el_capacity!$L11)</f>
        <v>1380.7359256653554</v>
      </c>
      <c r="G59" s="174">
        <f>[5]CZ_B!G32*el_capacity!$L11/(el_capacity!$L10+el_capacity!$L11)</f>
        <v>1553.9899130502135</v>
      </c>
      <c r="H59" s="174">
        <f>IF(G59+([6]CZ_B!H32-[6]CZ_B!G32)&gt;=0,G59+([6]CZ_B!H32-[6]CZ_B!G32),0)</f>
        <v>1764.9621820303937</v>
      </c>
      <c r="I59" s="174">
        <f>IF(H59+([6]CZ_B!I32-[6]CZ_B!H32)&gt;=0,H59+([6]CZ_B!I32-[6]CZ_B!H32),0)</f>
        <v>2346.8538578127218</v>
      </c>
      <c r="J59" s="174">
        <f>IF(I59+([6]CZ_B!J32-[6]CZ_B!I32)&gt;=0,I59+([6]CZ_B!J32-[6]CZ_B!I32),0)</f>
        <v>3291.5921129295803</v>
      </c>
      <c r="K59" s="174">
        <f>IF(J59+([6]CZ_B!K32-[6]CZ_B!J32)&gt;=0,J59+([6]CZ_B!K32-[6]CZ_B!J32),0)</f>
        <v>3291.5921129295803</v>
      </c>
      <c r="L59" s="446" t="s">
        <v>1200</v>
      </c>
      <c r="M59" s="448" t="s">
        <v>1201</v>
      </c>
      <c r="N59" s="297"/>
    </row>
    <row r="60" spans="1:14" x14ac:dyDescent="0.25">
      <c r="A60" s="431" t="s">
        <v>14</v>
      </c>
      <c r="B60" s="431" t="s">
        <v>15</v>
      </c>
      <c r="C60" s="53" t="s">
        <v>1199</v>
      </c>
      <c r="D60" s="174">
        <v>0</v>
      </c>
      <c r="E60" s="174">
        <v>0</v>
      </c>
      <c r="F60" s="174">
        <v>0</v>
      </c>
      <c r="G60" s="174">
        <v>0</v>
      </c>
      <c r="H60" s="174">
        <v>0</v>
      </c>
      <c r="I60" s="174">
        <v>0</v>
      </c>
      <c r="J60" s="174">
        <v>0</v>
      </c>
      <c r="K60" s="174">
        <v>0</v>
      </c>
      <c r="L60" s="446" t="s">
        <v>1200</v>
      </c>
      <c r="M60" s="448" t="s">
        <v>1201</v>
      </c>
      <c r="N60" s="297"/>
    </row>
    <row r="61" spans="1:14" x14ac:dyDescent="0.25">
      <c r="A61" s="431" t="s">
        <v>16</v>
      </c>
      <c r="B61" s="431" t="s">
        <v>17</v>
      </c>
      <c r="C61" s="53" t="s">
        <v>1199</v>
      </c>
      <c r="D61" s="174">
        <v>0</v>
      </c>
      <c r="E61" s="174">
        <v>0</v>
      </c>
      <c r="F61" s="174">
        <v>0</v>
      </c>
      <c r="G61" s="174">
        <v>0</v>
      </c>
      <c r="H61" s="174">
        <v>0</v>
      </c>
      <c r="I61" s="174">
        <v>0</v>
      </c>
      <c r="J61" s="174">
        <v>0</v>
      </c>
      <c r="K61" s="174">
        <v>0</v>
      </c>
      <c r="L61" s="446" t="s">
        <v>1200</v>
      </c>
      <c r="M61" s="448" t="s">
        <v>1201</v>
      </c>
      <c r="N61" s="297"/>
    </row>
    <row r="62" spans="1:14" x14ac:dyDescent="0.25">
      <c r="A62" s="431" t="s">
        <v>18</v>
      </c>
      <c r="B62" s="431" t="s">
        <v>19</v>
      </c>
      <c r="C62" s="53" t="s">
        <v>1199</v>
      </c>
      <c r="D62" s="430">
        <f>[5]CZ_B!D33</f>
        <v>0</v>
      </c>
      <c r="E62" s="430">
        <f>[5]CZ_B!E33</f>
        <v>0</v>
      </c>
      <c r="F62" s="430">
        <f>[5]CZ_B!F33</f>
        <v>0</v>
      </c>
      <c r="G62" s="430">
        <f>[5]CZ_B!G33</f>
        <v>0</v>
      </c>
      <c r="H62" s="174">
        <f>IF(G62+([6]CZ_B!H33-[6]CZ_B!G33)&gt;=0,G62+([6]CZ_B!H33-[6]CZ_B!G33),0)</f>
        <v>0</v>
      </c>
      <c r="I62" s="174">
        <f>IF(H62+([6]CZ_B!I33-[6]CZ_B!H33)&gt;=0,H62+([6]CZ_B!I33-[6]CZ_B!H33),0)</f>
        <v>11.969068554251068</v>
      </c>
      <c r="J62" s="174">
        <f>IF(I62+([6]CZ_B!J33-[6]CZ_B!I33)&gt;=0,I62+([6]CZ_B!J33-[6]CZ_B!I33),0)</f>
        <v>453.38759908852768</v>
      </c>
      <c r="K62" s="174">
        <f>IF(J62+([6]CZ_B!K33-[6]CZ_B!J33)&gt;=0,J62+([6]CZ_B!K33-[6]CZ_B!J33),0)</f>
        <v>522.93844072382876</v>
      </c>
      <c r="L62" s="446" t="s">
        <v>1200</v>
      </c>
      <c r="M62" s="448" t="s">
        <v>1201</v>
      </c>
      <c r="N62" s="297"/>
    </row>
    <row r="63" spans="1:14" x14ac:dyDescent="0.25">
      <c r="A63" s="373" t="s">
        <v>1156</v>
      </c>
      <c r="B63" s="431"/>
      <c r="C63" s="53" t="s">
        <v>1199</v>
      </c>
      <c r="D63" s="441">
        <f>SUM(D50:D62)</f>
        <v>18697.54292</v>
      </c>
      <c r="E63" s="441">
        <f t="shared" ref="E63:K63" si="37">SUM(E50:E62)</f>
        <v>18918.630180290471</v>
      </c>
      <c r="F63" s="441">
        <f t="shared" si="37"/>
        <v>25028.87367119169</v>
      </c>
      <c r="G63" s="441">
        <f t="shared" si="37"/>
        <v>27370.396090441656</v>
      </c>
      <c r="H63" s="444">
        <f t="shared" si="37"/>
        <v>25886.733961366506</v>
      </c>
      <c r="I63" s="444">
        <f t="shared" si="37"/>
        <v>26952.667363733868</v>
      </c>
      <c r="J63" s="444">
        <f t="shared" si="37"/>
        <v>29633.811979685415</v>
      </c>
      <c r="K63" s="444">
        <f t="shared" si="37"/>
        <v>30157.565918892924</v>
      </c>
      <c r="L63" s="446" t="s">
        <v>1200</v>
      </c>
      <c r="M63" s="448" t="s">
        <v>1201</v>
      </c>
      <c r="N63" s="297"/>
    </row>
    <row r="64" spans="1:14" x14ac:dyDescent="0.25">
      <c r="A64" s="429" t="s">
        <v>1150</v>
      </c>
      <c r="B64" s="429"/>
      <c r="C64" s="429"/>
      <c r="D64" s="430"/>
      <c r="E64" s="430"/>
      <c r="F64" s="430"/>
      <c r="G64" s="430"/>
      <c r="H64" s="430"/>
      <c r="I64" s="430"/>
      <c r="J64" s="430"/>
      <c r="K64" s="430"/>
      <c r="L64" s="297"/>
      <c r="M64" s="297"/>
      <c r="N64" s="297"/>
    </row>
    <row r="65" spans="1:14" x14ac:dyDescent="0.25">
      <c r="A65" s="387" t="s">
        <v>834</v>
      </c>
      <c r="B65" s="387"/>
      <c r="C65" s="387"/>
      <c r="D65" s="376" t="s">
        <v>1129</v>
      </c>
      <c r="E65" s="376" t="s">
        <v>1130</v>
      </c>
      <c r="F65" s="376" t="s">
        <v>1131</v>
      </c>
      <c r="G65" s="376" t="s">
        <v>1132</v>
      </c>
      <c r="H65" s="376" t="s">
        <v>1133</v>
      </c>
      <c r="I65" s="376" t="s">
        <v>1134</v>
      </c>
      <c r="J65" s="376" t="s">
        <v>1135</v>
      </c>
      <c r="K65" s="376" t="s">
        <v>1136</v>
      </c>
      <c r="L65" s="297"/>
      <c r="M65" s="297"/>
      <c r="N65" s="297"/>
    </row>
    <row r="66" spans="1:14" x14ac:dyDescent="0.25">
      <c r="A66" s="450" t="s">
        <v>636</v>
      </c>
      <c r="B66" s="450" t="s">
        <v>1149</v>
      </c>
      <c r="C66" s="431" t="s">
        <v>1199</v>
      </c>
      <c r="D66" s="452">
        <f>[5]CZ_A!D44</f>
        <v>1564.8065042600704</v>
      </c>
      <c r="E66" s="452">
        <f>[5]CZ_A!E44</f>
        <v>1308.8198380816207</v>
      </c>
      <c r="F66" s="452">
        <f>[5]CZ_A!F44</f>
        <v>1024.2222632011496</v>
      </c>
      <c r="G66" s="452">
        <f>[5]CZ_A!G44</f>
        <v>450.32781351453008</v>
      </c>
      <c r="H66" s="452">
        <f>IF(G66+([6]CZ_A!H44-[6]CZ_A!G44)&gt;=0,G66+([6]CZ_A!H44-[6]CZ_A!G44),0)</f>
        <v>18.0947739637582</v>
      </c>
      <c r="I66" s="452">
        <f>IF(H66+([6]CZ_A!I44-[6]CZ_A!H44)&gt;=0,H66+([6]CZ_A!I44-[6]CZ_A!H44),0)</f>
        <v>0</v>
      </c>
      <c r="J66" s="452">
        <f>IF(I66+([6]CZ_A!J44-[6]CZ_A!I44)&gt;=0,I66+([6]CZ_A!J44-[6]CZ_A!I44),0)</f>
        <v>0</v>
      </c>
      <c r="K66" s="452">
        <f>IF(J66+([6]CZ_A!K44-[6]CZ_A!J44)&gt;=0,J66+([6]CZ_A!K44-[6]CZ_A!J44),0)</f>
        <v>0</v>
      </c>
      <c r="L66" s="448" t="s">
        <v>1200</v>
      </c>
      <c r="M66" s="448" t="s">
        <v>1201</v>
      </c>
      <c r="N66" s="297"/>
    </row>
    <row r="67" spans="1:14" x14ac:dyDescent="0.25">
      <c r="A67" s="450" t="s">
        <v>715</v>
      </c>
      <c r="B67" s="450" t="s">
        <v>1149</v>
      </c>
      <c r="C67" s="431" t="s">
        <v>1199</v>
      </c>
      <c r="D67" s="452">
        <f>[5]CZ_A!D45</f>
        <v>6409.9195558461797</v>
      </c>
      <c r="E67" s="452">
        <f>[5]CZ_A!E45</f>
        <v>5823.0976255661571</v>
      </c>
      <c r="F67" s="452">
        <f>[5]CZ_A!F45</f>
        <v>5985.5720942227108</v>
      </c>
      <c r="G67" s="452">
        <f>[5]CZ_A!G45</f>
        <v>5371.3541387891219</v>
      </c>
      <c r="H67" s="452">
        <f>IF(G67+([6]CZ_A!H45-[6]CZ_A!G45)&gt;=0,G67+([6]CZ_A!H45-[6]CZ_A!G45),0)</f>
        <v>5088.0621276819193</v>
      </c>
      <c r="I67" s="452">
        <f>IF(H67+([6]CZ_A!I45-[6]CZ_A!H45)&gt;=0,H67+([6]CZ_A!I45-[6]CZ_A!H45),0)</f>
        <v>4869.1443371052546</v>
      </c>
      <c r="J67" s="452">
        <f>IF(I67+([6]CZ_A!J45-[6]CZ_A!I45)&gt;=0,I67+([6]CZ_A!J45-[6]CZ_A!I45),0)</f>
        <v>4610.340968723136</v>
      </c>
      <c r="K67" s="452">
        <f>IF(J67+([6]CZ_A!K45-[6]CZ_A!J45)&gt;=0,J67+([6]CZ_A!K45-[6]CZ_A!J45),0)</f>
        <v>4433.936935321377</v>
      </c>
      <c r="L67" s="448" t="s">
        <v>1200</v>
      </c>
      <c r="M67" s="448" t="s">
        <v>1201</v>
      </c>
      <c r="N67" s="297"/>
    </row>
    <row r="68" spans="1:14" x14ac:dyDescent="0.25">
      <c r="A68" s="450" t="s">
        <v>432</v>
      </c>
      <c r="B68" s="450" t="s">
        <v>1149</v>
      </c>
      <c r="C68" s="431" t="s">
        <v>1199</v>
      </c>
      <c r="D68" s="452">
        <f>[5]CZ_A!D46</f>
        <v>5298.5598659146217</v>
      </c>
      <c r="E68" s="452">
        <f>[5]CZ_A!E46</f>
        <v>4966.5368667020448</v>
      </c>
      <c r="F68" s="452">
        <f>[5]CZ_A!F46</f>
        <v>5218.5799780071175</v>
      </c>
      <c r="G68" s="452">
        <f>[5]CZ_A!G46</f>
        <v>4378.5394201458048</v>
      </c>
      <c r="H68" s="452">
        <f>IF(G68+([6]CZ_A!H46-[6]CZ_A!G46)&gt;=0,G68+([6]CZ_A!H46-[6]CZ_A!G46),0)</f>
        <v>4203.9261908995049</v>
      </c>
      <c r="I68" s="452">
        <f>IF(H68+([6]CZ_A!I46-[6]CZ_A!H46)&gt;=0,H68+([6]CZ_A!I46-[6]CZ_A!H46),0)</f>
        <v>4141.6383113612419</v>
      </c>
      <c r="J68" s="452">
        <f>IF(I68+([6]CZ_A!J46-[6]CZ_A!I46)&gt;=0,I68+([6]CZ_A!J46-[6]CZ_A!I46),0)</f>
        <v>4237.9760366684568</v>
      </c>
      <c r="K68" s="452">
        <f>IF(J68+([6]CZ_A!K46-[6]CZ_A!J46)&gt;=0,J68+([6]CZ_A!K46-[6]CZ_A!J46),0)</f>
        <v>4234.6789874922615</v>
      </c>
      <c r="L68" s="448" t="s">
        <v>1200</v>
      </c>
      <c r="M68" s="448" t="s">
        <v>1201</v>
      </c>
      <c r="N68" s="297"/>
    </row>
    <row r="69" spans="1:14" x14ac:dyDescent="0.25">
      <c r="A69" s="297" t="s">
        <v>835</v>
      </c>
      <c r="B69" s="450" t="s">
        <v>1149</v>
      </c>
      <c r="C69" s="431" t="s">
        <v>1199</v>
      </c>
      <c r="D69" s="452">
        <f>[5]CZ_A!D48</f>
        <v>2075.5436363662893</v>
      </c>
      <c r="E69" s="452">
        <f>[5]CZ_A!E48</f>
        <v>1946.3296538490479</v>
      </c>
      <c r="F69" s="452">
        <f>[5]CZ_A!F48</f>
        <v>2328.3807114479046</v>
      </c>
      <c r="G69" s="452">
        <f>[5]CZ_A!G48</f>
        <v>2259.423587812023</v>
      </c>
      <c r="H69" s="452">
        <f>IF(G69+([6]CZ_A!H48-[6]CZ_A!G48)&gt;=0,G69+([6]CZ_A!H48-[6]CZ_A!G48),0)</f>
        <v>2286.6577485547987</v>
      </c>
      <c r="I69" s="452">
        <f>IF(H69+([6]CZ_A!I48-[6]CZ_A!H48)&gt;=0,H69+([6]CZ_A!I48-[6]CZ_A!H48),0)</f>
        <v>2283.2221960821848</v>
      </c>
      <c r="J69" s="452">
        <f>IF(I69+([6]CZ_A!J48-[6]CZ_A!I48)&gt;=0,I69+([6]CZ_A!J48-[6]CZ_A!I48),0)</f>
        <v>2182.9924169472706</v>
      </c>
      <c r="K69" s="452">
        <f>IF(J69+([6]CZ_A!K48-[6]CZ_A!J48)&gt;=0,J69+([6]CZ_A!K48-[6]CZ_A!J48),0)</f>
        <v>2168.5670526933368</v>
      </c>
      <c r="L69" s="448" t="s">
        <v>1200</v>
      </c>
      <c r="M69" s="448" t="s">
        <v>1201</v>
      </c>
      <c r="N69" s="297"/>
    </row>
    <row r="70" spans="1:14" x14ac:dyDescent="0.25">
      <c r="A70" s="431" t="s">
        <v>711</v>
      </c>
      <c r="B70" s="450" t="s">
        <v>1149</v>
      </c>
      <c r="C70" s="431" t="s">
        <v>1199</v>
      </c>
      <c r="D70" s="452">
        <f>[5]CZ_A!D49</f>
        <v>3025.884650644588</v>
      </c>
      <c r="E70" s="452">
        <f>[5]CZ_A!E49</f>
        <v>3550.6992105285226</v>
      </c>
      <c r="F70" s="452">
        <f>[5]CZ_A!F49</f>
        <v>3729.839040651927</v>
      </c>
      <c r="G70" s="452">
        <f>[5]CZ_A!G49</f>
        <v>3738.3408432553133</v>
      </c>
      <c r="H70" s="452">
        <f>IF(G70+([6]CZ_A!H49-[6]CZ_A!G49)&gt;=0,G70+([6]CZ_A!H49-[6]CZ_A!G49),0)</f>
        <v>4063.4467023975403</v>
      </c>
      <c r="I70" s="452">
        <f>IF(H70+([6]CZ_A!I49-[6]CZ_A!H49)&gt;=0,H70+([6]CZ_A!I49-[6]CZ_A!H49),0)</f>
        <v>3967.4560920718232</v>
      </c>
      <c r="J70" s="452">
        <f>IF(I70+([6]CZ_A!J49-[6]CZ_A!I49)&gt;=0,I70+([6]CZ_A!J49-[6]CZ_A!I49),0)</f>
        <v>3731.8088177382924</v>
      </c>
      <c r="K70" s="452">
        <f>IF(J70+([6]CZ_A!K49-[6]CZ_A!J49)&gt;=0,J70+([6]CZ_A!K49-[6]CZ_A!J49),0)</f>
        <v>3637.9719317984959</v>
      </c>
      <c r="L70" s="448" t="s">
        <v>1200</v>
      </c>
      <c r="M70" s="448" t="s">
        <v>1201</v>
      </c>
      <c r="N70" s="297"/>
    </row>
    <row r="71" spans="1:14" x14ac:dyDescent="0.25">
      <c r="A71" s="450" t="s">
        <v>836</v>
      </c>
      <c r="B71" s="450" t="s">
        <v>1149</v>
      </c>
      <c r="C71" s="431" t="s">
        <v>1199</v>
      </c>
      <c r="D71" s="452">
        <f>[5]CZ_A!D47</f>
        <v>4689.3430071064868</v>
      </c>
      <c r="E71" s="452">
        <f>[5]CZ_A!E47</f>
        <v>4462.7411410777249</v>
      </c>
      <c r="F71" s="452">
        <f>[5]CZ_A!F47</f>
        <v>4985.3302137815999</v>
      </c>
      <c r="G71" s="452">
        <f>[5]CZ_A!G47</f>
        <v>5606.8969350458383</v>
      </c>
      <c r="H71" s="452">
        <f>IF(G71+([6]CZ_A!H47-[6]CZ_A!G47)&gt;=0,G71+([6]CZ_A!H47-[6]CZ_A!G47),0)</f>
        <v>5883.7873158011016</v>
      </c>
      <c r="I71" s="452">
        <f>IF(H71+([6]CZ_A!I47-[6]CZ_A!H47)&gt;=0,H71+([6]CZ_A!I47-[6]CZ_A!H47),0)</f>
        <v>6197.7397235763938</v>
      </c>
      <c r="J71" s="452">
        <f>IF(I71+([6]CZ_A!J47-[6]CZ_A!I47)&gt;=0,I71+([6]CZ_A!J47-[6]CZ_A!I47),0)</f>
        <v>6512.539061079201</v>
      </c>
      <c r="K71" s="452">
        <f>IF(J71+([6]CZ_A!K47-[6]CZ_A!J47)&gt;=0,J71+([6]CZ_A!K47-[6]CZ_A!J47),0)</f>
        <v>6763.4830982896892</v>
      </c>
      <c r="L71" s="448" t="s">
        <v>1200</v>
      </c>
      <c r="M71" s="448" t="s">
        <v>1201</v>
      </c>
      <c r="N71" s="297"/>
    </row>
    <row r="72" spans="1:14" x14ac:dyDescent="0.25">
      <c r="A72" s="373" t="s">
        <v>1157</v>
      </c>
      <c r="B72" s="453"/>
      <c r="C72" s="431" t="s">
        <v>1199</v>
      </c>
      <c r="D72" s="441">
        <f>SUM(D66:D71)</f>
        <v>23064.057220138235</v>
      </c>
      <c r="E72" s="441">
        <f t="shared" ref="E72:K72" si="38">SUM(E66:E71)</f>
        <v>22058.224335805116</v>
      </c>
      <c r="F72" s="441">
        <f t="shared" si="38"/>
        <v>23271.924301312407</v>
      </c>
      <c r="G72" s="441">
        <f t="shared" si="38"/>
        <v>21804.882738562632</v>
      </c>
      <c r="H72" s="441">
        <f t="shared" si="38"/>
        <v>21543.974859298625</v>
      </c>
      <c r="I72" s="441">
        <f t="shared" si="38"/>
        <v>21459.200660196897</v>
      </c>
      <c r="J72" s="441">
        <f t="shared" si="38"/>
        <v>21275.657301156356</v>
      </c>
      <c r="K72" s="441">
        <f t="shared" si="38"/>
        <v>21238.638005595159</v>
      </c>
      <c r="L72" s="448" t="s">
        <v>1200</v>
      </c>
      <c r="M72" s="448" t="s">
        <v>1201</v>
      </c>
      <c r="N72" s="297"/>
    </row>
    <row r="73" spans="1:14" x14ac:dyDescent="0.25">
      <c r="C73" s="2"/>
    </row>
    <row r="74" spans="1:14" x14ac:dyDescent="0.25">
      <c r="C74" s="2"/>
    </row>
    <row r="75" spans="1:14" x14ac:dyDescent="0.25">
      <c r="C75" s="2"/>
    </row>
    <row r="76" spans="1:14" x14ac:dyDescent="0.25">
      <c r="C76" s="2"/>
    </row>
    <row r="77" spans="1:14" x14ac:dyDescent="0.25">
      <c r="C77" s="2"/>
    </row>
    <row r="78" spans="1:14" x14ac:dyDescent="0.25">
      <c r="C78" s="2"/>
    </row>
  </sheetData>
  <mergeCells count="5">
    <mergeCell ref="N4:N9"/>
    <mergeCell ref="N11:N16"/>
    <mergeCell ref="N30:N32"/>
    <mergeCell ref="N25:N28"/>
    <mergeCell ref="N18:N23"/>
  </mergeCells>
  <pageMargins left="0.7" right="0.7" top="0.78740157499999996" bottom="0.78740157499999996" header="0.3" footer="0.3"/>
  <pageSetup paperSize="9" orientation="portrait" verticalDpi="0"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8"/>
  <sheetViews>
    <sheetView tabSelected="1" zoomScale="75" zoomScaleNormal="75" workbookViewId="0">
      <pane xSplit="3" ySplit="1" topLeftCell="D2" activePane="bottomRight" state="frozen"/>
      <selection pane="topRight" activeCell="D1" sqref="D1"/>
      <selection pane="bottomLeft" activeCell="A2" sqref="A2"/>
      <selection pane="bottomRight" activeCell="D4" sqref="D4"/>
    </sheetView>
  </sheetViews>
  <sheetFormatPr defaultColWidth="8.25" defaultRowHeight="15" x14ac:dyDescent="0.25"/>
  <cols>
    <col min="1" max="1" width="94.25" style="118" bestFit="1" customWidth="1"/>
    <col min="2" max="2" width="14.625" style="118" customWidth="1"/>
    <col min="3" max="3" width="21.125" style="118" customWidth="1"/>
    <col min="4" max="11" width="10.25" style="15" customWidth="1"/>
    <col min="12" max="14" width="50" style="15" customWidth="1"/>
    <col min="15" max="16384" width="8.25" style="15"/>
  </cols>
  <sheetData>
    <row r="1" spans="1:14" x14ac:dyDescent="0.25">
      <c r="A1" s="387" t="s">
        <v>0</v>
      </c>
      <c r="B1" s="387" t="s">
        <v>1</v>
      </c>
      <c r="C1" s="387" t="s">
        <v>1147</v>
      </c>
      <c r="D1" s="373" t="s">
        <v>1148</v>
      </c>
      <c r="E1" s="297"/>
      <c r="F1" s="297"/>
      <c r="G1" s="297"/>
      <c r="H1" s="297"/>
      <c r="I1" s="297"/>
      <c r="J1" s="297"/>
      <c r="K1" s="297"/>
      <c r="L1" s="373" t="s">
        <v>1146</v>
      </c>
      <c r="M1" s="373" t="s">
        <v>1145</v>
      </c>
      <c r="N1" s="373" t="s">
        <v>1177</v>
      </c>
    </row>
    <row r="2" spans="1:14" x14ac:dyDescent="0.25">
      <c r="A2" s="387" t="s">
        <v>1057</v>
      </c>
      <c r="B2" s="387"/>
      <c r="C2" s="387"/>
      <c r="D2" s="439" t="s">
        <v>1172</v>
      </c>
      <c r="E2" s="288" t="s">
        <v>1175</v>
      </c>
      <c r="F2" s="297"/>
      <c r="G2" s="297"/>
      <c r="H2" s="297"/>
      <c r="I2" s="297"/>
      <c r="J2" s="297"/>
      <c r="K2" s="297"/>
      <c r="L2" s="429"/>
      <c r="M2" s="431"/>
      <c r="N2" s="431"/>
    </row>
    <row r="3" spans="1:14" x14ac:dyDescent="0.25">
      <c r="A3" s="375" t="s">
        <v>914</v>
      </c>
      <c r="B3" s="375"/>
      <c r="C3" s="375"/>
      <c r="D3" s="376" t="s">
        <v>1129</v>
      </c>
      <c r="E3" s="376" t="s">
        <v>1130</v>
      </c>
      <c r="F3" s="376" t="s">
        <v>1131</v>
      </c>
      <c r="G3" s="376" t="s">
        <v>1132</v>
      </c>
      <c r="H3" s="376" t="s">
        <v>1133</v>
      </c>
      <c r="I3" s="376" t="s">
        <v>1134</v>
      </c>
      <c r="J3" s="376" t="s">
        <v>1135</v>
      </c>
      <c r="K3" s="376" t="s">
        <v>1136</v>
      </c>
      <c r="L3" s="373"/>
      <c r="M3" s="373"/>
      <c r="N3" s="373"/>
    </row>
    <row r="4" spans="1:14" x14ac:dyDescent="0.25">
      <c r="A4" s="15" t="s">
        <v>1037</v>
      </c>
      <c r="B4" s="2" t="s">
        <v>730</v>
      </c>
      <c r="C4" s="288" t="s">
        <v>1160</v>
      </c>
      <c r="D4" s="436">
        <f>100%*D$7</f>
        <v>1</v>
      </c>
      <c r="E4" s="437">
        <f t="shared" ref="E4:E9" si="0">D4+(F4-D4)/2</f>
        <v>1</v>
      </c>
      <c r="F4" s="436">
        <f>100%*F$7</f>
        <v>1</v>
      </c>
      <c r="G4" s="437">
        <f>F4+(I4-F4)/3</f>
        <v>1.0414201183431953</v>
      </c>
      <c r="H4" s="437">
        <f>F4+2*(I4-F4)/3</f>
        <v>1.0828402366863905</v>
      </c>
      <c r="I4" s="436">
        <f>100%*I$7</f>
        <v>1.1242603550295858</v>
      </c>
      <c r="J4" s="427">
        <f>I4+(K4-I4)/2</f>
        <v>1.1331360946745561</v>
      </c>
      <c r="K4" s="436">
        <f>100%*K$7</f>
        <v>1.1420118343195267</v>
      </c>
      <c r="L4" s="15" t="s">
        <v>1159</v>
      </c>
      <c r="M4" s="15" t="s">
        <v>1159</v>
      </c>
      <c r="N4" s="476" t="s">
        <v>1162</v>
      </c>
    </row>
    <row r="5" spans="1:14" x14ac:dyDescent="0.25">
      <c r="A5" s="15" t="s">
        <v>1038</v>
      </c>
      <c r="B5" s="2" t="s">
        <v>731</v>
      </c>
      <c r="C5" s="288" t="s">
        <v>1160</v>
      </c>
      <c r="D5" s="436">
        <f>0%*D$7</f>
        <v>0</v>
      </c>
      <c r="E5" s="437">
        <f t="shared" si="0"/>
        <v>0</v>
      </c>
      <c r="F5" s="436">
        <f>0%*F$7</f>
        <v>0</v>
      </c>
      <c r="G5" s="437">
        <f t="shared" ref="G5:G6" si="1">F5+(I5-F5)/3</f>
        <v>0</v>
      </c>
      <c r="H5" s="437">
        <f t="shared" ref="H5:H6" si="2">F5+2*(I5-F5)/3</f>
        <v>0</v>
      </c>
      <c r="I5" s="436">
        <f>0%*I$7</f>
        <v>0</v>
      </c>
      <c r="J5" s="427">
        <f t="shared" ref="J5:J6" si="3">I5+(K5-I5)/2</f>
        <v>0</v>
      </c>
      <c r="K5" s="436">
        <f>0%*K$7</f>
        <v>0</v>
      </c>
      <c r="L5" s="15" t="s">
        <v>1159</v>
      </c>
      <c r="M5" s="15" t="s">
        <v>1159</v>
      </c>
      <c r="N5" s="477"/>
    </row>
    <row r="6" spans="1:14" x14ac:dyDescent="0.25">
      <c r="A6" s="15" t="s">
        <v>1039</v>
      </c>
      <c r="B6" s="2" t="s">
        <v>746</v>
      </c>
      <c r="C6" s="288" t="s">
        <v>1160</v>
      </c>
      <c r="D6" s="436">
        <f>0%*D$7</f>
        <v>0</v>
      </c>
      <c r="E6" s="437">
        <f t="shared" si="0"/>
        <v>0</v>
      </c>
      <c r="F6" s="436">
        <f>0%*F$7</f>
        <v>0</v>
      </c>
      <c r="G6" s="437">
        <f t="shared" si="1"/>
        <v>0</v>
      </c>
      <c r="H6" s="437">
        <f t="shared" si="2"/>
        <v>0</v>
      </c>
      <c r="I6" s="436">
        <f>0%*I$7</f>
        <v>0</v>
      </c>
      <c r="J6" s="427">
        <f t="shared" si="3"/>
        <v>0</v>
      </c>
      <c r="K6" s="436">
        <f>0%*K$7</f>
        <v>0</v>
      </c>
      <c r="L6" s="15" t="s">
        <v>1159</v>
      </c>
      <c r="M6" s="15" t="s">
        <v>1159</v>
      </c>
      <c r="N6" s="477"/>
    </row>
    <row r="7" spans="1:14" x14ac:dyDescent="0.25">
      <c r="A7" s="24" t="s">
        <v>1105</v>
      </c>
      <c r="B7" s="2"/>
      <c r="C7" s="288" t="s">
        <v>1158</v>
      </c>
      <c r="D7" s="435">
        <f>169/169</f>
        <v>1</v>
      </c>
      <c r="E7" s="438">
        <f t="shared" si="0"/>
        <v>1</v>
      </c>
      <c r="F7" s="435">
        <f>169/169</f>
        <v>1</v>
      </c>
      <c r="G7" s="440">
        <f>F7+(I7-F7)/3</f>
        <v>1.0414201183431953</v>
      </c>
      <c r="H7" s="440">
        <f>F7+2*(I7-F7)/3</f>
        <v>1.0828402366863905</v>
      </c>
      <c r="I7" s="435">
        <f>190/169</f>
        <v>1.1242603550295858</v>
      </c>
      <c r="J7" s="438">
        <f>I7+(K7-I7)/2</f>
        <v>1.1331360946745561</v>
      </c>
      <c r="K7" s="435">
        <f>193/169</f>
        <v>1.1420118343195267</v>
      </c>
      <c r="L7" s="15" t="s">
        <v>1161</v>
      </c>
      <c r="M7" s="15" t="s">
        <v>1161</v>
      </c>
      <c r="N7" s="477"/>
    </row>
    <row r="8" spans="1:14" x14ac:dyDescent="0.25">
      <c r="A8" s="15" t="s">
        <v>1040</v>
      </c>
      <c r="B8" s="2" t="s">
        <v>166</v>
      </c>
      <c r="C8" s="288" t="s">
        <v>1160</v>
      </c>
      <c r="D8" s="436">
        <f>100%*D$9</f>
        <v>1</v>
      </c>
      <c r="E8" s="427">
        <f t="shared" si="0"/>
        <v>1</v>
      </c>
      <c r="F8" s="436">
        <f t="shared" ref="F8:K8" si="4">100%*F$9</f>
        <v>1</v>
      </c>
      <c r="G8" s="437">
        <f>F8+(I8-F8)/3</f>
        <v>1.0414201183431953</v>
      </c>
      <c r="H8" s="437">
        <f>F8+2*(I8-F8)/3</f>
        <v>1.0828402366863905</v>
      </c>
      <c r="I8" s="436">
        <f t="shared" si="4"/>
        <v>1.1242603550295858</v>
      </c>
      <c r="J8" s="427">
        <f>I8+(K8-I8)/2</f>
        <v>1.1331360946745561</v>
      </c>
      <c r="K8" s="436">
        <f t="shared" si="4"/>
        <v>1.1420118343195267</v>
      </c>
      <c r="L8" s="15" t="s">
        <v>1159</v>
      </c>
      <c r="M8" s="15" t="s">
        <v>1159</v>
      </c>
      <c r="N8" s="477"/>
    </row>
    <row r="9" spans="1:14" x14ac:dyDescent="0.25">
      <c r="A9" s="24" t="s">
        <v>1101</v>
      </c>
      <c r="B9" s="2"/>
      <c r="C9" s="288" t="s">
        <v>1158</v>
      </c>
      <c r="D9" s="435">
        <f>169/169</f>
        <v>1</v>
      </c>
      <c r="E9" s="438">
        <f t="shared" si="0"/>
        <v>1</v>
      </c>
      <c r="F9" s="435">
        <f>169/169</f>
        <v>1</v>
      </c>
      <c r="G9" s="440">
        <f>F9+(I9-F9)/3</f>
        <v>1.0414201183431953</v>
      </c>
      <c r="H9" s="440">
        <f>F9+2*(I9-F9)/3</f>
        <v>1.0828402366863905</v>
      </c>
      <c r="I9" s="435">
        <f>190/169</f>
        <v>1.1242603550295858</v>
      </c>
      <c r="J9" s="438">
        <f>I9+(K9-I9)/2</f>
        <v>1.1331360946745561</v>
      </c>
      <c r="K9" s="435">
        <f>193/169</f>
        <v>1.1420118343195267</v>
      </c>
      <c r="L9" s="15" t="s">
        <v>1161</v>
      </c>
      <c r="M9" s="15" t="s">
        <v>1161</v>
      </c>
      <c r="N9" s="477"/>
    </row>
    <row r="10" spans="1:14" x14ac:dyDescent="0.25">
      <c r="A10" s="373" t="s">
        <v>917</v>
      </c>
      <c r="B10" s="373"/>
      <c r="C10" s="373"/>
      <c r="D10" s="376" t="s">
        <v>1129</v>
      </c>
      <c r="E10" s="376" t="s">
        <v>1130</v>
      </c>
      <c r="F10" s="376" t="s">
        <v>1131</v>
      </c>
      <c r="G10" s="376" t="s">
        <v>1132</v>
      </c>
      <c r="H10" s="376" t="s">
        <v>1133</v>
      </c>
      <c r="I10" s="376" t="s">
        <v>1134</v>
      </c>
      <c r="J10" s="376" t="s">
        <v>1135</v>
      </c>
      <c r="K10" s="376" t="s">
        <v>1136</v>
      </c>
      <c r="L10" s="297"/>
      <c r="M10" s="297"/>
      <c r="N10" s="297"/>
    </row>
    <row r="11" spans="1:14" x14ac:dyDescent="0.25">
      <c r="A11" s="15" t="s">
        <v>1041</v>
      </c>
      <c r="B11" s="2" t="s">
        <v>735</v>
      </c>
      <c r="C11" s="288" t="s">
        <v>1160</v>
      </c>
      <c r="D11" s="436">
        <f>100%*D$14</f>
        <v>1</v>
      </c>
      <c r="E11" s="437">
        <f t="shared" ref="E11:E16" si="5">D11+(K11-D11)/7</f>
        <v>1.0145423438836612</v>
      </c>
      <c r="F11" s="437">
        <f t="shared" ref="F11:F16" si="6">D11+2*(K11-D11)/7</f>
        <v>1.0290846877673225</v>
      </c>
      <c r="G11" s="437">
        <f t="shared" ref="G11:G16" si="7">D11+3*(K11-D11)/7</f>
        <v>1.0436270316509837</v>
      </c>
      <c r="H11" s="437">
        <f t="shared" ref="H11:H16" si="8">D11+4*(K11-D11)/7</f>
        <v>1.0581693755346451</v>
      </c>
      <c r="I11" s="437">
        <f t="shared" ref="I11:I16" si="9">D11+5*(K11-D11)/7</f>
        <v>1.0727117194183062</v>
      </c>
      <c r="J11" s="437">
        <f t="shared" ref="J11:J16" si="10">D11+6*(K11-D11)/7</f>
        <v>1.0872540633019676</v>
      </c>
      <c r="K11" s="436">
        <f>100%*K$14</f>
        <v>1.1017964071856288</v>
      </c>
      <c r="L11" s="20" t="s">
        <v>1023</v>
      </c>
      <c r="M11" s="20" t="s">
        <v>1179</v>
      </c>
      <c r="N11" s="476" t="s">
        <v>1178</v>
      </c>
    </row>
    <row r="12" spans="1:14" x14ac:dyDescent="0.25">
      <c r="A12" s="15" t="s">
        <v>1042</v>
      </c>
      <c r="B12" s="2" t="s">
        <v>736</v>
      </c>
      <c r="C12" s="288" t="s">
        <v>1160</v>
      </c>
      <c r="D12" s="436">
        <f>0%*D$14</f>
        <v>0</v>
      </c>
      <c r="E12" s="437">
        <f t="shared" si="5"/>
        <v>0</v>
      </c>
      <c r="F12" s="437">
        <f t="shared" si="6"/>
        <v>0</v>
      </c>
      <c r="G12" s="437">
        <f t="shared" si="7"/>
        <v>0</v>
      </c>
      <c r="H12" s="437">
        <f t="shared" si="8"/>
        <v>0</v>
      </c>
      <c r="I12" s="437">
        <f t="shared" si="9"/>
        <v>0</v>
      </c>
      <c r="J12" s="437">
        <f t="shared" si="10"/>
        <v>0</v>
      </c>
      <c r="K12" s="436">
        <f>0%*K$14</f>
        <v>0</v>
      </c>
      <c r="L12" s="20" t="s">
        <v>1023</v>
      </c>
      <c r="M12" s="20" t="s">
        <v>1179</v>
      </c>
      <c r="N12" s="477"/>
    </row>
    <row r="13" spans="1:14" x14ac:dyDescent="0.25">
      <c r="A13" s="15" t="s">
        <v>1043</v>
      </c>
      <c r="B13" s="2" t="s">
        <v>744</v>
      </c>
      <c r="C13" s="288" t="s">
        <v>1160</v>
      </c>
      <c r="D13" s="436">
        <f>0%*D$14</f>
        <v>0</v>
      </c>
      <c r="E13" s="437">
        <f t="shared" si="5"/>
        <v>0</v>
      </c>
      <c r="F13" s="437">
        <f t="shared" si="6"/>
        <v>0</v>
      </c>
      <c r="G13" s="437">
        <f t="shared" si="7"/>
        <v>0</v>
      </c>
      <c r="H13" s="437">
        <f t="shared" si="8"/>
        <v>0</v>
      </c>
      <c r="I13" s="437">
        <f t="shared" si="9"/>
        <v>0</v>
      </c>
      <c r="J13" s="437">
        <f t="shared" si="10"/>
        <v>0</v>
      </c>
      <c r="K13" s="436">
        <f>0%*K$14</f>
        <v>0</v>
      </c>
      <c r="L13" s="20" t="s">
        <v>1023</v>
      </c>
      <c r="M13" s="20" t="s">
        <v>1179</v>
      </c>
      <c r="N13" s="477"/>
    </row>
    <row r="14" spans="1:14" x14ac:dyDescent="0.25">
      <c r="A14" s="19" t="s">
        <v>1155</v>
      </c>
      <c r="B14" s="2"/>
      <c r="C14" s="288" t="s">
        <v>1158</v>
      </c>
      <c r="D14" s="435">
        <f>167/167</f>
        <v>1</v>
      </c>
      <c r="E14" s="440">
        <f t="shared" si="5"/>
        <v>1.0145423438836612</v>
      </c>
      <c r="F14" s="440">
        <f t="shared" si="6"/>
        <v>1.0290846877673225</v>
      </c>
      <c r="G14" s="440">
        <f t="shared" si="7"/>
        <v>1.0436270316509837</v>
      </c>
      <c r="H14" s="440">
        <f t="shared" si="8"/>
        <v>1.0581693755346451</v>
      </c>
      <c r="I14" s="440">
        <f t="shared" si="9"/>
        <v>1.0727117194183062</v>
      </c>
      <c r="J14" s="440">
        <f t="shared" si="10"/>
        <v>1.0872540633019676</v>
      </c>
      <c r="K14" s="435">
        <f>184/167</f>
        <v>1.1017964071856288</v>
      </c>
      <c r="L14" s="15" t="s">
        <v>1197</v>
      </c>
      <c r="M14" s="15" t="s">
        <v>1197</v>
      </c>
      <c r="N14" s="477"/>
    </row>
    <row r="15" spans="1:14" x14ac:dyDescent="0.25">
      <c r="A15" s="15" t="s">
        <v>161</v>
      </c>
      <c r="B15" s="2" t="s">
        <v>160</v>
      </c>
      <c r="C15" s="288" t="s">
        <v>1160</v>
      </c>
      <c r="D15" s="436">
        <f>100%*D$16</f>
        <v>1</v>
      </c>
      <c r="E15" s="437">
        <f t="shared" si="5"/>
        <v>1.0145423438836612</v>
      </c>
      <c r="F15" s="437">
        <f t="shared" si="6"/>
        <v>1.0290846877673225</v>
      </c>
      <c r="G15" s="437">
        <f t="shared" si="7"/>
        <v>1.0436270316509837</v>
      </c>
      <c r="H15" s="437">
        <f t="shared" si="8"/>
        <v>1.0581693755346451</v>
      </c>
      <c r="I15" s="437">
        <f t="shared" si="9"/>
        <v>1.0727117194183062</v>
      </c>
      <c r="J15" s="437">
        <f t="shared" si="10"/>
        <v>1.0872540633019676</v>
      </c>
      <c r="K15" s="436">
        <f>100%*K$16</f>
        <v>1.1017964071856288</v>
      </c>
      <c r="L15" s="20" t="s">
        <v>1179</v>
      </c>
      <c r="M15" s="20" t="s">
        <v>1179</v>
      </c>
      <c r="N15" s="477"/>
    </row>
    <row r="16" spans="1:14" x14ac:dyDescent="0.25">
      <c r="A16" s="19" t="s">
        <v>1155</v>
      </c>
      <c r="B16" s="2"/>
      <c r="C16" s="288" t="s">
        <v>1158</v>
      </c>
      <c r="D16" s="435">
        <f>167/167</f>
        <v>1</v>
      </c>
      <c r="E16" s="440">
        <f t="shared" si="5"/>
        <v>1.0145423438836612</v>
      </c>
      <c r="F16" s="440">
        <f t="shared" si="6"/>
        <v>1.0290846877673225</v>
      </c>
      <c r="G16" s="440">
        <f t="shared" si="7"/>
        <v>1.0436270316509837</v>
      </c>
      <c r="H16" s="440">
        <f t="shared" si="8"/>
        <v>1.0581693755346451</v>
      </c>
      <c r="I16" s="440">
        <f t="shared" si="9"/>
        <v>1.0727117194183062</v>
      </c>
      <c r="J16" s="440">
        <f t="shared" si="10"/>
        <v>1.0872540633019676</v>
      </c>
      <c r="K16" s="435">
        <f>184/167</f>
        <v>1.1017964071856288</v>
      </c>
      <c r="L16" s="15" t="s">
        <v>1197</v>
      </c>
      <c r="M16" s="15" t="s">
        <v>1197</v>
      </c>
      <c r="N16" s="477"/>
    </row>
    <row r="17" spans="1:14" x14ac:dyDescent="0.25">
      <c r="A17" s="373" t="s">
        <v>1054</v>
      </c>
      <c r="B17" s="373"/>
      <c r="C17" s="373"/>
      <c r="D17" s="376" t="s">
        <v>1129</v>
      </c>
      <c r="E17" s="376" t="s">
        <v>1130</v>
      </c>
      <c r="F17" s="376" t="s">
        <v>1131</v>
      </c>
      <c r="G17" s="376" t="s">
        <v>1132</v>
      </c>
      <c r="H17" s="376" t="s">
        <v>1133</v>
      </c>
      <c r="I17" s="376" t="s">
        <v>1134</v>
      </c>
      <c r="J17" s="376" t="s">
        <v>1135</v>
      </c>
      <c r="K17" s="376" t="s">
        <v>1136</v>
      </c>
      <c r="L17" s="297"/>
      <c r="M17" s="297"/>
      <c r="N17" s="297"/>
    </row>
    <row r="18" spans="1:14" x14ac:dyDescent="0.25">
      <c r="A18" s="15" t="s">
        <v>1044</v>
      </c>
      <c r="B18" s="2" t="s">
        <v>737</v>
      </c>
      <c r="C18" s="288" t="s">
        <v>1160</v>
      </c>
      <c r="D18" s="436">
        <f>100%*D$21</f>
        <v>1</v>
      </c>
      <c r="E18" s="437">
        <f t="shared" ref="E18:E20" si="11">D18+(K18-D18)/7</f>
        <v>1.0178571428571428</v>
      </c>
      <c r="F18" s="437">
        <f t="shared" ref="F18:F20" si="12">D18+2*(K18-D18)/7</f>
        <v>1.0357142857142858</v>
      </c>
      <c r="G18" s="437">
        <f t="shared" ref="G18:G20" si="13">D18+3*(K18-D18)/7</f>
        <v>1.0535714285714286</v>
      </c>
      <c r="H18" s="437">
        <f t="shared" ref="H18:H20" si="14">D18+4*(K18-D18)/7</f>
        <v>1.0714285714285714</v>
      </c>
      <c r="I18" s="437">
        <f t="shared" ref="I18:I20" si="15">D18+5*(K18-D18)/7</f>
        <v>1.0892857142857142</v>
      </c>
      <c r="J18" s="437">
        <f t="shared" ref="J18:J20" si="16">D18+6*(K18-D18)/7</f>
        <v>1.1071428571428572</v>
      </c>
      <c r="K18" s="436">
        <f>100%*K$21</f>
        <v>1.125</v>
      </c>
      <c r="L18" s="20" t="s">
        <v>1180</v>
      </c>
      <c r="M18" s="20" t="s">
        <v>1180</v>
      </c>
      <c r="N18" s="476" t="s">
        <v>1178</v>
      </c>
    </row>
    <row r="19" spans="1:14" x14ac:dyDescent="0.25">
      <c r="A19" s="15" t="s">
        <v>1045</v>
      </c>
      <c r="B19" s="2" t="s">
        <v>738</v>
      </c>
      <c r="C19" s="288" t="s">
        <v>1160</v>
      </c>
      <c r="D19" s="436">
        <f>0%*D$21</f>
        <v>0</v>
      </c>
      <c r="E19" s="437">
        <f t="shared" si="11"/>
        <v>0</v>
      </c>
      <c r="F19" s="437">
        <f t="shared" si="12"/>
        <v>0</v>
      </c>
      <c r="G19" s="437">
        <f t="shared" si="13"/>
        <v>0</v>
      </c>
      <c r="H19" s="437">
        <f t="shared" si="14"/>
        <v>0</v>
      </c>
      <c r="I19" s="437">
        <f t="shared" si="15"/>
        <v>0</v>
      </c>
      <c r="J19" s="437">
        <f t="shared" si="16"/>
        <v>0</v>
      </c>
      <c r="K19" s="436">
        <f>0%*K$21</f>
        <v>0</v>
      </c>
      <c r="L19" s="20" t="s">
        <v>1180</v>
      </c>
      <c r="M19" s="20" t="s">
        <v>1180</v>
      </c>
      <c r="N19" s="477"/>
    </row>
    <row r="20" spans="1:14" x14ac:dyDescent="0.25">
      <c r="A20" s="15" t="s">
        <v>1046</v>
      </c>
      <c r="B20" s="2" t="s">
        <v>748</v>
      </c>
      <c r="C20" s="288" t="s">
        <v>1160</v>
      </c>
      <c r="D20" s="436">
        <f>0%*D$21</f>
        <v>0</v>
      </c>
      <c r="E20" s="437">
        <f t="shared" si="11"/>
        <v>0</v>
      </c>
      <c r="F20" s="437">
        <f t="shared" si="12"/>
        <v>0</v>
      </c>
      <c r="G20" s="437">
        <f t="shared" si="13"/>
        <v>0</v>
      </c>
      <c r="H20" s="437">
        <f t="shared" si="14"/>
        <v>0</v>
      </c>
      <c r="I20" s="437">
        <f t="shared" si="15"/>
        <v>0</v>
      </c>
      <c r="J20" s="437">
        <f t="shared" si="16"/>
        <v>0</v>
      </c>
      <c r="K20" s="436">
        <f>0%*K$21</f>
        <v>0</v>
      </c>
      <c r="L20" s="20" t="s">
        <v>1180</v>
      </c>
      <c r="M20" s="20" t="s">
        <v>1180</v>
      </c>
      <c r="N20" s="477"/>
    </row>
    <row r="21" spans="1:14" x14ac:dyDescent="0.25">
      <c r="A21" s="19" t="s">
        <v>1155</v>
      </c>
      <c r="B21" s="2"/>
      <c r="C21" s="288" t="s">
        <v>1158</v>
      </c>
      <c r="D21" s="435">
        <f>64/64</f>
        <v>1</v>
      </c>
      <c r="E21" s="440">
        <f t="shared" ref="E21:E22" si="17">D21+(K21-D21)/7</f>
        <v>1.0178571428571428</v>
      </c>
      <c r="F21" s="440">
        <f t="shared" ref="F21:F22" si="18">D21+2*(K21-D21)/7</f>
        <v>1.0357142857142858</v>
      </c>
      <c r="G21" s="440">
        <f t="shared" ref="G21:G22" si="19">D21+3*(K21-D21)/7</f>
        <v>1.0535714285714286</v>
      </c>
      <c r="H21" s="440">
        <f t="shared" ref="H21:H22" si="20">D21+4*(K21-D21)/7</f>
        <v>1.0714285714285714</v>
      </c>
      <c r="I21" s="440">
        <f t="shared" ref="I21:I22" si="21">D21+5*(K21-D21)/7</f>
        <v>1.0892857142857142</v>
      </c>
      <c r="J21" s="440">
        <f t="shared" ref="J21:J22" si="22">D21+6*(K21-D21)/7</f>
        <v>1.1071428571428572</v>
      </c>
      <c r="K21" s="435">
        <f>72/64</f>
        <v>1.125</v>
      </c>
      <c r="L21" s="20" t="s">
        <v>1181</v>
      </c>
      <c r="M21" s="20" t="s">
        <v>1181</v>
      </c>
      <c r="N21" s="477"/>
    </row>
    <row r="22" spans="1:14" x14ac:dyDescent="0.25">
      <c r="A22" s="15" t="s">
        <v>1047</v>
      </c>
      <c r="B22" s="2" t="s">
        <v>140</v>
      </c>
      <c r="C22" s="288" t="s">
        <v>1160</v>
      </c>
      <c r="D22" s="436">
        <f>100%*D$23</f>
        <v>1</v>
      </c>
      <c r="E22" s="437">
        <f t="shared" si="17"/>
        <v>1.0178571428571428</v>
      </c>
      <c r="F22" s="437">
        <f t="shared" si="18"/>
        <v>1.0357142857142858</v>
      </c>
      <c r="G22" s="437">
        <f t="shared" si="19"/>
        <v>1.0535714285714286</v>
      </c>
      <c r="H22" s="437">
        <f t="shared" si="20"/>
        <v>1.0714285714285714</v>
      </c>
      <c r="I22" s="437">
        <f t="shared" si="21"/>
        <v>1.0892857142857142</v>
      </c>
      <c r="J22" s="437">
        <f t="shared" si="22"/>
        <v>1.1071428571428572</v>
      </c>
      <c r="K22" s="436">
        <f>100%*K$23</f>
        <v>1.125</v>
      </c>
      <c r="L22" s="20" t="s">
        <v>1180</v>
      </c>
      <c r="M22" s="20" t="s">
        <v>1180</v>
      </c>
      <c r="N22" s="477"/>
    </row>
    <row r="23" spans="1:14" x14ac:dyDescent="0.25">
      <c r="A23" s="19" t="s">
        <v>1155</v>
      </c>
      <c r="B23" s="2"/>
      <c r="C23" s="288" t="s">
        <v>1158</v>
      </c>
      <c r="D23" s="435">
        <f>64/64</f>
        <v>1</v>
      </c>
      <c r="E23" s="440">
        <f t="shared" ref="E23" si="23">D23+(K23-D23)/7</f>
        <v>1.0178571428571428</v>
      </c>
      <c r="F23" s="440">
        <f t="shared" ref="F23" si="24">D23+2*(K23-D23)/7</f>
        <v>1.0357142857142858</v>
      </c>
      <c r="G23" s="440">
        <f t="shared" ref="G23" si="25">D23+3*(K23-D23)/7</f>
        <v>1.0535714285714286</v>
      </c>
      <c r="H23" s="440">
        <f t="shared" ref="H23" si="26">D23+4*(K23-D23)/7</f>
        <v>1.0714285714285714</v>
      </c>
      <c r="I23" s="440">
        <f t="shared" ref="I23" si="27">D23+5*(K23-D23)/7</f>
        <v>1.0892857142857142</v>
      </c>
      <c r="J23" s="440">
        <f t="shared" ref="J23" si="28">D23+6*(K23-D23)/7</f>
        <v>1.1071428571428572</v>
      </c>
      <c r="K23" s="435">
        <f>72/64</f>
        <v>1.125</v>
      </c>
      <c r="L23" s="20" t="s">
        <v>1181</v>
      </c>
      <c r="M23" s="20" t="s">
        <v>1181</v>
      </c>
      <c r="N23" s="477"/>
    </row>
    <row r="24" spans="1:14" x14ac:dyDescent="0.25">
      <c r="A24" s="373" t="s">
        <v>1055</v>
      </c>
      <c r="B24" s="373"/>
      <c r="C24" s="373"/>
      <c r="D24" s="376" t="s">
        <v>1129</v>
      </c>
      <c r="E24" s="376" t="s">
        <v>1130</v>
      </c>
      <c r="F24" s="376" t="s">
        <v>1131</v>
      </c>
      <c r="G24" s="376" t="s">
        <v>1132</v>
      </c>
      <c r="H24" s="376" t="s">
        <v>1133</v>
      </c>
      <c r="I24" s="376" t="s">
        <v>1134</v>
      </c>
      <c r="J24" s="376" t="s">
        <v>1135</v>
      </c>
      <c r="K24" s="376" t="s">
        <v>1136</v>
      </c>
      <c r="L24" s="297"/>
      <c r="M24" s="297"/>
      <c r="N24" s="297"/>
    </row>
    <row r="25" spans="1:14" ht="15" customHeight="1" x14ac:dyDescent="0.25">
      <c r="A25" s="15" t="s">
        <v>1049</v>
      </c>
      <c r="B25" s="2" t="s">
        <v>739</v>
      </c>
      <c r="C25" s="288" t="s">
        <v>1160</v>
      </c>
      <c r="D25" s="436">
        <f>100%*D$28</f>
        <v>1</v>
      </c>
      <c r="E25" s="437">
        <f t="shared" ref="E25:E27" si="29">D25+(K25-D25)/7</f>
        <v>0.96296296296296302</v>
      </c>
      <c r="F25" s="437">
        <f t="shared" ref="F25:F27" si="30">D25+2*(K25-D25)/7</f>
        <v>0.92592592592592593</v>
      </c>
      <c r="G25" s="437">
        <f t="shared" ref="G25:G27" si="31">D25+3*(K25-D25)/7</f>
        <v>0.88888888888888895</v>
      </c>
      <c r="H25" s="437">
        <f t="shared" ref="H25:H27" si="32">D25+4*(K25-D25)/7</f>
        <v>0.85185185185185186</v>
      </c>
      <c r="I25" s="437">
        <f t="shared" ref="I25:I27" si="33">D25+5*(K25-D25)/7</f>
        <v>0.81481481481481488</v>
      </c>
      <c r="J25" s="437">
        <f t="shared" ref="J25:J27" si="34">D25+6*(K25-D25)/7</f>
        <v>0.7777777777777779</v>
      </c>
      <c r="K25" s="436">
        <f>100%*K$28</f>
        <v>0.74074074074074081</v>
      </c>
      <c r="L25" s="20" t="s">
        <v>1182</v>
      </c>
      <c r="M25" s="20" t="s">
        <v>1182</v>
      </c>
      <c r="N25" s="478" t="s">
        <v>1186</v>
      </c>
    </row>
    <row r="26" spans="1:14" x14ac:dyDescent="0.25">
      <c r="A26" s="15" t="s">
        <v>1050</v>
      </c>
      <c r="B26" s="2" t="s">
        <v>740</v>
      </c>
      <c r="C26" s="288" t="s">
        <v>1160</v>
      </c>
      <c r="D26" s="436">
        <f>0%*D$28</f>
        <v>0</v>
      </c>
      <c r="E26" s="437">
        <f t="shared" si="29"/>
        <v>0</v>
      </c>
      <c r="F26" s="437">
        <f t="shared" si="30"/>
        <v>0</v>
      </c>
      <c r="G26" s="437">
        <f t="shared" si="31"/>
        <v>0</v>
      </c>
      <c r="H26" s="437">
        <f t="shared" si="32"/>
        <v>0</v>
      </c>
      <c r="I26" s="437">
        <f t="shared" si="33"/>
        <v>0</v>
      </c>
      <c r="J26" s="437">
        <f t="shared" si="34"/>
        <v>0</v>
      </c>
      <c r="K26" s="436">
        <f>0%*K$28</f>
        <v>0</v>
      </c>
      <c r="L26" s="20" t="s">
        <v>1182</v>
      </c>
      <c r="M26" s="20" t="s">
        <v>1182</v>
      </c>
      <c r="N26" s="479"/>
    </row>
    <row r="27" spans="1:14" x14ac:dyDescent="0.25">
      <c r="A27" s="15" t="s">
        <v>1051</v>
      </c>
      <c r="B27" s="2" t="s">
        <v>926</v>
      </c>
      <c r="C27" s="288" t="s">
        <v>1160</v>
      </c>
      <c r="D27" s="436">
        <f>0%*D$28</f>
        <v>0</v>
      </c>
      <c r="E27" s="437">
        <f t="shared" si="29"/>
        <v>0</v>
      </c>
      <c r="F27" s="437">
        <f t="shared" si="30"/>
        <v>0</v>
      </c>
      <c r="G27" s="437">
        <f t="shared" si="31"/>
        <v>0</v>
      </c>
      <c r="H27" s="437">
        <f t="shared" si="32"/>
        <v>0</v>
      </c>
      <c r="I27" s="437">
        <f t="shared" si="33"/>
        <v>0</v>
      </c>
      <c r="J27" s="437">
        <f t="shared" si="34"/>
        <v>0</v>
      </c>
      <c r="K27" s="436">
        <f>0%*K$28</f>
        <v>0</v>
      </c>
      <c r="L27" s="20" t="s">
        <v>1182</v>
      </c>
      <c r="M27" s="20" t="s">
        <v>1182</v>
      </c>
      <c r="N27" s="479"/>
    </row>
    <row r="28" spans="1:14" x14ac:dyDescent="0.25">
      <c r="A28" s="19" t="s">
        <v>1155</v>
      </c>
      <c r="B28" s="2"/>
      <c r="C28" s="288" t="s">
        <v>1158</v>
      </c>
      <c r="D28" s="435">
        <f>16.2/16.2</f>
        <v>1</v>
      </c>
      <c r="E28" s="440">
        <f t="shared" ref="E28" si="35">D28+(K28-D28)/7</f>
        <v>0.96296296296296302</v>
      </c>
      <c r="F28" s="440">
        <f t="shared" ref="F28" si="36">D28+2*(K28-D28)/7</f>
        <v>0.92592592592592593</v>
      </c>
      <c r="G28" s="440">
        <f t="shared" ref="G28" si="37">D28+3*(K28-D28)/7</f>
        <v>0.88888888888888895</v>
      </c>
      <c r="H28" s="440">
        <f t="shared" ref="H28" si="38">D28+4*(K28-D28)/7</f>
        <v>0.85185185185185186</v>
      </c>
      <c r="I28" s="440">
        <f t="shared" ref="I28" si="39">D28+5*(K28-D28)/7</f>
        <v>0.81481481481481488</v>
      </c>
      <c r="J28" s="440">
        <f t="shared" ref="J28" si="40">D28+6*(K28-D28)/7</f>
        <v>0.7777777777777779</v>
      </c>
      <c r="K28" s="435">
        <f>12/16.2</f>
        <v>0.74074074074074081</v>
      </c>
      <c r="L28" s="20" t="s">
        <v>1182</v>
      </c>
      <c r="M28" s="20" t="s">
        <v>1182</v>
      </c>
      <c r="N28" s="479"/>
    </row>
    <row r="29" spans="1:14" x14ac:dyDescent="0.25">
      <c r="A29" s="373" t="s">
        <v>944</v>
      </c>
      <c r="B29" s="373"/>
      <c r="C29" s="373"/>
      <c r="D29" s="376" t="s">
        <v>1129</v>
      </c>
      <c r="E29" s="376" t="s">
        <v>1130</v>
      </c>
      <c r="F29" s="376" t="s">
        <v>1131</v>
      </c>
      <c r="G29" s="376" t="s">
        <v>1132</v>
      </c>
      <c r="H29" s="376" t="s">
        <v>1133</v>
      </c>
      <c r="I29" s="376" t="s">
        <v>1134</v>
      </c>
      <c r="J29" s="376" t="s">
        <v>1135</v>
      </c>
      <c r="K29" s="376" t="s">
        <v>1136</v>
      </c>
      <c r="L29" s="297"/>
      <c r="M29" s="297"/>
      <c r="N29" s="297"/>
    </row>
    <row r="30" spans="1:14" x14ac:dyDescent="0.25">
      <c r="A30" s="15" t="s">
        <v>1052</v>
      </c>
      <c r="B30" s="2" t="s">
        <v>733</v>
      </c>
      <c r="C30" s="15" t="s">
        <v>1173</v>
      </c>
      <c r="D30" s="436">
        <f>99%*D$32</f>
        <v>0.99</v>
      </c>
      <c r="E30" s="436">
        <f>95%*E$32</f>
        <v>0.96064425770308115</v>
      </c>
      <c r="F30" s="437">
        <f>E30+(K30-E30)/6</f>
        <v>0.97128851540616234</v>
      </c>
      <c r="G30" s="437">
        <f>E30+2*(K30-E30)/6</f>
        <v>0.98193277310924365</v>
      </c>
      <c r="H30" s="437">
        <f>E30+3*(K30-E30)/6</f>
        <v>0.99257703081232485</v>
      </c>
      <c r="I30" s="437">
        <f>E30+4*(K30-E30)/6</f>
        <v>1.0032212885154062</v>
      </c>
      <c r="J30" s="437">
        <f>E30+5*(K30-E30)/6</f>
        <v>1.0138655462184873</v>
      </c>
      <c r="K30" s="436">
        <f>95%*K$32</f>
        <v>1.0245098039215685</v>
      </c>
      <c r="L30" s="2" t="s">
        <v>1174</v>
      </c>
      <c r="M30" s="2" t="s">
        <v>1174</v>
      </c>
      <c r="N30" s="476" t="s">
        <v>1176</v>
      </c>
    </row>
    <row r="31" spans="1:14" x14ac:dyDescent="0.25">
      <c r="A31" s="15" t="s">
        <v>1053</v>
      </c>
      <c r="B31" s="2" t="s">
        <v>734</v>
      </c>
      <c r="C31" s="15" t="s">
        <v>1173</v>
      </c>
      <c r="D31" s="436">
        <f>1%*D$32</f>
        <v>0.01</v>
      </c>
      <c r="E31" s="436">
        <f>5%*E$32</f>
        <v>5.0560224089635855E-2</v>
      </c>
      <c r="F31" s="437">
        <f>E31+(K31-E31)/6</f>
        <v>5.1120448179271707E-2</v>
      </c>
      <c r="G31" s="437">
        <f>E31+2*(K31-E31)/6</f>
        <v>5.1680672268907567E-2</v>
      </c>
      <c r="H31" s="437">
        <f>E31+3*(K31-E31)/6</f>
        <v>5.2240896358543419E-2</v>
      </c>
      <c r="I31" s="437">
        <f>E31+4*(K31-E31)/6</f>
        <v>5.2801120448179271E-2</v>
      </c>
      <c r="J31" s="437">
        <f>E31+5*(K31-E31)/6</f>
        <v>5.3361344537815131E-2</v>
      </c>
      <c r="K31" s="436">
        <f>5%*K$32</f>
        <v>5.3921568627450983E-2</v>
      </c>
      <c r="L31" s="2" t="s">
        <v>1174</v>
      </c>
      <c r="M31" s="2" t="s">
        <v>1174</v>
      </c>
      <c r="N31" s="477"/>
    </row>
    <row r="32" spans="1:14" x14ac:dyDescent="0.25">
      <c r="A32" s="19" t="s">
        <v>1155</v>
      </c>
      <c r="B32" s="2"/>
      <c r="C32" s="288" t="s">
        <v>1173</v>
      </c>
      <c r="D32" s="435">
        <f>255/255</f>
        <v>1</v>
      </c>
      <c r="E32" s="440">
        <f>D32+(K32-D32)/7</f>
        <v>1.011204481792717</v>
      </c>
      <c r="F32" s="440">
        <f>D32+2*(K32-D32)/7</f>
        <v>1.0224089635854341</v>
      </c>
      <c r="G32" s="440">
        <f>D32+3*(K32-D32)/7</f>
        <v>1.0336134453781511</v>
      </c>
      <c r="H32" s="440">
        <f>D32+4*(K32-D32)/7</f>
        <v>1.0448179271708684</v>
      </c>
      <c r="I32" s="440">
        <f>D32+5*(K32-D32)/7</f>
        <v>1.0560224089635855</v>
      </c>
      <c r="J32" s="440">
        <f>D32+6*(K32-D32)/7</f>
        <v>1.0672268907563025</v>
      </c>
      <c r="K32" s="435">
        <f>275/255</f>
        <v>1.0784313725490196</v>
      </c>
      <c r="N32" s="477"/>
    </row>
    <row r="33" spans="1:14" s="117" customFormat="1" x14ac:dyDescent="0.25">
      <c r="A33" s="387" t="s">
        <v>637</v>
      </c>
      <c r="B33" s="387"/>
      <c r="C33" s="387"/>
      <c r="D33" s="376" t="s">
        <v>1129</v>
      </c>
      <c r="E33" s="376" t="s">
        <v>1130</v>
      </c>
      <c r="F33" s="376" t="s">
        <v>1131</v>
      </c>
      <c r="G33" s="376" t="s">
        <v>1132</v>
      </c>
      <c r="H33" s="376" t="s">
        <v>1133</v>
      </c>
      <c r="I33" s="376" t="s">
        <v>1134</v>
      </c>
      <c r="J33" s="376" t="s">
        <v>1135</v>
      </c>
      <c r="K33" s="376" t="s">
        <v>1136</v>
      </c>
      <c r="L33" s="376"/>
      <c r="M33" s="376"/>
      <c r="N33" s="376"/>
    </row>
    <row r="34" spans="1:14" x14ac:dyDescent="0.25">
      <c r="A34" s="2" t="s">
        <v>2</v>
      </c>
      <c r="B34" s="2" t="s">
        <v>3</v>
      </c>
      <c r="C34" s="2" t="s">
        <v>1183</v>
      </c>
      <c r="D34" s="442">
        <f>[6]CZ_B!D17</f>
        <v>40229.257287067507</v>
      </c>
      <c r="E34" s="442">
        <f>[6]CZ_B!E17</f>
        <v>32143.489238142418</v>
      </c>
      <c r="F34" s="442">
        <f>[6]CZ_B!F17</f>
        <v>22007.071086226322</v>
      </c>
      <c r="G34" s="442">
        <f>[6]CZ_B!G17</f>
        <v>15699.758090602434</v>
      </c>
      <c r="H34" s="442">
        <f>[6]CZ_B!H17</f>
        <v>14364.679184437155</v>
      </c>
      <c r="I34" s="442">
        <f>[6]CZ_B!I17</f>
        <v>4576.6539586991739</v>
      </c>
      <c r="J34" s="442">
        <f>[6]CZ_B!J17</f>
        <v>1359.7534791796218</v>
      </c>
      <c r="K34" s="442">
        <f>[6]CZ_B!K17</f>
        <v>1243.6320821451591</v>
      </c>
      <c r="L34" s="447" t="s">
        <v>1202</v>
      </c>
      <c r="M34" s="447" t="s">
        <v>1202</v>
      </c>
    </row>
    <row r="35" spans="1:14" x14ac:dyDescent="0.25">
      <c r="A35" s="2" t="s">
        <v>4</v>
      </c>
      <c r="B35" s="2" t="s">
        <v>5</v>
      </c>
      <c r="C35" s="2" t="s">
        <v>1183</v>
      </c>
      <c r="D35" s="442">
        <f>[6]CZ_B!D19</f>
        <v>4064.2092520682891</v>
      </c>
      <c r="E35" s="442">
        <f>[6]CZ_B!E19</f>
        <v>2898.7816430620655</v>
      </c>
      <c r="F35" s="442">
        <f>[6]CZ_B!F19</f>
        <v>2956.0904627133295</v>
      </c>
      <c r="G35" s="442">
        <f>[6]CZ_B!G19</f>
        <v>1690.6061154333354</v>
      </c>
      <c r="H35" s="442">
        <f>[6]CZ_B!H19</f>
        <v>9107.0292089882023</v>
      </c>
      <c r="I35" s="442">
        <f>[6]CZ_B!I19</f>
        <v>14534.224346182084</v>
      </c>
      <c r="J35" s="442">
        <f>[6]CZ_B!J19</f>
        <v>16199.262161090137</v>
      </c>
      <c r="K35" s="442">
        <f>[6]CZ_B!K19</f>
        <v>21406.66548730584</v>
      </c>
      <c r="L35" s="447" t="s">
        <v>1202</v>
      </c>
      <c r="M35" s="447" t="s">
        <v>1202</v>
      </c>
    </row>
    <row r="36" spans="1:14" x14ac:dyDescent="0.25">
      <c r="A36" s="2" t="s">
        <v>6</v>
      </c>
      <c r="B36" s="2" t="s">
        <v>7</v>
      </c>
      <c r="C36" s="2" t="s">
        <v>1183</v>
      </c>
      <c r="D36" s="442">
        <f>[6]CZ_B!D5</f>
        <v>26822.981164016499</v>
      </c>
      <c r="E36" s="442">
        <f>[6]CZ_B!E5</f>
        <v>30109.524669135197</v>
      </c>
      <c r="F36" s="442">
        <f>[6]CZ_B!F5</f>
        <v>31594.407351610909</v>
      </c>
      <c r="G36" s="442">
        <f>[6]CZ_B!G5</f>
        <v>31464.772312468769</v>
      </c>
      <c r="H36" s="442">
        <f>[6]CZ_B!H5</f>
        <v>31215.839363900926</v>
      </c>
      <c r="I36" s="442">
        <f>[6]CZ_B!I5</f>
        <v>38584.187850515897</v>
      </c>
      <c r="J36" s="442">
        <f>[6]CZ_B!J5</f>
        <v>38216.330387064285</v>
      </c>
      <c r="K36" s="442">
        <f>[6]CZ_B!K5</f>
        <v>32807.421924667098</v>
      </c>
      <c r="L36" s="447" t="s">
        <v>1202</v>
      </c>
      <c r="M36" s="447" t="s">
        <v>1202</v>
      </c>
    </row>
    <row r="37" spans="1:14" x14ac:dyDescent="0.25">
      <c r="A37" s="2" t="s">
        <v>8</v>
      </c>
      <c r="B37" s="2" t="s">
        <v>9</v>
      </c>
      <c r="C37" s="2" t="s">
        <v>1183</v>
      </c>
      <c r="D37" s="442">
        <f>[6]CZ_B!D8</f>
        <v>1799.6996555221917</v>
      </c>
      <c r="E37" s="442">
        <f>[6]CZ_B!E8</f>
        <v>2532.3212406356552</v>
      </c>
      <c r="F37" s="442">
        <f>[6]CZ_B!F8</f>
        <v>2355.7903085578823</v>
      </c>
      <c r="G37" s="442">
        <f>[6]CZ_B!G8</f>
        <v>2408.2672057043237</v>
      </c>
      <c r="H37" s="442">
        <f>[6]CZ_B!H8</f>
        <v>2412.5486599564347</v>
      </c>
      <c r="I37" s="442">
        <f>[6]CZ_B!I8</f>
        <v>2460.4478721599421</v>
      </c>
      <c r="J37" s="442">
        <f>[6]CZ_B!J8</f>
        <v>2469.3454987407149</v>
      </c>
      <c r="K37" s="442">
        <f>[6]CZ_B!K8</f>
        <v>2468.8762373396917</v>
      </c>
      <c r="L37" s="447" t="s">
        <v>1202</v>
      </c>
      <c r="M37" s="447" t="s">
        <v>1202</v>
      </c>
    </row>
    <row r="38" spans="1:14" x14ac:dyDescent="0.25">
      <c r="A38" s="2" t="s">
        <v>342</v>
      </c>
      <c r="B38" s="2" t="s">
        <v>336</v>
      </c>
      <c r="C38" s="2" t="s">
        <v>1183</v>
      </c>
      <c r="D38" s="442">
        <f>[6]CZ_B!D12</f>
        <v>563.96620342367009</v>
      </c>
      <c r="E38" s="442">
        <f>[6]CZ_B!E12</f>
        <v>794.9766596809684</v>
      </c>
      <c r="F38" s="442">
        <f>[6]CZ_B!F12</f>
        <v>3233.652753688566</v>
      </c>
      <c r="G38" s="442">
        <f>[6]CZ_B!G12</f>
        <v>3864.5306133934741</v>
      </c>
      <c r="H38" s="442">
        <f>[6]CZ_B!H12</f>
        <v>6506.5248454224038</v>
      </c>
      <c r="I38" s="442">
        <f>[6]CZ_B!I12</f>
        <v>8079.3324013676975</v>
      </c>
      <c r="J38" s="442">
        <f>[6]CZ_B!J12</f>
        <v>9025.1326674642787</v>
      </c>
      <c r="K38" s="442">
        <f>[6]CZ_B!K12</f>
        <v>9502.3614957669852</v>
      </c>
      <c r="L38" s="447" t="s">
        <v>1202</v>
      </c>
      <c r="M38" s="447" t="s">
        <v>1202</v>
      </c>
    </row>
    <row r="39" spans="1:14" x14ac:dyDescent="0.25">
      <c r="A39" s="2" t="s">
        <v>343</v>
      </c>
      <c r="B39" s="2" t="s">
        <v>337</v>
      </c>
      <c r="C39" s="2" t="s">
        <v>1183</v>
      </c>
      <c r="D39" s="442">
        <f>[6]CZ_B!D13</f>
        <v>0</v>
      </c>
      <c r="E39" s="442">
        <f>[6]CZ_B!E13</f>
        <v>0</v>
      </c>
      <c r="F39" s="442">
        <f>[6]CZ_B!F13</f>
        <v>0</v>
      </c>
      <c r="G39" s="442">
        <f>[6]CZ_B!G13</f>
        <v>0</v>
      </c>
      <c r="H39" s="442">
        <f>[6]CZ_B!H13</f>
        <v>0</v>
      </c>
      <c r="I39" s="442">
        <f>[6]CZ_B!I13</f>
        <v>0</v>
      </c>
      <c r="J39" s="442">
        <f>[6]CZ_B!J13</f>
        <v>0</v>
      </c>
      <c r="K39" s="442">
        <f>[6]CZ_B!K13</f>
        <v>0</v>
      </c>
      <c r="L39" s="447" t="s">
        <v>1202</v>
      </c>
      <c r="M39" s="447" t="s">
        <v>1202</v>
      </c>
    </row>
    <row r="40" spans="1:14" x14ac:dyDescent="0.25">
      <c r="A40" s="1" t="s">
        <v>10</v>
      </c>
      <c r="B40" s="1" t="s">
        <v>11</v>
      </c>
      <c r="C40" s="2" t="s">
        <v>1183</v>
      </c>
      <c r="D40" s="442">
        <f>[6]CZ_B!D18</f>
        <v>177.87192318603121</v>
      </c>
      <c r="E40" s="442">
        <f>[6]CZ_B!E18</f>
        <v>131.3372440911177</v>
      </c>
      <c r="F40" s="442">
        <f>[6]CZ_B!F18</f>
        <v>125.15861380323661</v>
      </c>
      <c r="G40" s="442">
        <f>[6]CZ_B!G18</f>
        <v>122.98976777964876</v>
      </c>
      <c r="H40" s="442">
        <f>[6]CZ_B!H18</f>
        <v>100.64922799258773</v>
      </c>
      <c r="I40" s="442">
        <f>[6]CZ_B!I18</f>
        <v>98.245874811472817</v>
      </c>
      <c r="J40" s="442">
        <f>[6]CZ_B!J18</f>
        <v>62.849768773005508</v>
      </c>
      <c r="K40" s="442">
        <f>[6]CZ_B!K18</f>
        <v>16.065318704382271</v>
      </c>
      <c r="L40" s="447" t="s">
        <v>1202</v>
      </c>
      <c r="M40" s="447" t="s">
        <v>1202</v>
      </c>
    </row>
    <row r="41" spans="1:14" x14ac:dyDescent="0.25">
      <c r="A41" s="2" t="s">
        <v>12</v>
      </c>
      <c r="B41" s="2" t="s">
        <v>13</v>
      </c>
      <c r="C41" s="2" t="s">
        <v>1183</v>
      </c>
      <c r="D41" s="442">
        <f>[6]CZ_B!D7</f>
        <v>4425.1213657281151</v>
      </c>
      <c r="E41" s="442">
        <f>[6]CZ_B!E7</f>
        <v>3227.7886332142812</v>
      </c>
      <c r="F41" s="442">
        <f>[6]CZ_B!F7</f>
        <v>2538.9626474946599</v>
      </c>
      <c r="G41" s="442">
        <f>[6]CZ_B!G7</f>
        <v>3173.4081705554845</v>
      </c>
      <c r="H41" s="442">
        <f>[6]CZ_B!H7</f>
        <v>3652.6289900667657</v>
      </c>
      <c r="I41" s="442">
        <f>[6]CZ_B!I7</f>
        <v>5466.411898923946</v>
      </c>
      <c r="J41" s="442">
        <f>[6]CZ_B!J7</f>
        <v>6334.3976453331406</v>
      </c>
      <c r="K41" s="442">
        <f>[6]CZ_B!K7</f>
        <v>8445.0160752355914</v>
      </c>
      <c r="L41" s="447" t="s">
        <v>1202</v>
      </c>
      <c r="M41" s="447" t="s">
        <v>1202</v>
      </c>
    </row>
    <row r="42" spans="1:14" x14ac:dyDescent="0.25">
      <c r="A42" s="2" t="s">
        <v>831</v>
      </c>
      <c r="B42" s="2" t="s">
        <v>338</v>
      </c>
      <c r="C42" s="2" t="s">
        <v>1183</v>
      </c>
      <c r="D42" s="174">
        <f>[6]CZ_B!D14*el_generation!$L10/(el_generation!$L10+el_generation!$L11)</f>
        <v>1481.0807732553615</v>
      </c>
      <c r="E42" s="174">
        <f>[6]CZ_B!E14*el_generation!$L10/(el_generation!$L10+el_generation!$L11)</f>
        <v>1481.0807732553615</v>
      </c>
      <c r="F42" s="174">
        <f>[6]CZ_B!F14*el_generation!$L10/(el_generation!$L10+el_generation!$L11)</f>
        <v>2598.1919592512372</v>
      </c>
      <c r="G42" s="174">
        <f>[6]CZ_B!G14*el_generation!$L10/(el_generation!$L10+el_generation!$L11)</f>
        <v>2862.1875664353183</v>
      </c>
      <c r="H42" s="174">
        <f>[6]CZ_B!H14*el_generation!$L10/(el_generation!$L10+el_generation!$L11)</f>
        <v>3015.6971986990488</v>
      </c>
      <c r="I42" s="174">
        <f>[6]CZ_B!I14*el_generation!$L10/(el_generation!$L10+el_generation!$L11)</f>
        <v>3442.4252610546309</v>
      </c>
      <c r="J42" s="174">
        <f>[6]CZ_B!J14*el_generation!$L10/(el_generation!$L10+el_generation!$L11)</f>
        <v>4162.6711701070408</v>
      </c>
      <c r="K42" s="174">
        <f>[6]CZ_B!K14*el_generation!$L10/(el_generation!$L10+el_generation!$L11)</f>
        <v>4168.6533218501827</v>
      </c>
      <c r="L42" s="447" t="s">
        <v>1202</v>
      </c>
      <c r="M42" s="447" t="s">
        <v>1202</v>
      </c>
    </row>
    <row r="43" spans="1:14" x14ac:dyDescent="0.25">
      <c r="A43" s="2" t="s">
        <v>832</v>
      </c>
      <c r="B43" s="2" t="s">
        <v>339</v>
      </c>
      <c r="C43" s="2" t="s">
        <v>1183</v>
      </c>
      <c r="D43" s="174">
        <f>[6]CZ_B!D14*el_generation!$L11/(el_generation!$L10+el_generation!$L11)</f>
        <v>783.17729450243792</v>
      </c>
      <c r="E43" s="174">
        <f>[6]CZ_B!E14*el_generation!$L11/(el_generation!$L10+el_generation!$L11)</f>
        <v>783.17729450243792</v>
      </c>
      <c r="F43" s="174">
        <f>[6]CZ_B!F14*el_generation!$L11/(el_generation!$L10+el_generation!$L11)</f>
        <v>1373.8919483586685</v>
      </c>
      <c r="G43" s="174">
        <f>[6]CZ_B!G14*el_generation!$L11/(el_generation!$L10+el_generation!$L11)</f>
        <v>1513.4895780953077</v>
      </c>
      <c r="H43" s="174">
        <f>[6]CZ_B!H14*el_generation!$L11/(el_generation!$L10+el_generation!$L11)</f>
        <v>1594.6635833537262</v>
      </c>
      <c r="I43" s="174">
        <f>[6]CZ_B!I14*el_generation!$L11/(el_generation!$L10+el_generation!$L11)</f>
        <v>1820.3121336548311</v>
      </c>
      <c r="J43" s="174">
        <f>[6]CZ_B!J14*el_generation!$L11/(el_generation!$L10+el_generation!$L11)</f>
        <v>2201.1693108014142</v>
      </c>
      <c r="K43" s="174">
        <f>[6]CZ_B!K14*el_generation!$L11/(el_generation!$L10+el_generation!$L11)</f>
        <v>2204.3325990582725</v>
      </c>
      <c r="L43" s="447" t="s">
        <v>1202</v>
      </c>
      <c r="M43" s="447" t="s">
        <v>1202</v>
      </c>
    </row>
    <row r="44" spans="1:14" x14ac:dyDescent="0.25">
      <c r="A44" s="2" t="s">
        <v>14</v>
      </c>
      <c r="B44" s="2" t="s">
        <v>15</v>
      </c>
      <c r="C44" s="2" t="s">
        <v>1183</v>
      </c>
      <c r="D44" s="174">
        <v>0</v>
      </c>
      <c r="E44" s="174">
        <v>0</v>
      </c>
      <c r="F44" s="174">
        <v>0</v>
      </c>
      <c r="G44" s="174">
        <v>0</v>
      </c>
      <c r="H44" s="174">
        <v>0</v>
      </c>
      <c r="I44" s="174">
        <v>0</v>
      </c>
      <c r="J44" s="174">
        <v>0</v>
      </c>
      <c r="K44" s="174">
        <v>0</v>
      </c>
      <c r="L44" s="447" t="s">
        <v>1202</v>
      </c>
      <c r="M44" s="447" t="s">
        <v>1202</v>
      </c>
    </row>
    <row r="45" spans="1:14" x14ac:dyDescent="0.25">
      <c r="A45" s="2" t="s">
        <v>16</v>
      </c>
      <c r="B45" s="2" t="s">
        <v>17</v>
      </c>
      <c r="C45" s="2" t="s">
        <v>1183</v>
      </c>
      <c r="D45" s="174">
        <v>0</v>
      </c>
      <c r="E45" s="174">
        <v>0</v>
      </c>
      <c r="F45" s="174">
        <v>0</v>
      </c>
      <c r="G45" s="174">
        <v>0</v>
      </c>
      <c r="H45" s="174">
        <v>0</v>
      </c>
      <c r="I45" s="174">
        <v>0</v>
      </c>
      <c r="J45" s="174">
        <v>0</v>
      </c>
      <c r="K45" s="174">
        <v>0</v>
      </c>
      <c r="L45" s="447" t="s">
        <v>1202</v>
      </c>
      <c r="M45" s="447" t="s">
        <v>1202</v>
      </c>
    </row>
    <row r="46" spans="1:14" x14ac:dyDescent="0.25">
      <c r="A46" s="2" t="s">
        <v>18</v>
      </c>
      <c r="B46" s="2" t="s">
        <v>19</v>
      </c>
      <c r="C46" s="2" t="s">
        <v>1183</v>
      </c>
      <c r="D46" s="442">
        <f>[6]CZ_B!D15</f>
        <v>0</v>
      </c>
      <c r="E46" s="442">
        <f>[6]CZ_B!E15</f>
        <v>0</v>
      </c>
      <c r="F46" s="442">
        <f>[6]CZ_B!F15</f>
        <v>0</v>
      </c>
      <c r="G46" s="442">
        <f>[6]CZ_B!G15</f>
        <v>0</v>
      </c>
      <c r="H46" s="442">
        <f>[6]CZ_B!H15</f>
        <v>0</v>
      </c>
      <c r="I46" s="442">
        <f>[6]CZ_B!I15</f>
        <v>68.361574428975999</v>
      </c>
      <c r="J46" s="442">
        <f>[6]CZ_B!J15</f>
        <v>2591.4657531098469</v>
      </c>
      <c r="K46" s="442">
        <f>[6]CZ_B!K15</f>
        <v>2989.3160414994272</v>
      </c>
      <c r="L46" s="447" t="s">
        <v>1202</v>
      </c>
      <c r="M46" s="447" t="s">
        <v>1202</v>
      </c>
    </row>
    <row r="47" spans="1:14" x14ac:dyDescent="0.25">
      <c r="A47" s="19" t="s">
        <v>1155</v>
      </c>
      <c r="B47" s="2"/>
      <c r="C47" s="2" t="s">
        <v>1183</v>
      </c>
      <c r="D47" s="443">
        <f>SUM(D34:D46)</f>
        <v>80347.364918770108</v>
      </c>
      <c r="E47" s="443">
        <f t="shared" ref="E47:K47" si="41">SUM(E34:E46)</f>
        <v>74102.477395719514</v>
      </c>
      <c r="F47" s="443">
        <f t="shared" si="41"/>
        <v>68783.217131704805</v>
      </c>
      <c r="G47" s="443">
        <f t="shared" si="41"/>
        <v>62800.009420468101</v>
      </c>
      <c r="H47" s="443">
        <f t="shared" si="41"/>
        <v>71970.260262817261</v>
      </c>
      <c r="I47" s="443">
        <f t="shared" si="41"/>
        <v>79130.603171798648</v>
      </c>
      <c r="J47" s="443">
        <f t="shared" si="41"/>
        <v>82622.377841663503</v>
      </c>
      <c r="K47" s="443">
        <f t="shared" si="41"/>
        <v>85252.34058357263</v>
      </c>
      <c r="L47" s="447" t="s">
        <v>1202</v>
      </c>
      <c r="M47" s="447" t="s">
        <v>1202</v>
      </c>
    </row>
    <row r="48" spans="1:14" x14ac:dyDescent="0.25">
      <c r="A48" s="429" t="s">
        <v>1058</v>
      </c>
      <c r="B48" s="429"/>
      <c r="C48" s="429"/>
      <c r="D48" s="430"/>
      <c r="E48" s="430"/>
      <c r="F48" s="430"/>
      <c r="G48" s="430"/>
      <c r="H48" s="430"/>
      <c r="I48" s="430"/>
      <c r="J48" s="430"/>
      <c r="K48" s="430"/>
      <c r="L48" s="297"/>
      <c r="M48" s="297"/>
      <c r="N48" s="297"/>
    </row>
    <row r="49" spans="1:14" x14ac:dyDescent="0.25">
      <c r="A49" s="387" t="s">
        <v>1107</v>
      </c>
      <c r="B49" s="387"/>
      <c r="C49" s="387"/>
      <c r="D49" s="376" t="s">
        <v>1129</v>
      </c>
      <c r="E49" s="376" t="s">
        <v>1130</v>
      </c>
      <c r="F49" s="376" t="s">
        <v>1131</v>
      </c>
      <c r="G49" s="376" t="s">
        <v>1132</v>
      </c>
      <c r="H49" s="376" t="s">
        <v>1133</v>
      </c>
      <c r="I49" s="376" t="s">
        <v>1134</v>
      </c>
      <c r="J49" s="376" t="s">
        <v>1135</v>
      </c>
      <c r="K49" s="376" t="s">
        <v>1136</v>
      </c>
      <c r="L49" s="297"/>
      <c r="M49" s="297"/>
      <c r="N49" s="297"/>
    </row>
    <row r="50" spans="1:14" x14ac:dyDescent="0.25">
      <c r="A50" s="431" t="s">
        <v>2</v>
      </c>
      <c r="B50" s="431" t="s">
        <v>3</v>
      </c>
      <c r="C50" s="431" t="s">
        <v>1183</v>
      </c>
      <c r="D50" s="430">
        <f>[6]CZ_B!D35</f>
        <v>9656.4015500000005</v>
      </c>
      <c r="E50" s="430">
        <f>[6]CZ_B!E35</f>
        <v>10043.422550000003</v>
      </c>
      <c r="F50" s="430">
        <f>[6]CZ_B!F35</f>
        <v>9970.7425500000008</v>
      </c>
      <c r="G50" s="430">
        <f>[6]CZ_B!G35</f>
        <v>9354.0625500000006</v>
      </c>
      <c r="H50" s="430">
        <f>[6]CZ_B!H35</f>
        <v>5533.9675500000003</v>
      </c>
      <c r="I50" s="430">
        <f>[6]CZ_B!I35</f>
        <v>2803.0445500000001</v>
      </c>
      <c r="J50" s="430">
        <f>[6]CZ_B!J35</f>
        <v>1892.0527500000001</v>
      </c>
      <c r="K50" s="430">
        <f>[6]CZ_B!K35</f>
        <v>1788.8687500000001</v>
      </c>
      <c r="L50" s="448" t="s">
        <v>1202</v>
      </c>
      <c r="M50" s="448" t="s">
        <v>1202</v>
      </c>
      <c r="N50" s="297"/>
    </row>
    <row r="51" spans="1:14" x14ac:dyDescent="0.25">
      <c r="A51" s="431" t="s">
        <v>4</v>
      </c>
      <c r="B51" s="431" t="s">
        <v>5</v>
      </c>
      <c r="C51" s="431" t="s">
        <v>1183</v>
      </c>
      <c r="D51" s="430">
        <f>[6]CZ_B!D37</f>
        <v>929.36387122515339</v>
      </c>
      <c r="E51" s="430">
        <f>[6]CZ_B!E37</f>
        <v>590.43262792372616</v>
      </c>
      <c r="F51" s="430">
        <f>[6]CZ_B!F37</f>
        <v>807.06856322273904</v>
      </c>
      <c r="G51" s="430">
        <f>[6]CZ_B!G37</f>
        <v>475.63079690764778</v>
      </c>
      <c r="H51" s="430">
        <f>[6]CZ_B!H37</f>
        <v>1231.6816818122829</v>
      </c>
      <c r="I51" s="430">
        <f>[6]CZ_B!I37</f>
        <v>1837.6945512113639</v>
      </c>
      <c r="J51" s="430">
        <f>[6]CZ_B!J37</f>
        <v>2571.3754267239383</v>
      </c>
      <c r="K51" s="430">
        <f>[6]CZ_B!K37</f>
        <v>3422.8673719977669</v>
      </c>
      <c r="L51" s="448" t="s">
        <v>1202</v>
      </c>
      <c r="M51" s="448" t="s">
        <v>1202</v>
      </c>
      <c r="N51" s="297"/>
    </row>
    <row r="52" spans="1:14" x14ac:dyDescent="0.25">
      <c r="A52" s="431" t="s">
        <v>6</v>
      </c>
      <c r="B52" s="431" t="s">
        <v>7</v>
      </c>
      <c r="C52" s="431" t="s">
        <v>1183</v>
      </c>
      <c r="D52" s="430">
        <f>[6]CZ_B!D23</f>
        <v>4006.08</v>
      </c>
      <c r="E52" s="430">
        <f>[6]CZ_B!E23</f>
        <v>4006.08</v>
      </c>
      <c r="F52" s="430">
        <f>[6]CZ_B!F23</f>
        <v>4006.08</v>
      </c>
      <c r="G52" s="430">
        <f>[6]CZ_B!G23</f>
        <v>4006.08</v>
      </c>
      <c r="H52" s="430">
        <f>[6]CZ_B!H23</f>
        <v>4006.08</v>
      </c>
      <c r="I52" s="430">
        <f>[6]CZ_B!I23</f>
        <v>5206.08</v>
      </c>
      <c r="J52" s="430">
        <f>[6]CZ_B!J23</f>
        <v>5206.08</v>
      </c>
      <c r="K52" s="430">
        <f>[6]CZ_B!K23</f>
        <v>4447.68</v>
      </c>
      <c r="L52" s="448" t="s">
        <v>1202</v>
      </c>
      <c r="M52" s="448" t="s">
        <v>1202</v>
      </c>
      <c r="N52" s="297"/>
    </row>
    <row r="53" spans="1:14" x14ac:dyDescent="0.25">
      <c r="A53" s="431" t="s">
        <v>8</v>
      </c>
      <c r="B53" s="431" t="s">
        <v>9</v>
      </c>
      <c r="C53" s="431" t="s">
        <v>1183</v>
      </c>
      <c r="D53" s="430">
        <f>[6]CZ_B!D26</f>
        <v>1088.0000000000002</v>
      </c>
      <c r="E53" s="430">
        <f>[6]CZ_B!E26</f>
        <v>1090</v>
      </c>
      <c r="F53" s="430">
        <f>[6]CZ_B!F26</f>
        <v>1105.0879081016769</v>
      </c>
      <c r="G53" s="430">
        <f>[6]CZ_B!G26</f>
        <v>1116.3626101561376</v>
      </c>
      <c r="H53" s="430">
        <f>[6]CZ_B!H26</f>
        <v>1116.3626101561376</v>
      </c>
      <c r="I53" s="430">
        <f>[6]CZ_B!I26</f>
        <v>1126.8289114720083</v>
      </c>
      <c r="J53" s="430">
        <f>[6]CZ_B!J26</f>
        <v>1130.7872351795957</v>
      </c>
      <c r="K53" s="430">
        <f>[6]CZ_B!K26</f>
        <v>1131.3137251686019</v>
      </c>
      <c r="L53" s="448" t="s">
        <v>1202</v>
      </c>
      <c r="M53" s="448" t="s">
        <v>1202</v>
      </c>
      <c r="N53" s="297"/>
    </row>
    <row r="54" spans="1:14" x14ac:dyDescent="0.25">
      <c r="A54" s="431" t="s">
        <v>342</v>
      </c>
      <c r="B54" s="431" t="s">
        <v>336</v>
      </c>
      <c r="C54" s="431" t="s">
        <v>1183</v>
      </c>
      <c r="D54" s="430">
        <f>[6]CZ_B!D30</f>
        <v>281.05</v>
      </c>
      <c r="E54" s="430">
        <f>[6]CZ_B!E30</f>
        <v>396.10000000000014</v>
      </c>
      <c r="F54" s="430">
        <f>[6]CZ_B!F30</f>
        <v>1372.1767250444027</v>
      </c>
      <c r="G54" s="430">
        <f>[6]CZ_B!G30</f>
        <v>1629.060259793333</v>
      </c>
      <c r="H54" s="430">
        <f>[6]CZ_B!H30</f>
        <v>2681.6223856387073</v>
      </c>
      <c r="I54" s="430">
        <f>[6]CZ_B!I30</f>
        <v>3309.8098873589252</v>
      </c>
      <c r="J54" s="430">
        <f>[6]CZ_B!J30</f>
        <v>3670.7201120503883</v>
      </c>
      <c r="K54" s="430">
        <f>[6]CZ_B!K30</f>
        <v>3846.4538872799581</v>
      </c>
      <c r="L54" s="448" t="s">
        <v>1202</v>
      </c>
      <c r="M54" s="448" t="s">
        <v>1202</v>
      </c>
      <c r="N54" s="297"/>
    </row>
    <row r="55" spans="1:14" x14ac:dyDescent="0.25">
      <c r="A55" s="431" t="s">
        <v>343</v>
      </c>
      <c r="B55" s="431" t="s">
        <v>337</v>
      </c>
      <c r="C55" s="431" t="s">
        <v>1183</v>
      </c>
      <c r="D55" s="430">
        <f>[6]CZ_B!D31</f>
        <v>0</v>
      </c>
      <c r="E55" s="430">
        <f>[6]CZ_B!E31</f>
        <v>0</v>
      </c>
      <c r="F55" s="430">
        <f>[6]CZ_B!F31</f>
        <v>0</v>
      </c>
      <c r="G55" s="430">
        <f>[6]CZ_B!G31</f>
        <v>0</v>
      </c>
      <c r="H55" s="430">
        <f>[6]CZ_B!H31</f>
        <v>0</v>
      </c>
      <c r="I55" s="430">
        <f>[6]CZ_B!I31</f>
        <v>0</v>
      </c>
      <c r="J55" s="430">
        <f>[6]CZ_B!J31</f>
        <v>0</v>
      </c>
      <c r="K55" s="430">
        <f>[6]CZ_B!K31</f>
        <v>0</v>
      </c>
      <c r="L55" s="448" t="s">
        <v>1202</v>
      </c>
      <c r="M55" s="448" t="s">
        <v>1202</v>
      </c>
      <c r="N55" s="297"/>
    </row>
    <row r="56" spans="1:14" x14ac:dyDescent="0.25">
      <c r="A56" s="431" t="s">
        <v>10</v>
      </c>
      <c r="B56" s="431" t="s">
        <v>11</v>
      </c>
      <c r="C56" s="431" t="s">
        <v>1183</v>
      </c>
      <c r="D56" s="430">
        <f>[6]CZ_B!D36</f>
        <v>133.93011999999999</v>
      </c>
      <c r="E56" s="430">
        <f>[6]CZ_B!E36</f>
        <v>71.85011999999999</v>
      </c>
      <c r="F56" s="430">
        <f>[6]CZ_B!F36</f>
        <v>63.702119999999987</v>
      </c>
      <c r="G56" s="430">
        <f>[6]CZ_B!G36</f>
        <v>63.702119999999987</v>
      </c>
      <c r="H56" s="430">
        <f>[6]CZ_B!H36</f>
        <v>44.702120000000001</v>
      </c>
      <c r="I56" s="430">
        <f>[6]CZ_B!I36</f>
        <v>41.204299999999996</v>
      </c>
      <c r="J56" s="430">
        <f>[6]CZ_B!J36</f>
        <v>41.204299999999996</v>
      </c>
      <c r="K56" s="430">
        <f>[6]CZ_B!K36</f>
        <v>24.104299999999999</v>
      </c>
      <c r="L56" s="448" t="s">
        <v>1202</v>
      </c>
      <c r="M56" s="448" t="s">
        <v>1202</v>
      </c>
      <c r="N56" s="297"/>
    </row>
    <row r="57" spans="1:14" x14ac:dyDescent="0.25">
      <c r="A57" s="431" t="s">
        <v>12</v>
      </c>
      <c r="B57" s="431" t="s">
        <v>13</v>
      </c>
      <c r="C57" s="431" t="s">
        <v>1183</v>
      </c>
      <c r="D57" s="430">
        <f>[6]CZ_B!D25</f>
        <v>527.71737877484657</v>
      </c>
      <c r="E57" s="430">
        <f>[6]CZ_B!E25</f>
        <v>645.74488236674006</v>
      </c>
      <c r="F57" s="430">
        <f>[6]CZ_B!F25</f>
        <v>744.9352136228008</v>
      </c>
      <c r="G57" s="430">
        <f>[6]CZ_B!G25</f>
        <v>771.22411156162445</v>
      </c>
      <c r="H57" s="430">
        <f>[6]CZ_B!H25</f>
        <v>896.09943377609989</v>
      </c>
      <c r="I57" s="430">
        <f>[6]CZ_B!I25</f>
        <v>1076.0345635893809</v>
      </c>
      <c r="J57" s="430">
        <f>[6]CZ_B!J25</f>
        <v>1238.7265148613149</v>
      </c>
      <c r="K57" s="430">
        <f>[6]CZ_B!K25</f>
        <v>1543.8614019411211</v>
      </c>
      <c r="L57" s="448" t="s">
        <v>1202</v>
      </c>
      <c r="M57" s="448" t="s">
        <v>1202</v>
      </c>
      <c r="N57" s="297"/>
    </row>
    <row r="58" spans="1:14" x14ac:dyDescent="0.25">
      <c r="A58" s="431" t="s">
        <v>831</v>
      </c>
      <c r="B58" s="431" t="s">
        <v>338</v>
      </c>
      <c r="C58" s="431" t="s">
        <v>1183</v>
      </c>
      <c r="D58" s="174">
        <f>[6]CZ_B!D32*el_capacity!$L10/(el_capacity!$L10+el_capacity!$L11)</f>
        <v>1329.7245711524522</v>
      </c>
      <c r="E58" s="174">
        <f>[6]CZ_B!E32*el_capacity!$L10/(el_capacity!$L10+el_capacity!$L11)</f>
        <v>1329.7245711524522</v>
      </c>
      <c r="F58" s="174">
        <f>[6]CZ_B!F32*el_capacity!$L10/(el_capacity!$L10+el_capacity!$L11)</f>
        <v>2325.1548304605794</v>
      </c>
      <c r="G58" s="174">
        <f>[6]CZ_B!G32*el_capacity!$L10/(el_capacity!$L10+el_capacity!$L11)</f>
        <v>2560.3025642581024</v>
      </c>
      <c r="H58" s="174">
        <f>[6]CZ_B!H32*el_capacity!$L10/(el_capacity!$L10+el_capacity!$L11)</f>
        <v>2695.5001593880925</v>
      </c>
      <c r="I58" s="174">
        <f>[6]CZ_B!I32*el_capacity!$L10/(el_capacity!$L10+el_capacity!$L11)</f>
        <v>3068.3944528998218</v>
      </c>
      <c r="J58" s="174">
        <f>[6]CZ_B!J32*el_capacity!$L10/(el_capacity!$L10+el_capacity!$L11)</f>
        <v>3673.8121257367279</v>
      </c>
      <c r="K58" s="174">
        <f>[6]CZ_B!K32*el_capacity!$L10/(el_capacity!$L10+el_capacity!$L11)</f>
        <v>3673.8121257367279</v>
      </c>
      <c r="L58" s="448" t="s">
        <v>1202</v>
      </c>
      <c r="M58" s="448" t="s">
        <v>1202</v>
      </c>
      <c r="N58" s="297"/>
    </row>
    <row r="59" spans="1:14" x14ac:dyDescent="0.25">
      <c r="A59" s="431" t="s">
        <v>832</v>
      </c>
      <c r="B59" s="431" t="s">
        <v>339</v>
      </c>
      <c r="C59" s="431" t="s">
        <v>1183</v>
      </c>
      <c r="D59" s="174">
        <f>[6]CZ_B!D32*el_capacity!$L11/(el_capacity!$L10+el_capacity!$L11)</f>
        <v>745.27542884754769</v>
      </c>
      <c r="E59" s="174">
        <f>[6]CZ_B!E32*el_capacity!$L11/(el_capacity!$L10+el_capacity!$L11)</f>
        <v>745.27542884754769</v>
      </c>
      <c r="F59" s="174">
        <f>[6]CZ_B!F32*el_capacity!$L11/(el_capacity!$L10+el_capacity!$L11)</f>
        <v>1303.1877435389449</v>
      </c>
      <c r="G59" s="174">
        <f>[6]CZ_B!G32*el_capacity!$L11/(el_capacity!$L10+el_capacity!$L11)</f>
        <v>1434.9818247723172</v>
      </c>
      <c r="H59" s="174">
        <f>[6]CZ_B!H32*el_capacity!$L11/(el_capacity!$L10+el_capacity!$L11)</f>
        <v>1510.7564986225073</v>
      </c>
      <c r="I59" s="174">
        <f>[6]CZ_B!I32*el_capacity!$L11/(el_capacity!$L10+el_capacity!$L11)</f>
        <v>1719.753880893106</v>
      </c>
      <c r="J59" s="174">
        <f>[6]CZ_B!J32*el_capacity!$L11/(el_capacity!$L10+el_capacity!$L11)</f>
        <v>2059.0744631730581</v>
      </c>
      <c r="K59" s="174">
        <f>[6]CZ_B!K32*el_capacity!$L11/(el_capacity!$L10+el_capacity!$L11)</f>
        <v>2059.0744631730581</v>
      </c>
      <c r="L59" s="448" t="s">
        <v>1202</v>
      </c>
      <c r="M59" s="448" t="s">
        <v>1202</v>
      </c>
      <c r="N59" s="297"/>
    </row>
    <row r="60" spans="1:14" x14ac:dyDescent="0.25">
      <c r="A60" s="431" t="s">
        <v>14</v>
      </c>
      <c r="B60" s="431" t="s">
        <v>15</v>
      </c>
      <c r="C60" s="431" t="s">
        <v>1183</v>
      </c>
      <c r="D60" s="174">
        <v>0</v>
      </c>
      <c r="E60" s="174">
        <v>0</v>
      </c>
      <c r="F60" s="174">
        <v>0</v>
      </c>
      <c r="G60" s="174">
        <v>0</v>
      </c>
      <c r="H60" s="174">
        <v>0</v>
      </c>
      <c r="I60" s="174">
        <v>0</v>
      </c>
      <c r="J60" s="174">
        <v>0</v>
      </c>
      <c r="K60" s="174">
        <v>0</v>
      </c>
      <c r="L60" s="448" t="s">
        <v>1202</v>
      </c>
      <c r="M60" s="448" t="s">
        <v>1202</v>
      </c>
      <c r="N60" s="297"/>
    </row>
    <row r="61" spans="1:14" x14ac:dyDescent="0.25">
      <c r="A61" s="431" t="s">
        <v>16</v>
      </c>
      <c r="B61" s="431" t="s">
        <v>17</v>
      </c>
      <c r="C61" s="431" t="s">
        <v>1183</v>
      </c>
      <c r="D61" s="174">
        <v>0</v>
      </c>
      <c r="E61" s="174">
        <v>0</v>
      </c>
      <c r="F61" s="174">
        <v>0</v>
      </c>
      <c r="G61" s="174">
        <v>0</v>
      </c>
      <c r="H61" s="174">
        <v>0</v>
      </c>
      <c r="I61" s="174">
        <v>0</v>
      </c>
      <c r="J61" s="174">
        <v>0</v>
      </c>
      <c r="K61" s="174">
        <v>0</v>
      </c>
      <c r="L61" s="448" t="s">
        <v>1202</v>
      </c>
      <c r="M61" s="448" t="s">
        <v>1202</v>
      </c>
      <c r="N61" s="297"/>
    </row>
    <row r="62" spans="1:14" x14ac:dyDescent="0.25">
      <c r="A62" s="431" t="s">
        <v>18</v>
      </c>
      <c r="B62" s="431" t="s">
        <v>19</v>
      </c>
      <c r="C62" s="431" t="s">
        <v>1183</v>
      </c>
      <c r="D62" s="430">
        <f>[6]CZ_B!D33</f>
        <v>0</v>
      </c>
      <c r="E62" s="430">
        <f>[6]CZ_B!E33</f>
        <v>0</v>
      </c>
      <c r="F62" s="430">
        <f>[6]CZ_B!F33</f>
        <v>0</v>
      </c>
      <c r="G62" s="430">
        <f>[6]CZ_B!G33</f>
        <v>0</v>
      </c>
      <c r="H62" s="430">
        <f>[6]CZ_B!H33</f>
        <v>0</v>
      </c>
      <c r="I62" s="430">
        <f>[6]CZ_B!I33</f>
        <v>11.969068554251068</v>
      </c>
      <c r="J62" s="430">
        <f>[6]CZ_B!J33</f>
        <v>453.38759908852768</v>
      </c>
      <c r="K62" s="430">
        <f>[6]CZ_B!K33</f>
        <v>522.93844072382876</v>
      </c>
      <c r="L62" s="448" t="s">
        <v>1202</v>
      </c>
      <c r="M62" s="448" t="s">
        <v>1202</v>
      </c>
      <c r="N62" s="297"/>
    </row>
    <row r="63" spans="1:14" x14ac:dyDescent="0.25">
      <c r="A63" s="373" t="s">
        <v>1156</v>
      </c>
      <c r="B63" s="431"/>
      <c r="C63" s="431" t="s">
        <v>1183</v>
      </c>
      <c r="D63" s="441">
        <f>SUM(D50:D62)</f>
        <v>18697.54292</v>
      </c>
      <c r="E63" s="441">
        <f t="shared" ref="E63:K63" si="42">SUM(E50:E62)</f>
        <v>18918.630180290471</v>
      </c>
      <c r="F63" s="441">
        <f t="shared" si="42"/>
        <v>21698.135653991147</v>
      </c>
      <c r="G63" s="441">
        <f t="shared" si="42"/>
        <v>21411.406837449162</v>
      </c>
      <c r="H63" s="441">
        <f t="shared" si="42"/>
        <v>19716.77243939383</v>
      </c>
      <c r="I63" s="441">
        <f t="shared" si="42"/>
        <v>20200.814165978856</v>
      </c>
      <c r="J63" s="441">
        <f t="shared" si="42"/>
        <v>21937.220526813555</v>
      </c>
      <c r="K63" s="441">
        <f t="shared" si="42"/>
        <v>22460.974466021067</v>
      </c>
      <c r="L63" s="448" t="s">
        <v>1202</v>
      </c>
      <c r="M63" s="448" t="s">
        <v>1202</v>
      </c>
      <c r="N63" s="297"/>
    </row>
    <row r="64" spans="1:14" x14ac:dyDescent="0.25">
      <c r="A64" s="429" t="s">
        <v>1150</v>
      </c>
      <c r="B64" s="429"/>
      <c r="C64" s="429"/>
      <c r="D64" s="430"/>
      <c r="E64" s="430"/>
      <c r="F64" s="430"/>
      <c r="G64" s="430"/>
      <c r="H64" s="430"/>
      <c r="I64" s="430"/>
      <c r="J64" s="430"/>
      <c r="K64" s="430"/>
      <c r="L64" s="297"/>
      <c r="M64" s="297"/>
      <c r="N64" s="297"/>
    </row>
    <row r="65" spans="1:14" x14ac:dyDescent="0.25">
      <c r="A65" s="387" t="s">
        <v>834</v>
      </c>
      <c r="B65" s="387"/>
      <c r="C65" s="387"/>
      <c r="D65" s="376" t="s">
        <v>1129</v>
      </c>
      <c r="E65" s="376" t="s">
        <v>1130</v>
      </c>
      <c r="F65" s="376" t="s">
        <v>1131</v>
      </c>
      <c r="G65" s="376" t="s">
        <v>1132</v>
      </c>
      <c r="H65" s="376" t="s">
        <v>1133</v>
      </c>
      <c r="I65" s="376" t="s">
        <v>1134</v>
      </c>
      <c r="J65" s="376" t="s">
        <v>1135</v>
      </c>
      <c r="K65" s="376" t="s">
        <v>1136</v>
      </c>
      <c r="L65" s="297"/>
      <c r="M65" s="297"/>
      <c r="N65" s="297"/>
    </row>
    <row r="66" spans="1:14" x14ac:dyDescent="0.25">
      <c r="A66" s="450" t="s">
        <v>636</v>
      </c>
      <c r="B66" s="450" t="s">
        <v>1149</v>
      </c>
      <c r="C66" s="431" t="s">
        <v>1183</v>
      </c>
      <c r="D66" s="452">
        <f>[6]CZ_A!D44</f>
        <v>1564.8065042600645</v>
      </c>
      <c r="E66" s="452">
        <f>[6]CZ_A!E44</f>
        <v>1311.4924061838321</v>
      </c>
      <c r="F66" s="452">
        <f>[6]CZ_A!F44</f>
        <v>1390.7713958999077</v>
      </c>
      <c r="G66" s="452">
        <f>[6]CZ_A!G44</f>
        <v>964.85307543111992</v>
      </c>
      <c r="H66" s="452">
        <f>[6]CZ_A!H44</f>
        <v>532.62003588034804</v>
      </c>
      <c r="I66" s="452">
        <f>[6]CZ_A!I44</f>
        <v>313.9047809894434</v>
      </c>
      <c r="J66" s="452">
        <f>[6]CZ_A!J44</f>
        <v>171.99019368012924</v>
      </c>
      <c r="K66" s="452">
        <f>[6]CZ_A!K44</f>
        <v>114.34320378846576</v>
      </c>
      <c r="L66" s="448" t="s">
        <v>1202</v>
      </c>
      <c r="M66" s="448" t="s">
        <v>1202</v>
      </c>
      <c r="N66" s="297"/>
    </row>
    <row r="67" spans="1:14" x14ac:dyDescent="0.25">
      <c r="A67" s="450" t="s">
        <v>715</v>
      </c>
      <c r="B67" s="450" t="s">
        <v>1149</v>
      </c>
      <c r="C67" s="431" t="s">
        <v>1183</v>
      </c>
      <c r="D67" s="452">
        <f>[6]CZ_A!D45</f>
        <v>6409.9195558461797</v>
      </c>
      <c r="E67" s="452">
        <f>[6]CZ_A!E45</f>
        <v>5824.9520306045988</v>
      </c>
      <c r="F67" s="452">
        <f>[6]CZ_A!F45</f>
        <v>6090.8916303767701</v>
      </c>
      <c r="G67" s="452">
        <f>[6]CZ_A!G45</f>
        <v>5661.7925610614184</v>
      </c>
      <c r="H67" s="452">
        <f>[6]CZ_A!H45</f>
        <v>5378.5005499542158</v>
      </c>
      <c r="I67" s="452">
        <f>[6]CZ_A!I45</f>
        <v>5159.5827593775512</v>
      </c>
      <c r="J67" s="452">
        <f>[6]CZ_A!J45</f>
        <v>4900.7793909954325</v>
      </c>
      <c r="K67" s="452">
        <f>[6]CZ_A!K45</f>
        <v>4724.3753575936735</v>
      </c>
      <c r="L67" s="448" t="s">
        <v>1202</v>
      </c>
      <c r="M67" s="448" t="s">
        <v>1202</v>
      </c>
      <c r="N67" s="297"/>
    </row>
    <row r="68" spans="1:14" x14ac:dyDescent="0.25">
      <c r="A68" s="450" t="s">
        <v>432</v>
      </c>
      <c r="B68" s="450" t="s">
        <v>1149</v>
      </c>
      <c r="C68" s="431" t="s">
        <v>1183</v>
      </c>
      <c r="D68" s="452">
        <f>[6]CZ_A!D46</f>
        <v>5298.708032600327</v>
      </c>
      <c r="E68" s="452">
        <f>[6]CZ_A!E46</f>
        <v>5099.8962911290846</v>
      </c>
      <c r="F68" s="452">
        <f>[6]CZ_A!F46</f>
        <v>5400.5448284576651</v>
      </c>
      <c r="G68" s="452">
        <f>[6]CZ_A!G46</f>
        <v>4789.1273258481579</v>
      </c>
      <c r="H68" s="452">
        <f>[6]CZ_A!H46</f>
        <v>4614.514096601858</v>
      </c>
      <c r="I68" s="452">
        <f>[6]CZ_A!I46</f>
        <v>4552.226217063595</v>
      </c>
      <c r="J68" s="452">
        <f>[6]CZ_A!J46</f>
        <v>4648.5639423708099</v>
      </c>
      <c r="K68" s="452">
        <f>[6]CZ_A!K46</f>
        <v>4645.2668931946146</v>
      </c>
      <c r="L68" s="448" t="s">
        <v>1202</v>
      </c>
      <c r="M68" s="448" t="s">
        <v>1202</v>
      </c>
      <c r="N68" s="297"/>
    </row>
    <row r="69" spans="1:14" x14ac:dyDescent="0.25">
      <c r="A69" s="297" t="s">
        <v>835</v>
      </c>
      <c r="B69" s="450" t="s">
        <v>1149</v>
      </c>
      <c r="C69" s="431" t="s">
        <v>1183</v>
      </c>
      <c r="D69" s="452">
        <f>[6]CZ_A!D48</f>
        <v>2075.5436363662916</v>
      </c>
      <c r="E69" s="452">
        <f>[6]CZ_A!E48</f>
        <v>1943.0645184203283</v>
      </c>
      <c r="F69" s="452">
        <f>[6]CZ_A!F48</f>
        <v>2097.3576493832029</v>
      </c>
      <c r="G69" s="452">
        <f>[6]CZ_A!G48</f>
        <v>2103.8626385373423</v>
      </c>
      <c r="H69" s="452">
        <f>[6]CZ_A!H48</f>
        <v>2131.0967992801179</v>
      </c>
      <c r="I69" s="452">
        <f>[6]CZ_A!I48</f>
        <v>2127.6612468075041</v>
      </c>
      <c r="J69" s="452">
        <f>[6]CZ_A!J48</f>
        <v>2027.4314676725896</v>
      </c>
      <c r="K69" s="452">
        <f>[6]CZ_A!K48</f>
        <v>2013.0061034186558</v>
      </c>
      <c r="L69" s="448" t="s">
        <v>1202</v>
      </c>
      <c r="M69" s="448" t="s">
        <v>1202</v>
      </c>
      <c r="N69" s="297"/>
    </row>
    <row r="70" spans="1:14" x14ac:dyDescent="0.25">
      <c r="A70" s="431" t="s">
        <v>711</v>
      </c>
      <c r="B70" s="450" t="s">
        <v>1149</v>
      </c>
      <c r="C70" s="431" t="s">
        <v>1183</v>
      </c>
      <c r="D70" s="452">
        <f>[6]CZ_A!D49</f>
        <v>3025.884650644588</v>
      </c>
      <c r="E70" s="452">
        <f>[6]CZ_A!E49</f>
        <v>3549.9541472829983</v>
      </c>
      <c r="F70" s="452">
        <f>[6]CZ_A!F49</f>
        <v>3684.4712337272395</v>
      </c>
      <c r="G70" s="452">
        <f>[6]CZ_A!G49</f>
        <v>4022.8895559761868</v>
      </c>
      <c r="H70" s="452">
        <f>[6]CZ_A!H49</f>
        <v>4347.9954151184138</v>
      </c>
      <c r="I70" s="452">
        <f>[6]CZ_A!I49</f>
        <v>4252.0048047926966</v>
      </c>
      <c r="J70" s="452">
        <f>[6]CZ_A!J49</f>
        <v>4016.3575304591659</v>
      </c>
      <c r="K70" s="452">
        <f>[6]CZ_A!K49</f>
        <v>3922.5206445193694</v>
      </c>
      <c r="L70" s="448" t="s">
        <v>1202</v>
      </c>
      <c r="M70" s="448" t="s">
        <v>1202</v>
      </c>
      <c r="N70" s="297"/>
    </row>
    <row r="71" spans="1:14" x14ac:dyDescent="0.25">
      <c r="A71" s="450" t="s">
        <v>836</v>
      </c>
      <c r="B71" s="450" t="s">
        <v>1149</v>
      </c>
      <c r="C71" s="431" t="s">
        <v>1183</v>
      </c>
      <c r="D71" s="452">
        <f>[6]CZ_A!D47</f>
        <v>4689.3430071064868</v>
      </c>
      <c r="E71" s="452">
        <f>[6]CZ_A!E47</f>
        <v>4488.1769146741626</v>
      </c>
      <c r="F71" s="452">
        <f>[6]CZ_A!F47</f>
        <v>4898.8410308231396</v>
      </c>
      <c r="G71" s="452">
        <f>[6]CZ_A!G47</f>
        <v>5249.6104950747085</v>
      </c>
      <c r="H71" s="452">
        <f>[6]CZ_A!H47</f>
        <v>5526.5008758299718</v>
      </c>
      <c r="I71" s="452">
        <f>[6]CZ_A!I47</f>
        <v>5840.453283605264</v>
      </c>
      <c r="J71" s="452">
        <f>[6]CZ_A!J47</f>
        <v>6155.2526211080713</v>
      </c>
      <c r="K71" s="452">
        <f>[6]CZ_A!K47</f>
        <v>6406.1966583185595</v>
      </c>
      <c r="L71" s="448" t="s">
        <v>1202</v>
      </c>
      <c r="M71" s="448" t="s">
        <v>1202</v>
      </c>
      <c r="N71" s="297"/>
    </row>
    <row r="72" spans="1:14" x14ac:dyDescent="0.25">
      <c r="A72" s="373" t="s">
        <v>1157</v>
      </c>
      <c r="B72" s="453"/>
      <c r="C72" s="431" t="s">
        <v>1183</v>
      </c>
      <c r="D72" s="441">
        <f>SUM(D66:D71)</f>
        <v>23064.205386823938</v>
      </c>
      <c r="E72" s="441">
        <f t="shared" ref="E72:K72" si="43">SUM(E66:E71)</f>
        <v>22217.536308295006</v>
      </c>
      <c r="F72" s="441">
        <f t="shared" si="43"/>
        <v>23562.877768667924</v>
      </c>
      <c r="G72" s="441">
        <f t="shared" si="43"/>
        <v>22792.135651928933</v>
      </c>
      <c r="H72" s="441">
        <f t="shared" si="43"/>
        <v>22531.227772664926</v>
      </c>
      <c r="I72" s="441">
        <f t="shared" si="43"/>
        <v>22245.833092636054</v>
      </c>
      <c r="J72" s="441">
        <f t="shared" si="43"/>
        <v>21920.375146286198</v>
      </c>
      <c r="K72" s="441">
        <f t="shared" si="43"/>
        <v>21825.70886083334</v>
      </c>
      <c r="L72" s="448" t="s">
        <v>1202</v>
      </c>
      <c r="M72" s="448" t="s">
        <v>1202</v>
      </c>
      <c r="N72" s="297"/>
    </row>
    <row r="73" spans="1:14" x14ac:dyDescent="0.25">
      <c r="C73" s="2"/>
    </row>
    <row r="74" spans="1:14" x14ac:dyDescent="0.25">
      <c r="C74" s="2"/>
    </row>
    <row r="75" spans="1:14" x14ac:dyDescent="0.25">
      <c r="C75" s="2"/>
    </row>
    <row r="76" spans="1:14" x14ac:dyDescent="0.25">
      <c r="C76" s="2"/>
    </row>
    <row r="77" spans="1:14" x14ac:dyDescent="0.25">
      <c r="C77" s="2"/>
    </row>
    <row r="78" spans="1:14" x14ac:dyDescent="0.25">
      <c r="C78" s="2"/>
    </row>
  </sheetData>
  <mergeCells count="5">
    <mergeCell ref="N4:N9"/>
    <mergeCell ref="N30:N32"/>
    <mergeCell ref="N11:N16"/>
    <mergeCell ref="N25:N28"/>
    <mergeCell ref="N18:N23"/>
  </mergeCells>
  <pageMargins left="0.7" right="0.7" top="0.78740157499999996" bottom="0.78740157499999996" header="0.3" footer="0.3"/>
  <pageSetup paperSize="9" orientation="portrait" verticalDpi="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38"/>
  <sheetViews>
    <sheetView zoomScale="75" zoomScaleNormal="75" workbookViewId="0">
      <pane xSplit="2" ySplit="1" topLeftCell="C2" activePane="bottomRight" state="frozen"/>
      <selection pane="topRight" activeCell="E1" sqref="E1"/>
      <selection pane="bottomLeft" activeCell="A2" sqref="A2"/>
      <selection pane="bottomRight" activeCell="C4" sqref="C4"/>
    </sheetView>
  </sheetViews>
  <sheetFormatPr defaultColWidth="9" defaultRowHeight="15" customHeight="1" x14ac:dyDescent="0.25"/>
  <cols>
    <col min="1" max="1" width="94.25" style="2" customWidth="1"/>
    <col min="2" max="2" width="14.625" style="2" customWidth="1"/>
    <col min="3" max="10" width="10.25" style="2" customWidth="1"/>
    <col min="11" max="11" width="50" style="2" customWidth="1"/>
    <col min="12" max="16384" width="9" style="2"/>
  </cols>
  <sheetData>
    <row r="1" spans="1:11" ht="15" customHeight="1" x14ac:dyDescent="0.25">
      <c r="A1" s="387" t="s">
        <v>0</v>
      </c>
      <c r="B1" s="387" t="s">
        <v>1</v>
      </c>
      <c r="C1" s="432" t="s">
        <v>1152</v>
      </c>
      <c r="D1" s="432"/>
      <c r="E1" s="432"/>
      <c r="F1" s="432"/>
      <c r="G1" s="432"/>
      <c r="H1" s="432"/>
      <c r="I1" s="432"/>
      <c r="J1" s="432"/>
      <c r="K1" s="432" t="s">
        <v>1034</v>
      </c>
    </row>
    <row r="2" spans="1:11" ht="15" customHeight="1" x14ac:dyDescent="0.25">
      <c r="A2" s="387" t="s">
        <v>1151</v>
      </c>
      <c r="B2" s="387"/>
      <c r="C2" s="432"/>
      <c r="D2" s="432"/>
      <c r="E2" s="432"/>
      <c r="F2" s="432"/>
      <c r="G2" s="432"/>
      <c r="H2" s="432"/>
      <c r="I2" s="432"/>
      <c r="J2" s="432"/>
      <c r="K2" s="432"/>
    </row>
    <row r="3" spans="1:11" ht="15" customHeight="1" x14ac:dyDescent="0.25">
      <c r="A3" s="375" t="s">
        <v>914</v>
      </c>
      <c r="B3" s="375"/>
      <c r="C3" s="432">
        <v>2015</v>
      </c>
      <c r="D3" s="432">
        <v>2020</v>
      </c>
      <c r="E3" s="432">
        <v>2025</v>
      </c>
      <c r="F3" s="432">
        <v>2030</v>
      </c>
      <c r="G3" s="432">
        <v>2035</v>
      </c>
      <c r="H3" s="432">
        <v>2040</v>
      </c>
      <c r="I3" s="432">
        <v>2045</v>
      </c>
      <c r="J3" s="432">
        <v>2050</v>
      </c>
      <c r="K3" s="432"/>
    </row>
    <row r="4" spans="1:11" s="20" customFormat="1" ht="15" customHeight="1" x14ac:dyDescent="0.25">
      <c r="A4" s="15" t="s">
        <v>1037</v>
      </c>
      <c r="B4" s="2" t="s">
        <v>730</v>
      </c>
      <c r="C4" s="179">
        <f>opex_sources!F73/opex_sources!F73</f>
        <v>1</v>
      </c>
      <c r="D4" s="423">
        <f>$C4</f>
        <v>1</v>
      </c>
      <c r="E4" s="423">
        <f t="shared" ref="E4:J4" si="0">$C4</f>
        <v>1</v>
      </c>
      <c r="F4" s="423">
        <f t="shared" si="0"/>
        <v>1</v>
      </c>
      <c r="G4" s="423">
        <f t="shared" si="0"/>
        <v>1</v>
      </c>
      <c r="H4" s="423">
        <f t="shared" si="0"/>
        <v>1</v>
      </c>
      <c r="I4" s="423">
        <f t="shared" si="0"/>
        <v>1</v>
      </c>
      <c r="J4" s="423">
        <f t="shared" si="0"/>
        <v>1</v>
      </c>
      <c r="K4" s="2"/>
    </row>
    <row r="5" spans="1:11" s="20" customFormat="1" ht="15" customHeight="1" x14ac:dyDescent="0.25">
      <c r="A5" s="15" t="s">
        <v>1038</v>
      </c>
      <c r="B5" s="2" t="s">
        <v>731</v>
      </c>
      <c r="C5" s="179">
        <f>opex_sources!F82/opex_sources!F73</f>
        <v>1.1813186813186813</v>
      </c>
      <c r="D5" s="423">
        <f t="shared" ref="D5:J6" si="1">$C5</f>
        <v>1.1813186813186813</v>
      </c>
      <c r="E5" s="423">
        <f t="shared" si="1"/>
        <v>1.1813186813186813</v>
      </c>
      <c r="F5" s="423">
        <f t="shared" si="1"/>
        <v>1.1813186813186813</v>
      </c>
      <c r="G5" s="423">
        <f t="shared" si="1"/>
        <v>1.1813186813186813</v>
      </c>
      <c r="H5" s="423">
        <f t="shared" si="1"/>
        <v>1.1813186813186813</v>
      </c>
      <c r="I5" s="423">
        <f t="shared" si="1"/>
        <v>1.1813186813186813</v>
      </c>
      <c r="J5" s="423">
        <f t="shared" si="1"/>
        <v>1.1813186813186813</v>
      </c>
      <c r="K5" s="2"/>
    </row>
    <row r="6" spans="1:11" s="20" customFormat="1" ht="15" customHeight="1" x14ac:dyDescent="0.25">
      <c r="A6" s="15" t="s">
        <v>1039</v>
      </c>
      <c r="B6" s="2" t="s">
        <v>746</v>
      </c>
      <c r="C6" s="179">
        <f>opex_sources!F91/opex_sources!F73</f>
        <v>1.1025641025641026</v>
      </c>
      <c r="D6" s="423">
        <f t="shared" si="1"/>
        <v>1.1025641025641026</v>
      </c>
      <c r="E6" s="423">
        <f t="shared" si="1"/>
        <v>1.1025641025641026</v>
      </c>
      <c r="F6" s="423">
        <f t="shared" si="1"/>
        <v>1.1025641025641026</v>
      </c>
      <c r="G6" s="423">
        <f t="shared" si="1"/>
        <v>1.1025641025641026</v>
      </c>
      <c r="H6" s="423">
        <f t="shared" si="1"/>
        <v>1.1025641025641026</v>
      </c>
      <c r="I6" s="423">
        <f t="shared" si="1"/>
        <v>1.1025641025641026</v>
      </c>
      <c r="J6" s="423">
        <f t="shared" si="1"/>
        <v>1.1025641025641026</v>
      </c>
      <c r="K6" s="2"/>
    </row>
    <row r="7" spans="1:11" s="20" customFormat="1" ht="15" customHeight="1" x14ac:dyDescent="0.25">
      <c r="A7" s="15" t="s">
        <v>1040</v>
      </c>
      <c r="B7" s="2" t="s">
        <v>166</v>
      </c>
      <c r="C7" s="179">
        <v>1</v>
      </c>
      <c r="D7" s="423">
        <f>$C7</f>
        <v>1</v>
      </c>
      <c r="E7" s="423">
        <f t="shared" ref="E7:J7" si="2">$C7</f>
        <v>1</v>
      </c>
      <c r="F7" s="423">
        <f t="shared" si="2"/>
        <v>1</v>
      </c>
      <c r="G7" s="423">
        <f t="shared" si="2"/>
        <v>1</v>
      </c>
      <c r="H7" s="423">
        <f t="shared" si="2"/>
        <v>1</v>
      </c>
      <c r="I7" s="423">
        <f t="shared" si="2"/>
        <v>1</v>
      </c>
      <c r="J7" s="423">
        <f t="shared" si="2"/>
        <v>1</v>
      </c>
      <c r="K7" s="2"/>
    </row>
    <row r="8" spans="1:11" s="20" customFormat="1" ht="15" customHeight="1" x14ac:dyDescent="0.25">
      <c r="A8" s="373" t="s">
        <v>917</v>
      </c>
      <c r="B8" s="373"/>
      <c r="C8" s="432">
        <v>2015</v>
      </c>
      <c r="D8" s="432">
        <v>2020</v>
      </c>
      <c r="E8" s="432">
        <v>2025</v>
      </c>
      <c r="F8" s="432">
        <v>2030</v>
      </c>
      <c r="G8" s="432">
        <v>2035</v>
      </c>
      <c r="H8" s="432">
        <v>2040</v>
      </c>
      <c r="I8" s="432">
        <v>2045</v>
      </c>
      <c r="J8" s="432">
        <v>2050</v>
      </c>
      <c r="K8" s="431"/>
    </row>
    <row r="9" spans="1:11" s="20" customFormat="1" ht="15" customHeight="1" x14ac:dyDescent="0.25">
      <c r="A9" s="15" t="s">
        <v>1041</v>
      </c>
      <c r="B9" s="2" t="s">
        <v>735</v>
      </c>
      <c r="C9" s="179">
        <f>opex_sources!F125/opex_sources!F125</f>
        <v>1</v>
      </c>
      <c r="D9" s="423">
        <f>$C9</f>
        <v>1</v>
      </c>
      <c r="E9" s="423">
        <f t="shared" ref="E9:J9" si="3">$C9</f>
        <v>1</v>
      </c>
      <c r="F9" s="423">
        <f t="shared" si="3"/>
        <v>1</v>
      </c>
      <c r="G9" s="423">
        <f t="shared" si="3"/>
        <v>1</v>
      </c>
      <c r="H9" s="423">
        <f t="shared" si="3"/>
        <v>1</v>
      </c>
      <c r="I9" s="423">
        <f t="shared" si="3"/>
        <v>1</v>
      </c>
      <c r="J9" s="423">
        <f t="shared" si="3"/>
        <v>1</v>
      </c>
      <c r="K9" s="2"/>
    </row>
    <row r="10" spans="1:11" s="20" customFormat="1" ht="15" customHeight="1" x14ac:dyDescent="0.25">
      <c r="A10" s="15" t="s">
        <v>1042</v>
      </c>
      <c r="B10" s="2" t="s">
        <v>736</v>
      </c>
      <c r="C10" s="179">
        <f>opex_sources!F131/opex_sources!F125</f>
        <v>1.7254901960784315</v>
      </c>
      <c r="D10" s="423">
        <f t="shared" ref="D10:J11" si="4">$C10</f>
        <v>1.7254901960784315</v>
      </c>
      <c r="E10" s="423">
        <f t="shared" si="4"/>
        <v>1.7254901960784315</v>
      </c>
      <c r="F10" s="423">
        <f t="shared" si="4"/>
        <v>1.7254901960784315</v>
      </c>
      <c r="G10" s="423">
        <f t="shared" si="4"/>
        <v>1.7254901960784315</v>
      </c>
      <c r="H10" s="423">
        <f t="shared" si="4"/>
        <v>1.7254901960784315</v>
      </c>
      <c r="I10" s="423">
        <f t="shared" si="4"/>
        <v>1.7254901960784315</v>
      </c>
      <c r="J10" s="423">
        <f t="shared" si="4"/>
        <v>1.7254901960784315</v>
      </c>
      <c r="K10" s="2"/>
    </row>
    <row r="11" spans="1:11" s="20" customFormat="1" ht="15" customHeight="1" x14ac:dyDescent="0.25">
      <c r="A11" s="15" t="s">
        <v>1043</v>
      </c>
      <c r="B11" s="2" t="s">
        <v>744</v>
      </c>
      <c r="C11" s="179">
        <f>opex_sources!F137/opex_sources!F125</f>
        <v>2.1372549019607843</v>
      </c>
      <c r="D11" s="423">
        <f t="shared" si="4"/>
        <v>2.1372549019607843</v>
      </c>
      <c r="E11" s="423">
        <f t="shared" si="4"/>
        <v>2.1372549019607843</v>
      </c>
      <c r="F11" s="423">
        <f t="shared" si="4"/>
        <v>2.1372549019607843</v>
      </c>
      <c r="G11" s="423">
        <f t="shared" si="4"/>
        <v>2.1372549019607843</v>
      </c>
      <c r="H11" s="423">
        <f t="shared" si="4"/>
        <v>2.1372549019607843</v>
      </c>
      <c r="I11" s="423">
        <f t="shared" si="4"/>
        <v>2.1372549019607843</v>
      </c>
      <c r="J11" s="423">
        <f t="shared" si="4"/>
        <v>2.1372549019607843</v>
      </c>
      <c r="K11" s="2"/>
    </row>
    <row r="12" spans="1:11" s="20" customFormat="1" ht="15" customHeight="1" x14ac:dyDescent="0.25">
      <c r="A12" s="15" t="s">
        <v>161</v>
      </c>
      <c r="B12" s="2" t="s">
        <v>160</v>
      </c>
      <c r="C12" s="179">
        <v>1</v>
      </c>
      <c r="D12" s="423">
        <f>$C12</f>
        <v>1</v>
      </c>
      <c r="E12" s="423">
        <f t="shared" ref="E12:J12" si="5">$C12</f>
        <v>1</v>
      </c>
      <c r="F12" s="423">
        <f t="shared" si="5"/>
        <v>1</v>
      </c>
      <c r="G12" s="423">
        <f t="shared" si="5"/>
        <v>1</v>
      </c>
      <c r="H12" s="423">
        <f t="shared" si="5"/>
        <v>1</v>
      </c>
      <c r="I12" s="423">
        <f t="shared" si="5"/>
        <v>1</v>
      </c>
      <c r="J12" s="423">
        <f t="shared" si="5"/>
        <v>1</v>
      </c>
      <c r="K12" s="2"/>
    </row>
    <row r="13" spans="1:11" s="20" customFormat="1" ht="15" customHeight="1" x14ac:dyDescent="0.25">
      <c r="A13" s="373" t="s">
        <v>1054</v>
      </c>
      <c r="B13" s="373"/>
      <c r="C13" s="432">
        <v>2015</v>
      </c>
      <c r="D13" s="432">
        <v>2020</v>
      </c>
      <c r="E13" s="432">
        <v>2025</v>
      </c>
      <c r="F13" s="432">
        <v>2030</v>
      </c>
      <c r="G13" s="432">
        <v>2035</v>
      </c>
      <c r="H13" s="432">
        <v>2040</v>
      </c>
      <c r="I13" s="432">
        <v>2045</v>
      </c>
      <c r="J13" s="432">
        <v>2050</v>
      </c>
      <c r="K13" s="431"/>
    </row>
    <row r="14" spans="1:11" ht="15" customHeight="1" x14ac:dyDescent="0.25">
      <c r="A14" s="15" t="s">
        <v>1044</v>
      </c>
      <c r="B14" s="2" t="s">
        <v>737</v>
      </c>
      <c r="C14" s="179">
        <f>opex_sources!F145/opex_sources!F145</f>
        <v>1</v>
      </c>
      <c r="D14" s="423">
        <f>$C14</f>
        <v>1</v>
      </c>
      <c r="E14" s="423">
        <f t="shared" ref="E14:J14" si="6">$C14</f>
        <v>1</v>
      </c>
      <c r="F14" s="423">
        <f t="shared" si="6"/>
        <v>1</v>
      </c>
      <c r="G14" s="423">
        <f t="shared" si="6"/>
        <v>1</v>
      </c>
      <c r="H14" s="423">
        <f t="shared" si="6"/>
        <v>1</v>
      </c>
      <c r="I14" s="423">
        <f t="shared" si="6"/>
        <v>1</v>
      </c>
      <c r="J14" s="423">
        <f t="shared" si="6"/>
        <v>1</v>
      </c>
    </row>
    <row r="15" spans="1:11" ht="15" customHeight="1" x14ac:dyDescent="0.25">
      <c r="A15" s="15" t="s">
        <v>1045</v>
      </c>
      <c r="B15" s="2" t="s">
        <v>738</v>
      </c>
      <c r="C15" s="179">
        <f>opex_sources!F153/opex_sources!F145</f>
        <v>1.3309178743961352</v>
      </c>
      <c r="D15" s="423">
        <f t="shared" ref="D15:J16" si="7">$C15</f>
        <v>1.3309178743961352</v>
      </c>
      <c r="E15" s="423">
        <f t="shared" si="7"/>
        <v>1.3309178743961352</v>
      </c>
      <c r="F15" s="423">
        <f t="shared" si="7"/>
        <v>1.3309178743961352</v>
      </c>
      <c r="G15" s="423">
        <f t="shared" si="7"/>
        <v>1.3309178743961352</v>
      </c>
      <c r="H15" s="423">
        <f t="shared" si="7"/>
        <v>1.3309178743961352</v>
      </c>
      <c r="I15" s="423">
        <f t="shared" si="7"/>
        <v>1.3309178743961352</v>
      </c>
      <c r="J15" s="423">
        <f t="shared" si="7"/>
        <v>1.3309178743961352</v>
      </c>
    </row>
    <row r="16" spans="1:11" ht="15" customHeight="1" x14ac:dyDescent="0.25">
      <c r="A16" s="15" t="s">
        <v>1046</v>
      </c>
      <c r="B16" s="2" t="s">
        <v>748</v>
      </c>
      <c r="C16" s="179">
        <f>opex_sources!F161/opex_sources!F145</f>
        <v>1.4669887278582932</v>
      </c>
      <c r="D16" s="423">
        <f t="shared" si="7"/>
        <v>1.4669887278582932</v>
      </c>
      <c r="E16" s="423">
        <f t="shared" si="7"/>
        <v>1.4669887278582932</v>
      </c>
      <c r="F16" s="423">
        <f t="shared" si="7"/>
        <v>1.4669887278582932</v>
      </c>
      <c r="G16" s="423">
        <f t="shared" si="7"/>
        <v>1.4669887278582932</v>
      </c>
      <c r="H16" s="423">
        <f t="shared" si="7"/>
        <v>1.4669887278582932</v>
      </c>
      <c r="I16" s="423">
        <f t="shared" si="7"/>
        <v>1.4669887278582932</v>
      </c>
      <c r="J16" s="423">
        <f t="shared" si="7"/>
        <v>1.4669887278582932</v>
      </c>
    </row>
    <row r="17" spans="1:11" ht="15" customHeight="1" x14ac:dyDescent="0.25">
      <c r="A17" s="15" t="s">
        <v>1047</v>
      </c>
      <c r="B17" s="2" t="s">
        <v>140</v>
      </c>
      <c r="C17" s="179">
        <v>1</v>
      </c>
      <c r="D17" s="423">
        <f>$C17</f>
        <v>1</v>
      </c>
      <c r="E17" s="423">
        <f t="shared" ref="E17:J17" si="8">$C17</f>
        <v>1</v>
      </c>
      <c r="F17" s="423">
        <f t="shared" si="8"/>
        <v>1</v>
      </c>
      <c r="G17" s="423">
        <f t="shared" si="8"/>
        <v>1</v>
      </c>
      <c r="H17" s="423">
        <f t="shared" si="8"/>
        <v>1</v>
      </c>
      <c r="I17" s="423">
        <f t="shared" si="8"/>
        <v>1</v>
      </c>
      <c r="J17" s="423">
        <f t="shared" si="8"/>
        <v>1</v>
      </c>
    </row>
    <row r="18" spans="1:11" ht="15" customHeight="1" x14ac:dyDescent="0.25">
      <c r="A18" s="373" t="s">
        <v>1055</v>
      </c>
      <c r="B18" s="373"/>
      <c r="C18" s="432">
        <v>2015</v>
      </c>
      <c r="D18" s="432">
        <v>2020</v>
      </c>
      <c r="E18" s="432">
        <v>2025</v>
      </c>
      <c r="F18" s="432">
        <v>2030</v>
      </c>
      <c r="G18" s="432">
        <v>2035</v>
      </c>
      <c r="H18" s="432">
        <v>2040</v>
      </c>
      <c r="I18" s="432">
        <v>2045</v>
      </c>
      <c r="J18" s="432">
        <v>2050</v>
      </c>
      <c r="K18" s="431"/>
    </row>
    <row r="19" spans="1:11" s="20" customFormat="1" ht="15" customHeight="1" x14ac:dyDescent="0.25">
      <c r="A19" s="15" t="s">
        <v>1049</v>
      </c>
      <c r="B19" s="2" t="s">
        <v>739</v>
      </c>
      <c r="C19" s="179">
        <f>opex_sources!F167/opex_sources!F167</f>
        <v>1</v>
      </c>
      <c r="D19" s="423">
        <f>$C19</f>
        <v>1</v>
      </c>
      <c r="E19" s="423">
        <f t="shared" ref="E19:J19" si="9">$C19</f>
        <v>1</v>
      </c>
      <c r="F19" s="423">
        <f t="shared" si="9"/>
        <v>1</v>
      </c>
      <c r="G19" s="423">
        <f t="shared" si="9"/>
        <v>1</v>
      </c>
      <c r="H19" s="423">
        <f t="shared" si="9"/>
        <v>1</v>
      </c>
      <c r="I19" s="423">
        <f t="shared" si="9"/>
        <v>1</v>
      </c>
      <c r="J19" s="423">
        <f t="shared" si="9"/>
        <v>1</v>
      </c>
      <c r="K19" s="2"/>
    </row>
    <row r="20" spans="1:11" s="20" customFormat="1" ht="15" customHeight="1" x14ac:dyDescent="0.25">
      <c r="A20" s="15" t="s">
        <v>1050</v>
      </c>
      <c r="B20" s="2" t="s">
        <v>740</v>
      </c>
      <c r="C20" s="179">
        <f>opex_sources!F173/opex_sources!F167</f>
        <v>1.3229665071770336</v>
      </c>
      <c r="D20" s="423">
        <f t="shared" ref="D20:J21" si="10">$C20</f>
        <v>1.3229665071770336</v>
      </c>
      <c r="E20" s="423">
        <f t="shared" si="10"/>
        <v>1.3229665071770336</v>
      </c>
      <c r="F20" s="423">
        <f t="shared" si="10"/>
        <v>1.3229665071770336</v>
      </c>
      <c r="G20" s="423">
        <f t="shared" si="10"/>
        <v>1.3229665071770336</v>
      </c>
      <c r="H20" s="423">
        <f t="shared" si="10"/>
        <v>1.3229665071770336</v>
      </c>
      <c r="I20" s="423">
        <f t="shared" si="10"/>
        <v>1.3229665071770336</v>
      </c>
      <c r="J20" s="423">
        <f t="shared" si="10"/>
        <v>1.3229665071770336</v>
      </c>
      <c r="K20" s="2"/>
    </row>
    <row r="21" spans="1:11" s="20" customFormat="1" ht="15" customHeight="1" x14ac:dyDescent="0.25">
      <c r="A21" s="15" t="s">
        <v>1051</v>
      </c>
      <c r="B21" s="2" t="s">
        <v>926</v>
      </c>
      <c r="C21" s="179">
        <f>opex_sources!F179/opex_sources!F167</f>
        <v>1.7894736842105263</v>
      </c>
      <c r="D21" s="423">
        <f t="shared" si="10"/>
        <v>1.7894736842105263</v>
      </c>
      <c r="E21" s="423">
        <f t="shared" si="10"/>
        <v>1.7894736842105263</v>
      </c>
      <c r="F21" s="423">
        <f t="shared" si="10"/>
        <v>1.7894736842105263</v>
      </c>
      <c r="G21" s="423">
        <f t="shared" si="10"/>
        <v>1.7894736842105263</v>
      </c>
      <c r="H21" s="423">
        <f t="shared" si="10"/>
        <v>1.7894736842105263</v>
      </c>
      <c r="I21" s="423">
        <f t="shared" si="10"/>
        <v>1.7894736842105263</v>
      </c>
      <c r="J21" s="423">
        <f t="shared" si="10"/>
        <v>1.7894736842105263</v>
      </c>
      <c r="K21" s="2"/>
    </row>
    <row r="22" spans="1:11" s="20" customFormat="1" ht="15" customHeight="1" x14ac:dyDescent="0.25">
      <c r="A22" s="373" t="s">
        <v>944</v>
      </c>
      <c r="B22" s="373"/>
      <c r="C22" s="432">
        <v>2015</v>
      </c>
      <c r="D22" s="432">
        <v>2020</v>
      </c>
      <c r="E22" s="432">
        <v>2025</v>
      </c>
      <c r="F22" s="432">
        <v>2030</v>
      </c>
      <c r="G22" s="432">
        <v>2035</v>
      </c>
      <c r="H22" s="432">
        <v>2040</v>
      </c>
      <c r="I22" s="432">
        <v>2045</v>
      </c>
      <c r="J22" s="432">
        <v>2050</v>
      </c>
      <c r="K22" s="431"/>
    </row>
    <row r="23" spans="1:11" ht="15" customHeight="1" x14ac:dyDescent="0.25">
      <c r="A23" s="15" t="s">
        <v>1052</v>
      </c>
      <c r="B23" s="2" t="s">
        <v>733</v>
      </c>
      <c r="C23" s="179">
        <f>opex_sources!F50/opex_sources!F50</f>
        <v>1</v>
      </c>
      <c r="D23" s="357">
        <f>C23+(F23-C23)/3</f>
        <v>1</v>
      </c>
      <c r="E23" s="357">
        <f>C23+2*(F23-C23)/3</f>
        <v>1</v>
      </c>
      <c r="F23" s="179">
        <f>opex_sources!G50/opex_sources!G50</f>
        <v>1</v>
      </c>
      <c r="G23" s="423">
        <f>$F23</f>
        <v>1</v>
      </c>
      <c r="H23" s="423">
        <f t="shared" ref="H23:J24" si="11">$F23</f>
        <v>1</v>
      </c>
      <c r="I23" s="423">
        <f t="shared" si="11"/>
        <v>1</v>
      </c>
      <c r="J23" s="423">
        <f t="shared" si="11"/>
        <v>1</v>
      </c>
    </row>
    <row r="24" spans="1:11" ht="15" customHeight="1" x14ac:dyDescent="0.25">
      <c r="A24" s="15" t="s">
        <v>1053</v>
      </c>
      <c r="B24" s="2" t="s">
        <v>734</v>
      </c>
      <c r="C24" s="179">
        <f>opex_sources!F64/opex_sources!F50</f>
        <v>1.4499999999999997</v>
      </c>
      <c r="D24" s="357">
        <f>C24+(F24-C24)/3</f>
        <v>1.3275862068965516</v>
      </c>
      <c r="E24" s="357">
        <f>C24+2*(F24-C24)/3</f>
        <v>1.2051724137931032</v>
      </c>
      <c r="F24" s="179">
        <f>opex_sources!G64/opex_sources!G50</f>
        <v>1.0827586206896551</v>
      </c>
      <c r="G24" s="423">
        <f>$F24</f>
        <v>1.0827586206896551</v>
      </c>
      <c r="H24" s="423">
        <f t="shared" si="11"/>
        <v>1.0827586206896551</v>
      </c>
      <c r="I24" s="423">
        <f t="shared" si="11"/>
        <v>1.0827586206896551</v>
      </c>
      <c r="J24" s="423">
        <f t="shared" si="11"/>
        <v>1.0827586206896551</v>
      </c>
    </row>
    <row r="25" spans="1:11" ht="15" customHeight="1" x14ac:dyDescent="0.25">
      <c r="A25" s="387" t="s">
        <v>637</v>
      </c>
      <c r="B25" s="387"/>
      <c r="C25" s="432">
        <v>2015</v>
      </c>
      <c r="D25" s="432">
        <v>2020</v>
      </c>
      <c r="E25" s="432">
        <v>2025</v>
      </c>
      <c r="F25" s="432">
        <v>2030</v>
      </c>
      <c r="G25" s="432">
        <v>2035</v>
      </c>
      <c r="H25" s="432">
        <v>2040</v>
      </c>
      <c r="I25" s="432">
        <v>2045</v>
      </c>
      <c r="J25" s="432">
        <v>2050</v>
      </c>
      <c r="K25" s="433"/>
    </row>
    <row r="26" spans="1:11" ht="15" customHeight="1" x14ac:dyDescent="0.25">
      <c r="A26" s="2" t="s">
        <v>2</v>
      </c>
      <c r="B26" s="2" t="s">
        <v>3</v>
      </c>
      <c r="C26" s="434"/>
      <c r="D26" s="434"/>
      <c r="E26" s="434"/>
      <c r="F26" s="434"/>
      <c r="G26" s="434"/>
      <c r="H26" s="434"/>
      <c r="I26" s="434"/>
      <c r="J26" s="434"/>
      <c r="K26" s="49"/>
    </row>
    <row r="27" spans="1:11" ht="15" customHeight="1" x14ac:dyDescent="0.25">
      <c r="A27" s="2" t="s">
        <v>4</v>
      </c>
      <c r="B27" s="2" t="s">
        <v>5</v>
      </c>
      <c r="C27" s="431"/>
      <c r="D27" s="431"/>
      <c r="E27" s="431"/>
      <c r="F27" s="431"/>
      <c r="G27" s="431"/>
      <c r="H27" s="431"/>
      <c r="I27" s="431"/>
      <c r="J27" s="431"/>
    </row>
    <row r="28" spans="1:11" ht="15" customHeight="1" x14ac:dyDescent="0.25">
      <c r="A28" s="2" t="s">
        <v>6</v>
      </c>
      <c r="B28" s="2" t="s">
        <v>7</v>
      </c>
      <c r="C28" s="431"/>
      <c r="D28" s="431"/>
      <c r="E28" s="431"/>
      <c r="F28" s="431"/>
      <c r="G28" s="431"/>
      <c r="H28" s="431"/>
      <c r="I28" s="431"/>
      <c r="J28" s="431"/>
    </row>
    <row r="29" spans="1:11" ht="15" customHeight="1" x14ac:dyDescent="0.25">
      <c r="A29" s="2" t="s">
        <v>8</v>
      </c>
      <c r="B29" s="2" t="s">
        <v>9</v>
      </c>
      <c r="C29" s="431"/>
      <c r="D29" s="431"/>
      <c r="E29" s="431"/>
      <c r="F29" s="431"/>
      <c r="G29" s="431"/>
      <c r="H29" s="431"/>
      <c r="I29" s="431"/>
      <c r="J29" s="431"/>
    </row>
    <row r="30" spans="1:11" ht="15" customHeight="1" x14ac:dyDescent="0.25">
      <c r="A30" s="2" t="s">
        <v>342</v>
      </c>
      <c r="B30" s="2" t="s">
        <v>336</v>
      </c>
      <c r="C30" s="431"/>
      <c r="D30" s="431"/>
      <c r="E30" s="431"/>
      <c r="F30" s="431"/>
      <c r="G30" s="431"/>
      <c r="H30" s="431"/>
      <c r="I30" s="431"/>
      <c r="J30" s="431"/>
    </row>
    <row r="31" spans="1:11" ht="15" customHeight="1" x14ac:dyDescent="0.25">
      <c r="A31" s="2" t="s">
        <v>343</v>
      </c>
      <c r="B31" s="2" t="s">
        <v>337</v>
      </c>
      <c r="C31" s="431"/>
      <c r="D31" s="431"/>
      <c r="E31" s="431"/>
      <c r="F31" s="431"/>
      <c r="G31" s="431"/>
      <c r="H31" s="431"/>
      <c r="I31" s="431"/>
      <c r="J31" s="431"/>
    </row>
    <row r="32" spans="1:11" ht="15" customHeight="1" x14ac:dyDescent="0.25">
      <c r="A32" s="1" t="s">
        <v>10</v>
      </c>
      <c r="B32" s="1" t="s">
        <v>11</v>
      </c>
      <c r="C32" s="431"/>
      <c r="D32" s="431"/>
      <c r="E32" s="431"/>
      <c r="F32" s="431"/>
      <c r="G32" s="431"/>
      <c r="H32" s="431"/>
      <c r="I32" s="431"/>
      <c r="J32" s="431"/>
    </row>
    <row r="33" spans="1:10" ht="15" customHeight="1" x14ac:dyDescent="0.25">
      <c r="A33" s="2" t="s">
        <v>12</v>
      </c>
      <c r="B33" s="2" t="s">
        <v>13</v>
      </c>
      <c r="C33" s="431"/>
      <c r="D33" s="431"/>
      <c r="E33" s="431"/>
      <c r="F33" s="431"/>
      <c r="G33" s="431"/>
      <c r="H33" s="431"/>
      <c r="I33" s="431"/>
      <c r="J33" s="431"/>
    </row>
    <row r="34" spans="1:10" ht="15" customHeight="1" x14ac:dyDescent="0.25">
      <c r="A34" s="2" t="s">
        <v>831</v>
      </c>
      <c r="B34" s="2" t="s">
        <v>338</v>
      </c>
      <c r="C34" s="431"/>
      <c r="D34" s="431"/>
      <c r="E34" s="431"/>
      <c r="F34" s="431"/>
      <c r="G34" s="431"/>
      <c r="H34" s="431"/>
      <c r="I34" s="431"/>
      <c r="J34" s="431"/>
    </row>
    <row r="35" spans="1:10" ht="15" customHeight="1" x14ac:dyDescent="0.25">
      <c r="A35" s="2" t="s">
        <v>832</v>
      </c>
      <c r="B35" s="2" t="s">
        <v>339</v>
      </c>
      <c r="C35" s="431"/>
      <c r="D35" s="431"/>
      <c r="E35" s="431"/>
      <c r="F35" s="431"/>
      <c r="G35" s="431"/>
      <c r="H35" s="431"/>
      <c r="I35" s="431"/>
      <c r="J35" s="431"/>
    </row>
    <row r="36" spans="1:10" ht="15" customHeight="1" x14ac:dyDescent="0.25">
      <c r="A36" s="2" t="s">
        <v>14</v>
      </c>
      <c r="B36" s="2" t="s">
        <v>15</v>
      </c>
      <c r="C36" s="431"/>
      <c r="D36" s="431"/>
      <c r="E36" s="431"/>
      <c r="F36" s="431"/>
      <c r="G36" s="431"/>
      <c r="H36" s="431"/>
      <c r="I36" s="431"/>
      <c r="J36" s="431"/>
    </row>
    <row r="37" spans="1:10" ht="15" customHeight="1" x14ac:dyDescent="0.25">
      <c r="A37" s="2" t="s">
        <v>16</v>
      </c>
      <c r="B37" s="2" t="s">
        <v>17</v>
      </c>
      <c r="C37" s="431"/>
      <c r="D37" s="431"/>
      <c r="E37" s="431"/>
      <c r="F37" s="431"/>
      <c r="G37" s="431"/>
      <c r="H37" s="431"/>
      <c r="I37" s="431"/>
      <c r="J37" s="431"/>
    </row>
    <row r="38" spans="1:10" ht="15" customHeight="1" x14ac:dyDescent="0.25">
      <c r="A38" s="2" t="s">
        <v>18</v>
      </c>
      <c r="B38" s="2" t="s">
        <v>19</v>
      </c>
      <c r="C38" s="431"/>
      <c r="D38" s="431"/>
      <c r="E38" s="431"/>
      <c r="F38" s="431"/>
      <c r="G38" s="431"/>
      <c r="H38" s="431"/>
      <c r="I38" s="431"/>
      <c r="J38" s="431"/>
    </row>
  </sheetData>
  <pageMargins left="0.7" right="0.7" top="0.78740157499999996" bottom="0.78740157499999996" header="0.3" footer="0.3"/>
  <pageSetup paperSize="9" orientation="portrait" verticalDpi="0"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72"/>
  <sheetViews>
    <sheetView zoomScale="75" zoomScaleNormal="75" workbookViewId="0">
      <pane xSplit="3" ySplit="1" topLeftCell="D2" activePane="bottomRight" state="frozen"/>
      <selection pane="topRight" activeCell="D1" sqref="D1"/>
      <selection pane="bottomLeft" activeCell="A2" sqref="A2"/>
      <selection pane="bottomRight" activeCell="D4" sqref="D4"/>
    </sheetView>
  </sheetViews>
  <sheetFormatPr defaultColWidth="8.25" defaultRowHeight="15" x14ac:dyDescent="0.25"/>
  <cols>
    <col min="1" max="1" width="94.25" style="118" bestFit="1" customWidth="1"/>
    <col min="2" max="2" width="14.625" style="118" customWidth="1"/>
    <col min="3" max="3" width="21.125" style="118" customWidth="1"/>
    <col min="4" max="27" width="10.25" style="15" customWidth="1"/>
    <col min="28" max="16384" width="8.25" style="15"/>
  </cols>
  <sheetData>
    <row r="1" spans="1:27" x14ac:dyDescent="0.25">
      <c r="A1" s="387" t="s">
        <v>0</v>
      </c>
      <c r="B1" s="387" t="s">
        <v>1</v>
      </c>
      <c r="C1" s="387" t="s">
        <v>1147</v>
      </c>
      <c r="D1" s="373" t="s">
        <v>1163</v>
      </c>
      <c r="E1" s="297"/>
      <c r="F1" s="297"/>
      <c r="G1" s="297"/>
      <c r="H1" s="297"/>
      <c r="I1" s="297"/>
      <c r="J1" s="297"/>
      <c r="K1" s="297"/>
      <c r="L1" s="373" t="s">
        <v>1153</v>
      </c>
      <c r="M1" s="297"/>
      <c r="N1" s="297"/>
      <c r="O1" s="297"/>
      <c r="P1" s="297"/>
      <c r="Q1" s="297"/>
      <c r="R1" s="297"/>
      <c r="S1" s="297"/>
      <c r="T1" s="134" t="s">
        <v>1154</v>
      </c>
      <c r="U1" s="133"/>
      <c r="V1" s="133"/>
      <c r="W1" s="133"/>
      <c r="X1" s="133"/>
      <c r="Y1" s="133"/>
      <c r="Z1" s="133"/>
      <c r="AA1" s="133"/>
    </row>
    <row r="2" spans="1:27" x14ac:dyDescent="0.25">
      <c r="A2" s="375" t="s">
        <v>1057</v>
      </c>
      <c r="B2" s="375"/>
      <c r="C2" s="375"/>
      <c r="D2" s="297"/>
      <c r="E2" s="297"/>
      <c r="F2" s="297"/>
      <c r="G2" s="297"/>
      <c r="H2" s="297"/>
      <c r="I2" s="297"/>
      <c r="J2" s="297"/>
      <c r="K2" s="297"/>
      <c r="L2" s="297"/>
      <c r="M2" s="297"/>
      <c r="N2" s="297"/>
      <c r="O2" s="297"/>
      <c r="P2" s="297"/>
      <c r="Q2" s="297"/>
      <c r="R2" s="297"/>
      <c r="S2" s="297"/>
      <c r="T2" s="297"/>
      <c r="U2" s="297"/>
      <c r="V2" s="297"/>
      <c r="W2" s="297"/>
      <c r="X2" s="297"/>
      <c r="Y2" s="297"/>
      <c r="Z2" s="297"/>
      <c r="AA2" s="297"/>
    </row>
    <row r="3" spans="1:27" x14ac:dyDescent="0.25">
      <c r="A3" s="375" t="s">
        <v>914</v>
      </c>
      <c r="B3" s="375"/>
      <c r="C3" s="375"/>
      <c r="D3" s="422" t="s">
        <v>1164</v>
      </c>
      <c r="E3" s="422" t="s">
        <v>1165</v>
      </c>
      <c r="F3" s="422" t="s">
        <v>1166</v>
      </c>
      <c r="G3" s="422" t="s">
        <v>1167</v>
      </c>
      <c r="H3" s="422" t="s">
        <v>1168</v>
      </c>
      <c r="I3" s="422" t="s">
        <v>1169</v>
      </c>
      <c r="J3" s="422" t="s">
        <v>1170</v>
      </c>
      <c r="K3" s="422" t="s">
        <v>1171</v>
      </c>
      <c r="L3" s="176" t="s">
        <v>1121</v>
      </c>
      <c r="M3" s="176" t="s">
        <v>1122</v>
      </c>
      <c r="N3" s="176" t="s">
        <v>1123</v>
      </c>
      <c r="O3" s="176" t="s">
        <v>1124</v>
      </c>
      <c r="P3" s="176" t="s">
        <v>1125</v>
      </c>
      <c r="Q3" s="176" t="s">
        <v>1126</v>
      </c>
      <c r="R3" s="176" t="s">
        <v>1127</v>
      </c>
      <c r="S3" s="176" t="s">
        <v>1128</v>
      </c>
      <c r="T3" s="428" t="s">
        <v>1137</v>
      </c>
      <c r="U3" s="428" t="s">
        <v>1138</v>
      </c>
      <c r="V3" s="428" t="s">
        <v>1139</v>
      </c>
      <c r="W3" s="428" t="s">
        <v>1140</v>
      </c>
      <c r="X3" s="428" t="s">
        <v>1141</v>
      </c>
      <c r="Y3" s="428" t="s">
        <v>1142</v>
      </c>
      <c r="Z3" s="428" t="s">
        <v>1143</v>
      </c>
      <c r="AA3" s="428" t="s">
        <v>1144</v>
      </c>
    </row>
    <row r="4" spans="1:27" x14ac:dyDescent="0.25">
      <c r="A4" s="15" t="s">
        <v>1037</v>
      </c>
      <c r="B4" s="2" t="s">
        <v>730</v>
      </c>
      <c r="C4" s="15" t="str">
        <f>scen_input_electro_hydro!C4</f>
        <v>New processes pathway</v>
      </c>
      <c r="D4" s="116">
        <f>scen_input_electro_hydro!D4/SUM(scen_input_electro_hydro!$D$4:$D$6)</f>
        <v>1</v>
      </c>
      <c r="E4" s="116">
        <f>scen_input_electro_hydro!E4/SUM(scen_input_electro_hydro!$D$4:$D$6)</f>
        <v>0.85714285714285721</v>
      </c>
      <c r="F4" s="116">
        <f>scen_input_electro_hydro!F4/SUM(scen_input_electro_hydro!$D$4:$D$6)</f>
        <v>0.7142857142857143</v>
      </c>
      <c r="G4" s="116">
        <f>scen_input_electro_hydro!G4/SUM(scen_input_electro_hydro!$D$4:$D$6)</f>
        <v>0.5714285714285714</v>
      </c>
      <c r="H4" s="116">
        <f>scen_input_electro_hydro!H4/SUM(scen_input_electro_hydro!$D$4:$D$6)</f>
        <v>0.4285714285714286</v>
      </c>
      <c r="I4" s="116">
        <f>scen_input_electro_hydro!I4/SUM(scen_input_electro_hydro!$D$4:$D$6)</f>
        <v>0.2857142857142857</v>
      </c>
      <c r="J4" s="116">
        <f>scen_input_electro_hydro!J4/SUM(scen_input_electro_hydro!$D$4:$D$6)</f>
        <v>0.1428571428571429</v>
      </c>
      <c r="K4" s="116">
        <f>scen_input_electro_hydro!K4/SUM(scen_input_electro_hydro!$D$4:$D$6)</f>
        <v>0</v>
      </c>
      <c r="L4" s="116">
        <f>D4*cost_projections!C4*D$7</f>
        <v>1</v>
      </c>
      <c r="M4" s="116">
        <f>E4*cost_projections!D4*E$7</f>
        <v>0.82449795918367363</v>
      </c>
      <c r="N4" s="116">
        <f>F4*cost_projections!E4*F$7</f>
        <v>0.65987755102040824</v>
      </c>
      <c r="O4" s="116">
        <f>G4*cost_projections!F4*G$7</f>
        <v>0.50613877551020403</v>
      </c>
      <c r="P4" s="116">
        <f>H4*cost_projections!G4*H$7</f>
        <v>0.36328163265306124</v>
      </c>
      <c r="Q4" s="116">
        <f>I4*cost_projections!H4*I$7</f>
        <v>0.23130612244897958</v>
      </c>
      <c r="R4" s="116">
        <f>J4*cost_projections!I4*J$7</f>
        <v>0.11021224489795922</v>
      </c>
      <c r="S4" s="116">
        <f>K4*cost_projections!J4*K$7</f>
        <v>0</v>
      </c>
      <c r="T4" s="116">
        <f>L4/L$7*T$7</f>
        <v>1</v>
      </c>
      <c r="U4" s="116">
        <f t="shared" ref="U4:AA6" si="0">M4/M$7*U$7</f>
        <v>0.82449795918367363</v>
      </c>
      <c r="V4" s="116">
        <f t="shared" si="0"/>
        <v>0.65987755102040824</v>
      </c>
      <c r="W4" s="116">
        <f t="shared" si="0"/>
        <v>0.50613877551020403</v>
      </c>
      <c r="X4" s="116">
        <f t="shared" si="0"/>
        <v>0.36328163265306124</v>
      </c>
      <c r="Y4" s="116">
        <f t="shared" si="0"/>
        <v>0.23130612244897961</v>
      </c>
      <c r="Z4" s="116">
        <f t="shared" si="0"/>
        <v>0.11021224489795921</v>
      </c>
      <c r="AA4" s="116">
        <f t="shared" si="0"/>
        <v>0</v>
      </c>
    </row>
    <row r="5" spans="1:27" x14ac:dyDescent="0.25">
      <c r="A5" s="15" t="s">
        <v>1038</v>
      </c>
      <c r="B5" s="2" t="s">
        <v>731</v>
      </c>
      <c r="C5" s="15" t="str">
        <f>scen_input_electro_hydro!C5</f>
        <v>New processes pathway</v>
      </c>
      <c r="D5" s="116">
        <f>scen_input_electro_hydro!D5/SUM(scen_input_electro_hydro!$D$4:$D$6)</f>
        <v>0</v>
      </c>
      <c r="E5" s="116">
        <f>scen_input_electro_hydro!E5/SUM(scen_input_electro_hydro!$D$4:$D$6)</f>
        <v>9.0985714285714295E-2</v>
      </c>
      <c r="F5" s="116">
        <f>scen_input_electro_hydro!F5/SUM(scen_input_electro_hydro!$D$4:$D$6)</f>
        <v>0.18197142857142859</v>
      </c>
      <c r="G5" s="116">
        <f>scen_input_electro_hydro!G5/SUM(scen_input_electro_hydro!$D$4:$D$6)</f>
        <v>0.27295714285714284</v>
      </c>
      <c r="H5" s="116">
        <f>scen_input_electro_hydro!H5/SUM(scen_input_electro_hydro!$D$4:$D$6)</f>
        <v>0.36394285714285718</v>
      </c>
      <c r="I5" s="116">
        <f>scen_input_electro_hydro!I5/SUM(scen_input_electro_hydro!$D$4:$D$6)</f>
        <v>0.4549285714285714</v>
      </c>
      <c r="J5" s="116">
        <f>scen_input_electro_hydro!J5/SUM(scen_input_electro_hydro!$D$4:$D$6)</f>
        <v>0.54591428571428569</v>
      </c>
      <c r="K5" s="116">
        <f>scen_input_electro_hydro!K5/SUM(scen_input_electro_hydro!$D$4:$D$6)</f>
        <v>0.63690000000000002</v>
      </c>
      <c r="L5" s="116">
        <f>D5*cost_projections!C5*D$7</f>
        <v>0</v>
      </c>
      <c r="M5" s="116">
        <f>E5*cost_projections!D5*E$7</f>
        <v>0.10338955246692086</v>
      </c>
      <c r="N5" s="116">
        <f>F5*cost_projections!E5*F$7</f>
        <v>0.19859196183000677</v>
      </c>
      <c r="O5" s="116">
        <f>G5*cost_projections!F5*G$7</f>
        <v>0.2856072280892577</v>
      </c>
      <c r="P5" s="116">
        <f>H5*cost_projections!G5*H$7</f>
        <v>0.36443535124467374</v>
      </c>
      <c r="Q5" s="116">
        <f>I5*cost_projections!H5*I$7</f>
        <v>0.43507633129625478</v>
      </c>
      <c r="R5" s="116">
        <f>J5*cost_projections!I5*J$7</f>
        <v>0.49753016824400093</v>
      </c>
      <c r="S5" s="116">
        <f>K5*cost_projections!J5*K$7</f>
        <v>0.55179686208791212</v>
      </c>
      <c r="T5" s="116">
        <f t="shared" ref="T5" si="1">L5/L$7*T$7</f>
        <v>0</v>
      </c>
      <c r="U5" s="116">
        <f t="shared" si="0"/>
        <v>0.10338955246692086</v>
      </c>
      <c r="V5" s="116">
        <f t="shared" si="0"/>
        <v>0.19859196183000677</v>
      </c>
      <c r="W5" s="116">
        <f t="shared" si="0"/>
        <v>0.2856072280892577</v>
      </c>
      <c r="X5" s="116">
        <f t="shared" si="0"/>
        <v>0.36443535124467374</v>
      </c>
      <c r="Y5" s="116">
        <f t="shared" si="0"/>
        <v>0.43507633129625478</v>
      </c>
      <c r="Z5" s="116">
        <f t="shared" si="0"/>
        <v>0.49753016824400098</v>
      </c>
      <c r="AA5" s="116">
        <f t="shared" si="0"/>
        <v>0.55179686208791212</v>
      </c>
    </row>
    <row r="6" spans="1:27" x14ac:dyDescent="0.25">
      <c r="A6" s="15" t="s">
        <v>1039</v>
      </c>
      <c r="B6" s="2" t="s">
        <v>746</v>
      </c>
      <c r="C6" s="15" t="str">
        <f>scen_input_electro_hydro!C6</f>
        <v>New processes pathway</v>
      </c>
      <c r="D6" s="116">
        <f>scen_input_electro_hydro!D6/SUM(scen_input_electro_hydro!$D$4:$D$6)</f>
        <v>0</v>
      </c>
      <c r="E6" s="116">
        <f>scen_input_electro_hydro!E6/SUM(scen_input_electro_hydro!$D$4:$D$6)</f>
        <v>1.3785714285714287E-2</v>
      </c>
      <c r="F6" s="116">
        <f>scen_input_electro_hydro!F6/SUM(scen_input_electro_hydro!$D$4:$D$6)</f>
        <v>2.7571428571428573E-2</v>
      </c>
      <c r="G6" s="116">
        <f>scen_input_electro_hydro!G6/SUM(scen_input_electro_hydro!$D$4:$D$6)</f>
        <v>4.1357142857142856E-2</v>
      </c>
      <c r="H6" s="116">
        <f>scen_input_electro_hydro!H6/SUM(scen_input_electro_hydro!$D$4:$D$6)</f>
        <v>5.5142857142857146E-2</v>
      </c>
      <c r="I6" s="116">
        <f>scen_input_electro_hydro!I6/SUM(scen_input_electro_hydro!$D$4:$D$6)</f>
        <v>6.8928571428571436E-2</v>
      </c>
      <c r="J6" s="116">
        <f>scen_input_electro_hydro!J6/SUM(scen_input_electro_hydro!$D$4:$D$6)</f>
        <v>8.2714285714285712E-2</v>
      </c>
      <c r="K6" s="116">
        <f>scen_input_electro_hydro!K6/SUM(scen_input_electro_hydro!$D$4:$D$6)</f>
        <v>9.6500000000000002E-2</v>
      </c>
      <c r="L6" s="116">
        <f>D6*cost_projections!C6*D$7</f>
        <v>0</v>
      </c>
      <c r="M6" s="116">
        <f>E6*cost_projections!D6*E$7</f>
        <v>1.4620744793301941E-2</v>
      </c>
      <c r="N6" s="116">
        <f>F6*cost_projections!E6*F$7</f>
        <v>2.808371177394035E-2</v>
      </c>
      <c r="O6" s="116">
        <f>G6*cost_projections!F6*G$7</f>
        <v>4.0388900941915232E-2</v>
      </c>
      <c r="P6" s="116">
        <f>H6*cost_projections!G6*H$7</f>
        <v>5.1536312297226591E-2</v>
      </c>
      <c r="Q6" s="116">
        <f>I6*cost_projections!H6*I$7</f>
        <v>6.1525945839874426E-2</v>
      </c>
      <c r="R6" s="116">
        <f>J6*cost_projections!I6*J$7</f>
        <v>7.0357801569858713E-2</v>
      </c>
      <c r="S6" s="116">
        <f>K6*cost_projections!J6*K$7</f>
        <v>7.803187948717949E-2</v>
      </c>
      <c r="T6" s="116">
        <f>L6/L$7*T$7</f>
        <v>0</v>
      </c>
      <c r="U6" s="116">
        <f t="shared" si="0"/>
        <v>1.4620744793301941E-2</v>
      </c>
      <c r="V6" s="116">
        <f t="shared" si="0"/>
        <v>2.808371177394035E-2</v>
      </c>
      <c r="W6" s="116">
        <f t="shared" si="0"/>
        <v>4.0388900941915232E-2</v>
      </c>
      <c r="X6" s="116">
        <f t="shared" si="0"/>
        <v>5.1536312297226598E-2</v>
      </c>
      <c r="Y6" s="116">
        <f t="shared" si="0"/>
        <v>6.1525945839874432E-2</v>
      </c>
      <c r="Z6" s="116">
        <f t="shared" si="0"/>
        <v>7.0357801569858713E-2</v>
      </c>
      <c r="AA6" s="116">
        <f t="shared" si="0"/>
        <v>7.803187948717949E-2</v>
      </c>
    </row>
    <row r="7" spans="1:27" x14ac:dyDescent="0.25">
      <c r="A7" s="19" t="s">
        <v>1048</v>
      </c>
      <c r="B7" s="24"/>
      <c r="C7" s="15" t="str">
        <f>scen_input_electro_hydro!C7</f>
        <v>Baseline</v>
      </c>
      <c r="D7" s="47">
        <f>SUM(scen_input_electro_hydro!D4:D6)/SUM(scen_input_electro_hydro!$D4:$D6)</f>
        <v>1</v>
      </c>
      <c r="E7" s="47">
        <f>SUM(scen_input_electro_hydro!E4:E6)/SUM(scen_input_electro_hydro!$D4:$D6)</f>
        <v>0.96191428571428583</v>
      </c>
      <c r="F7" s="47">
        <f>SUM(scen_input_electro_hydro!F4:F6)/SUM(scen_input_electro_hydro!$D4:$D6)</f>
        <v>0.92382857142857144</v>
      </c>
      <c r="G7" s="47">
        <f>SUM(scen_input_electro_hydro!G4:G6)/SUM(scen_input_electro_hydro!$D4:$D6)</f>
        <v>0.88574285714285717</v>
      </c>
      <c r="H7" s="47">
        <f>SUM(scen_input_electro_hydro!H4:H6)/SUM(scen_input_electro_hydro!$D4:$D6)</f>
        <v>0.84765714285714289</v>
      </c>
      <c r="I7" s="47">
        <f>SUM(scen_input_electro_hydro!I4:I6)/SUM(scen_input_electro_hydro!$D4:$D6)</f>
        <v>0.80957142857142861</v>
      </c>
      <c r="J7" s="47">
        <f>SUM(scen_input_electro_hydro!J4:J6)/SUM(scen_input_electro_hydro!$D4:$D6)</f>
        <v>0.77148571428571433</v>
      </c>
      <c r="K7" s="47">
        <f>SUM(scen_input_electro_hydro!K4:K6)/SUM(scen_input_electro_hydro!$D4:$D6)</f>
        <v>0.73340000000000005</v>
      </c>
      <c r="L7" s="47">
        <f>SUM(L4:L6)</f>
        <v>1</v>
      </c>
      <c r="M7" s="47">
        <f t="shared" ref="M7:S7" si="2">SUM(M4:M6)</f>
        <v>0.94250825644389635</v>
      </c>
      <c r="N7" s="47">
        <f t="shared" si="2"/>
        <v>0.88655322462435526</v>
      </c>
      <c r="O7" s="47">
        <f t="shared" si="2"/>
        <v>0.83213490454137695</v>
      </c>
      <c r="P7" s="47">
        <f t="shared" si="2"/>
        <v>0.77925329619496153</v>
      </c>
      <c r="Q7" s="47">
        <f t="shared" si="2"/>
        <v>0.72790839958510878</v>
      </c>
      <c r="R7" s="47">
        <f t="shared" si="2"/>
        <v>0.67810021471181892</v>
      </c>
      <c r="S7" s="47">
        <f t="shared" si="2"/>
        <v>0.62982874157509161</v>
      </c>
      <c r="T7" s="47">
        <f>L7/$L7</f>
        <v>1</v>
      </c>
      <c r="U7" s="47">
        <f t="shared" ref="U7:AA7" si="3">M7/$L7</f>
        <v>0.94250825644389635</v>
      </c>
      <c r="V7" s="47">
        <f t="shared" si="3"/>
        <v>0.88655322462435526</v>
      </c>
      <c r="W7" s="47">
        <f t="shared" si="3"/>
        <v>0.83213490454137695</v>
      </c>
      <c r="X7" s="47">
        <f t="shared" si="3"/>
        <v>0.77925329619496153</v>
      </c>
      <c r="Y7" s="47">
        <f t="shared" si="3"/>
        <v>0.72790839958510878</v>
      </c>
      <c r="Z7" s="47">
        <f t="shared" si="3"/>
        <v>0.67810021471181892</v>
      </c>
      <c r="AA7" s="47">
        <f t="shared" si="3"/>
        <v>0.62982874157509161</v>
      </c>
    </row>
    <row r="8" spans="1:27" x14ac:dyDescent="0.25">
      <c r="A8" s="15" t="s">
        <v>1040</v>
      </c>
      <c r="B8" s="2" t="s">
        <v>166</v>
      </c>
      <c r="C8" s="15" t="str">
        <f>scen_input_electro_hydro!C8</f>
        <v>New processes pathway</v>
      </c>
      <c r="D8" s="116">
        <f>scen_input_electro_hydro!D8/SUM(scen_input_electro_hydro!$D$8)</f>
        <v>1</v>
      </c>
      <c r="E8" s="116">
        <f>scen_input_electro_hydro!E8/SUM(scen_input_electro_hydro!$D$8)</f>
        <v>1.1048861283643894</v>
      </c>
      <c r="F8" s="116">
        <f>scen_input_electro_hydro!F8/SUM(scen_input_electro_hydro!$D$8)</f>
        <v>1.2097722567287785</v>
      </c>
      <c r="G8" s="116">
        <f>scen_input_electro_hydro!G8/SUM(scen_input_electro_hydro!$D$8)</f>
        <v>1.3146583850931677</v>
      </c>
      <c r="H8" s="116">
        <f>scen_input_electro_hydro!H8/SUM(scen_input_electro_hydro!$D$8)</f>
        <v>1.4195445134575571</v>
      </c>
      <c r="I8" s="116">
        <f>scen_input_electro_hydro!I8/SUM(scen_input_electro_hydro!$D$8)</f>
        <v>1.5244306418219464</v>
      </c>
      <c r="J8" s="116">
        <f>scen_input_electro_hydro!J8/SUM(scen_input_electro_hydro!$D$8)</f>
        <v>1.6293167701863356</v>
      </c>
      <c r="K8" s="116">
        <f>scen_input_electro_hydro!K8/SUM(scen_input_electro_hydro!$D$8)</f>
        <v>1.734202898550725</v>
      </c>
      <c r="L8" s="116">
        <f>D8*cost_projections!C7*D$9</f>
        <v>1</v>
      </c>
      <c r="M8" s="116">
        <f>E8*cost_projections!D7*E$9</f>
        <v>1.22077335665205</v>
      </c>
      <c r="N8" s="116">
        <f>F8*cost_projections!E7*F$9</f>
        <v>1.4635489131506416</v>
      </c>
      <c r="O8" s="116">
        <f>G8*cost_projections!F7*G$9</f>
        <v>1.7283266694957755</v>
      </c>
      <c r="P8" s="116">
        <f>H8*cost_projections!G7*H$9</f>
        <v>2.0151066256874524</v>
      </c>
      <c r="Q8" s="116">
        <f>I8*cost_projections!H7*I$9</f>
        <v>2.3238887817256715</v>
      </c>
      <c r="R8" s="116">
        <f>J8*cost_projections!I7*J$9</f>
        <v>2.6546731376104322</v>
      </c>
      <c r="S8" s="116">
        <f>K8*cost_projections!J7*K$9</f>
        <v>3.0074596933417359</v>
      </c>
      <c r="T8" s="116">
        <f>L8/L$9*T$9</f>
        <v>1</v>
      </c>
      <c r="U8" s="116">
        <f t="shared" ref="U8:AA8" si="4">M8/M$9*U$9</f>
        <v>1.22077335665205</v>
      </c>
      <c r="V8" s="116">
        <f t="shared" si="4"/>
        <v>1.4635489131506416</v>
      </c>
      <c r="W8" s="116">
        <f t="shared" si="4"/>
        <v>1.7283266694957755</v>
      </c>
      <c r="X8" s="116">
        <f t="shared" si="4"/>
        <v>2.0151066256874524</v>
      </c>
      <c r="Y8" s="116">
        <f t="shared" si="4"/>
        <v>2.3238887817256715</v>
      </c>
      <c r="Z8" s="116">
        <f t="shared" si="4"/>
        <v>2.6546731376104322</v>
      </c>
      <c r="AA8" s="116">
        <f t="shared" si="4"/>
        <v>3.0074596933417359</v>
      </c>
    </row>
    <row r="9" spans="1:27" x14ac:dyDescent="0.25">
      <c r="A9" s="19" t="s">
        <v>1048</v>
      </c>
      <c r="B9" s="19"/>
      <c r="C9" s="15" t="str">
        <f>scen_input_electro_hydro!C9</f>
        <v>Baseline</v>
      </c>
      <c r="D9" s="47">
        <f>SUM(scen_input_electro_hydro!D8)/SUM(scen_input_electro_hydro!$D8)</f>
        <v>1</v>
      </c>
      <c r="E9" s="47">
        <f>SUM(scen_input_electro_hydro!E8)/SUM(scen_input_electro_hydro!$D8)</f>
        <v>1.1048861283643894</v>
      </c>
      <c r="F9" s="47">
        <f>SUM(scen_input_electro_hydro!F8)/SUM(scen_input_electro_hydro!$D8)</f>
        <v>1.2097722567287785</v>
      </c>
      <c r="G9" s="47">
        <f>SUM(scen_input_electro_hydro!G8)/SUM(scen_input_electro_hydro!$D8)</f>
        <v>1.3146583850931677</v>
      </c>
      <c r="H9" s="47">
        <f>SUM(scen_input_electro_hydro!H8)/SUM(scen_input_electro_hydro!$D8)</f>
        <v>1.4195445134575571</v>
      </c>
      <c r="I9" s="47">
        <f>SUM(scen_input_electro_hydro!I8)/SUM(scen_input_electro_hydro!$D8)</f>
        <v>1.5244306418219464</v>
      </c>
      <c r="J9" s="47">
        <f>SUM(scen_input_electro_hydro!J8)/SUM(scen_input_electro_hydro!$D8)</f>
        <v>1.6293167701863356</v>
      </c>
      <c r="K9" s="47">
        <f>SUM(scen_input_electro_hydro!K8)/SUM(scen_input_electro_hydro!$D8)</f>
        <v>1.734202898550725</v>
      </c>
      <c r="L9" s="47">
        <f>SUM(L8)</f>
        <v>1</v>
      </c>
      <c r="M9" s="47">
        <f t="shared" ref="M9:S9" si="5">SUM(M8)</f>
        <v>1.22077335665205</v>
      </c>
      <c r="N9" s="47">
        <f t="shared" si="5"/>
        <v>1.4635489131506416</v>
      </c>
      <c r="O9" s="47">
        <f t="shared" si="5"/>
        <v>1.7283266694957755</v>
      </c>
      <c r="P9" s="47">
        <f t="shared" si="5"/>
        <v>2.0151066256874524</v>
      </c>
      <c r="Q9" s="47">
        <f t="shared" si="5"/>
        <v>2.3238887817256715</v>
      </c>
      <c r="R9" s="47">
        <f t="shared" si="5"/>
        <v>2.6546731376104322</v>
      </c>
      <c r="S9" s="47">
        <f t="shared" si="5"/>
        <v>3.0074596933417359</v>
      </c>
      <c r="T9" s="47">
        <f>L9/$L9</f>
        <v>1</v>
      </c>
      <c r="U9" s="47">
        <f t="shared" ref="U9:AA9" si="6">M9/$L9</f>
        <v>1.22077335665205</v>
      </c>
      <c r="V9" s="47">
        <f t="shared" si="6"/>
        <v>1.4635489131506416</v>
      </c>
      <c r="W9" s="47">
        <f t="shared" si="6"/>
        <v>1.7283266694957755</v>
      </c>
      <c r="X9" s="47">
        <f t="shared" si="6"/>
        <v>2.0151066256874524</v>
      </c>
      <c r="Y9" s="47">
        <f t="shared" si="6"/>
        <v>2.3238887817256715</v>
      </c>
      <c r="Z9" s="47">
        <f t="shared" si="6"/>
        <v>2.6546731376104322</v>
      </c>
      <c r="AA9" s="47">
        <f t="shared" si="6"/>
        <v>3.0074596933417359</v>
      </c>
    </row>
    <row r="10" spans="1:27" x14ac:dyDescent="0.25">
      <c r="A10" s="373" t="s">
        <v>917</v>
      </c>
      <c r="B10" s="373"/>
      <c r="C10" s="297"/>
      <c r="D10" s="422" t="s">
        <v>1164</v>
      </c>
      <c r="E10" s="422" t="s">
        <v>1165</v>
      </c>
      <c r="F10" s="422" t="s">
        <v>1166</v>
      </c>
      <c r="G10" s="422" t="s">
        <v>1167</v>
      </c>
      <c r="H10" s="422" t="s">
        <v>1168</v>
      </c>
      <c r="I10" s="422" t="s">
        <v>1169</v>
      </c>
      <c r="J10" s="422" t="s">
        <v>1170</v>
      </c>
      <c r="K10" s="422" t="s">
        <v>1171</v>
      </c>
      <c r="L10" s="176" t="s">
        <v>1121</v>
      </c>
      <c r="M10" s="176" t="s">
        <v>1122</v>
      </c>
      <c r="N10" s="176" t="s">
        <v>1123</v>
      </c>
      <c r="O10" s="176" t="s">
        <v>1124</v>
      </c>
      <c r="P10" s="176" t="s">
        <v>1125</v>
      </c>
      <c r="Q10" s="176" t="s">
        <v>1126</v>
      </c>
      <c r="R10" s="176" t="s">
        <v>1127</v>
      </c>
      <c r="S10" s="176" t="s">
        <v>1128</v>
      </c>
      <c r="T10" s="428" t="s">
        <v>1137</v>
      </c>
      <c r="U10" s="428" t="s">
        <v>1138</v>
      </c>
      <c r="V10" s="428" t="s">
        <v>1139</v>
      </c>
      <c r="W10" s="428" t="s">
        <v>1140</v>
      </c>
      <c r="X10" s="428" t="s">
        <v>1141</v>
      </c>
      <c r="Y10" s="428" t="s">
        <v>1142</v>
      </c>
      <c r="Z10" s="428" t="s">
        <v>1143</v>
      </c>
      <c r="AA10" s="428" t="s">
        <v>1144</v>
      </c>
    </row>
    <row r="11" spans="1:27" x14ac:dyDescent="0.25">
      <c r="A11" s="15" t="s">
        <v>1041</v>
      </c>
      <c r="B11" s="2" t="s">
        <v>735</v>
      </c>
      <c r="C11" s="15" t="str">
        <f>scen_input_electro_hydro!C11</f>
        <v>New processes pathway</v>
      </c>
      <c r="D11" s="116">
        <f>scen_input_electro_hydro!D11/SUM(scen_input_electro_hydro!$D$11:$D$13)</f>
        <v>1</v>
      </c>
      <c r="E11" s="116">
        <f>scen_input_electro_hydro!E11/SUM(scen_input_electro_hydro!$D$11:$D$13)</f>
        <v>0.85714285714285721</v>
      </c>
      <c r="F11" s="116">
        <f>scen_input_electro_hydro!F11/SUM(scen_input_electro_hydro!$D$11:$D$13)</f>
        <v>0.7142857142857143</v>
      </c>
      <c r="G11" s="116">
        <f>scen_input_electro_hydro!G11/SUM(scen_input_electro_hydro!$D$11:$D$13)</f>
        <v>0.5714285714285714</v>
      </c>
      <c r="H11" s="116">
        <f>scen_input_electro_hydro!H11/SUM(scen_input_electro_hydro!$D$11:$D$13)</f>
        <v>0.4285714285714286</v>
      </c>
      <c r="I11" s="116">
        <f>scen_input_electro_hydro!I11/SUM(scen_input_electro_hydro!$D$11:$D$13)</f>
        <v>0.2857142857142857</v>
      </c>
      <c r="J11" s="116">
        <f>scen_input_electro_hydro!J11/SUM(scen_input_electro_hydro!$D$11:$D$13)</f>
        <v>0.1428571428571429</v>
      </c>
      <c r="K11" s="116">
        <f>scen_input_electro_hydro!K11/SUM(scen_input_electro_hydro!$D$11:$D$13)</f>
        <v>0</v>
      </c>
      <c r="L11" s="116">
        <f>D11*cost_projections!C9*D$14</f>
        <v>1</v>
      </c>
      <c r="M11" s="116">
        <f>E11*cost_projections!D9*E$14</f>
        <v>0.84916623154433268</v>
      </c>
      <c r="N11" s="116">
        <f>F11*cost_projections!E9*F$14</f>
        <v>0.70099133828817317</v>
      </c>
      <c r="O11" s="116">
        <f>G11*cost_projections!F9*G$14</f>
        <v>0.55547532023152213</v>
      </c>
      <c r="P11" s="116">
        <f>H11*cost_projections!G9*H$14</f>
        <v>0.41261817737437928</v>
      </c>
      <c r="Q11" s="116">
        <f>I11*cost_projections!H9*I$14</f>
        <v>0.27241990971674462</v>
      </c>
      <c r="R11" s="116">
        <f>J11*cost_projections!I9*J$14</f>
        <v>0.13488051725861827</v>
      </c>
      <c r="S11" s="116">
        <f>K11*cost_projections!J9*K$14</f>
        <v>0</v>
      </c>
      <c r="T11" s="116">
        <f>L11/L$14*T$14</f>
        <v>1</v>
      </c>
      <c r="U11" s="116">
        <f t="shared" ref="U11:AA11" si="7">M11/M$14*U$14</f>
        <v>0.84916623154433268</v>
      </c>
      <c r="V11" s="116">
        <f t="shared" si="7"/>
        <v>0.70099133828817317</v>
      </c>
      <c r="W11" s="116">
        <f t="shared" si="7"/>
        <v>0.55547532023152213</v>
      </c>
      <c r="X11" s="116">
        <f t="shared" si="7"/>
        <v>0.41261817737437928</v>
      </c>
      <c r="Y11" s="116">
        <f t="shared" si="7"/>
        <v>0.27241990971674462</v>
      </c>
      <c r="Z11" s="116">
        <f t="shared" si="7"/>
        <v>0.13488051725861827</v>
      </c>
      <c r="AA11" s="116">
        <f t="shared" si="7"/>
        <v>0</v>
      </c>
    </row>
    <row r="12" spans="1:27" x14ac:dyDescent="0.25">
      <c r="A12" s="15" t="s">
        <v>1042</v>
      </c>
      <c r="B12" s="2" t="s">
        <v>736</v>
      </c>
      <c r="C12" s="15" t="str">
        <f>scen_input_electro_hydro!C12</f>
        <v>New processes pathway</v>
      </c>
      <c r="D12" s="116">
        <f>scen_input_electro_hydro!D12/SUM(scen_input_electro_hydro!$D$11:$D$13)</f>
        <v>0</v>
      </c>
      <c r="E12" s="116">
        <f>scen_input_electro_hydro!E12/SUM(scen_input_electro_hydro!$D$11:$D$13)</f>
        <v>0.13355107965886409</v>
      </c>
      <c r="F12" s="116">
        <f>scen_input_electro_hydro!F12/SUM(scen_input_electro_hydro!$D$11:$D$13)</f>
        <v>0.26710215931772818</v>
      </c>
      <c r="G12" s="116">
        <f>scen_input_electro_hydro!G12/SUM(scen_input_electro_hydro!$D$11:$D$13)</f>
        <v>0.40065323897659233</v>
      </c>
      <c r="H12" s="116">
        <f>scen_input_electro_hydro!H12/SUM(scen_input_electro_hydro!$D$11:$D$13)</f>
        <v>0.53420431863545637</v>
      </c>
      <c r="I12" s="116">
        <f>scen_input_electro_hydro!I12/SUM(scen_input_electro_hydro!$D$11:$D$13)</f>
        <v>0.66775539829432051</v>
      </c>
      <c r="J12" s="116">
        <f>scen_input_electro_hydro!J12/SUM(scen_input_electro_hydro!$D$11:$D$13)</f>
        <v>0.80130647795318466</v>
      </c>
      <c r="K12" s="116">
        <f>scen_input_electro_hydro!K12/SUM(scen_input_electro_hydro!$D$11:$D$13)</f>
        <v>0.9348575576120487</v>
      </c>
      <c r="L12" s="116">
        <f>D12*cost_projections!C10*D$14</f>
        <v>0</v>
      </c>
      <c r="M12" s="116">
        <f>E12*cost_projections!D10*E$14</f>
        <v>0.22829657938587669</v>
      </c>
      <c r="N12" s="116">
        <f>F12*cost_projections!E10*F$14</f>
        <v>0.45230416028938747</v>
      </c>
      <c r="O12" s="116">
        <f>G12*cost_projections!F10*G$14</f>
        <v>0.67202274271053242</v>
      </c>
      <c r="P12" s="116">
        <f>H12*cost_projections!G10*H$14</f>
        <v>0.8874523266493114</v>
      </c>
      <c r="Q12" s="116">
        <f>I12*cost_projections!H10*I$14</f>
        <v>1.0985929121057247</v>
      </c>
      <c r="R12" s="116">
        <f>J12*cost_projections!I10*J$14</f>
        <v>1.3054444990797722</v>
      </c>
      <c r="S12" s="116">
        <f>K12*cost_projections!J10*K$14</f>
        <v>1.5080070875714533</v>
      </c>
      <c r="T12" s="116">
        <f t="shared" ref="T12:AA13" si="8">L12/L$14*D$14</f>
        <v>0</v>
      </c>
      <c r="U12" s="116">
        <f t="shared" si="8"/>
        <v>0.20991168762001081</v>
      </c>
      <c r="V12" s="116">
        <f t="shared" si="8"/>
        <v>0.38488472263688517</v>
      </c>
      <c r="W12" s="116">
        <f t="shared" si="8"/>
        <v>0.53218909592555164</v>
      </c>
      <c r="X12" s="116">
        <f t="shared" si="8"/>
        <v>0.65720864695866499</v>
      </c>
      <c r="Y12" s="116">
        <f t="shared" si="8"/>
        <v>0.7640154928435644</v>
      </c>
      <c r="Z12" s="116">
        <f t="shared" si="8"/>
        <v>0.85574657874893534</v>
      </c>
      <c r="AA12" s="116">
        <f t="shared" si="8"/>
        <v>0.9348575576120487</v>
      </c>
    </row>
    <row r="13" spans="1:27" x14ac:dyDescent="0.25">
      <c r="A13" s="15" t="s">
        <v>1043</v>
      </c>
      <c r="B13" s="2" t="s">
        <v>744</v>
      </c>
      <c r="C13" s="15" t="str">
        <f>scen_input_electro_hydro!C13</f>
        <v>New processes pathway</v>
      </c>
      <c r="D13" s="116">
        <f>scen_input_electro_hydro!D13/SUM(scen_input_electro_hydro!$D$11:$D$13)</f>
        <v>0</v>
      </c>
      <c r="E13" s="116">
        <f>scen_input_electro_hydro!E13/SUM(scen_input_electro_hydro!$D$11:$D$13)</f>
        <v>0</v>
      </c>
      <c r="F13" s="116">
        <f>scen_input_electro_hydro!F13/SUM(scen_input_electro_hydro!$D$11:$D$13)</f>
        <v>0</v>
      </c>
      <c r="G13" s="116">
        <f>scen_input_electro_hydro!G13/SUM(scen_input_electro_hydro!$D$11:$D$13)</f>
        <v>0</v>
      </c>
      <c r="H13" s="116">
        <f>scen_input_electro_hydro!H13/SUM(scen_input_electro_hydro!$D$11:$D$13)</f>
        <v>0</v>
      </c>
      <c r="I13" s="116">
        <f>scen_input_electro_hydro!I13/SUM(scen_input_electro_hydro!$D$11:$D$13)</f>
        <v>0</v>
      </c>
      <c r="J13" s="116">
        <f>scen_input_electro_hydro!J13/SUM(scen_input_electro_hydro!$D$11:$D$13)</f>
        <v>0</v>
      </c>
      <c r="K13" s="116">
        <f>scen_input_electro_hydro!K13/SUM(scen_input_electro_hydro!$D$11:$D$13)</f>
        <v>0</v>
      </c>
      <c r="L13" s="116">
        <f>D13*cost_projections!C11*D$14</f>
        <v>0</v>
      </c>
      <c r="M13" s="116">
        <f>E13*cost_projections!D11*E$14</f>
        <v>0</v>
      </c>
      <c r="N13" s="116">
        <f>F13*cost_projections!E11*F$14</f>
        <v>0</v>
      </c>
      <c r="O13" s="116">
        <f>G13*cost_projections!F11*G$14</f>
        <v>0</v>
      </c>
      <c r="P13" s="116">
        <f>H13*cost_projections!G11*H$14</f>
        <v>0</v>
      </c>
      <c r="Q13" s="116">
        <f>I13*cost_projections!H11*I$14</f>
        <v>0</v>
      </c>
      <c r="R13" s="116">
        <f>J13*cost_projections!I11*J$14</f>
        <v>0</v>
      </c>
      <c r="S13" s="116">
        <f>K13*cost_projections!J11*K$14</f>
        <v>0</v>
      </c>
      <c r="T13" s="116">
        <f t="shared" si="8"/>
        <v>0</v>
      </c>
      <c r="U13" s="116">
        <f t="shared" si="8"/>
        <v>0</v>
      </c>
      <c r="V13" s="116">
        <f t="shared" si="8"/>
        <v>0</v>
      </c>
      <c r="W13" s="116">
        <f t="shared" si="8"/>
        <v>0</v>
      </c>
      <c r="X13" s="116">
        <f t="shared" si="8"/>
        <v>0</v>
      </c>
      <c r="Y13" s="116">
        <f t="shared" si="8"/>
        <v>0</v>
      </c>
      <c r="Z13" s="116">
        <f t="shared" si="8"/>
        <v>0</v>
      </c>
      <c r="AA13" s="116">
        <f t="shared" si="8"/>
        <v>0</v>
      </c>
    </row>
    <row r="14" spans="1:27" x14ac:dyDescent="0.25">
      <c r="A14" s="19" t="s">
        <v>1048</v>
      </c>
      <c r="B14" s="24"/>
      <c r="C14" s="15" t="str">
        <f>scen_input_electro_hydro!C14</f>
        <v>Baseline</v>
      </c>
      <c r="D14" s="47">
        <f>SUM(scen_input_electro_hydro!D11:D13)/SUM(scen_input_electro_hydro!$D11:$D13)</f>
        <v>1</v>
      </c>
      <c r="E14" s="47">
        <f>SUM(scen_input_electro_hydro!E11:E13)/SUM(scen_input_electro_hydro!$D11:$D13)</f>
        <v>0.99069393680172135</v>
      </c>
      <c r="F14" s="47">
        <f>SUM(scen_input_electro_hydro!F11:F13)/SUM(scen_input_electro_hydro!$D11:$D13)</f>
        <v>0.98138787360344248</v>
      </c>
      <c r="G14" s="47">
        <f>SUM(scen_input_electro_hydro!G11:G13)/SUM(scen_input_electro_hydro!$D11:$D13)</f>
        <v>0.97208181040516373</v>
      </c>
      <c r="H14" s="47">
        <f>SUM(scen_input_electro_hydro!H11:H13)/SUM(scen_input_electro_hydro!$D11:$D13)</f>
        <v>0.96277574720688497</v>
      </c>
      <c r="I14" s="47">
        <f>SUM(scen_input_electro_hydro!I11:I13)/SUM(scen_input_electro_hydro!$D11:$D13)</f>
        <v>0.95346968400860621</v>
      </c>
      <c r="J14" s="47">
        <f>SUM(scen_input_electro_hydro!J11:J13)/SUM(scen_input_electro_hydro!$D11:$D13)</f>
        <v>0.94416362081032756</v>
      </c>
      <c r="K14" s="47">
        <f>SUM(scen_input_electro_hydro!K11:K13)/SUM(scen_input_electro_hydro!$D11:$D13)</f>
        <v>0.9348575576120487</v>
      </c>
      <c r="L14" s="47">
        <f>SUM(L11:L13)</f>
        <v>1</v>
      </c>
      <c r="M14" s="47">
        <f t="shared" ref="M14:S14" si="9">SUM(M11:M13)</f>
        <v>1.0774628109302093</v>
      </c>
      <c r="N14" s="47">
        <f t="shared" si="9"/>
        <v>1.1532954985775605</v>
      </c>
      <c r="O14" s="47">
        <f t="shared" si="9"/>
        <v>1.2274980629420544</v>
      </c>
      <c r="P14" s="47">
        <f t="shared" si="9"/>
        <v>1.3000705040236906</v>
      </c>
      <c r="Q14" s="47">
        <f t="shared" si="9"/>
        <v>1.3710128218224693</v>
      </c>
      <c r="R14" s="47">
        <f t="shared" si="9"/>
        <v>1.4403250163383905</v>
      </c>
      <c r="S14" s="47">
        <f t="shared" si="9"/>
        <v>1.5080070875714533</v>
      </c>
      <c r="T14" s="47">
        <f>L14/$L14</f>
        <v>1</v>
      </c>
      <c r="U14" s="47">
        <f t="shared" ref="U14:Z14" si="10">M14/$L14</f>
        <v>1.0774628109302093</v>
      </c>
      <c r="V14" s="47">
        <f t="shared" si="10"/>
        <v>1.1532954985775605</v>
      </c>
      <c r="W14" s="47">
        <f t="shared" si="10"/>
        <v>1.2274980629420544</v>
      </c>
      <c r="X14" s="47">
        <f t="shared" si="10"/>
        <v>1.3000705040236906</v>
      </c>
      <c r="Y14" s="47">
        <f t="shared" si="10"/>
        <v>1.3710128218224693</v>
      </c>
      <c r="Z14" s="47">
        <f t="shared" si="10"/>
        <v>1.4403250163383905</v>
      </c>
      <c r="AA14" s="47">
        <f>S14/$L14</f>
        <v>1.5080070875714533</v>
      </c>
    </row>
    <row r="15" spans="1:27" x14ac:dyDescent="0.25">
      <c r="A15" s="15" t="s">
        <v>161</v>
      </c>
      <c r="B15" s="2" t="s">
        <v>160</v>
      </c>
      <c r="C15" s="15" t="str">
        <f>scen_input_electro_hydro!C15</f>
        <v>New processes pathway</v>
      </c>
      <c r="D15" s="116">
        <f>scen_input_electro_hydro!D15/SUM(scen_input_electro_hydro!$D$15)</f>
        <v>1</v>
      </c>
      <c r="E15" s="116">
        <f>scen_input_electro_hydro!E15/SUM(scen_input_electro_hydro!$D$15)</f>
        <v>1.2216469317005088</v>
      </c>
      <c r="F15" s="116">
        <f>scen_input_electro_hydro!F15/SUM(scen_input_electro_hydro!$D$15)</f>
        <v>1.4432938634010175</v>
      </c>
      <c r="G15" s="116">
        <f>scen_input_electro_hydro!G15/SUM(scen_input_electro_hydro!$D$15)</f>
        <v>1.664940795101526</v>
      </c>
      <c r="H15" s="116">
        <f>scen_input_electro_hydro!H15/SUM(scen_input_electro_hydro!$D$15)</f>
        <v>1.886587726802035</v>
      </c>
      <c r="I15" s="116">
        <f>scen_input_electro_hydro!I15/SUM(scen_input_electro_hydro!$D$15)</f>
        <v>2.1082346585025435</v>
      </c>
      <c r="J15" s="116">
        <f>scen_input_electro_hydro!J15/SUM(scen_input_electro_hydro!$D$15)</f>
        <v>2.3298815902030521</v>
      </c>
      <c r="K15" s="116">
        <f>scen_input_electro_hydro!K15/SUM(scen_input_electro_hydro!$D$15)</f>
        <v>2.5515285219035611</v>
      </c>
      <c r="L15" s="116">
        <f>D15*cost_projections!C12*D$16</f>
        <v>1</v>
      </c>
      <c r="M15" s="116">
        <f>E15*cost_projections!D12*E$16</f>
        <v>1.4924212257332674</v>
      </c>
      <c r="N15" s="116">
        <f>F15*cost_projections!E12*F$16</f>
        <v>2.0830971761310351</v>
      </c>
      <c r="O15" s="116">
        <f>G15*cost_projections!F12*G$16</f>
        <v>2.7720278511933016</v>
      </c>
      <c r="P15" s="116">
        <f>H15*cost_projections!G12*H$16</f>
        <v>3.5592132509200698</v>
      </c>
      <c r="Q15" s="116">
        <f>I15*cost_projections!H12*I$16</f>
        <v>4.4446533753113364</v>
      </c>
      <c r="R15" s="116">
        <f>J15*cost_projections!I12*J$16</f>
        <v>5.4283482243671024</v>
      </c>
      <c r="S15" s="116">
        <f>K15*cost_projections!J12*K$16</f>
        <v>6.5102977980873709</v>
      </c>
      <c r="T15" s="116">
        <f>L15/L$16*T$16</f>
        <v>1</v>
      </c>
      <c r="U15" s="116">
        <f t="shared" ref="U15:AA15" si="11">M15/M$16*U$16</f>
        <v>1.4924212257332674</v>
      </c>
      <c r="V15" s="116">
        <f t="shared" si="11"/>
        <v>2.0830971761310351</v>
      </c>
      <c r="W15" s="116">
        <f t="shared" si="11"/>
        <v>2.7720278511933016</v>
      </c>
      <c r="X15" s="116">
        <f t="shared" si="11"/>
        <v>3.5592132509200698</v>
      </c>
      <c r="Y15" s="116">
        <f t="shared" si="11"/>
        <v>4.4446533753113364</v>
      </c>
      <c r="Z15" s="116">
        <f t="shared" si="11"/>
        <v>5.4283482243671024</v>
      </c>
      <c r="AA15" s="116">
        <f t="shared" si="11"/>
        <v>6.5102977980873709</v>
      </c>
    </row>
    <row r="16" spans="1:27" x14ac:dyDescent="0.25">
      <c r="A16" s="19" t="s">
        <v>1048</v>
      </c>
      <c r="B16" s="19"/>
      <c r="C16" s="15" t="str">
        <f>scen_input_electro_hydro!C16</f>
        <v>Baseline</v>
      </c>
      <c r="D16" s="47">
        <f>SUM(scen_input_electro_hydro!D15)/SUM(scen_input_electro_hydro!$D15)</f>
        <v>1</v>
      </c>
      <c r="E16" s="47">
        <f>SUM(scen_input_electro_hydro!E15)/SUM(scen_input_electro_hydro!$D15)</f>
        <v>1.2216469317005088</v>
      </c>
      <c r="F16" s="47">
        <f>SUM(scen_input_electro_hydro!F15)/SUM(scen_input_electro_hydro!$D15)</f>
        <v>1.4432938634010175</v>
      </c>
      <c r="G16" s="47">
        <f>SUM(scen_input_electro_hydro!G15)/SUM(scen_input_electro_hydro!$D15)</f>
        <v>1.664940795101526</v>
      </c>
      <c r="H16" s="47">
        <f>SUM(scen_input_electro_hydro!H15)/SUM(scen_input_electro_hydro!$D15)</f>
        <v>1.886587726802035</v>
      </c>
      <c r="I16" s="47">
        <f>SUM(scen_input_electro_hydro!I15)/SUM(scen_input_electro_hydro!$D15)</f>
        <v>2.1082346585025435</v>
      </c>
      <c r="J16" s="47">
        <f>SUM(scen_input_electro_hydro!J15)/SUM(scen_input_electro_hydro!$D15)</f>
        <v>2.3298815902030521</v>
      </c>
      <c r="K16" s="47">
        <f>SUM(scen_input_electro_hydro!K15)/SUM(scen_input_electro_hydro!$D15)</f>
        <v>2.5515285219035611</v>
      </c>
      <c r="L16" s="47">
        <f>SUM(L15)</f>
        <v>1</v>
      </c>
      <c r="M16" s="47">
        <f t="shared" ref="M16:S16" si="12">SUM(M15)</f>
        <v>1.4924212257332674</v>
      </c>
      <c r="N16" s="47">
        <f t="shared" si="12"/>
        <v>2.0830971761310351</v>
      </c>
      <c r="O16" s="47">
        <f t="shared" si="12"/>
        <v>2.7720278511933016</v>
      </c>
      <c r="P16" s="47">
        <f t="shared" si="12"/>
        <v>3.5592132509200698</v>
      </c>
      <c r="Q16" s="47">
        <f t="shared" si="12"/>
        <v>4.4446533753113364</v>
      </c>
      <c r="R16" s="47">
        <f t="shared" si="12"/>
        <v>5.4283482243671024</v>
      </c>
      <c r="S16" s="47">
        <f t="shared" si="12"/>
        <v>6.5102977980873709</v>
      </c>
      <c r="T16" s="47">
        <f>L16/$L16</f>
        <v>1</v>
      </c>
      <c r="U16" s="47">
        <f t="shared" ref="U16:AA16" si="13">M16/$L16</f>
        <v>1.4924212257332674</v>
      </c>
      <c r="V16" s="47">
        <f t="shared" si="13"/>
        <v>2.0830971761310351</v>
      </c>
      <c r="W16" s="47">
        <f t="shared" si="13"/>
        <v>2.7720278511933016</v>
      </c>
      <c r="X16" s="47">
        <f t="shared" si="13"/>
        <v>3.5592132509200698</v>
      </c>
      <c r="Y16" s="47">
        <f t="shared" si="13"/>
        <v>4.4446533753113364</v>
      </c>
      <c r="Z16" s="47">
        <f t="shared" si="13"/>
        <v>5.4283482243671024</v>
      </c>
      <c r="AA16" s="47">
        <f t="shared" si="13"/>
        <v>6.5102977980873709</v>
      </c>
    </row>
    <row r="17" spans="1:27" x14ac:dyDescent="0.25">
      <c r="A17" s="373" t="s">
        <v>1054</v>
      </c>
      <c r="B17" s="373"/>
      <c r="C17" s="297"/>
      <c r="D17" s="422" t="s">
        <v>1164</v>
      </c>
      <c r="E17" s="422" t="s">
        <v>1165</v>
      </c>
      <c r="F17" s="422" t="s">
        <v>1166</v>
      </c>
      <c r="G17" s="422" t="s">
        <v>1167</v>
      </c>
      <c r="H17" s="422" t="s">
        <v>1168</v>
      </c>
      <c r="I17" s="422" t="s">
        <v>1169</v>
      </c>
      <c r="J17" s="422" t="s">
        <v>1170</v>
      </c>
      <c r="K17" s="422" t="s">
        <v>1171</v>
      </c>
      <c r="L17" s="176" t="s">
        <v>1121</v>
      </c>
      <c r="M17" s="176" t="s">
        <v>1122</v>
      </c>
      <c r="N17" s="176" t="s">
        <v>1123</v>
      </c>
      <c r="O17" s="176" t="s">
        <v>1124</v>
      </c>
      <c r="P17" s="176" t="s">
        <v>1125</v>
      </c>
      <c r="Q17" s="176" t="s">
        <v>1126</v>
      </c>
      <c r="R17" s="176" t="s">
        <v>1127</v>
      </c>
      <c r="S17" s="176" t="s">
        <v>1128</v>
      </c>
      <c r="T17" s="428" t="s">
        <v>1137</v>
      </c>
      <c r="U17" s="428" t="s">
        <v>1138</v>
      </c>
      <c r="V17" s="428" t="s">
        <v>1139</v>
      </c>
      <c r="W17" s="428" t="s">
        <v>1140</v>
      </c>
      <c r="X17" s="428" t="s">
        <v>1141</v>
      </c>
      <c r="Y17" s="428" t="s">
        <v>1142</v>
      </c>
      <c r="Z17" s="428" t="s">
        <v>1143</v>
      </c>
      <c r="AA17" s="428" t="s">
        <v>1144</v>
      </c>
    </row>
    <row r="18" spans="1:27" x14ac:dyDescent="0.25">
      <c r="A18" s="15" t="s">
        <v>1044</v>
      </c>
      <c r="B18" s="2" t="s">
        <v>737</v>
      </c>
      <c r="C18" s="15" t="str">
        <f>scen_input_electro_hydro!C18</f>
        <v>New processes pathway</v>
      </c>
      <c r="D18" s="116">
        <f>scen_input_electro_hydro!D18/SUM(scen_input_electro_hydro!$D$18:$D$20)</f>
        <v>1</v>
      </c>
      <c r="E18" s="116">
        <f>scen_input_electro_hydro!E18/SUM(scen_input_electro_hydro!$D$18:$D$20)</f>
        <v>0.85714285714285721</v>
      </c>
      <c r="F18" s="116">
        <f>scen_input_electro_hydro!F18/SUM(scen_input_electro_hydro!$D$18:$D$20)</f>
        <v>0.7142857142857143</v>
      </c>
      <c r="G18" s="116">
        <f>scen_input_electro_hydro!G18/SUM(scen_input_electro_hydro!$D$18:$D$20)</f>
        <v>0.5714285714285714</v>
      </c>
      <c r="H18" s="116">
        <f>scen_input_electro_hydro!H18/SUM(scen_input_electro_hydro!$D$18:$D$20)</f>
        <v>0.4285714285714286</v>
      </c>
      <c r="I18" s="116">
        <f>scen_input_electro_hydro!I18/SUM(scen_input_electro_hydro!$D$18:$D$20)</f>
        <v>0.2857142857142857</v>
      </c>
      <c r="J18" s="116">
        <f>scen_input_electro_hydro!J18/SUM(scen_input_electro_hydro!$D$18:$D$20)</f>
        <v>0.1428571428571429</v>
      </c>
      <c r="K18" s="116">
        <f>scen_input_electro_hydro!K18/SUM(scen_input_electro_hydro!$D$18:$D$20)</f>
        <v>0</v>
      </c>
      <c r="L18" s="116">
        <f>D18*cost_projections!C14*D$21</f>
        <v>1</v>
      </c>
      <c r="M18" s="116">
        <f>E18*cost_projections!D14*E$21</f>
        <v>0.78282713085234112</v>
      </c>
      <c r="N18" s="116">
        <f>F18*cost_projections!E14*F$21</f>
        <v>0.59042617046818724</v>
      </c>
      <c r="O18" s="116">
        <f>G18*cost_projections!F14*G$21</f>
        <v>0.42279711884753901</v>
      </c>
      <c r="P18" s="116">
        <f>H18*cost_projections!G14*H$21</f>
        <v>0.27993997599039616</v>
      </c>
      <c r="Q18" s="116">
        <f>I18*cost_projections!H14*I$21</f>
        <v>0.16185474189675869</v>
      </c>
      <c r="R18" s="116">
        <f>J18*cost_projections!I14*J$21</f>
        <v>6.8541416566626684E-2</v>
      </c>
      <c r="S18" s="116">
        <f>K18*cost_projections!J14*K$21</f>
        <v>0</v>
      </c>
      <c r="T18" s="116">
        <f>L18/L$21*T$21</f>
        <v>1</v>
      </c>
      <c r="U18" s="116">
        <f t="shared" ref="U18:AA20" si="14">M18/M$21*E$21</f>
        <v>0.83321826585462511</v>
      </c>
      <c r="V18" s="116">
        <f t="shared" si="14"/>
        <v>0.67166806746265129</v>
      </c>
      <c r="W18" s="116">
        <f t="shared" si="14"/>
        <v>0.51650896062261353</v>
      </c>
      <c r="X18" s="116">
        <f t="shared" si="14"/>
        <v>0.36927052243044894</v>
      </c>
      <c r="Y18" s="116">
        <f t="shared" si="14"/>
        <v>0.23201274172475289</v>
      </c>
      <c r="Z18" s="116">
        <f t="shared" si="14"/>
        <v>0.1075777565783788</v>
      </c>
      <c r="AA18" s="116">
        <f t="shared" si="14"/>
        <v>0</v>
      </c>
    </row>
    <row r="19" spans="1:27" x14ac:dyDescent="0.25">
      <c r="A19" s="15" t="s">
        <v>1045</v>
      </c>
      <c r="B19" s="2" t="s">
        <v>738</v>
      </c>
      <c r="C19" s="15" t="str">
        <f>scen_input_electro_hydro!C19</f>
        <v>New processes pathway</v>
      </c>
      <c r="D19" s="116">
        <f>scen_input_electro_hydro!D19/SUM(scen_input_electro_hydro!$D$18:$D$20)</f>
        <v>0</v>
      </c>
      <c r="E19" s="116">
        <f>scen_input_electro_hydro!E19/SUM(scen_input_electro_hydro!$D$18:$D$20)</f>
        <v>0</v>
      </c>
      <c r="F19" s="116">
        <f>scen_input_electro_hydro!F19/SUM(scen_input_electro_hydro!$D$18:$D$20)</f>
        <v>0</v>
      </c>
      <c r="G19" s="116">
        <f>scen_input_electro_hydro!G19/SUM(scen_input_electro_hydro!$D$18:$D$20)</f>
        <v>0</v>
      </c>
      <c r="H19" s="116">
        <f>scen_input_electro_hydro!H19/SUM(scen_input_electro_hydro!$D$18:$D$20)</f>
        <v>0</v>
      </c>
      <c r="I19" s="116">
        <f>scen_input_electro_hydro!I19/SUM(scen_input_electro_hydro!$D$18:$D$20)</f>
        <v>0</v>
      </c>
      <c r="J19" s="116">
        <f>scen_input_electro_hydro!J19/SUM(scen_input_electro_hydro!$D$18:$D$20)</f>
        <v>0</v>
      </c>
      <c r="K19" s="116">
        <f>scen_input_electro_hydro!K19/SUM(scen_input_electro_hydro!$D$18:$D$20)</f>
        <v>0</v>
      </c>
      <c r="L19" s="116">
        <f>D19*cost_projections!C15*D$21</f>
        <v>0</v>
      </c>
      <c r="M19" s="116">
        <f>E19*cost_projections!D15*E$21</f>
        <v>0</v>
      </c>
      <c r="N19" s="116">
        <f>F19*cost_projections!E15*F$21</f>
        <v>0</v>
      </c>
      <c r="O19" s="116">
        <f>G19*cost_projections!F15*G$21</f>
        <v>0</v>
      </c>
      <c r="P19" s="116">
        <f>H19*cost_projections!G15*H$21</f>
        <v>0</v>
      </c>
      <c r="Q19" s="116">
        <f>I19*cost_projections!H15*I$21</f>
        <v>0</v>
      </c>
      <c r="R19" s="116">
        <f>J19*cost_projections!I15*J$21</f>
        <v>0</v>
      </c>
      <c r="S19" s="116">
        <f>K19*cost_projections!J15*K$21</f>
        <v>0</v>
      </c>
      <c r="T19" s="116">
        <f>L19/L$21*T$21</f>
        <v>0</v>
      </c>
      <c r="U19" s="116">
        <f t="shared" si="14"/>
        <v>0</v>
      </c>
      <c r="V19" s="116">
        <f t="shared" si="14"/>
        <v>0</v>
      </c>
      <c r="W19" s="116">
        <f t="shared" si="14"/>
        <v>0</v>
      </c>
      <c r="X19" s="116">
        <f t="shared" si="14"/>
        <v>0</v>
      </c>
      <c r="Y19" s="116">
        <f t="shared" si="14"/>
        <v>0</v>
      </c>
      <c r="Z19" s="116">
        <f t="shared" si="14"/>
        <v>0</v>
      </c>
      <c r="AA19" s="116">
        <f t="shared" si="14"/>
        <v>0</v>
      </c>
    </row>
    <row r="20" spans="1:27" x14ac:dyDescent="0.25">
      <c r="A20" s="15" t="s">
        <v>1046</v>
      </c>
      <c r="B20" s="2" t="s">
        <v>748</v>
      </c>
      <c r="C20" s="15" t="str">
        <f>scen_input_electro_hydro!C20</f>
        <v>New processes pathway</v>
      </c>
      <c r="D20" s="116">
        <f>scen_input_electro_hydro!D20/SUM(scen_input_electro_hydro!$D$18:$D$20)</f>
        <v>0</v>
      </c>
      <c r="E20" s="116">
        <f>scen_input_electro_hydro!E20/SUM(scen_input_electro_hydro!$D$18:$D$20)</f>
        <v>5.6155462184873953E-2</v>
      </c>
      <c r="F20" s="116">
        <f>scen_input_electro_hydro!F20/SUM(scen_input_electro_hydro!$D$18:$D$20)</f>
        <v>0.11231092436974791</v>
      </c>
      <c r="G20" s="116">
        <f>scen_input_electro_hydro!G20/SUM(scen_input_electro_hydro!$D$18:$D$20)</f>
        <v>0.16846638655462187</v>
      </c>
      <c r="H20" s="116">
        <f>scen_input_electro_hydro!H20/SUM(scen_input_electro_hydro!$D$18:$D$20)</f>
        <v>0.22462184873949581</v>
      </c>
      <c r="I20" s="116">
        <f>scen_input_electro_hydro!I20/SUM(scen_input_electro_hydro!$D$18:$D$20)</f>
        <v>0.28077731092436975</v>
      </c>
      <c r="J20" s="116">
        <f>scen_input_electro_hydro!J20/SUM(scen_input_electro_hydro!$D$18:$D$20)</f>
        <v>0.33693277310924374</v>
      </c>
      <c r="K20" s="116">
        <f>scen_input_electro_hydro!K20/SUM(scen_input_electro_hydro!$D$18:$D$20)</f>
        <v>0.39308823529411768</v>
      </c>
      <c r="L20" s="116">
        <f>D20*cost_projections!C16*D$21</f>
        <v>0</v>
      </c>
      <c r="M20" s="116">
        <f>E20*cost_projections!D16*E$21</f>
        <v>7.5236994996208215E-2</v>
      </c>
      <c r="N20" s="116">
        <f>F20*cost_projections!E16*F$21</f>
        <v>0.13618911991906738</v>
      </c>
      <c r="O20" s="116">
        <f>G20*cost_projections!F16*G$21</f>
        <v>0.18285637476857755</v>
      </c>
      <c r="P20" s="116">
        <f>H20*cost_projections!G16*H$21</f>
        <v>0.21523875954473864</v>
      </c>
      <c r="Q20" s="116">
        <f>I20*cost_projections!H16*I$21</f>
        <v>0.23333627424755071</v>
      </c>
      <c r="R20" s="116">
        <f>J20*cost_projections!I16*J$21</f>
        <v>0.23714891887701381</v>
      </c>
      <c r="S20" s="116">
        <f>K20*cost_projections!J16*K$21</f>
        <v>0.22667669343312777</v>
      </c>
      <c r="T20" s="116">
        <f>L20/L$21*T$21</f>
        <v>0</v>
      </c>
      <c r="U20" s="116">
        <f t="shared" si="14"/>
        <v>8.0080053473106108E-2</v>
      </c>
      <c r="V20" s="116">
        <f t="shared" si="14"/>
        <v>0.15492857119281092</v>
      </c>
      <c r="W20" s="116">
        <f t="shared" si="14"/>
        <v>0.22338599736057976</v>
      </c>
      <c r="X20" s="116">
        <f t="shared" si="14"/>
        <v>0.28392275488047541</v>
      </c>
      <c r="Y20" s="116">
        <f t="shared" si="14"/>
        <v>0.3344788549139025</v>
      </c>
      <c r="Z20" s="116">
        <f t="shared" si="14"/>
        <v>0.37221215938800789</v>
      </c>
      <c r="AA20" s="116">
        <f t="shared" si="14"/>
        <v>0.39308823529411768</v>
      </c>
    </row>
    <row r="21" spans="1:27" x14ac:dyDescent="0.25">
      <c r="A21" s="19" t="s">
        <v>1048</v>
      </c>
      <c r="B21" s="24"/>
      <c r="C21" s="15" t="str">
        <f>scen_input_electro_hydro!C21</f>
        <v>Baseline</v>
      </c>
      <c r="D21" s="47">
        <f>SUM(scen_input_electro_hydro!D18:D20)/SUM(scen_input_electro_hydro!$D18:$D20)</f>
        <v>1</v>
      </c>
      <c r="E21" s="47">
        <f>SUM(scen_input_electro_hydro!E18:E20)/SUM(scen_input_electro_hydro!$D18:$D20)</f>
        <v>0.9132983193277312</v>
      </c>
      <c r="F21" s="47">
        <f>SUM(scen_input_electro_hydro!F18:F20)/SUM(scen_input_electro_hydro!$D18:$D20)</f>
        <v>0.82659663865546218</v>
      </c>
      <c r="G21" s="47">
        <f>SUM(scen_input_electro_hydro!G18:G20)/SUM(scen_input_electro_hydro!$D18:$D20)</f>
        <v>0.73989495798319327</v>
      </c>
      <c r="H21" s="47">
        <f>SUM(scen_input_electro_hydro!H18:H20)/SUM(scen_input_electro_hydro!$D18:$D20)</f>
        <v>0.65319327731092436</v>
      </c>
      <c r="I21" s="47">
        <f>SUM(scen_input_electro_hydro!I18:I20)/SUM(scen_input_electro_hydro!$D18:$D20)</f>
        <v>0.56649159663865545</v>
      </c>
      <c r="J21" s="47">
        <f>SUM(scen_input_electro_hydro!J18:J20)/SUM(scen_input_electro_hydro!$D18:$D20)</f>
        <v>0.47978991596638665</v>
      </c>
      <c r="K21" s="47">
        <f>SUM(scen_input_electro_hydro!K18:K20)/SUM(scen_input_electro_hydro!$D18:$D20)</f>
        <v>0.39308823529411768</v>
      </c>
      <c r="L21" s="47">
        <f>SUM(L18:L20)</f>
        <v>1</v>
      </c>
      <c r="M21" s="47">
        <f t="shared" ref="M21:S21" si="15">SUM(M18:M20)</f>
        <v>0.8580641258485493</v>
      </c>
      <c r="N21" s="47">
        <f t="shared" si="15"/>
        <v>0.72661529038725459</v>
      </c>
      <c r="O21" s="47">
        <f t="shared" si="15"/>
        <v>0.60565349361611653</v>
      </c>
      <c r="P21" s="47">
        <f t="shared" si="15"/>
        <v>0.49517873553513481</v>
      </c>
      <c r="Q21" s="47">
        <f t="shared" si="15"/>
        <v>0.3951910161443094</v>
      </c>
      <c r="R21" s="47">
        <f t="shared" si="15"/>
        <v>0.30569033544364049</v>
      </c>
      <c r="S21" s="47">
        <f t="shared" si="15"/>
        <v>0.22667669343312777</v>
      </c>
      <c r="T21" s="47">
        <f>L21/$L21</f>
        <v>1</v>
      </c>
      <c r="U21" s="47">
        <f t="shared" ref="U21:AA21" si="16">M21/$L21</f>
        <v>0.8580641258485493</v>
      </c>
      <c r="V21" s="47">
        <f t="shared" si="16"/>
        <v>0.72661529038725459</v>
      </c>
      <c r="W21" s="47">
        <f t="shared" si="16"/>
        <v>0.60565349361611653</v>
      </c>
      <c r="X21" s="47">
        <f t="shared" si="16"/>
        <v>0.49517873553513481</v>
      </c>
      <c r="Y21" s="47">
        <f t="shared" si="16"/>
        <v>0.3951910161443094</v>
      </c>
      <c r="Z21" s="47">
        <f t="shared" si="16"/>
        <v>0.30569033544364049</v>
      </c>
      <c r="AA21" s="47">
        <f t="shared" si="16"/>
        <v>0.22667669343312777</v>
      </c>
    </row>
    <row r="22" spans="1:27" x14ac:dyDescent="0.25">
      <c r="A22" s="15" t="s">
        <v>1047</v>
      </c>
      <c r="B22" s="2" t="s">
        <v>140</v>
      </c>
      <c r="C22" s="15" t="str">
        <f>scen_input_electro_hydro!C22</f>
        <v>New processes pathway</v>
      </c>
      <c r="D22" s="116">
        <f>scen_input_electro_hydro!D22/SUM(scen_input_electro_hydro!$D$22)</f>
        <v>1</v>
      </c>
      <c r="E22" s="116">
        <f>scen_input_electro_hydro!E22/SUM(scen_input_electro_hydro!$D$22)</f>
        <v>2.7953571428571431</v>
      </c>
      <c r="F22" s="116">
        <f>scen_input_electro_hydro!F22/SUM(scen_input_electro_hydro!$D$22)</f>
        <v>4.5907142857142862</v>
      </c>
      <c r="G22" s="116">
        <f>scen_input_electro_hydro!G22/SUM(scen_input_electro_hydro!$D$22)</f>
        <v>6.3860714285714284</v>
      </c>
      <c r="H22" s="116">
        <f>scen_input_electro_hydro!H22/SUM(scen_input_electro_hydro!$D$22)</f>
        <v>8.1814285714285724</v>
      </c>
      <c r="I22" s="116">
        <f>scen_input_electro_hydro!I22/SUM(scen_input_electro_hydro!$D$22)</f>
        <v>9.9767857142857146</v>
      </c>
      <c r="J22" s="116">
        <f>scen_input_electro_hydro!J22/SUM(scen_input_electro_hydro!$D$22)</f>
        <v>11.772142857142857</v>
      </c>
      <c r="K22" s="116">
        <f>scen_input_electro_hydro!K22/SUM(scen_input_electro_hydro!$D$22)</f>
        <v>13.567500000000001</v>
      </c>
      <c r="L22" s="116">
        <f>D22*cost_projections!C17*D$23</f>
        <v>1</v>
      </c>
      <c r="M22" s="116">
        <f>E22*cost_projections!D17*E$23</f>
        <v>7.8140215561224506</v>
      </c>
      <c r="N22" s="116">
        <f>F22*cost_projections!E17*F$23</f>
        <v>21.07465765306123</v>
      </c>
      <c r="O22" s="116">
        <f>G22*cost_projections!F17*G$23</f>
        <v>40.781908290816325</v>
      </c>
      <c r="P22" s="116">
        <f>H22*cost_projections!G17*H$23</f>
        <v>66.935773469387769</v>
      </c>
      <c r="Q22" s="116">
        <f>I22*cost_projections!H17*I$23</f>
        <v>99.536253188775518</v>
      </c>
      <c r="R22" s="116">
        <f>J22*cost_projections!I17*J$23</f>
        <v>138.58334744897959</v>
      </c>
      <c r="S22" s="116">
        <f>K22*cost_projections!J17*K$23</f>
        <v>184.07705625000003</v>
      </c>
      <c r="T22" s="116">
        <f>L22/L$23*T$23</f>
        <v>1</v>
      </c>
      <c r="U22" s="116">
        <f t="shared" ref="U22:AA22" si="17">M22/M$23*E$23</f>
        <v>2.7953571428571431</v>
      </c>
      <c r="V22" s="116">
        <f t="shared" si="17"/>
        <v>4.5907142857142862</v>
      </c>
      <c r="W22" s="116">
        <f t="shared" si="17"/>
        <v>6.3860714285714284</v>
      </c>
      <c r="X22" s="116">
        <f t="shared" si="17"/>
        <v>8.1814285714285724</v>
      </c>
      <c r="Y22" s="116">
        <f t="shared" si="17"/>
        <v>9.9767857142857146</v>
      </c>
      <c r="Z22" s="116">
        <f t="shared" si="17"/>
        <v>11.772142857142857</v>
      </c>
      <c r="AA22" s="116">
        <f t="shared" si="17"/>
        <v>13.567500000000001</v>
      </c>
    </row>
    <row r="23" spans="1:27" x14ac:dyDescent="0.25">
      <c r="A23" s="19" t="s">
        <v>1048</v>
      </c>
      <c r="B23" s="19"/>
      <c r="C23" s="15" t="str">
        <f>scen_input_electro_hydro!C23</f>
        <v>Baseline</v>
      </c>
      <c r="D23" s="47">
        <f>SUM(scen_input_electro_hydro!D22)/SUM(scen_input_electro_hydro!$D22)</f>
        <v>1</v>
      </c>
      <c r="E23" s="47">
        <f>SUM(scen_input_electro_hydro!E22)/SUM(scen_input_electro_hydro!$D22)</f>
        <v>2.7953571428571431</v>
      </c>
      <c r="F23" s="47">
        <f>SUM(scen_input_electro_hydro!F22)/SUM(scen_input_electro_hydro!$D22)</f>
        <v>4.5907142857142862</v>
      </c>
      <c r="G23" s="47">
        <f>SUM(scen_input_electro_hydro!G22)/SUM(scen_input_electro_hydro!$D22)</f>
        <v>6.3860714285714284</v>
      </c>
      <c r="H23" s="47">
        <f>SUM(scen_input_electro_hydro!H22)/SUM(scen_input_electro_hydro!$D22)</f>
        <v>8.1814285714285724</v>
      </c>
      <c r="I23" s="47">
        <f>SUM(scen_input_electro_hydro!I22)/SUM(scen_input_electro_hydro!$D22)</f>
        <v>9.9767857142857146</v>
      </c>
      <c r="J23" s="47">
        <f>SUM(scen_input_electro_hydro!J22)/SUM(scen_input_electro_hydro!$D22)</f>
        <v>11.772142857142857</v>
      </c>
      <c r="K23" s="47">
        <f>SUM(scen_input_electro_hydro!K22)/SUM(scen_input_electro_hydro!$D22)</f>
        <v>13.567500000000001</v>
      </c>
      <c r="L23" s="47">
        <f>SUM(L22)</f>
        <v>1</v>
      </c>
      <c r="M23" s="47">
        <f t="shared" ref="M23:S23" si="18">SUM(M22)</f>
        <v>7.8140215561224506</v>
      </c>
      <c r="N23" s="47">
        <f t="shared" si="18"/>
        <v>21.07465765306123</v>
      </c>
      <c r="O23" s="47">
        <f t="shared" si="18"/>
        <v>40.781908290816325</v>
      </c>
      <c r="P23" s="47">
        <f t="shared" si="18"/>
        <v>66.935773469387769</v>
      </c>
      <c r="Q23" s="47">
        <f t="shared" si="18"/>
        <v>99.536253188775518</v>
      </c>
      <c r="R23" s="47">
        <f t="shared" si="18"/>
        <v>138.58334744897959</v>
      </c>
      <c r="S23" s="47">
        <f t="shared" si="18"/>
        <v>184.07705625000003</v>
      </c>
      <c r="T23" s="47">
        <f>L23/$L23</f>
        <v>1</v>
      </c>
      <c r="U23" s="47">
        <f t="shared" ref="U23:AA23" si="19">M23/$L23</f>
        <v>7.8140215561224506</v>
      </c>
      <c r="V23" s="47">
        <f t="shared" si="19"/>
        <v>21.07465765306123</v>
      </c>
      <c r="W23" s="47">
        <f t="shared" si="19"/>
        <v>40.781908290816325</v>
      </c>
      <c r="X23" s="47">
        <f t="shared" si="19"/>
        <v>66.935773469387769</v>
      </c>
      <c r="Y23" s="47">
        <f t="shared" si="19"/>
        <v>99.536253188775518</v>
      </c>
      <c r="Z23" s="47">
        <f t="shared" si="19"/>
        <v>138.58334744897959</v>
      </c>
      <c r="AA23" s="47">
        <f t="shared" si="19"/>
        <v>184.07705625000003</v>
      </c>
    </row>
    <row r="24" spans="1:27" x14ac:dyDescent="0.25">
      <c r="A24" s="373" t="s">
        <v>1055</v>
      </c>
      <c r="B24" s="373"/>
      <c r="C24" s="297"/>
      <c r="D24" s="422" t="s">
        <v>1164</v>
      </c>
      <c r="E24" s="422" t="s">
        <v>1165</v>
      </c>
      <c r="F24" s="422" t="s">
        <v>1166</v>
      </c>
      <c r="G24" s="422" t="s">
        <v>1167</v>
      </c>
      <c r="H24" s="422" t="s">
        <v>1168</v>
      </c>
      <c r="I24" s="422" t="s">
        <v>1169</v>
      </c>
      <c r="J24" s="422" t="s">
        <v>1170</v>
      </c>
      <c r="K24" s="422" t="s">
        <v>1171</v>
      </c>
      <c r="L24" s="176" t="s">
        <v>1121</v>
      </c>
      <c r="M24" s="176" t="s">
        <v>1122</v>
      </c>
      <c r="N24" s="176" t="s">
        <v>1123</v>
      </c>
      <c r="O24" s="176" t="s">
        <v>1124</v>
      </c>
      <c r="P24" s="176" t="s">
        <v>1125</v>
      </c>
      <c r="Q24" s="176" t="s">
        <v>1126</v>
      </c>
      <c r="R24" s="176" t="s">
        <v>1127</v>
      </c>
      <c r="S24" s="176" t="s">
        <v>1128</v>
      </c>
      <c r="T24" s="428" t="s">
        <v>1137</v>
      </c>
      <c r="U24" s="428" t="s">
        <v>1138</v>
      </c>
      <c r="V24" s="428" t="s">
        <v>1139</v>
      </c>
      <c r="W24" s="428" t="s">
        <v>1140</v>
      </c>
      <c r="X24" s="428" t="s">
        <v>1141</v>
      </c>
      <c r="Y24" s="428" t="s">
        <v>1142</v>
      </c>
      <c r="Z24" s="428" t="s">
        <v>1143</v>
      </c>
      <c r="AA24" s="428" t="s">
        <v>1144</v>
      </c>
    </row>
    <row r="25" spans="1:27" x14ac:dyDescent="0.25">
      <c r="A25" s="15" t="s">
        <v>1049</v>
      </c>
      <c r="B25" s="2" t="s">
        <v>739</v>
      </c>
      <c r="C25" s="15" t="str">
        <f>scen_input_electro_hydro!C25</f>
        <v>New processes pathway</v>
      </c>
      <c r="D25" s="116">
        <f>scen_input_electro_hydro!D25/SUM(scen_input_electro_hydro!$D$25:$D$27)</f>
        <v>1</v>
      </c>
      <c r="E25" s="116">
        <f>scen_input_electro_hydro!E25/SUM(scen_input_electro_hydro!$D$25:$D$27)</f>
        <v>0.85714285714285721</v>
      </c>
      <c r="F25" s="116">
        <f>scen_input_electro_hydro!F25/SUM(scen_input_electro_hydro!$D$25:$D$27)</f>
        <v>0.7142857142857143</v>
      </c>
      <c r="G25" s="116">
        <f>scen_input_electro_hydro!G25/SUM(scen_input_electro_hydro!$D$25:$D$27)</f>
        <v>0.5714285714285714</v>
      </c>
      <c r="H25" s="116">
        <f>scen_input_electro_hydro!H25/SUM(scen_input_electro_hydro!$D$25:$D$27)</f>
        <v>0.4285714285714286</v>
      </c>
      <c r="I25" s="116">
        <f>scen_input_electro_hydro!I25/SUM(scen_input_electro_hydro!$D$25:$D$27)</f>
        <v>0.2857142857142857</v>
      </c>
      <c r="J25" s="116">
        <f>scen_input_electro_hydro!J25/SUM(scen_input_electro_hydro!$D$25:$D$27)</f>
        <v>0.1428571428571429</v>
      </c>
      <c r="K25" s="116">
        <f>scen_input_electro_hydro!K25/SUM(scen_input_electro_hydro!$D$25:$D$27)</f>
        <v>0</v>
      </c>
      <c r="L25" s="116">
        <f>D25*cost_projections!C19*D$28</f>
        <v>1</v>
      </c>
      <c r="M25" s="116">
        <f>E25*cost_projections!D19*E$28</f>
        <v>0.81405895691609986</v>
      </c>
      <c r="N25" s="116">
        <f>F25*cost_projections!E19*F$28</f>
        <v>0.6424792139077854</v>
      </c>
      <c r="O25" s="116">
        <f>G25*cost_projections!F19*G$28</f>
        <v>0.48526077097505665</v>
      </c>
      <c r="P25" s="116">
        <f>H25*cost_projections!G19*H$28</f>
        <v>0.34240362811791392</v>
      </c>
      <c r="Q25" s="116">
        <f>I25*cost_projections!H19*I$28</f>
        <v>0.21390778533635679</v>
      </c>
      <c r="R25" s="116">
        <f>J25*cost_projections!I19*J$28</f>
        <v>9.9773242630385534E-2</v>
      </c>
      <c r="S25" s="116">
        <f>K25*cost_projections!J19*K$28</f>
        <v>0</v>
      </c>
      <c r="T25" s="116">
        <f>L25/L$28*T$28</f>
        <v>1</v>
      </c>
      <c r="U25" s="116">
        <f t="shared" ref="U25:AA27" si="20">M25/M$28*E$28</f>
        <v>0.79588502975380182</v>
      </c>
      <c r="V25" s="116">
        <f t="shared" si="20"/>
        <v>0.61441887007799134</v>
      </c>
      <c r="W25" s="116">
        <f t="shared" si="20"/>
        <v>0.45414944711269961</v>
      </c>
      <c r="X25" s="116">
        <f t="shared" si="20"/>
        <v>0.31374621805854269</v>
      </c>
      <c r="Y25" s="116">
        <f t="shared" si="20"/>
        <v>0.19198771735637518</v>
      </c>
      <c r="Z25" s="116">
        <f t="shared" si="20"/>
        <v>8.7750603547811529E-2</v>
      </c>
      <c r="AA25" s="116">
        <f t="shared" si="20"/>
        <v>0</v>
      </c>
    </row>
    <row r="26" spans="1:27" x14ac:dyDescent="0.25">
      <c r="A26" s="15" t="s">
        <v>1050</v>
      </c>
      <c r="B26" s="2" t="s">
        <v>740</v>
      </c>
      <c r="C26" s="15" t="str">
        <f>scen_input_electro_hydro!C26</f>
        <v>New processes pathway</v>
      </c>
      <c r="D26" s="116">
        <f>scen_input_electro_hydro!D26/SUM(scen_input_electro_hydro!$D$25:$D$27)</f>
        <v>0</v>
      </c>
      <c r="E26" s="116">
        <f>scen_input_electro_hydro!E26/SUM(scen_input_electro_hydro!$D$25:$D$27)</f>
        <v>0</v>
      </c>
      <c r="F26" s="116">
        <f>scen_input_electro_hydro!F26/SUM(scen_input_electro_hydro!$D$25:$D$27)</f>
        <v>0</v>
      </c>
      <c r="G26" s="116">
        <f>scen_input_electro_hydro!G26/SUM(scen_input_electro_hydro!$D$25:$D$27)</f>
        <v>0</v>
      </c>
      <c r="H26" s="116">
        <f>scen_input_electro_hydro!H26/SUM(scen_input_electro_hydro!$D$25:$D$27)</f>
        <v>0</v>
      </c>
      <c r="I26" s="116">
        <f>scen_input_electro_hydro!I26/SUM(scen_input_electro_hydro!$D$25:$D$27)</f>
        <v>0</v>
      </c>
      <c r="J26" s="116">
        <f>scen_input_electro_hydro!J26/SUM(scen_input_electro_hydro!$D$25:$D$27)</f>
        <v>0</v>
      </c>
      <c r="K26" s="116">
        <f>scen_input_electro_hydro!K26/SUM(scen_input_electro_hydro!$D$25:$D$27)</f>
        <v>0</v>
      </c>
      <c r="L26" s="116">
        <f>D26*cost_projections!C20*D$28</f>
        <v>0</v>
      </c>
      <c r="M26" s="116">
        <f>E26*cost_projections!D20*E$28</f>
        <v>0</v>
      </c>
      <c r="N26" s="116">
        <f>F26*cost_projections!E20*F$28</f>
        <v>0</v>
      </c>
      <c r="O26" s="116">
        <f>G26*cost_projections!F20*G$28</f>
        <v>0</v>
      </c>
      <c r="P26" s="116">
        <f>H26*cost_projections!G20*H$28</f>
        <v>0</v>
      </c>
      <c r="Q26" s="116">
        <f>I26*cost_projections!H20*I$28</f>
        <v>0</v>
      </c>
      <c r="R26" s="116">
        <f>J26*cost_projections!I20*J$28</f>
        <v>0</v>
      </c>
      <c r="S26" s="116">
        <f>K26*cost_projections!J20*K$28</f>
        <v>0</v>
      </c>
      <c r="T26" s="116">
        <f>L26/L$28*T$28</f>
        <v>0</v>
      </c>
      <c r="U26" s="116">
        <f t="shared" si="20"/>
        <v>0</v>
      </c>
      <c r="V26" s="116">
        <f t="shared" si="20"/>
        <v>0</v>
      </c>
      <c r="W26" s="116">
        <f t="shared" si="20"/>
        <v>0</v>
      </c>
      <c r="X26" s="116">
        <f t="shared" si="20"/>
        <v>0</v>
      </c>
      <c r="Y26" s="116">
        <f t="shared" si="20"/>
        <v>0</v>
      </c>
      <c r="Z26" s="116">
        <f t="shared" si="20"/>
        <v>0</v>
      </c>
      <c r="AA26" s="116">
        <f t="shared" si="20"/>
        <v>0</v>
      </c>
    </row>
    <row r="27" spans="1:27" x14ac:dyDescent="0.25">
      <c r="A27" s="15" t="s">
        <v>1051</v>
      </c>
      <c r="B27" s="2" t="s">
        <v>926</v>
      </c>
      <c r="C27" s="15" t="str">
        <f>scen_input_electro_hydro!C27</f>
        <v>New processes pathway</v>
      </c>
      <c r="D27" s="116">
        <f>scen_input_electro_hydro!D27/SUM(scen_input_electro_hydro!$D$25:$D$27)</f>
        <v>0</v>
      </c>
      <c r="E27" s="116">
        <f>scen_input_electro_hydro!E27/SUM(scen_input_electro_hydro!$D$25:$D$27)</f>
        <v>9.2592592592592601E-2</v>
      </c>
      <c r="F27" s="116">
        <f>scen_input_electro_hydro!F27/SUM(scen_input_electro_hydro!$D$25:$D$27)</f>
        <v>0.1851851851851852</v>
      </c>
      <c r="G27" s="116">
        <f>scen_input_electro_hydro!G27/SUM(scen_input_electro_hydro!$D$25:$D$27)</f>
        <v>0.27777777777777779</v>
      </c>
      <c r="H27" s="116">
        <f>scen_input_electro_hydro!H27/SUM(scen_input_electro_hydro!$D$25:$D$27)</f>
        <v>0.37037037037037041</v>
      </c>
      <c r="I27" s="116">
        <f>scen_input_electro_hydro!I27/SUM(scen_input_electro_hydro!$D$25:$D$27)</f>
        <v>0.46296296296296308</v>
      </c>
      <c r="J27" s="116">
        <f>scen_input_electro_hydro!J27/SUM(scen_input_electro_hydro!$D$25:$D$27)</f>
        <v>0.55555555555555558</v>
      </c>
      <c r="K27" s="116">
        <f>scen_input_electro_hydro!K27/SUM(scen_input_electro_hydro!$D$25:$D$27)</f>
        <v>0.64814814814814825</v>
      </c>
      <c r="L27" s="116">
        <f>D27*cost_projections!C21*D$28</f>
        <v>0</v>
      </c>
      <c r="M27" s="116">
        <f>E27*cost_projections!D21*E$28</f>
        <v>0.15736357354291081</v>
      </c>
      <c r="N27" s="116">
        <f>F27*cost_projections!E21*F$28</f>
        <v>0.29807027857710122</v>
      </c>
      <c r="O27" s="116">
        <f>G27*cost_projections!F21*G$28</f>
        <v>0.42212011510257125</v>
      </c>
      <c r="P27" s="116">
        <f>H27*cost_projections!G21*H$28</f>
        <v>0.5295130831193211</v>
      </c>
      <c r="Q27" s="116">
        <f>I27*cost_projections!H21*I$28</f>
        <v>0.62024918262735051</v>
      </c>
      <c r="R27" s="116">
        <f>J27*cost_projections!I21*J$28</f>
        <v>0.69432841362665931</v>
      </c>
      <c r="S27" s="116">
        <f>K27*cost_projections!J21*K$28</f>
        <v>0.75175077611724805</v>
      </c>
      <c r="T27" s="116">
        <f>L27/L$28*T$28</f>
        <v>0</v>
      </c>
      <c r="U27" s="116">
        <f t="shared" si="20"/>
        <v>0.15385041998164786</v>
      </c>
      <c r="V27" s="116">
        <f t="shared" si="20"/>
        <v>0.28505202939290825</v>
      </c>
      <c r="W27" s="116">
        <f t="shared" si="20"/>
        <v>0.39505690209364958</v>
      </c>
      <c r="X27" s="116">
        <f t="shared" si="20"/>
        <v>0.48519558088325637</v>
      </c>
      <c r="Y27" s="116">
        <f t="shared" si="20"/>
        <v>0.55668953132087362</v>
      </c>
      <c r="Z27" s="116">
        <f t="shared" si="20"/>
        <v>0.61066209486488698</v>
      </c>
      <c r="AA27" s="116">
        <f t="shared" si="20"/>
        <v>0.64814814814814825</v>
      </c>
    </row>
    <row r="28" spans="1:27" x14ac:dyDescent="0.25">
      <c r="A28" s="19" t="s">
        <v>1048</v>
      </c>
      <c r="B28" s="19"/>
      <c r="C28" s="15" t="str">
        <f>scen_input_electro_hydro!C28</f>
        <v>Baseline+Reductions</v>
      </c>
      <c r="D28" s="47">
        <f>SUM(scen_input_electro_hydro!D25:D27)/SUM(scen_input_electro_hydro!$D25:$D27)</f>
        <v>1</v>
      </c>
      <c r="E28" s="47">
        <f>SUM(scen_input_electro_hydro!E25:E27)/SUM(scen_input_electro_hydro!$D25:$D27)</f>
        <v>0.94973544973544977</v>
      </c>
      <c r="F28" s="47">
        <f>SUM(scen_input_electro_hydro!F25:F27)/SUM(scen_input_electro_hydro!$D25:$D27)</f>
        <v>0.89947089947089953</v>
      </c>
      <c r="G28" s="47">
        <f>SUM(scen_input_electro_hydro!G25:G27)/SUM(scen_input_electro_hydro!$D25:$D27)</f>
        <v>0.84920634920634919</v>
      </c>
      <c r="H28" s="47">
        <f>SUM(scen_input_electro_hydro!H25:H27)/SUM(scen_input_electro_hydro!$D25:$D27)</f>
        <v>0.79894179894179906</v>
      </c>
      <c r="I28" s="47">
        <f>SUM(scen_input_electro_hydro!I25:I27)/SUM(scen_input_electro_hydro!$D25:$D27)</f>
        <v>0.74867724867724883</v>
      </c>
      <c r="J28" s="47">
        <f>SUM(scen_input_electro_hydro!J25:J27)/SUM(scen_input_electro_hydro!$D25:$D27)</f>
        <v>0.69841269841269848</v>
      </c>
      <c r="K28" s="47">
        <f>SUM(scen_input_electro_hydro!K25:K27)/SUM(scen_input_electro_hydro!$D25:$D27)</f>
        <v>0.64814814814814825</v>
      </c>
      <c r="L28" s="47">
        <f>SUM(L25:L27)</f>
        <v>1</v>
      </c>
      <c r="M28" s="47">
        <f t="shared" ref="M28:S28" si="21">SUM(M25:M27)</f>
        <v>0.97142253045901072</v>
      </c>
      <c r="N28" s="47">
        <f t="shared" si="21"/>
        <v>0.94054949248488662</v>
      </c>
      <c r="O28" s="47">
        <f t="shared" si="21"/>
        <v>0.9073808860776279</v>
      </c>
      <c r="P28" s="47">
        <f t="shared" si="21"/>
        <v>0.87191671123723502</v>
      </c>
      <c r="Q28" s="47">
        <f t="shared" si="21"/>
        <v>0.83415696796370731</v>
      </c>
      <c r="R28" s="47">
        <f t="shared" si="21"/>
        <v>0.79410165625704487</v>
      </c>
      <c r="S28" s="47">
        <f t="shared" si="21"/>
        <v>0.75175077611724805</v>
      </c>
      <c r="T28" s="47">
        <f>L28/$L28</f>
        <v>1</v>
      </c>
      <c r="U28" s="47">
        <f t="shared" ref="U28:AA28" si="22">M28/$L28</f>
        <v>0.97142253045901072</v>
      </c>
      <c r="V28" s="47">
        <f t="shared" si="22"/>
        <v>0.94054949248488662</v>
      </c>
      <c r="W28" s="47">
        <f t="shared" si="22"/>
        <v>0.9073808860776279</v>
      </c>
      <c r="X28" s="47">
        <f t="shared" si="22"/>
        <v>0.87191671123723502</v>
      </c>
      <c r="Y28" s="47">
        <f t="shared" si="22"/>
        <v>0.83415696796370731</v>
      </c>
      <c r="Z28" s="47">
        <f t="shared" si="22"/>
        <v>0.79410165625704487</v>
      </c>
      <c r="AA28" s="47">
        <f t="shared" si="22"/>
        <v>0.75175077611724805</v>
      </c>
    </row>
    <row r="29" spans="1:27" x14ac:dyDescent="0.25">
      <c r="A29" s="373" t="s">
        <v>944</v>
      </c>
      <c r="B29" s="373"/>
      <c r="C29" s="297"/>
      <c r="D29" s="422" t="s">
        <v>1164</v>
      </c>
      <c r="E29" s="422" t="s">
        <v>1165</v>
      </c>
      <c r="F29" s="422" t="s">
        <v>1166</v>
      </c>
      <c r="G29" s="422" t="s">
        <v>1167</v>
      </c>
      <c r="H29" s="422" t="s">
        <v>1168</v>
      </c>
      <c r="I29" s="422" t="s">
        <v>1169</v>
      </c>
      <c r="J29" s="422" t="s">
        <v>1170</v>
      </c>
      <c r="K29" s="422" t="s">
        <v>1171</v>
      </c>
      <c r="L29" s="176" t="s">
        <v>1121</v>
      </c>
      <c r="M29" s="176" t="s">
        <v>1122</v>
      </c>
      <c r="N29" s="176" t="s">
        <v>1123</v>
      </c>
      <c r="O29" s="176" t="s">
        <v>1124</v>
      </c>
      <c r="P29" s="176" t="s">
        <v>1125</v>
      </c>
      <c r="Q29" s="176" t="s">
        <v>1126</v>
      </c>
      <c r="R29" s="176" t="s">
        <v>1127</v>
      </c>
      <c r="S29" s="176" t="s">
        <v>1128</v>
      </c>
      <c r="T29" s="428" t="s">
        <v>1137</v>
      </c>
      <c r="U29" s="428" t="s">
        <v>1138</v>
      </c>
      <c r="V29" s="428" t="s">
        <v>1139</v>
      </c>
      <c r="W29" s="428" t="s">
        <v>1140</v>
      </c>
      <c r="X29" s="428" t="s">
        <v>1141</v>
      </c>
      <c r="Y29" s="428" t="s">
        <v>1142</v>
      </c>
      <c r="Z29" s="428" t="s">
        <v>1143</v>
      </c>
      <c r="AA29" s="428" t="s">
        <v>1144</v>
      </c>
    </row>
    <row r="30" spans="1:27" x14ac:dyDescent="0.25">
      <c r="A30" s="15" t="s">
        <v>1052</v>
      </c>
      <c r="B30" s="2" t="s">
        <v>733</v>
      </c>
      <c r="C30" s="15" t="str">
        <f>scen_input_electro_hydro!C30</f>
        <v>TECH OEM</v>
      </c>
      <c r="D30" s="116">
        <f>scen_input_electro_hydro!D30/SUM(scen_input_electro_hydro!$D$30:$D$31)</f>
        <v>0.99</v>
      </c>
      <c r="E30" s="116">
        <f>scen_input_electro_hydro!E30/SUM(scen_input_electro_hydro!$D$30:$D$31)</f>
        <v>0.96064425770308115</v>
      </c>
      <c r="F30" s="116">
        <f>scen_input_electro_hydro!F30/SUM(scen_input_electro_hydro!$D$30:$D$31)</f>
        <v>0.46008403361344535</v>
      </c>
      <c r="G30" s="116">
        <f>scen_input_electro_hydro!G30/SUM(scen_input_electro_hydro!$D$30:$D$31)</f>
        <v>0.10336134453781512</v>
      </c>
      <c r="H30" s="116">
        <f>scen_input_electro_hydro!H30/SUM(scen_input_electro_hydro!$D$30:$D$31)</f>
        <v>0</v>
      </c>
      <c r="I30" s="116">
        <f>scen_input_electro_hydro!I30/SUM(scen_input_electro_hydro!$D$30:$D$31)</f>
        <v>0</v>
      </c>
      <c r="J30" s="116">
        <f>scen_input_electro_hydro!J30/SUM(scen_input_electro_hydro!$D$30:$D$31)</f>
        <v>0</v>
      </c>
      <c r="K30" s="116">
        <f>scen_input_electro_hydro!K30/SUM(scen_input_electro_hydro!$D$30:$D$31)</f>
        <v>0</v>
      </c>
      <c r="L30" s="116">
        <f>D30*cost_projections!C23*D$32</f>
        <v>0.99</v>
      </c>
      <c r="M30" s="116">
        <f>E30*cost_projections!D23*E$32</f>
        <v>0.9714077787977935</v>
      </c>
      <c r="N30" s="116">
        <f>F30*cost_projections!E23*F$32</f>
        <v>0.4703940399689287</v>
      </c>
      <c r="O30" s="116">
        <f>G30*cost_projections!F23*G$32</f>
        <v>0.10683567544664922</v>
      </c>
      <c r="P30" s="116">
        <f>H30*cost_projections!G23*H$32</f>
        <v>0</v>
      </c>
      <c r="Q30" s="116">
        <f>I30*cost_projections!H23*I$32</f>
        <v>0</v>
      </c>
      <c r="R30" s="116">
        <f>J30*cost_projections!I23*J$32</f>
        <v>0</v>
      </c>
      <c r="S30" s="116">
        <f>K30*cost_projections!J23*K$32</f>
        <v>0</v>
      </c>
      <c r="T30" s="116">
        <f>L30/L$32*T$32</f>
        <v>0.98556495769039332</v>
      </c>
      <c r="U30" s="116">
        <f t="shared" ref="U30:AA31" si="23">M30/M$32*U$32</f>
        <v>0.9670560266777436</v>
      </c>
      <c r="V30" s="116">
        <f t="shared" si="23"/>
        <v>0.4682867495957479</v>
      </c>
      <c r="W30" s="116">
        <f t="shared" si="23"/>
        <v>0.10635706863777922</v>
      </c>
      <c r="X30" s="116">
        <f t="shared" si="23"/>
        <v>0</v>
      </c>
      <c r="Y30" s="116">
        <f t="shared" si="23"/>
        <v>0</v>
      </c>
      <c r="Z30" s="116">
        <f t="shared" si="23"/>
        <v>0</v>
      </c>
      <c r="AA30" s="116">
        <f t="shared" si="23"/>
        <v>0</v>
      </c>
    </row>
    <row r="31" spans="1:27" x14ac:dyDescent="0.25">
      <c r="A31" s="15" t="s">
        <v>1053</v>
      </c>
      <c r="B31" s="2" t="s">
        <v>734</v>
      </c>
      <c r="C31" s="15" t="str">
        <f>scen_input_electro_hydro!C31</f>
        <v>TECH OEM</v>
      </c>
      <c r="D31" s="116">
        <f>scen_input_electro_hydro!D31/SUM(scen_input_electro_hydro!$D$30:$D$31)</f>
        <v>0.01</v>
      </c>
      <c r="E31" s="116">
        <f>scen_input_electro_hydro!E31/SUM(scen_input_electro_hydro!$D$30:$D$31)</f>
        <v>5.0560224089635855E-2</v>
      </c>
      <c r="F31" s="116">
        <f>scen_input_electro_hydro!F31/SUM(scen_input_electro_hydro!$D$30:$D$31)</f>
        <v>0.5623249299719888</v>
      </c>
      <c r="G31" s="116">
        <f>scen_input_electro_hydro!G31/SUM(scen_input_electro_hydro!$D$30:$D$31)</f>
        <v>0.93025210084033605</v>
      </c>
      <c r="H31" s="116">
        <f>scen_input_electro_hydro!H31/SUM(scen_input_electro_hydro!$D$30:$D$31)</f>
        <v>1.0448179271708684</v>
      </c>
      <c r="I31" s="116">
        <f>scen_input_electro_hydro!I31/SUM(scen_input_electro_hydro!$D$30:$D$31)</f>
        <v>1.0560224089635855</v>
      </c>
      <c r="J31" s="116">
        <f>scen_input_electro_hydro!J31/SUM(scen_input_electro_hydro!$D$30:$D$31)</f>
        <v>1.0672268907563025</v>
      </c>
      <c r="K31" s="116">
        <f>scen_input_electro_hydro!K31/SUM(scen_input_electro_hydro!$D$30:$D$31)</f>
        <v>1.0784313725490196</v>
      </c>
      <c r="L31" s="116">
        <f>D31*cost_projections!C24*D$32</f>
        <v>1.4499999999999997E-2</v>
      </c>
      <c r="M31" s="116">
        <f>E31*cost_projections!D24*E$32</f>
        <v>6.7875135179156179E-2</v>
      </c>
      <c r="N31" s="116">
        <f>F31*cost_projections!E24*F$32</f>
        <v>0.69288501404618619</v>
      </c>
      <c r="O31" s="116">
        <f>G31*cost_projections!F24*G$32</f>
        <v>1.0410952372835542</v>
      </c>
      <c r="P31" s="116">
        <f>H31*cost_projections!G24*H$32</f>
        <v>1.1819874941186754</v>
      </c>
      <c r="Q31" s="116">
        <f>I31*cost_projections!H24*I$32</f>
        <v>1.2074743622939372</v>
      </c>
      <c r="R31" s="116">
        <f>J31*cost_projections!I24*J$32</f>
        <v>1.2332330903964019</v>
      </c>
      <c r="S31" s="116">
        <f>K31*cost_projections!J24*K$32</f>
        <v>1.2592636784260693</v>
      </c>
      <c r="T31" s="116">
        <f>L31/L$32*T$32</f>
        <v>1.4435042309606768E-2</v>
      </c>
      <c r="U31" s="116">
        <f t="shared" si="23"/>
        <v>6.7571065384924009E-2</v>
      </c>
      <c r="V31" s="116">
        <f t="shared" si="23"/>
        <v>0.68978099954821925</v>
      </c>
      <c r="W31" s="116">
        <f t="shared" si="23"/>
        <v>1.0364312964495315</v>
      </c>
      <c r="X31" s="116">
        <f t="shared" si="23"/>
        <v>1.1766923784158043</v>
      </c>
      <c r="Y31" s="116">
        <f t="shared" si="23"/>
        <v>1.2020650694812716</v>
      </c>
      <c r="Z31" s="116">
        <f t="shared" si="23"/>
        <v>1.2277084025847704</v>
      </c>
      <c r="AA31" s="116">
        <f t="shared" si="23"/>
        <v>1.2536223777263011</v>
      </c>
    </row>
    <row r="32" spans="1:27" x14ac:dyDescent="0.25">
      <c r="A32" s="19" t="s">
        <v>1048</v>
      </c>
      <c r="B32" s="19"/>
      <c r="C32" s="15" t="str">
        <f>scen_input_electro_hydro!C32</f>
        <v>TECH OEM</v>
      </c>
      <c r="D32" s="47">
        <f>SUM(scen_input_electro_hydro!D30:D31)/SUM(scen_input_electro_hydro!$D30:$D31)</f>
        <v>1</v>
      </c>
      <c r="E32" s="47">
        <f>SUM(scen_input_electro_hydro!E30:E31)/SUM(scen_input_electro_hydro!$D30:$D31)</f>
        <v>1.011204481792717</v>
      </c>
      <c r="F32" s="47">
        <f>SUM(scen_input_electro_hydro!F30:F31)/SUM(scen_input_electro_hydro!$D30:$D31)</f>
        <v>1.0224089635854341</v>
      </c>
      <c r="G32" s="47">
        <f>SUM(scen_input_electro_hydro!G30:G31)/SUM(scen_input_electro_hydro!$D30:$D31)</f>
        <v>1.0336134453781511</v>
      </c>
      <c r="H32" s="47">
        <f>SUM(scen_input_electro_hydro!H30:H31)/SUM(scen_input_electro_hydro!$D30:$D31)</f>
        <v>1.0448179271708684</v>
      </c>
      <c r="I32" s="47">
        <f>SUM(scen_input_electro_hydro!I30:I31)/SUM(scen_input_electro_hydro!$D30:$D31)</f>
        <v>1.0560224089635855</v>
      </c>
      <c r="J32" s="47">
        <f>SUM(scen_input_electro_hydro!J30:J31)/SUM(scen_input_electro_hydro!$D30:$D31)</f>
        <v>1.0672268907563025</v>
      </c>
      <c r="K32" s="47">
        <f>SUM(scen_input_electro_hydro!K30:K31)/SUM(scen_input_electro_hydro!$D30:$D31)</f>
        <v>1.0784313725490196</v>
      </c>
      <c r="L32" s="47">
        <f>SUM(L30:L31)</f>
        <v>1.0044999999999999</v>
      </c>
      <c r="M32" s="47">
        <f t="shared" ref="M32:R32" si="24">SUM(M30:M31)</f>
        <v>1.0392829139769497</v>
      </c>
      <c r="N32" s="47">
        <f t="shared" si="24"/>
        <v>1.1632790540151148</v>
      </c>
      <c r="O32" s="47">
        <f t="shared" si="24"/>
        <v>1.1479309127302035</v>
      </c>
      <c r="P32" s="47">
        <f t="shared" si="24"/>
        <v>1.1819874941186754</v>
      </c>
      <c r="Q32" s="47">
        <f t="shared" si="24"/>
        <v>1.2074743622939372</v>
      </c>
      <c r="R32" s="47">
        <f t="shared" si="24"/>
        <v>1.2332330903964019</v>
      </c>
      <c r="S32" s="47">
        <f>SUM(S30:S31)</f>
        <v>1.2592636784260693</v>
      </c>
      <c r="T32" s="47">
        <f>L32/$L32</f>
        <v>1</v>
      </c>
      <c r="U32" s="47">
        <f>M32/$L32</f>
        <v>1.0346270920626677</v>
      </c>
      <c r="V32" s="47">
        <f t="shared" ref="V32:AA32" si="25">N32/$L32</f>
        <v>1.158067749143967</v>
      </c>
      <c r="W32" s="47">
        <f t="shared" si="25"/>
        <v>1.1427883650873107</v>
      </c>
      <c r="X32" s="47">
        <f t="shared" si="25"/>
        <v>1.1766923784158043</v>
      </c>
      <c r="Y32" s="47">
        <f t="shared" si="25"/>
        <v>1.2020650694812716</v>
      </c>
      <c r="Z32" s="47">
        <f t="shared" si="25"/>
        <v>1.2277084025847704</v>
      </c>
      <c r="AA32" s="47">
        <f t="shared" si="25"/>
        <v>1.2536223777263011</v>
      </c>
    </row>
    <row r="33" spans="1:27" s="117" customFormat="1" x14ac:dyDescent="0.25">
      <c r="A33" s="375" t="s">
        <v>921</v>
      </c>
      <c r="B33" s="375"/>
      <c r="C33" s="297"/>
      <c r="D33" s="422" t="s">
        <v>1164</v>
      </c>
      <c r="E33" s="422" t="s">
        <v>1165</v>
      </c>
      <c r="F33" s="422" t="s">
        <v>1166</v>
      </c>
      <c r="G33" s="422" t="s">
        <v>1167</v>
      </c>
      <c r="H33" s="422" t="s">
        <v>1168</v>
      </c>
      <c r="I33" s="422" t="s">
        <v>1169</v>
      </c>
      <c r="J33" s="422" t="s">
        <v>1170</v>
      </c>
      <c r="K33" s="422" t="s">
        <v>1171</v>
      </c>
      <c r="L33" s="176" t="s">
        <v>1121</v>
      </c>
      <c r="M33" s="176" t="s">
        <v>1122</v>
      </c>
      <c r="N33" s="176" t="s">
        <v>1123</v>
      </c>
      <c r="O33" s="176" t="s">
        <v>1124</v>
      </c>
      <c r="P33" s="176" t="s">
        <v>1125</v>
      </c>
      <c r="Q33" s="176" t="s">
        <v>1126</v>
      </c>
      <c r="R33" s="176" t="s">
        <v>1127</v>
      </c>
      <c r="S33" s="176" t="s">
        <v>1128</v>
      </c>
      <c r="T33" s="428" t="s">
        <v>1137</v>
      </c>
      <c r="U33" s="428" t="s">
        <v>1138</v>
      </c>
      <c r="V33" s="428" t="s">
        <v>1139</v>
      </c>
      <c r="W33" s="428" t="s">
        <v>1140</v>
      </c>
      <c r="X33" s="428" t="s">
        <v>1141</v>
      </c>
      <c r="Y33" s="428" t="s">
        <v>1142</v>
      </c>
      <c r="Z33" s="428" t="s">
        <v>1143</v>
      </c>
      <c r="AA33" s="428" t="s">
        <v>1144</v>
      </c>
    </row>
    <row r="34" spans="1:27" x14ac:dyDescent="0.25">
      <c r="A34" s="15" t="s">
        <v>2</v>
      </c>
      <c r="B34" s="2" t="s">
        <v>3</v>
      </c>
      <c r="C34" s="15" t="str">
        <f>scen_input_electro_hydro!C34</f>
        <v>MIX-CP (2020-30)/EU 2020 Reference (trends 2030-50)</v>
      </c>
      <c r="D34" s="116">
        <f>scen_input_electro_hydro!D34/SUM(scen_input_electro_hydro!$D$34:$D$46)</f>
        <v>0.50086203722103262</v>
      </c>
      <c r="E34" s="116">
        <f>scen_input_electro_hydro!E34/SUM(scen_input_electro_hydro!$D$34:$D$46)</f>
        <v>0.39604275038087633</v>
      </c>
      <c r="F34" s="116">
        <f>scen_input_electro_hydro!F34/SUM(scen_input_electro_hydro!$D$34:$D$46)</f>
        <v>0.24130781218094849</v>
      </c>
      <c r="G34" s="116">
        <f>scen_input_electro_hydro!G34/SUM(scen_input_electro_hydro!$D$34:$D$46)</f>
        <v>0.16010563240856479</v>
      </c>
      <c r="H34" s="116">
        <f>scen_input_electro_hydro!H34/SUM(scen_input_electro_hydro!$D$34:$D$46)</f>
        <v>0.14348929523913775</v>
      </c>
      <c r="I34" s="116">
        <f>scen_input_electro_hydro!I34/SUM(scen_input_electro_hydro!$D$34:$D$46)</f>
        <v>2.1667935750453917E-2</v>
      </c>
      <c r="J34" s="116">
        <f>scen_input_electro_hydro!J34/SUM(scen_input_electro_hydro!$D$34:$D$46)</f>
        <v>0</v>
      </c>
      <c r="K34" s="116">
        <f>scen_input_electro_hydro!K34/SUM(scen_input_electro_hydro!$D$34:$D$46)</f>
        <v>0</v>
      </c>
      <c r="L34" s="427">
        <f>D34</f>
        <v>0.50086203722103262</v>
      </c>
      <c r="M34" s="427">
        <f t="shared" ref="M34:S46" si="26">E34</f>
        <v>0.39604275038087633</v>
      </c>
      <c r="N34" s="427">
        <f t="shared" si="26"/>
        <v>0.24130781218094849</v>
      </c>
      <c r="O34" s="427">
        <f t="shared" si="26"/>
        <v>0.16010563240856479</v>
      </c>
      <c r="P34" s="427">
        <f t="shared" si="26"/>
        <v>0.14348929523913775</v>
      </c>
      <c r="Q34" s="427">
        <f t="shared" si="26"/>
        <v>2.1667935750453917E-2</v>
      </c>
      <c r="R34" s="427">
        <f t="shared" si="26"/>
        <v>0</v>
      </c>
      <c r="S34" s="427">
        <f t="shared" si="26"/>
        <v>0</v>
      </c>
      <c r="T34" s="116">
        <f t="shared" ref="T34:AA46" si="27">L34/L$47*T$47</f>
        <v>0.50086203722103262</v>
      </c>
      <c r="U34" s="116">
        <f t="shared" si="27"/>
        <v>0.39604275038087633</v>
      </c>
      <c r="V34" s="116">
        <f t="shared" si="27"/>
        <v>0.24130781218094849</v>
      </c>
      <c r="W34" s="116">
        <f t="shared" si="27"/>
        <v>0.16010563240856479</v>
      </c>
      <c r="X34" s="116">
        <f t="shared" si="27"/>
        <v>0.14348929523913775</v>
      </c>
      <c r="Y34" s="116">
        <f t="shared" si="27"/>
        <v>2.1667935750453917E-2</v>
      </c>
      <c r="Z34" s="116">
        <f t="shared" si="27"/>
        <v>0</v>
      </c>
      <c r="AA34" s="116">
        <f t="shared" si="27"/>
        <v>0</v>
      </c>
    </row>
    <row r="35" spans="1:27" x14ac:dyDescent="0.25">
      <c r="A35" s="15" t="s">
        <v>4</v>
      </c>
      <c r="B35" s="2" t="s">
        <v>5</v>
      </c>
      <c r="C35" s="15" t="str">
        <f>scen_input_electro_hydro!C35</f>
        <v>MIX-CP (2020-30)/EU 2020 Reference (trends 2030-50)</v>
      </c>
      <c r="D35" s="116">
        <f>scen_input_electro_hydro!D35/SUM(scen_input_electro_hydro!$D$34:$D$46)</f>
        <v>5.3882907337272308E-2</v>
      </c>
      <c r="E35" s="116">
        <f>scen_input_electro_hydro!E35/SUM(scen_input_electro_hydro!$D$34:$D$46)</f>
        <v>3.5856531065000981E-2</v>
      </c>
      <c r="F35" s="116">
        <f>scen_input_electro_hydro!F35/SUM(scen_input_electro_hydro!$D$34:$D$46)</f>
        <v>4.2860125354729973E-2</v>
      </c>
      <c r="G35" s="116">
        <f>scen_input_electro_hydro!G35/SUM(scen_input_electro_hydro!$D$34:$D$46)</f>
        <v>8.9061218568554243E-2</v>
      </c>
      <c r="H35" s="116">
        <f>scen_input_electro_hydro!H35/SUM(scen_input_electro_hydro!$D$34:$D$46)</f>
        <v>0.18136571543727836</v>
      </c>
      <c r="I35" s="116">
        <f>scen_input_electro_hydro!I35/SUM(scen_input_electro_hydro!$D$34:$D$46)</f>
        <v>0.24891236295559685</v>
      </c>
      <c r="J35" s="116">
        <f>scen_input_electro_hydro!J35/SUM(scen_input_electro_hydro!$D$34:$D$46)</f>
        <v>0.26963535513575576</v>
      </c>
      <c r="K35" s="116">
        <f>scen_input_electro_hydro!K35/SUM(scen_input_electro_hydro!$D$34:$D$46)</f>
        <v>0.33444648281219286</v>
      </c>
      <c r="L35" s="427">
        <f t="shared" ref="L35:L46" si="28">D35</f>
        <v>5.3882907337272308E-2</v>
      </c>
      <c r="M35" s="427">
        <f t="shared" si="26"/>
        <v>3.5856531065000981E-2</v>
      </c>
      <c r="N35" s="427">
        <f t="shared" si="26"/>
        <v>4.2860125354729973E-2</v>
      </c>
      <c r="O35" s="427">
        <f t="shared" si="26"/>
        <v>8.9061218568554243E-2</v>
      </c>
      <c r="P35" s="427">
        <f t="shared" si="26"/>
        <v>0.18136571543727836</v>
      </c>
      <c r="Q35" s="427">
        <f t="shared" si="26"/>
        <v>0.24891236295559685</v>
      </c>
      <c r="R35" s="427">
        <f t="shared" si="26"/>
        <v>0.26963535513575576</v>
      </c>
      <c r="S35" s="427">
        <f t="shared" si="26"/>
        <v>0.33444648281219286</v>
      </c>
      <c r="T35" s="116">
        <f t="shared" si="27"/>
        <v>5.3882907337272308E-2</v>
      </c>
      <c r="U35" s="116">
        <f t="shared" si="27"/>
        <v>3.5856531065000981E-2</v>
      </c>
      <c r="V35" s="116">
        <f t="shared" si="27"/>
        <v>4.2860125354729973E-2</v>
      </c>
      <c r="W35" s="116">
        <f t="shared" si="27"/>
        <v>8.9061218568554243E-2</v>
      </c>
      <c r="X35" s="116">
        <f t="shared" si="27"/>
        <v>0.18136571543727836</v>
      </c>
      <c r="Y35" s="116">
        <f t="shared" si="27"/>
        <v>0.24891236295559685</v>
      </c>
      <c r="Z35" s="116">
        <f t="shared" si="27"/>
        <v>0.26963535513575576</v>
      </c>
      <c r="AA35" s="116">
        <f t="shared" si="27"/>
        <v>0.33444648281219286</v>
      </c>
    </row>
    <row r="36" spans="1:27" x14ac:dyDescent="0.25">
      <c r="A36" s="15" t="s">
        <v>6</v>
      </c>
      <c r="B36" s="2" t="s">
        <v>7</v>
      </c>
      <c r="C36" s="15" t="str">
        <f>scen_input_electro_hydro!C36</f>
        <v>MIX-CP (2020-30)/EU 2020 Reference (trends 2030-50)</v>
      </c>
      <c r="D36" s="116">
        <f>scen_input_electro_hydro!D36/SUM(scen_input_electro_hydro!$D$34:$D$46)</f>
        <v>0.33383772064129019</v>
      </c>
      <c r="E36" s="116">
        <f>scen_input_electro_hydro!E36/SUM(scen_input_electro_hydro!$D$34:$D$46)</f>
        <v>0.3747419059676117</v>
      </c>
      <c r="F36" s="116">
        <f>scen_input_electro_hydro!F36/SUM(scen_input_electro_hydro!$D$34:$D$46)</f>
        <v>0.39322269477726207</v>
      </c>
      <c r="G36" s="116">
        <f>scen_input_electro_hydro!G36/SUM(scen_input_electro_hydro!$D$34:$D$46)</f>
        <v>0.38967129397377814</v>
      </c>
      <c r="H36" s="116">
        <f>scen_input_electro_hydro!H36/SUM(scen_input_electro_hydro!$D$34:$D$46)</f>
        <v>0.38657308473170149</v>
      </c>
      <c r="I36" s="116">
        <f>scen_input_electro_hydro!I36/SUM(scen_input_electro_hydro!$D$34:$D$46)</f>
        <v>0.47827924701921687</v>
      </c>
      <c r="J36" s="116">
        <f>scen_input_electro_hydro!J36/SUM(scen_input_electro_hydro!$D$34:$D$46)</f>
        <v>0.473700908154918</v>
      </c>
      <c r="K36" s="116">
        <f>scen_input_electro_hydro!K36/SUM(scen_input_electro_hydro!$D$34:$D$46)</f>
        <v>0.40638185583919495</v>
      </c>
      <c r="L36" s="427">
        <f t="shared" si="28"/>
        <v>0.33383772064129019</v>
      </c>
      <c r="M36" s="427">
        <f t="shared" si="26"/>
        <v>0.3747419059676117</v>
      </c>
      <c r="N36" s="427">
        <f t="shared" si="26"/>
        <v>0.39322269477726207</v>
      </c>
      <c r="O36" s="427">
        <f t="shared" si="26"/>
        <v>0.38967129397377814</v>
      </c>
      <c r="P36" s="427">
        <f t="shared" si="26"/>
        <v>0.38657308473170149</v>
      </c>
      <c r="Q36" s="427">
        <f t="shared" si="26"/>
        <v>0.47827924701921687</v>
      </c>
      <c r="R36" s="427">
        <f t="shared" si="26"/>
        <v>0.473700908154918</v>
      </c>
      <c r="S36" s="427">
        <f t="shared" si="26"/>
        <v>0.40638185583919495</v>
      </c>
      <c r="T36" s="116">
        <f t="shared" si="27"/>
        <v>0.33383772064129019</v>
      </c>
      <c r="U36" s="116">
        <f t="shared" si="27"/>
        <v>0.3747419059676117</v>
      </c>
      <c r="V36" s="116">
        <f t="shared" si="27"/>
        <v>0.39322269477726207</v>
      </c>
      <c r="W36" s="116">
        <f t="shared" si="27"/>
        <v>0.38967129397377814</v>
      </c>
      <c r="X36" s="116">
        <f t="shared" si="27"/>
        <v>0.38657308473170154</v>
      </c>
      <c r="Y36" s="116">
        <f t="shared" si="27"/>
        <v>0.47827924701921687</v>
      </c>
      <c r="Z36" s="116">
        <f t="shared" si="27"/>
        <v>0.473700908154918</v>
      </c>
      <c r="AA36" s="116">
        <f t="shared" si="27"/>
        <v>0.40638185583919501</v>
      </c>
    </row>
    <row r="37" spans="1:27" x14ac:dyDescent="0.25">
      <c r="A37" s="15" t="s">
        <v>8</v>
      </c>
      <c r="B37" s="2" t="s">
        <v>9</v>
      </c>
      <c r="C37" s="15" t="str">
        <f>scen_input_electro_hydro!C37</f>
        <v>MIX-CP (2020-30)/EU 2020 Reference (trends 2030-50)</v>
      </c>
      <c r="D37" s="116">
        <f>scen_input_electro_hydro!D37/SUM(scen_input_electro_hydro!$D$34:$D$46)</f>
        <v>2.2398987911322985E-2</v>
      </c>
      <c r="E37" s="116">
        <f>scen_input_electro_hydro!E37/SUM(scen_input_electro_hydro!$D$34:$D$46)</f>
        <v>3.1517166035199606E-2</v>
      </c>
      <c r="F37" s="116">
        <f>scen_input_electro_hydro!F37/SUM(scen_input_electro_hydro!$D$34:$D$46)</f>
        <v>2.9355744732952816E-2</v>
      </c>
      <c r="G37" s="116">
        <f>scen_input_electro_hydro!G37/SUM(scen_input_electro_hydro!$D$34:$D$46)</f>
        <v>3.0178490472202953E-2</v>
      </c>
      <c r="H37" s="116">
        <f>scen_input_electro_hydro!H37/SUM(scen_input_electro_hydro!$D$34:$D$46)</f>
        <v>3.0231777275776903E-2</v>
      </c>
      <c r="I37" s="116">
        <f>scen_input_electro_hydro!I37/SUM(scen_input_electro_hydro!$D$34:$D$46)</f>
        <v>3.0827928901308525E-2</v>
      </c>
      <c r="J37" s="116">
        <f>scen_input_electro_hydro!J37/SUM(scen_input_electro_hydro!$D$34:$D$46)</f>
        <v>3.0938668395874006E-2</v>
      </c>
      <c r="K37" s="116">
        <f>scen_input_electro_hydro!K37/SUM(scen_input_electro_hydro!$D$34:$D$46)</f>
        <v>3.0932827987772287E-2</v>
      </c>
      <c r="L37" s="427">
        <f t="shared" si="28"/>
        <v>2.2398987911322985E-2</v>
      </c>
      <c r="M37" s="427">
        <f t="shared" si="26"/>
        <v>3.1517166035199606E-2</v>
      </c>
      <c r="N37" s="427">
        <f t="shared" si="26"/>
        <v>2.9355744732952816E-2</v>
      </c>
      <c r="O37" s="427">
        <f t="shared" si="26"/>
        <v>3.0178490472202953E-2</v>
      </c>
      <c r="P37" s="427">
        <f t="shared" si="26"/>
        <v>3.0231777275776903E-2</v>
      </c>
      <c r="Q37" s="427">
        <f t="shared" si="26"/>
        <v>3.0827928901308525E-2</v>
      </c>
      <c r="R37" s="427">
        <f t="shared" si="26"/>
        <v>3.0938668395874006E-2</v>
      </c>
      <c r="S37" s="427">
        <f t="shared" si="26"/>
        <v>3.0932827987772287E-2</v>
      </c>
      <c r="T37" s="116">
        <f t="shared" si="27"/>
        <v>2.2398987911322985E-2</v>
      </c>
      <c r="U37" s="116">
        <f t="shared" si="27"/>
        <v>3.1517166035199606E-2</v>
      </c>
      <c r="V37" s="116">
        <f t="shared" si="27"/>
        <v>2.9355744732952816E-2</v>
      </c>
      <c r="W37" s="116">
        <f t="shared" si="27"/>
        <v>3.0178490472202953E-2</v>
      </c>
      <c r="X37" s="116">
        <f t="shared" si="27"/>
        <v>3.0231777275776903E-2</v>
      </c>
      <c r="Y37" s="116">
        <f t="shared" si="27"/>
        <v>3.0827928901308525E-2</v>
      </c>
      <c r="Z37" s="116">
        <f t="shared" si="27"/>
        <v>3.0938668395874006E-2</v>
      </c>
      <c r="AA37" s="116">
        <f t="shared" si="27"/>
        <v>3.0932827987772287E-2</v>
      </c>
    </row>
    <row r="38" spans="1:27" x14ac:dyDescent="0.25">
      <c r="A38" s="15" t="s">
        <v>342</v>
      </c>
      <c r="B38" s="2" t="s">
        <v>336</v>
      </c>
      <c r="C38" s="15" t="str">
        <f>scen_input_electro_hydro!C38</f>
        <v>MIX-CP (2020-30)/EU 2020 Reference (trends 2030-50)</v>
      </c>
      <c r="D38" s="116">
        <f>scen_input_electro_hydro!D38/SUM(scen_input_electro_hydro!$D$34:$D$46)</f>
        <v>7.0191001782551254E-3</v>
      </c>
      <c r="E38" s="116">
        <f>scen_input_electro_hydro!E38/SUM(scen_input_electro_hydro!$D$34:$D$46)</f>
        <v>9.8942468179843267E-3</v>
      </c>
      <c r="F38" s="116">
        <f>scen_input_electro_hydro!F38/SUM(scen_input_electro_hydro!$D$34:$D$46)</f>
        <v>0.14022981784491256</v>
      </c>
      <c r="G38" s="116">
        <f>scen_input_electro_hydro!G38/SUM(scen_input_electro_hydro!$D$34:$D$46)</f>
        <v>0.19965832815341286</v>
      </c>
      <c r="H38" s="116">
        <f>scen_input_electro_hydro!H38/SUM(scen_input_electro_hydro!$D$34:$D$46)</f>
        <v>0.23254047972988257</v>
      </c>
      <c r="I38" s="116">
        <f>scen_input_electro_hydro!I38/SUM(scen_input_electro_hydro!$D$34:$D$46)</f>
        <v>0.25211557789937916</v>
      </c>
      <c r="J38" s="116">
        <f>scen_input_electro_hydro!J38/SUM(scen_input_electro_hydro!$D$34:$D$46)</f>
        <v>0.2638869691211419</v>
      </c>
      <c r="K38" s="116">
        <f>scen_input_electro_hydro!K38/SUM(scen_input_electro_hydro!$D$34:$D$46)</f>
        <v>0.26982653949516944</v>
      </c>
      <c r="L38" s="427">
        <f t="shared" si="28"/>
        <v>7.0191001782551254E-3</v>
      </c>
      <c r="M38" s="427">
        <f t="shared" si="26"/>
        <v>9.8942468179843267E-3</v>
      </c>
      <c r="N38" s="427">
        <f t="shared" si="26"/>
        <v>0.14022981784491256</v>
      </c>
      <c r="O38" s="427">
        <f t="shared" si="26"/>
        <v>0.19965832815341286</v>
      </c>
      <c r="P38" s="427">
        <f t="shared" si="26"/>
        <v>0.23254047972988257</v>
      </c>
      <c r="Q38" s="427">
        <f t="shared" si="26"/>
        <v>0.25211557789937916</v>
      </c>
      <c r="R38" s="427">
        <f t="shared" si="26"/>
        <v>0.2638869691211419</v>
      </c>
      <c r="S38" s="427">
        <f t="shared" si="26"/>
        <v>0.26982653949516944</v>
      </c>
      <c r="T38" s="116">
        <f t="shared" si="27"/>
        <v>7.0191001782551254E-3</v>
      </c>
      <c r="U38" s="116">
        <f t="shared" si="27"/>
        <v>9.8942468179843267E-3</v>
      </c>
      <c r="V38" s="116">
        <f t="shared" si="27"/>
        <v>0.14022981784491256</v>
      </c>
      <c r="W38" s="116">
        <f t="shared" si="27"/>
        <v>0.19965832815341286</v>
      </c>
      <c r="X38" s="116">
        <f t="shared" si="27"/>
        <v>0.23254047972988257</v>
      </c>
      <c r="Y38" s="116">
        <f t="shared" si="27"/>
        <v>0.25211557789937916</v>
      </c>
      <c r="Z38" s="116">
        <f t="shared" si="27"/>
        <v>0.2638869691211419</v>
      </c>
      <c r="AA38" s="116">
        <f t="shared" si="27"/>
        <v>0.26982653949516944</v>
      </c>
    </row>
    <row r="39" spans="1:27" x14ac:dyDescent="0.25">
      <c r="A39" s="15" t="s">
        <v>343</v>
      </c>
      <c r="B39" s="2" t="s">
        <v>337</v>
      </c>
      <c r="C39" s="15" t="str">
        <f>scen_input_electro_hydro!C39</f>
        <v>MIX-CP (2020-30)/EU 2020 Reference (trends 2030-50)</v>
      </c>
      <c r="D39" s="116">
        <f>scen_input_electro_hydro!D39/SUM(scen_input_electro_hydro!$D$34:$D$46)</f>
        <v>0</v>
      </c>
      <c r="E39" s="116">
        <f>scen_input_electro_hydro!E39/SUM(scen_input_electro_hydro!$D$34:$D$46)</f>
        <v>0</v>
      </c>
      <c r="F39" s="116">
        <f>scen_input_electro_hydro!F39/SUM(scen_input_electro_hydro!$D$34:$D$46)</f>
        <v>0</v>
      </c>
      <c r="G39" s="116">
        <f>scen_input_electro_hydro!G39/SUM(scen_input_electro_hydro!$D$34:$D$46)</f>
        <v>0</v>
      </c>
      <c r="H39" s="116">
        <f>scen_input_electro_hydro!H39/SUM(scen_input_electro_hydro!$D$34:$D$46)</f>
        <v>0</v>
      </c>
      <c r="I39" s="116">
        <f>scen_input_electro_hydro!I39/SUM(scen_input_electro_hydro!$D$34:$D$46)</f>
        <v>0</v>
      </c>
      <c r="J39" s="116">
        <f>scen_input_electro_hydro!J39/SUM(scen_input_electro_hydro!$D$34:$D$46)</f>
        <v>0</v>
      </c>
      <c r="K39" s="116">
        <f>scen_input_electro_hydro!K39/SUM(scen_input_electro_hydro!$D$34:$D$46)</f>
        <v>0</v>
      </c>
      <c r="L39" s="427">
        <f t="shared" si="28"/>
        <v>0</v>
      </c>
      <c r="M39" s="427">
        <f t="shared" si="26"/>
        <v>0</v>
      </c>
      <c r="N39" s="427">
        <f t="shared" si="26"/>
        <v>0</v>
      </c>
      <c r="O39" s="427">
        <f t="shared" si="26"/>
        <v>0</v>
      </c>
      <c r="P39" s="427">
        <f t="shared" si="26"/>
        <v>0</v>
      </c>
      <c r="Q39" s="427">
        <f t="shared" si="26"/>
        <v>0</v>
      </c>
      <c r="R39" s="427">
        <f t="shared" si="26"/>
        <v>0</v>
      </c>
      <c r="S39" s="427">
        <f t="shared" si="26"/>
        <v>0</v>
      </c>
      <c r="T39" s="116">
        <f t="shared" si="27"/>
        <v>0</v>
      </c>
      <c r="U39" s="116">
        <f t="shared" si="27"/>
        <v>0</v>
      </c>
      <c r="V39" s="116">
        <f t="shared" si="27"/>
        <v>0</v>
      </c>
      <c r="W39" s="116">
        <f t="shared" si="27"/>
        <v>0</v>
      </c>
      <c r="X39" s="116">
        <f t="shared" si="27"/>
        <v>0</v>
      </c>
      <c r="Y39" s="116">
        <f t="shared" si="27"/>
        <v>0</v>
      </c>
      <c r="Z39" s="116">
        <f t="shared" si="27"/>
        <v>0</v>
      </c>
      <c r="AA39" s="116">
        <f t="shared" si="27"/>
        <v>0</v>
      </c>
    </row>
    <row r="40" spans="1:27" x14ac:dyDescent="0.25">
      <c r="A40" s="15" t="s">
        <v>10</v>
      </c>
      <c r="B40" s="1" t="s">
        <v>11</v>
      </c>
      <c r="C40" s="15" t="str">
        <f>scen_input_electro_hydro!C40</f>
        <v>MIX-CP (2020-30)/EU 2020 Reference (trends 2030-50)</v>
      </c>
      <c r="D40" s="116">
        <f>scen_input_electro_hydro!D40/SUM(scen_input_electro_hydro!$D$34:$D$46)</f>
        <v>2.3135979454853373E-3</v>
      </c>
      <c r="E40" s="116">
        <f>scen_input_electro_hydro!E40/SUM(scen_input_electro_hydro!$D$34:$D$46)</f>
        <v>1.6346179395416048E-3</v>
      </c>
      <c r="F40" s="116">
        <f>scen_input_electro_hydro!F40/SUM(scen_input_electro_hydro!$D$34:$D$46)</f>
        <v>1.5307255926064179E-3</v>
      </c>
      <c r="G40" s="116">
        <f>scen_input_electro_hydro!G40/SUM(scen_input_electro_hydro!$D$34:$D$46)</f>
        <v>1.5315972630096915E-3</v>
      </c>
      <c r="H40" s="116">
        <f>scen_input_electro_hydro!H40/SUM(scen_input_electro_hydro!$D$34:$D$46)</f>
        <v>1.2535478234338335E-3</v>
      </c>
      <c r="I40" s="116">
        <f>scen_input_electro_hydro!I40/SUM(scen_input_electro_hydro!$D$34:$D$46)</f>
        <v>1.2236357885644304E-3</v>
      </c>
      <c r="J40" s="116">
        <f>scen_input_electro_hydro!J40/SUM(scen_input_electro_hydro!$D$34:$D$46)</f>
        <v>7.8309730825145275E-4</v>
      </c>
      <c r="K40" s="116">
        <f>scen_input_electro_hydro!K40/SUM(scen_input_electro_hydro!$D$34:$D$46)</f>
        <v>2.0081996641303085E-4</v>
      </c>
      <c r="L40" s="427">
        <f t="shared" si="28"/>
        <v>2.3135979454853373E-3</v>
      </c>
      <c r="M40" s="427">
        <f t="shared" si="26"/>
        <v>1.6346179395416048E-3</v>
      </c>
      <c r="N40" s="427">
        <f t="shared" si="26"/>
        <v>1.5307255926064179E-3</v>
      </c>
      <c r="O40" s="427">
        <f t="shared" si="26"/>
        <v>1.5315972630096915E-3</v>
      </c>
      <c r="P40" s="427">
        <f t="shared" si="26"/>
        <v>1.2535478234338335E-3</v>
      </c>
      <c r="Q40" s="427">
        <f t="shared" si="26"/>
        <v>1.2236357885644304E-3</v>
      </c>
      <c r="R40" s="427">
        <f t="shared" si="26"/>
        <v>7.8309730825145275E-4</v>
      </c>
      <c r="S40" s="427">
        <f t="shared" si="26"/>
        <v>2.0081996641303085E-4</v>
      </c>
      <c r="T40" s="116">
        <f t="shared" si="27"/>
        <v>2.3135979454853373E-3</v>
      </c>
      <c r="U40" s="116">
        <f t="shared" si="27"/>
        <v>1.6346179395416048E-3</v>
      </c>
      <c r="V40" s="116">
        <f t="shared" si="27"/>
        <v>1.5307255926064179E-3</v>
      </c>
      <c r="W40" s="116">
        <f t="shared" si="27"/>
        <v>1.5315972630096915E-3</v>
      </c>
      <c r="X40" s="116">
        <f t="shared" si="27"/>
        <v>1.2535478234338335E-3</v>
      </c>
      <c r="Y40" s="116">
        <f t="shared" si="27"/>
        <v>1.2236357885644304E-3</v>
      </c>
      <c r="Z40" s="116">
        <f t="shared" si="27"/>
        <v>7.8309730825145275E-4</v>
      </c>
      <c r="AA40" s="116">
        <f t="shared" si="27"/>
        <v>2.0081996641303085E-4</v>
      </c>
    </row>
    <row r="41" spans="1:27" x14ac:dyDescent="0.25">
      <c r="A41" s="15" t="s">
        <v>12</v>
      </c>
      <c r="B41" s="2" t="s">
        <v>13</v>
      </c>
      <c r="C41" s="15" t="str">
        <f>scen_input_electro_hydro!C41</f>
        <v>MIX-CP (2020-30)/EU 2020 Reference (trends 2030-50)</v>
      </c>
      <c r="D41" s="116">
        <f>scen_input_electro_hydro!D41/SUM(scen_input_electro_hydro!$D$34:$D$46)</f>
        <v>5.1504785957370923E-2</v>
      </c>
      <c r="E41" s="116">
        <f>scen_input_electro_hydro!E41/SUM(scen_input_electro_hydro!$D$34:$D$46)</f>
        <v>4.000863753988157E-2</v>
      </c>
      <c r="F41" s="116">
        <f>scen_input_electro_hydro!F41/SUM(scen_input_electro_hydro!$D$34:$D$46)</f>
        <v>2.3976505470970182E-2</v>
      </c>
      <c r="G41" s="116">
        <f>scen_input_electro_hydro!G41/SUM(scen_input_electro_hydro!$D$34:$D$46)</f>
        <v>4.2580916457430985E-2</v>
      </c>
      <c r="H41" s="116">
        <f>scen_input_electro_hydro!H41/SUM(scen_input_electro_hydro!$D$34:$D$46)</f>
        <v>4.8545279072132345E-2</v>
      </c>
      <c r="I41" s="116">
        <f>scen_input_electro_hydro!I41/SUM(scen_input_electro_hydro!$D$34:$D$46)</f>
        <v>7.1119546575377557E-2</v>
      </c>
      <c r="J41" s="116">
        <f>scen_input_electro_hydro!J41/SUM(scen_input_electro_hydro!$D$34:$D$46)</f>
        <v>8.1922461484742817E-2</v>
      </c>
      <c r="K41" s="116">
        <f>scen_input_electro_hydro!K41/SUM(scen_input_electro_hydro!$D$34:$D$46)</f>
        <v>0.1081911316774274</v>
      </c>
      <c r="L41" s="427">
        <f t="shared" si="28"/>
        <v>5.1504785957370923E-2</v>
      </c>
      <c r="M41" s="427">
        <f t="shared" si="26"/>
        <v>4.000863753988157E-2</v>
      </c>
      <c r="N41" s="427">
        <f t="shared" si="26"/>
        <v>2.3976505470970182E-2</v>
      </c>
      <c r="O41" s="427">
        <f t="shared" si="26"/>
        <v>4.2580916457430985E-2</v>
      </c>
      <c r="P41" s="427">
        <f t="shared" si="26"/>
        <v>4.8545279072132345E-2</v>
      </c>
      <c r="Q41" s="427">
        <f t="shared" si="26"/>
        <v>7.1119546575377557E-2</v>
      </c>
      <c r="R41" s="427">
        <f t="shared" si="26"/>
        <v>8.1922461484742817E-2</v>
      </c>
      <c r="S41" s="427">
        <f t="shared" si="26"/>
        <v>0.1081911316774274</v>
      </c>
      <c r="T41" s="116">
        <f t="shared" si="27"/>
        <v>5.1504785957370923E-2</v>
      </c>
      <c r="U41" s="116">
        <f t="shared" si="27"/>
        <v>4.000863753988157E-2</v>
      </c>
      <c r="V41" s="116">
        <f t="shared" si="27"/>
        <v>2.3976505470970182E-2</v>
      </c>
      <c r="W41" s="116">
        <f t="shared" si="27"/>
        <v>4.2580916457430985E-2</v>
      </c>
      <c r="X41" s="116">
        <f t="shared" si="27"/>
        <v>4.8545279072132345E-2</v>
      </c>
      <c r="Y41" s="116">
        <f t="shared" si="27"/>
        <v>7.1119546575377557E-2</v>
      </c>
      <c r="Z41" s="116">
        <f t="shared" si="27"/>
        <v>8.1922461484742817E-2</v>
      </c>
      <c r="AA41" s="116">
        <f t="shared" si="27"/>
        <v>0.1081911316774274</v>
      </c>
    </row>
    <row r="42" spans="1:27" x14ac:dyDescent="0.25">
      <c r="A42" s="15" t="s">
        <v>831</v>
      </c>
      <c r="B42" s="2" t="s">
        <v>338</v>
      </c>
      <c r="C42" s="15" t="str">
        <f>scen_input_electro_hydro!C42</f>
        <v>MIX-CP (2020-30)/EU 2020 Reference (trends 2030-50)</v>
      </c>
      <c r="D42" s="116">
        <f>scen_input_electro_hydro!D42/SUM(scen_input_electro_hydro!$D$34:$D$46)</f>
        <v>1.8433470403823538E-2</v>
      </c>
      <c r="E42" s="116">
        <f>scen_input_electro_hydro!E42/SUM(scen_input_electro_hydro!$D$34:$D$46)</f>
        <v>1.8433470403823538E-2</v>
      </c>
      <c r="F42" s="116">
        <f>scen_input_electro_hydro!F42/SUM(scen_input_electro_hydro!$D$34:$D$46)</f>
        <v>3.4253719061183706E-2</v>
      </c>
      <c r="G42" s="116">
        <f>scen_input_electro_hydro!G42/SUM(scen_input_electro_hydro!$D$34:$D$46)</f>
        <v>3.8568262273493886E-2</v>
      </c>
      <c r="H42" s="116">
        <f>scen_input_electro_hydro!H42/SUM(scen_input_electro_hydro!$D$34:$D$46)</f>
        <v>4.1489125176208994E-2</v>
      </c>
      <c r="I42" s="116">
        <f>scen_input_electro_hydro!I42/SUM(scen_input_electro_hydro!$D$34:$D$46)</f>
        <v>4.9608577672457355E-2</v>
      </c>
      <c r="J42" s="116">
        <f>scen_input_electro_hydro!J42/SUM(scen_input_electro_hydro!$D$34:$D$46)</f>
        <v>6.3312861407365001E-2</v>
      </c>
      <c r="K42" s="116">
        <f>scen_input_electro_hydro!K42/SUM(scen_input_electro_hydro!$D$34:$D$46)</f>
        <v>6.3426685177556424E-2</v>
      </c>
      <c r="L42" s="427">
        <f t="shared" si="28"/>
        <v>1.8433470403823538E-2</v>
      </c>
      <c r="M42" s="427">
        <f t="shared" si="26"/>
        <v>1.8433470403823538E-2</v>
      </c>
      <c r="N42" s="427">
        <f t="shared" si="26"/>
        <v>3.4253719061183706E-2</v>
      </c>
      <c r="O42" s="427">
        <f t="shared" si="26"/>
        <v>3.8568262273493886E-2</v>
      </c>
      <c r="P42" s="427">
        <f t="shared" si="26"/>
        <v>4.1489125176208994E-2</v>
      </c>
      <c r="Q42" s="427">
        <f t="shared" si="26"/>
        <v>4.9608577672457355E-2</v>
      </c>
      <c r="R42" s="427">
        <f t="shared" si="26"/>
        <v>6.3312861407365001E-2</v>
      </c>
      <c r="S42" s="427">
        <f t="shared" si="26"/>
        <v>6.3426685177556424E-2</v>
      </c>
      <c r="T42" s="116">
        <f t="shared" si="27"/>
        <v>1.8433470403823538E-2</v>
      </c>
      <c r="U42" s="116">
        <f t="shared" si="27"/>
        <v>1.8433470403823538E-2</v>
      </c>
      <c r="V42" s="116">
        <f t="shared" si="27"/>
        <v>3.4253719061183706E-2</v>
      </c>
      <c r="W42" s="116">
        <f t="shared" si="27"/>
        <v>3.8568262273493886E-2</v>
      </c>
      <c r="X42" s="116">
        <f t="shared" si="27"/>
        <v>4.1489125176208994E-2</v>
      </c>
      <c r="Y42" s="116">
        <f t="shared" si="27"/>
        <v>4.9608577672457355E-2</v>
      </c>
      <c r="Z42" s="116">
        <f t="shared" si="27"/>
        <v>6.3312861407365001E-2</v>
      </c>
      <c r="AA42" s="116">
        <f t="shared" si="27"/>
        <v>6.3426685177556424E-2</v>
      </c>
    </row>
    <row r="43" spans="1:27" x14ac:dyDescent="0.25">
      <c r="A43" s="15" t="s">
        <v>832</v>
      </c>
      <c r="B43" s="2" t="s">
        <v>339</v>
      </c>
      <c r="C43" s="15" t="str">
        <f>scen_input_electro_hydro!C43</f>
        <v>MIX-CP (2020-30)/EU 2020 Reference (trends 2030-50)</v>
      </c>
      <c r="D43" s="116">
        <f>scen_input_electro_hydro!D43/SUM(scen_input_electro_hydro!$D$34:$D$46)</f>
        <v>9.7473924041468676E-3</v>
      </c>
      <c r="E43" s="116">
        <f>scen_input_electro_hydro!E43/SUM(scen_input_electro_hydro!$D$34:$D$46)</f>
        <v>9.7473924041468676E-3</v>
      </c>
      <c r="F43" s="116">
        <f>scen_input_electro_hydro!F43/SUM(scen_input_electro_hydro!$D$34:$D$46)</f>
        <v>1.8112945293334851E-2</v>
      </c>
      <c r="G43" s="116">
        <f>scen_input_electro_hydro!G43/SUM(scen_input_electro_hydro!$D$34:$D$46)</f>
        <v>2.0394422671914221E-2</v>
      </c>
      <c r="H43" s="116">
        <f>scen_input_electro_hydro!H43/SUM(scen_input_electro_hydro!$D$34:$D$46)</f>
        <v>2.3315285574629325E-2</v>
      </c>
      <c r="I43" s="116">
        <f>scen_input_electro_hydro!I43/SUM(scen_input_electro_hydro!$D$34:$D$46)</f>
        <v>3.1434738070877682E-2</v>
      </c>
      <c r="J43" s="116">
        <f>scen_input_electro_hydro!J43/SUM(scen_input_electro_hydro!$D$34:$D$46)</f>
        <v>4.5139021805785329E-2</v>
      </c>
      <c r="K43" s="116">
        <f>scen_input_electro_hydro!K43/SUM(scen_input_electro_hydro!$D$34:$D$46)</f>
        <v>4.5252845575976745E-2</v>
      </c>
      <c r="L43" s="427">
        <f t="shared" si="28"/>
        <v>9.7473924041468676E-3</v>
      </c>
      <c r="M43" s="427">
        <f t="shared" si="26"/>
        <v>9.7473924041468676E-3</v>
      </c>
      <c r="N43" s="427">
        <f t="shared" si="26"/>
        <v>1.8112945293334851E-2</v>
      </c>
      <c r="O43" s="427">
        <f t="shared" si="26"/>
        <v>2.0394422671914221E-2</v>
      </c>
      <c r="P43" s="427">
        <f t="shared" si="26"/>
        <v>2.3315285574629325E-2</v>
      </c>
      <c r="Q43" s="427">
        <f t="shared" si="26"/>
        <v>3.1434738070877682E-2</v>
      </c>
      <c r="R43" s="427">
        <f t="shared" si="26"/>
        <v>4.5139021805785329E-2</v>
      </c>
      <c r="S43" s="427">
        <f t="shared" si="26"/>
        <v>4.5252845575976745E-2</v>
      </c>
      <c r="T43" s="116">
        <f t="shared" si="27"/>
        <v>9.7473924041468676E-3</v>
      </c>
      <c r="U43" s="116">
        <f t="shared" si="27"/>
        <v>9.7473924041468676E-3</v>
      </c>
      <c r="V43" s="116">
        <f t="shared" si="27"/>
        <v>1.8112945293334851E-2</v>
      </c>
      <c r="W43" s="116">
        <f t="shared" si="27"/>
        <v>2.0394422671914221E-2</v>
      </c>
      <c r="X43" s="116">
        <f t="shared" si="27"/>
        <v>2.3315285574629325E-2</v>
      </c>
      <c r="Y43" s="116">
        <f t="shared" si="27"/>
        <v>3.1434738070877682E-2</v>
      </c>
      <c r="Z43" s="116">
        <f t="shared" si="27"/>
        <v>4.5139021805785329E-2</v>
      </c>
      <c r="AA43" s="116">
        <f t="shared" si="27"/>
        <v>4.5252845575976745E-2</v>
      </c>
    </row>
    <row r="44" spans="1:27" x14ac:dyDescent="0.25">
      <c r="A44" s="15" t="s">
        <v>14</v>
      </c>
      <c r="B44" s="2" t="s">
        <v>15</v>
      </c>
      <c r="C44" s="15" t="str">
        <f>scen_input_electro_hydro!C44</f>
        <v>MIX-CP (2020-30)/EU 2020 Reference (trends 2030-50)</v>
      </c>
      <c r="D44" s="116">
        <f>scen_input_electro_hydro!D44/SUM(scen_input_electro_hydro!$D$34:$D$46)</f>
        <v>0</v>
      </c>
      <c r="E44" s="116">
        <f>scen_input_electro_hydro!E44/SUM(scen_input_electro_hydro!$D$34:$D$46)</f>
        <v>0</v>
      </c>
      <c r="F44" s="116">
        <f>scen_input_electro_hydro!F44/SUM(scen_input_electro_hydro!$D$34:$D$46)</f>
        <v>0</v>
      </c>
      <c r="G44" s="116">
        <f>scen_input_electro_hydro!G44/SUM(scen_input_electro_hydro!$D$34:$D$46)</f>
        <v>0</v>
      </c>
      <c r="H44" s="116">
        <f>scen_input_electro_hydro!H44/SUM(scen_input_electro_hydro!$D$34:$D$46)</f>
        <v>0</v>
      </c>
      <c r="I44" s="116">
        <f>scen_input_electro_hydro!I44/SUM(scen_input_electro_hydro!$D$34:$D$46)</f>
        <v>0</v>
      </c>
      <c r="J44" s="116">
        <f>scen_input_electro_hydro!J44/SUM(scen_input_electro_hydro!$D$34:$D$46)</f>
        <v>0</v>
      </c>
      <c r="K44" s="116">
        <f>scen_input_electro_hydro!K44/SUM(scen_input_electro_hydro!$D$34:$D$46)</f>
        <v>0</v>
      </c>
      <c r="L44" s="427">
        <f t="shared" si="28"/>
        <v>0</v>
      </c>
      <c r="M44" s="427">
        <f t="shared" si="26"/>
        <v>0</v>
      </c>
      <c r="N44" s="427">
        <f t="shared" si="26"/>
        <v>0</v>
      </c>
      <c r="O44" s="427">
        <f t="shared" si="26"/>
        <v>0</v>
      </c>
      <c r="P44" s="427">
        <f t="shared" si="26"/>
        <v>0</v>
      </c>
      <c r="Q44" s="427">
        <f t="shared" si="26"/>
        <v>0</v>
      </c>
      <c r="R44" s="427">
        <f t="shared" si="26"/>
        <v>0</v>
      </c>
      <c r="S44" s="427">
        <f t="shared" si="26"/>
        <v>0</v>
      </c>
      <c r="T44" s="116">
        <f t="shared" si="27"/>
        <v>0</v>
      </c>
      <c r="U44" s="116">
        <f t="shared" si="27"/>
        <v>0</v>
      </c>
      <c r="V44" s="116">
        <f t="shared" si="27"/>
        <v>0</v>
      </c>
      <c r="W44" s="116">
        <f t="shared" si="27"/>
        <v>0</v>
      </c>
      <c r="X44" s="116">
        <f t="shared" si="27"/>
        <v>0</v>
      </c>
      <c r="Y44" s="116">
        <f t="shared" si="27"/>
        <v>0</v>
      </c>
      <c r="Z44" s="116">
        <f t="shared" si="27"/>
        <v>0</v>
      </c>
      <c r="AA44" s="116">
        <f t="shared" si="27"/>
        <v>0</v>
      </c>
    </row>
    <row r="45" spans="1:27" x14ac:dyDescent="0.25">
      <c r="A45" s="15" t="s">
        <v>16</v>
      </c>
      <c r="B45" s="2" t="s">
        <v>17</v>
      </c>
      <c r="C45" s="15" t="str">
        <f>scen_input_electro_hydro!C45</f>
        <v>MIX-CP (2020-30)/EU 2020 Reference (trends 2030-50)</v>
      </c>
      <c r="D45" s="116">
        <f>scen_input_electro_hydro!D45/SUM(scen_input_electro_hydro!$D$34:$D$46)</f>
        <v>0</v>
      </c>
      <c r="E45" s="116">
        <f>scen_input_electro_hydro!E45/SUM(scen_input_electro_hydro!$D$34:$D$46)</f>
        <v>0</v>
      </c>
      <c r="F45" s="116">
        <f>scen_input_electro_hydro!F45/SUM(scen_input_electro_hydro!$D$34:$D$46)</f>
        <v>0</v>
      </c>
      <c r="G45" s="116">
        <f>scen_input_electro_hydro!G45/SUM(scen_input_electro_hydro!$D$34:$D$46)</f>
        <v>0</v>
      </c>
      <c r="H45" s="116">
        <f>scen_input_electro_hydro!H45/SUM(scen_input_electro_hydro!$D$34:$D$46)</f>
        <v>0</v>
      </c>
      <c r="I45" s="116">
        <f>scen_input_electro_hydro!I45/SUM(scen_input_electro_hydro!$D$34:$D$46)</f>
        <v>0</v>
      </c>
      <c r="J45" s="116">
        <f>scen_input_electro_hydro!J45/SUM(scen_input_electro_hydro!$D$34:$D$46)</f>
        <v>0</v>
      </c>
      <c r="K45" s="116">
        <f>scen_input_electro_hydro!K45/SUM(scen_input_electro_hydro!$D$34:$D$46)</f>
        <v>0</v>
      </c>
      <c r="L45" s="427">
        <f t="shared" si="28"/>
        <v>0</v>
      </c>
      <c r="M45" s="427">
        <f t="shared" si="26"/>
        <v>0</v>
      </c>
      <c r="N45" s="427">
        <f t="shared" si="26"/>
        <v>0</v>
      </c>
      <c r="O45" s="427">
        <f t="shared" si="26"/>
        <v>0</v>
      </c>
      <c r="P45" s="427">
        <f t="shared" si="26"/>
        <v>0</v>
      </c>
      <c r="Q45" s="427">
        <f t="shared" si="26"/>
        <v>0</v>
      </c>
      <c r="R45" s="427">
        <f t="shared" si="26"/>
        <v>0</v>
      </c>
      <c r="S45" s="427">
        <f t="shared" si="26"/>
        <v>0</v>
      </c>
      <c r="T45" s="116">
        <f t="shared" si="27"/>
        <v>0</v>
      </c>
      <c r="U45" s="116">
        <f t="shared" si="27"/>
        <v>0</v>
      </c>
      <c r="V45" s="116">
        <f t="shared" si="27"/>
        <v>0</v>
      </c>
      <c r="W45" s="116">
        <f t="shared" si="27"/>
        <v>0</v>
      </c>
      <c r="X45" s="116">
        <f t="shared" si="27"/>
        <v>0</v>
      </c>
      <c r="Y45" s="116">
        <f t="shared" si="27"/>
        <v>0</v>
      </c>
      <c r="Z45" s="116">
        <f t="shared" si="27"/>
        <v>0</v>
      </c>
      <c r="AA45" s="116">
        <f t="shared" si="27"/>
        <v>0</v>
      </c>
    </row>
    <row r="46" spans="1:27" x14ac:dyDescent="0.25">
      <c r="A46" s="15" t="s">
        <v>18</v>
      </c>
      <c r="B46" s="2" t="s">
        <v>19</v>
      </c>
      <c r="C46" s="15" t="str">
        <f>scen_input_electro_hydro!C46</f>
        <v>MIX-CP (2020-30)/EU 2020 Reference (trends 2030-50)</v>
      </c>
      <c r="D46" s="116">
        <f>scen_input_electro_hydro!D46/SUM(scen_input_electro_hydro!$D$34:$D$46)</f>
        <v>0</v>
      </c>
      <c r="E46" s="116">
        <f>scen_input_electro_hydro!E46/SUM(scen_input_electro_hydro!$D$34:$D$46)</f>
        <v>0</v>
      </c>
      <c r="F46" s="116">
        <f>scen_input_electro_hydro!F46/SUM(scen_input_electro_hydro!$D$34:$D$46)</f>
        <v>0</v>
      </c>
      <c r="G46" s="116">
        <f>scen_input_electro_hydro!G46/SUM(scen_input_electro_hydro!$D$34:$D$46)</f>
        <v>0</v>
      </c>
      <c r="H46" s="116">
        <f>scen_input_electro_hydro!H46/SUM(scen_input_electro_hydro!$D$34:$D$46)</f>
        <v>0</v>
      </c>
      <c r="I46" s="116">
        <f>scen_input_electro_hydro!I46/SUM(scen_input_electro_hydro!$D$34:$D$46)</f>
        <v>8.5082534440411703E-4</v>
      </c>
      <c r="J46" s="116">
        <f>scen_input_electro_hydro!J46/SUM(scen_input_electro_hydro!$D$34:$D$46)</f>
        <v>3.2253276205508066E-2</v>
      </c>
      <c r="K46" s="116">
        <f>scen_input_electro_hydro!K46/SUM(scen_input_electro_hydro!$D$34:$D$46)</f>
        <v>3.7204904535719015E-2</v>
      </c>
      <c r="L46" s="427">
        <f t="shared" si="28"/>
        <v>0</v>
      </c>
      <c r="M46" s="427">
        <f t="shared" si="26"/>
        <v>0</v>
      </c>
      <c r="N46" s="427">
        <f t="shared" si="26"/>
        <v>0</v>
      </c>
      <c r="O46" s="427">
        <f t="shared" si="26"/>
        <v>0</v>
      </c>
      <c r="P46" s="427">
        <f t="shared" si="26"/>
        <v>0</v>
      </c>
      <c r="Q46" s="427">
        <f t="shared" si="26"/>
        <v>8.5082534440411703E-4</v>
      </c>
      <c r="R46" s="427">
        <f t="shared" si="26"/>
        <v>3.2253276205508066E-2</v>
      </c>
      <c r="S46" s="427">
        <f t="shared" si="26"/>
        <v>3.7204904535719015E-2</v>
      </c>
      <c r="T46" s="116">
        <f t="shared" si="27"/>
        <v>0</v>
      </c>
      <c r="U46" s="116">
        <f t="shared" si="27"/>
        <v>0</v>
      </c>
      <c r="V46" s="116">
        <f t="shared" si="27"/>
        <v>0</v>
      </c>
      <c r="W46" s="116">
        <f t="shared" si="27"/>
        <v>0</v>
      </c>
      <c r="X46" s="116">
        <f t="shared" si="27"/>
        <v>0</v>
      </c>
      <c r="Y46" s="116">
        <f t="shared" si="27"/>
        <v>8.5082534440411703E-4</v>
      </c>
      <c r="Z46" s="116">
        <f t="shared" si="27"/>
        <v>3.2253276205508066E-2</v>
      </c>
      <c r="AA46" s="116">
        <f t="shared" si="27"/>
        <v>3.7204904535719015E-2</v>
      </c>
    </row>
    <row r="47" spans="1:27" x14ac:dyDescent="0.25">
      <c r="A47" s="19" t="s">
        <v>1048</v>
      </c>
      <c r="B47" s="19"/>
      <c r="C47" s="15" t="str">
        <f>scen_input_electro_hydro!C47</f>
        <v>MIX-CP (2020-30)/EU 2020 Reference (trends 2030-50)</v>
      </c>
      <c r="D47" s="46">
        <f>SUM(scen_input_electro_hydro!D34:D46)/SUM(scen_input_electro_hydro!$D34:$D46)</f>
        <v>1</v>
      </c>
      <c r="E47" s="46">
        <f>SUM(scen_input_electro_hydro!E34:E46)/SUM(scen_input_electro_hydro!$D34:$D46)</f>
        <v>0.91787671855406683</v>
      </c>
      <c r="F47" s="46">
        <f>SUM(scen_input_electro_hydro!F34:F46)/SUM(scen_input_electro_hydro!$D34:$D46)</f>
        <v>0.9248500903089012</v>
      </c>
      <c r="G47" s="46">
        <f>SUM(scen_input_electro_hydro!G34:G46)/SUM(scen_input_electro_hydro!$D34:$D46)</f>
        <v>0.97175016224236177</v>
      </c>
      <c r="H47" s="46">
        <f>SUM(scen_input_electro_hydro!H34:H46)/SUM(scen_input_electro_hydro!$D34:$D46)</f>
        <v>1.0888035900601816</v>
      </c>
      <c r="I47" s="46">
        <f>SUM(scen_input_electro_hydro!I34:I46)/SUM(scen_input_electro_hydro!$D34:$D46)</f>
        <v>1.1860403759776363</v>
      </c>
      <c r="J47" s="46">
        <f>SUM(scen_input_electro_hydro!J34:J46)/SUM(scen_input_electro_hydro!$D34:$D46)</f>
        <v>1.2615726190193424</v>
      </c>
      <c r="K47" s="46">
        <f>SUM(scen_input_electro_hydro!K34:K46)/SUM(scen_input_electro_hydro!$D34:$D46)</f>
        <v>1.2958640930674223</v>
      </c>
      <c r="L47" s="47">
        <f>SUM(L34:L46)</f>
        <v>1</v>
      </c>
      <c r="M47" s="47">
        <f t="shared" ref="M47:S47" si="29">SUM(M34:M46)</f>
        <v>0.91787671855406661</v>
      </c>
      <c r="N47" s="47">
        <f t="shared" si="29"/>
        <v>0.92485009030890097</v>
      </c>
      <c r="O47" s="47">
        <f t="shared" si="29"/>
        <v>0.97175016224236188</v>
      </c>
      <c r="P47" s="47">
        <f t="shared" si="29"/>
        <v>1.0888035900601813</v>
      </c>
      <c r="Q47" s="47">
        <f t="shared" si="29"/>
        <v>1.1860403759776363</v>
      </c>
      <c r="R47" s="47">
        <f t="shared" si="29"/>
        <v>1.2615726190193426</v>
      </c>
      <c r="S47" s="47">
        <f t="shared" si="29"/>
        <v>1.2958640930674219</v>
      </c>
      <c r="T47" s="47">
        <f>L47/$L47</f>
        <v>1</v>
      </c>
      <c r="U47" s="47">
        <f>M47/$L47</f>
        <v>0.91787671855406661</v>
      </c>
      <c r="V47" s="47">
        <f t="shared" ref="V47:AA47" si="30">N47/$L47</f>
        <v>0.92485009030890097</v>
      </c>
      <c r="W47" s="47">
        <f t="shared" si="30"/>
        <v>0.97175016224236188</v>
      </c>
      <c r="X47" s="47">
        <f t="shared" si="30"/>
        <v>1.0888035900601813</v>
      </c>
      <c r="Y47" s="47">
        <f t="shared" si="30"/>
        <v>1.1860403759776363</v>
      </c>
      <c r="Z47" s="47">
        <f t="shared" si="30"/>
        <v>1.2615726190193426</v>
      </c>
      <c r="AA47" s="47">
        <f t="shared" si="30"/>
        <v>1.2958640930674219</v>
      </c>
    </row>
    <row r="48" spans="1:27" x14ac:dyDescent="0.25">
      <c r="A48" s="373" t="s">
        <v>1058</v>
      </c>
      <c r="B48" s="373"/>
      <c r="C48" s="297"/>
      <c r="D48" s="374"/>
      <c r="E48" s="374"/>
      <c r="F48" s="374"/>
      <c r="G48" s="374"/>
      <c r="H48" s="374"/>
      <c r="I48" s="374"/>
      <c r="J48" s="374"/>
      <c r="K48" s="374"/>
      <c r="L48" s="374"/>
      <c r="M48" s="374"/>
      <c r="N48" s="374"/>
      <c r="O48" s="374"/>
      <c r="P48" s="374"/>
      <c r="Q48" s="374"/>
      <c r="R48" s="374"/>
      <c r="S48" s="374"/>
      <c r="T48" s="374"/>
      <c r="U48" s="374"/>
      <c r="V48" s="374"/>
      <c r="W48" s="374"/>
      <c r="X48" s="374"/>
      <c r="Y48" s="47"/>
      <c r="Z48" s="47"/>
      <c r="AA48" s="47"/>
    </row>
    <row r="49" spans="1:27" x14ac:dyDescent="0.25">
      <c r="A49" s="375" t="s">
        <v>921</v>
      </c>
      <c r="B49" s="375"/>
      <c r="C49" s="297"/>
      <c r="D49" s="422" t="s">
        <v>1164</v>
      </c>
      <c r="E49" s="422" t="s">
        <v>1165</v>
      </c>
      <c r="F49" s="422" t="s">
        <v>1166</v>
      </c>
      <c r="G49" s="422" t="s">
        <v>1167</v>
      </c>
      <c r="H49" s="422" t="s">
        <v>1168</v>
      </c>
      <c r="I49" s="422" t="s">
        <v>1169</v>
      </c>
      <c r="J49" s="422" t="s">
        <v>1170</v>
      </c>
      <c r="K49" s="422" t="s">
        <v>1171</v>
      </c>
      <c r="L49" s="176" t="s">
        <v>1121</v>
      </c>
      <c r="M49" s="176" t="s">
        <v>1122</v>
      </c>
      <c r="N49" s="176" t="s">
        <v>1123</v>
      </c>
      <c r="O49" s="176" t="s">
        <v>1124</v>
      </c>
      <c r="P49" s="176" t="s">
        <v>1125</v>
      </c>
      <c r="Q49" s="176" t="s">
        <v>1126</v>
      </c>
      <c r="R49" s="176" t="s">
        <v>1127</v>
      </c>
      <c r="S49" s="176" t="s">
        <v>1128</v>
      </c>
      <c r="T49" s="428" t="s">
        <v>1137</v>
      </c>
      <c r="U49" s="428" t="s">
        <v>1138</v>
      </c>
      <c r="V49" s="428" t="s">
        <v>1139</v>
      </c>
      <c r="W49" s="428" t="s">
        <v>1140</v>
      </c>
      <c r="X49" s="428" t="s">
        <v>1141</v>
      </c>
      <c r="Y49" s="428" t="s">
        <v>1142</v>
      </c>
      <c r="Z49" s="428" t="s">
        <v>1143</v>
      </c>
      <c r="AA49" s="428" t="s">
        <v>1144</v>
      </c>
    </row>
    <row r="50" spans="1:27" x14ac:dyDescent="0.25">
      <c r="A50" s="297" t="s">
        <v>2</v>
      </c>
      <c r="B50" s="297" t="s">
        <v>3</v>
      </c>
      <c r="C50" s="297" t="str">
        <f>scen_input_electro_hydro!C50</f>
        <v>MIX-CP (2020-30)/EU 2020 Reference (trends 2030-50)</v>
      </c>
      <c r="D50" s="377">
        <f>scen_input_electro_hydro!D50/SUM(scen_input_electro_hydro!$D$50:$D$62)</f>
        <v>0.51645296878398617</v>
      </c>
      <c r="E50" s="377">
        <f>scen_input_electro_hydro!E50/SUM(scen_input_electro_hydro!$D$50:$D$62)</f>
        <v>0.53715199868625318</v>
      </c>
      <c r="F50" s="377">
        <f>scen_input_electro_hydro!F50/SUM(scen_input_electro_hydro!$D$50:$D$62)</f>
        <v>0.53326485692056913</v>
      </c>
      <c r="G50" s="377">
        <f>scen_input_electro_hydro!G50/SUM(scen_input_electro_hydro!$D$50:$D$62)</f>
        <v>0.50028298317178033</v>
      </c>
      <c r="H50" s="377">
        <f>scen_input_electro_hydro!H50/SUM(scen_input_electro_hydro!$D$50:$D$62)</f>
        <v>0.29597298285009099</v>
      </c>
      <c r="I50" s="377">
        <f>scen_input_electro_hydro!I50/SUM(scen_input_electro_hydro!$D$50:$D$62)</f>
        <v>0.14991512852748676</v>
      </c>
      <c r="J50" s="377">
        <f>scen_input_electro_hydro!J50/SUM(scen_input_electro_hydro!$D$50:$D$62)</f>
        <v>0.10119258760872522</v>
      </c>
      <c r="K50" s="377">
        <f>scen_input_electro_hydro!K50/SUM(scen_input_electro_hydro!$D$50:$D$62)</f>
        <v>9.5674001533459244E-2</v>
      </c>
      <c r="L50" s="427">
        <f>D50</f>
        <v>0.51645296878398617</v>
      </c>
      <c r="M50" s="427">
        <f t="shared" ref="M50:S62" si="31">E50</f>
        <v>0.53715199868625318</v>
      </c>
      <c r="N50" s="427">
        <f t="shared" si="31"/>
        <v>0.53326485692056913</v>
      </c>
      <c r="O50" s="427">
        <f t="shared" si="31"/>
        <v>0.50028298317178033</v>
      </c>
      <c r="P50" s="427">
        <f t="shared" si="31"/>
        <v>0.29597298285009099</v>
      </c>
      <c r="Q50" s="427">
        <f t="shared" si="31"/>
        <v>0.14991512852748676</v>
      </c>
      <c r="R50" s="427">
        <f t="shared" si="31"/>
        <v>0.10119258760872522</v>
      </c>
      <c r="S50" s="427">
        <f t="shared" si="31"/>
        <v>9.5674001533459244E-2</v>
      </c>
      <c r="T50" s="377">
        <f t="shared" ref="T50:AA62" si="32">L50/L$63*T$63</f>
        <v>0.51645296878398617</v>
      </c>
      <c r="U50" s="377">
        <f t="shared" si="32"/>
        <v>0.53715199868625318</v>
      </c>
      <c r="V50" s="377">
        <f t="shared" si="32"/>
        <v>0.53326485692056913</v>
      </c>
      <c r="W50" s="377">
        <f t="shared" si="32"/>
        <v>0.50028298317178033</v>
      </c>
      <c r="X50" s="377">
        <f t="shared" si="32"/>
        <v>0.29597298285009099</v>
      </c>
      <c r="Y50" s="377">
        <f t="shared" si="32"/>
        <v>0.14991512852748676</v>
      </c>
      <c r="Z50" s="377">
        <f t="shared" si="32"/>
        <v>0.10119258760872522</v>
      </c>
      <c r="AA50" s="377">
        <f t="shared" si="32"/>
        <v>9.5674001533459244E-2</v>
      </c>
    </row>
    <row r="51" spans="1:27" x14ac:dyDescent="0.25">
      <c r="A51" s="297" t="s">
        <v>4</v>
      </c>
      <c r="B51" s="297" t="s">
        <v>5</v>
      </c>
      <c r="C51" s="297" t="str">
        <f>scen_input_electro_hydro!C51</f>
        <v>MIX-CP (2020-30)/EU 2020 Reference (trends 2030-50)</v>
      </c>
      <c r="D51" s="377">
        <f>scen_input_electro_hydro!D51/SUM(scen_input_electro_hydro!$D$50:$D$62)</f>
        <v>4.9706491917349209E-2</v>
      </c>
      <c r="E51" s="377">
        <f>scen_input_electro_hydro!E51/SUM(scen_input_electro_hydro!$D$50:$D$62)</f>
        <v>3.1478743813987999E-2</v>
      </c>
      <c r="F51" s="377">
        <f>scen_input_electro_hydro!F51/SUM(scen_input_electro_hydro!$D$50:$D$62)</f>
        <v>4.3709199403674598E-2</v>
      </c>
      <c r="G51" s="377">
        <f>scen_input_electro_hydro!G51/SUM(scen_input_electro_hydro!$D$50:$D$62)</f>
        <v>5.9138528168589048E-2</v>
      </c>
      <c r="H51" s="377">
        <f>scen_input_electro_hydro!H51/SUM(scen_input_electro_hydro!$D$50:$D$62)</f>
        <v>9.9574369826474399E-2</v>
      </c>
      <c r="I51" s="377">
        <f>scen_input_electro_hydro!I51/SUM(scen_input_electro_hydro!$D$50:$D$62)</f>
        <v>0.13198573382183945</v>
      </c>
      <c r="J51" s="377">
        <f>scen_input_electro_hydro!J51/SUM(scen_input_electro_hydro!$D$50:$D$62)</f>
        <v>0.17122516109053079</v>
      </c>
      <c r="K51" s="377">
        <f>scen_input_electro_hydro!K51/SUM(scen_input_electro_hydro!$D$50:$D$62)</f>
        <v>0.21676547346831504</v>
      </c>
      <c r="L51" s="427">
        <f t="shared" ref="L51:L62" si="33">D51</f>
        <v>4.9706491917349209E-2</v>
      </c>
      <c r="M51" s="427">
        <f t="shared" si="31"/>
        <v>3.1478743813987999E-2</v>
      </c>
      <c r="N51" s="427">
        <f t="shared" si="31"/>
        <v>4.3709199403674598E-2</v>
      </c>
      <c r="O51" s="427">
        <f t="shared" si="31"/>
        <v>5.9138528168589048E-2</v>
      </c>
      <c r="P51" s="427">
        <f t="shared" si="31"/>
        <v>9.9574369826474399E-2</v>
      </c>
      <c r="Q51" s="427">
        <f t="shared" si="31"/>
        <v>0.13198573382183945</v>
      </c>
      <c r="R51" s="427">
        <f t="shared" si="31"/>
        <v>0.17122516109053079</v>
      </c>
      <c r="S51" s="427">
        <f t="shared" si="31"/>
        <v>0.21676547346831504</v>
      </c>
      <c r="T51" s="377">
        <f t="shared" si="32"/>
        <v>4.9706491917349209E-2</v>
      </c>
      <c r="U51" s="377">
        <f t="shared" si="32"/>
        <v>3.1478743813987999E-2</v>
      </c>
      <c r="V51" s="377">
        <f t="shared" si="32"/>
        <v>4.3709199403674591E-2</v>
      </c>
      <c r="W51" s="377">
        <f t="shared" si="32"/>
        <v>5.9138528168589048E-2</v>
      </c>
      <c r="X51" s="377">
        <f t="shared" si="32"/>
        <v>9.9574369826474399E-2</v>
      </c>
      <c r="Y51" s="377">
        <f t="shared" si="32"/>
        <v>0.13198573382183945</v>
      </c>
      <c r="Z51" s="377">
        <f t="shared" si="32"/>
        <v>0.17122516109053079</v>
      </c>
      <c r="AA51" s="377">
        <f t="shared" si="32"/>
        <v>0.21676547346831504</v>
      </c>
    </row>
    <row r="52" spans="1:27" x14ac:dyDescent="0.25">
      <c r="A52" s="297" t="s">
        <v>6</v>
      </c>
      <c r="B52" s="297" t="s">
        <v>7</v>
      </c>
      <c r="C52" s="297" t="str">
        <f>scen_input_electro_hydro!C52</f>
        <v>MIX-CP (2020-30)/EU 2020 Reference (trends 2030-50)</v>
      </c>
      <c r="D52" s="377">
        <f>scen_input_electro_hydro!D52/SUM(scen_input_electro_hydro!$D$50:$D$62)</f>
        <v>0.21425702923322931</v>
      </c>
      <c r="E52" s="377">
        <f>scen_input_electro_hydro!E52/SUM(scen_input_electro_hydro!$D$50:$D$62)</f>
        <v>0.21425702923322931</v>
      </c>
      <c r="F52" s="377">
        <f>scen_input_electro_hydro!F52/SUM(scen_input_electro_hydro!$D$50:$D$62)</f>
        <v>0.21425702923322931</v>
      </c>
      <c r="G52" s="377">
        <f>scen_input_electro_hydro!G52/SUM(scen_input_electro_hydro!$D$50:$D$62)</f>
        <v>0.21425702923322931</v>
      </c>
      <c r="H52" s="377">
        <f>scen_input_electro_hydro!H52/SUM(scen_input_electro_hydro!$D$50:$D$62)</f>
        <v>0.21425702923322931</v>
      </c>
      <c r="I52" s="377">
        <f>scen_input_electro_hydro!I52/SUM(scen_input_electro_hydro!$D$50:$D$62)</f>
        <v>0.27843658507831359</v>
      </c>
      <c r="J52" s="377">
        <f>scen_input_electro_hydro!J52/SUM(scen_input_electro_hydro!$D$50:$D$62)</f>
        <v>0.27843658507831359</v>
      </c>
      <c r="K52" s="377">
        <f>scen_input_electro_hydro!K52/SUM(scen_input_electro_hydro!$D$50:$D$62)</f>
        <v>0.23787510578422036</v>
      </c>
      <c r="L52" s="427">
        <f t="shared" si="33"/>
        <v>0.21425702923322931</v>
      </c>
      <c r="M52" s="427">
        <f t="shared" si="31"/>
        <v>0.21425702923322931</v>
      </c>
      <c r="N52" s="427">
        <f t="shared" si="31"/>
        <v>0.21425702923322931</v>
      </c>
      <c r="O52" s="427">
        <f t="shared" si="31"/>
        <v>0.21425702923322931</v>
      </c>
      <c r="P52" s="427">
        <f t="shared" si="31"/>
        <v>0.21425702923322931</v>
      </c>
      <c r="Q52" s="427">
        <f t="shared" si="31"/>
        <v>0.27843658507831359</v>
      </c>
      <c r="R52" s="427">
        <f t="shared" si="31"/>
        <v>0.27843658507831359</v>
      </c>
      <c r="S52" s="427">
        <f t="shared" si="31"/>
        <v>0.23787510578422036</v>
      </c>
      <c r="T52" s="377">
        <f t="shared" si="32"/>
        <v>0.21425702923322931</v>
      </c>
      <c r="U52" s="377">
        <f t="shared" si="32"/>
        <v>0.21425702923322931</v>
      </c>
      <c r="V52" s="377">
        <f t="shared" si="32"/>
        <v>0.21425702923322931</v>
      </c>
      <c r="W52" s="377">
        <f t="shared" si="32"/>
        <v>0.21425702923322931</v>
      </c>
      <c r="X52" s="377">
        <f t="shared" si="32"/>
        <v>0.21425702923322931</v>
      </c>
      <c r="Y52" s="377">
        <f t="shared" si="32"/>
        <v>0.27843658507831359</v>
      </c>
      <c r="Z52" s="377">
        <f t="shared" si="32"/>
        <v>0.27843658507831359</v>
      </c>
      <c r="AA52" s="377">
        <f t="shared" si="32"/>
        <v>0.23787510578422036</v>
      </c>
    </row>
    <row r="53" spans="1:27" x14ac:dyDescent="0.25">
      <c r="A53" s="297" t="s">
        <v>8</v>
      </c>
      <c r="B53" s="297" t="s">
        <v>9</v>
      </c>
      <c r="C53" s="297" t="str">
        <f>scen_input_electro_hydro!C53</f>
        <v>MIX-CP (2020-30)/EU 2020 Reference (trends 2030-50)</v>
      </c>
      <c r="D53" s="377">
        <f>scen_input_electro_hydro!D53/SUM(scen_input_electro_hydro!$D$50:$D$62)</f>
        <v>5.8189463966209748E-2</v>
      </c>
      <c r="E53" s="377">
        <f>scen_input_electro_hydro!E53/SUM(scen_input_electro_hydro!$D$50:$D$62)</f>
        <v>5.8296429892618212E-2</v>
      </c>
      <c r="F53" s="377">
        <f>scen_input_electro_hydro!F53/SUM(scen_input_electro_hydro!$D$50:$D$62)</f>
        <v>5.9136876175066751E-2</v>
      </c>
      <c r="G53" s="377">
        <f>scen_input_electro_hydro!G53/SUM(scen_input_electro_hydro!$D$50:$D$62)</f>
        <v>5.9899006831117978E-2</v>
      </c>
      <c r="H53" s="377">
        <f>scen_input_electro_hydro!H53/SUM(scen_input_electro_hydro!$D$50:$D$62)</f>
        <v>5.9899006831117978E-2</v>
      </c>
      <c r="I53" s="377">
        <f>scen_input_electro_hydro!I53/SUM(scen_input_electro_hydro!$D$50:$D$62)</f>
        <v>6.0458775639279143E-2</v>
      </c>
      <c r="J53" s="377">
        <f>scen_input_electro_hydro!J53/SUM(scen_input_electro_hydro!$D$50:$D$62)</f>
        <v>6.0670478520482497E-2</v>
      </c>
      <c r="K53" s="377">
        <f>scen_input_electro_hydro!K53/SUM(scen_input_electro_hydro!$D$50:$D$62)</f>
        <v>6.069863676519191E-2</v>
      </c>
      <c r="L53" s="427">
        <f t="shared" si="33"/>
        <v>5.8189463966209748E-2</v>
      </c>
      <c r="M53" s="427">
        <f t="shared" si="31"/>
        <v>5.8296429892618212E-2</v>
      </c>
      <c r="N53" s="427">
        <f t="shared" si="31"/>
        <v>5.9136876175066751E-2</v>
      </c>
      <c r="O53" s="427">
        <f t="shared" si="31"/>
        <v>5.9899006831117978E-2</v>
      </c>
      <c r="P53" s="427">
        <f t="shared" si="31"/>
        <v>5.9899006831117978E-2</v>
      </c>
      <c r="Q53" s="427">
        <f t="shared" si="31"/>
        <v>6.0458775639279143E-2</v>
      </c>
      <c r="R53" s="427">
        <f t="shared" si="31"/>
        <v>6.0670478520482497E-2</v>
      </c>
      <c r="S53" s="427">
        <f t="shared" si="31"/>
        <v>6.069863676519191E-2</v>
      </c>
      <c r="T53" s="377">
        <f t="shared" si="32"/>
        <v>5.8189463966209748E-2</v>
      </c>
      <c r="U53" s="377">
        <f t="shared" si="32"/>
        <v>5.8296429892618212E-2</v>
      </c>
      <c r="V53" s="377">
        <f t="shared" si="32"/>
        <v>5.9136876175066751E-2</v>
      </c>
      <c r="W53" s="377">
        <f t="shared" si="32"/>
        <v>5.9899006831117985E-2</v>
      </c>
      <c r="X53" s="377">
        <f t="shared" si="32"/>
        <v>5.9899006831117978E-2</v>
      </c>
      <c r="Y53" s="377">
        <f t="shared" si="32"/>
        <v>6.0458775639279143E-2</v>
      </c>
      <c r="Z53" s="377">
        <f t="shared" si="32"/>
        <v>6.0670478520482504E-2</v>
      </c>
      <c r="AA53" s="377">
        <f t="shared" si="32"/>
        <v>6.0698636765191917E-2</v>
      </c>
    </row>
    <row r="54" spans="1:27" x14ac:dyDescent="0.25">
      <c r="A54" s="297" t="s">
        <v>342</v>
      </c>
      <c r="B54" s="297" t="s">
        <v>336</v>
      </c>
      <c r="C54" s="297" t="str">
        <f>scen_input_electro_hydro!C54</f>
        <v>MIX-CP (2020-30)/EU 2020 Reference (trends 2030-50)</v>
      </c>
      <c r="D54" s="377">
        <f>scen_input_electro_hydro!D54/SUM(scen_input_electro_hydro!$D$50:$D$62)</f>
        <v>1.5031386808550779E-2</v>
      </c>
      <c r="E54" s="377">
        <f>scen_input_electro_hydro!E54/SUM(scen_input_electro_hydro!$D$50:$D$62)</f>
        <v>2.1184601725198239E-2</v>
      </c>
      <c r="F54" s="377">
        <f>scen_input_electro_hydro!F54/SUM(scen_input_electro_hydro!$D$50:$D$62)</f>
        <v>0.24376286689102902</v>
      </c>
      <c r="G54" s="377">
        <f>scen_input_electro_hydro!G54/SUM(scen_input_electro_hydro!$D$50:$D$62)</f>
        <v>0.34992102226297966</v>
      </c>
      <c r="H54" s="377">
        <f>scen_input_electro_hydro!H54/SUM(scen_input_electro_hydro!$D$50:$D$62)</f>
        <v>0.4062151637097412</v>
      </c>
      <c r="I54" s="377">
        <f>scen_input_electro_hydro!I54/SUM(scen_input_electro_hydro!$D$50:$D$62)</f>
        <v>0.4398124927496051</v>
      </c>
      <c r="J54" s="377">
        <f>scen_input_electro_hydro!J54/SUM(scen_input_electro_hydro!$D$50:$D$62)</f>
        <v>0.4591150410168115</v>
      </c>
      <c r="K54" s="377">
        <f>scen_input_electro_hydro!K54/SUM(scen_input_electro_hydro!$D$50:$D$62)</f>
        <v>0.46851380405115617</v>
      </c>
      <c r="L54" s="427">
        <f t="shared" si="33"/>
        <v>1.5031386808550779E-2</v>
      </c>
      <c r="M54" s="427">
        <f t="shared" si="31"/>
        <v>2.1184601725198239E-2</v>
      </c>
      <c r="N54" s="427">
        <f t="shared" si="31"/>
        <v>0.24376286689102902</v>
      </c>
      <c r="O54" s="427">
        <f t="shared" si="31"/>
        <v>0.34992102226297966</v>
      </c>
      <c r="P54" s="427">
        <f t="shared" si="31"/>
        <v>0.4062151637097412</v>
      </c>
      <c r="Q54" s="427">
        <f t="shared" si="31"/>
        <v>0.4398124927496051</v>
      </c>
      <c r="R54" s="427">
        <f t="shared" si="31"/>
        <v>0.4591150410168115</v>
      </c>
      <c r="S54" s="427">
        <f t="shared" si="31"/>
        <v>0.46851380405115617</v>
      </c>
      <c r="T54" s="377">
        <f t="shared" si="32"/>
        <v>1.5031386808550779E-2</v>
      </c>
      <c r="U54" s="377">
        <f t="shared" si="32"/>
        <v>2.1184601725198239E-2</v>
      </c>
      <c r="V54" s="377">
        <f t="shared" si="32"/>
        <v>0.24376286689102902</v>
      </c>
      <c r="W54" s="377">
        <f t="shared" si="32"/>
        <v>0.34992102226297966</v>
      </c>
      <c r="X54" s="377">
        <f t="shared" si="32"/>
        <v>0.40621516370974114</v>
      </c>
      <c r="Y54" s="377">
        <f t="shared" si="32"/>
        <v>0.4398124927496051</v>
      </c>
      <c r="Z54" s="377">
        <f t="shared" si="32"/>
        <v>0.45911504101681155</v>
      </c>
      <c r="AA54" s="377">
        <f t="shared" si="32"/>
        <v>0.46851380405115622</v>
      </c>
    </row>
    <row r="55" spans="1:27" x14ac:dyDescent="0.25">
      <c r="A55" s="297" t="s">
        <v>343</v>
      </c>
      <c r="B55" s="297" t="s">
        <v>337</v>
      </c>
      <c r="C55" s="297" t="str">
        <f>scen_input_electro_hydro!C55</f>
        <v>MIX-CP (2020-30)/EU 2020 Reference (trends 2030-50)</v>
      </c>
      <c r="D55" s="377">
        <f>scen_input_electro_hydro!D55/SUM(scen_input_electro_hydro!$D$50:$D$62)</f>
        <v>0</v>
      </c>
      <c r="E55" s="377">
        <f>scen_input_electro_hydro!E55/SUM(scen_input_electro_hydro!$D$50:$D$62)</f>
        <v>0</v>
      </c>
      <c r="F55" s="377">
        <f>scen_input_electro_hydro!F55/SUM(scen_input_electro_hydro!$D$50:$D$62)</f>
        <v>0</v>
      </c>
      <c r="G55" s="377">
        <f>scen_input_electro_hydro!G55/SUM(scen_input_electro_hydro!$D$50:$D$62)</f>
        <v>0</v>
      </c>
      <c r="H55" s="377">
        <f>scen_input_electro_hydro!H55/SUM(scen_input_electro_hydro!$D$50:$D$62)</f>
        <v>0</v>
      </c>
      <c r="I55" s="377">
        <f>scen_input_electro_hydro!I55/SUM(scen_input_electro_hydro!$D$50:$D$62)</f>
        <v>0</v>
      </c>
      <c r="J55" s="377">
        <f>scen_input_electro_hydro!J55/SUM(scen_input_electro_hydro!$D$50:$D$62)</f>
        <v>0</v>
      </c>
      <c r="K55" s="377">
        <f>scen_input_electro_hydro!K55/SUM(scen_input_electro_hydro!$D$50:$D$62)</f>
        <v>0</v>
      </c>
      <c r="L55" s="427">
        <f t="shared" si="33"/>
        <v>0</v>
      </c>
      <c r="M55" s="427">
        <f t="shared" si="31"/>
        <v>0</v>
      </c>
      <c r="N55" s="427">
        <f t="shared" si="31"/>
        <v>0</v>
      </c>
      <c r="O55" s="427">
        <f t="shared" si="31"/>
        <v>0</v>
      </c>
      <c r="P55" s="427">
        <f t="shared" si="31"/>
        <v>0</v>
      </c>
      <c r="Q55" s="427">
        <f t="shared" si="31"/>
        <v>0</v>
      </c>
      <c r="R55" s="427">
        <f t="shared" si="31"/>
        <v>0</v>
      </c>
      <c r="S55" s="427">
        <f t="shared" si="31"/>
        <v>0</v>
      </c>
      <c r="T55" s="377">
        <f t="shared" si="32"/>
        <v>0</v>
      </c>
      <c r="U55" s="377">
        <f t="shared" si="32"/>
        <v>0</v>
      </c>
      <c r="V55" s="377">
        <f t="shared" si="32"/>
        <v>0</v>
      </c>
      <c r="W55" s="377">
        <f t="shared" si="32"/>
        <v>0</v>
      </c>
      <c r="X55" s="377">
        <f t="shared" si="32"/>
        <v>0</v>
      </c>
      <c r="Y55" s="377">
        <f t="shared" si="32"/>
        <v>0</v>
      </c>
      <c r="Z55" s="377">
        <f t="shared" si="32"/>
        <v>0</v>
      </c>
      <c r="AA55" s="377">
        <f t="shared" si="32"/>
        <v>0</v>
      </c>
    </row>
    <row r="56" spans="1:27" x14ac:dyDescent="0.25">
      <c r="A56" s="297" t="s">
        <v>10</v>
      </c>
      <c r="B56" s="297" t="s">
        <v>11</v>
      </c>
      <c r="C56" s="297" t="str">
        <f>scen_input_electro_hydro!C56</f>
        <v>MIX-CP (2020-30)/EU 2020 Reference (trends 2030-50)</v>
      </c>
      <c r="D56" s="377">
        <f>scen_input_electro_hydro!D56/SUM(scen_input_electro_hydro!$D$50:$D$62)</f>
        <v>7.162979679899031E-3</v>
      </c>
      <c r="E56" s="377">
        <f>scen_input_electro_hydro!E56/SUM(scen_input_electro_hydro!$D$50:$D$62)</f>
        <v>3.8427573241800045E-3</v>
      </c>
      <c r="F56" s="377">
        <f>scen_input_electro_hydro!F56/SUM(scen_input_electro_hydro!$D$50:$D$62)</f>
        <v>3.4069781399918824E-3</v>
      </c>
      <c r="G56" s="377">
        <f>scen_input_electro_hydro!G56/SUM(scen_input_electro_hydro!$D$50:$D$62)</f>
        <v>3.4069781399918824E-3</v>
      </c>
      <c r="H56" s="377">
        <f>scen_input_electro_hydro!H56/SUM(scen_input_electro_hydro!$D$50:$D$62)</f>
        <v>2.3908018391113821E-3</v>
      </c>
      <c r="I56" s="377">
        <f>scen_input_electro_hydro!I56/SUM(scen_input_electro_hydro!$D$50:$D$62)</f>
        <v>2.2037280607563377E-3</v>
      </c>
      <c r="J56" s="377">
        <f>scen_input_electro_hydro!J56/SUM(scen_input_electro_hydro!$D$50:$D$62)</f>
        <v>2.2037280607563377E-3</v>
      </c>
      <c r="K56" s="377">
        <f>scen_input_electro_hydro!K56/SUM(scen_input_electro_hydro!$D$50:$D$62)</f>
        <v>1.2891693899638873E-3</v>
      </c>
      <c r="L56" s="427">
        <f t="shared" si="33"/>
        <v>7.162979679899031E-3</v>
      </c>
      <c r="M56" s="427">
        <f t="shared" si="31"/>
        <v>3.8427573241800045E-3</v>
      </c>
      <c r="N56" s="427">
        <f t="shared" si="31"/>
        <v>3.4069781399918824E-3</v>
      </c>
      <c r="O56" s="427">
        <f t="shared" si="31"/>
        <v>3.4069781399918824E-3</v>
      </c>
      <c r="P56" s="427">
        <f t="shared" si="31"/>
        <v>2.3908018391113821E-3</v>
      </c>
      <c r="Q56" s="427">
        <f t="shared" si="31"/>
        <v>2.2037280607563377E-3</v>
      </c>
      <c r="R56" s="427">
        <f t="shared" si="31"/>
        <v>2.2037280607563377E-3</v>
      </c>
      <c r="S56" s="427">
        <f t="shared" si="31"/>
        <v>1.2891693899638873E-3</v>
      </c>
      <c r="T56" s="377">
        <f t="shared" si="32"/>
        <v>7.162979679899031E-3</v>
      </c>
      <c r="U56" s="377">
        <f t="shared" si="32"/>
        <v>3.8427573241800045E-3</v>
      </c>
      <c r="V56" s="377">
        <f t="shared" si="32"/>
        <v>3.4069781399918824E-3</v>
      </c>
      <c r="W56" s="377">
        <f t="shared" si="32"/>
        <v>3.4069781399918824E-3</v>
      </c>
      <c r="X56" s="377">
        <f t="shared" si="32"/>
        <v>2.3908018391113821E-3</v>
      </c>
      <c r="Y56" s="377">
        <f t="shared" si="32"/>
        <v>2.2037280607563377E-3</v>
      </c>
      <c r="Z56" s="377">
        <f t="shared" si="32"/>
        <v>2.2037280607563377E-3</v>
      </c>
      <c r="AA56" s="377">
        <f t="shared" si="32"/>
        <v>1.2891693899638873E-3</v>
      </c>
    </row>
    <row r="57" spans="1:27" x14ac:dyDescent="0.25">
      <c r="A57" s="297" t="s">
        <v>12</v>
      </c>
      <c r="B57" s="297" t="s">
        <v>13</v>
      </c>
      <c r="C57" s="297" t="str">
        <f>scen_input_electro_hydro!C57</f>
        <v>MIX-CP (2020-30)/EU 2020 Reference (trends 2030-50)</v>
      </c>
      <c r="D57" s="377">
        <f>scen_input_electro_hydro!D57/SUM(scen_input_electro_hydro!$D$50:$D$62)</f>
        <v>2.8222530961984287E-2</v>
      </c>
      <c r="E57" s="377">
        <f>scen_input_electro_hydro!E57/SUM(scen_input_electro_hydro!$D$50:$D$62)</f>
        <v>3.4635692482782185E-2</v>
      </c>
      <c r="F57" s="377">
        <f>scen_input_electro_hydro!F57/SUM(scen_input_electro_hydro!$D$50:$D$62)</f>
        <v>3.5478499562496525E-2</v>
      </c>
      <c r="G57" s="377">
        <f>scen_input_electro_hydro!G57/SUM(scen_input_electro_hydro!$D$50:$D$62)</f>
        <v>4.5543486687259625E-2</v>
      </c>
      <c r="H57" s="377">
        <f>scen_input_electro_hydro!H57/SUM(scen_input_electro_hydro!$D$50:$D$62)</f>
        <v>5.2222188950373644E-2</v>
      </c>
      <c r="I57" s="377">
        <f>scen_input_electro_hydro!I57/SUM(scen_input_electro_hydro!$D$50:$D$62)</f>
        <v>6.1845652877326948E-2</v>
      </c>
      <c r="J57" s="377">
        <f>scen_input_electro_hydro!J57/SUM(scen_input_electro_hydro!$D$50:$D$62)</f>
        <v>7.0546900520829292E-2</v>
      </c>
      <c r="K57" s="377">
        <f>scen_input_electro_hydro!K57/SUM(scen_input_electro_hydro!$D$50:$D$62)</f>
        <v>8.6866418458847544E-2</v>
      </c>
      <c r="L57" s="427">
        <f t="shared" si="33"/>
        <v>2.8222530961984287E-2</v>
      </c>
      <c r="M57" s="427">
        <f t="shared" si="31"/>
        <v>3.4635692482782185E-2</v>
      </c>
      <c r="N57" s="427">
        <f t="shared" si="31"/>
        <v>3.5478499562496525E-2</v>
      </c>
      <c r="O57" s="427">
        <f t="shared" si="31"/>
        <v>4.5543486687259625E-2</v>
      </c>
      <c r="P57" s="427">
        <f t="shared" si="31"/>
        <v>5.2222188950373644E-2</v>
      </c>
      <c r="Q57" s="427">
        <f t="shared" si="31"/>
        <v>6.1845652877326948E-2</v>
      </c>
      <c r="R57" s="427">
        <f t="shared" si="31"/>
        <v>7.0546900520829292E-2</v>
      </c>
      <c r="S57" s="427">
        <f t="shared" si="31"/>
        <v>8.6866418458847544E-2</v>
      </c>
      <c r="T57" s="377">
        <f t="shared" si="32"/>
        <v>2.8222530961984287E-2</v>
      </c>
      <c r="U57" s="377">
        <f t="shared" si="32"/>
        <v>3.4635692482782185E-2</v>
      </c>
      <c r="V57" s="377">
        <f t="shared" si="32"/>
        <v>3.5478499562496525E-2</v>
      </c>
      <c r="W57" s="377">
        <f t="shared" si="32"/>
        <v>4.5543486687259625E-2</v>
      </c>
      <c r="X57" s="377">
        <f t="shared" si="32"/>
        <v>5.2222188950373651E-2</v>
      </c>
      <c r="Y57" s="377">
        <f t="shared" si="32"/>
        <v>6.1845652877326948E-2</v>
      </c>
      <c r="Z57" s="377">
        <f t="shared" si="32"/>
        <v>7.0546900520829292E-2</v>
      </c>
      <c r="AA57" s="377">
        <f t="shared" si="32"/>
        <v>8.6866418458847544E-2</v>
      </c>
    </row>
    <row r="58" spans="1:27" x14ac:dyDescent="0.25">
      <c r="A58" s="297" t="s">
        <v>831</v>
      </c>
      <c r="B58" s="297" t="s">
        <v>338</v>
      </c>
      <c r="C58" s="297" t="str">
        <f>scen_input_electro_hydro!C58</f>
        <v>MIX-CP (2020-30)/EU 2020 Reference (trends 2030-50)</v>
      </c>
      <c r="D58" s="377">
        <f>scen_input_electro_hydro!D58/SUM(scen_input_electro_hydro!$D$50:$D$62)</f>
        <v>7.1117610310716284E-2</v>
      </c>
      <c r="E58" s="377">
        <f>scen_input_electro_hydro!E58/SUM(scen_input_electro_hydro!$D$50:$D$62)</f>
        <v>7.1117610310716284E-2</v>
      </c>
      <c r="F58" s="377">
        <f>scen_input_electro_hydro!F58/SUM(scen_input_electro_hydro!$D$50:$D$62)</f>
        <v>0.13175617456665328</v>
      </c>
      <c r="G58" s="377">
        <f>scen_input_electro_hydro!G58/SUM(scen_input_electro_hydro!$D$50:$D$62)</f>
        <v>0.14828886715611278</v>
      </c>
      <c r="H58" s="377">
        <f>scen_input_electro_hydro!H58/SUM(scen_input_electro_hydro!$D$50:$D$62)</f>
        <v>0.15957228925509412</v>
      </c>
      <c r="I58" s="377">
        <f>scen_input_electro_hydro!I58/SUM(scen_input_electro_hydro!$D$50:$D$62)</f>
        <v>0.19069358033981212</v>
      </c>
      <c r="J58" s="377">
        <f>scen_input_electro_hydro!J58/SUM(scen_input_electro_hydro!$D$50:$D$62)</f>
        <v>0.24122098167586201</v>
      </c>
      <c r="K58" s="377">
        <f>scen_input_electro_hydro!K58/SUM(scen_input_electro_hydro!$D$50:$D$62)</f>
        <v>0.24122098167586201</v>
      </c>
      <c r="L58" s="427">
        <f t="shared" si="33"/>
        <v>7.1117610310716284E-2</v>
      </c>
      <c r="M58" s="427">
        <f t="shared" si="31"/>
        <v>7.1117610310716284E-2</v>
      </c>
      <c r="N58" s="427">
        <f t="shared" si="31"/>
        <v>0.13175617456665328</v>
      </c>
      <c r="O58" s="427">
        <f t="shared" si="31"/>
        <v>0.14828886715611278</v>
      </c>
      <c r="P58" s="427">
        <f t="shared" si="31"/>
        <v>0.15957228925509412</v>
      </c>
      <c r="Q58" s="427">
        <f t="shared" si="31"/>
        <v>0.19069358033981212</v>
      </c>
      <c r="R58" s="427">
        <f t="shared" si="31"/>
        <v>0.24122098167586201</v>
      </c>
      <c r="S58" s="427">
        <f t="shared" si="31"/>
        <v>0.24122098167586201</v>
      </c>
      <c r="T58" s="377">
        <f t="shared" si="32"/>
        <v>7.1117610310716284E-2</v>
      </c>
      <c r="U58" s="377">
        <f t="shared" si="32"/>
        <v>7.1117610310716284E-2</v>
      </c>
      <c r="V58" s="377">
        <f t="shared" si="32"/>
        <v>0.13175617456665328</v>
      </c>
      <c r="W58" s="377">
        <f t="shared" si="32"/>
        <v>0.14828886715611278</v>
      </c>
      <c r="X58" s="377">
        <f t="shared" si="32"/>
        <v>0.15957228925509412</v>
      </c>
      <c r="Y58" s="377">
        <f t="shared" si="32"/>
        <v>0.19069358033981212</v>
      </c>
      <c r="Z58" s="377">
        <f t="shared" si="32"/>
        <v>0.24122098167586201</v>
      </c>
      <c r="AA58" s="377">
        <f t="shared" si="32"/>
        <v>0.24122098167586201</v>
      </c>
    </row>
    <row r="59" spans="1:27" x14ac:dyDescent="0.25">
      <c r="A59" s="297" t="s">
        <v>832</v>
      </c>
      <c r="B59" s="297" t="s">
        <v>339</v>
      </c>
      <c r="C59" s="297" t="str">
        <f>scen_input_electro_hydro!C59</f>
        <v>MIX-CP (2020-30)/EU 2020 Reference (trends 2030-50)</v>
      </c>
      <c r="D59" s="377">
        <f>scen_input_electro_hydro!D59/SUM(scen_input_electro_hydro!$D$50:$D$62)</f>
        <v>3.9859538338075262E-2</v>
      </c>
      <c r="E59" s="377">
        <f>scen_input_electro_hydro!E59/SUM(scen_input_electro_hydro!$D$50:$D$62)</f>
        <v>3.9859538338075262E-2</v>
      </c>
      <c r="F59" s="377">
        <f>scen_input_electro_hydro!F59/SUM(scen_input_electro_hydro!$D$50:$D$62)</f>
        <v>7.3845848707128167E-2</v>
      </c>
      <c r="G59" s="377">
        <f>scen_input_electro_hydro!G59/SUM(scen_input_electro_hydro!$D$50:$D$62)</f>
        <v>8.3111985339419853E-2</v>
      </c>
      <c r="H59" s="377">
        <f>scen_input_electro_hydro!H59/SUM(scen_input_electro_hydro!$D$50:$D$62)</f>
        <v>9.4395407438401205E-2</v>
      </c>
      <c r="I59" s="377">
        <f>scen_input_electro_hydro!I59/SUM(scen_input_electro_hydro!$D$50:$D$62)</f>
        <v>0.1255166985231192</v>
      </c>
      <c r="J59" s="377">
        <f>scen_input_electro_hydro!J59/SUM(scen_input_electro_hydro!$D$50:$D$62)</f>
        <v>0.17604409985916911</v>
      </c>
      <c r="K59" s="377">
        <f>scen_input_electro_hydro!K59/SUM(scen_input_electro_hydro!$D$50:$D$62)</f>
        <v>0.17604409985916911</v>
      </c>
      <c r="L59" s="427">
        <f t="shared" si="33"/>
        <v>3.9859538338075262E-2</v>
      </c>
      <c r="M59" s="427">
        <f t="shared" si="31"/>
        <v>3.9859538338075262E-2</v>
      </c>
      <c r="N59" s="427">
        <f t="shared" si="31"/>
        <v>7.3845848707128167E-2</v>
      </c>
      <c r="O59" s="427">
        <f t="shared" si="31"/>
        <v>8.3111985339419853E-2</v>
      </c>
      <c r="P59" s="427">
        <f t="shared" si="31"/>
        <v>9.4395407438401205E-2</v>
      </c>
      <c r="Q59" s="427">
        <f t="shared" si="31"/>
        <v>0.1255166985231192</v>
      </c>
      <c r="R59" s="427">
        <f t="shared" si="31"/>
        <v>0.17604409985916911</v>
      </c>
      <c r="S59" s="427">
        <f t="shared" si="31"/>
        <v>0.17604409985916911</v>
      </c>
      <c r="T59" s="377">
        <f t="shared" si="32"/>
        <v>3.9859538338075262E-2</v>
      </c>
      <c r="U59" s="377">
        <f t="shared" si="32"/>
        <v>3.9859538338075262E-2</v>
      </c>
      <c r="V59" s="377">
        <f t="shared" si="32"/>
        <v>7.3845848707128167E-2</v>
      </c>
      <c r="W59" s="377">
        <f t="shared" si="32"/>
        <v>8.3111985339419853E-2</v>
      </c>
      <c r="X59" s="377">
        <f t="shared" si="32"/>
        <v>9.4395407438401205E-2</v>
      </c>
      <c r="Y59" s="377">
        <f t="shared" si="32"/>
        <v>0.1255166985231192</v>
      </c>
      <c r="Z59" s="377">
        <f t="shared" si="32"/>
        <v>0.17604409985916911</v>
      </c>
      <c r="AA59" s="377">
        <f t="shared" si="32"/>
        <v>0.17604409985916911</v>
      </c>
    </row>
    <row r="60" spans="1:27" x14ac:dyDescent="0.25">
      <c r="A60" s="297" t="s">
        <v>14</v>
      </c>
      <c r="B60" s="297" t="s">
        <v>15</v>
      </c>
      <c r="C60" s="297" t="str">
        <f>scen_input_electro_hydro!C60</f>
        <v>MIX-CP (2020-30)/EU 2020 Reference (trends 2030-50)</v>
      </c>
      <c r="D60" s="377">
        <f>scen_input_electro_hydro!D60/SUM(scen_input_electro_hydro!$D$50:$D$62)</f>
        <v>0</v>
      </c>
      <c r="E60" s="377">
        <f>scen_input_electro_hydro!E60/SUM(scen_input_electro_hydro!$D$50:$D$62)</f>
        <v>0</v>
      </c>
      <c r="F60" s="377">
        <f>scen_input_electro_hydro!F60/SUM(scen_input_electro_hydro!$D$50:$D$62)</f>
        <v>0</v>
      </c>
      <c r="G60" s="377">
        <f>scen_input_electro_hydro!G60/SUM(scen_input_electro_hydro!$D$50:$D$62)</f>
        <v>0</v>
      </c>
      <c r="H60" s="377">
        <f>scen_input_electro_hydro!H60/SUM(scen_input_electro_hydro!$D$50:$D$62)</f>
        <v>0</v>
      </c>
      <c r="I60" s="377">
        <f>scen_input_electro_hydro!I60/SUM(scen_input_electro_hydro!$D$50:$D$62)</f>
        <v>0</v>
      </c>
      <c r="J60" s="377">
        <f>scen_input_electro_hydro!J60/SUM(scen_input_electro_hydro!$D$50:$D$62)</f>
        <v>0</v>
      </c>
      <c r="K60" s="377">
        <f>scen_input_electro_hydro!K60/SUM(scen_input_electro_hydro!$D$50:$D$62)</f>
        <v>0</v>
      </c>
      <c r="L60" s="427">
        <f t="shared" si="33"/>
        <v>0</v>
      </c>
      <c r="M60" s="427">
        <f t="shared" si="31"/>
        <v>0</v>
      </c>
      <c r="N60" s="427">
        <f t="shared" si="31"/>
        <v>0</v>
      </c>
      <c r="O60" s="427">
        <f t="shared" si="31"/>
        <v>0</v>
      </c>
      <c r="P60" s="427">
        <f t="shared" si="31"/>
        <v>0</v>
      </c>
      <c r="Q60" s="427">
        <f t="shared" si="31"/>
        <v>0</v>
      </c>
      <c r="R60" s="427">
        <f t="shared" si="31"/>
        <v>0</v>
      </c>
      <c r="S60" s="427">
        <f t="shared" si="31"/>
        <v>0</v>
      </c>
      <c r="T60" s="377">
        <f t="shared" si="32"/>
        <v>0</v>
      </c>
      <c r="U60" s="377">
        <f t="shared" si="32"/>
        <v>0</v>
      </c>
      <c r="V60" s="377">
        <f t="shared" si="32"/>
        <v>0</v>
      </c>
      <c r="W60" s="377">
        <f t="shared" si="32"/>
        <v>0</v>
      </c>
      <c r="X60" s="377">
        <f t="shared" si="32"/>
        <v>0</v>
      </c>
      <c r="Y60" s="377">
        <f t="shared" si="32"/>
        <v>0</v>
      </c>
      <c r="Z60" s="377">
        <f t="shared" si="32"/>
        <v>0</v>
      </c>
      <c r="AA60" s="377">
        <f t="shared" si="32"/>
        <v>0</v>
      </c>
    </row>
    <row r="61" spans="1:27" x14ac:dyDescent="0.25">
      <c r="A61" s="297" t="s">
        <v>16</v>
      </c>
      <c r="B61" s="297" t="s">
        <v>17</v>
      </c>
      <c r="C61" s="297" t="str">
        <f>scen_input_electro_hydro!C61</f>
        <v>MIX-CP (2020-30)/EU 2020 Reference (trends 2030-50)</v>
      </c>
      <c r="D61" s="377">
        <f>scen_input_electro_hydro!D61/SUM(scen_input_electro_hydro!$D$50:$D$62)</f>
        <v>0</v>
      </c>
      <c r="E61" s="377">
        <f>scen_input_electro_hydro!E61/SUM(scen_input_electro_hydro!$D$50:$D$62)</f>
        <v>0</v>
      </c>
      <c r="F61" s="377">
        <f>scen_input_electro_hydro!F61/SUM(scen_input_electro_hydro!$D$50:$D$62)</f>
        <v>0</v>
      </c>
      <c r="G61" s="377">
        <f>scen_input_electro_hydro!G61/SUM(scen_input_electro_hydro!$D$50:$D$62)</f>
        <v>0</v>
      </c>
      <c r="H61" s="377">
        <f>scen_input_electro_hydro!H61/SUM(scen_input_electro_hydro!$D$50:$D$62)</f>
        <v>0</v>
      </c>
      <c r="I61" s="377">
        <f>scen_input_electro_hydro!I61/SUM(scen_input_electro_hydro!$D$50:$D$62)</f>
        <v>0</v>
      </c>
      <c r="J61" s="377">
        <f>scen_input_electro_hydro!J61/SUM(scen_input_electro_hydro!$D$50:$D$62)</f>
        <v>0</v>
      </c>
      <c r="K61" s="377">
        <f>scen_input_electro_hydro!K61/SUM(scen_input_electro_hydro!$D$50:$D$62)</f>
        <v>0</v>
      </c>
      <c r="L61" s="427">
        <f t="shared" si="33"/>
        <v>0</v>
      </c>
      <c r="M61" s="427">
        <f t="shared" si="31"/>
        <v>0</v>
      </c>
      <c r="N61" s="427">
        <f t="shared" si="31"/>
        <v>0</v>
      </c>
      <c r="O61" s="427">
        <f t="shared" si="31"/>
        <v>0</v>
      </c>
      <c r="P61" s="427">
        <f t="shared" si="31"/>
        <v>0</v>
      </c>
      <c r="Q61" s="427">
        <f t="shared" si="31"/>
        <v>0</v>
      </c>
      <c r="R61" s="427">
        <f t="shared" si="31"/>
        <v>0</v>
      </c>
      <c r="S61" s="427">
        <f t="shared" si="31"/>
        <v>0</v>
      </c>
      <c r="T61" s="377">
        <f t="shared" si="32"/>
        <v>0</v>
      </c>
      <c r="U61" s="377">
        <f t="shared" si="32"/>
        <v>0</v>
      </c>
      <c r="V61" s="377">
        <f t="shared" si="32"/>
        <v>0</v>
      </c>
      <c r="W61" s="377">
        <f t="shared" si="32"/>
        <v>0</v>
      </c>
      <c r="X61" s="377">
        <f t="shared" si="32"/>
        <v>0</v>
      </c>
      <c r="Y61" s="377">
        <f t="shared" si="32"/>
        <v>0</v>
      </c>
      <c r="Z61" s="377">
        <f t="shared" si="32"/>
        <v>0</v>
      </c>
      <c r="AA61" s="377">
        <f t="shared" si="32"/>
        <v>0</v>
      </c>
    </row>
    <row r="62" spans="1:27" x14ac:dyDescent="0.25">
      <c r="A62" s="297" t="s">
        <v>18</v>
      </c>
      <c r="B62" s="297" t="s">
        <v>19</v>
      </c>
      <c r="C62" s="297" t="str">
        <f>scen_input_electro_hydro!C62</f>
        <v>MIX-CP (2020-30)/EU 2020 Reference (trends 2030-50)</v>
      </c>
      <c r="D62" s="377">
        <f>scen_input_electro_hydro!D62/SUM(scen_input_electro_hydro!$D$50:$D$62)</f>
        <v>0</v>
      </c>
      <c r="E62" s="377">
        <f>scen_input_electro_hydro!E62/SUM(scen_input_electro_hydro!$D$50:$D$62)</f>
        <v>0</v>
      </c>
      <c r="F62" s="377">
        <f>scen_input_electro_hydro!F62/SUM(scen_input_electro_hydro!$D$50:$D$62)</f>
        <v>0</v>
      </c>
      <c r="G62" s="377">
        <f>scen_input_electro_hydro!G62/SUM(scen_input_electro_hydro!$D$50:$D$62)</f>
        <v>0</v>
      </c>
      <c r="H62" s="377">
        <f>scen_input_electro_hydro!H62/SUM(scen_input_electro_hydro!$D$50:$D$62)</f>
        <v>0</v>
      </c>
      <c r="I62" s="377">
        <f>scen_input_electro_hydro!I62/SUM(scen_input_electro_hydro!$D$50:$D$62)</f>
        <v>6.4014125307599874E-4</v>
      </c>
      <c r="J62" s="377">
        <f>scen_input_electro_hydro!J62/SUM(scen_input_electro_hydro!$D$50:$D$62)</f>
        <v>2.4248512279309034E-2</v>
      </c>
      <c r="K62" s="377">
        <f>scen_input_electro_hydro!K62/SUM(scen_input_electro_hydro!$D$50:$D$62)</f>
        <v>2.7968297383313547E-2</v>
      </c>
      <c r="L62" s="427">
        <f t="shared" si="33"/>
        <v>0</v>
      </c>
      <c r="M62" s="427">
        <f t="shared" si="31"/>
        <v>0</v>
      </c>
      <c r="N62" s="427">
        <f t="shared" si="31"/>
        <v>0</v>
      </c>
      <c r="O62" s="427">
        <f t="shared" si="31"/>
        <v>0</v>
      </c>
      <c r="P62" s="427">
        <f t="shared" si="31"/>
        <v>0</v>
      </c>
      <c r="Q62" s="427">
        <f t="shared" si="31"/>
        <v>6.4014125307599874E-4</v>
      </c>
      <c r="R62" s="427">
        <f t="shared" si="31"/>
        <v>2.4248512279309034E-2</v>
      </c>
      <c r="S62" s="427">
        <f t="shared" si="31"/>
        <v>2.7968297383313547E-2</v>
      </c>
      <c r="T62" s="377">
        <f t="shared" si="32"/>
        <v>0</v>
      </c>
      <c r="U62" s="377">
        <f t="shared" si="32"/>
        <v>0</v>
      </c>
      <c r="V62" s="377">
        <f t="shared" si="32"/>
        <v>0</v>
      </c>
      <c r="W62" s="377">
        <f t="shared" si="32"/>
        <v>0</v>
      </c>
      <c r="X62" s="377">
        <f t="shared" si="32"/>
        <v>0</v>
      </c>
      <c r="Y62" s="377">
        <f t="shared" si="32"/>
        <v>6.4014125307599874E-4</v>
      </c>
      <c r="Z62" s="377">
        <f t="shared" si="32"/>
        <v>2.4248512279309034E-2</v>
      </c>
      <c r="AA62" s="377">
        <f t="shared" si="32"/>
        <v>2.7968297383313547E-2</v>
      </c>
    </row>
    <row r="63" spans="1:27" x14ac:dyDescent="0.25">
      <c r="A63" s="373" t="s">
        <v>833</v>
      </c>
      <c r="B63" s="373"/>
      <c r="C63" s="297" t="str">
        <f>scen_input_electro_hydro!C63</f>
        <v>MIX-CP (2020-30)/EU 2020 Reference (trends 2030-50)</v>
      </c>
      <c r="D63" s="378">
        <f>SUM(scen_input_electro_hydro!D50:D62)/SUM(scen_input_electro_hydro!$D50:$D62)</f>
        <v>1</v>
      </c>
      <c r="E63" s="378">
        <f>SUM(scen_input_electro_hydro!E50:E62)/SUM(scen_input_electro_hydro!$D50:$D62)</f>
        <v>1.0118244018070408</v>
      </c>
      <c r="F63" s="378">
        <f>SUM(scen_input_electro_hydro!F50:F62)/SUM(scen_input_electro_hydro!$D50:$D62)</f>
        <v>1.3386183295998386</v>
      </c>
      <c r="G63" s="378">
        <f>SUM(scen_input_electro_hydro!G50:G62)/SUM(scen_input_electro_hydro!$D50:$D62)</f>
        <v>1.4638498869904804</v>
      </c>
      <c r="H63" s="378">
        <f>SUM(scen_input_electro_hydro!H50:H62)/SUM(scen_input_electro_hydro!$D50:$D62)</f>
        <v>1.3844992399336344</v>
      </c>
      <c r="I63" s="378">
        <f>SUM(scen_input_electro_hydro!I50:I62)/SUM(scen_input_electro_hydro!$D50:$D62)</f>
        <v>1.441508516870615</v>
      </c>
      <c r="J63" s="378">
        <f>SUM(scen_input_electro_hydro!J50:J62)/SUM(scen_input_electro_hydro!$D50:$D62)</f>
        <v>1.5849040757107895</v>
      </c>
      <c r="K63" s="378">
        <f>SUM(scen_input_electro_hydro!K50:K62)/SUM(scen_input_electro_hydro!$D50:$D62)</f>
        <v>1.6129159883694988</v>
      </c>
      <c r="L63" s="374">
        <f>SUM(L50:L62)</f>
        <v>1</v>
      </c>
      <c r="M63" s="374">
        <f t="shared" ref="M63:R63" si="34">SUM(M50:M62)</f>
        <v>1.0118244018070406</v>
      </c>
      <c r="N63" s="374">
        <f t="shared" si="34"/>
        <v>1.3386183295998388</v>
      </c>
      <c r="O63" s="374">
        <f t="shared" si="34"/>
        <v>1.4638498869904806</v>
      </c>
      <c r="P63" s="374">
        <f t="shared" si="34"/>
        <v>1.3844992399336342</v>
      </c>
      <c r="Q63" s="374">
        <f t="shared" si="34"/>
        <v>1.441508516870615</v>
      </c>
      <c r="R63" s="374">
        <f t="shared" si="34"/>
        <v>1.5849040757107891</v>
      </c>
      <c r="S63" s="374">
        <f>SUM(S50:S62)</f>
        <v>1.6129159883694986</v>
      </c>
      <c r="T63" s="374">
        <f>L63/$L63</f>
        <v>1</v>
      </c>
      <c r="U63" s="374">
        <f>M63/$L63</f>
        <v>1.0118244018070406</v>
      </c>
      <c r="V63" s="374">
        <f t="shared" ref="V63:AA63" si="35">N63/$L63</f>
        <v>1.3386183295998388</v>
      </c>
      <c r="W63" s="374">
        <f t="shared" si="35"/>
        <v>1.4638498869904806</v>
      </c>
      <c r="X63" s="374">
        <f t="shared" si="35"/>
        <v>1.3844992399336342</v>
      </c>
      <c r="Y63" s="374">
        <f t="shared" si="35"/>
        <v>1.441508516870615</v>
      </c>
      <c r="Z63" s="374">
        <f t="shared" si="35"/>
        <v>1.5849040757107891</v>
      </c>
      <c r="AA63" s="374">
        <f t="shared" si="35"/>
        <v>1.6129159883694986</v>
      </c>
    </row>
    <row r="64" spans="1:27" x14ac:dyDescent="0.25">
      <c r="A64" s="429" t="s">
        <v>1150</v>
      </c>
      <c r="B64" s="373"/>
      <c r="C64" s="297"/>
      <c r="D64" s="374"/>
      <c r="E64" s="374"/>
      <c r="F64" s="374"/>
      <c r="G64" s="374"/>
      <c r="H64" s="374"/>
      <c r="I64" s="374"/>
      <c r="J64" s="374"/>
      <c r="K64" s="374"/>
      <c r="L64" s="374"/>
      <c r="M64" s="374"/>
      <c r="N64" s="374"/>
      <c r="O64" s="374"/>
      <c r="P64" s="374"/>
      <c r="Q64" s="374"/>
      <c r="R64" s="374"/>
      <c r="S64" s="374"/>
      <c r="T64" s="374"/>
      <c r="U64" s="374"/>
      <c r="V64" s="374"/>
      <c r="W64" s="374"/>
      <c r="X64" s="374"/>
      <c r="Y64" s="47"/>
      <c r="Z64" s="47"/>
      <c r="AA64" s="47"/>
    </row>
    <row r="65" spans="1:27" x14ac:dyDescent="0.25">
      <c r="A65" s="387" t="s">
        <v>1056</v>
      </c>
      <c r="B65" s="387"/>
      <c r="C65" s="297"/>
      <c r="D65" s="422" t="s">
        <v>1164</v>
      </c>
      <c r="E65" s="422" t="s">
        <v>1165</v>
      </c>
      <c r="F65" s="422" t="s">
        <v>1166</v>
      </c>
      <c r="G65" s="422" t="s">
        <v>1167</v>
      </c>
      <c r="H65" s="422" t="s">
        <v>1168</v>
      </c>
      <c r="I65" s="422" t="s">
        <v>1169</v>
      </c>
      <c r="J65" s="422" t="s">
        <v>1170</v>
      </c>
      <c r="K65" s="422" t="s">
        <v>1171</v>
      </c>
      <c r="L65" s="176" t="s">
        <v>1121</v>
      </c>
      <c r="M65" s="176" t="s">
        <v>1122</v>
      </c>
      <c r="N65" s="176" t="s">
        <v>1123</v>
      </c>
      <c r="O65" s="176" t="s">
        <v>1124</v>
      </c>
      <c r="P65" s="176" t="s">
        <v>1125</v>
      </c>
      <c r="Q65" s="176" t="s">
        <v>1126</v>
      </c>
      <c r="R65" s="176" t="s">
        <v>1127</v>
      </c>
      <c r="S65" s="176" t="s">
        <v>1128</v>
      </c>
      <c r="T65" s="428" t="s">
        <v>1137</v>
      </c>
      <c r="U65" s="428" t="s">
        <v>1138</v>
      </c>
      <c r="V65" s="428" t="s">
        <v>1139</v>
      </c>
      <c r="W65" s="428" t="s">
        <v>1140</v>
      </c>
      <c r="X65" s="428" t="s">
        <v>1141</v>
      </c>
      <c r="Y65" s="428" t="s">
        <v>1142</v>
      </c>
      <c r="Z65" s="428" t="s">
        <v>1143</v>
      </c>
      <c r="AA65" s="428" t="s">
        <v>1144</v>
      </c>
    </row>
    <row r="66" spans="1:27" x14ac:dyDescent="0.25">
      <c r="A66" s="450" t="s">
        <v>636</v>
      </c>
      <c r="B66" s="450" t="s">
        <v>1149</v>
      </c>
      <c r="C66" s="297" t="str">
        <f>scen_input_electro_hydro!C66</f>
        <v>MIX-CP (2020-30)/EU 2020 Reference (trends 2030-50)</v>
      </c>
      <c r="D66" s="451">
        <f>scen_input_electro_hydro!D66/SUM(scen_input_electro_hydro!$D$66:$D$71)</f>
        <v>6.7846107444347201E-2</v>
      </c>
      <c r="E66" s="451">
        <f>scen_input_electro_hydro!E66/SUM(scen_input_electro_hydro!$D$66:$D$71)</f>
        <v>5.6747164021897806E-2</v>
      </c>
      <c r="F66" s="451">
        <f>scen_input_electro_hydro!F66/SUM(scen_input_electro_hydro!$D$66:$D$71)</f>
        <v>4.4407722952874769E-2</v>
      </c>
      <c r="G66" s="451">
        <f>scen_input_electro_hydro!G66/SUM(scen_input_electro_hydro!$D$66:$D$71)</f>
        <v>1.9525090889964028E-2</v>
      </c>
      <c r="H66" s="451">
        <f>scen_input_electro_hydro!H66/SUM(scen_input_electro_hydro!$D$66:$D$71)</f>
        <v>7.8454427124638178E-4</v>
      </c>
      <c r="I66" s="451">
        <f>scen_input_electro_hydro!I66/SUM(scen_input_electro_hydro!$D$66:$D$71)</f>
        <v>0</v>
      </c>
      <c r="J66" s="451">
        <f>scen_input_electro_hydro!J66/SUM(scen_input_electro_hydro!$D$66:$D$71)</f>
        <v>0</v>
      </c>
      <c r="K66" s="451">
        <f>scen_input_electro_hydro!K66/SUM(scen_input_electro_hydro!$D$66:$D$71)</f>
        <v>0</v>
      </c>
      <c r="L66" s="427">
        <f>D66</f>
        <v>6.7846107444347201E-2</v>
      </c>
      <c r="M66" s="427">
        <f t="shared" ref="M66:S71" si="36">E66</f>
        <v>5.6747164021897806E-2</v>
      </c>
      <c r="N66" s="427">
        <f t="shared" si="36"/>
        <v>4.4407722952874769E-2</v>
      </c>
      <c r="O66" s="427">
        <f t="shared" si="36"/>
        <v>1.9525090889964028E-2</v>
      </c>
      <c r="P66" s="427">
        <f t="shared" si="36"/>
        <v>7.8454427124638178E-4</v>
      </c>
      <c r="Q66" s="427">
        <f t="shared" si="36"/>
        <v>0</v>
      </c>
      <c r="R66" s="427">
        <f t="shared" si="36"/>
        <v>0</v>
      </c>
      <c r="S66" s="427">
        <f t="shared" si="36"/>
        <v>0</v>
      </c>
      <c r="T66" s="377">
        <f t="shared" ref="T66:AA71" si="37">L66/L$72*T$72</f>
        <v>6.7846107444347201E-2</v>
      </c>
      <c r="U66" s="377">
        <f t="shared" si="37"/>
        <v>5.6747164021897806E-2</v>
      </c>
      <c r="V66" s="377">
        <f t="shared" si="37"/>
        <v>4.4407722952874769E-2</v>
      </c>
      <c r="W66" s="377">
        <f t="shared" si="37"/>
        <v>1.9525090889964028E-2</v>
      </c>
      <c r="X66" s="377">
        <f t="shared" si="37"/>
        <v>7.8454427124638178E-4</v>
      </c>
      <c r="Y66" s="377">
        <f t="shared" si="37"/>
        <v>0</v>
      </c>
      <c r="Z66" s="377">
        <f t="shared" si="37"/>
        <v>0</v>
      </c>
      <c r="AA66" s="377">
        <f t="shared" si="37"/>
        <v>0</v>
      </c>
    </row>
    <row r="67" spans="1:27" x14ac:dyDescent="0.25">
      <c r="A67" s="450" t="s">
        <v>715</v>
      </c>
      <c r="B67" s="450" t="s">
        <v>1149</v>
      </c>
      <c r="C67" s="297" t="str">
        <f>scen_input_electro_hydro!C67</f>
        <v>MIX-CP (2020-30)/EU 2020 Reference (trends 2030-50)</v>
      </c>
      <c r="D67" s="451">
        <f>scen_input_electro_hydro!D67/SUM(scen_input_electro_hydro!$D$66:$D$71)</f>
        <v>0.27791812579485797</v>
      </c>
      <c r="E67" s="451">
        <f>scen_input_electro_hydro!E67/SUM(scen_input_electro_hydro!$D$66:$D$71)</f>
        <v>0.25247499041416516</v>
      </c>
      <c r="F67" s="451">
        <f>scen_input_electro_hydro!F67/SUM(scen_input_electro_hydro!$D$66:$D$71)</f>
        <v>0.25951947816867393</v>
      </c>
      <c r="G67" s="451">
        <f>scen_input_electro_hydro!G67/SUM(scen_input_electro_hydro!$D$66:$D$71)</f>
        <v>0.23288851946218544</v>
      </c>
      <c r="H67" s="451">
        <f>scen_input_electro_hydro!H67/SUM(scen_input_electro_hydro!$D$66:$D$71)</f>
        <v>0.22060568438233452</v>
      </c>
      <c r="I67" s="451">
        <f>scen_input_electro_hydro!I67/SUM(scen_input_electro_hydro!$D$66:$D$71)</f>
        <v>0.21111395495731741</v>
      </c>
      <c r="J67" s="451">
        <f>scen_input_electro_hydro!J67/SUM(scen_input_electro_hydro!$D$66:$D$71)</f>
        <v>0.19989288635208755</v>
      </c>
      <c r="K67" s="451">
        <f>scen_input_electro_hydro!K67/SUM(scen_input_electro_hydro!$D$66:$D$71)</f>
        <v>0.19224444741014227</v>
      </c>
      <c r="L67" s="427">
        <f t="shared" ref="L67:L71" si="38">D67</f>
        <v>0.27791812579485797</v>
      </c>
      <c r="M67" s="427">
        <f t="shared" si="36"/>
        <v>0.25247499041416516</v>
      </c>
      <c r="N67" s="427">
        <f t="shared" si="36"/>
        <v>0.25951947816867393</v>
      </c>
      <c r="O67" s="427">
        <f t="shared" si="36"/>
        <v>0.23288851946218544</v>
      </c>
      <c r="P67" s="427">
        <f t="shared" si="36"/>
        <v>0.22060568438233452</v>
      </c>
      <c r="Q67" s="427">
        <f t="shared" si="36"/>
        <v>0.21111395495731741</v>
      </c>
      <c r="R67" s="427">
        <f t="shared" si="36"/>
        <v>0.19989288635208755</v>
      </c>
      <c r="S67" s="427">
        <f t="shared" si="36"/>
        <v>0.19224444741014227</v>
      </c>
      <c r="T67" s="377">
        <f t="shared" si="37"/>
        <v>0.27791812579485797</v>
      </c>
      <c r="U67" s="377">
        <f t="shared" si="37"/>
        <v>0.25247499041416516</v>
      </c>
      <c r="V67" s="377">
        <f t="shared" si="37"/>
        <v>0.25951947816867393</v>
      </c>
      <c r="W67" s="377">
        <f t="shared" si="37"/>
        <v>0.23288851946218544</v>
      </c>
      <c r="X67" s="377">
        <f t="shared" si="37"/>
        <v>0.22060568438233452</v>
      </c>
      <c r="Y67" s="377">
        <f t="shared" si="37"/>
        <v>0.21111395495731741</v>
      </c>
      <c r="Z67" s="377">
        <f t="shared" si="37"/>
        <v>0.19989288635208755</v>
      </c>
      <c r="AA67" s="377">
        <f t="shared" si="37"/>
        <v>0.19224444741014227</v>
      </c>
    </row>
    <row r="68" spans="1:27" x14ac:dyDescent="0.25">
      <c r="A68" s="450" t="s">
        <v>432</v>
      </c>
      <c r="B68" s="450" t="s">
        <v>1149</v>
      </c>
      <c r="C68" s="297" t="str">
        <f>scen_input_electro_hydro!C68</f>
        <v>MIX-CP (2020-30)/EU 2020 Reference (trends 2030-50)</v>
      </c>
      <c r="D68" s="451">
        <f>scen_input_electro_hydro!D68/SUM(scen_input_electro_hydro!$D$66:$D$71)</f>
        <v>0.22973234133707482</v>
      </c>
      <c r="E68" s="451">
        <f>scen_input_electro_hydro!E68/SUM(scen_input_electro_hydro!$D$66:$D$71)</f>
        <v>0.21533665214659392</v>
      </c>
      <c r="F68" s="451">
        <f>scen_input_electro_hydro!F68/SUM(scen_input_electro_hydro!$D$66:$D$71)</f>
        <v>0.22626461286484095</v>
      </c>
      <c r="G68" s="451">
        <f>scen_input_electro_hydro!G68/SUM(scen_input_electro_hydro!$D$66:$D$71)</f>
        <v>0.18984254931186656</v>
      </c>
      <c r="H68" s="451">
        <f>scen_input_electro_hydro!H68/SUM(scen_input_electro_hydro!$D$66:$D$71)</f>
        <v>0.18227175517189029</v>
      </c>
      <c r="I68" s="451">
        <f>scen_input_electro_hydro!I68/SUM(scen_input_electro_hydro!$D$66:$D$71)</f>
        <v>0.17957110805920984</v>
      </c>
      <c r="J68" s="451">
        <f>scen_input_electro_hydro!J68/SUM(scen_input_electro_hydro!$D$66:$D$71)</f>
        <v>0.18374807156514053</v>
      </c>
      <c r="K68" s="451">
        <f>scen_input_electro_hydro!K68/SUM(scen_input_electro_hydro!$D$66:$D$71)</f>
        <v>0.18360511973560223</v>
      </c>
      <c r="L68" s="427">
        <f t="shared" si="38"/>
        <v>0.22973234133707482</v>
      </c>
      <c r="M68" s="427">
        <f t="shared" si="36"/>
        <v>0.21533665214659392</v>
      </c>
      <c r="N68" s="427">
        <f t="shared" si="36"/>
        <v>0.22626461286484095</v>
      </c>
      <c r="O68" s="427">
        <f t="shared" si="36"/>
        <v>0.18984254931186656</v>
      </c>
      <c r="P68" s="427">
        <f t="shared" si="36"/>
        <v>0.18227175517189029</v>
      </c>
      <c r="Q68" s="427">
        <f t="shared" si="36"/>
        <v>0.17957110805920984</v>
      </c>
      <c r="R68" s="427">
        <f t="shared" si="36"/>
        <v>0.18374807156514053</v>
      </c>
      <c r="S68" s="427">
        <f t="shared" si="36"/>
        <v>0.18360511973560223</v>
      </c>
      <c r="T68" s="377">
        <f t="shared" si="37"/>
        <v>0.22973234133707482</v>
      </c>
      <c r="U68" s="377">
        <f t="shared" si="37"/>
        <v>0.21533665214659392</v>
      </c>
      <c r="V68" s="377">
        <f t="shared" si="37"/>
        <v>0.22626461286484095</v>
      </c>
      <c r="W68" s="377">
        <f t="shared" si="37"/>
        <v>0.18984254931186656</v>
      </c>
      <c r="X68" s="377">
        <f t="shared" si="37"/>
        <v>0.18227175517189029</v>
      </c>
      <c r="Y68" s="377">
        <f t="shared" si="37"/>
        <v>0.17957110805920984</v>
      </c>
      <c r="Z68" s="377">
        <f t="shared" si="37"/>
        <v>0.18374807156514053</v>
      </c>
      <c r="AA68" s="377">
        <f t="shared" si="37"/>
        <v>0.18360511973560223</v>
      </c>
    </row>
    <row r="69" spans="1:27" x14ac:dyDescent="0.25">
      <c r="A69" s="297" t="s">
        <v>835</v>
      </c>
      <c r="B69" s="450" t="s">
        <v>1149</v>
      </c>
      <c r="C69" s="297" t="str">
        <f>scen_input_electro_hydro!C69</f>
        <v>MIX-CP (2020-30)/EU 2020 Reference (trends 2030-50)</v>
      </c>
      <c r="D69" s="451">
        <f>scen_input_electro_hydro!D69/SUM(scen_input_electro_hydro!$D$66:$D$71)</f>
        <v>8.9990395729422731E-2</v>
      </c>
      <c r="E69" s="451">
        <f>scen_input_electro_hydro!E69/SUM(scen_input_electro_hydro!$D$66:$D$71)</f>
        <v>8.4387999703262204E-2</v>
      </c>
      <c r="F69" s="451">
        <f>scen_input_electro_hydro!F69/SUM(scen_input_electro_hydro!$D$66:$D$71)</f>
        <v>0.10095278073689887</v>
      </c>
      <c r="G69" s="451">
        <f>scen_input_electro_hydro!G69/SUM(scen_input_electro_hydro!$D$66:$D$71)</f>
        <v>9.7962971833039925E-2</v>
      </c>
      <c r="H69" s="451">
        <f>scen_input_electro_hydro!H69/SUM(scen_input_electro_hydro!$D$66:$D$71)</f>
        <v>9.9143777121668691E-2</v>
      </c>
      <c r="I69" s="451">
        <f>scen_input_electro_hydro!I69/SUM(scen_input_electro_hydro!$D$66:$D$71)</f>
        <v>9.8994820134620715E-2</v>
      </c>
      <c r="J69" s="451">
        <f>scen_input_electro_hydro!J69/SUM(scen_input_electro_hydro!$D$66:$D$71)</f>
        <v>9.4649106881386183E-2</v>
      </c>
      <c r="K69" s="451">
        <f>scen_input_electro_hydro!K69/SUM(scen_input_electro_hydro!$D$66:$D$71)</f>
        <v>9.4023659063760312E-2</v>
      </c>
      <c r="L69" s="427">
        <f t="shared" si="38"/>
        <v>8.9990395729422731E-2</v>
      </c>
      <c r="M69" s="427">
        <f t="shared" si="36"/>
        <v>8.4387999703262204E-2</v>
      </c>
      <c r="N69" s="427">
        <f t="shared" si="36"/>
        <v>0.10095278073689887</v>
      </c>
      <c r="O69" s="427">
        <f t="shared" si="36"/>
        <v>9.7962971833039925E-2</v>
      </c>
      <c r="P69" s="427">
        <f t="shared" si="36"/>
        <v>9.9143777121668691E-2</v>
      </c>
      <c r="Q69" s="427">
        <f t="shared" si="36"/>
        <v>9.8994820134620715E-2</v>
      </c>
      <c r="R69" s="427">
        <f t="shared" si="36"/>
        <v>9.4649106881386183E-2</v>
      </c>
      <c r="S69" s="427">
        <f t="shared" si="36"/>
        <v>9.4023659063760312E-2</v>
      </c>
      <c r="T69" s="377">
        <f t="shared" si="37"/>
        <v>8.9990395729422731E-2</v>
      </c>
      <c r="U69" s="377">
        <f t="shared" si="37"/>
        <v>8.4387999703262204E-2</v>
      </c>
      <c r="V69" s="377">
        <f t="shared" si="37"/>
        <v>0.10095278073689887</v>
      </c>
      <c r="W69" s="377">
        <f t="shared" si="37"/>
        <v>9.7962971833039925E-2</v>
      </c>
      <c r="X69" s="377">
        <f t="shared" si="37"/>
        <v>9.9143777121668691E-2</v>
      </c>
      <c r="Y69" s="377">
        <f t="shared" si="37"/>
        <v>9.8994820134620715E-2</v>
      </c>
      <c r="Z69" s="377">
        <f t="shared" si="37"/>
        <v>9.4649106881386183E-2</v>
      </c>
      <c r="AA69" s="377">
        <f t="shared" si="37"/>
        <v>9.4023659063760312E-2</v>
      </c>
    </row>
    <row r="70" spans="1:27" x14ac:dyDescent="0.25">
      <c r="A70" s="297" t="s">
        <v>711</v>
      </c>
      <c r="B70" s="450" t="s">
        <v>1149</v>
      </c>
      <c r="C70" s="297" t="str">
        <f>scen_input_electro_hydro!C70</f>
        <v>MIX-CP (2020-30)/EU 2020 Reference (trends 2030-50)</v>
      </c>
      <c r="D70" s="451">
        <f>scen_input_electro_hydro!D70/SUM(scen_input_electro_hydro!$D$66:$D$71)</f>
        <v>0.13119481198661595</v>
      </c>
      <c r="E70" s="451">
        <f>scen_input_electro_hydro!E70/SUM(scen_input_electro_hydro!$D$66:$D$71)</f>
        <v>0.15394946243145166</v>
      </c>
      <c r="F70" s="451">
        <f>scen_input_electro_hydro!F70/SUM(scen_input_electro_hydro!$D$66:$D$71)</f>
        <v>0.1617165186962527</v>
      </c>
      <c r="G70" s="451">
        <f>scen_input_electro_hydro!G70/SUM(scen_input_electro_hydro!$D$66:$D$71)</f>
        <v>0.16208513565389548</v>
      </c>
      <c r="H70" s="451">
        <f>scen_input_electro_hydro!H70/SUM(scen_input_electro_hydro!$D$66:$D$71)</f>
        <v>0.17618091490206536</v>
      </c>
      <c r="I70" s="451">
        <f>scen_input_electro_hydro!I70/SUM(scen_input_electro_hydro!$D$66:$D$71)</f>
        <v>0.17201900143603807</v>
      </c>
      <c r="J70" s="451">
        <f>scen_input_electro_hydro!J70/SUM(scen_input_electro_hydro!$D$66:$D$71)</f>
        <v>0.16180192331815269</v>
      </c>
      <c r="K70" s="451">
        <f>scen_input_electro_hydro!K70/SUM(scen_input_electro_hydro!$D$66:$D$71)</f>
        <v>0.15773338997017505</v>
      </c>
      <c r="L70" s="427">
        <f t="shared" si="38"/>
        <v>0.13119481198661595</v>
      </c>
      <c r="M70" s="427">
        <f t="shared" si="36"/>
        <v>0.15394946243145166</v>
      </c>
      <c r="N70" s="427">
        <f t="shared" si="36"/>
        <v>0.1617165186962527</v>
      </c>
      <c r="O70" s="427">
        <f t="shared" si="36"/>
        <v>0.16208513565389548</v>
      </c>
      <c r="P70" s="427">
        <f t="shared" si="36"/>
        <v>0.17618091490206536</v>
      </c>
      <c r="Q70" s="427">
        <f t="shared" si="36"/>
        <v>0.17201900143603807</v>
      </c>
      <c r="R70" s="427">
        <f t="shared" si="36"/>
        <v>0.16180192331815269</v>
      </c>
      <c r="S70" s="427">
        <f t="shared" si="36"/>
        <v>0.15773338997017505</v>
      </c>
      <c r="T70" s="377">
        <f t="shared" si="37"/>
        <v>0.13119481198661595</v>
      </c>
      <c r="U70" s="377">
        <f t="shared" si="37"/>
        <v>0.15394946243145166</v>
      </c>
      <c r="V70" s="377">
        <f t="shared" si="37"/>
        <v>0.1617165186962527</v>
      </c>
      <c r="W70" s="377">
        <f t="shared" si="37"/>
        <v>0.16208513565389548</v>
      </c>
      <c r="X70" s="377">
        <f t="shared" si="37"/>
        <v>0.17618091490206536</v>
      </c>
      <c r="Y70" s="377">
        <f t="shared" si="37"/>
        <v>0.17201900143603807</v>
      </c>
      <c r="Z70" s="377">
        <f t="shared" si="37"/>
        <v>0.16180192331815269</v>
      </c>
      <c r="AA70" s="377">
        <f t="shared" si="37"/>
        <v>0.15773338997017505</v>
      </c>
    </row>
    <row r="71" spans="1:27" x14ac:dyDescent="0.25">
      <c r="A71" s="297" t="s">
        <v>836</v>
      </c>
      <c r="B71" s="450" t="s">
        <v>1149</v>
      </c>
      <c r="C71" s="297" t="str">
        <f>scen_input_electro_hydro!C71</f>
        <v>MIX-CP (2020-30)/EU 2020 Reference (trends 2030-50)</v>
      </c>
      <c r="D71" s="451">
        <f>scen_input_electro_hydro!D71/SUM(scen_input_electro_hydro!$D$66:$D$71)</f>
        <v>0.20331821770768141</v>
      </c>
      <c r="E71" s="451">
        <f>scen_input_electro_hydro!E71/SUM(scen_input_electro_hydro!$D$66:$D$71)</f>
        <v>0.19349332593491447</v>
      </c>
      <c r="F71" s="451">
        <f>scen_input_electro_hydro!F71/SUM(scen_input_electro_hydro!$D$66:$D$71)</f>
        <v>0.21615148480592089</v>
      </c>
      <c r="G71" s="451">
        <f>scen_input_electro_hydro!G71/SUM(scen_input_electro_hydro!$D$66:$D$71)</f>
        <v>0.24310106767122533</v>
      </c>
      <c r="H71" s="451">
        <f>scen_input_electro_hydro!H71/SUM(scen_input_electro_hydro!$D$66:$D$71)</f>
        <v>0.25510634402448978</v>
      </c>
      <c r="I71" s="451">
        <f>scen_input_electro_hydro!I71/SUM(scen_input_electro_hydro!$D$66:$D$71)</f>
        <v>0.2687185374377617</v>
      </c>
      <c r="J71" s="451">
        <f>scen_input_electro_hydro!J71/SUM(scen_input_electro_hydro!$D$66:$D$71)</f>
        <v>0.28236745161180138</v>
      </c>
      <c r="K71" s="451">
        <f>scen_input_electro_hydro!K71/SUM(scen_input_electro_hydro!$D$66:$D$71)</f>
        <v>0.29324775921836499</v>
      </c>
      <c r="L71" s="427">
        <f t="shared" si="38"/>
        <v>0.20331821770768141</v>
      </c>
      <c r="M71" s="427">
        <f t="shared" si="36"/>
        <v>0.19349332593491447</v>
      </c>
      <c r="N71" s="427">
        <f t="shared" si="36"/>
        <v>0.21615148480592089</v>
      </c>
      <c r="O71" s="427">
        <f t="shared" si="36"/>
        <v>0.24310106767122533</v>
      </c>
      <c r="P71" s="427">
        <f t="shared" si="36"/>
        <v>0.25510634402448978</v>
      </c>
      <c r="Q71" s="427">
        <f t="shared" si="36"/>
        <v>0.2687185374377617</v>
      </c>
      <c r="R71" s="427">
        <f t="shared" si="36"/>
        <v>0.28236745161180138</v>
      </c>
      <c r="S71" s="427">
        <f t="shared" si="36"/>
        <v>0.29324775921836499</v>
      </c>
      <c r="T71" s="377">
        <f t="shared" si="37"/>
        <v>0.20331821770768141</v>
      </c>
      <c r="U71" s="377">
        <f t="shared" si="37"/>
        <v>0.19349332593491447</v>
      </c>
      <c r="V71" s="377">
        <f t="shared" si="37"/>
        <v>0.21615148480592089</v>
      </c>
      <c r="W71" s="377">
        <f t="shared" si="37"/>
        <v>0.24310106767122533</v>
      </c>
      <c r="X71" s="377">
        <f t="shared" si="37"/>
        <v>0.25510634402448978</v>
      </c>
      <c r="Y71" s="377">
        <f t="shared" si="37"/>
        <v>0.2687185374377617</v>
      </c>
      <c r="Z71" s="377">
        <f t="shared" si="37"/>
        <v>0.28236745161180138</v>
      </c>
      <c r="AA71" s="377">
        <f t="shared" si="37"/>
        <v>0.29324775921836499</v>
      </c>
    </row>
    <row r="72" spans="1:27" x14ac:dyDescent="0.25">
      <c r="A72" s="373" t="s">
        <v>837</v>
      </c>
      <c r="B72" s="373"/>
      <c r="C72" s="297" t="str">
        <f>scen_input_electro_hydro!C72</f>
        <v>MIX-CP (2020-30)/EU 2020 Reference (trends 2030-50)</v>
      </c>
      <c r="D72" s="378">
        <f>SUM(scen_input_electro_hydro!D66:D71)/SUM(scen_input_electro_hydro!$D66:$D71)</f>
        <v>1</v>
      </c>
      <c r="E72" s="378">
        <f>SUM(scen_input_electro_hydro!E66:E71)/SUM(scen_input_electro_hydro!$D66:$D71)</f>
        <v>0.95638959465228512</v>
      </c>
      <c r="F72" s="378">
        <f>SUM(scen_input_electro_hydro!F66:F71)/SUM(scen_input_electro_hydro!$D66:$D71)</f>
        <v>1.0090125982254621</v>
      </c>
      <c r="G72" s="378">
        <f>SUM(scen_input_electro_hydro!G66:G71)/SUM(scen_input_electro_hydro!$D66:$D71)</f>
        <v>0.94540533482217681</v>
      </c>
      <c r="H72" s="378">
        <f>SUM(scen_input_electro_hydro!H66:H71)/SUM(scen_input_electro_hydro!$D66:$D71)</f>
        <v>0.93409301987369509</v>
      </c>
      <c r="I72" s="378">
        <f>SUM(scen_input_electro_hydro!I66:I71)/SUM(scen_input_electro_hydro!$D66:$D71)</f>
        <v>0.9304174220249477</v>
      </c>
      <c r="J72" s="378">
        <f>SUM(scen_input_electro_hydro!J66:J71)/SUM(scen_input_electro_hydro!$D66:$D71)</f>
        <v>0.92245943972856825</v>
      </c>
      <c r="K72" s="378">
        <f>SUM(scen_input_electro_hydro!K66:K71)/SUM(scen_input_electro_hydro!$D66:$D71)</f>
        <v>0.92085437539804482</v>
      </c>
      <c r="L72" s="374">
        <f>SUM(L66:L71)</f>
        <v>1</v>
      </c>
      <c r="M72" s="374">
        <f t="shared" ref="M72:S72" si="39">SUM(M66:M71)</f>
        <v>0.95638959465228512</v>
      </c>
      <c r="N72" s="374">
        <f t="shared" si="39"/>
        <v>1.0090125982254621</v>
      </c>
      <c r="O72" s="374">
        <f t="shared" si="39"/>
        <v>0.9454053348221767</v>
      </c>
      <c r="P72" s="374">
        <f t="shared" si="39"/>
        <v>0.93409301987369497</v>
      </c>
      <c r="Q72" s="374">
        <f t="shared" si="39"/>
        <v>0.9304174220249477</v>
      </c>
      <c r="R72" s="374">
        <f t="shared" si="39"/>
        <v>0.92245943972856836</v>
      </c>
      <c r="S72" s="374">
        <f t="shared" si="39"/>
        <v>0.92085437539804482</v>
      </c>
      <c r="T72" s="374">
        <f>L72/$L72</f>
        <v>1</v>
      </c>
      <c r="U72" s="374">
        <f>M72/$L72</f>
        <v>0.95638959465228512</v>
      </c>
      <c r="V72" s="374">
        <f t="shared" ref="V72:AA72" si="40">N72/$L72</f>
        <v>1.0090125982254621</v>
      </c>
      <c r="W72" s="374">
        <f t="shared" si="40"/>
        <v>0.9454053348221767</v>
      </c>
      <c r="X72" s="374">
        <f t="shared" si="40"/>
        <v>0.93409301987369497</v>
      </c>
      <c r="Y72" s="374">
        <f t="shared" si="40"/>
        <v>0.9304174220249477</v>
      </c>
      <c r="Z72" s="374">
        <f t="shared" si="40"/>
        <v>0.92245943972856836</v>
      </c>
      <c r="AA72" s="374">
        <f t="shared" si="40"/>
        <v>0.92085437539804482</v>
      </c>
    </row>
  </sheetData>
  <conditionalFormatting sqref="D48:K48 D64:K64">
    <cfRule type="cellIs" dxfId="39" priority="10" operator="equal">
      <formula>1</formula>
    </cfRule>
  </conditionalFormatting>
  <conditionalFormatting sqref="E64:K64">
    <cfRule type="cellIs" dxfId="38" priority="8" operator="equal">
      <formula>1</formula>
    </cfRule>
    <cfRule type="cellIs" dxfId="37" priority="9" operator="equal">
      <formula>0.497</formula>
    </cfRule>
  </conditionalFormatting>
  <conditionalFormatting sqref="D50:K62">
    <cfRule type="cellIs" dxfId="36" priority="7" operator="equal">
      <formula>1</formula>
    </cfRule>
  </conditionalFormatting>
  <conditionalFormatting sqref="L48:S48 L64:S64">
    <cfRule type="cellIs" dxfId="35" priority="6" operator="equal">
      <formula>1</formula>
    </cfRule>
  </conditionalFormatting>
  <conditionalFormatting sqref="M64:S64">
    <cfRule type="cellIs" dxfId="34" priority="4" operator="equal">
      <formula>1</formula>
    </cfRule>
    <cfRule type="cellIs" dxfId="33" priority="5" operator="equal">
      <formula>0.497</formula>
    </cfRule>
  </conditionalFormatting>
  <conditionalFormatting sqref="T48:AA48 T64:AA64">
    <cfRule type="cellIs" dxfId="32" priority="3" operator="equal">
      <formula>1</formula>
    </cfRule>
  </conditionalFormatting>
  <conditionalFormatting sqref="U64:AA64">
    <cfRule type="cellIs" dxfId="31" priority="1" operator="equal">
      <formula>1</formula>
    </cfRule>
    <cfRule type="cellIs" dxfId="30" priority="2" operator="equal">
      <formula>0.497</formula>
    </cfRule>
  </conditionalFormatting>
  <pageMargins left="0.7" right="0.7" top="0.78740157499999996" bottom="0.78740157499999996" header="0.3" footer="0.3"/>
  <pageSetup paperSize="9" orientation="portrait" verticalDpi="0"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72"/>
  <sheetViews>
    <sheetView zoomScale="75" zoomScaleNormal="75" workbookViewId="0">
      <pane xSplit="3" ySplit="1" topLeftCell="D2" activePane="bottomRight" state="frozen"/>
      <selection pane="topRight" activeCell="D1" sqref="D1"/>
      <selection pane="bottomLeft" activeCell="A2" sqref="A2"/>
      <selection pane="bottomRight" activeCell="D4" sqref="D4"/>
    </sheetView>
  </sheetViews>
  <sheetFormatPr defaultColWidth="8.25" defaultRowHeight="15" x14ac:dyDescent="0.25"/>
  <cols>
    <col min="1" max="1" width="94.25" style="118" bestFit="1" customWidth="1"/>
    <col min="2" max="2" width="14.625" style="118" customWidth="1"/>
    <col min="3" max="3" width="21.125" style="118" customWidth="1"/>
    <col min="4" max="27" width="10.25" style="15" customWidth="1"/>
    <col min="28" max="16384" width="8.25" style="15"/>
  </cols>
  <sheetData>
    <row r="1" spans="1:27" x14ac:dyDescent="0.25">
      <c r="A1" s="387" t="s">
        <v>0</v>
      </c>
      <c r="B1" s="387" t="s">
        <v>1</v>
      </c>
      <c r="C1" s="387" t="s">
        <v>1147</v>
      </c>
      <c r="D1" s="373" t="s">
        <v>1163</v>
      </c>
      <c r="E1" s="297"/>
      <c r="F1" s="297"/>
      <c r="G1" s="297"/>
      <c r="H1" s="297"/>
      <c r="I1" s="297"/>
      <c r="J1" s="297"/>
      <c r="K1" s="297"/>
      <c r="L1" s="373" t="s">
        <v>1153</v>
      </c>
      <c r="M1" s="297"/>
      <c r="N1" s="297"/>
      <c r="O1" s="297"/>
      <c r="P1" s="297"/>
      <c r="Q1" s="297"/>
      <c r="R1" s="297"/>
      <c r="S1" s="297"/>
      <c r="T1" s="134" t="s">
        <v>1154</v>
      </c>
      <c r="U1" s="133"/>
      <c r="V1" s="133"/>
      <c r="W1" s="133"/>
      <c r="X1" s="133"/>
      <c r="Y1" s="133"/>
      <c r="Z1" s="133"/>
      <c r="AA1" s="133"/>
    </row>
    <row r="2" spans="1:27" x14ac:dyDescent="0.25">
      <c r="A2" s="375" t="s">
        <v>1057</v>
      </c>
      <c r="B2" s="375"/>
      <c r="C2" s="375"/>
      <c r="D2" s="297"/>
      <c r="E2" s="297"/>
      <c r="F2" s="297"/>
      <c r="G2" s="297"/>
      <c r="H2" s="297"/>
      <c r="I2" s="297"/>
      <c r="J2" s="297"/>
      <c r="K2" s="297"/>
      <c r="L2" s="297"/>
      <c r="M2" s="297"/>
      <c r="N2" s="297"/>
      <c r="O2" s="297"/>
      <c r="P2" s="297"/>
      <c r="Q2" s="297"/>
      <c r="R2" s="297"/>
      <c r="S2" s="297"/>
      <c r="T2" s="297"/>
      <c r="U2" s="297"/>
      <c r="V2" s="297"/>
      <c r="W2" s="297"/>
      <c r="X2" s="297"/>
      <c r="Y2" s="297"/>
      <c r="Z2" s="297"/>
      <c r="AA2" s="297"/>
    </row>
    <row r="3" spans="1:27" x14ac:dyDescent="0.25">
      <c r="A3" s="375" t="s">
        <v>914</v>
      </c>
      <c r="B3" s="375"/>
      <c r="C3" s="375"/>
      <c r="D3" s="422" t="s">
        <v>1164</v>
      </c>
      <c r="E3" s="422" t="s">
        <v>1165</v>
      </c>
      <c r="F3" s="422" t="s">
        <v>1166</v>
      </c>
      <c r="G3" s="422" t="s">
        <v>1167</v>
      </c>
      <c r="H3" s="422" t="s">
        <v>1168</v>
      </c>
      <c r="I3" s="422" t="s">
        <v>1169</v>
      </c>
      <c r="J3" s="422" t="s">
        <v>1170</v>
      </c>
      <c r="K3" s="422" t="s">
        <v>1171</v>
      </c>
      <c r="L3" s="176" t="s">
        <v>1121</v>
      </c>
      <c r="M3" s="176" t="s">
        <v>1122</v>
      </c>
      <c r="N3" s="176" t="s">
        <v>1123</v>
      </c>
      <c r="O3" s="176" t="s">
        <v>1124</v>
      </c>
      <c r="P3" s="176" t="s">
        <v>1125</v>
      </c>
      <c r="Q3" s="176" t="s">
        <v>1126</v>
      </c>
      <c r="R3" s="176" t="s">
        <v>1127</v>
      </c>
      <c r="S3" s="176" t="s">
        <v>1128</v>
      </c>
      <c r="T3" s="428" t="s">
        <v>1137</v>
      </c>
      <c r="U3" s="428" t="s">
        <v>1138</v>
      </c>
      <c r="V3" s="428" t="s">
        <v>1139</v>
      </c>
      <c r="W3" s="428" t="s">
        <v>1140</v>
      </c>
      <c r="X3" s="428" t="s">
        <v>1141</v>
      </c>
      <c r="Y3" s="428" t="s">
        <v>1142</v>
      </c>
      <c r="Z3" s="428" t="s">
        <v>1143</v>
      </c>
      <c r="AA3" s="428" t="s">
        <v>1144</v>
      </c>
    </row>
    <row r="4" spans="1:27" x14ac:dyDescent="0.25">
      <c r="A4" s="15" t="s">
        <v>1037</v>
      </c>
      <c r="B4" s="2" t="s">
        <v>730</v>
      </c>
      <c r="C4" s="15" t="str">
        <f>scen_input_ccs!C4</f>
        <v>Carbon capture pathway</v>
      </c>
      <c r="D4" s="116">
        <f>scen_input_ccs!D4/SUM(scen_input_ccs!$D$4:$D$6)</f>
        <v>1</v>
      </c>
      <c r="E4" s="116">
        <f>scen_input_ccs!E4/SUM(scen_input_ccs!$D$4:$D$6)</f>
        <v>0.85714285714285721</v>
      </c>
      <c r="F4" s="116">
        <f>scen_input_ccs!F4/SUM(scen_input_ccs!$D$4:$D$6)</f>
        <v>0.7142857142857143</v>
      </c>
      <c r="G4" s="116">
        <f>scen_input_ccs!G4/SUM(scen_input_ccs!$D$4:$D$6)</f>
        <v>0.5714285714285714</v>
      </c>
      <c r="H4" s="116">
        <f>scen_input_ccs!H4/SUM(scen_input_ccs!$D$4:$D$6)</f>
        <v>0.4285714285714286</v>
      </c>
      <c r="I4" s="116">
        <f>scen_input_ccs!I4/SUM(scen_input_ccs!$D$4:$D$6)</f>
        <v>0.2857142857142857</v>
      </c>
      <c r="J4" s="116">
        <f>scen_input_ccs!J4/SUM(scen_input_ccs!$D$4:$D$6)</f>
        <v>0.1428571428571429</v>
      </c>
      <c r="K4" s="116">
        <f>scen_input_ccs!K4/SUM(scen_input_ccs!$D$4:$D$6)</f>
        <v>0</v>
      </c>
      <c r="L4" s="116">
        <f>D4*cost_projections!C4*D$7</f>
        <v>1</v>
      </c>
      <c r="M4" s="116">
        <f>E4*cost_projections!D4*E$7</f>
        <v>0.84576734693877564</v>
      </c>
      <c r="N4" s="116">
        <f>F4*cost_projections!E4*F$7</f>
        <v>0.69532653061224503</v>
      </c>
      <c r="O4" s="116">
        <f>G4*cost_projections!F4*G$7</f>
        <v>0.54867755102040816</v>
      </c>
      <c r="P4" s="116">
        <f>H4*cost_projections!G4*H$7</f>
        <v>0.40582040816326537</v>
      </c>
      <c r="Q4" s="116">
        <f>I4*cost_projections!H4*I$7</f>
        <v>0.26675510204081632</v>
      </c>
      <c r="R4" s="116">
        <f>J4*cost_projections!I4*J$7</f>
        <v>0.13148163265306129</v>
      </c>
      <c r="S4" s="116">
        <f>K4*cost_projections!J4*K$7</f>
        <v>0</v>
      </c>
      <c r="T4" s="116">
        <f>L4/L$7*T$7</f>
        <v>1</v>
      </c>
      <c r="U4" s="116">
        <f t="shared" ref="U4:AA6" si="0">M4/M$7*U$7</f>
        <v>0.84576734693877564</v>
      </c>
      <c r="V4" s="116">
        <f t="shared" si="0"/>
        <v>0.69532653061224503</v>
      </c>
      <c r="W4" s="116">
        <f t="shared" si="0"/>
        <v>0.54867755102040816</v>
      </c>
      <c r="X4" s="116">
        <f t="shared" si="0"/>
        <v>0.40582040816326537</v>
      </c>
      <c r="Y4" s="116">
        <f t="shared" si="0"/>
        <v>0.26675510204081632</v>
      </c>
      <c r="Z4" s="116">
        <f t="shared" si="0"/>
        <v>0.13148163265306129</v>
      </c>
      <c r="AA4" s="116">
        <f t="shared" si="0"/>
        <v>0</v>
      </c>
    </row>
    <row r="5" spans="1:27" x14ac:dyDescent="0.25">
      <c r="A5" s="15" t="s">
        <v>1038</v>
      </c>
      <c r="B5" s="2" t="s">
        <v>731</v>
      </c>
      <c r="C5" s="15" t="str">
        <f>scen_input_ccs!C5</f>
        <v>Carbon capture pathway</v>
      </c>
      <c r="D5" s="116">
        <f>scen_input_ccs!D5/SUM(scen_input_ccs!$D$4:$D$6)</f>
        <v>0</v>
      </c>
      <c r="E5" s="116">
        <f>scen_input_ccs!E5/SUM(scen_input_ccs!$D$4:$D$6)</f>
        <v>5.2385714285714292E-2</v>
      </c>
      <c r="F5" s="116">
        <f>scen_input_ccs!F5/SUM(scen_input_ccs!$D$4:$D$6)</f>
        <v>0.10477142857142858</v>
      </c>
      <c r="G5" s="116">
        <f>scen_input_ccs!G5/SUM(scen_input_ccs!$D$4:$D$6)</f>
        <v>0.15715714285714286</v>
      </c>
      <c r="H5" s="116">
        <f>scen_input_ccs!H5/SUM(scen_input_ccs!$D$4:$D$6)</f>
        <v>0.20954285714285717</v>
      </c>
      <c r="I5" s="116">
        <f>scen_input_ccs!I5/SUM(scen_input_ccs!$D$4:$D$6)</f>
        <v>0.26192857142857146</v>
      </c>
      <c r="J5" s="116">
        <f>scen_input_ccs!J5/SUM(scen_input_ccs!$D$4:$D$6)</f>
        <v>0.31431428571428571</v>
      </c>
      <c r="K5" s="116">
        <f>scen_input_ccs!K5/SUM(scen_input_ccs!$D$4:$D$6)</f>
        <v>0.36670000000000003</v>
      </c>
      <c r="L5" s="116">
        <f>D5*cost_projections!C5*D$7</f>
        <v>0</v>
      </c>
      <c r="M5" s="116">
        <f>E5*cost_projections!D5*E$7</f>
        <v>6.1062930875756906E-2</v>
      </c>
      <c r="N5" s="116">
        <f>F5*cost_projections!E5*F$7</f>
        <v>0.12048327766315321</v>
      </c>
      <c r="O5" s="116">
        <f>G5*cost_projections!F5*G$7</f>
        <v>0.17826104036218884</v>
      </c>
      <c r="P5" s="116">
        <f>H5*cost_projections!G5*H$7</f>
        <v>0.23439621897286392</v>
      </c>
      <c r="Q5" s="116">
        <f>I5*cost_projections!H5*I$7</f>
        <v>0.28888881349517836</v>
      </c>
      <c r="R5" s="116">
        <f>J5*cost_projections!I5*J$7</f>
        <v>0.34173882392913218</v>
      </c>
      <c r="S5" s="116">
        <f>K5*cost_projections!J5*K$7</f>
        <v>0.39294625027472535</v>
      </c>
      <c r="T5" s="116">
        <f t="shared" ref="T5" si="1">L5/L$7*T$7</f>
        <v>0</v>
      </c>
      <c r="U5" s="116">
        <f t="shared" si="0"/>
        <v>6.1062930875756906E-2</v>
      </c>
      <c r="V5" s="116">
        <f t="shared" si="0"/>
        <v>0.12048327766315321</v>
      </c>
      <c r="W5" s="116">
        <f t="shared" si="0"/>
        <v>0.17826104036218884</v>
      </c>
      <c r="X5" s="116">
        <f t="shared" si="0"/>
        <v>0.23439621897286392</v>
      </c>
      <c r="Y5" s="116">
        <f t="shared" si="0"/>
        <v>0.28888881349517836</v>
      </c>
      <c r="Z5" s="116">
        <f t="shared" si="0"/>
        <v>0.34173882392913218</v>
      </c>
      <c r="AA5" s="116">
        <f t="shared" si="0"/>
        <v>0.39294625027472535</v>
      </c>
    </row>
    <row r="6" spans="1:27" x14ac:dyDescent="0.25">
      <c r="A6" s="15" t="s">
        <v>1039</v>
      </c>
      <c r="B6" s="2" t="s">
        <v>746</v>
      </c>
      <c r="C6" s="15" t="str">
        <f>scen_input_ccs!C6</f>
        <v>Carbon capture pathway</v>
      </c>
      <c r="D6" s="116">
        <f>scen_input_ccs!D6/SUM(scen_input_ccs!$D$4:$D$6)</f>
        <v>0</v>
      </c>
      <c r="E6" s="116">
        <f>scen_input_ccs!E6/SUM(scen_input_ccs!$D$4:$D$6)</f>
        <v>7.7200000000000019E-2</v>
      </c>
      <c r="F6" s="116">
        <f>scen_input_ccs!F6/SUM(scen_input_ccs!$D$4:$D$6)</f>
        <v>0.15440000000000004</v>
      </c>
      <c r="G6" s="116">
        <f>scen_input_ccs!G6/SUM(scen_input_ccs!$D$4:$D$6)</f>
        <v>0.23160000000000006</v>
      </c>
      <c r="H6" s="116">
        <f>scen_input_ccs!H6/SUM(scen_input_ccs!$D$4:$D$6)</f>
        <v>0.30880000000000007</v>
      </c>
      <c r="I6" s="116">
        <f>scen_input_ccs!I6/SUM(scen_input_ccs!$D$4:$D$6)</f>
        <v>0.38600000000000007</v>
      </c>
      <c r="J6" s="116">
        <f>scen_input_ccs!J6/SUM(scen_input_ccs!$D$4:$D$6)</f>
        <v>0.46320000000000011</v>
      </c>
      <c r="K6" s="116">
        <f>scen_input_ccs!K6/SUM(scen_input_ccs!$D$4:$D$6)</f>
        <v>0.5404000000000001</v>
      </c>
      <c r="L6" s="116">
        <f>D6*cost_projections!C6*D$7</f>
        <v>0</v>
      </c>
      <c r="M6" s="116">
        <f>E6*cost_projections!D6*E$7</f>
        <v>8.3988311941391974E-2</v>
      </c>
      <c r="N6" s="116">
        <f>F6*cost_projections!E6*F$7</f>
        <v>0.16571735032967042</v>
      </c>
      <c r="O6" s="116">
        <f>G6*cost_projections!F6*G$7</f>
        <v>0.24518711516483521</v>
      </c>
      <c r="P6" s="116">
        <f>H6*cost_projections!G6*H$7</f>
        <v>0.32239760644688659</v>
      </c>
      <c r="Q6" s="116">
        <f>I6*cost_projections!H6*I$7</f>
        <v>0.39734882417582434</v>
      </c>
      <c r="R6" s="116">
        <f>J6*cost_projections!I6*J$7</f>
        <v>0.47004076835164854</v>
      </c>
      <c r="S6" s="116">
        <f>K6*cost_projections!J6*K$7</f>
        <v>0.54047343897435918</v>
      </c>
      <c r="T6" s="116">
        <f>L6/L$7*T$7</f>
        <v>0</v>
      </c>
      <c r="U6" s="116">
        <f t="shared" si="0"/>
        <v>8.3988311941391974E-2</v>
      </c>
      <c r="V6" s="116">
        <f t="shared" si="0"/>
        <v>0.16571735032967042</v>
      </c>
      <c r="W6" s="116">
        <f t="shared" si="0"/>
        <v>0.24518711516483521</v>
      </c>
      <c r="X6" s="116">
        <f t="shared" si="0"/>
        <v>0.32239760644688659</v>
      </c>
      <c r="Y6" s="116">
        <f t="shared" si="0"/>
        <v>0.39734882417582434</v>
      </c>
      <c r="Z6" s="116">
        <f t="shared" si="0"/>
        <v>0.47004076835164854</v>
      </c>
      <c r="AA6" s="116">
        <f t="shared" si="0"/>
        <v>0.54047343897435918</v>
      </c>
    </row>
    <row r="7" spans="1:27" x14ac:dyDescent="0.25">
      <c r="A7" s="19" t="s">
        <v>1048</v>
      </c>
      <c r="B7" s="24"/>
      <c r="C7" s="15" t="str">
        <f>scen_input_ccs!C7</f>
        <v>Baseline</v>
      </c>
      <c r="D7" s="47">
        <f>SUM(scen_input_ccs!D4:D6)/SUM(scen_input_ccs!$D4:$D6)</f>
        <v>1</v>
      </c>
      <c r="E7" s="47">
        <f>SUM(scen_input_ccs!E4:E6)/SUM(scen_input_ccs!$D4:$D6)</f>
        <v>0.98672857142857151</v>
      </c>
      <c r="F7" s="47">
        <f>SUM(scen_input_ccs!F4:F6)/SUM(scen_input_ccs!$D4:$D6)</f>
        <v>0.97345714285714302</v>
      </c>
      <c r="G7" s="47">
        <f>SUM(scen_input_ccs!G4:G6)/SUM(scen_input_ccs!$D4:$D6)</f>
        <v>0.96018571428571431</v>
      </c>
      <c r="H7" s="47">
        <f>SUM(scen_input_ccs!H4:H6)/SUM(scen_input_ccs!$D4:$D6)</f>
        <v>0.94691428571428582</v>
      </c>
      <c r="I7" s="47">
        <f>SUM(scen_input_ccs!I4:I6)/SUM(scen_input_ccs!$D4:$D6)</f>
        <v>0.93364285714285722</v>
      </c>
      <c r="J7" s="47">
        <f>SUM(scen_input_ccs!J4:J6)/SUM(scen_input_ccs!$D4:$D6)</f>
        <v>0.92037142857142873</v>
      </c>
      <c r="K7" s="47">
        <f>SUM(scen_input_ccs!K4:K6)/SUM(scen_input_ccs!$D4:$D6)</f>
        <v>0.90710000000000013</v>
      </c>
      <c r="L7" s="47">
        <f>SUM(L4:L6)</f>
        <v>1</v>
      </c>
      <c r="M7" s="47">
        <f t="shared" ref="M7:S7" si="2">SUM(M4:M6)</f>
        <v>0.99081858975592452</v>
      </c>
      <c r="N7" s="47">
        <f t="shared" si="2"/>
        <v>0.98152715860506867</v>
      </c>
      <c r="O7" s="47">
        <f t="shared" si="2"/>
        <v>0.97212570654743224</v>
      </c>
      <c r="P7" s="47">
        <f t="shared" si="2"/>
        <v>0.9626142335830159</v>
      </c>
      <c r="Q7" s="47">
        <f t="shared" si="2"/>
        <v>0.95299273971181897</v>
      </c>
      <c r="R7" s="47">
        <f t="shared" si="2"/>
        <v>0.94326122493384201</v>
      </c>
      <c r="S7" s="47">
        <f t="shared" si="2"/>
        <v>0.93341968924908447</v>
      </c>
      <c r="T7" s="47">
        <f>L7/$L7</f>
        <v>1</v>
      </c>
      <c r="U7" s="47">
        <f t="shared" ref="U7:AA7" si="3">M7/$L7</f>
        <v>0.99081858975592452</v>
      </c>
      <c r="V7" s="47">
        <f t="shared" si="3"/>
        <v>0.98152715860506867</v>
      </c>
      <c r="W7" s="47">
        <f t="shared" si="3"/>
        <v>0.97212570654743224</v>
      </c>
      <c r="X7" s="47">
        <f t="shared" si="3"/>
        <v>0.9626142335830159</v>
      </c>
      <c r="Y7" s="47">
        <f t="shared" si="3"/>
        <v>0.95299273971181897</v>
      </c>
      <c r="Z7" s="47">
        <f t="shared" si="3"/>
        <v>0.94326122493384201</v>
      </c>
      <c r="AA7" s="47">
        <f t="shared" si="3"/>
        <v>0.93341968924908447</v>
      </c>
    </row>
    <row r="8" spans="1:27" x14ac:dyDescent="0.25">
      <c r="A8" s="15" t="s">
        <v>1040</v>
      </c>
      <c r="B8" s="2" t="s">
        <v>166</v>
      </c>
      <c r="C8" s="15" t="str">
        <f>scen_input_ccs!C8</f>
        <v>Carbon capture pathway</v>
      </c>
      <c r="D8" s="116">
        <f>scen_input_ccs!D8/SUM(scen_input_ccs!$D$8)</f>
        <v>1</v>
      </c>
      <c r="E8" s="116">
        <f>scen_input_ccs!E8/SUM(scen_input_ccs!$D$8)</f>
        <v>1.0689233954451345</v>
      </c>
      <c r="F8" s="116">
        <f>scen_input_ccs!F8/SUM(scen_input_ccs!$D$8)</f>
        <v>1.1378467908902692</v>
      </c>
      <c r="G8" s="116">
        <f>scen_input_ccs!G8/SUM(scen_input_ccs!$D$8)</f>
        <v>1.2067701863354037</v>
      </c>
      <c r="H8" s="116">
        <f>scen_input_ccs!H8/SUM(scen_input_ccs!$D$8)</f>
        <v>1.2756935817805384</v>
      </c>
      <c r="I8" s="116">
        <f>scen_input_ccs!I8/SUM(scen_input_ccs!$D$8)</f>
        <v>1.3446169772256729</v>
      </c>
      <c r="J8" s="116">
        <f>scen_input_ccs!J8/SUM(scen_input_ccs!$D$8)</f>
        <v>1.4135403726708073</v>
      </c>
      <c r="K8" s="116">
        <f>scen_input_ccs!K8/SUM(scen_input_ccs!$D$8)</f>
        <v>1.482463768115942</v>
      </c>
      <c r="L8" s="116">
        <f>D8*cost_projections!C7*D$9</f>
        <v>1</v>
      </c>
      <c r="M8" s="116">
        <f>E8*cost_projections!D7*E$9</f>
        <v>1.1425972253299554</v>
      </c>
      <c r="N8" s="116">
        <f>F8*cost_projections!E7*F$9</f>
        <v>1.2946953195392841</v>
      </c>
      <c r="O8" s="116">
        <f>G8*cost_projections!F7*G$9</f>
        <v>1.456294282627985</v>
      </c>
      <c r="P8" s="116">
        <f>H8*cost_projections!G7*H$9</f>
        <v>1.6273941145960591</v>
      </c>
      <c r="Q8" s="116">
        <f>I8*cost_projections!H7*I$9</f>
        <v>1.8079948154435057</v>
      </c>
      <c r="R8" s="116">
        <f>J8*cost_projections!I7*J$9</f>
        <v>1.9980963851703248</v>
      </c>
      <c r="S8" s="116">
        <f>K8*cost_projections!J7*K$9</f>
        <v>2.1976988237765176</v>
      </c>
      <c r="T8" s="116">
        <f>L8/L$9*T$9</f>
        <v>1</v>
      </c>
      <c r="U8" s="116">
        <f t="shared" ref="U8:AA8" si="4">M8/M$9*U$9</f>
        <v>1.1425972253299554</v>
      </c>
      <c r="V8" s="116">
        <f t="shared" si="4"/>
        <v>1.2946953195392841</v>
      </c>
      <c r="W8" s="116">
        <f t="shared" si="4"/>
        <v>1.456294282627985</v>
      </c>
      <c r="X8" s="116">
        <f t="shared" si="4"/>
        <v>1.6273941145960591</v>
      </c>
      <c r="Y8" s="116">
        <f t="shared" si="4"/>
        <v>1.8079948154435057</v>
      </c>
      <c r="Z8" s="116">
        <f t="shared" si="4"/>
        <v>1.9980963851703248</v>
      </c>
      <c r="AA8" s="116">
        <f t="shared" si="4"/>
        <v>2.1976988237765176</v>
      </c>
    </row>
    <row r="9" spans="1:27" x14ac:dyDescent="0.25">
      <c r="A9" s="19" t="s">
        <v>1048</v>
      </c>
      <c r="B9" s="19"/>
      <c r="C9" s="15" t="str">
        <f>scen_input_ccs!C9</f>
        <v>Baseline</v>
      </c>
      <c r="D9" s="47">
        <f>SUM(scen_input_ccs!D8)/SUM(scen_input_ccs!$D8)</f>
        <v>1</v>
      </c>
      <c r="E9" s="47">
        <f>SUM(scen_input_ccs!E8)/SUM(scen_input_ccs!$D8)</f>
        <v>1.0689233954451345</v>
      </c>
      <c r="F9" s="47">
        <f>SUM(scen_input_ccs!F8)/SUM(scen_input_ccs!$D8)</f>
        <v>1.1378467908902692</v>
      </c>
      <c r="G9" s="47">
        <f>SUM(scen_input_ccs!G8)/SUM(scen_input_ccs!$D8)</f>
        <v>1.2067701863354037</v>
      </c>
      <c r="H9" s="47">
        <f>SUM(scen_input_ccs!H8)/SUM(scen_input_ccs!$D8)</f>
        <v>1.2756935817805384</v>
      </c>
      <c r="I9" s="47">
        <f>SUM(scen_input_ccs!I8)/SUM(scen_input_ccs!$D8)</f>
        <v>1.3446169772256729</v>
      </c>
      <c r="J9" s="47">
        <f>SUM(scen_input_ccs!J8)/SUM(scen_input_ccs!$D8)</f>
        <v>1.4135403726708073</v>
      </c>
      <c r="K9" s="47">
        <f>SUM(scen_input_ccs!K8)/SUM(scen_input_ccs!$D8)</f>
        <v>1.482463768115942</v>
      </c>
      <c r="L9" s="47">
        <f>SUM(L8)</f>
        <v>1</v>
      </c>
      <c r="M9" s="47">
        <f t="shared" ref="M9:S9" si="5">SUM(M8)</f>
        <v>1.1425972253299554</v>
      </c>
      <c r="N9" s="47">
        <f t="shared" si="5"/>
        <v>1.2946953195392841</v>
      </c>
      <c r="O9" s="47">
        <f t="shared" si="5"/>
        <v>1.456294282627985</v>
      </c>
      <c r="P9" s="47">
        <f t="shared" si="5"/>
        <v>1.6273941145960591</v>
      </c>
      <c r="Q9" s="47">
        <f t="shared" si="5"/>
        <v>1.8079948154435057</v>
      </c>
      <c r="R9" s="47">
        <f t="shared" si="5"/>
        <v>1.9980963851703248</v>
      </c>
      <c r="S9" s="47">
        <f t="shared" si="5"/>
        <v>2.1976988237765176</v>
      </c>
      <c r="T9" s="47">
        <f>L9/$L9</f>
        <v>1</v>
      </c>
      <c r="U9" s="47">
        <f t="shared" ref="U9:AA9" si="6">M9/$L9</f>
        <v>1.1425972253299554</v>
      </c>
      <c r="V9" s="47">
        <f t="shared" si="6"/>
        <v>1.2946953195392841</v>
      </c>
      <c r="W9" s="47">
        <f t="shared" si="6"/>
        <v>1.456294282627985</v>
      </c>
      <c r="X9" s="47">
        <f t="shared" si="6"/>
        <v>1.6273941145960591</v>
      </c>
      <c r="Y9" s="47">
        <f t="shared" si="6"/>
        <v>1.8079948154435057</v>
      </c>
      <c r="Z9" s="47">
        <f t="shared" si="6"/>
        <v>1.9980963851703248</v>
      </c>
      <c r="AA9" s="47">
        <f t="shared" si="6"/>
        <v>2.1976988237765176</v>
      </c>
    </row>
    <row r="10" spans="1:27" x14ac:dyDescent="0.25">
      <c r="A10" s="373" t="s">
        <v>917</v>
      </c>
      <c r="B10" s="373"/>
      <c r="C10" s="297"/>
      <c r="D10" s="422" t="s">
        <v>1164</v>
      </c>
      <c r="E10" s="422" t="s">
        <v>1165</v>
      </c>
      <c r="F10" s="422" t="s">
        <v>1166</v>
      </c>
      <c r="G10" s="422" t="s">
        <v>1167</v>
      </c>
      <c r="H10" s="422" t="s">
        <v>1168</v>
      </c>
      <c r="I10" s="422" t="s">
        <v>1169</v>
      </c>
      <c r="J10" s="422" t="s">
        <v>1170</v>
      </c>
      <c r="K10" s="422" t="s">
        <v>1171</v>
      </c>
      <c r="L10" s="176" t="s">
        <v>1121</v>
      </c>
      <c r="M10" s="176" t="s">
        <v>1122</v>
      </c>
      <c r="N10" s="176" t="s">
        <v>1123</v>
      </c>
      <c r="O10" s="176" t="s">
        <v>1124</v>
      </c>
      <c r="P10" s="176" t="s">
        <v>1125</v>
      </c>
      <c r="Q10" s="176" t="s">
        <v>1126</v>
      </c>
      <c r="R10" s="176" t="s">
        <v>1127</v>
      </c>
      <c r="S10" s="176" t="s">
        <v>1128</v>
      </c>
      <c r="T10" s="428" t="s">
        <v>1137</v>
      </c>
      <c r="U10" s="428" t="s">
        <v>1138</v>
      </c>
      <c r="V10" s="428" t="s">
        <v>1139</v>
      </c>
      <c r="W10" s="428" t="s">
        <v>1140</v>
      </c>
      <c r="X10" s="428" t="s">
        <v>1141</v>
      </c>
      <c r="Y10" s="428" t="s">
        <v>1142</v>
      </c>
      <c r="Z10" s="428" t="s">
        <v>1143</v>
      </c>
      <c r="AA10" s="428" t="s">
        <v>1144</v>
      </c>
    </row>
    <row r="11" spans="1:27" x14ac:dyDescent="0.25">
      <c r="A11" s="15" t="s">
        <v>1041</v>
      </c>
      <c r="B11" s="2" t="s">
        <v>735</v>
      </c>
      <c r="C11" s="15" t="str">
        <f>scen_input_ccs!C11</f>
        <v>Carbon capture pathway</v>
      </c>
      <c r="D11" s="116">
        <f>scen_input_ccs!D11/SUM(scen_input_ccs!$D$11:$D$13)</f>
        <v>1</v>
      </c>
      <c r="E11" s="116">
        <f>scen_input_ccs!E11/SUM(scen_input_ccs!$D$11:$D$13)</f>
        <v>0.85714285714285721</v>
      </c>
      <c r="F11" s="116">
        <f>scen_input_ccs!F11/SUM(scen_input_ccs!$D$11:$D$13)</f>
        <v>0.7142857142857143</v>
      </c>
      <c r="G11" s="116">
        <f>scen_input_ccs!G11/SUM(scen_input_ccs!$D$11:$D$13)</f>
        <v>0.5714285714285714</v>
      </c>
      <c r="H11" s="116">
        <f>scen_input_ccs!H11/SUM(scen_input_ccs!$D$11:$D$13)</f>
        <v>0.4285714285714286</v>
      </c>
      <c r="I11" s="116">
        <f>scen_input_ccs!I11/SUM(scen_input_ccs!$D$11:$D$13)</f>
        <v>0.2857142857142857</v>
      </c>
      <c r="J11" s="116">
        <f>scen_input_ccs!J11/SUM(scen_input_ccs!$D$11:$D$13)</f>
        <v>0.1428571428571429</v>
      </c>
      <c r="K11" s="116">
        <f>scen_input_ccs!K11/SUM(scen_input_ccs!$D$11:$D$13)</f>
        <v>0</v>
      </c>
      <c r="L11" s="116">
        <f>D11*cost_projections!C9*D$14</f>
        <v>1</v>
      </c>
      <c r="M11" s="116">
        <f>E11*cost_projections!D9*E$14</f>
        <v>0.86879006365747169</v>
      </c>
      <c r="N11" s="116">
        <f>F11*cost_projections!E9*F$14</f>
        <v>0.73369772514340537</v>
      </c>
      <c r="O11" s="116">
        <f>G11*cost_projections!F9*G$14</f>
        <v>0.59472298445780047</v>
      </c>
      <c r="P11" s="116">
        <f>H11*cost_projections!G9*H$14</f>
        <v>0.45186584160065774</v>
      </c>
      <c r="Q11" s="116">
        <f>I11*cost_projections!H9*I$14</f>
        <v>0.30512629657197671</v>
      </c>
      <c r="R11" s="116">
        <f>J11*cost_projections!I9*J$14</f>
        <v>0.1545043493717575</v>
      </c>
      <c r="S11" s="116">
        <f>K11*cost_projections!J9*K$14</f>
        <v>0</v>
      </c>
      <c r="T11" s="116">
        <f>L11/L$14*T$14</f>
        <v>1</v>
      </c>
      <c r="U11" s="116">
        <f t="shared" ref="U11:AA11" si="7">M11/M$14*U$14</f>
        <v>0.86879006365747169</v>
      </c>
      <c r="V11" s="116">
        <f t="shared" si="7"/>
        <v>0.73369772514340537</v>
      </c>
      <c r="W11" s="116">
        <f t="shared" si="7"/>
        <v>0.59472298445780047</v>
      </c>
      <c r="X11" s="116">
        <f t="shared" si="7"/>
        <v>0.45186584160065774</v>
      </c>
      <c r="Y11" s="116">
        <f t="shared" si="7"/>
        <v>0.30512629657197671</v>
      </c>
      <c r="Z11" s="116">
        <f t="shared" si="7"/>
        <v>0.1545043493717575</v>
      </c>
      <c r="AA11" s="116">
        <f t="shared" si="7"/>
        <v>0</v>
      </c>
    </row>
    <row r="12" spans="1:27" x14ac:dyDescent="0.25">
      <c r="A12" s="15" t="s">
        <v>1042</v>
      </c>
      <c r="B12" s="2" t="s">
        <v>736</v>
      </c>
      <c r="C12" s="15" t="str">
        <f>scen_input_ccs!C12</f>
        <v>Carbon capture pathway</v>
      </c>
      <c r="D12" s="116">
        <f>scen_input_ccs!D12/SUM(scen_input_ccs!$D$11:$D$13)</f>
        <v>0</v>
      </c>
      <c r="E12" s="116">
        <f>scen_input_ccs!E12/SUM(scen_input_ccs!$D$11:$D$13)</f>
        <v>1.5262980532441612E-2</v>
      </c>
      <c r="F12" s="116">
        <f>scen_input_ccs!F12/SUM(scen_input_ccs!$D$11:$D$13)</f>
        <v>3.0525961064883225E-2</v>
      </c>
      <c r="G12" s="116">
        <f>scen_input_ccs!G12/SUM(scen_input_ccs!$D$11:$D$13)</f>
        <v>4.5788941597324835E-2</v>
      </c>
      <c r="H12" s="116">
        <f>scen_input_ccs!H12/SUM(scen_input_ccs!$D$11:$D$13)</f>
        <v>6.1051922129766449E-2</v>
      </c>
      <c r="I12" s="116">
        <f>scen_input_ccs!I12/SUM(scen_input_ccs!$D$11:$D$13)</f>
        <v>7.6314902662208056E-2</v>
      </c>
      <c r="J12" s="116">
        <f>scen_input_ccs!J12/SUM(scen_input_ccs!$D$11:$D$13)</f>
        <v>9.157788319464967E-2</v>
      </c>
      <c r="K12" s="116">
        <f>scen_input_ccs!K12/SUM(scen_input_ccs!$D$11:$D$13)</f>
        <v>0.10684086372709128</v>
      </c>
      <c r="L12" s="116">
        <f>D12*cost_projections!C10*D$14</f>
        <v>0</v>
      </c>
      <c r="M12" s="116">
        <f>E12*cost_projections!D10*E$14</f>
        <v>2.6693989249293275E-2</v>
      </c>
      <c r="N12" s="116">
        <f>F12*cost_projections!E10*F$14</f>
        <v>5.4103710453845197E-2</v>
      </c>
      <c r="O12" s="116">
        <f>G12*cost_projections!F10*G$14</f>
        <v>8.2229163613655731E-2</v>
      </c>
      <c r="P12" s="116">
        <f>H12*cost_projections!G10*H$14</f>
        <v>0.11107034872872494</v>
      </c>
      <c r="Q12" s="116">
        <f>I12*cost_projections!H10*I$14</f>
        <v>0.1406272657990528</v>
      </c>
      <c r="R12" s="116">
        <f>J12*cost_projections!I10*J$14</f>
        <v>0.17089991482463926</v>
      </c>
      <c r="S12" s="116">
        <f>K12*cost_projections!J10*K$14</f>
        <v>0.20188829580548437</v>
      </c>
      <c r="T12" s="116">
        <f t="shared" ref="T12:AA13" si="8">L12/L$14*D$14</f>
        <v>0</v>
      </c>
      <c r="U12" s="116">
        <f t="shared" si="8"/>
        <v>2.2522351547049721E-2</v>
      </c>
      <c r="V12" s="116">
        <f t="shared" si="8"/>
        <v>3.9478957895608777E-2</v>
      </c>
      <c r="W12" s="116">
        <f t="shared" si="8"/>
        <v>5.2857840034804204E-2</v>
      </c>
      <c r="X12" s="116">
        <f t="shared" si="8"/>
        <v>6.380095565560806E-2</v>
      </c>
      <c r="Y12" s="116">
        <f t="shared" si="8"/>
        <v>7.3011002471903286E-2</v>
      </c>
      <c r="Z12" s="116">
        <f t="shared" si="8"/>
        <v>8.0944094304715011E-2</v>
      </c>
      <c r="AA12" s="116">
        <f t="shared" si="8"/>
        <v>8.7909198706350153E-2</v>
      </c>
    </row>
    <row r="13" spans="1:27" x14ac:dyDescent="0.25">
      <c r="A13" s="15" t="s">
        <v>1043</v>
      </c>
      <c r="B13" s="2" t="s">
        <v>744</v>
      </c>
      <c r="C13" s="15" t="str">
        <f>scen_input_ccs!C13</f>
        <v>Carbon capture pathway</v>
      </c>
      <c r="D13" s="116">
        <f>scen_input_ccs!D13/SUM(scen_input_ccs!$D$11:$D$13)</f>
        <v>0</v>
      </c>
      <c r="E13" s="116">
        <f>scen_input_ccs!E13/SUM(scen_input_ccs!$D$11:$D$13)</f>
        <v>0.14118256992508491</v>
      </c>
      <c r="F13" s="116">
        <f>scen_input_ccs!F13/SUM(scen_input_ccs!$D$11:$D$13)</f>
        <v>0.28236513985016981</v>
      </c>
      <c r="G13" s="116">
        <f>scen_input_ccs!G13/SUM(scen_input_ccs!$D$11:$D$13)</f>
        <v>0.42354770977525469</v>
      </c>
      <c r="H13" s="116">
        <f>scen_input_ccs!H13/SUM(scen_input_ccs!$D$11:$D$13)</f>
        <v>0.56473027970033962</v>
      </c>
      <c r="I13" s="116">
        <f>scen_input_ccs!I13/SUM(scen_input_ccs!$D$11:$D$13)</f>
        <v>0.70591284962542455</v>
      </c>
      <c r="J13" s="116">
        <f>scen_input_ccs!J13/SUM(scen_input_ccs!$D$11:$D$13)</f>
        <v>0.84709541955050938</v>
      </c>
      <c r="K13" s="116">
        <f>scen_input_ccs!K13/SUM(scen_input_ccs!$D$11:$D$13)</f>
        <v>0.98827798947559431</v>
      </c>
      <c r="L13" s="116">
        <f>D13*cost_projections!C11*D$14</f>
        <v>0</v>
      </c>
      <c r="M13" s="116">
        <f>E13*cost_projections!D11*E$14</f>
        <v>0.30584334841590843</v>
      </c>
      <c r="N13" s="116">
        <f>F13*cost_projections!E11*F$14</f>
        <v>0.61988711437601607</v>
      </c>
      <c r="O13" s="116">
        <f>G13*cost_projections!F11*G$14</f>
        <v>0.94213129788032257</v>
      </c>
      <c r="P13" s="116">
        <f>H13*cost_projections!G11*H$14</f>
        <v>1.2725758989288285</v>
      </c>
      <c r="Q13" s="116">
        <f>I13*cost_projections!H11*I$14</f>
        <v>1.611220917521534</v>
      </c>
      <c r="R13" s="116">
        <f>J13*cost_projections!I11*J$14</f>
        <v>1.9580663536584377</v>
      </c>
      <c r="S13" s="116">
        <f>K13*cost_projections!J11*K$14</f>
        <v>2.3131122073395409</v>
      </c>
      <c r="T13" s="116">
        <f t="shared" si="8"/>
        <v>0</v>
      </c>
      <c r="U13" s="116">
        <f t="shared" si="8"/>
        <v>0.25804728349219175</v>
      </c>
      <c r="V13" s="116">
        <f t="shared" si="8"/>
        <v>0.45232567384372213</v>
      </c>
      <c r="W13" s="116">
        <f t="shared" si="8"/>
        <v>0.60561269562603803</v>
      </c>
      <c r="X13" s="116">
        <f t="shared" si="8"/>
        <v>0.73099219931553194</v>
      </c>
      <c r="Y13" s="116">
        <f t="shared" si="8"/>
        <v>0.83651526411700561</v>
      </c>
      <c r="Z13" s="116">
        <f t="shared" si="8"/>
        <v>0.92740776230373756</v>
      </c>
      <c r="AA13" s="116">
        <f t="shared" si="8"/>
        <v>1.0072096544963356</v>
      </c>
    </row>
    <row r="14" spans="1:27" x14ac:dyDescent="0.25">
      <c r="A14" s="19" t="s">
        <v>1048</v>
      </c>
      <c r="B14" s="24"/>
      <c r="C14" s="15" t="str">
        <f>scen_input_ccs!C14</f>
        <v>Baseline</v>
      </c>
      <c r="D14" s="47">
        <f>SUM(scen_input_ccs!D11:D13)/SUM(scen_input_ccs!$D11:$D13)</f>
        <v>1</v>
      </c>
      <c r="E14" s="47">
        <f>SUM(scen_input_ccs!E11:E13)/SUM(scen_input_ccs!$D11:$D13)</f>
        <v>1.0135884076003836</v>
      </c>
      <c r="F14" s="47">
        <f>SUM(scen_input_ccs!F11:F13)/SUM(scen_input_ccs!$D11:$D13)</f>
        <v>1.0271768152007674</v>
      </c>
      <c r="G14" s="47">
        <f>SUM(scen_input_ccs!G11:G13)/SUM(scen_input_ccs!$D11:$D13)</f>
        <v>1.0407652228011508</v>
      </c>
      <c r="H14" s="47">
        <f>SUM(scen_input_ccs!H11:H13)/SUM(scen_input_ccs!$D11:$D13)</f>
        <v>1.0543536304015346</v>
      </c>
      <c r="I14" s="47">
        <f>SUM(scen_input_ccs!I11:I13)/SUM(scen_input_ccs!$D11:$D13)</f>
        <v>1.0679420380019184</v>
      </c>
      <c r="J14" s="47">
        <f>SUM(scen_input_ccs!J11:J13)/SUM(scen_input_ccs!$D11:$D13)</f>
        <v>1.081530445602302</v>
      </c>
      <c r="K14" s="47">
        <f>SUM(scen_input_ccs!K11:K13)/SUM(scen_input_ccs!$D11:$D13)</f>
        <v>1.0951188532026856</v>
      </c>
      <c r="L14" s="47">
        <f>SUM(L11:L13)</f>
        <v>1</v>
      </c>
      <c r="M14" s="47">
        <f t="shared" ref="M14:S14" si="9">SUM(M11:M13)</f>
        <v>1.2013274013226733</v>
      </c>
      <c r="N14" s="47">
        <f t="shared" si="9"/>
        <v>1.4076885499732668</v>
      </c>
      <c r="O14" s="47">
        <f t="shared" si="9"/>
        <v>1.6190834459517789</v>
      </c>
      <c r="P14" s="47">
        <f t="shared" si="9"/>
        <v>1.8355120892582111</v>
      </c>
      <c r="Q14" s="47">
        <f t="shared" si="9"/>
        <v>2.0569744798925633</v>
      </c>
      <c r="R14" s="47">
        <f t="shared" si="9"/>
        <v>2.2834706178548343</v>
      </c>
      <c r="S14" s="47">
        <f t="shared" si="9"/>
        <v>2.5150005031450253</v>
      </c>
      <c r="T14" s="47">
        <f>L14/$L14</f>
        <v>1</v>
      </c>
      <c r="U14" s="47">
        <f t="shared" ref="U14:Z14" si="10">M14/$L14</f>
        <v>1.2013274013226733</v>
      </c>
      <c r="V14" s="47">
        <f t="shared" si="10"/>
        <v>1.4076885499732668</v>
      </c>
      <c r="W14" s="47">
        <f t="shared" si="10"/>
        <v>1.6190834459517789</v>
      </c>
      <c r="X14" s="47">
        <f t="shared" si="10"/>
        <v>1.8355120892582111</v>
      </c>
      <c r="Y14" s="47">
        <f t="shared" si="10"/>
        <v>2.0569744798925633</v>
      </c>
      <c r="Z14" s="47">
        <f t="shared" si="10"/>
        <v>2.2834706178548343</v>
      </c>
      <c r="AA14" s="47">
        <f>S14/$L14</f>
        <v>2.5150005031450253</v>
      </c>
    </row>
    <row r="15" spans="1:27" x14ac:dyDescent="0.25">
      <c r="A15" s="15" t="s">
        <v>161</v>
      </c>
      <c r="B15" s="2" t="s">
        <v>160</v>
      </c>
      <c r="C15" s="15" t="str">
        <f>scen_input_ccs!C15</f>
        <v>Carbon capture pathway</v>
      </c>
      <c r="D15" s="116">
        <f>scen_input_ccs!D15/SUM(scen_input_ccs!$D$15)</f>
        <v>1</v>
      </c>
      <c r="E15" s="116">
        <f>scen_input_ccs!E15/SUM(scen_input_ccs!$D$15)</f>
        <v>1.0145423438836612</v>
      </c>
      <c r="F15" s="116">
        <f>scen_input_ccs!F15/SUM(scen_input_ccs!$D$15)</f>
        <v>1.0290846877673225</v>
      </c>
      <c r="G15" s="116">
        <f>scen_input_ccs!G15/SUM(scen_input_ccs!$D$15)</f>
        <v>1.0436270316509837</v>
      </c>
      <c r="H15" s="116">
        <f>scen_input_ccs!H15/SUM(scen_input_ccs!$D$15)</f>
        <v>1.0581693755346451</v>
      </c>
      <c r="I15" s="116">
        <f>scen_input_ccs!I15/SUM(scen_input_ccs!$D$15)</f>
        <v>1.0727117194183062</v>
      </c>
      <c r="J15" s="116">
        <f>scen_input_ccs!J15/SUM(scen_input_ccs!$D$15)</f>
        <v>1.0872540633019676</v>
      </c>
      <c r="K15" s="116">
        <f>scen_input_ccs!K15/SUM(scen_input_ccs!$D$15)</f>
        <v>1.1017964071856288</v>
      </c>
      <c r="L15" s="116">
        <f>D15*cost_projections!C12*D$16</f>
        <v>1</v>
      </c>
      <c r="M15" s="116">
        <f>E15*cost_projections!D12*E$16</f>
        <v>1.0292961675329531</v>
      </c>
      <c r="N15" s="116">
        <f>F15*cost_projections!E12*F$16</f>
        <v>1.0590152945971678</v>
      </c>
      <c r="O15" s="116">
        <f>G15*cost_projections!F12*G$16</f>
        <v>1.0891573811926434</v>
      </c>
      <c r="P15" s="116">
        <f>H15*cost_projections!G12*H$16</f>
        <v>1.1197224273193807</v>
      </c>
      <c r="Q15" s="116">
        <f>I15*cost_projections!H12*I$16</f>
        <v>1.150710432977379</v>
      </c>
      <c r="R15" s="116">
        <f>J15*cost_projections!I12*J$16</f>
        <v>1.182121398166639</v>
      </c>
      <c r="S15" s="116">
        <f>K15*cost_projections!J12*K$16</f>
        <v>1.2139553228871598</v>
      </c>
      <c r="T15" s="116">
        <f>L15/L$16*T$16</f>
        <v>1</v>
      </c>
      <c r="U15" s="116">
        <f t="shared" ref="U15:AA15" si="11">M15/M$16*U$16</f>
        <v>1.0292961675329531</v>
      </c>
      <c r="V15" s="116">
        <f t="shared" si="11"/>
        <v>1.0590152945971678</v>
      </c>
      <c r="W15" s="116">
        <f t="shared" si="11"/>
        <v>1.0891573811926434</v>
      </c>
      <c r="X15" s="116">
        <f t="shared" si="11"/>
        <v>1.1197224273193807</v>
      </c>
      <c r="Y15" s="116">
        <f t="shared" si="11"/>
        <v>1.150710432977379</v>
      </c>
      <c r="Z15" s="116">
        <f t="shared" si="11"/>
        <v>1.182121398166639</v>
      </c>
      <c r="AA15" s="116">
        <f t="shared" si="11"/>
        <v>1.2139553228871598</v>
      </c>
    </row>
    <row r="16" spans="1:27" x14ac:dyDescent="0.25">
      <c r="A16" s="19" t="s">
        <v>1048</v>
      </c>
      <c r="B16" s="19"/>
      <c r="C16" s="15" t="str">
        <f>scen_input_ccs!C16</f>
        <v>Baseline</v>
      </c>
      <c r="D16" s="47">
        <f>SUM(scen_input_ccs!D15)/SUM(scen_input_ccs!$D15)</f>
        <v>1</v>
      </c>
      <c r="E16" s="47">
        <f>SUM(scen_input_ccs!E15)/SUM(scen_input_ccs!$D15)</f>
        <v>1.0145423438836612</v>
      </c>
      <c r="F16" s="47">
        <f>SUM(scen_input_ccs!F15)/SUM(scen_input_ccs!$D15)</f>
        <v>1.0290846877673225</v>
      </c>
      <c r="G16" s="47">
        <f>SUM(scen_input_ccs!G15)/SUM(scen_input_ccs!$D15)</f>
        <v>1.0436270316509837</v>
      </c>
      <c r="H16" s="47">
        <f>SUM(scen_input_ccs!H15)/SUM(scen_input_ccs!$D15)</f>
        <v>1.0581693755346451</v>
      </c>
      <c r="I16" s="47">
        <f>SUM(scen_input_ccs!I15)/SUM(scen_input_ccs!$D15)</f>
        <v>1.0727117194183062</v>
      </c>
      <c r="J16" s="47">
        <f>SUM(scen_input_ccs!J15)/SUM(scen_input_ccs!$D15)</f>
        <v>1.0872540633019676</v>
      </c>
      <c r="K16" s="47">
        <f>SUM(scen_input_ccs!K15)/SUM(scen_input_ccs!$D15)</f>
        <v>1.1017964071856288</v>
      </c>
      <c r="L16" s="47">
        <f>SUM(L15)</f>
        <v>1</v>
      </c>
      <c r="M16" s="47">
        <f t="shared" ref="M16:S16" si="12">SUM(M15)</f>
        <v>1.0292961675329531</v>
      </c>
      <c r="N16" s="47">
        <f t="shared" si="12"/>
        <v>1.0590152945971678</v>
      </c>
      <c r="O16" s="47">
        <f t="shared" si="12"/>
        <v>1.0891573811926434</v>
      </c>
      <c r="P16" s="47">
        <f t="shared" si="12"/>
        <v>1.1197224273193807</v>
      </c>
      <c r="Q16" s="47">
        <f t="shared" si="12"/>
        <v>1.150710432977379</v>
      </c>
      <c r="R16" s="47">
        <f t="shared" si="12"/>
        <v>1.182121398166639</v>
      </c>
      <c r="S16" s="47">
        <f t="shared" si="12"/>
        <v>1.2139553228871598</v>
      </c>
      <c r="T16" s="47">
        <f>L16/$L16</f>
        <v>1</v>
      </c>
      <c r="U16" s="47">
        <f t="shared" ref="U16:AA16" si="13">M16/$L16</f>
        <v>1.0292961675329531</v>
      </c>
      <c r="V16" s="47">
        <f t="shared" si="13"/>
        <v>1.0590152945971678</v>
      </c>
      <c r="W16" s="47">
        <f t="shared" si="13"/>
        <v>1.0891573811926434</v>
      </c>
      <c r="X16" s="47">
        <f t="shared" si="13"/>
        <v>1.1197224273193807</v>
      </c>
      <c r="Y16" s="47">
        <f t="shared" si="13"/>
        <v>1.150710432977379</v>
      </c>
      <c r="Z16" s="47">
        <f t="shared" si="13"/>
        <v>1.182121398166639</v>
      </c>
      <c r="AA16" s="47">
        <f t="shared" si="13"/>
        <v>1.2139553228871598</v>
      </c>
    </row>
    <row r="17" spans="1:27" x14ac:dyDescent="0.25">
      <c r="A17" s="373" t="s">
        <v>1054</v>
      </c>
      <c r="B17" s="373"/>
      <c r="C17" s="297"/>
      <c r="D17" s="422" t="s">
        <v>1164</v>
      </c>
      <c r="E17" s="422" t="s">
        <v>1165</v>
      </c>
      <c r="F17" s="422" t="s">
        <v>1166</v>
      </c>
      <c r="G17" s="422" t="s">
        <v>1167</v>
      </c>
      <c r="H17" s="422" t="s">
        <v>1168</v>
      </c>
      <c r="I17" s="422" t="s">
        <v>1169</v>
      </c>
      <c r="J17" s="422" t="s">
        <v>1170</v>
      </c>
      <c r="K17" s="422" t="s">
        <v>1171</v>
      </c>
      <c r="L17" s="176" t="s">
        <v>1121</v>
      </c>
      <c r="M17" s="176" t="s">
        <v>1122</v>
      </c>
      <c r="N17" s="176" t="s">
        <v>1123</v>
      </c>
      <c r="O17" s="176" t="s">
        <v>1124</v>
      </c>
      <c r="P17" s="176" t="s">
        <v>1125</v>
      </c>
      <c r="Q17" s="176" t="s">
        <v>1126</v>
      </c>
      <c r="R17" s="176" t="s">
        <v>1127</v>
      </c>
      <c r="S17" s="176" t="s">
        <v>1128</v>
      </c>
      <c r="T17" s="428" t="s">
        <v>1137</v>
      </c>
      <c r="U17" s="428" t="s">
        <v>1138</v>
      </c>
      <c r="V17" s="428" t="s">
        <v>1139</v>
      </c>
      <c r="W17" s="428" t="s">
        <v>1140</v>
      </c>
      <c r="X17" s="428" t="s">
        <v>1141</v>
      </c>
      <c r="Y17" s="428" t="s">
        <v>1142</v>
      </c>
      <c r="Z17" s="428" t="s">
        <v>1143</v>
      </c>
      <c r="AA17" s="428" t="s">
        <v>1144</v>
      </c>
    </row>
    <row r="18" spans="1:27" x14ac:dyDescent="0.25">
      <c r="A18" s="15" t="s">
        <v>1044</v>
      </c>
      <c r="B18" s="2" t="s">
        <v>737</v>
      </c>
      <c r="C18" s="15" t="str">
        <f>scen_input_ccs!C18</f>
        <v>Carbon capture pathway</v>
      </c>
      <c r="D18" s="116">
        <f>scen_input_ccs!D18/SUM(scen_input_ccs!$D$18:$D$20)</f>
        <v>1</v>
      </c>
      <c r="E18" s="116">
        <f>scen_input_ccs!E18/SUM(scen_input_ccs!$D$18:$D$20)</f>
        <v>0.85714285714285721</v>
      </c>
      <c r="F18" s="116">
        <f>scen_input_ccs!F18/SUM(scen_input_ccs!$D$18:$D$20)</f>
        <v>0.7142857142857143</v>
      </c>
      <c r="G18" s="116">
        <f>scen_input_ccs!G18/SUM(scen_input_ccs!$D$18:$D$20)</f>
        <v>0.5714285714285714</v>
      </c>
      <c r="H18" s="116">
        <f>scen_input_ccs!H18/SUM(scen_input_ccs!$D$18:$D$20)</f>
        <v>0.4285714285714286</v>
      </c>
      <c r="I18" s="116">
        <f>scen_input_ccs!I18/SUM(scen_input_ccs!$D$18:$D$20)</f>
        <v>0.2857142857142857</v>
      </c>
      <c r="J18" s="116">
        <f>scen_input_ccs!J18/SUM(scen_input_ccs!$D$18:$D$20)</f>
        <v>0.1428571428571429</v>
      </c>
      <c r="K18" s="116">
        <f>scen_input_ccs!K18/SUM(scen_input_ccs!$D$18:$D$20)</f>
        <v>0</v>
      </c>
      <c r="L18" s="116">
        <f>D18*cost_projections!C14*D$21</f>
        <v>1</v>
      </c>
      <c r="M18" s="116">
        <f>E18*cost_projections!D14*E$21</f>
        <v>0.82220888355342148</v>
      </c>
      <c r="N18" s="116">
        <f>F18*cost_projections!E14*F$21</f>
        <v>0.65606242496998801</v>
      </c>
      <c r="O18" s="116">
        <f>G18*cost_projections!F14*G$21</f>
        <v>0.50156062424969983</v>
      </c>
      <c r="P18" s="116">
        <f>H18*cost_projections!G14*H$21</f>
        <v>0.35870348139255709</v>
      </c>
      <c r="Q18" s="116">
        <f>I18*cost_projections!H14*I$21</f>
        <v>0.22749099639855944</v>
      </c>
      <c r="R18" s="116">
        <f>J18*cost_projections!I14*J$21</f>
        <v>0.10792316926770715</v>
      </c>
      <c r="S18" s="116">
        <f>K18*cost_projections!J14*K$21</f>
        <v>0</v>
      </c>
      <c r="T18" s="116">
        <f>L18/L$21*T$21</f>
        <v>1</v>
      </c>
      <c r="U18" s="116">
        <f t="shared" ref="U18:AA20" si="14">M18/M$21*E$21</f>
        <v>0.82260861664079155</v>
      </c>
      <c r="V18" s="116">
        <f t="shared" si="14"/>
        <v>0.6567006506662878</v>
      </c>
      <c r="W18" s="116">
        <f t="shared" si="14"/>
        <v>0.50229286704821008</v>
      </c>
      <c r="X18" s="116">
        <f t="shared" si="14"/>
        <v>0.35940206340838915</v>
      </c>
      <c r="Y18" s="116">
        <f t="shared" si="14"/>
        <v>0.22804507009828673</v>
      </c>
      <c r="Z18" s="116">
        <f t="shared" si="14"/>
        <v>0.10823875027875005</v>
      </c>
      <c r="AA18" s="116">
        <f t="shared" si="14"/>
        <v>0</v>
      </c>
    </row>
    <row r="19" spans="1:27" x14ac:dyDescent="0.25">
      <c r="A19" s="15" t="s">
        <v>1045</v>
      </c>
      <c r="B19" s="2" t="s">
        <v>738</v>
      </c>
      <c r="C19" s="15" t="str">
        <f>scen_input_ccs!C19</f>
        <v>Carbon capture pathway</v>
      </c>
      <c r="D19" s="116">
        <f>scen_input_ccs!D19/SUM(scen_input_ccs!$D$18:$D$20)</f>
        <v>0</v>
      </c>
      <c r="E19" s="116">
        <f>scen_input_ccs!E19/SUM(scen_input_ccs!$D$18:$D$20)</f>
        <v>5.4453781512605041E-2</v>
      </c>
      <c r="F19" s="116">
        <f>scen_input_ccs!F19/SUM(scen_input_ccs!$D$18:$D$20)</f>
        <v>0.10890756302521008</v>
      </c>
      <c r="G19" s="116">
        <f>scen_input_ccs!G19/SUM(scen_input_ccs!$D$18:$D$20)</f>
        <v>0.16336134453781512</v>
      </c>
      <c r="H19" s="116">
        <f>scen_input_ccs!H19/SUM(scen_input_ccs!$D$18:$D$20)</f>
        <v>0.21781512605042017</v>
      </c>
      <c r="I19" s="116">
        <f>scen_input_ccs!I19/SUM(scen_input_ccs!$D$18:$D$20)</f>
        <v>0.27226890756302519</v>
      </c>
      <c r="J19" s="116">
        <f>scen_input_ccs!J19/SUM(scen_input_ccs!$D$18:$D$20)</f>
        <v>0.32672268907563023</v>
      </c>
      <c r="K19" s="116">
        <f>scen_input_ccs!K19/SUM(scen_input_ccs!$D$18:$D$20)</f>
        <v>0.38117647058823528</v>
      </c>
      <c r="L19" s="116">
        <f>D19*cost_projections!C15*D$21</f>
        <v>0</v>
      </c>
      <c r="M19" s="116">
        <f>E19*cost_projections!D15*E$21</f>
        <v>6.9519758798660125E-2</v>
      </c>
      <c r="N19" s="116">
        <f>F19*cost_projections!E15*F$21</f>
        <v>0.13313201290746479</v>
      </c>
      <c r="O19" s="116">
        <f>G19*cost_projections!F15*G$21</f>
        <v>0.19083676232641392</v>
      </c>
      <c r="P19" s="116">
        <f>H19*cost_projections!G15*H$21</f>
        <v>0.24263400705550767</v>
      </c>
      <c r="Q19" s="116">
        <f>I19*cost_projections!H15*I$21</f>
        <v>0.28852374709474576</v>
      </c>
      <c r="R19" s="116">
        <f>J19*cost_projections!I15*J$21</f>
        <v>0.3285059824441286</v>
      </c>
      <c r="S19" s="116">
        <f>K19*cost_projections!J15*K$21</f>
        <v>0.36258071310365581</v>
      </c>
      <c r="T19" s="116">
        <f>L19/L$21*T$21</f>
        <v>0</v>
      </c>
      <c r="U19" s="116">
        <f t="shared" si="14"/>
        <v>6.9553557202415767E-2</v>
      </c>
      <c r="V19" s="116">
        <f t="shared" si="14"/>
        <v>0.13326152538738092</v>
      </c>
      <c r="W19" s="116">
        <f t="shared" si="14"/>
        <v>0.1911153704111565</v>
      </c>
      <c r="X19" s="116">
        <f t="shared" si="14"/>
        <v>0.24310654150959277</v>
      </c>
      <c r="Y19" s="116">
        <f t="shared" si="14"/>
        <v>0.289226471257648</v>
      </c>
      <c r="Z19" s="116">
        <f t="shared" si="14"/>
        <v>0.32946657552879055</v>
      </c>
      <c r="AA19" s="116">
        <f t="shared" si="14"/>
        <v>0.36381825345428037</v>
      </c>
    </row>
    <row r="20" spans="1:27" x14ac:dyDescent="0.25">
      <c r="A20" s="15" t="s">
        <v>1046</v>
      </c>
      <c r="B20" s="2" t="s">
        <v>748</v>
      </c>
      <c r="C20" s="15" t="str">
        <f>scen_input_ccs!C20</f>
        <v>Carbon capture pathway</v>
      </c>
      <c r="D20" s="116">
        <f>scen_input_ccs!D20/SUM(scen_input_ccs!$D$18:$D$20)</f>
        <v>0</v>
      </c>
      <c r="E20" s="116">
        <f>scen_input_ccs!E20/SUM(scen_input_ccs!$D$18:$D$20)</f>
        <v>4.7647058823529424E-2</v>
      </c>
      <c r="F20" s="116">
        <f>scen_input_ccs!F20/SUM(scen_input_ccs!$D$18:$D$20)</f>
        <v>9.5294117647058849E-2</v>
      </c>
      <c r="G20" s="116">
        <f>scen_input_ccs!G20/SUM(scen_input_ccs!$D$18:$D$20)</f>
        <v>0.14294117647058829</v>
      </c>
      <c r="H20" s="116">
        <f>scen_input_ccs!H20/SUM(scen_input_ccs!$D$18:$D$20)</f>
        <v>0.1905882352941177</v>
      </c>
      <c r="I20" s="116">
        <f>scen_input_ccs!I20/SUM(scen_input_ccs!$D$18:$D$20)</f>
        <v>0.2382352941176471</v>
      </c>
      <c r="J20" s="116">
        <f>scen_input_ccs!J20/SUM(scen_input_ccs!$D$18:$D$20)</f>
        <v>0.28588235294117659</v>
      </c>
      <c r="K20" s="116">
        <f>scen_input_ccs!K20/SUM(scen_input_ccs!$D$18:$D$20)</f>
        <v>0.33352941176470596</v>
      </c>
      <c r="L20" s="116">
        <f>D20*cost_projections!C16*D$21</f>
        <v>0</v>
      </c>
      <c r="M20" s="116">
        <f>E20*cost_projections!D16*E$21</f>
        <v>6.7048926475961251E-2</v>
      </c>
      <c r="N20" s="116">
        <f>F20*cost_projections!E16*F$21</f>
        <v>0.12840030948440762</v>
      </c>
      <c r="O20" s="116">
        <f>G20*cost_projections!F16*G$21</f>
        <v>0.18405414902533912</v>
      </c>
      <c r="P20" s="116">
        <f>H20*cost_projections!G16*H$21</f>
        <v>0.23401044509875574</v>
      </c>
      <c r="Q20" s="116">
        <f>I20*cost_projections!H16*I$21</f>
        <v>0.27826919770465741</v>
      </c>
      <c r="R20" s="116">
        <f>J20*cost_projections!I16*J$21</f>
        <v>0.31683040684304437</v>
      </c>
      <c r="S20" s="116">
        <f>K20*cost_projections!J16*K$21</f>
        <v>0.34969407251391621</v>
      </c>
      <c r="T20" s="116">
        <f>L20/L$21*T$21</f>
        <v>0</v>
      </c>
      <c r="U20" s="116">
        <f t="shared" si="14"/>
        <v>6.7081523635784263E-2</v>
      </c>
      <c r="V20" s="116">
        <f t="shared" si="14"/>
        <v>0.12852521890431462</v>
      </c>
      <c r="W20" s="116">
        <f t="shared" si="14"/>
        <v>0.18432285497760828</v>
      </c>
      <c r="X20" s="116">
        <f t="shared" si="14"/>
        <v>0.23446618499798449</v>
      </c>
      <c r="Y20" s="116">
        <f t="shared" si="14"/>
        <v>0.27894694603902331</v>
      </c>
      <c r="Z20" s="116">
        <f t="shared" si="14"/>
        <v>0.31775685906640933</v>
      </c>
      <c r="AA20" s="116">
        <f t="shared" si="14"/>
        <v>0.35088762889866099</v>
      </c>
    </row>
    <row r="21" spans="1:27" x14ac:dyDescent="0.25">
      <c r="A21" s="19" t="s">
        <v>1048</v>
      </c>
      <c r="B21" s="24"/>
      <c r="C21" s="15" t="str">
        <f>scen_input_ccs!C21</f>
        <v>Baseline</v>
      </c>
      <c r="D21" s="47">
        <f>SUM(scen_input_ccs!D18:D20)/SUM(scen_input_ccs!$D18:$D20)</f>
        <v>1</v>
      </c>
      <c r="E21" s="47">
        <f>SUM(scen_input_ccs!E18:E20)/SUM(scen_input_ccs!$D18:$D20)</f>
        <v>0.95924369747899163</v>
      </c>
      <c r="F21" s="47">
        <f>SUM(scen_input_ccs!F18:F20)/SUM(scen_input_ccs!$D18:$D20)</f>
        <v>0.91848739495798326</v>
      </c>
      <c r="G21" s="47">
        <f>SUM(scen_input_ccs!G18:G20)/SUM(scen_input_ccs!$D18:$D20)</f>
        <v>0.87773109243697478</v>
      </c>
      <c r="H21" s="47">
        <f>SUM(scen_input_ccs!H18:H20)/SUM(scen_input_ccs!$D18:$D20)</f>
        <v>0.83697478991596652</v>
      </c>
      <c r="I21" s="47">
        <f>SUM(scen_input_ccs!I18:I20)/SUM(scen_input_ccs!$D18:$D20)</f>
        <v>0.79621848739495804</v>
      </c>
      <c r="J21" s="47">
        <f>SUM(scen_input_ccs!J18:J20)/SUM(scen_input_ccs!$D18:$D20)</f>
        <v>0.75546218487394978</v>
      </c>
      <c r="K21" s="47">
        <f>SUM(scen_input_ccs!K18:K20)/SUM(scen_input_ccs!$D18:$D20)</f>
        <v>0.7147058823529413</v>
      </c>
      <c r="L21" s="47">
        <f>SUM(L18:L20)</f>
        <v>1</v>
      </c>
      <c r="M21" s="47">
        <f t="shared" ref="M21:S21" si="15">SUM(M18:M20)</f>
        <v>0.95877756882804288</v>
      </c>
      <c r="N21" s="47">
        <f t="shared" si="15"/>
        <v>0.91759474736186042</v>
      </c>
      <c r="O21" s="47">
        <f t="shared" si="15"/>
        <v>0.87645153560145284</v>
      </c>
      <c r="P21" s="47">
        <f t="shared" si="15"/>
        <v>0.83534793354682058</v>
      </c>
      <c r="Q21" s="47">
        <f t="shared" si="15"/>
        <v>0.79428394119796264</v>
      </c>
      <c r="R21" s="47">
        <f t="shared" si="15"/>
        <v>0.75325955855488003</v>
      </c>
      <c r="S21" s="47">
        <f t="shared" si="15"/>
        <v>0.71227478561757196</v>
      </c>
      <c r="T21" s="47">
        <f>L21/$L21</f>
        <v>1</v>
      </c>
      <c r="U21" s="47">
        <f t="shared" ref="U21:AA21" si="16">M21/$L21</f>
        <v>0.95877756882804288</v>
      </c>
      <c r="V21" s="47">
        <f t="shared" si="16"/>
        <v>0.91759474736186042</v>
      </c>
      <c r="W21" s="47">
        <f t="shared" si="16"/>
        <v>0.87645153560145284</v>
      </c>
      <c r="X21" s="47">
        <f t="shared" si="16"/>
        <v>0.83534793354682058</v>
      </c>
      <c r="Y21" s="47">
        <f t="shared" si="16"/>
        <v>0.79428394119796264</v>
      </c>
      <c r="Z21" s="47">
        <f t="shared" si="16"/>
        <v>0.75325955855488003</v>
      </c>
      <c r="AA21" s="47">
        <f t="shared" si="16"/>
        <v>0.71227478561757196</v>
      </c>
    </row>
    <row r="22" spans="1:27" x14ac:dyDescent="0.25">
      <c r="A22" s="15" t="s">
        <v>1047</v>
      </c>
      <c r="B22" s="2" t="s">
        <v>140</v>
      </c>
      <c r="C22" s="15" t="str">
        <f>scen_input_ccs!C22</f>
        <v>Carbon capture pathway</v>
      </c>
      <c r="D22" s="116">
        <f>scen_input_ccs!D22/SUM(scen_input_ccs!$D$22)</f>
        <v>1</v>
      </c>
      <c r="E22" s="116">
        <f>scen_input_ccs!E22/SUM(scen_input_ccs!$D$22)</f>
        <v>1.985357142857143</v>
      </c>
      <c r="F22" s="116">
        <f>scen_input_ccs!F22/SUM(scen_input_ccs!$D$22)</f>
        <v>2.9707142857142861</v>
      </c>
      <c r="G22" s="116">
        <f>scen_input_ccs!G22/SUM(scen_input_ccs!$D$22)</f>
        <v>3.9560714285714291</v>
      </c>
      <c r="H22" s="116">
        <f>scen_input_ccs!H22/SUM(scen_input_ccs!$D$22)</f>
        <v>4.9414285714285722</v>
      </c>
      <c r="I22" s="116">
        <f>scen_input_ccs!I22/SUM(scen_input_ccs!$D$22)</f>
        <v>5.9267857142857148</v>
      </c>
      <c r="J22" s="116">
        <f>scen_input_ccs!J22/SUM(scen_input_ccs!$D$22)</f>
        <v>6.9121428571428583</v>
      </c>
      <c r="K22" s="116">
        <f>scen_input_ccs!K22/SUM(scen_input_ccs!$D$22)</f>
        <v>7.8975000000000009</v>
      </c>
      <c r="L22" s="116">
        <f>D22*cost_projections!C17*D$23</f>
        <v>1</v>
      </c>
      <c r="M22" s="116">
        <f>E22*cost_projections!D17*E$23</f>
        <v>3.9416429846938783</v>
      </c>
      <c r="N22" s="116">
        <f>F22*cost_projections!E17*F$23</f>
        <v>8.825143367346941</v>
      </c>
      <c r="O22" s="116">
        <f>G22*cost_projections!F17*G$23</f>
        <v>15.650501147959188</v>
      </c>
      <c r="P22" s="116">
        <f>H22*cost_projections!G17*H$23</f>
        <v>24.41771632653062</v>
      </c>
      <c r="Q22" s="116">
        <f>I22*cost_projections!H17*I$23</f>
        <v>35.126788903061232</v>
      </c>
      <c r="R22" s="116">
        <f>J22*cost_projections!I17*J$23</f>
        <v>47.777718877551038</v>
      </c>
      <c r="S22" s="116">
        <f>K22*cost_projections!J17*K$23</f>
        <v>62.370506250000012</v>
      </c>
      <c r="T22" s="116">
        <f>L22/L$23*T$23</f>
        <v>1</v>
      </c>
      <c r="U22" s="116">
        <f t="shared" ref="U22:AA22" si="17">M22/M$23*E$23</f>
        <v>1.985357142857143</v>
      </c>
      <c r="V22" s="116">
        <f t="shared" si="17"/>
        <v>2.9707142857142861</v>
      </c>
      <c r="W22" s="116">
        <f t="shared" si="17"/>
        <v>3.9560714285714291</v>
      </c>
      <c r="X22" s="116">
        <f t="shared" si="17"/>
        <v>4.9414285714285722</v>
      </c>
      <c r="Y22" s="116">
        <f t="shared" si="17"/>
        <v>5.9267857142857148</v>
      </c>
      <c r="Z22" s="116">
        <f t="shared" si="17"/>
        <v>6.9121428571428583</v>
      </c>
      <c r="AA22" s="116">
        <f t="shared" si="17"/>
        <v>7.8975000000000009</v>
      </c>
    </row>
    <row r="23" spans="1:27" x14ac:dyDescent="0.25">
      <c r="A23" s="19" t="s">
        <v>1048</v>
      </c>
      <c r="B23" s="19"/>
      <c r="C23" s="15" t="str">
        <f>scen_input_ccs!C23</f>
        <v>Baseline</v>
      </c>
      <c r="D23" s="47">
        <f>SUM(scen_input_ccs!D22)/SUM(scen_input_ccs!$D22)</f>
        <v>1</v>
      </c>
      <c r="E23" s="47">
        <f>SUM(scen_input_ccs!E22)/SUM(scen_input_ccs!$D22)</f>
        <v>1.985357142857143</v>
      </c>
      <c r="F23" s="47">
        <f>SUM(scen_input_ccs!F22)/SUM(scen_input_ccs!$D22)</f>
        <v>2.9707142857142861</v>
      </c>
      <c r="G23" s="47">
        <f>SUM(scen_input_ccs!G22)/SUM(scen_input_ccs!$D22)</f>
        <v>3.9560714285714291</v>
      </c>
      <c r="H23" s="47">
        <f>SUM(scen_input_ccs!H22)/SUM(scen_input_ccs!$D22)</f>
        <v>4.9414285714285722</v>
      </c>
      <c r="I23" s="47">
        <f>SUM(scen_input_ccs!I22)/SUM(scen_input_ccs!$D22)</f>
        <v>5.9267857142857148</v>
      </c>
      <c r="J23" s="47">
        <f>SUM(scen_input_ccs!J22)/SUM(scen_input_ccs!$D22)</f>
        <v>6.9121428571428583</v>
      </c>
      <c r="K23" s="47">
        <f>SUM(scen_input_ccs!K22)/SUM(scen_input_ccs!$D22)</f>
        <v>7.8975000000000009</v>
      </c>
      <c r="L23" s="47">
        <f>SUM(L22)</f>
        <v>1</v>
      </c>
      <c r="M23" s="47">
        <f t="shared" ref="M23:S23" si="18">SUM(M22)</f>
        <v>3.9416429846938783</v>
      </c>
      <c r="N23" s="47">
        <f t="shared" si="18"/>
        <v>8.825143367346941</v>
      </c>
      <c r="O23" s="47">
        <f t="shared" si="18"/>
        <v>15.650501147959188</v>
      </c>
      <c r="P23" s="47">
        <f t="shared" si="18"/>
        <v>24.41771632653062</v>
      </c>
      <c r="Q23" s="47">
        <f t="shared" si="18"/>
        <v>35.126788903061232</v>
      </c>
      <c r="R23" s="47">
        <f t="shared" si="18"/>
        <v>47.777718877551038</v>
      </c>
      <c r="S23" s="47">
        <f t="shared" si="18"/>
        <v>62.370506250000012</v>
      </c>
      <c r="T23" s="47">
        <f>L23/$L23</f>
        <v>1</v>
      </c>
      <c r="U23" s="47">
        <f t="shared" ref="U23:AA23" si="19">M23/$L23</f>
        <v>3.9416429846938783</v>
      </c>
      <c r="V23" s="47">
        <f t="shared" si="19"/>
        <v>8.825143367346941</v>
      </c>
      <c r="W23" s="47">
        <f t="shared" si="19"/>
        <v>15.650501147959188</v>
      </c>
      <c r="X23" s="47">
        <f t="shared" si="19"/>
        <v>24.41771632653062</v>
      </c>
      <c r="Y23" s="47">
        <f t="shared" si="19"/>
        <v>35.126788903061232</v>
      </c>
      <c r="Z23" s="47">
        <f t="shared" si="19"/>
        <v>47.777718877551038</v>
      </c>
      <c r="AA23" s="47">
        <f t="shared" si="19"/>
        <v>62.370506250000012</v>
      </c>
    </row>
    <row r="24" spans="1:27" x14ac:dyDescent="0.25">
      <c r="A24" s="373" t="s">
        <v>1055</v>
      </c>
      <c r="B24" s="373"/>
      <c r="C24" s="297"/>
      <c r="D24" s="422" t="s">
        <v>1164</v>
      </c>
      <c r="E24" s="422" t="s">
        <v>1165</v>
      </c>
      <c r="F24" s="422" t="s">
        <v>1166</v>
      </c>
      <c r="G24" s="422" t="s">
        <v>1167</v>
      </c>
      <c r="H24" s="422" t="s">
        <v>1168</v>
      </c>
      <c r="I24" s="422" t="s">
        <v>1169</v>
      </c>
      <c r="J24" s="422" t="s">
        <v>1170</v>
      </c>
      <c r="K24" s="422" t="s">
        <v>1171</v>
      </c>
      <c r="L24" s="176" t="s">
        <v>1121</v>
      </c>
      <c r="M24" s="176" t="s">
        <v>1122</v>
      </c>
      <c r="N24" s="176" t="s">
        <v>1123</v>
      </c>
      <c r="O24" s="176" t="s">
        <v>1124</v>
      </c>
      <c r="P24" s="176" t="s">
        <v>1125</v>
      </c>
      <c r="Q24" s="176" t="s">
        <v>1126</v>
      </c>
      <c r="R24" s="176" t="s">
        <v>1127</v>
      </c>
      <c r="S24" s="176" t="s">
        <v>1128</v>
      </c>
      <c r="T24" s="428" t="s">
        <v>1137</v>
      </c>
      <c r="U24" s="428" t="s">
        <v>1138</v>
      </c>
      <c r="V24" s="428" t="s">
        <v>1139</v>
      </c>
      <c r="W24" s="428" t="s">
        <v>1140</v>
      </c>
      <c r="X24" s="428" t="s">
        <v>1141</v>
      </c>
      <c r="Y24" s="428" t="s">
        <v>1142</v>
      </c>
      <c r="Z24" s="428" t="s">
        <v>1143</v>
      </c>
      <c r="AA24" s="428" t="s">
        <v>1144</v>
      </c>
    </row>
    <row r="25" spans="1:27" x14ac:dyDescent="0.25">
      <c r="A25" s="15" t="s">
        <v>1049</v>
      </c>
      <c r="B25" s="2" t="s">
        <v>739</v>
      </c>
      <c r="C25" s="15" t="str">
        <f>scen_input_ccs!C25</f>
        <v>Carbon capture pathway</v>
      </c>
      <c r="D25" s="116">
        <f>scen_input_ccs!D25/SUM(scen_input_ccs!$D$25:$D$27)</f>
        <v>1</v>
      </c>
      <c r="E25" s="116">
        <f>scen_input_ccs!E25/SUM(scen_input_ccs!$D$25:$D$27)</f>
        <v>0.86400156770527148</v>
      </c>
      <c r="F25" s="116">
        <f>scen_input_ccs!F25/SUM(scen_input_ccs!$D$25:$D$27)</f>
        <v>0.72800313541054285</v>
      </c>
      <c r="G25" s="116">
        <f>scen_input_ccs!G25/SUM(scen_input_ccs!$D$25:$D$27)</f>
        <v>0.59200470311581421</v>
      </c>
      <c r="H25" s="116">
        <f>scen_input_ccs!H25/SUM(scen_input_ccs!$D$25:$D$27)</f>
        <v>0.45600627082108569</v>
      </c>
      <c r="I25" s="116">
        <f>scen_input_ccs!I25/SUM(scen_input_ccs!$D$25:$D$27)</f>
        <v>0.32000783852635706</v>
      </c>
      <c r="J25" s="116">
        <f>scen_input_ccs!J25/SUM(scen_input_ccs!$D$25:$D$27)</f>
        <v>0.18400940623162854</v>
      </c>
      <c r="K25" s="116">
        <f>scen_input_ccs!K25/SUM(scen_input_ccs!$D$25:$D$27)</f>
        <v>4.8010973936899869E-2</v>
      </c>
      <c r="L25" s="116">
        <f>D25*cost_projections!C19*D$28</f>
        <v>1</v>
      </c>
      <c r="M25" s="116">
        <f>E25*cost_projections!D19*E$28</f>
        <v>0.8205729174766998</v>
      </c>
      <c r="N25" s="116">
        <f>F25*cost_projections!E19*F$28</f>
        <v>0.65481763502535606</v>
      </c>
      <c r="O25" s="116">
        <f>G25*cost_projections!F19*G$28</f>
        <v>0.50273415264596921</v>
      </c>
      <c r="P25" s="116">
        <f>H25*cost_projections!G19*H$28</f>
        <v>0.36432247033853937</v>
      </c>
      <c r="Q25" s="116">
        <f>I25*cost_projections!H19*I$28</f>
        <v>0.23958258810306626</v>
      </c>
      <c r="R25" s="116">
        <f>J25*cost_projections!I19*J$28</f>
        <v>0.12851450593955013</v>
      </c>
      <c r="S25" s="116">
        <f>K25*cost_projections!J19*K$28</f>
        <v>3.1118223847990661E-2</v>
      </c>
      <c r="T25" s="116">
        <f>L25/L$28*T$28</f>
        <v>1</v>
      </c>
      <c r="U25" s="116">
        <f t="shared" ref="U25:AA27" si="20">M25/M$28*E$28</f>
        <v>0.82867472694475319</v>
      </c>
      <c r="V25" s="116">
        <f t="shared" si="20"/>
        <v>0.66787707224842185</v>
      </c>
      <c r="W25" s="116">
        <f t="shared" si="20"/>
        <v>0.51792514635449682</v>
      </c>
      <c r="X25" s="116">
        <f t="shared" si="20"/>
        <v>0.37915000646236829</v>
      </c>
      <c r="Y25" s="116">
        <f t="shared" si="20"/>
        <v>0.25189632194674383</v>
      </c>
      <c r="Z25" s="116">
        <f t="shared" si="20"/>
        <v>0.1365230812436812</v>
      </c>
      <c r="AA25" s="116">
        <f t="shared" si="20"/>
        <v>3.3404343249605568E-2</v>
      </c>
    </row>
    <row r="26" spans="1:27" x14ac:dyDescent="0.25">
      <c r="A26" s="15" t="s">
        <v>1050</v>
      </c>
      <c r="B26" s="2" t="s">
        <v>740</v>
      </c>
      <c r="C26" s="15" t="str">
        <f>scen_input_ccs!C26</f>
        <v>Carbon capture pathway</v>
      </c>
      <c r="D26" s="116">
        <f>scen_input_ccs!D26/SUM(scen_input_ccs!$D$25:$D$27)</f>
        <v>0</v>
      </c>
      <c r="E26" s="116">
        <f>scen_input_ccs!E26/SUM(scen_input_ccs!$D$25:$D$27)</f>
        <v>5.829903978052127E-2</v>
      </c>
      <c r="F26" s="116">
        <f>scen_input_ccs!F26/SUM(scen_input_ccs!$D$25:$D$27)</f>
        <v>0.11659807956104254</v>
      </c>
      <c r="G26" s="116">
        <f>scen_input_ccs!G26/SUM(scen_input_ccs!$D$25:$D$27)</f>
        <v>0.17489711934156382</v>
      </c>
      <c r="H26" s="116">
        <f>scen_input_ccs!H26/SUM(scen_input_ccs!$D$25:$D$27)</f>
        <v>0.23319615912208508</v>
      </c>
      <c r="I26" s="116">
        <f>scen_input_ccs!I26/SUM(scen_input_ccs!$D$25:$D$27)</f>
        <v>0.29149519890260633</v>
      </c>
      <c r="J26" s="116">
        <f>scen_input_ccs!J26/SUM(scen_input_ccs!$D$25:$D$27)</f>
        <v>0.34979423868312765</v>
      </c>
      <c r="K26" s="116">
        <f>scen_input_ccs!K26/SUM(scen_input_ccs!$D$25:$D$27)</f>
        <v>0.4080932784636489</v>
      </c>
      <c r="L26" s="116">
        <f>D26*cost_projections!C20*D$28</f>
        <v>0</v>
      </c>
      <c r="M26" s="116">
        <f>E26*cost_projections!D20*E$28</f>
        <v>7.3250889031338126E-2</v>
      </c>
      <c r="N26" s="116">
        <f>F26*cost_projections!E20*F$28</f>
        <v>0.13874820206493013</v>
      </c>
      <c r="O26" s="116">
        <f>G26*cost_projections!F20*G$28</f>
        <v>0.19649193910077606</v>
      </c>
      <c r="P26" s="116">
        <f>H26*cost_projections!G20*H$28</f>
        <v>0.24648210013887586</v>
      </c>
      <c r="Q26" s="116">
        <f>I26*cost_projections!H20*I$28</f>
        <v>0.28871868517922961</v>
      </c>
      <c r="R26" s="116">
        <f>J26*cost_projections!I20*J$28</f>
        <v>0.32320169422183737</v>
      </c>
      <c r="S26" s="116">
        <f>K26*cost_projections!J20*K$28</f>
        <v>0.34993112726669884</v>
      </c>
      <c r="T26" s="116">
        <f>L26/L$28*T$28</f>
        <v>0</v>
      </c>
      <c r="U26" s="116">
        <f t="shared" si="20"/>
        <v>7.3974121219066616E-2</v>
      </c>
      <c r="V26" s="116">
        <f t="shared" si="20"/>
        <v>0.14151534414809966</v>
      </c>
      <c r="W26" s="116">
        <f t="shared" si="20"/>
        <v>0.20242928748848005</v>
      </c>
      <c r="X26" s="116">
        <f t="shared" si="20"/>
        <v>0.25651365882997262</v>
      </c>
      <c r="Y26" s="116">
        <f t="shared" si="20"/>
        <v>0.30355784804637481</v>
      </c>
      <c r="Z26" s="116">
        <f t="shared" si="20"/>
        <v>0.34334249535300182</v>
      </c>
      <c r="AA26" s="116">
        <f t="shared" si="20"/>
        <v>0.37563903216452382</v>
      </c>
    </row>
    <row r="27" spans="1:27" x14ac:dyDescent="0.25">
      <c r="A27" s="15" t="s">
        <v>1051</v>
      </c>
      <c r="B27" s="2" t="s">
        <v>926</v>
      </c>
      <c r="C27" s="15" t="str">
        <f>scen_input_ccs!C27</f>
        <v>Carbon capture pathway</v>
      </c>
      <c r="D27" s="116">
        <f>scen_input_ccs!D27/SUM(scen_input_ccs!$D$25:$D$27)</f>
        <v>0</v>
      </c>
      <c r="E27" s="116">
        <f>scen_input_ccs!E27/SUM(scen_input_ccs!$D$25:$D$27)</f>
        <v>2.7434842249657067E-2</v>
      </c>
      <c r="F27" s="116">
        <f>scen_input_ccs!F27/SUM(scen_input_ccs!$D$25:$D$27)</f>
        <v>5.4869684499314134E-2</v>
      </c>
      <c r="G27" s="116">
        <f>scen_input_ccs!G27/SUM(scen_input_ccs!$D$25:$D$27)</f>
        <v>8.2304526748971193E-2</v>
      </c>
      <c r="H27" s="116">
        <f>scen_input_ccs!H27/SUM(scen_input_ccs!$D$25:$D$27)</f>
        <v>0.10973936899862827</v>
      </c>
      <c r="I27" s="116">
        <f>scen_input_ccs!I27/SUM(scen_input_ccs!$D$25:$D$27)</f>
        <v>0.13717421124828535</v>
      </c>
      <c r="J27" s="116">
        <f>scen_input_ccs!J27/SUM(scen_input_ccs!$D$25:$D$27)</f>
        <v>0.16460905349794239</v>
      </c>
      <c r="K27" s="116">
        <f>scen_input_ccs!K27/SUM(scen_input_ccs!$D$25:$D$27)</f>
        <v>0.19204389574759947</v>
      </c>
      <c r="L27" s="116">
        <f>D27*cost_projections!C21*D$28</f>
        <v>0</v>
      </c>
      <c r="M27" s="116">
        <f>E27*cost_projections!D21*E$28</f>
        <v>4.6626244012714313E-2</v>
      </c>
      <c r="N27" s="116">
        <f>F27*cost_projections!E21*F$28</f>
        <v>8.8317119578400369E-2</v>
      </c>
      <c r="O27" s="116">
        <f>G27*cost_projections!F21*G$28</f>
        <v>0.12507262669705815</v>
      </c>
      <c r="P27" s="116">
        <f>H27*cost_projections!G21*H$28</f>
        <v>0.15689276536868771</v>
      </c>
      <c r="Q27" s="116">
        <f>I27*cost_projections!H21*I$28</f>
        <v>0.18377753559328902</v>
      </c>
      <c r="R27" s="116">
        <f>J27*cost_projections!I21*J$28</f>
        <v>0.20572693737086206</v>
      </c>
      <c r="S27" s="116">
        <f>K27*cost_projections!J21*K$28</f>
        <v>0.22274097070140683</v>
      </c>
      <c r="T27" s="116">
        <f>L27/L$28*T$28</f>
        <v>0</v>
      </c>
      <c r="U27" s="116">
        <f t="shared" si="20"/>
        <v>4.7086601571630096E-2</v>
      </c>
      <c r="V27" s="116">
        <f t="shared" si="20"/>
        <v>9.0078483074378074E-2</v>
      </c>
      <c r="W27" s="116">
        <f t="shared" si="20"/>
        <v>0.12885191536337245</v>
      </c>
      <c r="X27" s="116">
        <f t="shared" si="20"/>
        <v>0.16327813364945815</v>
      </c>
      <c r="Y27" s="116">
        <f t="shared" si="20"/>
        <v>0.19322307868413011</v>
      </c>
      <c r="Z27" s="116">
        <f t="shared" si="20"/>
        <v>0.21854712181601554</v>
      </c>
      <c r="AA27" s="116">
        <f t="shared" si="20"/>
        <v>0.23910477273401878</v>
      </c>
    </row>
    <row r="28" spans="1:27" x14ac:dyDescent="0.25">
      <c r="A28" s="19" t="s">
        <v>1048</v>
      </c>
      <c r="B28" s="19"/>
      <c r="C28" s="15" t="str">
        <f>scen_input_ccs!C28</f>
        <v>Baseline+Reductions</v>
      </c>
      <c r="D28" s="47">
        <f>SUM(scen_input_ccs!D25:D27)/SUM(scen_input_ccs!$D25:$D27)</f>
        <v>1</v>
      </c>
      <c r="E28" s="47">
        <f>SUM(scen_input_ccs!E25:E27)/SUM(scen_input_ccs!$D25:$D27)</f>
        <v>0.94973544973544988</v>
      </c>
      <c r="F28" s="47">
        <f>SUM(scen_input_ccs!F25:F27)/SUM(scen_input_ccs!$D25:$D27)</f>
        <v>0.89947089947089953</v>
      </c>
      <c r="G28" s="47">
        <f>SUM(scen_input_ccs!G25:G27)/SUM(scen_input_ccs!$D25:$D27)</f>
        <v>0.84920634920634919</v>
      </c>
      <c r="H28" s="47">
        <f>SUM(scen_input_ccs!H25:H27)/SUM(scen_input_ccs!$D25:$D27)</f>
        <v>0.79894179894179895</v>
      </c>
      <c r="I28" s="47">
        <f>SUM(scen_input_ccs!I25:I27)/SUM(scen_input_ccs!$D25:$D27)</f>
        <v>0.74867724867724872</v>
      </c>
      <c r="J28" s="47">
        <f>SUM(scen_input_ccs!J25:J27)/SUM(scen_input_ccs!$D25:$D27)</f>
        <v>0.6984126984126986</v>
      </c>
      <c r="K28" s="47">
        <f>SUM(scen_input_ccs!K25:K27)/SUM(scen_input_ccs!$D25:$D27)</f>
        <v>0.64814814814814825</v>
      </c>
      <c r="L28" s="47">
        <f>SUM(L25:L27)</f>
        <v>1</v>
      </c>
      <c r="M28" s="47">
        <f t="shared" ref="M28:S28" si="21">SUM(M25:M27)</f>
        <v>0.94045005052075226</v>
      </c>
      <c r="N28" s="47">
        <f t="shared" si="21"/>
        <v>0.88188295666868655</v>
      </c>
      <c r="O28" s="47">
        <f t="shared" si="21"/>
        <v>0.82429871844380331</v>
      </c>
      <c r="P28" s="47">
        <f t="shared" si="21"/>
        <v>0.76769733584610289</v>
      </c>
      <c r="Q28" s="47">
        <f t="shared" si="21"/>
        <v>0.71207880887558483</v>
      </c>
      <c r="R28" s="47">
        <f t="shared" si="21"/>
        <v>0.65744313753224959</v>
      </c>
      <c r="S28" s="47">
        <f t="shared" si="21"/>
        <v>0.60379032181609638</v>
      </c>
      <c r="T28" s="47">
        <f>L28/$L28</f>
        <v>1</v>
      </c>
      <c r="U28" s="47">
        <f t="shared" ref="U28:AA28" si="22">M28/$L28</f>
        <v>0.94045005052075226</v>
      </c>
      <c r="V28" s="47">
        <f t="shared" si="22"/>
        <v>0.88188295666868655</v>
      </c>
      <c r="W28" s="47">
        <f t="shared" si="22"/>
        <v>0.82429871844380331</v>
      </c>
      <c r="X28" s="47">
        <f t="shared" si="22"/>
        <v>0.76769733584610289</v>
      </c>
      <c r="Y28" s="47">
        <f t="shared" si="22"/>
        <v>0.71207880887558483</v>
      </c>
      <c r="Z28" s="47">
        <f t="shared" si="22"/>
        <v>0.65744313753224959</v>
      </c>
      <c r="AA28" s="47">
        <f t="shared" si="22"/>
        <v>0.60379032181609638</v>
      </c>
    </row>
    <row r="29" spans="1:27" x14ac:dyDescent="0.25">
      <c r="A29" s="373" t="s">
        <v>944</v>
      </c>
      <c r="B29" s="373"/>
      <c r="C29" s="297"/>
      <c r="D29" s="422" t="s">
        <v>1164</v>
      </c>
      <c r="E29" s="422" t="s">
        <v>1165</v>
      </c>
      <c r="F29" s="422" t="s">
        <v>1166</v>
      </c>
      <c r="G29" s="422" t="s">
        <v>1167</v>
      </c>
      <c r="H29" s="422" t="s">
        <v>1168</v>
      </c>
      <c r="I29" s="422" t="s">
        <v>1169</v>
      </c>
      <c r="J29" s="422" t="s">
        <v>1170</v>
      </c>
      <c r="K29" s="422" t="s">
        <v>1171</v>
      </c>
      <c r="L29" s="176" t="s">
        <v>1121</v>
      </c>
      <c r="M29" s="176" t="s">
        <v>1122</v>
      </c>
      <c r="N29" s="176" t="s">
        <v>1123</v>
      </c>
      <c r="O29" s="176" t="s">
        <v>1124</v>
      </c>
      <c r="P29" s="176" t="s">
        <v>1125</v>
      </c>
      <c r="Q29" s="176" t="s">
        <v>1126</v>
      </c>
      <c r="R29" s="176" t="s">
        <v>1127</v>
      </c>
      <c r="S29" s="176" t="s">
        <v>1128</v>
      </c>
      <c r="T29" s="428" t="s">
        <v>1137</v>
      </c>
      <c r="U29" s="428" t="s">
        <v>1138</v>
      </c>
      <c r="V29" s="428" t="s">
        <v>1139</v>
      </c>
      <c r="W29" s="428" t="s">
        <v>1140</v>
      </c>
      <c r="X29" s="428" t="s">
        <v>1141</v>
      </c>
      <c r="Y29" s="428" t="s">
        <v>1142</v>
      </c>
      <c r="Z29" s="428" t="s">
        <v>1143</v>
      </c>
      <c r="AA29" s="428" t="s">
        <v>1144</v>
      </c>
    </row>
    <row r="30" spans="1:27" x14ac:dyDescent="0.25">
      <c r="A30" s="15" t="s">
        <v>1052</v>
      </c>
      <c r="B30" s="2" t="s">
        <v>733</v>
      </c>
      <c r="C30" s="15" t="str">
        <f>scen_input_ccs!C30</f>
        <v>TECH/TECH PHEV</v>
      </c>
      <c r="D30" s="116">
        <f>scen_input_ccs!D30/SUM(scen_input_ccs!$D$30:$D$31)</f>
        <v>0.99</v>
      </c>
      <c r="E30" s="116">
        <f>scen_input_ccs!E30/SUM(scen_input_ccs!$D$30:$D$31)</f>
        <v>0.96064425770308115</v>
      </c>
      <c r="F30" s="116">
        <f>scen_input_ccs!F30/SUM(scen_input_ccs!$D$30:$D$31)</f>
        <v>0.78725490196078429</v>
      </c>
      <c r="G30" s="116">
        <f>scen_input_ccs!G30/SUM(scen_input_ccs!$D$30:$D$31)</f>
        <v>0.51680672268907557</v>
      </c>
      <c r="H30" s="116">
        <f>scen_input_ccs!H30/SUM(scen_input_ccs!$D$30:$D$31)</f>
        <v>0.2089635854341737</v>
      </c>
      <c r="I30" s="116">
        <f>scen_input_ccs!I30/SUM(scen_input_ccs!$D$30:$D$31)</f>
        <v>0</v>
      </c>
      <c r="J30" s="116">
        <f>scen_input_ccs!J30/SUM(scen_input_ccs!$D$30:$D$31)</f>
        <v>0</v>
      </c>
      <c r="K30" s="116">
        <f>scen_input_ccs!K30/SUM(scen_input_ccs!$D$30:$D$31)</f>
        <v>0</v>
      </c>
      <c r="L30" s="116">
        <f>D30*cost_projections!C23*D$32</f>
        <v>0.99</v>
      </c>
      <c r="M30" s="116">
        <f>E30*cost_projections!D23*E$32</f>
        <v>0.9714077787977935</v>
      </c>
      <c r="N30" s="116">
        <f>F30*cost_projections!E23*F$32</f>
        <v>0.80489646839127804</v>
      </c>
      <c r="O30" s="116">
        <f>G30*cost_projections!F23*G$32</f>
        <v>0.53417837723324613</v>
      </c>
      <c r="P30" s="116">
        <f>H30*cost_projections!G23*H$32</f>
        <v>0.2183289001875261</v>
      </c>
      <c r="Q30" s="116">
        <f>I30*cost_projections!H23*I$32</f>
        <v>0</v>
      </c>
      <c r="R30" s="116">
        <f>J30*cost_projections!I23*J$32</f>
        <v>0</v>
      </c>
      <c r="S30" s="116">
        <f>K30*cost_projections!J23*K$32</f>
        <v>0</v>
      </c>
      <c r="T30" s="116">
        <f>L30/L$32*T$32</f>
        <v>0.98556495769039332</v>
      </c>
      <c r="U30" s="116">
        <f t="shared" ref="U30:AA31" si="23">M30/M$32*U$32</f>
        <v>0.9670560266777436</v>
      </c>
      <c r="V30" s="116">
        <f t="shared" si="23"/>
        <v>0.8012906604193909</v>
      </c>
      <c r="W30" s="116">
        <f t="shared" si="23"/>
        <v>0.53178534318889603</v>
      </c>
      <c r="X30" s="116">
        <f t="shared" si="23"/>
        <v>0.21735082149081741</v>
      </c>
      <c r="Y30" s="116">
        <f t="shared" si="23"/>
        <v>0</v>
      </c>
      <c r="Z30" s="116">
        <f t="shared" si="23"/>
        <v>0</v>
      </c>
      <c r="AA30" s="116">
        <f t="shared" si="23"/>
        <v>0</v>
      </c>
    </row>
    <row r="31" spans="1:27" x14ac:dyDescent="0.25">
      <c r="A31" s="15" t="s">
        <v>1053</v>
      </c>
      <c r="B31" s="2" t="s">
        <v>734</v>
      </c>
      <c r="C31" s="15" t="str">
        <f>scen_input_ccs!C31</f>
        <v>TECH/TECH PHEV</v>
      </c>
      <c r="D31" s="116">
        <f>scen_input_ccs!D31/SUM(scen_input_ccs!$D$30:$D$31)</f>
        <v>0.01</v>
      </c>
      <c r="E31" s="116">
        <f>scen_input_ccs!E31/SUM(scen_input_ccs!$D$30:$D$31)</f>
        <v>5.0560224089635855E-2</v>
      </c>
      <c r="F31" s="116">
        <f>scen_input_ccs!F31/SUM(scen_input_ccs!$D$30:$D$31)</f>
        <v>0.23515406162464986</v>
      </c>
      <c r="G31" s="116">
        <f>scen_input_ccs!G31/SUM(scen_input_ccs!$D$30:$D$31)</f>
        <v>0.51680672268907557</v>
      </c>
      <c r="H31" s="116">
        <f>scen_input_ccs!H31/SUM(scen_input_ccs!$D$30:$D$31)</f>
        <v>0.83585434173669482</v>
      </c>
      <c r="I31" s="116">
        <f>scen_input_ccs!I31/SUM(scen_input_ccs!$D$30:$D$31)</f>
        <v>1.0560224089635855</v>
      </c>
      <c r="J31" s="116">
        <f>scen_input_ccs!J31/SUM(scen_input_ccs!$D$30:$D$31)</f>
        <v>1.0672268907563025</v>
      </c>
      <c r="K31" s="116">
        <f>scen_input_ccs!K31/SUM(scen_input_ccs!$D$30:$D$31)</f>
        <v>1.0784313725490196</v>
      </c>
      <c r="L31" s="116">
        <f>D31*cost_projections!C24*D$32</f>
        <v>1.4499999999999997E-2</v>
      </c>
      <c r="M31" s="116">
        <f>E31*cost_projections!D24*E$32</f>
        <v>6.7875135179156179E-2</v>
      </c>
      <c r="N31" s="116">
        <f>F31*cost_projections!E24*F$32</f>
        <v>0.28975191496476882</v>
      </c>
      <c r="O31" s="116">
        <f>G31*cost_projections!F24*G$32</f>
        <v>0.57838624293530783</v>
      </c>
      <c r="P31" s="116">
        <f>H31*cost_projections!G24*H$32</f>
        <v>0.94558999529494048</v>
      </c>
      <c r="Q31" s="116">
        <f>I31*cost_projections!H24*I$32</f>
        <v>1.2074743622939372</v>
      </c>
      <c r="R31" s="116">
        <f>J31*cost_projections!I24*J$32</f>
        <v>1.2332330903964019</v>
      </c>
      <c r="S31" s="116">
        <f>K31*cost_projections!J24*K$32</f>
        <v>1.2592636784260693</v>
      </c>
      <c r="T31" s="116">
        <f>L31/L$32*T$32</f>
        <v>1.4435042309606768E-2</v>
      </c>
      <c r="U31" s="116">
        <f t="shared" si="23"/>
        <v>6.7571065384924009E-2</v>
      </c>
      <c r="V31" s="116">
        <f t="shared" si="23"/>
        <v>0.28845387253834626</v>
      </c>
      <c r="W31" s="116">
        <f t="shared" si="23"/>
        <v>0.57579516469418401</v>
      </c>
      <c r="X31" s="116">
        <f t="shared" si="23"/>
        <v>0.94135390273264363</v>
      </c>
      <c r="Y31" s="116">
        <f t="shared" si="23"/>
        <v>1.2020650694812716</v>
      </c>
      <c r="Z31" s="116">
        <f t="shared" si="23"/>
        <v>1.2277084025847704</v>
      </c>
      <c r="AA31" s="116">
        <f t="shared" si="23"/>
        <v>1.2536223777263011</v>
      </c>
    </row>
    <row r="32" spans="1:27" x14ac:dyDescent="0.25">
      <c r="A32" s="19" t="s">
        <v>1048</v>
      </c>
      <c r="B32" s="19"/>
      <c r="C32" s="15" t="str">
        <f>scen_input_ccs!C32</f>
        <v>TECH/TECH PHEV</v>
      </c>
      <c r="D32" s="47">
        <f>SUM(scen_input_ccs!D30:D31)/SUM(scen_input_ccs!$D30:$D31)</f>
        <v>1</v>
      </c>
      <c r="E32" s="47">
        <f>SUM(scen_input_ccs!E30:E31)/SUM(scen_input_ccs!$D30:$D31)</f>
        <v>1.011204481792717</v>
      </c>
      <c r="F32" s="47">
        <f>SUM(scen_input_ccs!F30:F31)/SUM(scen_input_ccs!$D30:$D31)</f>
        <v>1.0224089635854341</v>
      </c>
      <c r="G32" s="47">
        <f>SUM(scen_input_ccs!G30:G31)/SUM(scen_input_ccs!$D30:$D31)</f>
        <v>1.0336134453781511</v>
      </c>
      <c r="H32" s="47">
        <f>SUM(scen_input_ccs!H30:H31)/SUM(scen_input_ccs!$D30:$D31)</f>
        <v>1.0448179271708686</v>
      </c>
      <c r="I32" s="47">
        <f>SUM(scen_input_ccs!I30:I31)/SUM(scen_input_ccs!$D30:$D31)</f>
        <v>1.0560224089635855</v>
      </c>
      <c r="J32" s="47">
        <f>SUM(scen_input_ccs!J30:J31)/SUM(scen_input_ccs!$D30:$D31)</f>
        <v>1.0672268907563025</v>
      </c>
      <c r="K32" s="47">
        <f>SUM(scen_input_ccs!K30:K31)/SUM(scen_input_ccs!$D30:$D31)</f>
        <v>1.0784313725490196</v>
      </c>
      <c r="L32" s="47">
        <f>SUM(L30:L31)</f>
        <v>1.0044999999999999</v>
      </c>
      <c r="M32" s="47">
        <f t="shared" ref="M32:R32" si="24">SUM(M30:M31)</f>
        <v>1.0392829139769497</v>
      </c>
      <c r="N32" s="47">
        <f t="shared" si="24"/>
        <v>1.0946483833560468</v>
      </c>
      <c r="O32" s="47">
        <f t="shared" si="24"/>
        <v>1.112564620168554</v>
      </c>
      <c r="P32" s="47">
        <f t="shared" si="24"/>
        <v>1.1639188954824666</v>
      </c>
      <c r="Q32" s="47">
        <f t="shared" si="24"/>
        <v>1.2074743622939372</v>
      </c>
      <c r="R32" s="47">
        <f t="shared" si="24"/>
        <v>1.2332330903964019</v>
      </c>
      <c r="S32" s="47">
        <f>SUM(S30:S31)</f>
        <v>1.2592636784260693</v>
      </c>
      <c r="T32" s="47">
        <f>L32/$L32</f>
        <v>1</v>
      </c>
      <c r="U32" s="47">
        <f>M32/$L32</f>
        <v>1.0346270920626677</v>
      </c>
      <c r="V32" s="47">
        <f t="shared" ref="V32:AA32" si="25">N32/$L32</f>
        <v>1.0897445329577371</v>
      </c>
      <c r="W32" s="47">
        <f t="shared" si="25"/>
        <v>1.10758050788308</v>
      </c>
      <c r="X32" s="47">
        <f t="shared" si="25"/>
        <v>1.1587047242234612</v>
      </c>
      <c r="Y32" s="47">
        <f t="shared" si="25"/>
        <v>1.2020650694812716</v>
      </c>
      <c r="Z32" s="47">
        <f t="shared" si="25"/>
        <v>1.2277084025847704</v>
      </c>
      <c r="AA32" s="47">
        <f t="shared" si="25"/>
        <v>1.2536223777263011</v>
      </c>
    </row>
    <row r="33" spans="1:27" s="117" customFormat="1" x14ac:dyDescent="0.25">
      <c r="A33" s="375" t="s">
        <v>921</v>
      </c>
      <c r="B33" s="375"/>
      <c r="C33" s="297"/>
      <c r="D33" s="422" t="s">
        <v>1164</v>
      </c>
      <c r="E33" s="422" t="s">
        <v>1165</v>
      </c>
      <c r="F33" s="422" t="s">
        <v>1166</v>
      </c>
      <c r="G33" s="422" t="s">
        <v>1167</v>
      </c>
      <c r="H33" s="422" t="s">
        <v>1168</v>
      </c>
      <c r="I33" s="422" t="s">
        <v>1169</v>
      </c>
      <c r="J33" s="422" t="s">
        <v>1170</v>
      </c>
      <c r="K33" s="422" t="s">
        <v>1171</v>
      </c>
      <c r="L33" s="176" t="s">
        <v>1121</v>
      </c>
      <c r="M33" s="176" t="s">
        <v>1122</v>
      </c>
      <c r="N33" s="176" t="s">
        <v>1123</v>
      </c>
      <c r="O33" s="176" t="s">
        <v>1124</v>
      </c>
      <c r="P33" s="176" t="s">
        <v>1125</v>
      </c>
      <c r="Q33" s="176" t="s">
        <v>1126</v>
      </c>
      <c r="R33" s="176" t="s">
        <v>1127</v>
      </c>
      <c r="S33" s="176" t="s">
        <v>1128</v>
      </c>
      <c r="T33" s="428" t="s">
        <v>1137</v>
      </c>
      <c r="U33" s="428" t="s">
        <v>1138</v>
      </c>
      <c r="V33" s="428" t="s">
        <v>1139</v>
      </c>
      <c r="W33" s="428" t="s">
        <v>1140</v>
      </c>
      <c r="X33" s="428" t="s">
        <v>1141</v>
      </c>
      <c r="Y33" s="428" t="s">
        <v>1142</v>
      </c>
      <c r="Z33" s="428" t="s">
        <v>1143</v>
      </c>
      <c r="AA33" s="428" t="s">
        <v>1144</v>
      </c>
    </row>
    <row r="34" spans="1:27" x14ac:dyDescent="0.25">
      <c r="A34" s="15" t="s">
        <v>2</v>
      </c>
      <c r="B34" s="2" t="s">
        <v>3</v>
      </c>
      <c r="C34" s="15" t="str">
        <f>scen_input_ccs!C34</f>
        <v>MIX-CP (2020-30)/EU 2020 Reference (trends 2030-50)</v>
      </c>
      <c r="D34" s="116">
        <f>scen_input_ccs!D34/SUM(scen_input_ccs!$D$34:$D$46)</f>
        <v>0.50086203722103262</v>
      </c>
      <c r="E34" s="116">
        <f>scen_input_ccs!E34/SUM(scen_input_ccs!$D$34:$D$46)</f>
        <v>0.39604275038087633</v>
      </c>
      <c r="F34" s="116">
        <f>scen_input_ccs!F34/SUM(scen_input_ccs!$D$34:$D$46)</f>
        <v>0.24130781218094849</v>
      </c>
      <c r="G34" s="116">
        <f>scen_input_ccs!G34/SUM(scen_input_ccs!$D$34:$D$46)</f>
        <v>0.16010563240856479</v>
      </c>
      <c r="H34" s="116">
        <f>scen_input_ccs!H34/SUM(scen_input_ccs!$D$34:$D$46)</f>
        <v>0.14348929523913775</v>
      </c>
      <c r="I34" s="116">
        <f>scen_input_ccs!I34/SUM(scen_input_ccs!$D$34:$D$46)</f>
        <v>2.1667935750453917E-2</v>
      </c>
      <c r="J34" s="116">
        <f>scen_input_ccs!J34/SUM(scen_input_ccs!$D$34:$D$46)</f>
        <v>0</v>
      </c>
      <c r="K34" s="116">
        <f>scen_input_ccs!K34/SUM(scen_input_ccs!$D$34:$D$46)</f>
        <v>0</v>
      </c>
      <c r="L34" s="427">
        <f>D34</f>
        <v>0.50086203722103262</v>
      </c>
      <c r="M34" s="427">
        <f t="shared" ref="M34:S46" si="26">E34</f>
        <v>0.39604275038087633</v>
      </c>
      <c r="N34" s="427">
        <f t="shared" si="26"/>
        <v>0.24130781218094849</v>
      </c>
      <c r="O34" s="427">
        <f t="shared" si="26"/>
        <v>0.16010563240856479</v>
      </c>
      <c r="P34" s="427">
        <f t="shared" si="26"/>
        <v>0.14348929523913775</v>
      </c>
      <c r="Q34" s="427">
        <f t="shared" si="26"/>
        <v>2.1667935750453917E-2</v>
      </c>
      <c r="R34" s="427">
        <f t="shared" si="26"/>
        <v>0</v>
      </c>
      <c r="S34" s="427">
        <f t="shared" si="26"/>
        <v>0</v>
      </c>
      <c r="T34" s="116">
        <f t="shared" ref="T34:AA46" si="27">L34/L$47*T$47</f>
        <v>0.50086203722103262</v>
      </c>
      <c r="U34" s="116">
        <f t="shared" si="27"/>
        <v>0.39604275038087633</v>
      </c>
      <c r="V34" s="116">
        <f t="shared" si="27"/>
        <v>0.24130781218094849</v>
      </c>
      <c r="W34" s="116">
        <f t="shared" si="27"/>
        <v>0.16010563240856479</v>
      </c>
      <c r="X34" s="116">
        <f t="shared" si="27"/>
        <v>0.14348929523913775</v>
      </c>
      <c r="Y34" s="116">
        <f t="shared" si="27"/>
        <v>2.1667935750453917E-2</v>
      </c>
      <c r="Z34" s="116">
        <f t="shared" si="27"/>
        <v>0</v>
      </c>
      <c r="AA34" s="116">
        <f t="shared" si="27"/>
        <v>0</v>
      </c>
    </row>
    <row r="35" spans="1:27" x14ac:dyDescent="0.25">
      <c r="A35" s="15" t="s">
        <v>4</v>
      </c>
      <c r="B35" s="2" t="s">
        <v>5</v>
      </c>
      <c r="C35" s="15" t="str">
        <f>scen_input_ccs!C35</f>
        <v>MIX-CP (2020-30)/EU 2020 Reference (trends 2030-50)</v>
      </c>
      <c r="D35" s="116">
        <f>scen_input_ccs!D35/SUM(scen_input_ccs!$D$34:$D$46)</f>
        <v>5.3882907337272308E-2</v>
      </c>
      <c r="E35" s="116">
        <f>scen_input_ccs!E35/SUM(scen_input_ccs!$D$34:$D$46)</f>
        <v>3.5856531065000981E-2</v>
      </c>
      <c r="F35" s="116">
        <f>scen_input_ccs!F35/SUM(scen_input_ccs!$D$34:$D$46)</f>
        <v>4.2860125354729973E-2</v>
      </c>
      <c r="G35" s="116">
        <f>scen_input_ccs!G35/SUM(scen_input_ccs!$D$34:$D$46)</f>
        <v>8.9061218568554243E-2</v>
      </c>
      <c r="H35" s="116">
        <f>scen_input_ccs!H35/SUM(scen_input_ccs!$D$34:$D$46)</f>
        <v>0.18136571543727836</v>
      </c>
      <c r="I35" s="116">
        <f>scen_input_ccs!I35/SUM(scen_input_ccs!$D$34:$D$46)</f>
        <v>0.24891236295559685</v>
      </c>
      <c r="J35" s="116">
        <f>scen_input_ccs!J35/SUM(scen_input_ccs!$D$34:$D$46)</f>
        <v>0.26963535513575576</v>
      </c>
      <c r="K35" s="116">
        <f>scen_input_ccs!K35/SUM(scen_input_ccs!$D$34:$D$46)</f>
        <v>0.33444648281219286</v>
      </c>
      <c r="L35" s="427">
        <f t="shared" ref="L35:L46" si="28">D35</f>
        <v>5.3882907337272308E-2</v>
      </c>
      <c r="M35" s="427">
        <f t="shared" si="26"/>
        <v>3.5856531065000981E-2</v>
      </c>
      <c r="N35" s="427">
        <f t="shared" si="26"/>
        <v>4.2860125354729973E-2</v>
      </c>
      <c r="O35" s="427">
        <f t="shared" si="26"/>
        <v>8.9061218568554243E-2</v>
      </c>
      <c r="P35" s="427">
        <f t="shared" si="26"/>
        <v>0.18136571543727836</v>
      </c>
      <c r="Q35" s="427">
        <f t="shared" si="26"/>
        <v>0.24891236295559685</v>
      </c>
      <c r="R35" s="427">
        <f t="shared" si="26"/>
        <v>0.26963535513575576</v>
      </c>
      <c r="S35" s="427">
        <f t="shared" si="26"/>
        <v>0.33444648281219286</v>
      </c>
      <c r="T35" s="116">
        <f t="shared" si="27"/>
        <v>5.3882907337272308E-2</v>
      </c>
      <c r="U35" s="116">
        <f t="shared" si="27"/>
        <v>3.5856531065000981E-2</v>
      </c>
      <c r="V35" s="116">
        <f t="shared" si="27"/>
        <v>4.2860125354729973E-2</v>
      </c>
      <c r="W35" s="116">
        <f t="shared" si="27"/>
        <v>8.9061218568554243E-2</v>
      </c>
      <c r="X35" s="116">
        <f t="shared" si="27"/>
        <v>0.18136571543727836</v>
      </c>
      <c r="Y35" s="116">
        <f t="shared" si="27"/>
        <v>0.24891236295559685</v>
      </c>
      <c r="Z35" s="116">
        <f t="shared" si="27"/>
        <v>0.26963535513575576</v>
      </c>
      <c r="AA35" s="116">
        <f t="shared" si="27"/>
        <v>0.33444648281219286</v>
      </c>
    </row>
    <row r="36" spans="1:27" x14ac:dyDescent="0.25">
      <c r="A36" s="15" t="s">
        <v>6</v>
      </c>
      <c r="B36" s="2" t="s">
        <v>7</v>
      </c>
      <c r="C36" s="15" t="str">
        <f>scen_input_ccs!C36</f>
        <v>MIX-CP (2020-30)/EU 2020 Reference (trends 2030-50)</v>
      </c>
      <c r="D36" s="116">
        <f>scen_input_ccs!D36/SUM(scen_input_ccs!$D$34:$D$46)</f>
        <v>0.33383772064129019</v>
      </c>
      <c r="E36" s="116">
        <f>scen_input_ccs!E36/SUM(scen_input_ccs!$D$34:$D$46)</f>
        <v>0.3747419059676117</v>
      </c>
      <c r="F36" s="116">
        <f>scen_input_ccs!F36/SUM(scen_input_ccs!$D$34:$D$46)</f>
        <v>0.39322269477726207</v>
      </c>
      <c r="G36" s="116">
        <f>scen_input_ccs!G36/SUM(scen_input_ccs!$D$34:$D$46)</f>
        <v>0.38967129397377814</v>
      </c>
      <c r="H36" s="116">
        <f>scen_input_ccs!H36/SUM(scen_input_ccs!$D$34:$D$46)</f>
        <v>0.38657308473170149</v>
      </c>
      <c r="I36" s="116">
        <f>scen_input_ccs!I36/SUM(scen_input_ccs!$D$34:$D$46)</f>
        <v>0.47827924701921687</v>
      </c>
      <c r="J36" s="116">
        <f>scen_input_ccs!J36/SUM(scen_input_ccs!$D$34:$D$46)</f>
        <v>0.473700908154918</v>
      </c>
      <c r="K36" s="116">
        <f>scen_input_ccs!K36/SUM(scen_input_ccs!$D$34:$D$46)</f>
        <v>0.40638185583919495</v>
      </c>
      <c r="L36" s="427">
        <f t="shared" si="28"/>
        <v>0.33383772064129019</v>
      </c>
      <c r="M36" s="427">
        <f t="shared" si="26"/>
        <v>0.3747419059676117</v>
      </c>
      <c r="N36" s="427">
        <f t="shared" si="26"/>
        <v>0.39322269477726207</v>
      </c>
      <c r="O36" s="427">
        <f t="shared" si="26"/>
        <v>0.38967129397377814</v>
      </c>
      <c r="P36" s="427">
        <f t="shared" si="26"/>
        <v>0.38657308473170149</v>
      </c>
      <c r="Q36" s="427">
        <f t="shared" si="26"/>
        <v>0.47827924701921687</v>
      </c>
      <c r="R36" s="427">
        <f t="shared" si="26"/>
        <v>0.473700908154918</v>
      </c>
      <c r="S36" s="427">
        <f t="shared" si="26"/>
        <v>0.40638185583919495</v>
      </c>
      <c r="T36" s="116">
        <f t="shared" si="27"/>
        <v>0.33383772064129019</v>
      </c>
      <c r="U36" s="116">
        <f t="shared" si="27"/>
        <v>0.3747419059676117</v>
      </c>
      <c r="V36" s="116">
        <f t="shared" si="27"/>
        <v>0.39322269477726207</v>
      </c>
      <c r="W36" s="116">
        <f t="shared" si="27"/>
        <v>0.38967129397377814</v>
      </c>
      <c r="X36" s="116">
        <f t="shared" si="27"/>
        <v>0.38657308473170154</v>
      </c>
      <c r="Y36" s="116">
        <f t="shared" si="27"/>
        <v>0.47827924701921687</v>
      </c>
      <c r="Z36" s="116">
        <f t="shared" si="27"/>
        <v>0.473700908154918</v>
      </c>
      <c r="AA36" s="116">
        <f t="shared" si="27"/>
        <v>0.40638185583919501</v>
      </c>
    </row>
    <row r="37" spans="1:27" x14ac:dyDescent="0.25">
      <c r="A37" s="15" t="s">
        <v>8</v>
      </c>
      <c r="B37" s="2" t="s">
        <v>9</v>
      </c>
      <c r="C37" s="15" t="str">
        <f>scen_input_ccs!C37</f>
        <v>MIX-CP (2020-30)/EU 2020 Reference (trends 2030-50)</v>
      </c>
      <c r="D37" s="116">
        <f>scen_input_ccs!D37/SUM(scen_input_ccs!$D$34:$D$46)</f>
        <v>2.2398987911322985E-2</v>
      </c>
      <c r="E37" s="116">
        <f>scen_input_ccs!E37/SUM(scen_input_ccs!$D$34:$D$46)</f>
        <v>3.1517166035199606E-2</v>
      </c>
      <c r="F37" s="116">
        <f>scen_input_ccs!F37/SUM(scen_input_ccs!$D$34:$D$46)</f>
        <v>2.9355744732952816E-2</v>
      </c>
      <c r="G37" s="116">
        <f>scen_input_ccs!G37/SUM(scen_input_ccs!$D$34:$D$46)</f>
        <v>3.0178490472202953E-2</v>
      </c>
      <c r="H37" s="116">
        <f>scen_input_ccs!H37/SUM(scen_input_ccs!$D$34:$D$46)</f>
        <v>3.0231777275776903E-2</v>
      </c>
      <c r="I37" s="116">
        <f>scen_input_ccs!I37/SUM(scen_input_ccs!$D$34:$D$46)</f>
        <v>3.0827928901308525E-2</v>
      </c>
      <c r="J37" s="116">
        <f>scen_input_ccs!J37/SUM(scen_input_ccs!$D$34:$D$46)</f>
        <v>3.0938668395874006E-2</v>
      </c>
      <c r="K37" s="116">
        <f>scen_input_ccs!K37/SUM(scen_input_ccs!$D$34:$D$46)</f>
        <v>3.0932827987772287E-2</v>
      </c>
      <c r="L37" s="427">
        <f t="shared" si="28"/>
        <v>2.2398987911322985E-2</v>
      </c>
      <c r="M37" s="427">
        <f t="shared" si="26"/>
        <v>3.1517166035199606E-2</v>
      </c>
      <c r="N37" s="427">
        <f t="shared" si="26"/>
        <v>2.9355744732952816E-2</v>
      </c>
      <c r="O37" s="427">
        <f t="shared" si="26"/>
        <v>3.0178490472202953E-2</v>
      </c>
      <c r="P37" s="427">
        <f t="shared" si="26"/>
        <v>3.0231777275776903E-2</v>
      </c>
      <c r="Q37" s="427">
        <f t="shared" si="26"/>
        <v>3.0827928901308525E-2</v>
      </c>
      <c r="R37" s="427">
        <f t="shared" si="26"/>
        <v>3.0938668395874006E-2</v>
      </c>
      <c r="S37" s="427">
        <f t="shared" si="26"/>
        <v>3.0932827987772287E-2</v>
      </c>
      <c r="T37" s="116">
        <f t="shared" si="27"/>
        <v>2.2398987911322985E-2</v>
      </c>
      <c r="U37" s="116">
        <f t="shared" si="27"/>
        <v>3.1517166035199606E-2</v>
      </c>
      <c r="V37" s="116">
        <f t="shared" si="27"/>
        <v>2.9355744732952816E-2</v>
      </c>
      <c r="W37" s="116">
        <f t="shared" si="27"/>
        <v>3.0178490472202953E-2</v>
      </c>
      <c r="X37" s="116">
        <f t="shared" si="27"/>
        <v>3.0231777275776903E-2</v>
      </c>
      <c r="Y37" s="116">
        <f t="shared" si="27"/>
        <v>3.0827928901308525E-2</v>
      </c>
      <c r="Z37" s="116">
        <f t="shared" si="27"/>
        <v>3.0938668395874006E-2</v>
      </c>
      <c r="AA37" s="116">
        <f t="shared" si="27"/>
        <v>3.0932827987772287E-2</v>
      </c>
    </row>
    <row r="38" spans="1:27" x14ac:dyDescent="0.25">
      <c r="A38" s="15" t="s">
        <v>342</v>
      </c>
      <c r="B38" s="2" t="s">
        <v>336</v>
      </c>
      <c r="C38" s="15" t="str">
        <f>scen_input_ccs!C38</f>
        <v>MIX-CP (2020-30)/EU 2020 Reference (trends 2030-50)</v>
      </c>
      <c r="D38" s="116">
        <f>scen_input_ccs!D38/SUM(scen_input_ccs!$D$34:$D$46)</f>
        <v>7.0191001782551254E-3</v>
      </c>
      <c r="E38" s="116">
        <f>scen_input_ccs!E38/SUM(scen_input_ccs!$D$34:$D$46)</f>
        <v>9.8942468179843267E-3</v>
      </c>
      <c r="F38" s="116">
        <f>scen_input_ccs!F38/SUM(scen_input_ccs!$D$34:$D$46)</f>
        <v>0.14022981784491256</v>
      </c>
      <c r="G38" s="116">
        <f>scen_input_ccs!G38/SUM(scen_input_ccs!$D$34:$D$46)</f>
        <v>0.19965832815341286</v>
      </c>
      <c r="H38" s="116">
        <f>scen_input_ccs!H38/SUM(scen_input_ccs!$D$34:$D$46)</f>
        <v>0.23254047972988257</v>
      </c>
      <c r="I38" s="116">
        <f>scen_input_ccs!I38/SUM(scen_input_ccs!$D$34:$D$46)</f>
        <v>0.25211557789937916</v>
      </c>
      <c r="J38" s="116">
        <f>scen_input_ccs!J38/SUM(scen_input_ccs!$D$34:$D$46)</f>
        <v>0.2638869691211419</v>
      </c>
      <c r="K38" s="116">
        <f>scen_input_ccs!K38/SUM(scen_input_ccs!$D$34:$D$46)</f>
        <v>0.26982653949516944</v>
      </c>
      <c r="L38" s="427">
        <f t="shared" si="28"/>
        <v>7.0191001782551254E-3</v>
      </c>
      <c r="M38" s="427">
        <f t="shared" si="26"/>
        <v>9.8942468179843267E-3</v>
      </c>
      <c r="N38" s="427">
        <f t="shared" si="26"/>
        <v>0.14022981784491256</v>
      </c>
      <c r="O38" s="427">
        <f t="shared" si="26"/>
        <v>0.19965832815341286</v>
      </c>
      <c r="P38" s="427">
        <f t="shared" si="26"/>
        <v>0.23254047972988257</v>
      </c>
      <c r="Q38" s="427">
        <f t="shared" si="26"/>
        <v>0.25211557789937916</v>
      </c>
      <c r="R38" s="427">
        <f t="shared" si="26"/>
        <v>0.2638869691211419</v>
      </c>
      <c r="S38" s="427">
        <f t="shared" si="26"/>
        <v>0.26982653949516944</v>
      </c>
      <c r="T38" s="116">
        <f t="shared" si="27"/>
        <v>7.0191001782551254E-3</v>
      </c>
      <c r="U38" s="116">
        <f t="shared" si="27"/>
        <v>9.8942468179843267E-3</v>
      </c>
      <c r="V38" s="116">
        <f t="shared" si="27"/>
        <v>0.14022981784491256</v>
      </c>
      <c r="W38" s="116">
        <f t="shared" si="27"/>
        <v>0.19965832815341286</v>
      </c>
      <c r="X38" s="116">
        <f t="shared" si="27"/>
        <v>0.23254047972988257</v>
      </c>
      <c r="Y38" s="116">
        <f t="shared" si="27"/>
        <v>0.25211557789937916</v>
      </c>
      <c r="Z38" s="116">
        <f t="shared" si="27"/>
        <v>0.2638869691211419</v>
      </c>
      <c r="AA38" s="116">
        <f t="shared" si="27"/>
        <v>0.26982653949516944</v>
      </c>
    </row>
    <row r="39" spans="1:27" x14ac:dyDescent="0.25">
      <c r="A39" s="15" t="s">
        <v>343</v>
      </c>
      <c r="B39" s="2" t="s">
        <v>337</v>
      </c>
      <c r="C39" s="15" t="str">
        <f>scen_input_ccs!C39</f>
        <v>MIX-CP (2020-30)/EU 2020 Reference (trends 2030-50)</v>
      </c>
      <c r="D39" s="116">
        <f>scen_input_ccs!D39/SUM(scen_input_ccs!$D$34:$D$46)</f>
        <v>0</v>
      </c>
      <c r="E39" s="116">
        <f>scen_input_ccs!E39/SUM(scen_input_ccs!$D$34:$D$46)</f>
        <v>0</v>
      </c>
      <c r="F39" s="116">
        <f>scen_input_ccs!F39/SUM(scen_input_ccs!$D$34:$D$46)</f>
        <v>0</v>
      </c>
      <c r="G39" s="116">
        <f>scen_input_ccs!G39/SUM(scen_input_ccs!$D$34:$D$46)</f>
        <v>0</v>
      </c>
      <c r="H39" s="116">
        <f>scen_input_ccs!H39/SUM(scen_input_ccs!$D$34:$D$46)</f>
        <v>0</v>
      </c>
      <c r="I39" s="116">
        <f>scen_input_ccs!I39/SUM(scen_input_ccs!$D$34:$D$46)</f>
        <v>0</v>
      </c>
      <c r="J39" s="116">
        <f>scen_input_ccs!J39/SUM(scen_input_ccs!$D$34:$D$46)</f>
        <v>0</v>
      </c>
      <c r="K39" s="116">
        <f>scen_input_ccs!K39/SUM(scen_input_ccs!$D$34:$D$46)</f>
        <v>0</v>
      </c>
      <c r="L39" s="427">
        <f t="shared" si="28"/>
        <v>0</v>
      </c>
      <c r="M39" s="427">
        <f t="shared" si="26"/>
        <v>0</v>
      </c>
      <c r="N39" s="427">
        <f t="shared" si="26"/>
        <v>0</v>
      </c>
      <c r="O39" s="427">
        <f t="shared" si="26"/>
        <v>0</v>
      </c>
      <c r="P39" s="427">
        <f t="shared" si="26"/>
        <v>0</v>
      </c>
      <c r="Q39" s="427">
        <f t="shared" si="26"/>
        <v>0</v>
      </c>
      <c r="R39" s="427">
        <f t="shared" si="26"/>
        <v>0</v>
      </c>
      <c r="S39" s="427">
        <f t="shared" si="26"/>
        <v>0</v>
      </c>
      <c r="T39" s="116">
        <f t="shared" si="27"/>
        <v>0</v>
      </c>
      <c r="U39" s="116">
        <f t="shared" si="27"/>
        <v>0</v>
      </c>
      <c r="V39" s="116">
        <f t="shared" si="27"/>
        <v>0</v>
      </c>
      <c r="W39" s="116">
        <f t="shared" si="27"/>
        <v>0</v>
      </c>
      <c r="X39" s="116">
        <f t="shared" si="27"/>
        <v>0</v>
      </c>
      <c r="Y39" s="116">
        <f t="shared" si="27"/>
        <v>0</v>
      </c>
      <c r="Z39" s="116">
        <f t="shared" si="27"/>
        <v>0</v>
      </c>
      <c r="AA39" s="116">
        <f t="shared" si="27"/>
        <v>0</v>
      </c>
    </row>
    <row r="40" spans="1:27" x14ac:dyDescent="0.25">
      <c r="A40" s="15" t="s">
        <v>10</v>
      </c>
      <c r="B40" s="1" t="s">
        <v>11</v>
      </c>
      <c r="C40" s="15" t="str">
        <f>scen_input_ccs!C40</f>
        <v>MIX-CP (2020-30)/EU 2020 Reference (trends 2030-50)</v>
      </c>
      <c r="D40" s="116">
        <f>scen_input_ccs!D40/SUM(scen_input_ccs!$D$34:$D$46)</f>
        <v>2.3135979454853373E-3</v>
      </c>
      <c r="E40" s="116">
        <f>scen_input_ccs!E40/SUM(scen_input_ccs!$D$34:$D$46)</f>
        <v>1.6346179395416048E-3</v>
      </c>
      <c r="F40" s="116">
        <f>scen_input_ccs!F40/SUM(scen_input_ccs!$D$34:$D$46)</f>
        <v>1.5307255926064179E-3</v>
      </c>
      <c r="G40" s="116">
        <f>scen_input_ccs!G40/SUM(scen_input_ccs!$D$34:$D$46)</f>
        <v>1.5315972630096915E-3</v>
      </c>
      <c r="H40" s="116">
        <f>scen_input_ccs!H40/SUM(scen_input_ccs!$D$34:$D$46)</f>
        <v>1.2535478234338335E-3</v>
      </c>
      <c r="I40" s="116">
        <f>scen_input_ccs!I40/SUM(scen_input_ccs!$D$34:$D$46)</f>
        <v>1.2236357885644304E-3</v>
      </c>
      <c r="J40" s="116">
        <f>scen_input_ccs!J40/SUM(scen_input_ccs!$D$34:$D$46)</f>
        <v>7.8309730825145275E-4</v>
      </c>
      <c r="K40" s="116">
        <f>scen_input_ccs!K40/SUM(scen_input_ccs!$D$34:$D$46)</f>
        <v>2.0081996641303085E-4</v>
      </c>
      <c r="L40" s="427">
        <f t="shared" si="28"/>
        <v>2.3135979454853373E-3</v>
      </c>
      <c r="M40" s="427">
        <f t="shared" si="26"/>
        <v>1.6346179395416048E-3</v>
      </c>
      <c r="N40" s="427">
        <f t="shared" si="26"/>
        <v>1.5307255926064179E-3</v>
      </c>
      <c r="O40" s="427">
        <f t="shared" si="26"/>
        <v>1.5315972630096915E-3</v>
      </c>
      <c r="P40" s="427">
        <f t="shared" si="26"/>
        <v>1.2535478234338335E-3</v>
      </c>
      <c r="Q40" s="427">
        <f t="shared" si="26"/>
        <v>1.2236357885644304E-3</v>
      </c>
      <c r="R40" s="427">
        <f t="shared" si="26"/>
        <v>7.8309730825145275E-4</v>
      </c>
      <c r="S40" s="427">
        <f t="shared" si="26"/>
        <v>2.0081996641303085E-4</v>
      </c>
      <c r="T40" s="116">
        <f t="shared" si="27"/>
        <v>2.3135979454853373E-3</v>
      </c>
      <c r="U40" s="116">
        <f t="shared" si="27"/>
        <v>1.6346179395416048E-3</v>
      </c>
      <c r="V40" s="116">
        <f t="shared" si="27"/>
        <v>1.5307255926064179E-3</v>
      </c>
      <c r="W40" s="116">
        <f t="shared" si="27"/>
        <v>1.5315972630096915E-3</v>
      </c>
      <c r="X40" s="116">
        <f t="shared" si="27"/>
        <v>1.2535478234338335E-3</v>
      </c>
      <c r="Y40" s="116">
        <f t="shared" si="27"/>
        <v>1.2236357885644304E-3</v>
      </c>
      <c r="Z40" s="116">
        <f t="shared" si="27"/>
        <v>7.8309730825145275E-4</v>
      </c>
      <c r="AA40" s="116">
        <f t="shared" si="27"/>
        <v>2.0081996641303085E-4</v>
      </c>
    </row>
    <row r="41" spans="1:27" x14ac:dyDescent="0.25">
      <c r="A41" s="15" t="s">
        <v>12</v>
      </c>
      <c r="B41" s="2" t="s">
        <v>13</v>
      </c>
      <c r="C41" s="15" t="str">
        <f>scen_input_ccs!C41</f>
        <v>MIX-CP (2020-30)/EU 2020 Reference (trends 2030-50)</v>
      </c>
      <c r="D41" s="116">
        <f>scen_input_ccs!D41/SUM(scen_input_ccs!$D$34:$D$46)</f>
        <v>5.1504785957370923E-2</v>
      </c>
      <c r="E41" s="116">
        <f>scen_input_ccs!E41/SUM(scen_input_ccs!$D$34:$D$46)</f>
        <v>4.000863753988157E-2</v>
      </c>
      <c r="F41" s="116">
        <f>scen_input_ccs!F41/SUM(scen_input_ccs!$D$34:$D$46)</f>
        <v>2.3976505470970182E-2</v>
      </c>
      <c r="G41" s="116">
        <f>scen_input_ccs!G41/SUM(scen_input_ccs!$D$34:$D$46)</f>
        <v>4.2580916457430985E-2</v>
      </c>
      <c r="H41" s="116">
        <f>scen_input_ccs!H41/SUM(scen_input_ccs!$D$34:$D$46)</f>
        <v>4.8545279072132345E-2</v>
      </c>
      <c r="I41" s="116">
        <f>scen_input_ccs!I41/SUM(scen_input_ccs!$D$34:$D$46)</f>
        <v>7.1119546575377557E-2</v>
      </c>
      <c r="J41" s="116">
        <f>scen_input_ccs!J41/SUM(scen_input_ccs!$D$34:$D$46)</f>
        <v>8.1922461484742817E-2</v>
      </c>
      <c r="K41" s="116">
        <f>scen_input_ccs!K41/SUM(scen_input_ccs!$D$34:$D$46)</f>
        <v>0.1081911316774274</v>
      </c>
      <c r="L41" s="427">
        <f t="shared" si="28"/>
        <v>5.1504785957370923E-2</v>
      </c>
      <c r="M41" s="427">
        <f t="shared" si="26"/>
        <v>4.000863753988157E-2</v>
      </c>
      <c r="N41" s="427">
        <f t="shared" si="26"/>
        <v>2.3976505470970182E-2</v>
      </c>
      <c r="O41" s="427">
        <f t="shared" si="26"/>
        <v>4.2580916457430985E-2</v>
      </c>
      <c r="P41" s="427">
        <f t="shared" si="26"/>
        <v>4.8545279072132345E-2</v>
      </c>
      <c r="Q41" s="427">
        <f t="shared" si="26"/>
        <v>7.1119546575377557E-2</v>
      </c>
      <c r="R41" s="427">
        <f t="shared" si="26"/>
        <v>8.1922461484742817E-2</v>
      </c>
      <c r="S41" s="427">
        <f t="shared" si="26"/>
        <v>0.1081911316774274</v>
      </c>
      <c r="T41" s="116">
        <f t="shared" si="27"/>
        <v>5.1504785957370923E-2</v>
      </c>
      <c r="U41" s="116">
        <f t="shared" si="27"/>
        <v>4.000863753988157E-2</v>
      </c>
      <c r="V41" s="116">
        <f t="shared" si="27"/>
        <v>2.3976505470970182E-2</v>
      </c>
      <c r="W41" s="116">
        <f t="shared" si="27"/>
        <v>4.2580916457430985E-2</v>
      </c>
      <c r="X41" s="116">
        <f t="shared" si="27"/>
        <v>4.8545279072132345E-2</v>
      </c>
      <c r="Y41" s="116">
        <f t="shared" si="27"/>
        <v>7.1119546575377557E-2</v>
      </c>
      <c r="Z41" s="116">
        <f t="shared" si="27"/>
        <v>8.1922461484742817E-2</v>
      </c>
      <c r="AA41" s="116">
        <f t="shared" si="27"/>
        <v>0.1081911316774274</v>
      </c>
    </row>
    <row r="42" spans="1:27" x14ac:dyDescent="0.25">
      <c r="A42" s="15" t="s">
        <v>831</v>
      </c>
      <c r="B42" s="2" t="s">
        <v>338</v>
      </c>
      <c r="C42" s="15" t="str">
        <f>scen_input_ccs!C42</f>
        <v>MIX-CP (2020-30)/EU 2020 Reference (trends 2030-50)</v>
      </c>
      <c r="D42" s="116">
        <f>scen_input_ccs!D42/SUM(scen_input_ccs!$D$34:$D$46)</f>
        <v>1.8433470403823538E-2</v>
      </c>
      <c r="E42" s="116">
        <f>scen_input_ccs!E42/SUM(scen_input_ccs!$D$34:$D$46)</f>
        <v>1.8433470403823538E-2</v>
      </c>
      <c r="F42" s="116">
        <f>scen_input_ccs!F42/SUM(scen_input_ccs!$D$34:$D$46)</f>
        <v>3.4253719061183706E-2</v>
      </c>
      <c r="G42" s="116">
        <f>scen_input_ccs!G42/SUM(scen_input_ccs!$D$34:$D$46)</f>
        <v>3.8568262273493886E-2</v>
      </c>
      <c r="H42" s="116">
        <f>scen_input_ccs!H42/SUM(scen_input_ccs!$D$34:$D$46)</f>
        <v>4.1489125176208994E-2</v>
      </c>
      <c r="I42" s="116">
        <f>scen_input_ccs!I42/SUM(scen_input_ccs!$D$34:$D$46)</f>
        <v>4.9608577672457355E-2</v>
      </c>
      <c r="J42" s="116">
        <f>scen_input_ccs!J42/SUM(scen_input_ccs!$D$34:$D$46)</f>
        <v>6.3312861407365001E-2</v>
      </c>
      <c r="K42" s="116">
        <f>scen_input_ccs!K42/SUM(scen_input_ccs!$D$34:$D$46)</f>
        <v>6.3426685177556424E-2</v>
      </c>
      <c r="L42" s="427">
        <f t="shared" si="28"/>
        <v>1.8433470403823538E-2</v>
      </c>
      <c r="M42" s="427">
        <f t="shared" si="26"/>
        <v>1.8433470403823538E-2</v>
      </c>
      <c r="N42" s="427">
        <f t="shared" si="26"/>
        <v>3.4253719061183706E-2</v>
      </c>
      <c r="O42" s="427">
        <f t="shared" si="26"/>
        <v>3.8568262273493886E-2</v>
      </c>
      <c r="P42" s="427">
        <f t="shared" si="26"/>
        <v>4.1489125176208994E-2</v>
      </c>
      <c r="Q42" s="427">
        <f t="shared" si="26"/>
        <v>4.9608577672457355E-2</v>
      </c>
      <c r="R42" s="427">
        <f t="shared" si="26"/>
        <v>6.3312861407365001E-2</v>
      </c>
      <c r="S42" s="427">
        <f t="shared" si="26"/>
        <v>6.3426685177556424E-2</v>
      </c>
      <c r="T42" s="116">
        <f t="shared" si="27"/>
        <v>1.8433470403823538E-2</v>
      </c>
      <c r="U42" s="116">
        <f t="shared" si="27"/>
        <v>1.8433470403823538E-2</v>
      </c>
      <c r="V42" s="116">
        <f t="shared" si="27"/>
        <v>3.4253719061183706E-2</v>
      </c>
      <c r="W42" s="116">
        <f t="shared" si="27"/>
        <v>3.8568262273493886E-2</v>
      </c>
      <c r="X42" s="116">
        <f t="shared" si="27"/>
        <v>4.1489125176208994E-2</v>
      </c>
      <c r="Y42" s="116">
        <f t="shared" si="27"/>
        <v>4.9608577672457355E-2</v>
      </c>
      <c r="Z42" s="116">
        <f t="shared" si="27"/>
        <v>6.3312861407365001E-2</v>
      </c>
      <c r="AA42" s="116">
        <f t="shared" si="27"/>
        <v>6.3426685177556424E-2</v>
      </c>
    </row>
    <row r="43" spans="1:27" x14ac:dyDescent="0.25">
      <c r="A43" s="15" t="s">
        <v>832</v>
      </c>
      <c r="B43" s="2" t="s">
        <v>339</v>
      </c>
      <c r="C43" s="15" t="str">
        <f>scen_input_ccs!C43</f>
        <v>MIX-CP (2020-30)/EU 2020 Reference (trends 2030-50)</v>
      </c>
      <c r="D43" s="116">
        <f>scen_input_ccs!D43/SUM(scen_input_ccs!$D$34:$D$46)</f>
        <v>9.7473924041468676E-3</v>
      </c>
      <c r="E43" s="116">
        <f>scen_input_ccs!E43/SUM(scen_input_ccs!$D$34:$D$46)</f>
        <v>9.7473924041468676E-3</v>
      </c>
      <c r="F43" s="116">
        <f>scen_input_ccs!F43/SUM(scen_input_ccs!$D$34:$D$46)</f>
        <v>1.8112945293334851E-2</v>
      </c>
      <c r="G43" s="116">
        <f>scen_input_ccs!G43/SUM(scen_input_ccs!$D$34:$D$46)</f>
        <v>2.0394422671914221E-2</v>
      </c>
      <c r="H43" s="116">
        <f>scen_input_ccs!H43/SUM(scen_input_ccs!$D$34:$D$46)</f>
        <v>2.3315285574629325E-2</v>
      </c>
      <c r="I43" s="116">
        <f>scen_input_ccs!I43/SUM(scen_input_ccs!$D$34:$D$46)</f>
        <v>3.1434738070877682E-2</v>
      </c>
      <c r="J43" s="116">
        <f>scen_input_ccs!J43/SUM(scen_input_ccs!$D$34:$D$46)</f>
        <v>4.5139021805785329E-2</v>
      </c>
      <c r="K43" s="116">
        <f>scen_input_ccs!K43/SUM(scen_input_ccs!$D$34:$D$46)</f>
        <v>4.5252845575976745E-2</v>
      </c>
      <c r="L43" s="427">
        <f t="shared" si="28"/>
        <v>9.7473924041468676E-3</v>
      </c>
      <c r="M43" s="427">
        <f t="shared" si="26"/>
        <v>9.7473924041468676E-3</v>
      </c>
      <c r="N43" s="427">
        <f t="shared" si="26"/>
        <v>1.8112945293334851E-2</v>
      </c>
      <c r="O43" s="427">
        <f t="shared" si="26"/>
        <v>2.0394422671914221E-2</v>
      </c>
      <c r="P43" s="427">
        <f t="shared" si="26"/>
        <v>2.3315285574629325E-2</v>
      </c>
      <c r="Q43" s="427">
        <f t="shared" si="26"/>
        <v>3.1434738070877682E-2</v>
      </c>
      <c r="R43" s="427">
        <f t="shared" si="26"/>
        <v>4.5139021805785329E-2</v>
      </c>
      <c r="S43" s="427">
        <f t="shared" si="26"/>
        <v>4.5252845575976745E-2</v>
      </c>
      <c r="T43" s="116">
        <f t="shared" si="27"/>
        <v>9.7473924041468676E-3</v>
      </c>
      <c r="U43" s="116">
        <f t="shared" si="27"/>
        <v>9.7473924041468676E-3</v>
      </c>
      <c r="V43" s="116">
        <f t="shared" si="27"/>
        <v>1.8112945293334851E-2</v>
      </c>
      <c r="W43" s="116">
        <f t="shared" si="27"/>
        <v>2.0394422671914221E-2</v>
      </c>
      <c r="X43" s="116">
        <f t="shared" si="27"/>
        <v>2.3315285574629325E-2</v>
      </c>
      <c r="Y43" s="116">
        <f t="shared" si="27"/>
        <v>3.1434738070877682E-2</v>
      </c>
      <c r="Z43" s="116">
        <f t="shared" si="27"/>
        <v>4.5139021805785329E-2</v>
      </c>
      <c r="AA43" s="116">
        <f t="shared" si="27"/>
        <v>4.5252845575976745E-2</v>
      </c>
    </row>
    <row r="44" spans="1:27" x14ac:dyDescent="0.25">
      <c r="A44" s="15" t="s">
        <v>14</v>
      </c>
      <c r="B44" s="2" t="s">
        <v>15</v>
      </c>
      <c r="C44" s="15" t="str">
        <f>scen_input_ccs!C44</f>
        <v>MIX-CP (2020-30)/EU 2020 Reference (trends 2030-50)</v>
      </c>
      <c r="D44" s="116">
        <f>scen_input_ccs!D44/SUM(scen_input_ccs!$D$34:$D$46)</f>
        <v>0</v>
      </c>
      <c r="E44" s="116">
        <f>scen_input_ccs!E44/SUM(scen_input_ccs!$D$34:$D$46)</f>
        <v>0</v>
      </c>
      <c r="F44" s="116">
        <f>scen_input_ccs!F44/SUM(scen_input_ccs!$D$34:$D$46)</f>
        <v>0</v>
      </c>
      <c r="G44" s="116">
        <f>scen_input_ccs!G44/SUM(scen_input_ccs!$D$34:$D$46)</f>
        <v>0</v>
      </c>
      <c r="H44" s="116">
        <f>scen_input_ccs!H44/SUM(scen_input_ccs!$D$34:$D$46)</f>
        <v>0</v>
      </c>
      <c r="I44" s="116">
        <f>scen_input_ccs!I44/SUM(scen_input_ccs!$D$34:$D$46)</f>
        <v>0</v>
      </c>
      <c r="J44" s="116">
        <f>scen_input_ccs!J44/SUM(scen_input_ccs!$D$34:$D$46)</f>
        <v>0</v>
      </c>
      <c r="K44" s="116">
        <f>scen_input_ccs!K44/SUM(scen_input_ccs!$D$34:$D$46)</f>
        <v>0</v>
      </c>
      <c r="L44" s="427">
        <f t="shared" si="28"/>
        <v>0</v>
      </c>
      <c r="M44" s="427">
        <f t="shared" si="26"/>
        <v>0</v>
      </c>
      <c r="N44" s="427">
        <f t="shared" si="26"/>
        <v>0</v>
      </c>
      <c r="O44" s="427">
        <f t="shared" si="26"/>
        <v>0</v>
      </c>
      <c r="P44" s="427">
        <f t="shared" si="26"/>
        <v>0</v>
      </c>
      <c r="Q44" s="427">
        <f t="shared" si="26"/>
        <v>0</v>
      </c>
      <c r="R44" s="427">
        <f t="shared" si="26"/>
        <v>0</v>
      </c>
      <c r="S44" s="427">
        <f t="shared" si="26"/>
        <v>0</v>
      </c>
      <c r="T44" s="116">
        <f t="shared" si="27"/>
        <v>0</v>
      </c>
      <c r="U44" s="116">
        <f t="shared" si="27"/>
        <v>0</v>
      </c>
      <c r="V44" s="116">
        <f t="shared" si="27"/>
        <v>0</v>
      </c>
      <c r="W44" s="116">
        <f t="shared" si="27"/>
        <v>0</v>
      </c>
      <c r="X44" s="116">
        <f t="shared" si="27"/>
        <v>0</v>
      </c>
      <c r="Y44" s="116">
        <f t="shared" si="27"/>
        <v>0</v>
      </c>
      <c r="Z44" s="116">
        <f t="shared" si="27"/>
        <v>0</v>
      </c>
      <c r="AA44" s="116">
        <f t="shared" si="27"/>
        <v>0</v>
      </c>
    </row>
    <row r="45" spans="1:27" x14ac:dyDescent="0.25">
      <c r="A45" s="15" t="s">
        <v>16</v>
      </c>
      <c r="B45" s="2" t="s">
        <v>17</v>
      </c>
      <c r="C45" s="15" t="str">
        <f>scen_input_ccs!C45</f>
        <v>MIX-CP (2020-30)/EU 2020 Reference (trends 2030-50)</v>
      </c>
      <c r="D45" s="116">
        <f>scen_input_ccs!D45/SUM(scen_input_ccs!$D$34:$D$46)</f>
        <v>0</v>
      </c>
      <c r="E45" s="116">
        <f>scen_input_ccs!E45/SUM(scen_input_ccs!$D$34:$D$46)</f>
        <v>0</v>
      </c>
      <c r="F45" s="116">
        <f>scen_input_ccs!F45/SUM(scen_input_ccs!$D$34:$D$46)</f>
        <v>0</v>
      </c>
      <c r="G45" s="116">
        <f>scen_input_ccs!G45/SUM(scen_input_ccs!$D$34:$D$46)</f>
        <v>0</v>
      </c>
      <c r="H45" s="116">
        <f>scen_input_ccs!H45/SUM(scen_input_ccs!$D$34:$D$46)</f>
        <v>0</v>
      </c>
      <c r="I45" s="116">
        <f>scen_input_ccs!I45/SUM(scen_input_ccs!$D$34:$D$46)</f>
        <v>0</v>
      </c>
      <c r="J45" s="116">
        <f>scen_input_ccs!J45/SUM(scen_input_ccs!$D$34:$D$46)</f>
        <v>0</v>
      </c>
      <c r="K45" s="116">
        <f>scen_input_ccs!K45/SUM(scen_input_ccs!$D$34:$D$46)</f>
        <v>0</v>
      </c>
      <c r="L45" s="427">
        <f t="shared" si="28"/>
        <v>0</v>
      </c>
      <c r="M45" s="427">
        <f t="shared" si="26"/>
        <v>0</v>
      </c>
      <c r="N45" s="427">
        <f t="shared" si="26"/>
        <v>0</v>
      </c>
      <c r="O45" s="427">
        <f t="shared" si="26"/>
        <v>0</v>
      </c>
      <c r="P45" s="427">
        <f t="shared" si="26"/>
        <v>0</v>
      </c>
      <c r="Q45" s="427">
        <f t="shared" si="26"/>
        <v>0</v>
      </c>
      <c r="R45" s="427">
        <f t="shared" si="26"/>
        <v>0</v>
      </c>
      <c r="S45" s="427">
        <f t="shared" si="26"/>
        <v>0</v>
      </c>
      <c r="T45" s="116">
        <f t="shared" si="27"/>
        <v>0</v>
      </c>
      <c r="U45" s="116">
        <f t="shared" si="27"/>
        <v>0</v>
      </c>
      <c r="V45" s="116">
        <f t="shared" si="27"/>
        <v>0</v>
      </c>
      <c r="W45" s="116">
        <f t="shared" si="27"/>
        <v>0</v>
      </c>
      <c r="X45" s="116">
        <f t="shared" si="27"/>
        <v>0</v>
      </c>
      <c r="Y45" s="116">
        <f t="shared" si="27"/>
        <v>0</v>
      </c>
      <c r="Z45" s="116">
        <f t="shared" si="27"/>
        <v>0</v>
      </c>
      <c r="AA45" s="116">
        <f t="shared" si="27"/>
        <v>0</v>
      </c>
    </row>
    <row r="46" spans="1:27" x14ac:dyDescent="0.25">
      <c r="A46" s="15" t="s">
        <v>18</v>
      </c>
      <c r="B46" s="2" t="s">
        <v>19</v>
      </c>
      <c r="C46" s="15" t="str">
        <f>scen_input_ccs!C46</f>
        <v>MIX-CP (2020-30)/EU 2020 Reference (trends 2030-50)</v>
      </c>
      <c r="D46" s="116">
        <f>scen_input_ccs!D46/SUM(scen_input_ccs!$D$34:$D$46)</f>
        <v>0</v>
      </c>
      <c r="E46" s="116">
        <f>scen_input_ccs!E46/SUM(scen_input_ccs!$D$34:$D$46)</f>
        <v>0</v>
      </c>
      <c r="F46" s="116">
        <f>scen_input_ccs!F46/SUM(scen_input_ccs!$D$34:$D$46)</f>
        <v>0</v>
      </c>
      <c r="G46" s="116">
        <f>scen_input_ccs!G46/SUM(scen_input_ccs!$D$34:$D$46)</f>
        <v>0</v>
      </c>
      <c r="H46" s="116">
        <f>scen_input_ccs!H46/SUM(scen_input_ccs!$D$34:$D$46)</f>
        <v>0</v>
      </c>
      <c r="I46" s="116">
        <f>scen_input_ccs!I46/SUM(scen_input_ccs!$D$34:$D$46)</f>
        <v>8.5082534440411703E-4</v>
      </c>
      <c r="J46" s="116">
        <f>scen_input_ccs!J46/SUM(scen_input_ccs!$D$34:$D$46)</f>
        <v>3.2253276205508066E-2</v>
      </c>
      <c r="K46" s="116">
        <f>scen_input_ccs!K46/SUM(scen_input_ccs!$D$34:$D$46)</f>
        <v>3.7204904535719015E-2</v>
      </c>
      <c r="L46" s="427">
        <f t="shared" si="28"/>
        <v>0</v>
      </c>
      <c r="M46" s="427">
        <f t="shared" si="26"/>
        <v>0</v>
      </c>
      <c r="N46" s="427">
        <f t="shared" si="26"/>
        <v>0</v>
      </c>
      <c r="O46" s="427">
        <f t="shared" si="26"/>
        <v>0</v>
      </c>
      <c r="P46" s="427">
        <f t="shared" si="26"/>
        <v>0</v>
      </c>
      <c r="Q46" s="427">
        <f t="shared" si="26"/>
        <v>8.5082534440411703E-4</v>
      </c>
      <c r="R46" s="427">
        <f t="shared" si="26"/>
        <v>3.2253276205508066E-2</v>
      </c>
      <c r="S46" s="427">
        <f t="shared" si="26"/>
        <v>3.7204904535719015E-2</v>
      </c>
      <c r="T46" s="116">
        <f t="shared" si="27"/>
        <v>0</v>
      </c>
      <c r="U46" s="116">
        <f t="shared" si="27"/>
        <v>0</v>
      </c>
      <c r="V46" s="116">
        <f t="shared" si="27"/>
        <v>0</v>
      </c>
      <c r="W46" s="116">
        <f t="shared" si="27"/>
        <v>0</v>
      </c>
      <c r="X46" s="116">
        <f t="shared" si="27"/>
        <v>0</v>
      </c>
      <c r="Y46" s="116">
        <f t="shared" si="27"/>
        <v>8.5082534440411703E-4</v>
      </c>
      <c r="Z46" s="116">
        <f t="shared" si="27"/>
        <v>3.2253276205508066E-2</v>
      </c>
      <c r="AA46" s="116">
        <f t="shared" si="27"/>
        <v>3.7204904535719015E-2</v>
      </c>
    </row>
    <row r="47" spans="1:27" x14ac:dyDescent="0.25">
      <c r="A47" s="19" t="s">
        <v>1048</v>
      </c>
      <c r="B47" s="19"/>
      <c r="C47" s="15" t="str">
        <f>scen_input_ccs!C47</f>
        <v>MIX-CP (2020-30)/EU 2020 Reference (trends 2030-50)</v>
      </c>
      <c r="D47" s="46">
        <f>SUM(scen_input_ccs!D34:D46)/SUM(scen_input_ccs!$D34:$D46)</f>
        <v>1</v>
      </c>
      <c r="E47" s="46">
        <f>SUM(scen_input_ccs!E34:E46)/SUM(scen_input_ccs!$D34:$D46)</f>
        <v>0.91787671855406683</v>
      </c>
      <c r="F47" s="46">
        <f>SUM(scen_input_ccs!F34:F46)/SUM(scen_input_ccs!$D34:$D46)</f>
        <v>0.9248500903089012</v>
      </c>
      <c r="G47" s="46">
        <f>SUM(scen_input_ccs!G34:G46)/SUM(scen_input_ccs!$D34:$D46)</f>
        <v>0.97175016224236177</v>
      </c>
      <c r="H47" s="46">
        <f>SUM(scen_input_ccs!H34:H46)/SUM(scen_input_ccs!$D34:$D46)</f>
        <v>1.0888035900601816</v>
      </c>
      <c r="I47" s="46">
        <f>SUM(scen_input_ccs!I34:I46)/SUM(scen_input_ccs!$D34:$D46)</f>
        <v>1.1860403759776363</v>
      </c>
      <c r="J47" s="46">
        <f>SUM(scen_input_ccs!J34:J46)/SUM(scen_input_ccs!$D34:$D46)</f>
        <v>1.2615726190193424</v>
      </c>
      <c r="K47" s="46">
        <f>SUM(scen_input_ccs!K34:K46)/SUM(scen_input_ccs!$D34:$D46)</f>
        <v>1.2958640930674223</v>
      </c>
      <c r="L47" s="47">
        <f>SUM(L34:L46)</f>
        <v>1</v>
      </c>
      <c r="M47" s="47">
        <f t="shared" ref="M47:S47" si="29">SUM(M34:M46)</f>
        <v>0.91787671855406661</v>
      </c>
      <c r="N47" s="47">
        <f t="shared" si="29"/>
        <v>0.92485009030890097</v>
      </c>
      <c r="O47" s="47">
        <f t="shared" si="29"/>
        <v>0.97175016224236188</v>
      </c>
      <c r="P47" s="47">
        <f t="shared" si="29"/>
        <v>1.0888035900601813</v>
      </c>
      <c r="Q47" s="47">
        <f t="shared" si="29"/>
        <v>1.1860403759776363</v>
      </c>
      <c r="R47" s="47">
        <f t="shared" si="29"/>
        <v>1.2615726190193426</v>
      </c>
      <c r="S47" s="47">
        <f t="shared" si="29"/>
        <v>1.2958640930674219</v>
      </c>
      <c r="T47" s="47">
        <f>L47/$L47</f>
        <v>1</v>
      </c>
      <c r="U47" s="47">
        <f>M47/$L47</f>
        <v>0.91787671855406661</v>
      </c>
      <c r="V47" s="47">
        <f t="shared" ref="V47:AA47" si="30">N47/$L47</f>
        <v>0.92485009030890097</v>
      </c>
      <c r="W47" s="47">
        <f t="shared" si="30"/>
        <v>0.97175016224236188</v>
      </c>
      <c r="X47" s="47">
        <f t="shared" si="30"/>
        <v>1.0888035900601813</v>
      </c>
      <c r="Y47" s="47">
        <f t="shared" si="30"/>
        <v>1.1860403759776363</v>
      </c>
      <c r="Z47" s="47">
        <f t="shared" si="30"/>
        <v>1.2615726190193426</v>
      </c>
      <c r="AA47" s="47">
        <f t="shared" si="30"/>
        <v>1.2958640930674219</v>
      </c>
    </row>
    <row r="48" spans="1:27" x14ac:dyDescent="0.25">
      <c r="A48" s="373" t="s">
        <v>1058</v>
      </c>
      <c r="B48" s="373"/>
      <c r="C48" s="297"/>
      <c r="D48" s="374"/>
      <c r="E48" s="374"/>
      <c r="F48" s="374"/>
      <c r="G48" s="374"/>
      <c r="H48" s="374"/>
      <c r="I48" s="374"/>
      <c r="J48" s="374"/>
      <c r="K48" s="374"/>
      <c r="L48" s="374"/>
      <c r="M48" s="374"/>
      <c r="N48" s="374"/>
      <c r="O48" s="374"/>
      <c r="P48" s="374"/>
      <c r="Q48" s="374"/>
      <c r="R48" s="374"/>
      <c r="S48" s="374"/>
      <c r="T48" s="374"/>
      <c r="U48" s="374"/>
      <c r="V48" s="374"/>
      <c r="W48" s="374"/>
      <c r="X48" s="374"/>
      <c r="Y48" s="47"/>
      <c r="Z48" s="47"/>
      <c r="AA48" s="47"/>
    </row>
    <row r="49" spans="1:27" x14ac:dyDescent="0.25">
      <c r="A49" s="375" t="s">
        <v>921</v>
      </c>
      <c r="B49" s="375"/>
      <c r="C49" s="297"/>
      <c r="D49" s="422" t="s">
        <v>1164</v>
      </c>
      <c r="E49" s="422" t="s">
        <v>1165</v>
      </c>
      <c r="F49" s="422" t="s">
        <v>1166</v>
      </c>
      <c r="G49" s="422" t="s">
        <v>1167</v>
      </c>
      <c r="H49" s="422" t="s">
        <v>1168</v>
      </c>
      <c r="I49" s="422" t="s">
        <v>1169</v>
      </c>
      <c r="J49" s="422" t="s">
        <v>1170</v>
      </c>
      <c r="K49" s="422" t="s">
        <v>1171</v>
      </c>
      <c r="L49" s="176" t="s">
        <v>1121</v>
      </c>
      <c r="M49" s="176" t="s">
        <v>1122</v>
      </c>
      <c r="N49" s="176" t="s">
        <v>1123</v>
      </c>
      <c r="O49" s="176" t="s">
        <v>1124</v>
      </c>
      <c r="P49" s="176" t="s">
        <v>1125</v>
      </c>
      <c r="Q49" s="176" t="s">
        <v>1126</v>
      </c>
      <c r="R49" s="176" t="s">
        <v>1127</v>
      </c>
      <c r="S49" s="176" t="s">
        <v>1128</v>
      </c>
      <c r="T49" s="428" t="s">
        <v>1137</v>
      </c>
      <c r="U49" s="428" t="s">
        <v>1138</v>
      </c>
      <c r="V49" s="428" t="s">
        <v>1139</v>
      </c>
      <c r="W49" s="428" t="s">
        <v>1140</v>
      </c>
      <c r="X49" s="428" t="s">
        <v>1141</v>
      </c>
      <c r="Y49" s="428" t="s">
        <v>1142</v>
      </c>
      <c r="Z49" s="428" t="s">
        <v>1143</v>
      </c>
      <c r="AA49" s="428" t="s">
        <v>1144</v>
      </c>
    </row>
    <row r="50" spans="1:27" x14ac:dyDescent="0.25">
      <c r="A50" s="297" t="s">
        <v>2</v>
      </c>
      <c r="B50" s="297" t="s">
        <v>3</v>
      </c>
      <c r="C50" s="297" t="str">
        <f>scen_input_ccs!C50</f>
        <v>MIX-CP (2020-30)/EU 2020 Reference (trends 2030-50)</v>
      </c>
      <c r="D50" s="377">
        <f>scen_input_ccs!D50/SUM(scen_input_ccs!$D$50:$D$62)</f>
        <v>0.51645296878398617</v>
      </c>
      <c r="E50" s="377">
        <f>scen_input_ccs!E50/SUM(scen_input_ccs!$D$50:$D$62)</f>
        <v>0.53715199868625318</v>
      </c>
      <c r="F50" s="377">
        <f>scen_input_ccs!F50/SUM(scen_input_ccs!$D$50:$D$62)</f>
        <v>0.53326485692056913</v>
      </c>
      <c r="G50" s="377">
        <f>scen_input_ccs!G50/SUM(scen_input_ccs!$D$50:$D$62)</f>
        <v>0.50028298317178033</v>
      </c>
      <c r="H50" s="377">
        <f>scen_input_ccs!H50/SUM(scen_input_ccs!$D$50:$D$62)</f>
        <v>0.29597298285009099</v>
      </c>
      <c r="I50" s="377">
        <f>scen_input_ccs!I50/SUM(scen_input_ccs!$D$50:$D$62)</f>
        <v>0.14991512852748676</v>
      </c>
      <c r="J50" s="377">
        <f>scen_input_ccs!J50/SUM(scen_input_ccs!$D$50:$D$62)</f>
        <v>0.10119258760872522</v>
      </c>
      <c r="K50" s="377">
        <f>scen_input_ccs!K50/SUM(scen_input_ccs!$D$50:$D$62)</f>
        <v>9.5674001533459244E-2</v>
      </c>
      <c r="L50" s="427">
        <f>D50</f>
        <v>0.51645296878398617</v>
      </c>
      <c r="M50" s="427">
        <f t="shared" ref="M50:S62" si="31">E50</f>
        <v>0.53715199868625318</v>
      </c>
      <c r="N50" s="427">
        <f t="shared" si="31"/>
        <v>0.53326485692056913</v>
      </c>
      <c r="O50" s="427">
        <f t="shared" si="31"/>
        <v>0.50028298317178033</v>
      </c>
      <c r="P50" s="427">
        <f t="shared" si="31"/>
        <v>0.29597298285009099</v>
      </c>
      <c r="Q50" s="427">
        <f t="shared" si="31"/>
        <v>0.14991512852748676</v>
      </c>
      <c r="R50" s="427">
        <f t="shared" si="31"/>
        <v>0.10119258760872522</v>
      </c>
      <c r="S50" s="427">
        <f t="shared" si="31"/>
        <v>9.5674001533459244E-2</v>
      </c>
      <c r="T50" s="377">
        <f t="shared" ref="T50:AA62" si="32">L50/L$63*T$63</f>
        <v>0.51645296878398617</v>
      </c>
      <c r="U50" s="377">
        <f t="shared" si="32"/>
        <v>0.53715199868625318</v>
      </c>
      <c r="V50" s="377">
        <f t="shared" si="32"/>
        <v>0.53326485692056913</v>
      </c>
      <c r="W50" s="377">
        <f t="shared" si="32"/>
        <v>0.50028298317178033</v>
      </c>
      <c r="X50" s="377">
        <f t="shared" si="32"/>
        <v>0.29597298285009099</v>
      </c>
      <c r="Y50" s="377">
        <f t="shared" si="32"/>
        <v>0.14991512852748676</v>
      </c>
      <c r="Z50" s="377">
        <f t="shared" si="32"/>
        <v>0.10119258760872522</v>
      </c>
      <c r="AA50" s="377">
        <f t="shared" si="32"/>
        <v>9.5674001533459244E-2</v>
      </c>
    </row>
    <row r="51" spans="1:27" x14ac:dyDescent="0.25">
      <c r="A51" s="297" t="s">
        <v>4</v>
      </c>
      <c r="B51" s="297" t="s">
        <v>5</v>
      </c>
      <c r="C51" s="297" t="str">
        <f>scen_input_ccs!C51</f>
        <v>MIX-CP (2020-30)/EU 2020 Reference (trends 2030-50)</v>
      </c>
      <c r="D51" s="377">
        <f>scen_input_ccs!D51/SUM(scen_input_ccs!$D$50:$D$62)</f>
        <v>4.9706491917349209E-2</v>
      </c>
      <c r="E51" s="377">
        <f>scen_input_ccs!E51/SUM(scen_input_ccs!$D$50:$D$62)</f>
        <v>3.1478743813987999E-2</v>
      </c>
      <c r="F51" s="377">
        <f>scen_input_ccs!F51/SUM(scen_input_ccs!$D$50:$D$62)</f>
        <v>4.3709199403674598E-2</v>
      </c>
      <c r="G51" s="377">
        <f>scen_input_ccs!G51/SUM(scen_input_ccs!$D$50:$D$62)</f>
        <v>5.9138528168589048E-2</v>
      </c>
      <c r="H51" s="377">
        <f>scen_input_ccs!H51/SUM(scen_input_ccs!$D$50:$D$62)</f>
        <v>9.9574369826474399E-2</v>
      </c>
      <c r="I51" s="377">
        <f>scen_input_ccs!I51/SUM(scen_input_ccs!$D$50:$D$62)</f>
        <v>0.13198573382183945</v>
      </c>
      <c r="J51" s="377">
        <f>scen_input_ccs!J51/SUM(scen_input_ccs!$D$50:$D$62)</f>
        <v>0.17122516109053079</v>
      </c>
      <c r="K51" s="377">
        <f>scen_input_ccs!K51/SUM(scen_input_ccs!$D$50:$D$62)</f>
        <v>0.21676547346831504</v>
      </c>
      <c r="L51" s="427">
        <f t="shared" ref="L51:L62" si="33">D51</f>
        <v>4.9706491917349209E-2</v>
      </c>
      <c r="M51" s="427">
        <f t="shared" si="31"/>
        <v>3.1478743813987999E-2</v>
      </c>
      <c r="N51" s="427">
        <f t="shared" si="31"/>
        <v>4.3709199403674598E-2</v>
      </c>
      <c r="O51" s="427">
        <f t="shared" si="31"/>
        <v>5.9138528168589048E-2</v>
      </c>
      <c r="P51" s="427">
        <f t="shared" si="31"/>
        <v>9.9574369826474399E-2</v>
      </c>
      <c r="Q51" s="427">
        <f t="shared" si="31"/>
        <v>0.13198573382183945</v>
      </c>
      <c r="R51" s="427">
        <f t="shared" si="31"/>
        <v>0.17122516109053079</v>
      </c>
      <c r="S51" s="427">
        <f t="shared" si="31"/>
        <v>0.21676547346831504</v>
      </c>
      <c r="T51" s="377">
        <f t="shared" si="32"/>
        <v>4.9706491917349209E-2</v>
      </c>
      <c r="U51" s="377">
        <f t="shared" si="32"/>
        <v>3.1478743813987999E-2</v>
      </c>
      <c r="V51" s="377">
        <f t="shared" si="32"/>
        <v>4.3709199403674591E-2</v>
      </c>
      <c r="W51" s="377">
        <f t="shared" si="32"/>
        <v>5.9138528168589048E-2</v>
      </c>
      <c r="X51" s="377">
        <f t="shared" si="32"/>
        <v>9.9574369826474399E-2</v>
      </c>
      <c r="Y51" s="377">
        <f t="shared" si="32"/>
        <v>0.13198573382183945</v>
      </c>
      <c r="Z51" s="377">
        <f t="shared" si="32"/>
        <v>0.17122516109053079</v>
      </c>
      <c r="AA51" s="377">
        <f t="shared" si="32"/>
        <v>0.21676547346831504</v>
      </c>
    </row>
    <row r="52" spans="1:27" x14ac:dyDescent="0.25">
      <c r="A52" s="297" t="s">
        <v>6</v>
      </c>
      <c r="B52" s="297" t="s">
        <v>7</v>
      </c>
      <c r="C52" s="297" t="str">
        <f>scen_input_ccs!C52</f>
        <v>MIX-CP (2020-30)/EU 2020 Reference (trends 2030-50)</v>
      </c>
      <c r="D52" s="377">
        <f>scen_input_ccs!D52/SUM(scen_input_ccs!$D$50:$D$62)</f>
        <v>0.21425702923322931</v>
      </c>
      <c r="E52" s="377">
        <f>scen_input_ccs!E52/SUM(scen_input_ccs!$D$50:$D$62)</f>
        <v>0.21425702923322931</v>
      </c>
      <c r="F52" s="377">
        <f>scen_input_ccs!F52/SUM(scen_input_ccs!$D$50:$D$62)</f>
        <v>0.21425702923322931</v>
      </c>
      <c r="G52" s="377">
        <f>scen_input_ccs!G52/SUM(scen_input_ccs!$D$50:$D$62)</f>
        <v>0.21425702923322931</v>
      </c>
      <c r="H52" s="377">
        <f>scen_input_ccs!H52/SUM(scen_input_ccs!$D$50:$D$62)</f>
        <v>0.21425702923322931</v>
      </c>
      <c r="I52" s="377">
        <f>scen_input_ccs!I52/SUM(scen_input_ccs!$D$50:$D$62)</f>
        <v>0.27843658507831359</v>
      </c>
      <c r="J52" s="377">
        <f>scen_input_ccs!J52/SUM(scen_input_ccs!$D$50:$D$62)</f>
        <v>0.27843658507831359</v>
      </c>
      <c r="K52" s="377">
        <f>scen_input_ccs!K52/SUM(scen_input_ccs!$D$50:$D$62)</f>
        <v>0.23787510578422036</v>
      </c>
      <c r="L52" s="427">
        <f t="shared" si="33"/>
        <v>0.21425702923322931</v>
      </c>
      <c r="M52" s="427">
        <f t="shared" si="31"/>
        <v>0.21425702923322931</v>
      </c>
      <c r="N52" s="427">
        <f t="shared" si="31"/>
        <v>0.21425702923322931</v>
      </c>
      <c r="O52" s="427">
        <f t="shared" si="31"/>
        <v>0.21425702923322931</v>
      </c>
      <c r="P52" s="427">
        <f t="shared" si="31"/>
        <v>0.21425702923322931</v>
      </c>
      <c r="Q52" s="427">
        <f t="shared" si="31"/>
        <v>0.27843658507831359</v>
      </c>
      <c r="R52" s="427">
        <f t="shared" si="31"/>
        <v>0.27843658507831359</v>
      </c>
      <c r="S52" s="427">
        <f t="shared" si="31"/>
        <v>0.23787510578422036</v>
      </c>
      <c r="T52" s="377">
        <f t="shared" si="32"/>
        <v>0.21425702923322931</v>
      </c>
      <c r="U52" s="377">
        <f t="shared" si="32"/>
        <v>0.21425702923322931</v>
      </c>
      <c r="V52" s="377">
        <f t="shared" si="32"/>
        <v>0.21425702923322931</v>
      </c>
      <c r="W52" s="377">
        <f t="shared" si="32"/>
        <v>0.21425702923322931</v>
      </c>
      <c r="X52" s="377">
        <f t="shared" si="32"/>
        <v>0.21425702923322931</v>
      </c>
      <c r="Y52" s="377">
        <f t="shared" si="32"/>
        <v>0.27843658507831359</v>
      </c>
      <c r="Z52" s="377">
        <f t="shared" si="32"/>
        <v>0.27843658507831359</v>
      </c>
      <c r="AA52" s="377">
        <f t="shared" si="32"/>
        <v>0.23787510578422036</v>
      </c>
    </row>
    <row r="53" spans="1:27" x14ac:dyDescent="0.25">
      <c r="A53" s="297" t="s">
        <v>8</v>
      </c>
      <c r="B53" s="297" t="s">
        <v>9</v>
      </c>
      <c r="C53" s="297" t="str">
        <f>scen_input_ccs!C53</f>
        <v>MIX-CP (2020-30)/EU 2020 Reference (trends 2030-50)</v>
      </c>
      <c r="D53" s="377">
        <f>scen_input_ccs!D53/SUM(scen_input_ccs!$D$50:$D$62)</f>
        <v>5.8189463966209748E-2</v>
      </c>
      <c r="E53" s="377">
        <f>scen_input_ccs!E53/SUM(scen_input_ccs!$D$50:$D$62)</f>
        <v>5.8296429892618212E-2</v>
      </c>
      <c r="F53" s="377">
        <f>scen_input_ccs!F53/SUM(scen_input_ccs!$D$50:$D$62)</f>
        <v>5.9136876175066751E-2</v>
      </c>
      <c r="G53" s="377">
        <f>scen_input_ccs!G53/SUM(scen_input_ccs!$D$50:$D$62)</f>
        <v>5.9899006831117978E-2</v>
      </c>
      <c r="H53" s="377">
        <f>scen_input_ccs!H53/SUM(scen_input_ccs!$D$50:$D$62)</f>
        <v>5.9899006831117978E-2</v>
      </c>
      <c r="I53" s="377">
        <f>scen_input_ccs!I53/SUM(scen_input_ccs!$D$50:$D$62)</f>
        <v>6.0458775639279143E-2</v>
      </c>
      <c r="J53" s="377">
        <f>scen_input_ccs!J53/SUM(scen_input_ccs!$D$50:$D$62)</f>
        <v>6.0670478520482497E-2</v>
      </c>
      <c r="K53" s="377">
        <f>scen_input_ccs!K53/SUM(scen_input_ccs!$D$50:$D$62)</f>
        <v>6.069863676519191E-2</v>
      </c>
      <c r="L53" s="427">
        <f t="shared" si="33"/>
        <v>5.8189463966209748E-2</v>
      </c>
      <c r="M53" s="427">
        <f t="shared" si="31"/>
        <v>5.8296429892618212E-2</v>
      </c>
      <c r="N53" s="427">
        <f t="shared" si="31"/>
        <v>5.9136876175066751E-2</v>
      </c>
      <c r="O53" s="427">
        <f t="shared" si="31"/>
        <v>5.9899006831117978E-2</v>
      </c>
      <c r="P53" s="427">
        <f t="shared" si="31"/>
        <v>5.9899006831117978E-2</v>
      </c>
      <c r="Q53" s="427">
        <f t="shared" si="31"/>
        <v>6.0458775639279143E-2</v>
      </c>
      <c r="R53" s="427">
        <f t="shared" si="31"/>
        <v>6.0670478520482497E-2</v>
      </c>
      <c r="S53" s="427">
        <f t="shared" si="31"/>
        <v>6.069863676519191E-2</v>
      </c>
      <c r="T53" s="377">
        <f t="shared" si="32"/>
        <v>5.8189463966209748E-2</v>
      </c>
      <c r="U53" s="377">
        <f t="shared" si="32"/>
        <v>5.8296429892618212E-2</v>
      </c>
      <c r="V53" s="377">
        <f t="shared" si="32"/>
        <v>5.9136876175066751E-2</v>
      </c>
      <c r="W53" s="377">
        <f t="shared" si="32"/>
        <v>5.9899006831117985E-2</v>
      </c>
      <c r="X53" s="377">
        <f t="shared" si="32"/>
        <v>5.9899006831117978E-2</v>
      </c>
      <c r="Y53" s="377">
        <f t="shared" si="32"/>
        <v>6.0458775639279143E-2</v>
      </c>
      <c r="Z53" s="377">
        <f t="shared" si="32"/>
        <v>6.0670478520482504E-2</v>
      </c>
      <c r="AA53" s="377">
        <f t="shared" si="32"/>
        <v>6.0698636765191917E-2</v>
      </c>
    </row>
    <row r="54" spans="1:27" x14ac:dyDescent="0.25">
      <c r="A54" s="297" t="s">
        <v>342</v>
      </c>
      <c r="B54" s="297" t="s">
        <v>336</v>
      </c>
      <c r="C54" s="297" t="str">
        <f>scen_input_ccs!C54</f>
        <v>MIX-CP (2020-30)/EU 2020 Reference (trends 2030-50)</v>
      </c>
      <c r="D54" s="377">
        <f>scen_input_ccs!D54/SUM(scen_input_ccs!$D$50:$D$62)</f>
        <v>1.5031386808550779E-2</v>
      </c>
      <c r="E54" s="377">
        <f>scen_input_ccs!E54/SUM(scen_input_ccs!$D$50:$D$62)</f>
        <v>2.1184601725198239E-2</v>
      </c>
      <c r="F54" s="377">
        <f>scen_input_ccs!F54/SUM(scen_input_ccs!$D$50:$D$62)</f>
        <v>0.24376286689102902</v>
      </c>
      <c r="G54" s="377">
        <f>scen_input_ccs!G54/SUM(scen_input_ccs!$D$50:$D$62)</f>
        <v>0.34992102226297966</v>
      </c>
      <c r="H54" s="377">
        <f>scen_input_ccs!H54/SUM(scen_input_ccs!$D$50:$D$62)</f>
        <v>0.4062151637097412</v>
      </c>
      <c r="I54" s="377">
        <f>scen_input_ccs!I54/SUM(scen_input_ccs!$D$50:$D$62)</f>
        <v>0.4398124927496051</v>
      </c>
      <c r="J54" s="377">
        <f>scen_input_ccs!J54/SUM(scen_input_ccs!$D$50:$D$62)</f>
        <v>0.4591150410168115</v>
      </c>
      <c r="K54" s="377">
        <f>scen_input_ccs!K54/SUM(scen_input_ccs!$D$50:$D$62)</f>
        <v>0.46851380405115617</v>
      </c>
      <c r="L54" s="427">
        <f t="shared" si="33"/>
        <v>1.5031386808550779E-2</v>
      </c>
      <c r="M54" s="427">
        <f t="shared" si="31"/>
        <v>2.1184601725198239E-2</v>
      </c>
      <c r="N54" s="427">
        <f t="shared" si="31"/>
        <v>0.24376286689102902</v>
      </c>
      <c r="O54" s="427">
        <f t="shared" si="31"/>
        <v>0.34992102226297966</v>
      </c>
      <c r="P54" s="427">
        <f t="shared" si="31"/>
        <v>0.4062151637097412</v>
      </c>
      <c r="Q54" s="427">
        <f t="shared" si="31"/>
        <v>0.4398124927496051</v>
      </c>
      <c r="R54" s="427">
        <f t="shared" si="31"/>
        <v>0.4591150410168115</v>
      </c>
      <c r="S54" s="427">
        <f t="shared" si="31"/>
        <v>0.46851380405115617</v>
      </c>
      <c r="T54" s="377">
        <f t="shared" si="32"/>
        <v>1.5031386808550779E-2</v>
      </c>
      <c r="U54" s="377">
        <f t="shared" si="32"/>
        <v>2.1184601725198239E-2</v>
      </c>
      <c r="V54" s="377">
        <f t="shared" si="32"/>
        <v>0.24376286689102902</v>
      </c>
      <c r="W54" s="377">
        <f t="shared" si="32"/>
        <v>0.34992102226297966</v>
      </c>
      <c r="X54" s="377">
        <f t="shared" si="32"/>
        <v>0.40621516370974114</v>
      </c>
      <c r="Y54" s="377">
        <f t="shared" si="32"/>
        <v>0.4398124927496051</v>
      </c>
      <c r="Z54" s="377">
        <f t="shared" si="32"/>
        <v>0.45911504101681155</v>
      </c>
      <c r="AA54" s="377">
        <f t="shared" si="32"/>
        <v>0.46851380405115622</v>
      </c>
    </row>
    <row r="55" spans="1:27" x14ac:dyDescent="0.25">
      <c r="A55" s="297" t="s">
        <v>343</v>
      </c>
      <c r="B55" s="297" t="s">
        <v>337</v>
      </c>
      <c r="C55" s="297" t="str">
        <f>scen_input_ccs!C55</f>
        <v>MIX-CP (2020-30)/EU 2020 Reference (trends 2030-50)</v>
      </c>
      <c r="D55" s="377">
        <f>scen_input_ccs!D55/SUM(scen_input_ccs!$D$50:$D$62)</f>
        <v>0</v>
      </c>
      <c r="E55" s="377">
        <f>scen_input_ccs!E55/SUM(scen_input_ccs!$D$50:$D$62)</f>
        <v>0</v>
      </c>
      <c r="F55" s="377">
        <f>scen_input_ccs!F55/SUM(scen_input_ccs!$D$50:$D$62)</f>
        <v>0</v>
      </c>
      <c r="G55" s="377">
        <f>scen_input_ccs!G55/SUM(scen_input_ccs!$D$50:$D$62)</f>
        <v>0</v>
      </c>
      <c r="H55" s="377">
        <f>scen_input_ccs!H55/SUM(scen_input_ccs!$D$50:$D$62)</f>
        <v>0</v>
      </c>
      <c r="I55" s="377">
        <f>scen_input_ccs!I55/SUM(scen_input_ccs!$D$50:$D$62)</f>
        <v>0</v>
      </c>
      <c r="J55" s="377">
        <f>scen_input_ccs!J55/SUM(scen_input_ccs!$D$50:$D$62)</f>
        <v>0</v>
      </c>
      <c r="K55" s="377">
        <f>scen_input_ccs!K55/SUM(scen_input_ccs!$D$50:$D$62)</f>
        <v>0</v>
      </c>
      <c r="L55" s="427">
        <f t="shared" si="33"/>
        <v>0</v>
      </c>
      <c r="M55" s="427">
        <f t="shared" si="31"/>
        <v>0</v>
      </c>
      <c r="N55" s="427">
        <f t="shared" si="31"/>
        <v>0</v>
      </c>
      <c r="O55" s="427">
        <f t="shared" si="31"/>
        <v>0</v>
      </c>
      <c r="P55" s="427">
        <f t="shared" si="31"/>
        <v>0</v>
      </c>
      <c r="Q55" s="427">
        <f t="shared" si="31"/>
        <v>0</v>
      </c>
      <c r="R55" s="427">
        <f t="shared" si="31"/>
        <v>0</v>
      </c>
      <c r="S55" s="427">
        <f t="shared" si="31"/>
        <v>0</v>
      </c>
      <c r="T55" s="377">
        <f t="shared" si="32"/>
        <v>0</v>
      </c>
      <c r="U55" s="377">
        <f t="shared" si="32"/>
        <v>0</v>
      </c>
      <c r="V55" s="377">
        <f t="shared" si="32"/>
        <v>0</v>
      </c>
      <c r="W55" s="377">
        <f t="shared" si="32"/>
        <v>0</v>
      </c>
      <c r="X55" s="377">
        <f t="shared" si="32"/>
        <v>0</v>
      </c>
      <c r="Y55" s="377">
        <f t="shared" si="32"/>
        <v>0</v>
      </c>
      <c r="Z55" s="377">
        <f t="shared" si="32"/>
        <v>0</v>
      </c>
      <c r="AA55" s="377">
        <f t="shared" si="32"/>
        <v>0</v>
      </c>
    </row>
    <row r="56" spans="1:27" x14ac:dyDescent="0.25">
      <c r="A56" s="297" t="s">
        <v>10</v>
      </c>
      <c r="B56" s="297" t="s">
        <v>11</v>
      </c>
      <c r="C56" s="297" t="str">
        <f>scen_input_ccs!C56</f>
        <v>MIX-CP (2020-30)/EU 2020 Reference (trends 2030-50)</v>
      </c>
      <c r="D56" s="377">
        <f>scen_input_ccs!D56/SUM(scen_input_ccs!$D$50:$D$62)</f>
        <v>7.162979679899031E-3</v>
      </c>
      <c r="E56" s="377">
        <f>scen_input_ccs!E56/SUM(scen_input_ccs!$D$50:$D$62)</f>
        <v>3.8427573241800045E-3</v>
      </c>
      <c r="F56" s="377">
        <f>scen_input_ccs!F56/SUM(scen_input_ccs!$D$50:$D$62)</f>
        <v>3.4069781399918824E-3</v>
      </c>
      <c r="G56" s="377">
        <f>scen_input_ccs!G56/SUM(scen_input_ccs!$D$50:$D$62)</f>
        <v>3.4069781399918824E-3</v>
      </c>
      <c r="H56" s="377">
        <f>scen_input_ccs!H56/SUM(scen_input_ccs!$D$50:$D$62)</f>
        <v>2.3908018391113821E-3</v>
      </c>
      <c r="I56" s="377">
        <f>scen_input_ccs!I56/SUM(scen_input_ccs!$D$50:$D$62)</f>
        <v>2.2037280607563377E-3</v>
      </c>
      <c r="J56" s="377">
        <f>scen_input_ccs!J56/SUM(scen_input_ccs!$D$50:$D$62)</f>
        <v>2.2037280607563377E-3</v>
      </c>
      <c r="K56" s="377">
        <f>scen_input_ccs!K56/SUM(scen_input_ccs!$D$50:$D$62)</f>
        <v>1.2891693899638873E-3</v>
      </c>
      <c r="L56" s="427">
        <f t="shared" si="33"/>
        <v>7.162979679899031E-3</v>
      </c>
      <c r="M56" s="427">
        <f t="shared" si="31"/>
        <v>3.8427573241800045E-3</v>
      </c>
      <c r="N56" s="427">
        <f t="shared" si="31"/>
        <v>3.4069781399918824E-3</v>
      </c>
      <c r="O56" s="427">
        <f t="shared" si="31"/>
        <v>3.4069781399918824E-3</v>
      </c>
      <c r="P56" s="427">
        <f t="shared" si="31"/>
        <v>2.3908018391113821E-3</v>
      </c>
      <c r="Q56" s="427">
        <f t="shared" si="31"/>
        <v>2.2037280607563377E-3</v>
      </c>
      <c r="R56" s="427">
        <f t="shared" si="31"/>
        <v>2.2037280607563377E-3</v>
      </c>
      <c r="S56" s="427">
        <f t="shared" si="31"/>
        <v>1.2891693899638873E-3</v>
      </c>
      <c r="T56" s="377">
        <f t="shared" si="32"/>
        <v>7.162979679899031E-3</v>
      </c>
      <c r="U56" s="377">
        <f t="shared" si="32"/>
        <v>3.8427573241800045E-3</v>
      </c>
      <c r="V56" s="377">
        <f t="shared" si="32"/>
        <v>3.4069781399918824E-3</v>
      </c>
      <c r="W56" s="377">
        <f t="shared" si="32"/>
        <v>3.4069781399918824E-3</v>
      </c>
      <c r="X56" s="377">
        <f t="shared" si="32"/>
        <v>2.3908018391113821E-3</v>
      </c>
      <c r="Y56" s="377">
        <f t="shared" si="32"/>
        <v>2.2037280607563377E-3</v>
      </c>
      <c r="Z56" s="377">
        <f t="shared" si="32"/>
        <v>2.2037280607563377E-3</v>
      </c>
      <c r="AA56" s="377">
        <f t="shared" si="32"/>
        <v>1.2891693899638873E-3</v>
      </c>
    </row>
    <row r="57" spans="1:27" x14ac:dyDescent="0.25">
      <c r="A57" s="297" t="s">
        <v>12</v>
      </c>
      <c r="B57" s="297" t="s">
        <v>13</v>
      </c>
      <c r="C57" s="297" t="str">
        <f>scen_input_ccs!C57</f>
        <v>MIX-CP (2020-30)/EU 2020 Reference (trends 2030-50)</v>
      </c>
      <c r="D57" s="377">
        <f>scen_input_ccs!D57/SUM(scen_input_ccs!$D$50:$D$62)</f>
        <v>2.8222530961984287E-2</v>
      </c>
      <c r="E57" s="377">
        <f>scen_input_ccs!E57/SUM(scen_input_ccs!$D$50:$D$62)</f>
        <v>3.4635692482782185E-2</v>
      </c>
      <c r="F57" s="377">
        <f>scen_input_ccs!F57/SUM(scen_input_ccs!$D$50:$D$62)</f>
        <v>3.5478499562496525E-2</v>
      </c>
      <c r="G57" s="377">
        <f>scen_input_ccs!G57/SUM(scen_input_ccs!$D$50:$D$62)</f>
        <v>4.5543486687259625E-2</v>
      </c>
      <c r="H57" s="377">
        <f>scen_input_ccs!H57/SUM(scen_input_ccs!$D$50:$D$62)</f>
        <v>5.2222188950373644E-2</v>
      </c>
      <c r="I57" s="377">
        <f>scen_input_ccs!I57/SUM(scen_input_ccs!$D$50:$D$62)</f>
        <v>6.1845652877326948E-2</v>
      </c>
      <c r="J57" s="377">
        <f>scen_input_ccs!J57/SUM(scen_input_ccs!$D$50:$D$62)</f>
        <v>7.0546900520829292E-2</v>
      </c>
      <c r="K57" s="377">
        <f>scen_input_ccs!K57/SUM(scen_input_ccs!$D$50:$D$62)</f>
        <v>8.6866418458847544E-2</v>
      </c>
      <c r="L57" s="427">
        <f t="shared" si="33"/>
        <v>2.8222530961984287E-2</v>
      </c>
      <c r="M57" s="427">
        <f t="shared" si="31"/>
        <v>3.4635692482782185E-2</v>
      </c>
      <c r="N57" s="427">
        <f t="shared" si="31"/>
        <v>3.5478499562496525E-2</v>
      </c>
      <c r="O57" s="427">
        <f t="shared" si="31"/>
        <v>4.5543486687259625E-2</v>
      </c>
      <c r="P57" s="427">
        <f t="shared" si="31"/>
        <v>5.2222188950373644E-2</v>
      </c>
      <c r="Q57" s="427">
        <f t="shared" si="31"/>
        <v>6.1845652877326948E-2</v>
      </c>
      <c r="R57" s="427">
        <f t="shared" si="31"/>
        <v>7.0546900520829292E-2</v>
      </c>
      <c r="S57" s="427">
        <f t="shared" si="31"/>
        <v>8.6866418458847544E-2</v>
      </c>
      <c r="T57" s="377">
        <f t="shared" si="32"/>
        <v>2.8222530961984287E-2</v>
      </c>
      <c r="U57" s="377">
        <f t="shared" si="32"/>
        <v>3.4635692482782185E-2</v>
      </c>
      <c r="V57" s="377">
        <f t="shared" si="32"/>
        <v>3.5478499562496525E-2</v>
      </c>
      <c r="W57" s="377">
        <f t="shared" si="32"/>
        <v>4.5543486687259625E-2</v>
      </c>
      <c r="X57" s="377">
        <f t="shared" si="32"/>
        <v>5.2222188950373651E-2</v>
      </c>
      <c r="Y57" s="377">
        <f t="shared" si="32"/>
        <v>6.1845652877326948E-2</v>
      </c>
      <c r="Z57" s="377">
        <f t="shared" si="32"/>
        <v>7.0546900520829292E-2</v>
      </c>
      <c r="AA57" s="377">
        <f t="shared" si="32"/>
        <v>8.6866418458847544E-2</v>
      </c>
    </row>
    <row r="58" spans="1:27" x14ac:dyDescent="0.25">
      <c r="A58" s="297" t="s">
        <v>831</v>
      </c>
      <c r="B58" s="297" t="s">
        <v>338</v>
      </c>
      <c r="C58" s="297" t="str">
        <f>scen_input_ccs!C58</f>
        <v>MIX-CP (2020-30)/EU 2020 Reference (trends 2030-50)</v>
      </c>
      <c r="D58" s="377">
        <f>scen_input_ccs!D58/SUM(scen_input_ccs!$D$50:$D$62)</f>
        <v>7.1117610310716284E-2</v>
      </c>
      <c r="E58" s="377">
        <f>scen_input_ccs!E58/SUM(scen_input_ccs!$D$50:$D$62)</f>
        <v>7.1117610310716284E-2</v>
      </c>
      <c r="F58" s="377">
        <f>scen_input_ccs!F58/SUM(scen_input_ccs!$D$50:$D$62)</f>
        <v>0.13175617456665328</v>
      </c>
      <c r="G58" s="377">
        <f>scen_input_ccs!G58/SUM(scen_input_ccs!$D$50:$D$62)</f>
        <v>0.14828886715611278</v>
      </c>
      <c r="H58" s="377">
        <f>scen_input_ccs!H58/SUM(scen_input_ccs!$D$50:$D$62)</f>
        <v>0.15957228925509412</v>
      </c>
      <c r="I58" s="377">
        <f>scen_input_ccs!I58/SUM(scen_input_ccs!$D$50:$D$62)</f>
        <v>0.19069358033981212</v>
      </c>
      <c r="J58" s="377">
        <f>scen_input_ccs!J58/SUM(scen_input_ccs!$D$50:$D$62)</f>
        <v>0.24122098167586201</v>
      </c>
      <c r="K58" s="377">
        <f>scen_input_ccs!K58/SUM(scen_input_ccs!$D$50:$D$62)</f>
        <v>0.24122098167586201</v>
      </c>
      <c r="L58" s="427">
        <f t="shared" si="33"/>
        <v>7.1117610310716284E-2</v>
      </c>
      <c r="M58" s="427">
        <f t="shared" si="31"/>
        <v>7.1117610310716284E-2</v>
      </c>
      <c r="N58" s="427">
        <f t="shared" si="31"/>
        <v>0.13175617456665328</v>
      </c>
      <c r="O58" s="427">
        <f t="shared" si="31"/>
        <v>0.14828886715611278</v>
      </c>
      <c r="P58" s="427">
        <f t="shared" si="31"/>
        <v>0.15957228925509412</v>
      </c>
      <c r="Q58" s="427">
        <f t="shared" si="31"/>
        <v>0.19069358033981212</v>
      </c>
      <c r="R58" s="427">
        <f t="shared" si="31"/>
        <v>0.24122098167586201</v>
      </c>
      <c r="S58" s="427">
        <f t="shared" si="31"/>
        <v>0.24122098167586201</v>
      </c>
      <c r="T58" s="377">
        <f t="shared" si="32"/>
        <v>7.1117610310716284E-2</v>
      </c>
      <c r="U58" s="377">
        <f t="shared" si="32"/>
        <v>7.1117610310716284E-2</v>
      </c>
      <c r="V58" s="377">
        <f t="shared" si="32"/>
        <v>0.13175617456665328</v>
      </c>
      <c r="W58" s="377">
        <f t="shared" si="32"/>
        <v>0.14828886715611278</v>
      </c>
      <c r="X58" s="377">
        <f t="shared" si="32"/>
        <v>0.15957228925509412</v>
      </c>
      <c r="Y58" s="377">
        <f t="shared" si="32"/>
        <v>0.19069358033981212</v>
      </c>
      <c r="Z58" s="377">
        <f t="shared" si="32"/>
        <v>0.24122098167586201</v>
      </c>
      <c r="AA58" s="377">
        <f t="shared" si="32"/>
        <v>0.24122098167586201</v>
      </c>
    </row>
    <row r="59" spans="1:27" x14ac:dyDescent="0.25">
      <c r="A59" s="297" t="s">
        <v>832</v>
      </c>
      <c r="B59" s="297" t="s">
        <v>339</v>
      </c>
      <c r="C59" s="297" t="str">
        <f>scen_input_ccs!C59</f>
        <v>MIX-CP (2020-30)/EU 2020 Reference (trends 2030-50)</v>
      </c>
      <c r="D59" s="377">
        <f>scen_input_ccs!D59/SUM(scen_input_ccs!$D$50:$D$62)</f>
        <v>3.9859538338075262E-2</v>
      </c>
      <c r="E59" s="377">
        <f>scen_input_ccs!E59/SUM(scen_input_ccs!$D$50:$D$62)</f>
        <v>3.9859538338075262E-2</v>
      </c>
      <c r="F59" s="377">
        <f>scen_input_ccs!F59/SUM(scen_input_ccs!$D$50:$D$62)</f>
        <v>7.3845848707128167E-2</v>
      </c>
      <c r="G59" s="377">
        <f>scen_input_ccs!G59/SUM(scen_input_ccs!$D$50:$D$62)</f>
        <v>8.3111985339419853E-2</v>
      </c>
      <c r="H59" s="377">
        <f>scen_input_ccs!H59/SUM(scen_input_ccs!$D$50:$D$62)</f>
        <v>9.4395407438401205E-2</v>
      </c>
      <c r="I59" s="377">
        <f>scen_input_ccs!I59/SUM(scen_input_ccs!$D$50:$D$62)</f>
        <v>0.1255166985231192</v>
      </c>
      <c r="J59" s="377">
        <f>scen_input_ccs!J59/SUM(scen_input_ccs!$D$50:$D$62)</f>
        <v>0.17604409985916911</v>
      </c>
      <c r="K59" s="377">
        <f>scen_input_ccs!K59/SUM(scen_input_ccs!$D$50:$D$62)</f>
        <v>0.17604409985916911</v>
      </c>
      <c r="L59" s="427">
        <f t="shared" si="33"/>
        <v>3.9859538338075262E-2</v>
      </c>
      <c r="M59" s="427">
        <f t="shared" si="31"/>
        <v>3.9859538338075262E-2</v>
      </c>
      <c r="N59" s="427">
        <f t="shared" si="31"/>
        <v>7.3845848707128167E-2</v>
      </c>
      <c r="O59" s="427">
        <f t="shared" si="31"/>
        <v>8.3111985339419853E-2</v>
      </c>
      <c r="P59" s="427">
        <f t="shared" si="31"/>
        <v>9.4395407438401205E-2</v>
      </c>
      <c r="Q59" s="427">
        <f t="shared" si="31"/>
        <v>0.1255166985231192</v>
      </c>
      <c r="R59" s="427">
        <f t="shared" si="31"/>
        <v>0.17604409985916911</v>
      </c>
      <c r="S59" s="427">
        <f t="shared" si="31"/>
        <v>0.17604409985916911</v>
      </c>
      <c r="T59" s="377">
        <f t="shared" si="32"/>
        <v>3.9859538338075262E-2</v>
      </c>
      <c r="U59" s="377">
        <f t="shared" si="32"/>
        <v>3.9859538338075262E-2</v>
      </c>
      <c r="V59" s="377">
        <f t="shared" si="32"/>
        <v>7.3845848707128167E-2</v>
      </c>
      <c r="W59" s="377">
        <f t="shared" si="32"/>
        <v>8.3111985339419853E-2</v>
      </c>
      <c r="X59" s="377">
        <f t="shared" si="32"/>
        <v>9.4395407438401205E-2</v>
      </c>
      <c r="Y59" s="377">
        <f t="shared" si="32"/>
        <v>0.1255166985231192</v>
      </c>
      <c r="Z59" s="377">
        <f t="shared" si="32"/>
        <v>0.17604409985916911</v>
      </c>
      <c r="AA59" s="377">
        <f t="shared" si="32"/>
        <v>0.17604409985916911</v>
      </c>
    </row>
    <row r="60" spans="1:27" x14ac:dyDescent="0.25">
      <c r="A60" s="297" t="s">
        <v>14</v>
      </c>
      <c r="B60" s="297" t="s">
        <v>15</v>
      </c>
      <c r="C60" s="297" t="str">
        <f>scen_input_ccs!C60</f>
        <v>MIX-CP (2020-30)/EU 2020 Reference (trends 2030-50)</v>
      </c>
      <c r="D60" s="377">
        <f>scen_input_ccs!D60/SUM(scen_input_ccs!$D$50:$D$62)</f>
        <v>0</v>
      </c>
      <c r="E60" s="377">
        <f>scen_input_ccs!E60/SUM(scen_input_ccs!$D$50:$D$62)</f>
        <v>0</v>
      </c>
      <c r="F60" s="377">
        <f>scen_input_ccs!F60/SUM(scen_input_ccs!$D$50:$D$62)</f>
        <v>0</v>
      </c>
      <c r="G60" s="377">
        <f>scen_input_ccs!G60/SUM(scen_input_ccs!$D$50:$D$62)</f>
        <v>0</v>
      </c>
      <c r="H60" s="377">
        <f>scen_input_ccs!H60/SUM(scen_input_ccs!$D$50:$D$62)</f>
        <v>0</v>
      </c>
      <c r="I60" s="377">
        <f>scen_input_ccs!I60/SUM(scen_input_ccs!$D$50:$D$62)</f>
        <v>0</v>
      </c>
      <c r="J60" s="377">
        <f>scen_input_ccs!J60/SUM(scen_input_ccs!$D$50:$D$62)</f>
        <v>0</v>
      </c>
      <c r="K60" s="377">
        <f>scen_input_ccs!K60/SUM(scen_input_ccs!$D$50:$D$62)</f>
        <v>0</v>
      </c>
      <c r="L60" s="427">
        <f t="shared" si="33"/>
        <v>0</v>
      </c>
      <c r="M60" s="427">
        <f t="shared" si="31"/>
        <v>0</v>
      </c>
      <c r="N60" s="427">
        <f t="shared" si="31"/>
        <v>0</v>
      </c>
      <c r="O60" s="427">
        <f t="shared" si="31"/>
        <v>0</v>
      </c>
      <c r="P60" s="427">
        <f t="shared" si="31"/>
        <v>0</v>
      </c>
      <c r="Q60" s="427">
        <f t="shared" si="31"/>
        <v>0</v>
      </c>
      <c r="R60" s="427">
        <f t="shared" si="31"/>
        <v>0</v>
      </c>
      <c r="S60" s="427">
        <f t="shared" si="31"/>
        <v>0</v>
      </c>
      <c r="T60" s="377">
        <f t="shared" si="32"/>
        <v>0</v>
      </c>
      <c r="U60" s="377">
        <f t="shared" si="32"/>
        <v>0</v>
      </c>
      <c r="V60" s="377">
        <f t="shared" si="32"/>
        <v>0</v>
      </c>
      <c r="W60" s="377">
        <f t="shared" si="32"/>
        <v>0</v>
      </c>
      <c r="X60" s="377">
        <f t="shared" si="32"/>
        <v>0</v>
      </c>
      <c r="Y60" s="377">
        <f t="shared" si="32"/>
        <v>0</v>
      </c>
      <c r="Z60" s="377">
        <f t="shared" si="32"/>
        <v>0</v>
      </c>
      <c r="AA60" s="377">
        <f t="shared" si="32"/>
        <v>0</v>
      </c>
    </row>
    <row r="61" spans="1:27" x14ac:dyDescent="0.25">
      <c r="A61" s="297" t="s">
        <v>16</v>
      </c>
      <c r="B61" s="297" t="s">
        <v>17</v>
      </c>
      <c r="C61" s="297" t="str">
        <f>scen_input_ccs!C61</f>
        <v>MIX-CP (2020-30)/EU 2020 Reference (trends 2030-50)</v>
      </c>
      <c r="D61" s="377">
        <f>scen_input_ccs!D61/SUM(scen_input_ccs!$D$50:$D$62)</f>
        <v>0</v>
      </c>
      <c r="E61" s="377">
        <f>scen_input_ccs!E61/SUM(scen_input_ccs!$D$50:$D$62)</f>
        <v>0</v>
      </c>
      <c r="F61" s="377">
        <f>scen_input_ccs!F61/SUM(scen_input_ccs!$D$50:$D$62)</f>
        <v>0</v>
      </c>
      <c r="G61" s="377">
        <f>scen_input_ccs!G61/SUM(scen_input_ccs!$D$50:$D$62)</f>
        <v>0</v>
      </c>
      <c r="H61" s="377">
        <f>scen_input_ccs!H61/SUM(scen_input_ccs!$D$50:$D$62)</f>
        <v>0</v>
      </c>
      <c r="I61" s="377">
        <f>scen_input_ccs!I61/SUM(scen_input_ccs!$D$50:$D$62)</f>
        <v>0</v>
      </c>
      <c r="J61" s="377">
        <f>scen_input_ccs!J61/SUM(scen_input_ccs!$D$50:$D$62)</f>
        <v>0</v>
      </c>
      <c r="K61" s="377">
        <f>scen_input_ccs!K61/SUM(scen_input_ccs!$D$50:$D$62)</f>
        <v>0</v>
      </c>
      <c r="L61" s="427">
        <f t="shared" si="33"/>
        <v>0</v>
      </c>
      <c r="M61" s="427">
        <f t="shared" si="31"/>
        <v>0</v>
      </c>
      <c r="N61" s="427">
        <f t="shared" si="31"/>
        <v>0</v>
      </c>
      <c r="O61" s="427">
        <f t="shared" si="31"/>
        <v>0</v>
      </c>
      <c r="P61" s="427">
        <f t="shared" si="31"/>
        <v>0</v>
      </c>
      <c r="Q61" s="427">
        <f t="shared" si="31"/>
        <v>0</v>
      </c>
      <c r="R61" s="427">
        <f t="shared" si="31"/>
        <v>0</v>
      </c>
      <c r="S61" s="427">
        <f t="shared" si="31"/>
        <v>0</v>
      </c>
      <c r="T61" s="377">
        <f t="shared" si="32"/>
        <v>0</v>
      </c>
      <c r="U61" s="377">
        <f t="shared" si="32"/>
        <v>0</v>
      </c>
      <c r="V61" s="377">
        <f t="shared" si="32"/>
        <v>0</v>
      </c>
      <c r="W61" s="377">
        <f t="shared" si="32"/>
        <v>0</v>
      </c>
      <c r="X61" s="377">
        <f t="shared" si="32"/>
        <v>0</v>
      </c>
      <c r="Y61" s="377">
        <f t="shared" si="32"/>
        <v>0</v>
      </c>
      <c r="Z61" s="377">
        <f t="shared" si="32"/>
        <v>0</v>
      </c>
      <c r="AA61" s="377">
        <f t="shared" si="32"/>
        <v>0</v>
      </c>
    </row>
    <row r="62" spans="1:27" x14ac:dyDescent="0.25">
      <c r="A62" s="297" t="s">
        <v>18</v>
      </c>
      <c r="B62" s="297" t="s">
        <v>19</v>
      </c>
      <c r="C62" s="297" t="str">
        <f>scen_input_ccs!C62</f>
        <v>MIX-CP (2020-30)/EU 2020 Reference (trends 2030-50)</v>
      </c>
      <c r="D62" s="377">
        <f>scen_input_ccs!D62/SUM(scen_input_ccs!$D$50:$D$62)</f>
        <v>0</v>
      </c>
      <c r="E62" s="377">
        <f>scen_input_ccs!E62/SUM(scen_input_ccs!$D$50:$D$62)</f>
        <v>0</v>
      </c>
      <c r="F62" s="377">
        <f>scen_input_ccs!F62/SUM(scen_input_ccs!$D$50:$D$62)</f>
        <v>0</v>
      </c>
      <c r="G62" s="377">
        <f>scen_input_ccs!G62/SUM(scen_input_ccs!$D$50:$D$62)</f>
        <v>0</v>
      </c>
      <c r="H62" s="377">
        <f>scen_input_ccs!H62/SUM(scen_input_ccs!$D$50:$D$62)</f>
        <v>0</v>
      </c>
      <c r="I62" s="377">
        <f>scen_input_ccs!I62/SUM(scen_input_ccs!$D$50:$D$62)</f>
        <v>6.4014125307599874E-4</v>
      </c>
      <c r="J62" s="377">
        <f>scen_input_ccs!J62/SUM(scen_input_ccs!$D$50:$D$62)</f>
        <v>2.4248512279309034E-2</v>
      </c>
      <c r="K62" s="377">
        <f>scen_input_ccs!K62/SUM(scen_input_ccs!$D$50:$D$62)</f>
        <v>2.7968297383313547E-2</v>
      </c>
      <c r="L62" s="427">
        <f t="shared" si="33"/>
        <v>0</v>
      </c>
      <c r="M62" s="427">
        <f t="shared" si="31"/>
        <v>0</v>
      </c>
      <c r="N62" s="427">
        <f t="shared" si="31"/>
        <v>0</v>
      </c>
      <c r="O62" s="427">
        <f t="shared" si="31"/>
        <v>0</v>
      </c>
      <c r="P62" s="427">
        <f t="shared" si="31"/>
        <v>0</v>
      </c>
      <c r="Q62" s="427">
        <f t="shared" si="31"/>
        <v>6.4014125307599874E-4</v>
      </c>
      <c r="R62" s="427">
        <f t="shared" si="31"/>
        <v>2.4248512279309034E-2</v>
      </c>
      <c r="S62" s="427">
        <f t="shared" si="31"/>
        <v>2.7968297383313547E-2</v>
      </c>
      <c r="T62" s="377">
        <f t="shared" si="32"/>
        <v>0</v>
      </c>
      <c r="U62" s="377">
        <f t="shared" si="32"/>
        <v>0</v>
      </c>
      <c r="V62" s="377">
        <f t="shared" si="32"/>
        <v>0</v>
      </c>
      <c r="W62" s="377">
        <f t="shared" si="32"/>
        <v>0</v>
      </c>
      <c r="X62" s="377">
        <f t="shared" si="32"/>
        <v>0</v>
      </c>
      <c r="Y62" s="377">
        <f t="shared" si="32"/>
        <v>6.4014125307599874E-4</v>
      </c>
      <c r="Z62" s="377">
        <f t="shared" si="32"/>
        <v>2.4248512279309034E-2</v>
      </c>
      <c r="AA62" s="377">
        <f t="shared" si="32"/>
        <v>2.7968297383313547E-2</v>
      </c>
    </row>
    <row r="63" spans="1:27" x14ac:dyDescent="0.25">
      <c r="A63" s="373" t="s">
        <v>833</v>
      </c>
      <c r="B63" s="373"/>
      <c r="C63" s="297" t="str">
        <f>scen_input_ccs!C63</f>
        <v>MIX-CP (2020-30)/EU 2020 Reference (trends 2030-50)</v>
      </c>
      <c r="D63" s="378">
        <f>SUM(scen_input_ccs!D50:D62)/SUM(scen_input_ccs!$D50:$D62)</f>
        <v>1</v>
      </c>
      <c r="E63" s="378">
        <f>SUM(scen_input_ccs!E50:E62)/SUM(scen_input_ccs!$D50:$D62)</f>
        <v>1.0118244018070408</v>
      </c>
      <c r="F63" s="378">
        <f>SUM(scen_input_ccs!F50:F62)/SUM(scen_input_ccs!$D50:$D62)</f>
        <v>1.3386183295998386</v>
      </c>
      <c r="G63" s="378">
        <f>SUM(scen_input_ccs!G50:G62)/SUM(scen_input_ccs!$D50:$D62)</f>
        <v>1.4638498869904804</v>
      </c>
      <c r="H63" s="378">
        <f>SUM(scen_input_ccs!H50:H62)/SUM(scen_input_ccs!$D50:$D62)</f>
        <v>1.3844992399336344</v>
      </c>
      <c r="I63" s="378">
        <f>SUM(scen_input_ccs!I50:I62)/SUM(scen_input_ccs!$D50:$D62)</f>
        <v>1.441508516870615</v>
      </c>
      <c r="J63" s="378">
        <f>SUM(scen_input_ccs!J50:J62)/SUM(scen_input_ccs!$D50:$D62)</f>
        <v>1.5849040757107895</v>
      </c>
      <c r="K63" s="378">
        <f>SUM(scen_input_ccs!K50:K62)/SUM(scen_input_ccs!$D50:$D62)</f>
        <v>1.6129159883694988</v>
      </c>
      <c r="L63" s="374">
        <f>SUM(L50:L62)</f>
        <v>1</v>
      </c>
      <c r="M63" s="374">
        <f t="shared" ref="M63:R63" si="34">SUM(M50:M62)</f>
        <v>1.0118244018070406</v>
      </c>
      <c r="N63" s="374">
        <f t="shared" si="34"/>
        <v>1.3386183295998388</v>
      </c>
      <c r="O63" s="374">
        <f t="shared" si="34"/>
        <v>1.4638498869904806</v>
      </c>
      <c r="P63" s="374">
        <f t="shared" si="34"/>
        <v>1.3844992399336342</v>
      </c>
      <c r="Q63" s="374">
        <f t="shared" si="34"/>
        <v>1.441508516870615</v>
      </c>
      <c r="R63" s="374">
        <f t="shared" si="34"/>
        <v>1.5849040757107891</v>
      </c>
      <c r="S63" s="374">
        <f>SUM(S50:S62)</f>
        <v>1.6129159883694986</v>
      </c>
      <c r="T63" s="374">
        <f>L63/$L63</f>
        <v>1</v>
      </c>
      <c r="U63" s="374">
        <f>M63/$L63</f>
        <v>1.0118244018070406</v>
      </c>
      <c r="V63" s="374">
        <f t="shared" ref="V63:AA63" si="35">N63/$L63</f>
        <v>1.3386183295998388</v>
      </c>
      <c r="W63" s="374">
        <f t="shared" si="35"/>
        <v>1.4638498869904806</v>
      </c>
      <c r="X63" s="374">
        <f t="shared" si="35"/>
        <v>1.3844992399336342</v>
      </c>
      <c r="Y63" s="374">
        <f t="shared" si="35"/>
        <v>1.441508516870615</v>
      </c>
      <c r="Z63" s="374">
        <f t="shared" si="35"/>
        <v>1.5849040757107891</v>
      </c>
      <c r="AA63" s="374">
        <f t="shared" si="35"/>
        <v>1.6129159883694986</v>
      </c>
    </row>
    <row r="64" spans="1:27" x14ac:dyDescent="0.25">
      <c r="A64" s="429" t="s">
        <v>1150</v>
      </c>
      <c r="B64" s="373"/>
      <c r="C64" s="297"/>
      <c r="D64" s="374"/>
      <c r="E64" s="374"/>
      <c r="F64" s="374"/>
      <c r="G64" s="374"/>
      <c r="H64" s="374"/>
      <c r="I64" s="374"/>
      <c r="J64" s="374"/>
      <c r="K64" s="374"/>
      <c r="L64" s="374"/>
      <c r="M64" s="374"/>
      <c r="N64" s="374"/>
      <c r="O64" s="374"/>
      <c r="P64" s="374"/>
      <c r="Q64" s="374"/>
      <c r="R64" s="374"/>
      <c r="S64" s="374"/>
      <c r="T64" s="374"/>
      <c r="U64" s="374"/>
      <c r="V64" s="374"/>
      <c r="W64" s="374"/>
      <c r="X64" s="374"/>
      <c r="Y64" s="47"/>
      <c r="Z64" s="47"/>
      <c r="AA64" s="47"/>
    </row>
    <row r="65" spans="1:27" x14ac:dyDescent="0.25">
      <c r="A65" s="387" t="s">
        <v>1056</v>
      </c>
      <c r="B65" s="387"/>
      <c r="C65" s="297"/>
      <c r="D65" s="422" t="s">
        <v>1164</v>
      </c>
      <c r="E65" s="422" t="s">
        <v>1165</v>
      </c>
      <c r="F65" s="422" t="s">
        <v>1166</v>
      </c>
      <c r="G65" s="422" t="s">
        <v>1167</v>
      </c>
      <c r="H65" s="422" t="s">
        <v>1168</v>
      </c>
      <c r="I65" s="422" t="s">
        <v>1169</v>
      </c>
      <c r="J65" s="422" t="s">
        <v>1170</v>
      </c>
      <c r="K65" s="422" t="s">
        <v>1171</v>
      </c>
      <c r="L65" s="176" t="s">
        <v>1121</v>
      </c>
      <c r="M65" s="176" t="s">
        <v>1122</v>
      </c>
      <c r="N65" s="176" t="s">
        <v>1123</v>
      </c>
      <c r="O65" s="176" t="s">
        <v>1124</v>
      </c>
      <c r="P65" s="176" t="s">
        <v>1125</v>
      </c>
      <c r="Q65" s="176" t="s">
        <v>1126</v>
      </c>
      <c r="R65" s="176" t="s">
        <v>1127</v>
      </c>
      <c r="S65" s="176" t="s">
        <v>1128</v>
      </c>
      <c r="T65" s="428" t="s">
        <v>1137</v>
      </c>
      <c r="U65" s="428" t="s">
        <v>1138</v>
      </c>
      <c r="V65" s="428" t="s">
        <v>1139</v>
      </c>
      <c r="W65" s="428" t="s">
        <v>1140</v>
      </c>
      <c r="X65" s="428" t="s">
        <v>1141</v>
      </c>
      <c r="Y65" s="428" t="s">
        <v>1142</v>
      </c>
      <c r="Z65" s="428" t="s">
        <v>1143</v>
      </c>
      <c r="AA65" s="428" t="s">
        <v>1144</v>
      </c>
    </row>
    <row r="66" spans="1:27" x14ac:dyDescent="0.25">
      <c r="A66" s="450" t="s">
        <v>636</v>
      </c>
      <c r="B66" s="450" t="s">
        <v>1149</v>
      </c>
      <c r="C66" s="297" t="str">
        <f>scen_input_ccs!C66</f>
        <v>MIX-CP (2020-30)/EU 2020 Reference (trends 2030-50)</v>
      </c>
      <c r="D66" s="451">
        <f>scen_input_ccs!D66/SUM(scen_input_ccs!$D$66:$D$71)</f>
        <v>6.7846107444347201E-2</v>
      </c>
      <c r="E66" s="451">
        <f>scen_input_ccs!E66/SUM(scen_input_ccs!$D$66:$D$71)</f>
        <v>5.6747164021897806E-2</v>
      </c>
      <c r="F66" s="451">
        <f>scen_input_ccs!F66/SUM(scen_input_ccs!$D$66:$D$71)</f>
        <v>4.4407722952874769E-2</v>
      </c>
      <c r="G66" s="451">
        <f>scen_input_ccs!G66/SUM(scen_input_ccs!$D$66:$D$71)</f>
        <v>1.9525090889964028E-2</v>
      </c>
      <c r="H66" s="451">
        <f>scen_input_ccs!H66/SUM(scen_input_ccs!$D$66:$D$71)</f>
        <v>7.8454427124638178E-4</v>
      </c>
      <c r="I66" s="451">
        <f>scen_input_ccs!I66/SUM(scen_input_ccs!$D$66:$D$71)</f>
        <v>0</v>
      </c>
      <c r="J66" s="451">
        <f>scen_input_ccs!J66/SUM(scen_input_ccs!$D$66:$D$71)</f>
        <v>0</v>
      </c>
      <c r="K66" s="451">
        <f>scen_input_ccs!K66/SUM(scen_input_ccs!$D$66:$D$71)</f>
        <v>0</v>
      </c>
      <c r="L66" s="427">
        <f>D66</f>
        <v>6.7846107444347201E-2</v>
      </c>
      <c r="M66" s="427">
        <f t="shared" ref="M66:S71" si="36">E66</f>
        <v>5.6747164021897806E-2</v>
      </c>
      <c r="N66" s="427">
        <f t="shared" si="36"/>
        <v>4.4407722952874769E-2</v>
      </c>
      <c r="O66" s="427">
        <f t="shared" si="36"/>
        <v>1.9525090889964028E-2</v>
      </c>
      <c r="P66" s="427">
        <f t="shared" si="36"/>
        <v>7.8454427124638178E-4</v>
      </c>
      <c r="Q66" s="427">
        <f t="shared" si="36"/>
        <v>0</v>
      </c>
      <c r="R66" s="427">
        <f t="shared" si="36"/>
        <v>0</v>
      </c>
      <c r="S66" s="427">
        <f t="shared" si="36"/>
        <v>0</v>
      </c>
      <c r="T66" s="377">
        <f t="shared" ref="T66:AA71" si="37">L66/L$72*T$72</f>
        <v>6.7846107444347201E-2</v>
      </c>
      <c r="U66" s="377">
        <f t="shared" si="37"/>
        <v>5.6747164021897806E-2</v>
      </c>
      <c r="V66" s="377">
        <f t="shared" si="37"/>
        <v>4.4407722952874769E-2</v>
      </c>
      <c r="W66" s="377">
        <f t="shared" si="37"/>
        <v>1.9525090889964028E-2</v>
      </c>
      <c r="X66" s="377">
        <f t="shared" si="37"/>
        <v>7.8454427124638178E-4</v>
      </c>
      <c r="Y66" s="377">
        <f t="shared" si="37"/>
        <v>0</v>
      </c>
      <c r="Z66" s="377">
        <f t="shared" si="37"/>
        <v>0</v>
      </c>
      <c r="AA66" s="377">
        <f t="shared" si="37"/>
        <v>0</v>
      </c>
    </row>
    <row r="67" spans="1:27" x14ac:dyDescent="0.25">
      <c r="A67" s="450" t="s">
        <v>715</v>
      </c>
      <c r="B67" s="450" t="s">
        <v>1149</v>
      </c>
      <c r="C67" s="297" t="str">
        <f>scen_input_ccs!C67</f>
        <v>MIX-CP (2020-30)/EU 2020 Reference (trends 2030-50)</v>
      </c>
      <c r="D67" s="451">
        <f>scen_input_ccs!D67/SUM(scen_input_ccs!$D$66:$D$71)</f>
        <v>0.27791812579485797</v>
      </c>
      <c r="E67" s="451">
        <f>scen_input_ccs!E67/SUM(scen_input_ccs!$D$66:$D$71)</f>
        <v>0.25247499041416516</v>
      </c>
      <c r="F67" s="451">
        <f>scen_input_ccs!F67/SUM(scen_input_ccs!$D$66:$D$71)</f>
        <v>0.25951947816867393</v>
      </c>
      <c r="G67" s="451">
        <f>scen_input_ccs!G67/SUM(scen_input_ccs!$D$66:$D$71)</f>
        <v>0.23288851946218544</v>
      </c>
      <c r="H67" s="451">
        <f>scen_input_ccs!H67/SUM(scen_input_ccs!$D$66:$D$71)</f>
        <v>0.22060568438233452</v>
      </c>
      <c r="I67" s="451">
        <f>scen_input_ccs!I67/SUM(scen_input_ccs!$D$66:$D$71)</f>
        <v>0.21111395495731741</v>
      </c>
      <c r="J67" s="451">
        <f>scen_input_ccs!J67/SUM(scen_input_ccs!$D$66:$D$71)</f>
        <v>0.19989288635208755</v>
      </c>
      <c r="K67" s="451">
        <f>scen_input_ccs!K67/SUM(scen_input_ccs!$D$66:$D$71)</f>
        <v>0.19224444741014227</v>
      </c>
      <c r="L67" s="427">
        <f t="shared" ref="L67:L71" si="38">D67</f>
        <v>0.27791812579485797</v>
      </c>
      <c r="M67" s="427">
        <f t="shared" si="36"/>
        <v>0.25247499041416516</v>
      </c>
      <c r="N67" s="427">
        <f t="shared" si="36"/>
        <v>0.25951947816867393</v>
      </c>
      <c r="O67" s="427">
        <f t="shared" si="36"/>
        <v>0.23288851946218544</v>
      </c>
      <c r="P67" s="427">
        <f t="shared" si="36"/>
        <v>0.22060568438233452</v>
      </c>
      <c r="Q67" s="427">
        <f t="shared" si="36"/>
        <v>0.21111395495731741</v>
      </c>
      <c r="R67" s="427">
        <f t="shared" si="36"/>
        <v>0.19989288635208755</v>
      </c>
      <c r="S67" s="427">
        <f t="shared" si="36"/>
        <v>0.19224444741014227</v>
      </c>
      <c r="T67" s="377">
        <f t="shared" si="37"/>
        <v>0.27791812579485797</v>
      </c>
      <c r="U67" s="377">
        <f t="shared" si="37"/>
        <v>0.25247499041416516</v>
      </c>
      <c r="V67" s="377">
        <f t="shared" si="37"/>
        <v>0.25951947816867393</v>
      </c>
      <c r="W67" s="377">
        <f t="shared" si="37"/>
        <v>0.23288851946218544</v>
      </c>
      <c r="X67" s="377">
        <f t="shared" si="37"/>
        <v>0.22060568438233452</v>
      </c>
      <c r="Y67" s="377">
        <f t="shared" si="37"/>
        <v>0.21111395495731741</v>
      </c>
      <c r="Z67" s="377">
        <f t="shared" si="37"/>
        <v>0.19989288635208755</v>
      </c>
      <c r="AA67" s="377">
        <f t="shared" si="37"/>
        <v>0.19224444741014227</v>
      </c>
    </row>
    <row r="68" spans="1:27" x14ac:dyDescent="0.25">
      <c r="A68" s="450" t="s">
        <v>432</v>
      </c>
      <c r="B68" s="450" t="s">
        <v>1149</v>
      </c>
      <c r="C68" s="297" t="str">
        <f>scen_input_ccs!C68</f>
        <v>MIX-CP (2020-30)/EU 2020 Reference (trends 2030-50)</v>
      </c>
      <c r="D68" s="451">
        <f>scen_input_ccs!D68/SUM(scen_input_ccs!$D$66:$D$71)</f>
        <v>0.22973234133707482</v>
      </c>
      <c r="E68" s="451">
        <f>scen_input_ccs!E68/SUM(scen_input_ccs!$D$66:$D$71)</f>
        <v>0.21533665214659392</v>
      </c>
      <c r="F68" s="451">
        <f>scen_input_ccs!F68/SUM(scen_input_ccs!$D$66:$D$71)</f>
        <v>0.22626461286484095</v>
      </c>
      <c r="G68" s="451">
        <f>scen_input_ccs!G68/SUM(scen_input_ccs!$D$66:$D$71)</f>
        <v>0.18984254931186656</v>
      </c>
      <c r="H68" s="451">
        <f>scen_input_ccs!H68/SUM(scen_input_ccs!$D$66:$D$71)</f>
        <v>0.18227175517189029</v>
      </c>
      <c r="I68" s="451">
        <f>scen_input_ccs!I68/SUM(scen_input_ccs!$D$66:$D$71)</f>
        <v>0.17957110805920984</v>
      </c>
      <c r="J68" s="451">
        <f>scen_input_ccs!J68/SUM(scen_input_ccs!$D$66:$D$71)</f>
        <v>0.18374807156514053</v>
      </c>
      <c r="K68" s="451">
        <f>scen_input_ccs!K68/SUM(scen_input_ccs!$D$66:$D$71)</f>
        <v>0.18360511973560223</v>
      </c>
      <c r="L68" s="427">
        <f t="shared" si="38"/>
        <v>0.22973234133707482</v>
      </c>
      <c r="M68" s="427">
        <f t="shared" si="36"/>
        <v>0.21533665214659392</v>
      </c>
      <c r="N68" s="427">
        <f t="shared" si="36"/>
        <v>0.22626461286484095</v>
      </c>
      <c r="O68" s="427">
        <f t="shared" si="36"/>
        <v>0.18984254931186656</v>
      </c>
      <c r="P68" s="427">
        <f t="shared" si="36"/>
        <v>0.18227175517189029</v>
      </c>
      <c r="Q68" s="427">
        <f t="shared" si="36"/>
        <v>0.17957110805920984</v>
      </c>
      <c r="R68" s="427">
        <f t="shared" si="36"/>
        <v>0.18374807156514053</v>
      </c>
      <c r="S68" s="427">
        <f t="shared" si="36"/>
        <v>0.18360511973560223</v>
      </c>
      <c r="T68" s="377">
        <f t="shared" si="37"/>
        <v>0.22973234133707482</v>
      </c>
      <c r="U68" s="377">
        <f t="shared" si="37"/>
        <v>0.21533665214659392</v>
      </c>
      <c r="V68" s="377">
        <f t="shared" si="37"/>
        <v>0.22626461286484095</v>
      </c>
      <c r="W68" s="377">
        <f t="shared" si="37"/>
        <v>0.18984254931186656</v>
      </c>
      <c r="X68" s="377">
        <f t="shared" si="37"/>
        <v>0.18227175517189029</v>
      </c>
      <c r="Y68" s="377">
        <f t="shared" si="37"/>
        <v>0.17957110805920984</v>
      </c>
      <c r="Z68" s="377">
        <f t="shared" si="37"/>
        <v>0.18374807156514053</v>
      </c>
      <c r="AA68" s="377">
        <f t="shared" si="37"/>
        <v>0.18360511973560223</v>
      </c>
    </row>
    <row r="69" spans="1:27" x14ac:dyDescent="0.25">
      <c r="A69" s="297" t="s">
        <v>835</v>
      </c>
      <c r="B69" s="450" t="s">
        <v>1149</v>
      </c>
      <c r="C69" s="297" t="str">
        <f>scen_input_ccs!C69</f>
        <v>MIX-CP (2020-30)/EU 2020 Reference (trends 2030-50)</v>
      </c>
      <c r="D69" s="451">
        <f>scen_input_ccs!D69/SUM(scen_input_ccs!$D$66:$D$71)</f>
        <v>8.9990395729422731E-2</v>
      </c>
      <c r="E69" s="451">
        <f>scen_input_ccs!E69/SUM(scen_input_ccs!$D$66:$D$71)</f>
        <v>8.4387999703262204E-2</v>
      </c>
      <c r="F69" s="451">
        <f>scen_input_ccs!F69/SUM(scen_input_ccs!$D$66:$D$71)</f>
        <v>0.10095278073689887</v>
      </c>
      <c r="G69" s="451">
        <f>scen_input_ccs!G69/SUM(scen_input_ccs!$D$66:$D$71)</f>
        <v>9.7962971833039925E-2</v>
      </c>
      <c r="H69" s="451">
        <f>scen_input_ccs!H69/SUM(scen_input_ccs!$D$66:$D$71)</f>
        <v>9.9143777121668691E-2</v>
      </c>
      <c r="I69" s="451">
        <f>scen_input_ccs!I69/SUM(scen_input_ccs!$D$66:$D$71)</f>
        <v>9.8994820134620715E-2</v>
      </c>
      <c r="J69" s="451">
        <f>scen_input_ccs!J69/SUM(scen_input_ccs!$D$66:$D$71)</f>
        <v>9.4649106881386183E-2</v>
      </c>
      <c r="K69" s="451">
        <f>scen_input_ccs!K69/SUM(scen_input_ccs!$D$66:$D$71)</f>
        <v>9.4023659063760312E-2</v>
      </c>
      <c r="L69" s="427">
        <f t="shared" si="38"/>
        <v>8.9990395729422731E-2</v>
      </c>
      <c r="M69" s="427">
        <f t="shared" si="36"/>
        <v>8.4387999703262204E-2</v>
      </c>
      <c r="N69" s="427">
        <f t="shared" si="36"/>
        <v>0.10095278073689887</v>
      </c>
      <c r="O69" s="427">
        <f t="shared" si="36"/>
        <v>9.7962971833039925E-2</v>
      </c>
      <c r="P69" s="427">
        <f t="shared" si="36"/>
        <v>9.9143777121668691E-2</v>
      </c>
      <c r="Q69" s="427">
        <f t="shared" si="36"/>
        <v>9.8994820134620715E-2</v>
      </c>
      <c r="R69" s="427">
        <f t="shared" si="36"/>
        <v>9.4649106881386183E-2</v>
      </c>
      <c r="S69" s="427">
        <f t="shared" si="36"/>
        <v>9.4023659063760312E-2</v>
      </c>
      <c r="T69" s="377">
        <f t="shared" si="37"/>
        <v>8.9990395729422731E-2</v>
      </c>
      <c r="U69" s="377">
        <f t="shared" si="37"/>
        <v>8.4387999703262204E-2</v>
      </c>
      <c r="V69" s="377">
        <f t="shared" si="37"/>
        <v>0.10095278073689887</v>
      </c>
      <c r="W69" s="377">
        <f t="shared" si="37"/>
        <v>9.7962971833039925E-2</v>
      </c>
      <c r="X69" s="377">
        <f t="shared" si="37"/>
        <v>9.9143777121668691E-2</v>
      </c>
      <c r="Y69" s="377">
        <f t="shared" si="37"/>
        <v>9.8994820134620715E-2</v>
      </c>
      <c r="Z69" s="377">
        <f t="shared" si="37"/>
        <v>9.4649106881386183E-2</v>
      </c>
      <c r="AA69" s="377">
        <f t="shared" si="37"/>
        <v>9.4023659063760312E-2</v>
      </c>
    </row>
    <row r="70" spans="1:27" x14ac:dyDescent="0.25">
      <c r="A70" s="297" t="s">
        <v>711</v>
      </c>
      <c r="B70" s="450" t="s">
        <v>1149</v>
      </c>
      <c r="C70" s="297" t="str">
        <f>scen_input_ccs!C70</f>
        <v>MIX-CP (2020-30)/EU 2020 Reference (trends 2030-50)</v>
      </c>
      <c r="D70" s="451">
        <f>scen_input_ccs!D70/SUM(scen_input_ccs!$D$66:$D$71)</f>
        <v>0.13119481198661595</v>
      </c>
      <c r="E70" s="451">
        <f>scen_input_ccs!E70/SUM(scen_input_ccs!$D$66:$D$71)</f>
        <v>0.15394946243145166</v>
      </c>
      <c r="F70" s="451">
        <f>scen_input_ccs!F70/SUM(scen_input_ccs!$D$66:$D$71)</f>
        <v>0.1617165186962527</v>
      </c>
      <c r="G70" s="451">
        <f>scen_input_ccs!G70/SUM(scen_input_ccs!$D$66:$D$71)</f>
        <v>0.16208513565389548</v>
      </c>
      <c r="H70" s="451">
        <f>scen_input_ccs!H70/SUM(scen_input_ccs!$D$66:$D$71)</f>
        <v>0.17618091490206536</v>
      </c>
      <c r="I70" s="451">
        <f>scen_input_ccs!I70/SUM(scen_input_ccs!$D$66:$D$71)</f>
        <v>0.17201900143603807</v>
      </c>
      <c r="J70" s="451">
        <f>scen_input_ccs!J70/SUM(scen_input_ccs!$D$66:$D$71)</f>
        <v>0.16180192331815269</v>
      </c>
      <c r="K70" s="451">
        <f>scen_input_ccs!K70/SUM(scen_input_ccs!$D$66:$D$71)</f>
        <v>0.15773338997017505</v>
      </c>
      <c r="L70" s="427">
        <f t="shared" si="38"/>
        <v>0.13119481198661595</v>
      </c>
      <c r="M70" s="427">
        <f t="shared" si="36"/>
        <v>0.15394946243145166</v>
      </c>
      <c r="N70" s="427">
        <f t="shared" si="36"/>
        <v>0.1617165186962527</v>
      </c>
      <c r="O70" s="427">
        <f t="shared" si="36"/>
        <v>0.16208513565389548</v>
      </c>
      <c r="P70" s="427">
        <f t="shared" si="36"/>
        <v>0.17618091490206536</v>
      </c>
      <c r="Q70" s="427">
        <f t="shared" si="36"/>
        <v>0.17201900143603807</v>
      </c>
      <c r="R70" s="427">
        <f t="shared" si="36"/>
        <v>0.16180192331815269</v>
      </c>
      <c r="S70" s="427">
        <f t="shared" si="36"/>
        <v>0.15773338997017505</v>
      </c>
      <c r="T70" s="377">
        <f t="shared" si="37"/>
        <v>0.13119481198661595</v>
      </c>
      <c r="U70" s="377">
        <f t="shared" si="37"/>
        <v>0.15394946243145166</v>
      </c>
      <c r="V70" s="377">
        <f t="shared" si="37"/>
        <v>0.1617165186962527</v>
      </c>
      <c r="W70" s="377">
        <f t="shared" si="37"/>
        <v>0.16208513565389548</v>
      </c>
      <c r="X70" s="377">
        <f t="shared" si="37"/>
        <v>0.17618091490206536</v>
      </c>
      <c r="Y70" s="377">
        <f t="shared" si="37"/>
        <v>0.17201900143603807</v>
      </c>
      <c r="Z70" s="377">
        <f t="shared" si="37"/>
        <v>0.16180192331815269</v>
      </c>
      <c r="AA70" s="377">
        <f t="shared" si="37"/>
        <v>0.15773338997017505</v>
      </c>
    </row>
    <row r="71" spans="1:27" x14ac:dyDescent="0.25">
      <c r="A71" s="297" t="s">
        <v>836</v>
      </c>
      <c r="B71" s="450" t="s">
        <v>1149</v>
      </c>
      <c r="C71" s="297" t="str">
        <f>scen_input_ccs!C71</f>
        <v>MIX-CP (2020-30)/EU 2020 Reference (trends 2030-50)</v>
      </c>
      <c r="D71" s="451">
        <f>scen_input_ccs!D71/SUM(scen_input_ccs!$D$66:$D$71)</f>
        <v>0.20331821770768141</v>
      </c>
      <c r="E71" s="451">
        <f>scen_input_ccs!E71/SUM(scen_input_ccs!$D$66:$D$71)</f>
        <v>0.19349332593491447</v>
      </c>
      <c r="F71" s="451">
        <f>scen_input_ccs!F71/SUM(scen_input_ccs!$D$66:$D$71)</f>
        <v>0.21615148480592089</v>
      </c>
      <c r="G71" s="451">
        <f>scen_input_ccs!G71/SUM(scen_input_ccs!$D$66:$D$71)</f>
        <v>0.24310106767122533</v>
      </c>
      <c r="H71" s="451">
        <f>scen_input_ccs!H71/SUM(scen_input_ccs!$D$66:$D$71)</f>
        <v>0.25510634402448978</v>
      </c>
      <c r="I71" s="451">
        <f>scen_input_ccs!I71/SUM(scen_input_ccs!$D$66:$D$71)</f>
        <v>0.2687185374377617</v>
      </c>
      <c r="J71" s="451">
        <f>scen_input_ccs!J71/SUM(scen_input_ccs!$D$66:$D$71)</f>
        <v>0.28236745161180138</v>
      </c>
      <c r="K71" s="451">
        <f>scen_input_ccs!K71/SUM(scen_input_ccs!$D$66:$D$71)</f>
        <v>0.29324775921836499</v>
      </c>
      <c r="L71" s="427">
        <f t="shared" si="38"/>
        <v>0.20331821770768141</v>
      </c>
      <c r="M71" s="427">
        <f t="shared" si="36"/>
        <v>0.19349332593491447</v>
      </c>
      <c r="N71" s="427">
        <f t="shared" si="36"/>
        <v>0.21615148480592089</v>
      </c>
      <c r="O71" s="427">
        <f t="shared" si="36"/>
        <v>0.24310106767122533</v>
      </c>
      <c r="P71" s="427">
        <f t="shared" si="36"/>
        <v>0.25510634402448978</v>
      </c>
      <c r="Q71" s="427">
        <f t="shared" si="36"/>
        <v>0.2687185374377617</v>
      </c>
      <c r="R71" s="427">
        <f t="shared" si="36"/>
        <v>0.28236745161180138</v>
      </c>
      <c r="S71" s="427">
        <f t="shared" si="36"/>
        <v>0.29324775921836499</v>
      </c>
      <c r="T71" s="377">
        <f t="shared" si="37"/>
        <v>0.20331821770768141</v>
      </c>
      <c r="U71" s="377">
        <f t="shared" si="37"/>
        <v>0.19349332593491447</v>
      </c>
      <c r="V71" s="377">
        <f t="shared" si="37"/>
        <v>0.21615148480592089</v>
      </c>
      <c r="W71" s="377">
        <f t="shared" si="37"/>
        <v>0.24310106767122533</v>
      </c>
      <c r="X71" s="377">
        <f t="shared" si="37"/>
        <v>0.25510634402448978</v>
      </c>
      <c r="Y71" s="377">
        <f t="shared" si="37"/>
        <v>0.2687185374377617</v>
      </c>
      <c r="Z71" s="377">
        <f t="shared" si="37"/>
        <v>0.28236745161180138</v>
      </c>
      <c r="AA71" s="377">
        <f t="shared" si="37"/>
        <v>0.29324775921836499</v>
      </c>
    </row>
    <row r="72" spans="1:27" x14ac:dyDescent="0.25">
      <c r="A72" s="373" t="s">
        <v>837</v>
      </c>
      <c r="B72" s="373"/>
      <c r="C72" s="297" t="str">
        <f>scen_input_ccs!C72</f>
        <v>MIX-CP (2020-30)/EU 2020 Reference (trends 2030-50)</v>
      </c>
      <c r="D72" s="378">
        <f>SUM(scen_input_ccs!D66:D71)/SUM(scen_input_ccs!$D66:$D71)</f>
        <v>1</v>
      </c>
      <c r="E72" s="378">
        <f>SUM(scen_input_ccs!E66:E71)/SUM(scen_input_ccs!$D66:$D71)</f>
        <v>0.95638959465228512</v>
      </c>
      <c r="F72" s="378">
        <f>SUM(scen_input_ccs!F66:F71)/SUM(scen_input_ccs!$D66:$D71)</f>
        <v>1.0090125982254621</v>
      </c>
      <c r="G72" s="378">
        <f>SUM(scen_input_ccs!G66:G71)/SUM(scen_input_ccs!$D66:$D71)</f>
        <v>0.94540533482217681</v>
      </c>
      <c r="H72" s="378">
        <f>SUM(scen_input_ccs!H66:H71)/SUM(scen_input_ccs!$D66:$D71)</f>
        <v>0.93409301987369509</v>
      </c>
      <c r="I72" s="378">
        <f>SUM(scen_input_ccs!I66:I71)/SUM(scen_input_ccs!$D66:$D71)</f>
        <v>0.9304174220249477</v>
      </c>
      <c r="J72" s="378">
        <f>SUM(scen_input_ccs!J66:J71)/SUM(scen_input_ccs!$D66:$D71)</f>
        <v>0.92245943972856825</v>
      </c>
      <c r="K72" s="378">
        <f>SUM(scen_input_ccs!K66:K71)/SUM(scen_input_ccs!$D66:$D71)</f>
        <v>0.92085437539804482</v>
      </c>
      <c r="L72" s="374">
        <f>SUM(L66:L71)</f>
        <v>1</v>
      </c>
      <c r="M72" s="374">
        <f t="shared" ref="M72:S72" si="39">SUM(M66:M71)</f>
        <v>0.95638959465228512</v>
      </c>
      <c r="N72" s="374">
        <f t="shared" si="39"/>
        <v>1.0090125982254621</v>
      </c>
      <c r="O72" s="374">
        <f t="shared" si="39"/>
        <v>0.9454053348221767</v>
      </c>
      <c r="P72" s="374">
        <f t="shared" si="39"/>
        <v>0.93409301987369497</v>
      </c>
      <c r="Q72" s="374">
        <f t="shared" si="39"/>
        <v>0.9304174220249477</v>
      </c>
      <c r="R72" s="374">
        <f t="shared" si="39"/>
        <v>0.92245943972856836</v>
      </c>
      <c r="S72" s="374">
        <f t="shared" si="39"/>
        <v>0.92085437539804482</v>
      </c>
      <c r="T72" s="374">
        <f>L72/$L72</f>
        <v>1</v>
      </c>
      <c r="U72" s="374">
        <f>M72/$L72</f>
        <v>0.95638959465228512</v>
      </c>
      <c r="V72" s="374">
        <f t="shared" ref="V72:AA72" si="40">N72/$L72</f>
        <v>1.0090125982254621</v>
      </c>
      <c r="W72" s="374">
        <f t="shared" si="40"/>
        <v>0.9454053348221767</v>
      </c>
      <c r="X72" s="374">
        <f t="shared" si="40"/>
        <v>0.93409301987369497</v>
      </c>
      <c r="Y72" s="374">
        <f t="shared" si="40"/>
        <v>0.9304174220249477</v>
      </c>
      <c r="Z72" s="374">
        <f t="shared" si="40"/>
        <v>0.92245943972856836</v>
      </c>
      <c r="AA72" s="374">
        <f t="shared" si="40"/>
        <v>0.92085437539804482</v>
      </c>
    </row>
  </sheetData>
  <conditionalFormatting sqref="D48:K48 D64:K64">
    <cfRule type="cellIs" dxfId="29" priority="10" operator="equal">
      <formula>1</formula>
    </cfRule>
  </conditionalFormatting>
  <conditionalFormatting sqref="E64:K64">
    <cfRule type="cellIs" dxfId="28" priority="8" operator="equal">
      <formula>1</formula>
    </cfRule>
    <cfRule type="cellIs" dxfId="27" priority="9" operator="equal">
      <formula>0.497</formula>
    </cfRule>
  </conditionalFormatting>
  <conditionalFormatting sqref="D50:K62">
    <cfRule type="cellIs" dxfId="26" priority="7" operator="equal">
      <formula>1</formula>
    </cfRule>
  </conditionalFormatting>
  <conditionalFormatting sqref="L48:S48 L64:S64">
    <cfRule type="cellIs" dxfId="25" priority="6" operator="equal">
      <formula>1</formula>
    </cfRule>
  </conditionalFormatting>
  <conditionalFormatting sqref="M64:S64">
    <cfRule type="cellIs" dxfId="24" priority="4" operator="equal">
      <formula>1</formula>
    </cfRule>
    <cfRule type="cellIs" dxfId="23" priority="5" operator="equal">
      <formula>0.497</formula>
    </cfRule>
  </conditionalFormatting>
  <conditionalFormatting sqref="T48:AA48 T64:AA64">
    <cfRule type="cellIs" dxfId="22" priority="3" operator="equal">
      <formula>1</formula>
    </cfRule>
  </conditionalFormatting>
  <conditionalFormatting sqref="U64:AA64">
    <cfRule type="cellIs" dxfId="21" priority="1" operator="equal">
      <formula>1</formula>
    </cfRule>
    <cfRule type="cellIs" dxfId="20" priority="2" operator="equal">
      <formula>0.497</formula>
    </cfRule>
  </conditionalFormatting>
  <pageMargins left="0.7" right="0.7" top="0.78740157499999996" bottom="0.78740157499999996" header="0.3" footer="0.3"/>
  <pageSetup paperSize="9" orientation="portrait" verticalDpi="0"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72"/>
  <sheetViews>
    <sheetView zoomScale="75" zoomScaleNormal="75" workbookViewId="0">
      <pane xSplit="3" ySplit="1" topLeftCell="D2" activePane="bottomRight" state="frozen"/>
      <selection pane="topRight" activeCell="D1" sqref="D1"/>
      <selection pane="bottomLeft" activeCell="A2" sqref="A2"/>
      <selection pane="bottomRight" activeCell="D4" sqref="D4"/>
    </sheetView>
  </sheetViews>
  <sheetFormatPr defaultColWidth="8.25" defaultRowHeight="15" x14ac:dyDescent="0.25"/>
  <cols>
    <col min="1" max="1" width="94.25" style="118" bestFit="1" customWidth="1"/>
    <col min="2" max="2" width="14.625" style="118" customWidth="1"/>
    <col min="3" max="3" width="21.125" style="118" customWidth="1"/>
    <col min="4" max="27" width="10.25" style="15" customWidth="1"/>
    <col min="28" max="16384" width="8.25" style="15"/>
  </cols>
  <sheetData>
    <row r="1" spans="1:27" x14ac:dyDescent="0.25">
      <c r="A1" s="387" t="s">
        <v>0</v>
      </c>
      <c r="B1" s="387" t="s">
        <v>1</v>
      </c>
      <c r="C1" s="387" t="s">
        <v>1147</v>
      </c>
      <c r="D1" s="373" t="s">
        <v>1163</v>
      </c>
      <c r="E1" s="297"/>
      <c r="F1" s="297"/>
      <c r="G1" s="297"/>
      <c r="H1" s="297"/>
      <c r="I1" s="297"/>
      <c r="J1" s="297"/>
      <c r="K1" s="297"/>
      <c r="L1" s="373" t="s">
        <v>1153</v>
      </c>
      <c r="M1" s="297"/>
      <c r="N1" s="297"/>
      <c r="O1" s="297"/>
      <c r="P1" s="297"/>
      <c r="Q1" s="297"/>
      <c r="R1" s="297"/>
      <c r="S1" s="297"/>
      <c r="T1" s="134" t="s">
        <v>1154</v>
      </c>
      <c r="U1" s="133"/>
      <c r="V1" s="133"/>
      <c r="W1" s="133"/>
      <c r="X1" s="133"/>
      <c r="Y1" s="133"/>
      <c r="Z1" s="133"/>
      <c r="AA1" s="133"/>
    </row>
    <row r="2" spans="1:27" x14ac:dyDescent="0.25">
      <c r="A2" s="375" t="s">
        <v>1057</v>
      </c>
      <c r="B2" s="375"/>
      <c r="C2" s="375"/>
      <c r="D2" s="297"/>
      <c r="E2" s="297"/>
      <c r="F2" s="297"/>
      <c r="G2" s="297"/>
      <c r="H2" s="297"/>
      <c r="I2" s="297"/>
      <c r="J2" s="297"/>
      <c r="K2" s="297"/>
      <c r="L2" s="297"/>
      <c r="M2" s="297"/>
      <c r="N2" s="297"/>
      <c r="O2" s="297"/>
      <c r="P2" s="297"/>
      <c r="Q2" s="297"/>
      <c r="R2" s="297"/>
      <c r="S2" s="297"/>
      <c r="T2" s="297"/>
      <c r="U2" s="297"/>
      <c r="V2" s="297"/>
      <c r="W2" s="297"/>
      <c r="X2" s="297"/>
      <c r="Y2" s="297"/>
      <c r="Z2" s="297"/>
      <c r="AA2" s="297"/>
    </row>
    <row r="3" spans="1:27" x14ac:dyDescent="0.25">
      <c r="A3" s="375" t="s">
        <v>914</v>
      </c>
      <c r="B3" s="375"/>
      <c r="C3" s="375"/>
      <c r="D3" s="422" t="s">
        <v>1164</v>
      </c>
      <c r="E3" s="422" t="s">
        <v>1165</v>
      </c>
      <c r="F3" s="422" t="s">
        <v>1166</v>
      </c>
      <c r="G3" s="422" t="s">
        <v>1167</v>
      </c>
      <c r="H3" s="422" t="s">
        <v>1168</v>
      </c>
      <c r="I3" s="422" t="s">
        <v>1169</v>
      </c>
      <c r="J3" s="422" t="s">
        <v>1170</v>
      </c>
      <c r="K3" s="422" t="s">
        <v>1171</v>
      </c>
      <c r="L3" s="176" t="s">
        <v>1121</v>
      </c>
      <c r="M3" s="176" t="s">
        <v>1122</v>
      </c>
      <c r="N3" s="176" t="s">
        <v>1123</v>
      </c>
      <c r="O3" s="176" t="s">
        <v>1124</v>
      </c>
      <c r="P3" s="176" t="s">
        <v>1125</v>
      </c>
      <c r="Q3" s="176" t="s">
        <v>1126</v>
      </c>
      <c r="R3" s="176" t="s">
        <v>1127</v>
      </c>
      <c r="S3" s="176" t="s">
        <v>1128</v>
      </c>
      <c r="T3" s="428" t="s">
        <v>1137</v>
      </c>
      <c r="U3" s="428" t="s">
        <v>1138</v>
      </c>
      <c r="V3" s="428" t="s">
        <v>1139</v>
      </c>
      <c r="W3" s="428" t="s">
        <v>1140</v>
      </c>
      <c r="X3" s="428" t="s">
        <v>1141</v>
      </c>
      <c r="Y3" s="428" t="s">
        <v>1142</v>
      </c>
      <c r="Z3" s="428" t="s">
        <v>1143</v>
      </c>
      <c r="AA3" s="428" t="s">
        <v>1144</v>
      </c>
    </row>
    <row r="4" spans="1:27" x14ac:dyDescent="0.25">
      <c r="A4" s="15" t="s">
        <v>1037</v>
      </c>
      <c r="B4" s="2" t="s">
        <v>730</v>
      </c>
      <c r="C4" s="15" t="str">
        <f>scen_input_circular!C4</f>
        <v>Circular economy pathway</v>
      </c>
      <c r="D4" s="116">
        <f>scen_input_circular!D4/SUM(scen_input_circular!$D$4:$D$6)</f>
        <v>1</v>
      </c>
      <c r="E4" s="116">
        <f>scen_input_circular!E4/SUM(scen_input_circular!$D$4:$D$6)</f>
        <v>0.85714285714285721</v>
      </c>
      <c r="F4" s="116">
        <f>scen_input_circular!F4/SUM(scen_input_circular!$D$4:$D$6)</f>
        <v>0.7142857142857143</v>
      </c>
      <c r="G4" s="116">
        <f>scen_input_circular!G4/SUM(scen_input_circular!$D$4:$D$6)</f>
        <v>0.5714285714285714</v>
      </c>
      <c r="H4" s="116">
        <f>scen_input_circular!H4/SUM(scen_input_circular!$D$4:$D$6)</f>
        <v>0.4285714285714286</v>
      </c>
      <c r="I4" s="116">
        <f>scen_input_circular!I4/SUM(scen_input_circular!$D$4:$D$6)</f>
        <v>0.2857142857142857</v>
      </c>
      <c r="J4" s="116">
        <f>scen_input_circular!J4/SUM(scen_input_circular!$D$4:$D$6)</f>
        <v>0.1428571428571429</v>
      </c>
      <c r="K4" s="116">
        <f>scen_input_circular!K4/SUM(scen_input_circular!$D$4:$D$6)</f>
        <v>0</v>
      </c>
      <c r="L4" s="116">
        <f>D4*cost_projections!C4*D$7</f>
        <v>1</v>
      </c>
      <c r="M4" s="116">
        <f>E4*cost_projections!D4*E$7</f>
        <v>0.77043673469387774</v>
      </c>
      <c r="N4" s="116">
        <f>F4*cost_projections!E4*F$7</f>
        <v>0.56977551020408168</v>
      </c>
      <c r="O4" s="116">
        <f>G4*cost_projections!F4*G$7</f>
        <v>0.3980163265306122</v>
      </c>
      <c r="P4" s="116">
        <f>H4*cost_projections!G4*H$7</f>
        <v>0.2551591836734694</v>
      </c>
      <c r="Q4" s="116">
        <f>I4*cost_projections!H4*I$7</f>
        <v>0.14120408163265305</v>
      </c>
      <c r="R4" s="116">
        <f>J4*cost_projections!I4*J$7</f>
        <v>5.6151020408163291E-2</v>
      </c>
      <c r="S4" s="116">
        <f>K4*cost_projections!J4*K$7</f>
        <v>0</v>
      </c>
      <c r="T4" s="116">
        <f>L4/L$7*T$7</f>
        <v>1</v>
      </c>
      <c r="U4" s="116">
        <f t="shared" ref="U4:AA6" si="0">M4/M$7*U$7</f>
        <v>0.77043673469387774</v>
      </c>
      <c r="V4" s="116">
        <f t="shared" si="0"/>
        <v>0.56977551020408168</v>
      </c>
      <c r="W4" s="116">
        <f t="shared" si="0"/>
        <v>0.3980163265306122</v>
      </c>
      <c r="X4" s="116">
        <f t="shared" si="0"/>
        <v>0.2551591836734694</v>
      </c>
      <c r="Y4" s="116">
        <f t="shared" si="0"/>
        <v>0.14120408163265305</v>
      </c>
      <c r="Z4" s="116">
        <f t="shared" si="0"/>
        <v>5.6151020408163291E-2</v>
      </c>
      <c r="AA4" s="116">
        <f t="shared" si="0"/>
        <v>0</v>
      </c>
    </row>
    <row r="5" spans="1:27" x14ac:dyDescent="0.25">
      <c r="A5" s="15" t="s">
        <v>1038</v>
      </c>
      <c r="B5" s="2" t="s">
        <v>731</v>
      </c>
      <c r="C5" s="15" t="str">
        <f>scen_input_circular!C5</f>
        <v>Circular economy pathway</v>
      </c>
      <c r="D5" s="116">
        <f>scen_input_circular!D5/SUM(scen_input_circular!$D$4:$D$6)</f>
        <v>0</v>
      </c>
      <c r="E5" s="116">
        <f>scen_input_circular!E5/SUM(scen_input_circular!$D$4:$D$6)</f>
        <v>2.7799999999999998E-2</v>
      </c>
      <c r="F5" s="116">
        <f>scen_input_circular!F5/SUM(scen_input_circular!$D$4:$D$6)</f>
        <v>5.5599999999999997E-2</v>
      </c>
      <c r="G5" s="116">
        <f>scen_input_circular!G5/SUM(scen_input_circular!$D$4:$D$6)</f>
        <v>8.3400000000000002E-2</v>
      </c>
      <c r="H5" s="116">
        <f>scen_input_circular!H5/SUM(scen_input_circular!$D$4:$D$6)</f>
        <v>0.11119999999999999</v>
      </c>
      <c r="I5" s="116">
        <f>scen_input_circular!I5/SUM(scen_input_circular!$D$4:$D$6)</f>
        <v>0.13899999999999998</v>
      </c>
      <c r="J5" s="116">
        <f>scen_input_circular!J5/SUM(scen_input_circular!$D$4:$D$6)</f>
        <v>0.1668</v>
      </c>
      <c r="K5" s="116">
        <f>scen_input_circular!K5/SUM(scen_input_circular!$D$4:$D$6)</f>
        <v>0.1946</v>
      </c>
      <c r="L5" s="116">
        <f>D5*cost_projections!C5*D$7</f>
        <v>0</v>
      </c>
      <c r="M5" s="116">
        <f>E5*cost_projections!D5*E$7</f>
        <v>2.9518592072213506E-2</v>
      </c>
      <c r="N5" s="116">
        <f>F5*cost_projections!E5*F$7</f>
        <v>5.2393049607535325E-2</v>
      </c>
      <c r="O5" s="116">
        <f>G5*cost_projections!F5*G$7</f>
        <v>6.862337260596546E-2</v>
      </c>
      <c r="P5" s="116">
        <f>H5*cost_projections!G5*H$7</f>
        <v>7.820956106750393E-2</v>
      </c>
      <c r="Q5" s="116">
        <f>I5*cost_projections!H5*I$7</f>
        <v>8.1151614992150706E-2</v>
      </c>
      <c r="R5" s="116">
        <f>J5*cost_projections!I5*J$7</f>
        <v>7.7449534379905816E-2</v>
      </c>
      <c r="S5" s="116">
        <f>K5*cost_projections!J5*K$7</f>
        <v>6.7103319230769232E-2</v>
      </c>
      <c r="T5" s="116">
        <f t="shared" ref="T5" si="1">L5/L$7*T$7</f>
        <v>0</v>
      </c>
      <c r="U5" s="116">
        <f t="shared" si="0"/>
        <v>2.9518592072213506E-2</v>
      </c>
      <c r="V5" s="116">
        <f t="shared" si="0"/>
        <v>5.2393049607535332E-2</v>
      </c>
      <c r="W5" s="116">
        <f t="shared" si="0"/>
        <v>6.862337260596546E-2</v>
      </c>
      <c r="X5" s="116">
        <f t="shared" si="0"/>
        <v>7.820956106750393E-2</v>
      </c>
      <c r="Y5" s="116">
        <f t="shared" si="0"/>
        <v>8.1151614992150706E-2</v>
      </c>
      <c r="Z5" s="116">
        <f t="shared" si="0"/>
        <v>7.7449534379905816E-2</v>
      </c>
      <c r="AA5" s="116">
        <f t="shared" si="0"/>
        <v>6.7103319230769232E-2</v>
      </c>
    </row>
    <row r="6" spans="1:27" x14ac:dyDescent="0.25">
      <c r="A6" s="15" t="s">
        <v>1039</v>
      </c>
      <c r="B6" s="2" t="s">
        <v>746</v>
      </c>
      <c r="C6" s="15" t="str">
        <f>scen_input_circular!C6</f>
        <v>Circular economy pathway</v>
      </c>
      <c r="D6" s="116">
        <f>scen_input_circular!D6/SUM(scen_input_circular!$D$4:$D$6)</f>
        <v>0</v>
      </c>
      <c r="E6" s="116">
        <f>scen_input_circular!E6/SUM(scen_input_circular!$D$4:$D$6)</f>
        <v>1.3899999999999999E-2</v>
      </c>
      <c r="F6" s="116">
        <f>scen_input_circular!F6/SUM(scen_input_circular!$D$4:$D$6)</f>
        <v>2.7799999999999998E-2</v>
      </c>
      <c r="G6" s="116">
        <f>scen_input_circular!G6/SUM(scen_input_circular!$D$4:$D$6)</f>
        <v>4.1700000000000001E-2</v>
      </c>
      <c r="H6" s="116">
        <f>scen_input_circular!H6/SUM(scen_input_circular!$D$4:$D$6)</f>
        <v>5.5599999999999997E-2</v>
      </c>
      <c r="I6" s="116">
        <f>scen_input_circular!I6/SUM(scen_input_circular!$D$4:$D$6)</f>
        <v>6.9499999999999992E-2</v>
      </c>
      <c r="J6" s="116">
        <f>scen_input_circular!J6/SUM(scen_input_circular!$D$4:$D$6)</f>
        <v>8.3400000000000002E-2</v>
      </c>
      <c r="K6" s="116">
        <f>scen_input_circular!K6/SUM(scen_input_circular!$D$4:$D$6)</f>
        <v>9.7299999999999998E-2</v>
      </c>
      <c r="L6" s="116">
        <f>D6*cost_projections!C6*D$7</f>
        <v>0</v>
      </c>
      <c r="M6" s="116">
        <f>E6*cost_projections!D6*E$7</f>
        <v>1.3775342967032969E-2</v>
      </c>
      <c r="N6" s="116">
        <f>F6*cost_projections!E6*F$7</f>
        <v>2.4450089816849818E-2</v>
      </c>
      <c r="O6" s="116">
        <f>G6*cost_projections!F6*G$7</f>
        <v>3.202424054945055E-2</v>
      </c>
      <c r="P6" s="116">
        <f>H6*cost_projections!G6*H$7</f>
        <v>3.6497795164835159E-2</v>
      </c>
      <c r="Q6" s="116">
        <f>I6*cost_projections!H6*I$7</f>
        <v>3.7870753663003666E-2</v>
      </c>
      <c r="R6" s="116">
        <f>J6*cost_projections!I6*J$7</f>
        <v>3.614311604395605E-2</v>
      </c>
      <c r="S6" s="116">
        <f>K6*cost_projections!J6*K$7</f>
        <v>3.1314882307692304E-2</v>
      </c>
      <c r="T6" s="116">
        <f>L6/L$7*T$7</f>
        <v>0</v>
      </c>
      <c r="U6" s="116">
        <f t="shared" si="0"/>
        <v>1.3775342967032967E-2</v>
      </c>
      <c r="V6" s="116">
        <f t="shared" si="0"/>
        <v>2.4450089816849818E-2</v>
      </c>
      <c r="W6" s="116">
        <f t="shared" si="0"/>
        <v>3.202424054945055E-2</v>
      </c>
      <c r="X6" s="116">
        <f t="shared" si="0"/>
        <v>3.6497795164835159E-2</v>
      </c>
      <c r="Y6" s="116">
        <f t="shared" si="0"/>
        <v>3.7870753663003666E-2</v>
      </c>
      <c r="Z6" s="116">
        <f t="shared" si="0"/>
        <v>3.614311604395605E-2</v>
      </c>
      <c r="AA6" s="116">
        <f t="shared" si="0"/>
        <v>3.1314882307692304E-2</v>
      </c>
    </row>
    <row r="7" spans="1:27" x14ac:dyDescent="0.25">
      <c r="A7" s="19" t="s">
        <v>1048</v>
      </c>
      <c r="B7" s="24"/>
      <c r="C7" s="15" t="str">
        <f>scen_input_circular!C7</f>
        <v>Baseline+Reductions</v>
      </c>
      <c r="D7" s="47">
        <f>SUM(scen_input_circular!D4:D6)/SUM(scen_input_circular!$D4:$D6)</f>
        <v>1</v>
      </c>
      <c r="E7" s="47">
        <f>SUM(scen_input_circular!E4:E6)/SUM(scen_input_circular!$D4:$D6)</f>
        <v>0.89884285714285728</v>
      </c>
      <c r="F7" s="47">
        <f>SUM(scen_input_circular!F4:F6)/SUM(scen_input_circular!$D4:$D6)</f>
        <v>0.79768571428571433</v>
      </c>
      <c r="G7" s="47">
        <f>SUM(scen_input_circular!G4:G6)/SUM(scen_input_circular!$D4:$D6)</f>
        <v>0.69652857142857139</v>
      </c>
      <c r="H7" s="47">
        <f>SUM(scen_input_circular!H4:H6)/SUM(scen_input_circular!$D4:$D6)</f>
        <v>0.59537142857142855</v>
      </c>
      <c r="I7" s="47">
        <f>SUM(scen_input_circular!I4:I6)/SUM(scen_input_circular!$D4:$D6)</f>
        <v>0.49421428571428572</v>
      </c>
      <c r="J7" s="47">
        <f>SUM(scen_input_circular!J4:J6)/SUM(scen_input_circular!$D4:$D6)</f>
        <v>0.39305714285714288</v>
      </c>
      <c r="K7" s="47">
        <f>SUM(scen_input_circular!K4:K6)/SUM(scen_input_circular!$D4:$D6)</f>
        <v>0.29189999999999999</v>
      </c>
      <c r="L7" s="47">
        <f>SUM(L4:L6)</f>
        <v>1</v>
      </c>
      <c r="M7" s="47">
        <f t="shared" ref="M7:S7" si="2">SUM(M4:M6)</f>
        <v>0.81373066973312425</v>
      </c>
      <c r="N7" s="47">
        <f t="shared" si="2"/>
        <v>0.64661864962846682</v>
      </c>
      <c r="O7" s="47">
        <f t="shared" si="2"/>
        <v>0.49866393968602818</v>
      </c>
      <c r="P7" s="47">
        <f t="shared" si="2"/>
        <v>0.36986653990580848</v>
      </c>
      <c r="Q7" s="47">
        <f t="shared" si="2"/>
        <v>0.26022645028780744</v>
      </c>
      <c r="R7" s="47">
        <f t="shared" si="2"/>
        <v>0.16974367083202513</v>
      </c>
      <c r="S7" s="47">
        <f t="shared" si="2"/>
        <v>9.8418201538461536E-2</v>
      </c>
      <c r="T7" s="47">
        <f>L7/$L7</f>
        <v>1</v>
      </c>
      <c r="U7" s="47">
        <f t="shared" ref="U7:AA7" si="3">M7/$L7</f>
        <v>0.81373066973312425</v>
      </c>
      <c r="V7" s="47">
        <f t="shared" si="3"/>
        <v>0.64661864962846682</v>
      </c>
      <c r="W7" s="47">
        <f t="shared" si="3"/>
        <v>0.49866393968602818</v>
      </c>
      <c r="X7" s="47">
        <f t="shared" si="3"/>
        <v>0.36986653990580848</v>
      </c>
      <c r="Y7" s="47">
        <f t="shared" si="3"/>
        <v>0.26022645028780744</v>
      </c>
      <c r="Z7" s="47">
        <f t="shared" si="3"/>
        <v>0.16974367083202513</v>
      </c>
      <c r="AA7" s="47">
        <f t="shared" si="3"/>
        <v>9.8418201538461536E-2</v>
      </c>
    </row>
    <row r="8" spans="1:27" x14ac:dyDescent="0.25">
      <c r="A8" s="15" t="s">
        <v>1040</v>
      </c>
      <c r="B8" s="2" t="s">
        <v>166</v>
      </c>
      <c r="C8" s="15" t="str">
        <f>scen_input_circular!C8</f>
        <v>Circular economy pathway</v>
      </c>
      <c r="D8" s="116">
        <f>scen_input_circular!D8/SUM(scen_input_circular!$D$8)</f>
        <v>1</v>
      </c>
      <c r="E8" s="116">
        <f>scen_input_circular!E8/SUM(scen_input_circular!$D$8)</f>
        <v>1.0816149068322982</v>
      </c>
      <c r="F8" s="116">
        <f>scen_input_circular!F8/SUM(scen_input_circular!$D$8)</f>
        <v>1.1632298136645962</v>
      </c>
      <c r="G8" s="116">
        <f>scen_input_circular!G8/SUM(scen_input_circular!$D$8)</f>
        <v>1.2448447204968944</v>
      </c>
      <c r="H8" s="116">
        <f>scen_input_circular!H8/SUM(scen_input_circular!$D$8)</f>
        <v>1.3264596273291926</v>
      </c>
      <c r="I8" s="116">
        <f>scen_input_circular!I8/SUM(scen_input_circular!$D$8)</f>
        <v>1.4080745341614906</v>
      </c>
      <c r="J8" s="116">
        <f>scen_input_circular!J8/SUM(scen_input_circular!$D$8)</f>
        <v>1.4896894409937889</v>
      </c>
      <c r="K8" s="116">
        <f>scen_input_circular!K8/SUM(scen_input_circular!$D$8)</f>
        <v>1.5713043478260871</v>
      </c>
      <c r="L8" s="116">
        <f>D8*cost_projections!C7*D$9</f>
        <v>1</v>
      </c>
      <c r="M8" s="116">
        <f>E8*cost_projections!D7*E$9</f>
        <v>1.1698908066818412</v>
      </c>
      <c r="N8" s="116">
        <f>F8*cost_projections!E7*F$9</f>
        <v>1.3531035993981713</v>
      </c>
      <c r="O8" s="116">
        <f>G8*cost_projections!F7*G$9</f>
        <v>1.5496383781489913</v>
      </c>
      <c r="P8" s="116">
        <f>H8*cost_projections!G7*H$9</f>
        <v>1.7594951429343006</v>
      </c>
      <c r="Q8" s="116">
        <f>I8*cost_projections!H7*I$9</f>
        <v>1.9826738937540989</v>
      </c>
      <c r="R8" s="116">
        <f>J8*cost_projections!I7*J$9</f>
        <v>2.219174630608387</v>
      </c>
      <c r="S8" s="116">
        <f>K8*cost_projections!J7*K$9</f>
        <v>2.4689973534971648</v>
      </c>
      <c r="T8" s="116">
        <f>L8/L$9*T$9</f>
        <v>1</v>
      </c>
      <c r="U8" s="116">
        <f t="shared" ref="U8:AA8" si="4">M8/M$9*U$9</f>
        <v>1.1698908066818412</v>
      </c>
      <c r="V8" s="116">
        <f t="shared" si="4"/>
        <v>1.3531035993981713</v>
      </c>
      <c r="W8" s="116">
        <f t="shared" si="4"/>
        <v>1.5496383781489913</v>
      </c>
      <c r="X8" s="116">
        <f t="shared" si="4"/>
        <v>1.7594951429343006</v>
      </c>
      <c r="Y8" s="116">
        <f t="shared" si="4"/>
        <v>1.9826738937540989</v>
      </c>
      <c r="Z8" s="116">
        <f t="shared" si="4"/>
        <v>2.219174630608387</v>
      </c>
      <c r="AA8" s="116">
        <f t="shared" si="4"/>
        <v>2.4689973534971648</v>
      </c>
    </row>
    <row r="9" spans="1:27" x14ac:dyDescent="0.25">
      <c r="A9" s="19" t="s">
        <v>1048</v>
      </c>
      <c r="B9" s="19"/>
      <c r="C9" s="15" t="str">
        <f>scen_input_circular!C9</f>
        <v>Baseline+Reductions</v>
      </c>
      <c r="D9" s="47">
        <f>SUM(scen_input_circular!D8)/SUM(scen_input_circular!$D8)</f>
        <v>1</v>
      </c>
      <c r="E9" s="47">
        <f>SUM(scen_input_circular!E8)/SUM(scen_input_circular!$D8)</f>
        <v>1.0816149068322982</v>
      </c>
      <c r="F9" s="47">
        <f>SUM(scen_input_circular!F8)/SUM(scen_input_circular!$D8)</f>
        <v>1.1632298136645962</v>
      </c>
      <c r="G9" s="47">
        <f>SUM(scen_input_circular!G8)/SUM(scen_input_circular!$D8)</f>
        <v>1.2448447204968944</v>
      </c>
      <c r="H9" s="47">
        <f>SUM(scen_input_circular!H8)/SUM(scen_input_circular!$D8)</f>
        <v>1.3264596273291926</v>
      </c>
      <c r="I9" s="47">
        <f>SUM(scen_input_circular!I8)/SUM(scen_input_circular!$D8)</f>
        <v>1.4080745341614906</v>
      </c>
      <c r="J9" s="47">
        <f>SUM(scen_input_circular!J8)/SUM(scen_input_circular!$D8)</f>
        <v>1.4896894409937889</v>
      </c>
      <c r="K9" s="47">
        <f>SUM(scen_input_circular!K8)/SUM(scen_input_circular!$D8)</f>
        <v>1.5713043478260871</v>
      </c>
      <c r="L9" s="47">
        <f>SUM(L8)</f>
        <v>1</v>
      </c>
      <c r="M9" s="47">
        <f t="shared" ref="M9:S9" si="5">SUM(M8)</f>
        <v>1.1698908066818412</v>
      </c>
      <c r="N9" s="47">
        <f t="shared" si="5"/>
        <v>1.3531035993981713</v>
      </c>
      <c r="O9" s="47">
        <f t="shared" si="5"/>
        <v>1.5496383781489913</v>
      </c>
      <c r="P9" s="47">
        <f t="shared" si="5"/>
        <v>1.7594951429343006</v>
      </c>
      <c r="Q9" s="47">
        <f t="shared" si="5"/>
        <v>1.9826738937540989</v>
      </c>
      <c r="R9" s="47">
        <f t="shared" si="5"/>
        <v>2.219174630608387</v>
      </c>
      <c r="S9" s="47">
        <f t="shared" si="5"/>
        <v>2.4689973534971648</v>
      </c>
      <c r="T9" s="47">
        <f>L9/$L9</f>
        <v>1</v>
      </c>
      <c r="U9" s="47">
        <f t="shared" ref="U9:AA9" si="6">M9/$L9</f>
        <v>1.1698908066818412</v>
      </c>
      <c r="V9" s="47">
        <f t="shared" si="6"/>
        <v>1.3531035993981713</v>
      </c>
      <c r="W9" s="47">
        <f t="shared" si="6"/>
        <v>1.5496383781489913</v>
      </c>
      <c r="X9" s="47">
        <f t="shared" si="6"/>
        <v>1.7594951429343006</v>
      </c>
      <c r="Y9" s="47">
        <f t="shared" si="6"/>
        <v>1.9826738937540989</v>
      </c>
      <c r="Z9" s="47">
        <f t="shared" si="6"/>
        <v>2.219174630608387</v>
      </c>
      <c r="AA9" s="47">
        <f t="shared" si="6"/>
        <v>2.4689973534971648</v>
      </c>
    </row>
    <row r="10" spans="1:27" x14ac:dyDescent="0.25">
      <c r="A10" s="373" t="s">
        <v>917</v>
      </c>
      <c r="B10" s="373"/>
      <c r="C10" s="297"/>
      <c r="D10" s="422" t="s">
        <v>1164</v>
      </c>
      <c r="E10" s="422" t="s">
        <v>1165</v>
      </c>
      <c r="F10" s="422" t="s">
        <v>1166</v>
      </c>
      <c r="G10" s="422" t="s">
        <v>1167</v>
      </c>
      <c r="H10" s="422" t="s">
        <v>1168</v>
      </c>
      <c r="I10" s="422" t="s">
        <v>1169</v>
      </c>
      <c r="J10" s="422" t="s">
        <v>1170</v>
      </c>
      <c r="K10" s="422" t="s">
        <v>1171</v>
      </c>
      <c r="L10" s="176" t="s">
        <v>1121</v>
      </c>
      <c r="M10" s="176" t="s">
        <v>1122</v>
      </c>
      <c r="N10" s="176" t="s">
        <v>1123</v>
      </c>
      <c r="O10" s="176" t="s">
        <v>1124</v>
      </c>
      <c r="P10" s="176" t="s">
        <v>1125</v>
      </c>
      <c r="Q10" s="176" t="s">
        <v>1126</v>
      </c>
      <c r="R10" s="176" t="s">
        <v>1127</v>
      </c>
      <c r="S10" s="176" t="s">
        <v>1128</v>
      </c>
      <c r="T10" s="428" t="s">
        <v>1137</v>
      </c>
      <c r="U10" s="428" t="s">
        <v>1138</v>
      </c>
      <c r="V10" s="428" t="s">
        <v>1139</v>
      </c>
      <c r="W10" s="428" t="s">
        <v>1140</v>
      </c>
      <c r="X10" s="428" t="s">
        <v>1141</v>
      </c>
      <c r="Y10" s="428" t="s">
        <v>1142</v>
      </c>
      <c r="Z10" s="428" t="s">
        <v>1143</v>
      </c>
      <c r="AA10" s="428" t="s">
        <v>1144</v>
      </c>
    </row>
    <row r="11" spans="1:27" x14ac:dyDescent="0.25">
      <c r="A11" s="15" t="s">
        <v>1041</v>
      </c>
      <c r="B11" s="2" t="s">
        <v>735</v>
      </c>
      <c r="C11" s="15" t="str">
        <f>scen_input_circular!C11</f>
        <v>Circular economy pathway</v>
      </c>
      <c r="D11" s="116">
        <f>scen_input_circular!D11/SUM(scen_input_circular!$D$11:$D$13)</f>
        <v>1</v>
      </c>
      <c r="E11" s="116">
        <f>scen_input_circular!E11/SUM(scen_input_circular!$D$11:$D$13)</f>
        <v>0.85714285714285721</v>
      </c>
      <c r="F11" s="116">
        <f>scen_input_circular!F11/SUM(scen_input_circular!$D$11:$D$13)</f>
        <v>0.7142857142857143</v>
      </c>
      <c r="G11" s="116">
        <f>scen_input_circular!G11/SUM(scen_input_circular!$D$11:$D$13)</f>
        <v>0.5714285714285714</v>
      </c>
      <c r="H11" s="116">
        <f>scen_input_circular!H11/SUM(scen_input_circular!$D$11:$D$13)</f>
        <v>0.4285714285714286</v>
      </c>
      <c r="I11" s="116">
        <f>scen_input_circular!I11/SUM(scen_input_circular!$D$11:$D$13)</f>
        <v>0.2857142857142857</v>
      </c>
      <c r="J11" s="116">
        <f>scen_input_circular!J11/SUM(scen_input_circular!$D$11:$D$13)</f>
        <v>0.1428571428571429</v>
      </c>
      <c r="K11" s="116">
        <f>scen_input_circular!K11/SUM(scen_input_circular!$D$11:$D$13)</f>
        <v>0</v>
      </c>
      <c r="L11" s="116">
        <f>D11*cost_projections!C9*D$14</f>
        <v>1</v>
      </c>
      <c r="M11" s="116">
        <f>E11*cost_projections!D9*E$14</f>
        <v>0.84177840978525331</v>
      </c>
      <c r="N11" s="116">
        <f>F11*cost_projections!E9*F$14</f>
        <v>0.68867830202304114</v>
      </c>
      <c r="O11" s="116">
        <f>G11*cost_projections!F9*G$14</f>
        <v>0.54069967671336361</v>
      </c>
      <c r="P11" s="116">
        <f>H11*cost_projections!G9*H$14</f>
        <v>0.39784253385622081</v>
      </c>
      <c r="Q11" s="116">
        <f>I11*cost_projections!H9*I$14</f>
        <v>0.26010687345161254</v>
      </c>
      <c r="R11" s="116">
        <f>J11*cost_projections!I9*J$14</f>
        <v>0.12749269549953898</v>
      </c>
      <c r="S11" s="116">
        <f>K11*cost_projections!J9*K$14</f>
        <v>0</v>
      </c>
      <c r="T11" s="116">
        <f>L11/L$14*T$14</f>
        <v>1</v>
      </c>
      <c r="U11" s="116">
        <f t="shared" ref="U11:AA11" si="7">M11/M$14*U$14</f>
        <v>0.84177840978525331</v>
      </c>
      <c r="V11" s="116">
        <f t="shared" si="7"/>
        <v>0.68867830202304114</v>
      </c>
      <c r="W11" s="116">
        <f t="shared" si="7"/>
        <v>0.54069967671336361</v>
      </c>
      <c r="X11" s="116">
        <f t="shared" si="7"/>
        <v>0.39784253385622081</v>
      </c>
      <c r="Y11" s="116">
        <f t="shared" si="7"/>
        <v>0.26010687345161254</v>
      </c>
      <c r="Z11" s="116">
        <f t="shared" si="7"/>
        <v>0.12749269549953898</v>
      </c>
      <c r="AA11" s="116">
        <f t="shared" si="7"/>
        <v>0</v>
      </c>
    </row>
    <row r="12" spans="1:27" x14ac:dyDescent="0.25">
      <c r="A12" s="15" t="s">
        <v>1042</v>
      </c>
      <c r="B12" s="2" t="s">
        <v>736</v>
      </c>
      <c r="C12" s="15" t="str">
        <f>scen_input_circular!C12</f>
        <v>Circular economy pathway</v>
      </c>
      <c r="D12" s="116">
        <f>scen_input_circular!D12/SUM(scen_input_circular!$D$11:$D$13)</f>
        <v>0</v>
      </c>
      <c r="E12" s="116">
        <f>scen_input_circular!E12/SUM(scen_input_circular!$D$11:$D$13)</f>
        <v>6.8590092542188355E-2</v>
      </c>
      <c r="F12" s="116">
        <f>scen_input_circular!F12/SUM(scen_input_circular!$D$11:$D$13)</f>
        <v>0.13718018508437671</v>
      </c>
      <c r="G12" s="116">
        <f>scen_input_circular!G12/SUM(scen_input_circular!$D$11:$D$13)</f>
        <v>0.20577027762656505</v>
      </c>
      <c r="H12" s="116">
        <f>scen_input_circular!H12/SUM(scen_input_circular!$D$11:$D$13)</f>
        <v>0.27436037016875342</v>
      </c>
      <c r="I12" s="116">
        <f>scen_input_circular!I12/SUM(scen_input_circular!$D$11:$D$13)</f>
        <v>0.34295046271094176</v>
      </c>
      <c r="J12" s="116">
        <f>scen_input_circular!J12/SUM(scen_input_circular!$D$11:$D$13)</f>
        <v>0.4115405552531301</v>
      </c>
      <c r="K12" s="116">
        <f>scen_input_circular!K12/SUM(scen_input_circular!$D$11:$D$13)</f>
        <v>0.48013064779531844</v>
      </c>
      <c r="L12" s="116">
        <f>D12*cost_projections!C10*D$14</f>
        <v>0</v>
      </c>
      <c r="M12" s="116">
        <f>E12*cost_projections!D10*E$14</f>
        <v>0.11623005869525162</v>
      </c>
      <c r="N12" s="116">
        <f>F12*cost_projections!E10*F$14</f>
        <v>0.22821717032168973</v>
      </c>
      <c r="O12" s="116">
        <f>G12*cost_projections!F10*G$14</f>
        <v>0.33596133487931434</v>
      </c>
      <c r="P12" s="116">
        <f>H12*cost_projections!G10*H$14</f>
        <v>0.43946255236812559</v>
      </c>
      <c r="Q12" s="116">
        <f>I12*cost_projections!H10*I$14</f>
        <v>0.53872082278812317</v>
      </c>
      <c r="R12" s="116">
        <f>J12*cost_projections!I10*J$14</f>
        <v>0.6337361461393074</v>
      </c>
      <c r="S12" s="116">
        <f>K12*cost_projections!J10*K$14</f>
        <v>0.72450852242167818</v>
      </c>
      <c r="T12" s="116">
        <f t="shared" ref="T12:AA13" si="8">L12/L$14*D$14</f>
        <v>0</v>
      </c>
      <c r="U12" s="116">
        <f t="shared" si="8"/>
        <v>0.10605790603961726</v>
      </c>
      <c r="V12" s="116">
        <f t="shared" si="8"/>
        <v>0.19148585256483686</v>
      </c>
      <c r="W12" s="116">
        <f t="shared" si="8"/>
        <v>0.26089344033755557</v>
      </c>
      <c r="X12" s="116">
        <f t="shared" si="8"/>
        <v>0.31761215971001772</v>
      </c>
      <c r="Y12" s="116">
        <f t="shared" si="8"/>
        <v>0.36410965408544238</v>
      </c>
      <c r="Z12" s="116">
        <f t="shared" si="8"/>
        <v>0.40225266622868344</v>
      </c>
      <c r="AA12" s="116">
        <f t="shared" si="8"/>
        <v>0.43347945027265927</v>
      </c>
    </row>
    <row r="13" spans="1:27" x14ac:dyDescent="0.25">
      <c r="A13" s="15" t="s">
        <v>1043</v>
      </c>
      <c r="B13" s="2" t="s">
        <v>744</v>
      </c>
      <c r="C13" s="15" t="str">
        <f>scen_input_circular!C13</f>
        <v>Circular economy pathway</v>
      </c>
      <c r="D13" s="116">
        <f>scen_input_circular!D13/SUM(scen_input_circular!$D$11:$D$13)</f>
        <v>0</v>
      </c>
      <c r="E13" s="116">
        <f>scen_input_circular!E13/SUM(scen_input_circular!$D$11:$D$13)</f>
        <v>5.6341861731083291E-2</v>
      </c>
      <c r="F13" s="116">
        <f>scen_input_circular!F13/SUM(scen_input_circular!$D$11:$D$13)</f>
        <v>0.11268372346216658</v>
      </c>
      <c r="G13" s="116">
        <f>scen_input_circular!G13/SUM(scen_input_circular!$D$11:$D$13)</f>
        <v>0.16902558519324987</v>
      </c>
      <c r="H13" s="116">
        <f>scen_input_circular!H13/SUM(scen_input_circular!$D$11:$D$13)</f>
        <v>0.22536744692433316</v>
      </c>
      <c r="I13" s="116">
        <f>scen_input_circular!I13/SUM(scen_input_circular!$D$11:$D$13)</f>
        <v>0.28170930865541643</v>
      </c>
      <c r="J13" s="116">
        <f>scen_input_circular!J13/SUM(scen_input_circular!$D$11:$D$13)</f>
        <v>0.33805117038649973</v>
      </c>
      <c r="K13" s="116">
        <f>scen_input_circular!K13/SUM(scen_input_circular!$D$11:$D$13)</f>
        <v>0.39439303211758303</v>
      </c>
      <c r="L13" s="116">
        <f>D13*cost_projections!C11*D$14</f>
        <v>0</v>
      </c>
      <c r="M13" s="116">
        <f>E13*cost_projections!D11*E$14</f>
        <v>0.11825842416761191</v>
      </c>
      <c r="N13" s="116">
        <f>F13*cost_projections!E11*F$14</f>
        <v>0.23219985632973869</v>
      </c>
      <c r="O13" s="116">
        <f>G13*cost_projections!F11*G$14</f>
        <v>0.3418242964863803</v>
      </c>
      <c r="P13" s="116">
        <f>H13*cost_projections!G11*H$14</f>
        <v>0.4471317446375368</v>
      </c>
      <c r="Q13" s="116">
        <f>I13*cost_projections!H11*I$14</f>
        <v>0.54812220078320817</v>
      </c>
      <c r="R13" s="116">
        <f>J13*cost_projections!I11*J$14</f>
        <v>0.64479566492339424</v>
      </c>
      <c r="S13" s="116">
        <f>K13*cost_projections!J11*K$14</f>
        <v>0.73715213705809546</v>
      </c>
      <c r="T13" s="116">
        <f t="shared" si="8"/>
        <v>0</v>
      </c>
      <c r="U13" s="116">
        <f t="shared" si="8"/>
        <v>0.10790875423754888</v>
      </c>
      <c r="V13" s="116">
        <f t="shared" si="8"/>
        <v>0.19482752937501868</v>
      </c>
      <c r="W13" s="116">
        <f t="shared" si="8"/>
        <v>0.26544636969409574</v>
      </c>
      <c r="X13" s="116">
        <f t="shared" si="8"/>
        <v>0.32315490438028177</v>
      </c>
      <c r="Y13" s="116">
        <f t="shared" si="8"/>
        <v>0.370463840418914</v>
      </c>
      <c r="Z13" s="116">
        <f t="shared" si="8"/>
        <v>0.40927249766043389</v>
      </c>
      <c r="AA13" s="116">
        <f t="shared" si="8"/>
        <v>0.4410442296402422</v>
      </c>
    </row>
    <row r="14" spans="1:27" x14ac:dyDescent="0.25">
      <c r="A14" s="19" t="s">
        <v>1048</v>
      </c>
      <c r="B14" s="24"/>
      <c r="C14" s="15" t="str">
        <f>scen_input_circular!C14</f>
        <v>Baseline+Stretch</v>
      </c>
      <c r="D14" s="47">
        <f>SUM(scen_input_circular!D11:D13)/SUM(scen_input_circular!$D11:$D13)</f>
        <v>1</v>
      </c>
      <c r="E14" s="47">
        <f>SUM(scen_input_circular!E11:E13)/SUM(scen_input_circular!$D11:$D13)</f>
        <v>0.98207481141612885</v>
      </c>
      <c r="F14" s="47">
        <f>SUM(scen_input_circular!F11:F13)/SUM(scen_input_circular!$D11:$D13)</f>
        <v>0.96414962283225758</v>
      </c>
      <c r="G14" s="47">
        <f>SUM(scen_input_circular!G11:G13)/SUM(scen_input_circular!$D11:$D13)</f>
        <v>0.94622443424838631</v>
      </c>
      <c r="H14" s="47">
        <f>SUM(scen_input_circular!H11:H13)/SUM(scen_input_circular!$D11:$D13)</f>
        <v>0.92829924566451516</v>
      </c>
      <c r="I14" s="47">
        <f>SUM(scen_input_circular!I11:I13)/SUM(scen_input_circular!$D11:$D13)</f>
        <v>0.91037405708064389</v>
      </c>
      <c r="J14" s="47">
        <f>SUM(scen_input_circular!J11:J13)/SUM(scen_input_circular!$D11:$D13)</f>
        <v>0.89244886849677263</v>
      </c>
      <c r="K14" s="47">
        <f>SUM(scen_input_circular!K11:K13)/SUM(scen_input_circular!$D11:$D13)</f>
        <v>0.87452367991290147</v>
      </c>
      <c r="L14" s="47">
        <f>SUM(L11:L13)</f>
        <v>1</v>
      </c>
      <c r="M14" s="47">
        <f t="shared" ref="M14:S14" si="9">SUM(M11:M13)</f>
        <v>1.0762668926481169</v>
      </c>
      <c r="N14" s="47">
        <f t="shared" si="9"/>
        <v>1.1490953286744696</v>
      </c>
      <c r="O14" s="47">
        <f t="shared" si="9"/>
        <v>1.2184853080790583</v>
      </c>
      <c r="P14" s="47">
        <f t="shared" si="9"/>
        <v>1.2844368308618832</v>
      </c>
      <c r="Q14" s="47">
        <f t="shared" si="9"/>
        <v>1.3469498970229439</v>
      </c>
      <c r="R14" s="47">
        <f t="shared" si="9"/>
        <v>1.4060245065622405</v>
      </c>
      <c r="S14" s="47">
        <f t="shared" si="9"/>
        <v>1.4616606594797736</v>
      </c>
      <c r="T14" s="47">
        <f>L14/$L14</f>
        <v>1</v>
      </c>
      <c r="U14" s="47">
        <f t="shared" ref="U14:Z14" si="10">M14/$L14</f>
        <v>1.0762668926481169</v>
      </c>
      <c r="V14" s="47">
        <f t="shared" si="10"/>
        <v>1.1490953286744696</v>
      </c>
      <c r="W14" s="47">
        <f t="shared" si="10"/>
        <v>1.2184853080790583</v>
      </c>
      <c r="X14" s="47">
        <f t="shared" si="10"/>
        <v>1.2844368308618832</v>
      </c>
      <c r="Y14" s="47">
        <f t="shared" si="10"/>
        <v>1.3469498970229439</v>
      </c>
      <c r="Z14" s="47">
        <f t="shared" si="10"/>
        <v>1.4060245065622405</v>
      </c>
      <c r="AA14" s="47">
        <f>S14/$L14</f>
        <v>1.4616606594797736</v>
      </c>
    </row>
    <row r="15" spans="1:27" x14ac:dyDescent="0.25">
      <c r="A15" s="15" t="s">
        <v>161</v>
      </c>
      <c r="B15" s="2" t="s">
        <v>160</v>
      </c>
      <c r="C15" s="15" t="str">
        <f>scen_input_circular!C15</f>
        <v>Circular economy pathway</v>
      </c>
      <c r="D15" s="116">
        <f>scen_input_circular!D15/SUM(scen_input_circular!$D$15)</f>
        <v>1</v>
      </c>
      <c r="E15" s="116">
        <f>scen_input_circular!E15/SUM(scen_input_circular!$D$15)</f>
        <v>1.0868938814101121</v>
      </c>
      <c r="F15" s="116">
        <f>scen_input_circular!F15/SUM(scen_input_circular!$D$15)</f>
        <v>1.1737877628202242</v>
      </c>
      <c r="G15" s="116">
        <f>scen_input_circular!G15/SUM(scen_input_circular!$D$15)</f>
        <v>1.2606816442303364</v>
      </c>
      <c r="H15" s="116">
        <f>scen_input_circular!H15/SUM(scen_input_circular!$D$15)</f>
        <v>1.3475755256404485</v>
      </c>
      <c r="I15" s="116">
        <f>scen_input_circular!I15/SUM(scen_input_circular!$D$15)</f>
        <v>1.4344694070505606</v>
      </c>
      <c r="J15" s="116">
        <f>scen_input_circular!J15/SUM(scen_input_circular!$D$15)</f>
        <v>1.5213632884606727</v>
      </c>
      <c r="K15" s="116">
        <f>scen_input_circular!K15/SUM(scen_input_circular!$D$15)</f>
        <v>1.6082571698707848</v>
      </c>
      <c r="L15" s="116">
        <f>D15*cost_projections!C12*D$16</f>
        <v>1</v>
      </c>
      <c r="M15" s="116">
        <f>E15*cost_projections!D12*E$16</f>
        <v>1.1813383094467389</v>
      </c>
      <c r="N15" s="116">
        <f>F15*cost_projections!E12*F$16</f>
        <v>1.3777777121465069</v>
      </c>
      <c r="O15" s="116">
        <f>G15*cost_projections!F12*G$16</f>
        <v>1.5893182080993045</v>
      </c>
      <c r="P15" s="116">
        <f>H15*cost_projections!G12*H$16</f>
        <v>1.8159597973051309</v>
      </c>
      <c r="Q15" s="116">
        <f>I15*cost_projections!H12*I$16</f>
        <v>2.0577024797639867</v>
      </c>
      <c r="R15" s="116">
        <f>J15*cost_projections!I12*J$16</f>
        <v>2.314546255475872</v>
      </c>
      <c r="S15" s="116">
        <f>K15*cost_projections!J12*K$16</f>
        <v>2.5864911244407862</v>
      </c>
      <c r="T15" s="116">
        <f>L15/L$16*T$16</f>
        <v>1</v>
      </c>
      <c r="U15" s="116">
        <f t="shared" ref="U15:AA15" si="11">M15/M$16*U$16</f>
        <v>1.1813383094467389</v>
      </c>
      <c r="V15" s="116">
        <f t="shared" si="11"/>
        <v>1.3777777121465069</v>
      </c>
      <c r="W15" s="116">
        <f t="shared" si="11"/>
        <v>1.5893182080993045</v>
      </c>
      <c r="X15" s="116">
        <f t="shared" si="11"/>
        <v>1.8159597973051309</v>
      </c>
      <c r="Y15" s="116">
        <f t="shared" si="11"/>
        <v>2.0577024797639867</v>
      </c>
      <c r="Z15" s="116">
        <f t="shared" si="11"/>
        <v>2.314546255475872</v>
      </c>
      <c r="AA15" s="116">
        <f t="shared" si="11"/>
        <v>2.5864911244407862</v>
      </c>
    </row>
    <row r="16" spans="1:27" x14ac:dyDescent="0.25">
      <c r="A16" s="19" t="s">
        <v>1048</v>
      </c>
      <c r="B16" s="19"/>
      <c r="C16" s="15" t="str">
        <f>scen_input_circular!C16</f>
        <v>Baseline+Stretch</v>
      </c>
      <c r="D16" s="47">
        <f>SUM(scen_input_circular!D15)/SUM(scen_input_circular!$D15)</f>
        <v>1</v>
      </c>
      <c r="E16" s="47">
        <f>SUM(scen_input_circular!E15)/SUM(scen_input_circular!$D15)</f>
        <v>1.0868938814101121</v>
      </c>
      <c r="F16" s="47">
        <f>SUM(scen_input_circular!F15)/SUM(scen_input_circular!$D15)</f>
        <v>1.1737877628202242</v>
      </c>
      <c r="G16" s="47">
        <f>SUM(scen_input_circular!G15)/SUM(scen_input_circular!$D15)</f>
        <v>1.2606816442303364</v>
      </c>
      <c r="H16" s="47">
        <f>SUM(scen_input_circular!H15)/SUM(scen_input_circular!$D15)</f>
        <v>1.3475755256404485</v>
      </c>
      <c r="I16" s="47">
        <f>SUM(scen_input_circular!I15)/SUM(scen_input_circular!$D15)</f>
        <v>1.4344694070505606</v>
      </c>
      <c r="J16" s="47">
        <f>SUM(scen_input_circular!J15)/SUM(scen_input_circular!$D15)</f>
        <v>1.5213632884606727</v>
      </c>
      <c r="K16" s="47">
        <f>SUM(scen_input_circular!K15)/SUM(scen_input_circular!$D15)</f>
        <v>1.6082571698707848</v>
      </c>
      <c r="L16" s="47">
        <f>SUM(L15)</f>
        <v>1</v>
      </c>
      <c r="M16" s="47">
        <f t="shared" ref="M16:S16" si="12">SUM(M15)</f>
        <v>1.1813383094467389</v>
      </c>
      <c r="N16" s="47">
        <f t="shared" si="12"/>
        <v>1.3777777121465069</v>
      </c>
      <c r="O16" s="47">
        <f t="shared" si="12"/>
        <v>1.5893182080993045</v>
      </c>
      <c r="P16" s="47">
        <f t="shared" si="12"/>
        <v>1.8159597973051309</v>
      </c>
      <c r="Q16" s="47">
        <f t="shared" si="12"/>
        <v>2.0577024797639867</v>
      </c>
      <c r="R16" s="47">
        <f t="shared" si="12"/>
        <v>2.314546255475872</v>
      </c>
      <c r="S16" s="47">
        <f t="shared" si="12"/>
        <v>2.5864911244407862</v>
      </c>
      <c r="T16" s="47">
        <f>L16/$L16</f>
        <v>1</v>
      </c>
      <c r="U16" s="47">
        <f t="shared" ref="U16:Z16" si="13">M16/$L16</f>
        <v>1.1813383094467389</v>
      </c>
      <c r="V16" s="47">
        <f t="shared" si="13"/>
        <v>1.3777777121465069</v>
      </c>
      <c r="W16" s="47">
        <f t="shared" si="13"/>
        <v>1.5893182080993045</v>
      </c>
      <c r="X16" s="47">
        <f t="shared" si="13"/>
        <v>1.8159597973051309</v>
      </c>
      <c r="Y16" s="47">
        <f t="shared" si="13"/>
        <v>2.0577024797639867</v>
      </c>
      <c r="Z16" s="47">
        <f t="shared" si="13"/>
        <v>2.314546255475872</v>
      </c>
      <c r="AA16" s="47">
        <f>S16/$L16</f>
        <v>2.5864911244407862</v>
      </c>
    </row>
    <row r="17" spans="1:27" x14ac:dyDescent="0.25">
      <c r="A17" s="373" t="s">
        <v>1054</v>
      </c>
      <c r="B17" s="373"/>
      <c r="C17" s="297"/>
      <c r="D17" s="422" t="s">
        <v>1164</v>
      </c>
      <c r="E17" s="422" t="s">
        <v>1165</v>
      </c>
      <c r="F17" s="422" t="s">
        <v>1166</v>
      </c>
      <c r="G17" s="422" t="s">
        <v>1167</v>
      </c>
      <c r="H17" s="422" t="s">
        <v>1168</v>
      </c>
      <c r="I17" s="422" t="s">
        <v>1169</v>
      </c>
      <c r="J17" s="422" t="s">
        <v>1170</v>
      </c>
      <c r="K17" s="422" t="s">
        <v>1171</v>
      </c>
      <c r="L17" s="176" t="s">
        <v>1121</v>
      </c>
      <c r="M17" s="176" t="s">
        <v>1122</v>
      </c>
      <c r="N17" s="176" t="s">
        <v>1123</v>
      </c>
      <c r="O17" s="176" t="s">
        <v>1124</v>
      </c>
      <c r="P17" s="176" t="s">
        <v>1125</v>
      </c>
      <c r="Q17" s="176" t="s">
        <v>1126</v>
      </c>
      <c r="R17" s="176" t="s">
        <v>1127</v>
      </c>
      <c r="S17" s="176" t="s">
        <v>1128</v>
      </c>
      <c r="T17" s="428" t="s">
        <v>1137</v>
      </c>
      <c r="U17" s="428" t="s">
        <v>1138</v>
      </c>
      <c r="V17" s="428" t="s">
        <v>1139</v>
      </c>
      <c r="W17" s="428" t="s">
        <v>1140</v>
      </c>
      <c r="X17" s="428" t="s">
        <v>1141</v>
      </c>
      <c r="Y17" s="428" t="s">
        <v>1142</v>
      </c>
      <c r="Z17" s="428" t="s">
        <v>1143</v>
      </c>
      <c r="AA17" s="428" t="s">
        <v>1144</v>
      </c>
    </row>
    <row r="18" spans="1:27" x14ac:dyDescent="0.25">
      <c r="A18" s="15" t="s">
        <v>1044</v>
      </c>
      <c r="B18" s="2" t="s">
        <v>737</v>
      </c>
      <c r="C18" s="15" t="str">
        <f>scen_input_circular!C18</f>
        <v>Circular economy pathway</v>
      </c>
      <c r="D18" s="116">
        <f>scen_input_circular!D18/SUM(scen_input_circular!$D$18:$D$20)</f>
        <v>1</v>
      </c>
      <c r="E18" s="116">
        <f>scen_input_circular!E18/SUM(scen_input_circular!$D$18:$D$20)</f>
        <v>0.85714285714285721</v>
      </c>
      <c r="F18" s="116">
        <f>scen_input_circular!F18/SUM(scen_input_circular!$D$18:$D$20)</f>
        <v>0.7142857142857143</v>
      </c>
      <c r="G18" s="116">
        <f>scen_input_circular!G18/SUM(scen_input_circular!$D$18:$D$20)</f>
        <v>0.5714285714285714</v>
      </c>
      <c r="H18" s="116">
        <f>scen_input_circular!H18/SUM(scen_input_circular!$D$18:$D$20)</f>
        <v>0.4285714285714286</v>
      </c>
      <c r="I18" s="116">
        <f>scen_input_circular!I18/SUM(scen_input_circular!$D$18:$D$20)</f>
        <v>0.2857142857142857</v>
      </c>
      <c r="J18" s="116">
        <f>scen_input_circular!J18/SUM(scen_input_circular!$D$18:$D$20)</f>
        <v>0.1428571428571429</v>
      </c>
      <c r="K18" s="116">
        <f>scen_input_circular!K18/SUM(scen_input_circular!$D$18:$D$20)</f>
        <v>0</v>
      </c>
      <c r="L18" s="116">
        <f>D18*cost_projections!C14*D$21</f>
        <v>1</v>
      </c>
      <c r="M18" s="116">
        <f>E18*cost_projections!D14*E$21</f>
        <v>0.76738879870129884</v>
      </c>
      <c r="N18" s="116">
        <f>F18*cost_projections!E14*F$21</f>
        <v>0.56469561688311687</v>
      </c>
      <c r="O18" s="116">
        <f>G18*cost_projections!F14*G$21</f>
        <v>0.39192045454545454</v>
      </c>
      <c r="P18" s="116">
        <f>H18*cost_projections!G14*H$21</f>
        <v>0.24906331168831175</v>
      </c>
      <c r="Q18" s="116">
        <f>I18*cost_projections!H14*I$21</f>
        <v>0.13612418831168829</v>
      </c>
      <c r="R18" s="116">
        <f>J18*cost_projections!I14*J$21</f>
        <v>5.3103084415584451E-2</v>
      </c>
      <c r="S18" s="116">
        <f>K18*cost_projections!J14*K$21</f>
        <v>0</v>
      </c>
      <c r="T18" s="116">
        <f>L18/L$21*T$21</f>
        <v>1</v>
      </c>
      <c r="U18" s="116">
        <f t="shared" ref="U18:AA20" si="14">M18/M$21*E$21</f>
        <v>0.84042161824783879</v>
      </c>
      <c r="V18" s="116">
        <f t="shared" si="14"/>
        <v>0.68348573124707757</v>
      </c>
      <c r="W18" s="116">
        <f t="shared" si="14"/>
        <v>0.53012416733542056</v>
      </c>
      <c r="X18" s="116">
        <f t="shared" si="14"/>
        <v>0.38176523670234669</v>
      </c>
      <c r="Y18" s="116">
        <f t="shared" si="14"/>
        <v>0.24071520320095308</v>
      </c>
      <c r="Z18" s="116">
        <f t="shared" si="14"/>
        <v>0.11095534419200491</v>
      </c>
      <c r="AA18" s="116">
        <f t="shared" si="14"/>
        <v>0</v>
      </c>
    </row>
    <row r="19" spans="1:27" x14ac:dyDescent="0.25">
      <c r="A19" s="15" t="s">
        <v>1045</v>
      </c>
      <c r="B19" s="2" t="s">
        <v>738</v>
      </c>
      <c r="C19" s="15" t="str">
        <f>scen_input_circular!C19</f>
        <v>Circular economy pathway</v>
      </c>
      <c r="D19" s="116">
        <f>scen_input_circular!D19/SUM(scen_input_circular!$D$18:$D$20)</f>
        <v>0</v>
      </c>
      <c r="E19" s="116">
        <f>scen_input_circular!E19/SUM(scen_input_circular!$D$18:$D$20)</f>
        <v>0</v>
      </c>
      <c r="F19" s="116">
        <f>scen_input_circular!F19/SUM(scen_input_circular!$D$18:$D$20)</f>
        <v>0</v>
      </c>
      <c r="G19" s="116">
        <f>scen_input_circular!G19/SUM(scen_input_circular!$D$18:$D$20)</f>
        <v>0</v>
      </c>
      <c r="H19" s="116">
        <f>scen_input_circular!H19/SUM(scen_input_circular!$D$18:$D$20)</f>
        <v>0</v>
      </c>
      <c r="I19" s="116">
        <f>scen_input_circular!I19/SUM(scen_input_circular!$D$18:$D$20)</f>
        <v>0</v>
      </c>
      <c r="J19" s="116">
        <f>scen_input_circular!J19/SUM(scen_input_circular!$D$18:$D$20)</f>
        <v>0</v>
      </c>
      <c r="K19" s="116">
        <f>scen_input_circular!K19/SUM(scen_input_circular!$D$18:$D$20)</f>
        <v>0</v>
      </c>
      <c r="L19" s="116">
        <f>D19*cost_projections!C15*D$21</f>
        <v>0</v>
      </c>
      <c r="M19" s="116">
        <f>E19*cost_projections!D15*E$21</f>
        <v>0</v>
      </c>
      <c r="N19" s="116">
        <f>F19*cost_projections!E15*F$21</f>
        <v>0</v>
      </c>
      <c r="O19" s="116">
        <f>G19*cost_projections!F15*G$21</f>
        <v>0</v>
      </c>
      <c r="P19" s="116">
        <f>H19*cost_projections!G15*H$21</f>
        <v>0</v>
      </c>
      <c r="Q19" s="116">
        <f>I19*cost_projections!H15*I$21</f>
        <v>0</v>
      </c>
      <c r="R19" s="116">
        <f>J19*cost_projections!I15*J$21</f>
        <v>0</v>
      </c>
      <c r="S19" s="116">
        <f>K19*cost_projections!J15*K$21</f>
        <v>0</v>
      </c>
      <c r="T19" s="116">
        <f>L19/L$21*T$21</f>
        <v>0</v>
      </c>
      <c r="U19" s="116">
        <f t="shared" si="14"/>
        <v>0</v>
      </c>
      <c r="V19" s="116">
        <f t="shared" si="14"/>
        <v>0</v>
      </c>
      <c r="W19" s="116">
        <f t="shared" si="14"/>
        <v>0</v>
      </c>
      <c r="X19" s="116">
        <f t="shared" si="14"/>
        <v>0</v>
      </c>
      <c r="Y19" s="116">
        <f t="shared" si="14"/>
        <v>0</v>
      </c>
      <c r="Z19" s="116">
        <f t="shared" si="14"/>
        <v>0</v>
      </c>
      <c r="AA19" s="116">
        <f t="shared" si="14"/>
        <v>0</v>
      </c>
    </row>
    <row r="20" spans="1:27" x14ac:dyDescent="0.25">
      <c r="A20" s="15" t="s">
        <v>1046</v>
      </c>
      <c r="B20" s="2" t="s">
        <v>748</v>
      </c>
      <c r="C20" s="15" t="str">
        <f>scen_input_circular!C20</f>
        <v>Circular economy pathway</v>
      </c>
      <c r="D20" s="116">
        <f>scen_input_circular!D20/SUM(scen_input_circular!$D$18:$D$20)</f>
        <v>0</v>
      </c>
      <c r="E20" s="116">
        <f>scen_input_circular!E20/SUM(scen_input_circular!$D$18:$D$20)</f>
        <v>3.8144074675324678E-2</v>
      </c>
      <c r="F20" s="116">
        <f>scen_input_circular!F20/SUM(scen_input_circular!$D$18:$D$20)</f>
        <v>7.6288149350649356E-2</v>
      </c>
      <c r="G20" s="116">
        <f>scen_input_circular!G20/SUM(scen_input_circular!$D$18:$D$20)</f>
        <v>0.11443222402597406</v>
      </c>
      <c r="H20" s="116">
        <f>scen_input_circular!H20/SUM(scen_input_circular!$D$18:$D$20)</f>
        <v>0.15257629870129871</v>
      </c>
      <c r="I20" s="116">
        <f>scen_input_circular!I20/SUM(scen_input_circular!$D$18:$D$20)</f>
        <v>0.1907203733766234</v>
      </c>
      <c r="J20" s="116">
        <f>scen_input_circular!J20/SUM(scen_input_circular!$D$18:$D$20)</f>
        <v>0.22886444805194811</v>
      </c>
      <c r="K20" s="116">
        <f>scen_input_circular!K20/SUM(scen_input_circular!$D$18:$D$20)</f>
        <v>0.26700852272727277</v>
      </c>
      <c r="L20" s="116">
        <f>D20*cost_projections!C16*D$21</f>
        <v>0</v>
      </c>
      <c r="M20" s="116">
        <f>E20*cost_projections!D16*E$21</f>
        <v>5.0097506010012567E-2</v>
      </c>
      <c r="N20" s="116">
        <f>F20*cost_projections!E16*F$21</f>
        <v>8.8476168873477687E-2</v>
      </c>
      <c r="O20" s="116">
        <f>G20*cost_projections!F16*G$21</f>
        <v>0.11513598859039541</v>
      </c>
      <c r="P20" s="116">
        <f>H20*cost_projections!G16*H$21</f>
        <v>0.13007696516076564</v>
      </c>
      <c r="Q20" s="116">
        <f>I20*cost_projections!H16*I$21</f>
        <v>0.13329909858458844</v>
      </c>
      <c r="R20" s="116">
        <f>J20*cost_projections!I16*J$21</f>
        <v>0.12480238886186389</v>
      </c>
      <c r="S20" s="116">
        <f>K20*cost_projections!J16*K$21</f>
        <v>0.10458683599259178</v>
      </c>
      <c r="T20" s="116">
        <f>L20/L$21*T$21</f>
        <v>0</v>
      </c>
      <c r="U20" s="116">
        <f t="shared" si="14"/>
        <v>5.4865313570343015E-2</v>
      </c>
      <c r="V20" s="116">
        <f t="shared" si="14"/>
        <v>0.10708813238928613</v>
      </c>
      <c r="W20" s="116">
        <f t="shared" si="14"/>
        <v>0.15573662811912489</v>
      </c>
      <c r="X20" s="116">
        <f t="shared" si="14"/>
        <v>0.19938249057038068</v>
      </c>
      <c r="Y20" s="116">
        <f t="shared" si="14"/>
        <v>0.23571945588995605</v>
      </c>
      <c r="Z20" s="116">
        <f t="shared" si="14"/>
        <v>0.26076624671708615</v>
      </c>
      <c r="AA20" s="116">
        <f t="shared" si="14"/>
        <v>0.26700852272727277</v>
      </c>
    </row>
    <row r="21" spans="1:27" x14ac:dyDescent="0.25">
      <c r="A21" s="19" t="s">
        <v>1048</v>
      </c>
      <c r="B21" s="24"/>
      <c r="C21" s="15" t="str">
        <f>scen_input_circular!C21</f>
        <v>Baseline+Reductions</v>
      </c>
      <c r="D21" s="47">
        <f>SUM(scen_input_circular!D18:D20)/SUM(scen_input_circular!$D18:$D20)</f>
        <v>1</v>
      </c>
      <c r="E21" s="47">
        <f>SUM(scen_input_circular!E18:E20)/SUM(scen_input_circular!$D18:$D20)</f>
        <v>0.89528693181818186</v>
      </c>
      <c r="F21" s="47">
        <f>SUM(scen_input_circular!F18:F20)/SUM(scen_input_circular!$D18:$D20)</f>
        <v>0.79057386363636362</v>
      </c>
      <c r="G21" s="47">
        <f>SUM(scen_input_circular!G18:G20)/SUM(scen_input_circular!$D18:$D20)</f>
        <v>0.68586079545454548</v>
      </c>
      <c r="H21" s="47">
        <f>SUM(scen_input_circular!H18:H20)/SUM(scen_input_circular!$D18:$D20)</f>
        <v>0.58114772727272734</v>
      </c>
      <c r="I21" s="47">
        <f>SUM(scen_input_circular!I18:I20)/SUM(scen_input_circular!$D18:$D20)</f>
        <v>0.4764346590909091</v>
      </c>
      <c r="J21" s="47">
        <f>SUM(scen_input_circular!J18:J20)/SUM(scen_input_circular!$D18:$D20)</f>
        <v>0.37172159090909102</v>
      </c>
      <c r="K21" s="47">
        <f>SUM(scen_input_circular!K18:K20)/SUM(scen_input_circular!$D18:$D20)</f>
        <v>0.26700852272727277</v>
      </c>
      <c r="L21" s="47">
        <f>SUM(L18:L20)</f>
        <v>1</v>
      </c>
      <c r="M21" s="47">
        <f t="shared" ref="M21:S21" si="15">SUM(M18:M20)</f>
        <v>0.81748630471131145</v>
      </c>
      <c r="N21" s="47">
        <f t="shared" si="15"/>
        <v>0.65317178575659451</v>
      </c>
      <c r="O21" s="47">
        <f t="shared" si="15"/>
        <v>0.50705644313584997</v>
      </c>
      <c r="P21" s="47">
        <f t="shared" si="15"/>
        <v>0.37914027684907736</v>
      </c>
      <c r="Q21" s="47">
        <f t="shared" si="15"/>
        <v>0.2694232868962767</v>
      </c>
      <c r="R21" s="47">
        <f t="shared" si="15"/>
        <v>0.17790547327744832</v>
      </c>
      <c r="S21" s="47">
        <f t="shared" si="15"/>
        <v>0.10458683599259178</v>
      </c>
      <c r="T21" s="47">
        <f>L21/$L21</f>
        <v>1</v>
      </c>
      <c r="U21" s="47">
        <f t="shared" ref="U21:AA21" si="16">M21/$L21</f>
        <v>0.81748630471131145</v>
      </c>
      <c r="V21" s="47">
        <f t="shared" si="16"/>
        <v>0.65317178575659451</v>
      </c>
      <c r="W21" s="47">
        <f t="shared" si="16"/>
        <v>0.50705644313584997</v>
      </c>
      <c r="X21" s="47">
        <f t="shared" si="16"/>
        <v>0.37914027684907736</v>
      </c>
      <c r="Y21" s="47">
        <f t="shared" si="16"/>
        <v>0.2694232868962767</v>
      </c>
      <c r="Z21" s="47">
        <f t="shared" si="16"/>
        <v>0.17790547327744832</v>
      </c>
      <c r="AA21" s="47">
        <f t="shared" si="16"/>
        <v>0.10458683599259178</v>
      </c>
    </row>
    <row r="22" spans="1:27" x14ac:dyDescent="0.25">
      <c r="A22" s="15" t="s">
        <v>1047</v>
      </c>
      <c r="B22" s="2" t="s">
        <v>140</v>
      </c>
      <c r="C22" s="15" t="str">
        <f>scen_input_circular!C22</f>
        <v>Circular economy pathway</v>
      </c>
      <c r="D22" s="116">
        <f>scen_input_circular!D22/SUM(scen_input_circular!$D$22)</f>
        <v>1</v>
      </c>
      <c r="E22" s="116">
        <f>scen_input_circular!E22/SUM(scen_input_circular!$D$22)</f>
        <v>2.2751841517857141</v>
      </c>
      <c r="F22" s="116">
        <f>scen_input_circular!F22/SUM(scen_input_circular!$D$22)</f>
        <v>3.5503683035714286</v>
      </c>
      <c r="G22" s="116">
        <f>scen_input_circular!G22/SUM(scen_input_circular!$D$22)</f>
        <v>4.8255524553571432</v>
      </c>
      <c r="H22" s="116">
        <f>scen_input_circular!H22/SUM(scen_input_circular!$D$22)</f>
        <v>6.1007366071428573</v>
      </c>
      <c r="I22" s="116">
        <f>scen_input_circular!I22/SUM(scen_input_circular!$D$22)</f>
        <v>7.3759207589285722</v>
      </c>
      <c r="J22" s="116">
        <f>scen_input_circular!J22/SUM(scen_input_circular!$D$22)</f>
        <v>8.6511049107142863</v>
      </c>
      <c r="K22" s="116">
        <f>scen_input_circular!K22/SUM(scen_input_circular!$D$22)</f>
        <v>9.9262890625000004</v>
      </c>
      <c r="L22" s="116">
        <f>D22*cost_projections!C17*D$23</f>
        <v>1</v>
      </c>
      <c r="M22" s="116">
        <f>E22*cost_projections!D17*E$23</f>
        <v>5.176462924536879</v>
      </c>
      <c r="N22" s="116">
        <f>F22*cost_projections!E17*F$23</f>
        <v>12.605115091004665</v>
      </c>
      <c r="O22" s="116">
        <f>G22*cost_projections!F17*G$23</f>
        <v>23.285956499403355</v>
      </c>
      <c r="P22" s="116">
        <f>H22*cost_projections!G17*H$23</f>
        <v>37.218987149732939</v>
      </c>
      <c r="Q22" s="116">
        <f>I22*cost_projections!H17*I$23</f>
        <v>54.404207041993445</v>
      </c>
      <c r="R22" s="116">
        <f>J22*cost_projections!I17*J$23</f>
        <v>74.841616176184843</v>
      </c>
      <c r="S22" s="116">
        <f>K22*cost_projections!J17*K$23</f>
        <v>98.531214552307134</v>
      </c>
      <c r="T22" s="116">
        <f>L22/L$23*T$23</f>
        <v>1</v>
      </c>
      <c r="U22" s="116">
        <f t="shared" ref="U22:Z22" si="17">M22/M$23*E$23</f>
        <v>2.2751841517857141</v>
      </c>
      <c r="V22" s="116">
        <f t="shared" si="17"/>
        <v>3.5503683035714286</v>
      </c>
      <c r="W22" s="116">
        <f t="shared" si="17"/>
        <v>4.8255524553571432</v>
      </c>
      <c r="X22" s="116">
        <f t="shared" si="17"/>
        <v>6.1007366071428573</v>
      </c>
      <c r="Y22" s="116">
        <f t="shared" si="17"/>
        <v>7.3759207589285722</v>
      </c>
      <c r="Z22" s="116">
        <f t="shared" si="17"/>
        <v>8.6511049107142863</v>
      </c>
      <c r="AA22" s="116">
        <f>S22/S$23*K$23</f>
        <v>9.9262890625000004</v>
      </c>
    </row>
    <row r="23" spans="1:27" x14ac:dyDescent="0.25">
      <c r="A23" s="19" t="s">
        <v>1048</v>
      </c>
      <c r="B23" s="19"/>
      <c r="C23" s="15" t="str">
        <f>scen_input_circular!C23</f>
        <v>Baseline+Reductions</v>
      </c>
      <c r="D23" s="47">
        <f>SUM(scen_input_circular!D22)/SUM(scen_input_circular!$D22)</f>
        <v>1</v>
      </c>
      <c r="E23" s="47">
        <f>SUM(scen_input_circular!E22)/SUM(scen_input_circular!$D22)</f>
        <v>2.2751841517857141</v>
      </c>
      <c r="F23" s="47">
        <f>SUM(scen_input_circular!F22)/SUM(scen_input_circular!$D22)</f>
        <v>3.5503683035714286</v>
      </c>
      <c r="G23" s="47">
        <f>SUM(scen_input_circular!G22)/SUM(scen_input_circular!$D22)</f>
        <v>4.8255524553571432</v>
      </c>
      <c r="H23" s="47">
        <f>SUM(scen_input_circular!H22)/SUM(scen_input_circular!$D22)</f>
        <v>6.1007366071428573</v>
      </c>
      <c r="I23" s="47">
        <f>SUM(scen_input_circular!I22)/SUM(scen_input_circular!$D22)</f>
        <v>7.3759207589285722</v>
      </c>
      <c r="J23" s="47">
        <f>SUM(scen_input_circular!J22)/SUM(scen_input_circular!$D22)</f>
        <v>8.6511049107142863</v>
      </c>
      <c r="K23" s="47">
        <f>SUM(scen_input_circular!K22)/SUM(scen_input_circular!$D22)</f>
        <v>9.9262890625000004</v>
      </c>
      <c r="L23" s="47">
        <f>SUM(L22)</f>
        <v>1</v>
      </c>
      <c r="M23" s="47">
        <f t="shared" ref="M23:S23" si="18">SUM(M22)</f>
        <v>5.176462924536879</v>
      </c>
      <c r="N23" s="47">
        <f t="shared" si="18"/>
        <v>12.605115091004665</v>
      </c>
      <c r="O23" s="47">
        <f t="shared" si="18"/>
        <v>23.285956499403355</v>
      </c>
      <c r="P23" s="47">
        <f t="shared" si="18"/>
        <v>37.218987149732939</v>
      </c>
      <c r="Q23" s="47">
        <f t="shared" si="18"/>
        <v>54.404207041993445</v>
      </c>
      <c r="R23" s="47">
        <f t="shared" si="18"/>
        <v>74.841616176184843</v>
      </c>
      <c r="S23" s="47">
        <f t="shared" si="18"/>
        <v>98.531214552307134</v>
      </c>
      <c r="T23" s="47">
        <f>L23/$L23</f>
        <v>1</v>
      </c>
      <c r="U23" s="47">
        <f t="shared" ref="U23:Z23" si="19">M23/$L23</f>
        <v>5.176462924536879</v>
      </c>
      <c r="V23" s="47">
        <f t="shared" si="19"/>
        <v>12.605115091004665</v>
      </c>
      <c r="W23" s="47">
        <f t="shared" si="19"/>
        <v>23.285956499403355</v>
      </c>
      <c r="X23" s="47">
        <f t="shared" si="19"/>
        <v>37.218987149732939</v>
      </c>
      <c r="Y23" s="47">
        <f t="shared" si="19"/>
        <v>54.404207041993445</v>
      </c>
      <c r="Z23" s="47">
        <f t="shared" si="19"/>
        <v>74.841616176184843</v>
      </c>
      <c r="AA23" s="47">
        <f>S23/$L23</f>
        <v>98.531214552307134</v>
      </c>
    </row>
    <row r="24" spans="1:27" x14ac:dyDescent="0.25">
      <c r="A24" s="373" t="s">
        <v>1055</v>
      </c>
      <c r="B24" s="373"/>
      <c r="C24" s="297"/>
      <c r="D24" s="422" t="s">
        <v>1164</v>
      </c>
      <c r="E24" s="422" t="s">
        <v>1165</v>
      </c>
      <c r="F24" s="422" t="s">
        <v>1166</v>
      </c>
      <c r="G24" s="422" t="s">
        <v>1167</v>
      </c>
      <c r="H24" s="422" t="s">
        <v>1168</v>
      </c>
      <c r="I24" s="422" t="s">
        <v>1169</v>
      </c>
      <c r="J24" s="422" t="s">
        <v>1170</v>
      </c>
      <c r="K24" s="422" t="s">
        <v>1171</v>
      </c>
      <c r="L24" s="176" t="s">
        <v>1121</v>
      </c>
      <c r="M24" s="176" t="s">
        <v>1122</v>
      </c>
      <c r="N24" s="176" t="s">
        <v>1123</v>
      </c>
      <c r="O24" s="176" t="s">
        <v>1124</v>
      </c>
      <c r="P24" s="176" t="s">
        <v>1125</v>
      </c>
      <c r="Q24" s="176" t="s">
        <v>1126</v>
      </c>
      <c r="R24" s="176" t="s">
        <v>1127</v>
      </c>
      <c r="S24" s="176" t="s">
        <v>1128</v>
      </c>
      <c r="T24" s="428" t="s">
        <v>1137</v>
      </c>
      <c r="U24" s="428" t="s">
        <v>1138</v>
      </c>
      <c r="V24" s="428" t="s">
        <v>1139</v>
      </c>
      <c r="W24" s="428" t="s">
        <v>1140</v>
      </c>
      <c r="X24" s="428" t="s">
        <v>1141</v>
      </c>
      <c r="Y24" s="428" t="s">
        <v>1142</v>
      </c>
      <c r="Z24" s="428" t="s">
        <v>1143</v>
      </c>
      <c r="AA24" s="428" t="s">
        <v>1144</v>
      </c>
    </row>
    <row r="25" spans="1:27" x14ac:dyDescent="0.25">
      <c r="A25" s="15" t="s">
        <v>1049</v>
      </c>
      <c r="B25" s="2" t="s">
        <v>739</v>
      </c>
      <c r="C25" s="15" t="str">
        <f>scen_input_circular!C25</f>
        <v>Circular economy pathway</v>
      </c>
      <c r="D25" s="116">
        <f>scen_input_circular!D25/SUM(scen_input_circular!$D$25:$D$27)</f>
        <v>1</v>
      </c>
      <c r="E25" s="116">
        <f>scen_input_circular!E25/SUM(scen_input_circular!$D$25:$D$27)</f>
        <v>0.85714285714285721</v>
      </c>
      <c r="F25" s="116">
        <f>scen_input_circular!F25/SUM(scen_input_circular!$D$25:$D$27)</f>
        <v>0.7142857142857143</v>
      </c>
      <c r="G25" s="116">
        <f>scen_input_circular!G25/SUM(scen_input_circular!$D$25:$D$27)</f>
        <v>0.5714285714285714</v>
      </c>
      <c r="H25" s="116">
        <f>scen_input_circular!H25/SUM(scen_input_circular!$D$25:$D$27)</f>
        <v>0.4285714285714286</v>
      </c>
      <c r="I25" s="116">
        <f>scen_input_circular!I25/SUM(scen_input_circular!$D$25:$D$27)</f>
        <v>0.2857142857142857</v>
      </c>
      <c r="J25" s="116">
        <f>scen_input_circular!J25/SUM(scen_input_circular!$D$25:$D$27)</f>
        <v>0.1428571428571429</v>
      </c>
      <c r="K25" s="116">
        <f>scen_input_circular!K25/SUM(scen_input_circular!$D$25:$D$27)</f>
        <v>0</v>
      </c>
      <c r="L25" s="116">
        <f>D25*cost_projections!C19*D$28</f>
        <v>1</v>
      </c>
      <c r="M25" s="116">
        <f>E25*cost_projections!D19*E$28</f>
        <v>0.80272108843537426</v>
      </c>
      <c r="N25" s="116">
        <f>F25*cost_projections!E19*F$28</f>
        <v>0.62358276643990929</v>
      </c>
      <c r="O25" s="116">
        <f>G25*cost_projections!F19*G$28</f>
        <v>0.4625850340136054</v>
      </c>
      <c r="P25" s="116">
        <f>H25*cost_projections!G19*H$28</f>
        <v>0.31972789115646261</v>
      </c>
      <c r="Q25" s="116">
        <f>I25*cost_projections!H19*I$28</f>
        <v>0.19501133786848071</v>
      </c>
      <c r="R25" s="116">
        <f>J25*cost_projections!I19*J$28</f>
        <v>8.8435374149659893E-2</v>
      </c>
      <c r="S25" s="116">
        <f>K25*cost_projections!J19*K$28</f>
        <v>0</v>
      </c>
      <c r="T25" s="116">
        <f>L25/L$28*T$28</f>
        <v>1</v>
      </c>
      <c r="U25" s="116">
        <f t="shared" ref="U25:AA27" si="20">M25/M$28*E$28</f>
        <v>0.8033922599139991</v>
      </c>
      <c r="V25" s="116">
        <f t="shared" si="20"/>
        <v>0.62462641960549914</v>
      </c>
      <c r="W25" s="116">
        <f t="shared" si="20"/>
        <v>0.46374730796841346</v>
      </c>
      <c r="X25" s="116">
        <f t="shared" si="20"/>
        <v>0.32079990420308946</v>
      </c>
      <c r="Y25" s="116">
        <f t="shared" si="20"/>
        <v>0.19582933844678807</v>
      </c>
      <c r="Z25" s="116">
        <f t="shared" si="20"/>
        <v>8.8880892407340789E-2</v>
      </c>
      <c r="AA25" s="116">
        <f t="shared" si="20"/>
        <v>0</v>
      </c>
    </row>
    <row r="26" spans="1:27" x14ac:dyDescent="0.25">
      <c r="A26" s="15" t="s">
        <v>1050</v>
      </c>
      <c r="B26" s="2" t="s">
        <v>740</v>
      </c>
      <c r="C26" s="15" t="str">
        <f>scen_input_circular!C26</f>
        <v>Circular economy pathway</v>
      </c>
      <c r="D26" s="116">
        <f>scen_input_circular!D26/SUM(scen_input_circular!$D$25:$D$27)</f>
        <v>0</v>
      </c>
      <c r="E26" s="116">
        <f>scen_input_circular!E26/SUM(scen_input_circular!$D$25:$D$27)</f>
        <v>0</v>
      </c>
      <c r="F26" s="116">
        <f>scen_input_circular!F26/SUM(scen_input_circular!$D$25:$D$27)</f>
        <v>0</v>
      </c>
      <c r="G26" s="116">
        <f>scen_input_circular!G26/SUM(scen_input_circular!$D$25:$D$27)</f>
        <v>0</v>
      </c>
      <c r="H26" s="116">
        <f>scen_input_circular!H26/SUM(scen_input_circular!$D$25:$D$27)</f>
        <v>0</v>
      </c>
      <c r="I26" s="116">
        <f>scen_input_circular!I26/SUM(scen_input_circular!$D$25:$D$27)</f>
        <v>0</v>
      </c>
      <c r="J26" s="116">
        <f>scen_input_circular!J26/SUM(scen_input_circular!$D$25:$D$27)</f>
        <v>0</v>
      </c>
      <c r="K26" s="116">
        <f>scen_input_circular!K26/SUM(scen_input_circular!$D$25:$D$27)</f>
        <v>0</v>
      </c>
      <c r="L26" s="116">
        <f>D26*cost_projections!C20*D$28</f>
        <v>0</v>
      </c>
      <c r="M26" s="116">
        <f>E26*cost_projections!D20*E$28</f>
        <v>0</v>
      </c>
      <c r="N26" s="116">
        <f>F26*cost_projections!E20*F$28</f>
        <v>0</v>
      </c>
      <c r="O26" s="116">
        <f>G26*cost_projections!F20*G$28</f>
        <v>0</v>
      </c>
      <c r="P26" s="116">
        <f>H26*cost_projections!G20*H$28</f>
        <v>0</v>
      </c>
      <c r="Q26" s="116">
        <f>I26*cost_projections!H20*I$28</f>
        <v>0</v>
      </c>
      <c r="R26" s="116">
        <f>J26*cost_projections!I20*J$28</f>
        <v>0</v>
      </c>
      <c r="S26" s="116">
        <f>K26*cost_projections!J20*K$28</f>
        <v>0</v>
      </c>
      <c r="T26" s="116">
        <f>L26/L$28*T$28</f>
        <v>0</v>
      </c>
      <c r="U26" s="116">
        <f t="shared" si="20"/>
        <v>0</v>
      </c>
      <c r="V26" s="116">
        <f t="shared" si="20"/>
        <v>0</v>
      </c>
      <c r="W26" s="116">
        <f t="shared" si="20"/>
        <v>0</v>
      </c>
      <c r="X26" s="116">
        <f t="shared" si="20"/>
        <v>0</v>
      </c>
      <c r="Y26" s="116">
        <f t="shared" si="20"/>
        <v>0</v>
      </c>
      <c r="Z26" s="116">
        <f t="shared" si="20"/>
        <v>0</v>
      </c>
      <c r="AA26" s="116">
        <f t="shared" si="20"/>
        <v>0</v>
      </c>
    </row>
    <row r="27" spans="1:27" x14ac:dyDescent="0.25">
      <c r="A27" s="15" t="s">
        <v>1051</v>
      </c>
      <c r="B27" s="2" t="s">
        <v>926</v>
      </c>
      <c r="C27" s="15" t="str">
        <f>scen_input_circular!C27</f>
        <v>Circular economy pathway</v>
      </c>
      <c r="D27" s="116">
        <f>scen_input_circular!D27/SUM(scen_input_circular!$D$25:$D$27)</f>
        <v>0</v>
      </c>
      <c r="E27" s="116">
        <f>scen_input_circular!E27/SUM(scen_input_circular!$D$25:$D$27)</f>
        <v>7.9365079365079375E-2</v>
      </c>
      <c r="F27" s="116">
        <f>scen_input_circular!F27/SUM(scen_input_circular!$D$25:$D$27)</f>
        <v>0.15873015873015875</v>
      </c>
      <c r="G27" s="116">
        <f>scen_input_circular!G27/SUM(scen_input_circular!$D$25:$D$27)</f>
        <v>0.23809523809523811</v>
      </c>
      <c r="H27" s="116">
        <f>scen_input_circular!H27/SUM(scen_input_circular!$D$25:$D$27)</f>
        <v>0.3174603174603175</v>
      </c>
      <c r="I27" s="116">
        <f>scen_input_circular!I27/SUM(scen_input_circular!$D$25:$D$27)</f>
        <v>0.3968253968253968</v>
      </c>
      <c r="J27" s="116">
        <f>scen_input_circular!J27/SUM(scen_input_circular!$D$25:$D$27)</f>
        <v>0.47619047619047622</v>
      </c>
      <c r="K27" s="116">
        <f>scen_input_circular!K27/SUM(scen_input_circular!$D$25:$D$27)</f>
        <v>0.55555555555555558</v>
      </c>
      <c r="L27" s="116">
        <f>D27*cost_projections!C21*D$28</f>
        <v>0</v>
      </c>
      <c r="M27" s="116">
        <f>E27*cost_projections!D21*E$28</f>
        <v>0.13300446884406789</v>
      </c>
      <c r="N27" s="116">
        <f>F27*cost_projections!E21*F$28</f>
        <v>0.24797443343809261</v>
      </c>
      <c r="O27" s="116">
        <f>G27*cost_projections!F21*G$28</f>
        <v>0.34490989378207426</v>
      </c>
      <c r="P27" s="116">
        <f>H27*cost_projections!G21*H$28</f>
        <v>0.42381084987601286</v>
      </c>
      <c r="Q27" s="116">
        <f>I27*cost_projections!H21*I$28</f>
        <v>0.48467730171990825</v>
      </c>
      <c r="R27" s="116">
        <f>J27*cost_projections!I21*J$28</f>
        <v>0.52750924931376064</v>
      </c>
      <c r="S27" s="116">
        <f>K27*cost_projections!J21*K$28</f>
        <v>0.55230669265756993</v>
      </c>
      <c r="T27" s="116">
        <f>L27/L$28*T$28</f>
        <v>0</v>
      </c>
      <c r="U27" s="116">
        <f t="shared" si="20"/>
        <v>0.1331156765939375</v>
      </c>
      <c r="V27" s="116">
        <f t="shared" si="20"/>
        <v>0.24838945341037394</v>
      </c>
      <c r="W27" s="116">
        <f t="shared" si="20"/>
        <v>0.34577650155539602</v>
      </c>
      <c r="X27" s="116">
        <f t="shared" si="20"/>
        <v>0.4252318418286567</v>
      </c>
      <c r="Y27" s="116">
        <f t="shared" si="20"/>
        <v>0.48671034409289443</v>
      </c>
      <c r="Z27" s="116">
        <f t="shared" si="20"/>
        <v>0.53016672664027831</v>
      </c>
      <c r="AA27" s="116">
        <f t="shared" si="20"/>
        <v>0.55555555555555558</v>
      </c>
    </row>
    <row r="28" spans="1:27" x14ac:dyDescent="0.25">
      <c r="A28" s="19" t="s">
        <v>1048</v>
      </c>
      <c r="B28" s="19"/>
      <c r="C28" s="15" t="str">
        <f>scen_input_circular!C28</f>
        <v>Baseline+Reductions</v>
      </c>
      <c r="D28" s="47">
        <f>SUM(scen_input_circular!D25:D27)/SUM(scen_input_circular!$D25:$D27)</f>
        <v>1</v>
      </c>
      <c r="E28" s="47">
        <f>SUM(scen_input_circular!E25:E27)/SUM(scen_input_circular!$D25:$D27)</f>
        <v>0.93650793650793662</v>
      </c>
      <c r="F28" s="47">
        <f>SUM(scen_input_circular!F25:F27)/SUM(scen_input_circular!$D25:$D27)</f>
        <v>0.87301587301587302</v>
      </c>
      <c r="G28" s="47">
        <f>SUM(scen_input_circular!G25:G27)/SUM(scen_input_circular!$D25:$D27)</f>
        <v>0.80952380952380953</v>
      </c>
      <c r="H28" s="47">
        <f>SUM(scen_input_circular!H25:H27)/SUM(scen_input_circular!$D25:$D27)</f>
        <v>0.74603174603174605</v>
      </c>
      <c r="I28" s="47">
        <f>SUM(scen_input_circular!I25:I27)/SUM(scen_input_circular!$D25:$D27)</f>
        <v>0.68253968253968256</v>
      </c>
      <c r="J28" s="47">
        <f>SUM(scen_input_circular!J25:J27)/SUM(scen_input_circular!$D25:$D27)</f>
        <v>0.61904761904761907</v>
      </c>
      <c r="K28" s="47">
        <f>SUM(scen_input_circular!K25:K27)/SUM(scen_input_circular!$D25:$D27)</f>
        <v>0.55555555555555558</v>
      </c>
      <c r="L28" s="47">
        <f>SUM(L25:L27)</f>
        <v>1</v>
      </c>
      <c r="M28" s="47">
        <f t="shared" ref="M28:S28" si="21">SUM(M25:M27)</f>
        <v>0.93572555727944218</v>
      </c>
      <c r="N28" s="47">
        <f t="shared" si="21"/>
        <v>0.87155719987800184</v>
      </c>
      <c r="O28" s="47">
        <f t="shared" si="21"/>
        <v>0.80749492779567966</v>
      </c>
      <c r="P28" s="47">
        <f t="shared" si="21"/>
        <v>0.74353874103247541</v>
      </c>
      <c r="Q28" s="47">
        <f t="shared" si="21"/>
        <v>0.67968863958838899</v>
      </c>
      <c r="R28" s="47">
        <f t="shared" si="21"/>
        <v>0.61594462346342049</v>
      </c>
      <c r="S28" s="47">
        <f t="shared" si="21"/>
        <v>0.55230669265756993</v>
      </c>
      <c r="T28" s="47">
        <f>L28/$L28</f>
        <v>1</v>
      </c>
      <c r="U28" s="47">
        <f t="shared" ref="U28:AA28" si="22">M28/$L28</f>
        <v>0.93572555727944218</v>
      </c>
      <c r="V28" s="47">
        <f t="shared" si="22"/>
        <v>0.87155719987800184</v>
      </c>
      <c r="W28" s="47">
        <f t="shared" si="22"/>
        <v>0.80749492779567966</v>
      </c>
      <c r="X28" s="47">
        <f t="shared" si="22"/>
        <v>0.74353874103247541</v>
      </c>
      <c r="Y28" s="47">
        <f t="shared" si="22"/>
        <v>0.67968863958838899</v>
      </c>
      <c r="Z28" s="47">
        <f t="shared" si="22"/>
        <v>0.61594462346342049</v>
      </c>
      <c r="AA28" s="47">
        <f t="shared" si="22"/>
        <v>0.55230669265756993</v>
      </c>
    </row>
    <row r="29" spans="1:27" x14ac:dyDescent="0.25">
      <c r="A29" s="373" t="s">
        <v>944</v>
      </c>
      <c r="B29" s="373"/>
      <c r="C29" s="297"/>
      <c r="D29" s="422" t="s">
        <v>1164</v>
      </c>
      <c r="E29" s="422" t="s">
        <v>1165</v>
      </c>
      <c r="F29" s="422" t="s">
        <v>1166</v>
      </c>
      <c r="G29" s="422" t="s">
        <v>1167</v>
      </c>
      <c r="H29" s="422" t="s">
        <v>1168</v>
      </c>
      <c r="I29" s="422" t="s">
        <v>1169</v>
      </c>
      <c r="J29" s="422" t="s">
        <v>1170</v>
      </c>
      <c r="K29" s="422" t="s">
        <v>1171</v>
      </c>
      <c r="L29" s="176" t="s">
        <v>1121</v>
      </c>
      <c r="M29" s="176" t="s">
        <v>1122</v>
      </c>
      <c r="N29" s="176" t="s">
        <v>1123</v>
      </c>
      <c r="O29" s="176" t="s">
        <v>1124</v>
      </c>
      <c r="P29" s="176" t="s">
        <v>1125</v>
      </c>
      <c r="Q29" s="176" t="s">
        <v>1126</v>
      </c>
      <c r="R29" s="176" t="s">
        <v>1127</v>
      </c>
      <c r="S29" s="176" t="s">
        <v>1128</v>
      </c>
      <c r="T29" s="428" t="s">
        <v>1137</v>
      </c>
      <c r="U29" s="428" t="s">
        <v>1138</v>
      </c>
      <c r="V29" s="428" t="s">
        <v>1139</v>
      </c>
      <c r="W29" s="428" t="s">
        <v>1140</v>
      </c>
      <c r="X29" s="428" t="s">
        <v>1141</v>
      </c>
      <c r="Y29" s="428" t="s">
        <v>1142</v>
      </c>
      <c r="Z29" s="428" t="s">
        <v>1143</v>
      </c>
      <c r="AA29" s="428" t="s">
        <v>1144</v>
      </c>
    </row>
    <row r="30" spans="1:27" x14ac:dyDescent="0.25">
      <c r="A30" s="15" t="s">
        <v>1052</v>
      </c>
      <c r="B30" s="2" t="s">
        <v>733</v>
      </c>
      <c r="C30" s="15" t="str">
        <f>scen_input_circular!C30</f>
        <v>TECH/TECH PHEV</v>
      </c>
      <c r="D30" s="116">
        <f>scen_input_circular!D30/SUM(scen_input_circular!$D$30:$D$31)</f>
        <v>0.99</v>
      </c>
      <c r="E30" s="116">
        <f>scen_input_circular!E30/SUM(scen_input_circular!$D$30:$D$31)</f>
        <v>0.96064425770308115</v>
      </c>
      <c r="F30" s="116">
        <f>scen_input_circular!F30/SUM(scen_input_circular!$D$30:$D$31)</f>
        <v>0.78725490196078429</v>
      </c>
      <c r="G30" s="116">
        <f>scen_input_circular!G30/SUM(scen_input_circular!$D$30:$D$31)</f>
        <v>0.51680672268907557</v>
      </c>
      <c r="H30" s="116">
        <f>scen_input_circular!H30/SUM(scen_input_circular!$D$30:$D$31)</f>
        <v>0.2089635854341737</v>
      </c>
      <c r="I30" s="116">
        <f>scen_input_circular!I30/SUM(scen_input_circular!$D$30:$D$31)</f>
        <v>0</v>
      </c>
      <c r="J30" s="116">
        <f>scen_input_circular!J30/SUM(scen_input_circular!$D$30:$D$31)</f>
        <v>0</v>
      </c>
      <c r="K30" s="116">
        <f>scen_input_circular!K30/SUM(scen_input_circular!$D$30:$D$31)</f>
        <v>0</v>
      </c>
      <c r="L30" s="116">
        <f>D30*cost_projections!C23*D$32</f>
        <v>0.99</v>
      </c>
      <c r="M30" s="116">
        <f>E30*cost_projections!D23*E$32</f>
        <v>0.9714077787977935</v>
      </c>
      <c r="N30" s="116">
        <f>F30*cost_projections!E23*F$32</f>
        <v>0.80489646839127804</v>
      </c>
      <c r="O30" s="116">
        <f>G30*cost_projections!F23*G$32</f>
        <v>0.53417837723324613</v>
      </c>
      <c r="P30" s="116">
        <f>H30*cost_projections!G23*H$32</f>
        <v>0.2183289001875261</v>
      </c>
      <c r="Q30" s="116">
        <f>I30*cost_projections!H23*I$32</f>
        <v>0</v>
      </c>
      <c r="R30" s="116">
        <f>J30*cost_projections!I23*J$32</f>
        <v>0</v>
      </c>
      <c r="S30" s="116">
        <f>K30*cost_projections!J23*K$32</f>
        <v>0</v>
      </c>
      <c r="T30" s="116">
        <f>L30/L$32*T$32</f>
        <v>0.98556495769039332</v>
      </c>
      <c r="U30" s="116">
        <f t="shared" ref="U30:AA31" si="23">M30/M$32*U$32</f>
        <v>0.9670560266777436</v>
      </c>
      <c r="V30" s="116">
        <f t="shared" si="23"/>
        <v>0.8012906604193909</v>
      </c>
      <c r="W30" s="116">
        <f t="shared" si="23"/>
        <v>0.53178534318889603</v>
      </c>
      <c r="X30" s="116">
        <f t="shared" si="23"/>
        <v>0.21735082149081741</v>
      </c>
      <c r="Y30" s="116">
        <f t="shared" si="23"/>
        <v>0</v>
      </c>
      <c r="Z30" s="116">
        <f t="shared" si="23"/>
        <v>0</v>
      </c>
      <c r="AA30" s="116">
        <f t="shared" si="23"/>
        <v>0</v>
      </c>
    </row>
    <row r="31" spans="1:27" x14ac:dyDescent="0.25">
      <c r="A31" s="15" t="s">
        <v>1053</v>
      </c>
      <c r="B31" s="2" t="s">
        <v>734</v>
      </c>
      <c r="C31" s="15" t="str">
        <f>scen_input_circular!C31</f>
        <v>TECH/TECH PHEV</v>
      </c>
      <c r="D31" s="116">
        <f>scen_input_circular!D31/SUM(scen_input_circular!$D$30:$D$31)</f>
        <v>0.01</v>
      </c>
      <c r="E31" s="116">
        <f>scen_input_circular!E31/SUM(scen_input_circular!$D$30:$D$31)</f>
        <v>5.0560224089635855E-2</v>
      </c>
      <c r="F31" s="116">
        <f>scen_input_circular!F31/SUM(scen_input_circular!$D$30:$D$31)</f>
        <v>0.23515406162464986</v>
      </c>
      <c r="G31" s="116">
        <f>scen_input_circular!G31/SUM(scen_input_circular!$D$30:$D$31)</f>
        <v>0.51680672268907557</v>
      </c>
      <c r="H31" s="116">
        <f>scen_input_circular!H31/SUM(scen_input_circular!$D$30:$D$31)</f>
        <v>0.83585434173669482</v>
      </c>
      <c r="I31" s="116">
        <f>scen_input_circular!I31/SUM(scen_input_circular!$D$30:$D$31)</f>
        <v>1.0560224089635855</v>
      </c>
      <c r="J31" s="116">
        <f>scen_input_circular!J31/SUM(scen_input_circular!$D$30:$D$31)</f>
        <v>1.0672268907563025</v>
      </c>
      <c r="K31" s="116">
        <f>scen_input_circular!K31/SUM(scen_input_circular!$D$30:$D$31)</f>
        <v>1.0784313725490196</v>
      </c>
      <c r="L31" s="116">
        <f>D31*cost_projections!C24*D$32</f>
        <v>1.4499999999999997E-2</v>
      </c>
      <c r="M31" s="116">
        <f>E31*cost_projections!D24*E$32</f>
        <v>6.7875135179156179E-2</v>
      </c>
      <c r="N31" s="116">
        <f>F31*cost_projections!E24*F$32</f>
        <v>0.28975191496476882</v>
      </c>
      <c r="O31" s="116">
        <f>G31*cost_projections!F24*G$32</f>
        <v>0.57838624293530783</v>
      </c>
      <c r="P31" s="116">
        <f>H31*cost_projections!G24*H$32</f>
        <v>0.94558999529494048</v>
      </c>
      <c r="Q31" s="116">
        <f>I31*cost_projections!H24*I$32</f>
        <v>1.2074743622939372</v>
      </c>
      <c r="R31" s="116">
        <f>J31*cost_projections!I24*J$32</f>
        <v>1.2332330903964019</v>
      </c>
      <c r="S31" s="116">
        <f>K31*cost_projections!J24*K$32</f>
        <v>1.2592636784260693</v>
      </c>
      <c r="T31" s="116">
        <f>L31/L$32*T$32</f>
        <v>1.4435042309606768E-2</v>
      </c>
      <c r="U31" s="116">
        <f t="shared" si="23"/>
        <v>6.7571065384924009E-2</v>
      </c>
      <c r="V31" s="116">
        <f t="shared" si="23"/>
        <v>0.28845387253834626</v>
      </c>
      <c r="W31" s="116">
        <f t="shared" si="23"/>
        <v>0.57579516469418401</v>
      </c>
      <c r="X31" s="116">
        <f t="shared" si="23"/>
        <v>0.94135390273264363</v>
      </c>
      <c r="Y31" s="116">
        <f t="shared" si="23"/>
        <v>1.2020650694812716</v>
      </c>
      <c r="Z31" s="116">
        <f t="shared" si="23"/>
        <v>1.2277084025847704</v>
      </c>
      <c r="AA31" s="116">
        <f t="shared" si="23"/>
        <v>1.2536223777263011</v>
      </c>
    </row>
    <row r="32" spans="1:27" x14ac:dyDescent="0.25">
      <c r="A32" s="19" t="s">
        <v>1048</v>
      </c>
      <c r="B32" s="19"/>
      <c r="C32" s="15" t="str">
        <f>scen_input_circular!C32</f>
        <v>TECH/TECH PHEV</v>
      </c>
      <c r="D32" s="47">
        <f>SUM(scen_input_circular!D30:D31)/SUM(scen_input_circular!$D30:$D31)</f>
        <v>1</v>
      </c>
      <c r="E32" s="47">
        <f>SUM(scen_input_circular!E30:E31)/SUM(scen_input_circular!$D30:$D31)</f>
        <v>1.011204481792717</v>
      </c>
      <c r="F32" s="47">
        <f>SUM(scen_input_circular!F30:F31)/SUM(scen_input_circular!$D30:$D31)</f>
        <v>1.0224089635854341</v>
      </c>
      <c r="G32" s="47">
        <f>SUM(scen_input_circular!G30:G31)/SUM(scen_input_circular!$D30:$D31)</f>
        <v>1.0336134453781511</v>
      </c>
      <c r="H32" s="47">
        <f>SUM(scen_input_circular!H30:H31)/SUM(scen_input_circular!$D30:$D31)</f>
        <v>1.0448179271708686</v>
      </c>
      <c r="I32" s="47">
        <f>SUM(scen_input_circular!I30:I31)/SUM(scen_input_circular!$D30:$D31)</f>
        <v>1.0560224089635855</v>
      </c>
      <c r="J32" s="47">
        <f>SUM(scen_input_circular!J30:J31)/SUM(scen_input_circular!$D30:$D31)</f>
        <v>1.0672268907563025</v>
      </c>
      <c r="K32" s="47">
        <f>SUM(scen_input_circular!K30:K31)/SUM(scen_input_circular!$D30:$D31)</f>
        <v>1.0784313725490196</v>
      </c>
      <c r="L32" s="47">
        <f>SUM(L30:L31)</f>
        <v>1.0044999999999999</v>
      </c>
      <c r="M32" s="47">
        <f t="shared" ref="M32:R32" si="24">SUM(M30:M31)</f>
        <v>1.0392829139769497</v>
      </c>
      <c r="N32" s="47">
        <f t="shared" si="24"/>
        <v>1.0946483833560468</v>
      </c>
      <c r="O32" s="47">
        <f t="shared" si="24"/>
        <v>1.112564620168554</v>
      </c>
      <c r="P32" s="47">
        <f t="shared" si="24"/>
        <v>1.1639188954824666</v>
      </c>
      <c r="Q32" s="47">
        <f t="shared" si="24"/>
        <v>1.2074743622939372</v>
      </c>
      <c r="R32" s="47">
        <f t="shared" si="24"/>
        <v>1.2332330903964019</v>
      </c>
      <c r="S32" s="47">
        <f>SUM(S30:S31)</f>
        <v>1.2592636784260693</v>
      </c>
      <c r="T32" s="47">
        <f>L32/$L32</f>
        <v>1</v>
      </c>
      <c r="U32" s="47">
        <f>M32/$L32</f>
        <v>1.0346270920626677</v>
      </c>
      <c r="V32" s="47">
        <f t="shared" ref="V32:AA32" si="25">N32/$L32</f>
        <v>1.0897445329577371</v>
      </c>
      <c r="W32" s="47">
        <f t="shared" si="25"/>
        <v>1.10758050788308</v>
      </c>
      <c r="X32" s="47">
        <f t="shared" si="25"/>
        <v>1.1587047242234612</v>
      </c>
      <c r="Y32" s="47">
        <f t="shared" si="25"/>
        <v>1.2020650694812716</v>
      </c>
      <c r="Z32" s="47">
        <f t="shared" si="25"/>
        <v>1.2277084025847704</v>
      </c>
      <c r="AA32" s="47">
        <f t="shared" si="25"/>
        <v>1.2536223777263011</v>
      </c>
    </row>
    <row r="33" spans="1:27" s="117" customFormat="1" x14ac:dyDescent="0.25">
      <c r="A33" s="375" t="s">
        <v>921</v>
      </c>
      <c r="B33" s="375"/>
      <c r="C33" s="297"/>
      <c r="D33" s="422" t="s">
        <v>1164</v>
      </c>
      <c r="E33" s="422" t="s">
        <v>1165</v>
      </c>
      <c r="F33" s="422" t="s">
        <v>1166</v>
      </c>
      <c r="G33" s="422" t="s">
        <v>1167</v>
      </c>
      <c r="H33" s="422" t="s">
        <v>1168</v>
      </c>
      <c r="I33" s="422" t="s">
        <v>1169</v>
      </c>
      <c r="J33" s="422" t="s">
        <v>1170</v>
      </c>
      <c r="K33" s="422" t="s">
        <v>1171</v>
      </c>
      <c r="L33" s="176" t="s">
        <v>1121</v>
      </c>
      <c r="M33" s="176" t="s">
        <v>1122</v>
      </c>
      <c r="N33" s="176" t="s">
        <v>1123</v>
      </c>
      <c r="O33" s="176" t="s">
        <v>1124</v>
      </c>
      <c r="P33" s="176" t="s">
        <v>1125</v>
      </c>
      <c r="Q33" s="176" t="s">
        <v>1126</v>
      </c>
      <c r="R33" s="176" t="s">
        <v>1127</v>
      </c>
      <c r="S33" s="176" t="s">
        <v>1128</v>
      </c>
      <c r="T33" s="428" t="s">
        <v>1137</v>
      </c>
      <c r="U33" s="428" t="s">
        <v>1138</v>
      </c>
      <c r="V33" s="428" t="s">
        <v>1139</v>
      </c>
      <c r="W33" s="428" t="s">
        <v>1140</v>
      </c>
      <c r="X33" s="428" t="s">
        <v>1141</v>
      </c>
      <c r="Y33" s="428" t="s">
        <v>1142</v>
      </c>
      <c r="Z33" s="428" t="s">
        <v>1143</v>
      </c>
      <c r="AA33" s="428" t="s">
        <v>1144</v>
      </c>
    </row>
    <row r="34" spans="1:27" x14ac:dyDescent="0.25">
      <c r="A34" s="15" t="s">
        <v>2</v>
      </c>
      <c r="B34" s="2" t="s">
        <v>3</v>
      </c>
      <c r="C34" s="15" t="str">
        <f>scen_input_circular!C34</f>
        <v>MIX-CP (2020-30)/EU 2020 Reference (trends 2030-50)</v>
      </c>
      <c r="D34" s="116">
        <f>scen_input_circular!D34/SUM(scen_input_circular!$D$34:$D$46)</f>
        <v>0.50086203722103262</v>
      </c>
      <c r="E34" s="116">
        <f>scen_input_circular!E34/SUM(scen_input_circular!$D$34:$D$46)</f>
        <v>0.39604275038087633</v>
      </c>
      <c r="F34" s="116">
        <f>scen_input_circular!F34/SUM(scen_input_circular!$D$34:$D$46)</f>
        <v>0.24130781218094849</v>
      </c>
      <c r="G34" s="116">
        <f>scen_input_circular!G34/SUM(scen_input_circular!$D$34:$D$46)</f>
        <v>0.16010563240856479</v>
      </c>
      <c r="H34" s="116">
        <f>scen_input_circular!H34/SUM(scen_input_circular!$D$34:$D$46)</f>
        <v>0.14348929523913775</v>
      </c>
      <c r="I34" s="116">
        <f>scen_input_circular!I34/SUM(scen_input_circular!$D$34:$D$46)</f>
        <v>2.1667935750453917E-2</v>
      </c>
      <c r="J34" s="116">
        <f>scen_input_circular!J34/SUM(scen_input_circular!$D$34:$D$46)</f>
        <v>0</v>
      </c>
      <c r="K34" s="116">
        <f>scen_input_circular!K34/SUM(scen_input_circular!$D$34:$D$46)</f>
        <v>0</v>
      </c>
      <c r="L34" s="427">
        <f>D34</f>
        <v>0.50086203722103262</v>
      </c>
      <c r="M34" s="427">
        <f t="shared" ref="M34:S46" si="26">E34</f>
        <v>0.39604275038087633</v>
      </c>
      <c r="N34" s="427">
        <f t="shared" si="26"/>
        <v>0.24130781218094849</v>
      </c>
      <c r="O34" s="427">
        <f t="shared" si="26"/>
        <v>0.16010563240856479</v>
      </c>
      <c r="P34" s="427">
        <f t="shared" si="26"/>
        <v>0.14348929523913775</v>
      </c>
      <c r="Q34" s="427">
        <f t="shared" si="26"/>
        <v>2.1667935750453917E-2</v>
      </c>
      <c r="R34" s="427">
        <f t="shared" si="26"/>
        <v>0</v>
      </c>
      <c r="S34" s="427">
        <f t="shared" si="26"/>
        <v>0</v>
      </c>
      <c r="T34" s="116">
        <f t="shared" ref="T34:AA46" si="27">L34/L$47*T$47</f>
        <v>0.50086203722103262</v>
      </c>
      <c r="U34" s="116">
        <f t="shared" si="27"/>
        <v>0.39604275038087633</v>
      </c>
      <c r="V34" s="116">
        <f t="shared" si="27"/>
        <v>0.24130781218094849</v>
      </c>
      <c r="W34" s="116">
        <f t="shared" si="27"/>
        <v>0.16010563240856479</v>
      </c>
      <c r="X34" s="116">
        <f t="shared" si="27"/>
        <v>0.14348929523913775</v>
      </c>
      <c r="Y34" s="116">
        <f t="shared" si="27"/>
        <v>2.1667935750453917E-2</v>
      </c>
      <c r="Z34" s="116">
        <f t="shared" si="27"/>
        <v>0</v>
      </c>
      <c r="AA34" s="116">
        <f t="shared" si="27"/>
        <v>0</v>
      </c>
    </row>
    <row r="35" spans="1:27" x14ac:dyDescent="0.25">
      <c r="A35" s="15" t="s">
        <v>4</v>
      </c>
      <c r="B35" s="2" t="s">
        <v>5</v>
      </c>
      <c r="C35" s="15" t="str">
        <f>scen_input_circular!C35</f>
        <v>MIX-CP (2020-30)/EU 2020 Reference (trends 2030-50)</v>
      </c>
      <c r="D35" s="116">
        <f>scen_input_circular!D35/SUM(scen_input_circular!$D$34:$D$46)</f>
        <v>5.3882907337272308E-2</v>
      </c>
      <c r="E35" s="116">
        <f>scen_input_circular!E35/SUM(scen_input_circular!$D$34:$D$46)</f>
        <v>3.5856531065000981E-2</v>
      </c>
      <c r="F35" s="116">
        <f>scen_input_circular!F35/SUM(scen_input_circular!$D$34:$D$46)</f>
        <v>4.2860125354729973E-2</v>
      </c>
      <c r="G35" s="116">
        <f>scen_input_circular!G35/SUM(scen_input_circular!$D$34:$D$46)</f>
        <v>8.9061218568554243E-2</v>
      </c>
      <c r="H35" s="116">
        <f>scen_input_circular!H35/SUM(scen_input_circular!$D$34:$D$46)</f>
        <v>0.18136571543727836</v>
      </c>
      <c r="I35" s="116">
        <f>scen_input_circular!I35/SUM(scen_input_circular!$D$34:$D$46)</f>
        <v>0.24891236295559685</v>
      </c>
      <c r="J35" s="116">
        <f>scen_input_circular!J35/SUM(scen_input_circular!$D$34:$D$46)</f>
        <v>0.26963535513575576</v>
      </c>
      <c r="K35" s="116">
        <f>scen_input_circular!K35/SUM(scen_input_circular!$D$34:$D$46)</f>
        <v>0.33444648281219286</v>
      </c>
      <c r="L35" s="427">
        <f t="shared" ref="L35:L46" si="28">D35</f>
        <v>5.3882907337272308E-2</v>
      </c>
      <c r="M35" s="427">
        <f t="shared" si="26"/>
        <v>3.5856531065000981E-2</v>
      </c>
      <c r="N35" s="427">
        <f t="shared" si="26"/>
        <v>4.2860125354729973E-2</v>
      </c>
      <c r="O35" s="427">
        <f t="shared" si="26"/>
        <v>8.9061218568554243E-2</v>
      </c>
      <c r="P35" s="427">
        <f t="shared" si="26"/>
        <v>0.18136571543727836</v>
      </c>
      <c r="Q35" s="427">
        <f t="shared" si="26"/>
        <v>0.24891236295559685</v>
      </c>
      <c r="R35" s="427">
        <f t="shared" si="26"/>
        <v>0.26963535513575576</v>
      </c>
      <c r="S35" s="427">
        <f t="shared" si="26"/>
        <v>0.33444648281219286</v>
      </c>
      <c r="T35" s="116">
        <f t="shared" si="27"/>
        <v>5.3882907337272308E-2</v>
      </c>
      <c r="U35" s="116">
        <f t="shared" si="27"/>
        <v>3.5856531065000981E-2</v>
      </c>
      <c r="V35" s="116">
        <f t="shared" si="27"/>
        <v>4.2860125354729973E-2</v>
      </c>
      <c r="W35" s="116">
        <f t="shared" si="27"/>
        <v>8.9061218568554243E-2</v>
      </c>
      <c r="X35" s="116">
        <f t="shared" si="27"/>
        <v>0.18136571543727836</v>
      </c>
      <c r="Y35" s="116">
        <f t="shared" si="27"/>
        <v>0.24891236295559685</v>
      </c>
      <c r="Z35" s="116">
        <f t="shared" si="27"/>
        <v>0.26963535513575576</v>
      </c>
      <c r="AA35" s="116">
        <f t="shared" si="27"/>
        <v>0.33444648281219286</v>
      </c>
    </row>
    <row r="36" spans="1:27" x14ac:dyDescent="0.25">
      <c r="A36" s="15" t="s">
        <v>6</v>
      </c>
      <c r="B36" s="2" t="s">
        <v>7</v>
      </c>
      <c r="C36" s="15" t="str">
        <f>scen_input_circular!C36</f>
        <v>MIX-CP (2020-30)/EU 2020 Reference (trends 2030-50)</v>
      </c>
      <c r="D36" s="116">
        <f>scen_input_circular!D36/SUM(scen_input_circular!$D$34:$D$46)</f>
        <v>0.33383772064129019</v>
      </c>
      <c r="E36" s="116">
        <f>scen_input_circular!E36/SUM(scen_input_circular!$D$34:$D$46)</f>
        <v>0.3747419059676117</v>
      </c>
      <c r="F36" s="116">
        <f>scen_input_circular!F36/SUM(scen_input_circular!$D$34:$D$46)</f>
        <v>0.39322269477726207</v>
      </c>
      <c r="G36" s="116">
        <f>scen_input_circular!G36/SUM(scen_input_circular!$D$34:$D$46)</f>
        <v>0.38967129397377814</v>
      </c>
      <c r="H36" s="116">
        <f>scen_input_circular!H36/SUM(scen_input_circular!$D$34:$D$46)</f>
        <v>0.38657308473170149</v>
      </c>
      <c r="I36" s="116">
        <f>scen_input_circular!I36/SUM(scen_input_circular!$D$34:$D$46)</f>
        <v>0.47827924701921687</v>
      </c>
      <c r="J36" s="116">
        <f>scen_input_circular!J36/SUM(scen_input_circular!$D$34:$D$46)</f>
        <v>0.473700908154918</v>
      </c>
      <c r="K36" s="116">
        <f>scen_input_circular!K36/SUM(scen_input_circular!$D$34:$D$46)</f>
        <v>0.40638185583919495</v>
      </c>
      <c r="L36" s="427">
        <f t="shared" si="28"/>
        <v>0.33383772064129019</v>
      </c>
      <c r="M36" s="427">
        <f t="shared" si="26"/>
        <v>0.3747419059676117</v>
      </c>
      <c r="N36" s="427">
        <f t="shared" si="26"/>
        <v>0.39322269477726207</v>
      </c>
      <c r="O36" s="427">
        <f t="shared" si="26"/>
        <v>0.38967129397377814</v>
      </c>
      <c r="P36" s="427">
        <f t="shared" si="26"/>
        <v>0.38657308473170149</v>
      </c>
      <c r="Q36" s="427">
        <f t="shared" si="26"/>
        <v>0.47827924701921687</v>
      </c>
      <c r="R36" s="427">
        <f t="shared" si="26"/>
        <v>0.473700908154918</v>
      </c>
      <c r="S36" s="427">
        <f t="shared" si="26"/>
        <v>0.40638185583919495</v>
      </c>
      <c r="T36" s="116">
        <f t="shared" si="27"/>
        <v>0.33383772064129019</v>
      </c>
      <c r="U36" s="116">
        <f t="shared" si="27"/>
        <v>0.3747419059676117</v>
      </c>
      <c r="V36" s="116">
        <f t="shared" si="27"/>
        <v>0.39322269477726207</v>
      </c>
      <c r="W36" s="116">
        <f t="shared" si="27"/>
        <v>0.38967129397377814</v>
      </c>
      <c r="X36" s="116">
        <f t="shared" si="27"/>
        <v>0.38657308473170154</v>
      </c>
      <c r="Y36" s="116">
        <f t="shared" si="27"/>
        <v>0.47827924701921687</v>
      </c>
      <c r="Z36" s="116">
        <f t="shared" si="27"/>
        <v>0.473700908154918</v>
      </c>
      <c r="AA36" s="116">
        <f t="shared" si="27"/>
        <v>0.40638185583919501</v>
      </c>
    </row>
    <row r="37" spans="1:27" x14ac:dyDescent="0.25">
      <c r="A37" s="15" t="s">
        <v>8</v>
      </c>
      <c r="B37" s="2" t="s">
        <v>9</v>
      </c>
      <c r="C37" s="15" t="str">
        <f>scen_input_circular!C37</f>
        <v>MIX-CP (2020-30)/EU 2020 Reference (trends 2030-50)</v>
      </c>
      <c r="D37" s="116">
        <f>scen_input_circular!D37/SUM(scen_input_circular!$D$34:$D$46)</f>
        <v>2.2398987911322985E-2</v>
      </c>
      <c r="E37" s="116">
        <f>scen_input_circular!E37/SUM(scen_input_circular!$D$34:$D$46)</f>
        <v>3.1517166035199606E-2</v>
      </c>
      <c r="F37" s="116">
        <f>scen_input_circular!F37/SUM(scen_input_circular!$D$34:$D$46)</f>
        <v>2.9355744732952816E-2</v>
      </c>
      <c r="G37" s="116">
        <f>scen_input_circular!G37/SUM(scen_input_circular!$D$34:$D$46)</f>
        <v>3.0178490472202953E-2</v>
      </c>
      <c r="H37" s="116">
        <f>scen_input_circular!H37/SUM(scen_input_circular!$D$34:$D$46)</f>
        <v>3.0231777275776903E-2</v>
      </c>
      <c r="I37" s="116">
        <f>scen_input_circular!I37/SUM(scen_input_circular!$D$34:$D$46)</f>
        <v>3.0827928901308525E-2</v>
      </c>
      <c r="J37" s="116">
        <f>scen_input_circular!J37/SUM(scen_input_circular!$D$34:$D$46)</f>
        <v>3.0938668395874006E-2</v>
      </c>
      <c r="K37" s="116">
        <f>scen_input_circular!K37/SUM(scen_input_circular!$D$34:$D$46)</f>
        <v>3.0932827987772287E-2</v>
      </c>
      <c r="L37" s="427">
        <f t="shared" si="28"/>
        <v>2.2398987911322985E-2</v>
      </c>
      <c r="M37" s="427">
        <f t="shared" si="26"/>
        <v>3.1517166035199606E-2</v>
      </c>
      <c r="N37" s="427">
        <f t="shared" si="26"/>
        <v>2.9355744732952816E-2</v>
      </c>
      <c r="O37" s="427">
        <f t="shared" si="26"/>
        <v>3.0178490472202953E-2</v>
      </c>
      <c r="P37" s="427">
        <f t="shared" si="26"/>
        <v>3.0231777275776903E-2</v>
      </c>
      <c r="Q37" s="427">
        <f t="shared" si="26"/>
        <v>3.0827928901308525E-2</v>
      </c>
      <c r="R37" s="427">
        <f t="shared" si="26"/>
        <v>3.0938668395874006E-2</v>
      </c>
      <c r="S37" s="427">
        <f t="shared" si="26"/>
        <v>3.0932827987772287E-2</v>
      </c>
      <c r="T37" s="116">
        <f t="shared" si="27"/>
        <v>2.2398987911322985E-2</v>
      </c>
      <c r="U37" s="116">
        <f t="shared" si="27"/>
        <v>3.1517166035199606E-2</v>
      </c>
      <c r="V37" s="116">
        <f t="shared" si="27"/>
        <v>2.9355744732952816E-2</v>
      </c>
      <c r="W37" s="116">
        <f t="shared" si="27"/>
        <v>3.0178490472202953E-2</v>
      </c>
      <c r="X37" s="116">
        <f t="shared" si="27"/>
        <v>3.0231777275776903E-2</v>
      </c>
      <c r="Y37" s="116">
        <f t="shared" si="27"/>
        <v>3.0827928901308525E-2</v>
      </c>
      <c r="Z37" s="116">
        <f t="shared" si="27"/>
        <v>3.0938668395874006E-2</v>
      </c>
      <c r="AA37" s="116">
        <f t="shared" si="27"/>
        <v>3.0932827987772287E-2</v>
      </c>
    </row>
    <row r="38" spans="1:27" x14ac:dyDescent="0.25">
      <c r="A38" s="15" t="s">
        <v>342</v>
      </c>
      <c r="B38" s="2" t="s">
        <v>336</v>
      </c>
      <c r="C38" s="15" t="str">
        <f>scen_input_circular!C38</f>
        <v>MIX-CP (2020-30)/EU 2020 Reference (trends 2030-50)</v>
      </c>
      <c r="D38" s="116">
        <f>scen_input_circular!D38/SUM(scen_input_circular!$D$34:$D$46)</f>
        <v>7.0191001782551254E-3</v>
      </c>
      <c r="E38" s="116">
        <f>scen_input_circular!E38/SUM(scen_input_circular!$D$34:$D$46)</f>
        <v>9.8942468179843267E-3</v>
      </c>
      <c r="F38" s="116">
        <f>scen_input_circular!F38/SUM(scen_input_circular!$D$34:$D$46)</f>
        <v>0.14022981784491256</v>
      </c>
      <c r="G38" s="116">
        <f>scen_input_circular!G38/SUM(scen_input_circular!$D$34:$D$46)</f>
        <v>0.19965832815341286</v>
      </c>
      <c r="H38" s="116">
        <f>scen_input_circular!H38/SUM(scen_input_circular!$D$34:$D$46)</f>
        <v>0.23254047972988257</v>
      </c>
      <c r="I38" s="116">
        <f>scen_input_circular!I38/SUM(scen_input_circular!$D$34:$D$46)</f>
        <v>0.25211557789937916</v>
      </c>
      <c r="J38" s="116">
        <f>scen_input_circular!J38/SUM(scen_input_circular!$D$34:$D$46)</f>
        <v>0.2638869691211419</v>
      </c>
      <c r="K38" s="116">
        <f>scen_input_circular!K38/SUM(scen_input_circular!$D$34:$D$46)</f>
        <v>0.26982653949516944</v>
      </c>
      <c r="L38" s="427">
        <f t="shared" si="28"/>
        <v>7.0191001782551254E-3</v>
      </c>
      <c r="M38" s="427">
        <f t="shared" si="26"/>
        <v>9.8942468179843267E-3</v>
      </c>
      <c r="N38" s="427">
        <f t="shared" si="26"/>
        <v>0.14022981784491256</v>
      </c>
      <c r="O38" s="427">
        <f t="shared" si="26"/>
        <v>0.19965832815341286</v>
      </c>
      <c r="P38" s="427">
        <f t="shared" si="26"/>
        <v>0.23254047972988257</v>
      </c>
      <c r="Q38" s="427">
        <f t="shared" si="26"/>
        <v>0.25211557789937916</v>
      </c>
      <c r="R38" s="427">
        <f t="shared" si="26"/>
        <v>0.2638869691211419</v>
      </c>
      <c r="S38" s="427">
        <f t="shared" si="26"/>
        <v>0.26982653949516944</v>
      </c>
      <c r="T38" s="116">
        <f t="shared" si="27"/>
        <v>7.0191001782551254E-3</v>
      </c>
      <c r="U38" s="116">
        <f t="shared" si="27"/>
        <v>9.8942468179843267E-3</v>
      </c>
      <c r="V38" s="116">
        <f t="shared" si="27"/>
        <v>0.14022981784491256</v>
      </c>
      <c r="W38" s="116">
        <f t="shared" si="27"/>
        <v>0.19965832815341286</v>
      </c>
      <c r="X38" s="116">
        <f t="shared" si="27"/>
        <v>0.23254047972988257</v>
      </c>
      <c r="Y38" s="116">
        <f t="shared" si="27"/>
        <v>0.25211557789937916</v>
      </c>
      <c r="Z38" s="116">
        <f t="shared" si="27"/>
        <v>0.2638869691211419</v>
      </c>
      <c r="AA38" s="116">
        <f t="shared" si="27"/>
        <v>0.26982653949516944</v>
      </c>
    </row>
    <row r="39" spans="1:27" x14ac:dyDescent="0.25">
      <c r="A39" s="15" t="s">
        <v>343</v>
      </c>
      <c r="B39" s="2" t="s">
        <v>337</v>
      </c>
      <c r="C39" s="15" t="str">
        <f>scen_input_circular!C39</f>
        <v>MIX-CP (2020-30)/EU 2020 Reference (trends 2030-50)</v>
      </c>
      <c r="D39" s="116">
        <f>scen_input_circular!D39/SUM(scen_input_circular!$D$34:$D$46)</f>
        <v>0</v>
      </c>
      <c r="E39" s="116">
        <f>scen_input_circular!E39/SUM(scen_input_circular!$D$34:$D$46)</f>
        <v>0</v>
      </c>
      <c r="F39" s="116">
        <f>scen_input_circular!F39/SUM(scen_input_circular!$D$34:$D$46)</f>
        <v>0</v>
      </c>
      <c r="G39" s="116">
        <f>scen_input_circular!G39/SUM(scen_input_circular!$D$34:$D$46)</f>
        <v>0</v>
      </c>
      <c r="H39" s="116">
        <f>scen_input_circular!H39/SUM(scen_input_circular!$D$34:$D$46)</f>
        <v>0</v>
      </c>
      <c r="I39" s="116">
        <f>scen_input_circular!I39/SUM(scen_input_circular!$D$34:$D$46)</f>
        <v>0</v>
      </c>
      <c r="J39" s="116">
        <f>scen_input_circular!J39/SUM(scen_input_circular!$D$34:$D$46)</f>
        <v>0</v>
      </c>
      <c r="K39" s="116">
        <f>scen_input_circular!K39/SUM(scen_input_circular!$D$34:$D$46)</f>
        <v>0</v>
      </c>
      <c r="L39" s="427">
        <f t="shared" si="28"/>
        <v>0</v>
      </c>
      <c r="M39" s="427">
        <f t="shared" si="26"/>
        <v>0</v>
      </c>
      <c r="N39" s="427">
        <f t="shared" si="26"/>
        <v>0</v>
      </c>
      <c r="O39" s="427">
        <f t="shared" si="26"/>
        <v>0</v>
      </c>
      <c r="P39" s="427">
        <f t="shared" si="26"/>
        <v>0</v>
      </c>
      <c r="Q39" s="427">
        <f t="shared" si="26"/>
        <v>0</v>
      </c>
      <c r="R39" s="427">
        <f t="shared" si="26"/>
        <v>0</v>
      </c>
      <c r="S39" s="427">
        <f t="shared" si="26"/>
        <v>0</v>
      </c>
      <c r="T39" s="116">
        <f t="shared" si="27"/>
        <v>0</v>
      </c>
      <c r="U39" s="116">
        <f t="shared" si="27"/>
        <v>0</v>
      </c>
      <c r="V39" s="116">
        <f t="shared" si="27"/>
        <v>0</v>
      </c>
      <c r="W39" s="116">
        <f t="shared" si="27"/>
        <v>0</v>
      </c>
      <c r="X39" s="116">
        <f t="shared" si="27"/>
        <v>0</v>
      </c>
      <c r="Y39" s="116">
        <f t="shared" si="27"/>
        <v>0</v>
      </c>
      <c r="Z39" s="116">
        <f t="shared" si="27"/>
        <v>0</v>
      </c>
      <c r="AA39" s="116">
        <f t="shared" si="27"/>
        <v>0</v>
      </c>
    </row>
    <row r="40" spans="1:27" x14ac:dyDescent="0.25">
      <c r="A40" s="15" t="s">
        <v>10</v>
      </c>
      <c r="B40" s="1" t="s">
        <v>11</v>
      </c>
      <c r="C40" s="15" t="str">
        <f>scen_input_circular!C40</f>
        <v>MIX-CP (2020-30)/EU 2020 Reference (trends 2030-50)</v>
      </c>
      <c r="D40" s="116">
        <f>scen_input_circular!D40/SUM(scen_input_circular!$D$34:$D$46)</f>
        <v>2.3135979454853373E-3</v>
      </c>
      <c r="E40" s="116">
        <f>scen_input_circular!E40/SUM(scen_input_circular!$D$34:$D$46)</f>
        <v>1.6346179395416048E-3</v>
      </c>
      <c r="F40" s="116">
        <f>scen_input_circular!F40/SUM(scen_input_circular!$D$34:$D$46)</f>
        <v>1.5307255926064179E-3</v>
      </c>
      <c r="G40" s="116">
        <f>scen_input_circular!G40/SUM(scen_input_circular!$D$34:$D$46)</f>
        <v>1.5315972630096915E-3</v>
      </c>
      <c r="H40" s="116">
        <f>scen_input_circular!H40/SUM(scen_input_circular!$D$34:$D$46)</f>
        <v>1.2535478234338335E-3</v>
      </c>
      <c r="I40" s="116">
        <f>scen_input_circular!I40/SUM(scen_input_circular!$D$34:$D$46)</f>
        <v>1.2236357885644304E-3</v>
      </c>
      <c r="J40" s="116">
        <f>scen_input_circular!J40/SUM(scen_input_circular!$D$34:$D$46)</f>
        <v>7.8309730825145275E-4</v>
      </c>
      <c r="K40" s="116">
        <f>scen_input_circular!K40/SUM(scen_input_circular!$D$34:$D$46)</f>
        <v>2.0081996641303085E-4</v>
      </c>
      <c r="L40" s="427">
        <f t="shared" si="28"/>
        <v>2.3135979454853373E-3</v>
      </c>
      <c r="M40" s="427">
        <f t="shared" si="26"/>
        <v>1.6346179395416048E-3</v>
      </c>
      <c r="N40" s="427">
        <f t="shared" si="26"/>
        <v>1.5307255926064179E-3</v>
      </c>
      <c r="O40" s="427">
        <f t="shared" si="26"/>
        <v>1.5315972630096915E-3</v>
      </c>
      <c r="P40" s="427">
        <f t="shared" si="26"/>
        <v>1.2535478234338335E-3</v>
      </c>
      <c r="Q40" s="427">
        <f t="shared" si="26"/>
        <v>1.2236357885644304E-3</v>
      </c>
      <c r="R40" s="427">
        <f t="shared" si="26"/>
        <v>7.8309730825145275E-4</v>
      </c>
      <c r="S40" s="427">
        <f t="shared" si="26"/>
        <v>2.0081996641303085E-4</v>
      </c>
      <c r="T40" s="116">
        <f t="shared" si="27"/>
        <v>2.3135979454853373E-3</v>
      </c>
      <c r="U40" s="116">
        <f t="shared" si="27"/>
        <v>1.6346179395416048E-3</v>
      </c>
      <c r="V40" s="116">
        <f t="shared" si="27"/>
        <v>1.5307255926064179E-3</v>
      </c>
      <c r="W40" s="116">
        <f t="shared" si="27"/>
        <v>1.5315972630096915E-3</v>
      </c>
      <c r="X40" s="116">
        <f t="shared" si="27"/>
        <v>1.2535478234338335E-3</v>
      </c>
      <c r="Y40" s="116">
        <f t="shared" si="27"/>
        <v>1.2236357885644304E-3</v>
      </c>
      <c r="Z40" s="116">
        <f t="shared" si="27"/>
        <v>7.8309730825145275E-4</v>
      </c>
      <c r="AA40" s="116">
        <f t="shared" si="27"/>
        <v>2.0081996641303085E-4</v>
      </c>
    </row>
    <row r="41" spans="1:27" x14ac:dyDescent="0.25">
      <c r="A41" s="15" t="s">
        <v>12</v>
      </c>
      <c r="B41" s="2" t="s">
        <v>13</v>
      </c>
      <c r="C41" s="15" t="str">
        <f>scen_input_circular!C41</f>
        <v>MIX-CP (2020-30)/EU 2020 Reference (trends 2030-50)</v>
      </c>
      <c r="D41" s="116">
        <f>scen_input_circular!D41/SUM(scen_input_circular!$D$34:$D$46)</f>
        <v>5.1504785957370923E-2</v>
      </c>
      <c r="E41" s="116">
        <f>scen_input_circular!E41/SUM(scen_input_circular!$D$34:$D$46)</f>
        <v>4.000863753988157E-2</v>
      </c>
      <c r="F41" s="116">
        <f>scen_input_circular!F41/SUM(scen_input_circular!$D$34:$D$46)</f>
        <v>2.3976505470970182E-2</v>
      </c>
      <c r="G41" s="116">
        <f>scen_input_circular!G41/SUM(scen_input_circular!$D$34:$D$46)</f>
        <v>4.2580916457430985E-2</v>
      </c>
      <c r="H41" s="116">
        <f>scen_input_circular!H41/SUM(scen_input_circular!$D$34:$D$46)</f>
        <v>4.8545279072132345E-2</v>
      </c>
      <c r="I41" s="116">
        <f>scen_input_circular!I41/SUM(scen_input_circular!$D$34:$D$46)</f>
        <v>7.1119546575377557E-2</v>
      </c>
      <c r="J41" s="116">
        <f>scen_input_circular!J41/SUM(scen_input_circular!$D$34:$D$46)</f>
        <v>8.1922461484742817E-2</v>
      </c>
      <c r="K41" s="116">
        <f>scen_input_circular!K41/SUM(scen_input_circular!$D$34:$D$46)</f>
        <v>0.1081911316774274</v>
      </c>
      <c r="L41" s="427">
        <f t="shared" si="28"/>
        <v>5.1504785957370923E-2</v>
      </c>
      <c r="M41" s="427">
        <f t="shared" si="26"/>
        <v>4.000863753988157E-2</v>
      </c>
      <c r="N41" s="427">
        <f t="shared" si="26"/>
        <v>2.3976505470970182E-2</v>
      </c>
      <c r="O41" s="427">
        <f t="shared" si="26"/>
        <v>4.2580916457430985E-2</v>
      </c>
      <c r="P41" s="427">
        <f t="shared" si="26"/>
        <v>4.8545279072132345E-2</v>
      </c>
      <c r="Q41" s="427">
        <f t="shared" si="26"/>
        <v>7.1119546575377557E-2</v>
      </c>
      <c r="R41" s="427">
        <f t="shared" si="26"/>
        <v>8.1922461484742817E-2</v>
      </c>
      <c r="S41" s="427">
        <f t="shared" si="26"/>
        <v>0.1081911316774274</v>
      </c>
      <c r="T41" s="116">
        <f t="shared" si="27"/>
        <v>5.1504785957370923E-2</v>
      </c>
      <c r="U41" s="116">
        <f t="shared" si="27"/>
        <v>4.000863753988157E-2</v>
      </c>
      <c r="V41" s="116">
        <f t="shared" si="27"/>
        <v>2.3976505470970182E-2</v>
      </c>
      <c r="W41" s="116">
        <f t="shared" si="27"/>
        <v>4.2580916457430985E-2</v>
      </c>
      <c r="X41" s="116">
        <f t="shared" si="27"/>
        <v>4.8545279072132345E-2</v>
      </c>
      <c r="Y41" s="116">
        <f t="shared" si="27"/>
        <v>7.1119546575377557E-2</v>
      </c>
      <c r="Z41" s="116">
        <f t="shared" si="27"/>
        <v>8.1922461484742817E-2</v>
      </c>
      <c r="AA41" s="116">
        <f t="shared" si="27"/>
        <v>0.1081911316774274</v>
      </c>
    </row>
    <row r="42" spans="1:27" x14ac:dyDescent="0.25">
      <c r="A42" s="15" t="s">
        <v>831</v>
      </c>
      <c r="B42" s="2" t="s">
        <v>338</v>
      </c>
      <c r="C42" s="15" t="str">
        <f>scen_input_circular!C42</f>
        <v>MIX-CP (2020-30)/EU 2020 Reference (trends 2030-50)</v>
      </c>
      <c r="D42" s="116">
        <f>scen_input_circular!D42/SUM(scen_input_circular!$D$34:$D$46)</f>
        <v>1.8433470403823538E-2</v>
      </c>
      <c r="E42" s="116">
        <f>scen_input_circular!E42/SUM(scen_input_circular!$D$34:$D$46)</f>
        <v>1.8433470403823538E-2</v>
      </c>
      <c r="F42" s="116">
        <f>scen_input_circular!F42/SUM(scen_input_circular!$D$34:$D$46)</f>
        <v>3.4253719061183706E-2</v>
      </c>
      <c r="G42" s="116">
        <f>scen_input_circular!G42/SUM(scen_input_circular!$D$34:$D$46)</f>
        <v>3.8568262273493886E-2</v>
      </c>
      <c r="H42" s="116">
        <f>scen_input_circular!H42/SUM(scen_input_circular!$D$34:$D$46)</f>
        <v>4.1489125176208994E-2</v>
      </c>
      <c r="I42" s="116">
        <f>scen_input_circular!I42/SUM(scen_input_circular!$D$34:$D$46)</f>
        <v>4.9608577672457355E-2</v>
      </c>
      <c r="J42" s="116">
        <f>scen_input_circular!J42/SUM(scen_input_circular!$D$34:$D$46)</f>
        <v>6.3312861407365001E-2</v>
      </c>
      <c r="K42" s="116">
        <f>scen_input_circular!K42/SUM(scen_input_circular!$D$34:$D$46)</f>
        <v>6.3426685177556424E-2</v>
      </c>
      <c r="L42" s="427">
        <f t="shared" si="28"/>
        <v>1.8433470403823538E-2</v>
      </c>
      <c r="M42" s="427">
        <f t="shared" si="26"/>
        <v>1.8433470403823538E-2</v>
      </c>
      <c r="N42" s="427">
        <f t="shared" si="26"/>
        <v>3.4253719061183706E-2</v>
      </c>
      <c r="O42" s="427">
        <f t="shared" si="26"/>
        <v>3.8568262273493886E-2</v>
      </c>
      <c r="P42" s="427">
        <f t="shared" si="26"/>
        <v>4.1489125176208994E-2</v>
      </c>
      <c r="Q42" s="427">
        <f t="shared" si="26"/>
        <v>4.9608577672457355E-2</v>
      </c>
      <c r="R42" s="427">
        <f t="shared" si="26"/>
        <v>6.3312861407365001E-2</v>
      </c>
      <c r="S42" s="427">
        <f t="shared" si="26"/>
        <v>6.3426685177556424E-2</v>
      </c>
      <c r="T42" s="116">
        <f t="shared" si="27"/>
        <v>1.8433470403823538E-2</v>
      </c>
      <c r="U42" s="116">
        <f t="shared" si="27"/>
        <v>1.8433470403823538E-2</v>
      </c>
      <c r="V42" s="116">
        <f t="shared" si="27"/>
        <v>3.4253719061183706E-2</v>
      </c>
      <c r="W42" s="116">
        <f t="shared" si="27"/>
        <v>3.8568262273493886E-2</v>
      </c>
      <c r="X42" s="116">
        <f t="shared" si="27"/>
        <v>4.1489125176208994E-2</v>
      </c>
      <c r="Y42" s="116">
        <f t="shared" si="27"/>
        <v>4.9608577672457355E-2</v>
      </c>
      <c r="Z42" s="116">
        <f t="shared" si="27"/>
        <v>6.3312861407365001E-2</v>
      </c>
      <c r="AA42" s="116">
        <f t="shared" si="27"/>
        <v>6.3426685177556424E-2</v>
      </c>
    </row>
    <row r="43" spans="1:27" x14ac:dyDescent="0.25">
      <c r="A43" s="15" t="s">
        <v>832</v>
      </c>
      <c r="B43" s="2" t="s">
        <v>339</v>
      </c>
      <c r="C43" s="15" t="str">
        <f>scen_input_circular!C43</f>
        <v>MIX-CP (2020-30)/EU 2020 Reference (trends 2030-50)</v>
      </c>
      <c r="D43" s="116">
        <f>scen_input_circular!D43/SUM(scen_input_circular!$D$34:$D$46)</f>
        <v>9.7473924041468676E-3</v>
      </c>
      <c r="E43" s="116">
        <f>scen_input_circular!E43/SUM(scen_input_circular!$D$34:$D$46)</f>
        <v>9.7473924041468676E-3</v>
      </c>
      <c r="F43" s="116">
        <f>scen_input_circular!F43/SUM(scen_input_circular!$D$34:$D$46)</f>
        <v>1.8112945293334851E-2</v>
      </c>
      <c r="G43" s="116">
        <f>scen_input_circular!G43/SUM(scen_input_circular!$D$34:$D$46)</f>
        <v>2.0394422671914221E-2</v>
      </c>
      <c r="H43" s="116">
        <f>scen_input_circular!H43/SUM(scen_input_circular!$D$34:$D$46)</f>
        <v>2.3315285574629325E-2</v>
      </c>
      <c r="I43" s="116">
        <f>scen_input_circular!I43/SUM(scen_input_circular!$D$34:$D$46)</f>
        <v>3.1434738070877682E-2</v>
      </c>
      <c r="J43" s="116">
        <f>scen_input_circular!J43/SUM(scen_input_circular!$D$34:$D$46)</f>
        <v>4.5139021805785329E-2</v>
      </c>
      <c r="K43" s="116">
        <f>scen_input_circular!K43/SUM(scen_input_circular!$D$34:$D$46)</f>
        <v>4.5252845575976745E-2</v>
      </c>
      <c r="L43" s="427">
        <f t="shared" si="28"/>
        <v>9.7473924041468676E-3</v>
      </c>
      <c r="M43" s="427">
        <f t="shared" si="26"/>
        <v>9.7473924041468676E-3</v>
      </c>
      <c r="N43" s="427">
        <f t="shared" si="26"/>
        <v>1.8112945293334851E-2</v>
      </c>
      <c r="O43" s="427">
        <f t="shared" si="26"/>
        <v>2.0394422671914221E-2</v>
      </c>
      <c r="P43" s="427">
        <f t="shared" si="26"/>
        <v>2.3315285574629325E-2</v>
      </c>
      <c r="Q43" s="427">
        <f t="shared" si="26"/>
        <v>3.1434738070877682E-2</v>
      </c>
      <c r="R43" s="427">
        <f t="shared" si="26"/>
        <v>4.5139021805785329E-2</v>
      </c>
      <c r="S43" s="427">
        <f t="shared" si="26"/>
        <v>4.5252845575976745E-2</v>
      </c>
      <c r="T43" s="116">
        <f t="shared" si="27"/>
        <v>9.7473924041468676E-3</v>
      </c>
      <c r="U43" s="116">
        <f t="shared" si="27"/>
        <v>9.7473924041468676E-3</v>
      </c>
      <c r="V43" s="116">
        <f t="shared" si="27"/>
        <v>1.8112945293334851E-2</v>
      </c>
      <c r="W43" s="116">
        <f t="shared" si="27"/>
        <v>2.0394422671914221E-2</v>
      </c>
      <c r="X43" s="116">
        <f t="shared" si="27"/>
        <v>2.3315285574629325E-2</v>
      </c>
      <c r="Y43" s="116">
        <f t="shared" si="27"/>
        <v>3.1434738070877682E-2</v>
      </c>
      <c r="Z43" s="116">
        <f t="shared" si="27"/>
        <v>4.5139021805785329E-2</v>
      </c>
      <c r="AA43" s="116">
        <f t="shared" si="27"/>
        <v>4.5252845575976745E-2</v>
      </c>
    </row>
    <row r="44" spans="1:27" x14ac:dyDescent="0.25">
      <c r="A44" s="15" t="s">
        <v>14</v>
      </c>
      <c r="B44" s="2" t="s">
        <v>15</v>
      </c>
      <c r="C44" s="15" t="str">
        <f>scen_input_circular!C44</f>
        <v>MIX-CP (2020-30)/EU 2020 Reference (trends 2030-50)</v>
      </c>
      <c r="D44" s="116">
        <f>scen_input_circular!D44/SUM(scen_input_circular!$D$34:$D$46)</f>
        <v>0</v>
      </c>
      <c r="E44" s="116">
        <f>scen_input_circular!E44/SUM(scen_input_circular!$D$34:$D$46)</f>
        <v>0</v>
      </c>
      <c r="F44" s="116">
        <f>scen_input_circular!F44/SUM(scen_input_circular!$D$34:$D$46)</f>
        <v>0</v>
      </c>
      <c r="G44" s="116">
        <f>scen_input_circular!G44/SUM(scen_input_circular!$D$34:$D$46)</f>
        <v>0</v>
      </c>
      <c r="H44" s="116">
        <f>scen_input_circular!H44/SUM(scen_input_circular!$D$34:$D$46)</f>
        <v>0</v>
      </c>
      <c r="I44" s="116">
        <f>scen_input_circular!I44/SUM(scen_input_circular!$D$34:$D$46)</f>
        <v>0</v>
      </c>
      <c r="J44" s="116">
        <f>scen_input_circular!J44/SUM(scen_input_circular!$D$34:$D$46)</f>
        <v>0</v>
      </c>
      <c r="K44" s="116">
        <f>scen_input_circular!K44/SUM(scen_input_circular!$D$34:$D$46)</f>
        <v>0</v>
      </c>
      <c r="L44" s="427">
        <f t="shared" si="28"/>
        <v>0</v>
      </c>
      <c r="M44" s="427">
        <f t="shared" si="26"/>
        <v>0</v>
      </c>
      <c r="N44" s="427">
        <f t="shared" si="26"/>
        <v>0</v>
      </c>
      <c r="O44" s="427">
        <f t="shared" si="26"/>
        <v>0</v>
      </c>
      <c r="P44" s="427">
        <f t="shared" si="26"/>
        <v>0</v>
      </c>
      <c r="Q44" s="427">
        <f t="shared" si="26"/>
        <v>0</v>
      </c>
      <c r="R44" s="427">
        <f t="shared" si="26"/>
        <v>0</v>
      </c>
      <c r="S44" s="427">
        <f t="shared" si="26"/>
        <v>0</v>
      </c>
      <c r="T44" s="116">
        <f t="shared" si="27"/>
        <v>0</v>
      </c>
      <c r="U44" s="116">
        <f t="shared" si="27"/>
        <v>0</v>
      </c>
      <c r="V44" s="116">
        <f t="shared" si="27"/>
        <v>0</v>
      </c>
      <c r="W44" s="116">
        <f t="shared" si="27"/>
        <v>0</v>
      </c>
      <c r="X44" s="116">
        <f t="shared" si="27"/>
        <v>0</v>
      </c>
      <c r="Y44" s="116">
        <f t="shared" si="27"/>
        <v>0</v>
      </c>
      <c r="Z44" s="116">
        <f t="shared" si="27"/>
        <v>0</v>
      </c>
      <c r="AA44" s="116">
        <f t="shared" si="27"/>
        <v>0</v>
      </c>
    </row>
    <row r="45" spans="1:27" x14ac:dyDescent="0.25">
      <c r="A45" s="15" t="s">
        <v>16</v>
      </c>
      <c r="B45" s="2" t="s">
        <v>17</v>
      </c>
      <c r="C45" s="15" t="str">
        <f>scen_input_circular!C45</f>
        <v>MIX-CP (2020-30)/EU 2020 Reference (trends 2030-50)</v>
      </c>
      <c r="D45" s="116">
        <f>scen_input_circular!D45/SUM(scen_input_circular!$D$34:$D$46)</f>
        <v>0</v>
      </c>
      <c r="E45" s="116">
        <f>scen_input_circular!E45/SUM(scen_input_circular!$D$34:$D$46)</f>
        <v>0</v>
      </c>
      <c r="F45" s="116">
        <f>scen_input_circular!F45/SUM(scen_input_circular!$D$34:$D$46)</f>
        <v>0</v>
      </c>
      <c r="G45" s="116">
        <f>scen_input_circular!G45/SUM(scen_input_circular!$D$34:$D$46)</f>
        <v>0</v>
      </c>
      <c r="H45" s="116">
        <f>scen_input_circular!H45/SUM(scen_input_circular!$D$34:$D$46)</f>
        <v>0</v>
      </c>
      <c r="I45" s="116">
        <f>scen_input_circular!I45/SUM(scen_input_circular!$D$34:$D$46)</f>
        <v>0</v>
      </c>
      <c r="J45" s="116">
        <f>scen_input_circular!J45/SUM(scen_input_circular!$D$34:$D$46)</f>
        <v>0</v>
      </c>
      <c r="K45" s="116">
        <f>scen_input_circular!K45/SUM(scen_input_circular!$D$34:$D$46)</f>
        <v>0</v>
      </c>
      <c r="L45" s="427">
        <f t="shared" si="28"/>
        <v>0</v>
      </c>
      <c r="M45" s="427">
        <f t="shared" si="26"/>
        <v>0</v>
      </c>
      <c r="N45" s="427">
        <f t="shared" si="26"/>
        <v>0</v>
      </c>
      <c r="O45" s="427">
        <f t="shared" si="26"/>
        <v>0</v>
      </c>
      <c r="P45" s="427">
        <f t="shared" si="26"/>
        <v>0</v>
      </c>
      <c r="Q45" s="427">
        <f t="shared" si="26"/>
        <v>0</v>
      </c>
      <c r="R45" s="427">
        <f t="shared" si="26"/>
        <v>0</v>
      </c>
      <c r="S45" s="427">
        <f t="shared" si="26"/>
        <v>0</v>
      </c>
      <c r="T45" s="116">
        <f t="shared" si="27"/>
        <v>0</v>
      </c>
      <c r="U45" s="116">
        <f t="shared" si="27"/>
        <v>0</v>
      </c>
      <c r="V45" s="116">
        <f t="shared" si="27"/>
        <v>0</v>
      </c>
      <c r="W45" s="116">
        <f t="shared" si="27"/>
        <v>0</v>
      </c>
      <c r="X45" s="116">
        <f t="shared" si="27"/>
        <v>0</v>
      </c>
      <c r="Y45" s="116">
        <f t="shared" si="27"/>
        <v>0</v>
      </c>
      <c r="Z45" s="116">
        <f t="shared" si="27"/>
        <v>0</v>
      </c>
      <c r="AA45" s="116">
        <f t="shared" si="27"/>
        <v>0</v>
      </c>
    </row>
    <row r="46" spans="1:27" x14ac:dyDescent="0.25">
      <c r="A46" s="15" t="s">
        <v>18</v>
      </c>
      <c r="B46" s="2" t="s">
        <v>19</v>
      </c>
      <c r="C46" s="15" t="str">
        <f>scen_input_circular!C46</f>
        <v>MIX-CP (2020-30)/EU 2020 Reference (trends 2030-50)</v>
      </c>
      <c r="D46" s="116">
        <f>scen_input_circular!D46/SUM(scen_input_circular!$D$34:$D$46)</f>
        <v>0</v>
      </c>
      <c r="E46" s="116">
        <f>scen_input_circular!E46/SUM(scen_input_circular!$D$34:$D$46)</f>
        <v>0</v>
      </c>
      <c r="F46" s="116">
        <f>scen_input_circular!F46/SUM(scen_input_circular!$D$34:$D$46)</f>
        <v>0</v>
      </c>
      <c r="G46" s="116">
        <f>scen_input_circular!G46/SUM(scen_input_circular!$D$34:$D$46)</f>
        <v>0</v>
      </c>
      <c r="H46" s="116">
        <f>scen_input_circular!H46/SUM(scen_input_circular!$D$34:$D$46)</f>
        <v>0</v>
      </c>
      <c r="I46" s="116">
        <f>scen_input_circular!I46/SUM(scen_input_circular!$D$34:$D$46)</f>
        <v>8.5082534440411703E-4</v>
      </c>
      <c r="J46" s="116">
        <f>scen_input_circular!J46/SUM(scen_input_circular!$D$34:$D$46)</f>
        <v>3.2253276205508066E-2</v>
      </c>
      <c r="K46" s="116">
        <f>scen_input_circular!K46/SUM(scen_input_circular!$D$34:$D$46)</f>
        <v>3.7204904535719015E-2</v>
      </c>
      <c r="L46" s="427">
        <f t="shared" si="28"/>
        <v>0</v>
      </c>
      <c r="M46" s="427">
        <f t="shared" si="26"/>
        <v>0</v>
      </c>
      <c r="N46" s="427">
        <f t="shared" si="26"/>
        <v>0</v>
      </c>
      <c r="O46" s="427">
        <f t="shared" si="26"/>
        <v>0</v>
      </c>
      <c r="P46" s="427">
        <f t="shared" si="26"/>
        <v>0</v>
      </c>
      <c r="Q46" s="427">
        <f t="shared" si="26"/>
        <v>8.5082534440411703E-4</v>
      </c>
      <c r="R46" s="427">
        <f t="shared" si="26"/>
        <v>3.2253276205508066E-2</v>
      </c>
      <c r="S46" s="427">
        <f t="shared" si="26"/>
        <v>3.7204904535719015E-2</v>
      </c>
      <c r="T46" s="116">
        <f t="shared" si="27"/>
        <v>0</v>
      </c>
      <c r="U46" s="116">
        <f t="shared" si="27"/>
        <v>0</v>
      </c>
      <c r="V46" s="116">
        <f t="shared" si="27"/>
        <v>0</v>
      </c>
      <c r="W46" s="116">
        <f t="shared" si="27"/>
        <v>0</v>
      </c>
      <c r="X46" s="116">
        <f t="shared" si="27"/>
        <v>0</v>
      </c>
      <c r="Y46" s="116">
        <f t="shared" si="27"/>
        <v>8.5082534440411703E-4</v>
      </c>
      <c r="Z46" s="116">
        <f t="shared" si="27"/>
        <v>3.2253276205508066E-2</v>
      </c>
      <c r="AA46" s="116">
        <f t="shared" si="27"/>
        <v>3.7204904535719015E-2</v>
      </c>
    </row>
    <row r="47" spans="1:27" x14ac:dyDescent="0.25">
      <c r="A47" s="19" t="s">
        <v>1048</v>
      </c>
      <c r="B47" s="19"/>
      <c r="C47" s="15" t="str">
        <f>scen_input_circular!C47</f>
        <v>MIX-CP (2020-30)/EU 2020 Reference (trends 2030-50)</v>
      </c>
      <c r="D47" s="46">
        <f>SUM(scen_input_circular!D34:D46)/SUM(scen_input_circular!$D34:$D46)</f>
        <v>1</v>
      </c>
      <c r="E47" s="46">
        <f>SUM(scen_input_circular!E34:E46)/SUM(scen_input_circular!$D34:$D46)</f>
        <v>0.91787671855406683</v>
      </c>
      <c r="F47" s="46">
        <f>SUM(scen_input_circular!F34:F46)/SUM(scen_input_circular!$D34:$D46)</f>
        <v>0.9248500903089012</v>
      </c>
      <c r="G47" s="46">
        <f>SUM(scen_input_circular!G34:G46)/SUM(scen_input_circular!$D34:$D46)</f>
        <v>0.97175016224236177</v>
      </c>
      <c r="H47" s="46">
        <f>SUM(scen_input_circular!H34:H46)/SUM(scen_input_circular!$D34:$D46)</f>
        <v>1.0888035900601816</v>
      </c>
      <c r="I47" s="46">
        <f>SUM(scen_input_circular!I34:I46)/SUM(scen_input_circular!$D34:$D46)</f>
        <v>1.1860403759776363</v>
      </c>
      <c r="J47" s="46">
        <f>SUM(scen_input_circular!J34:J46)/SUM(scen_input_circular!$D34:$D46)</f>
        <v>1.2615726190193424</v>
      </c>
      <c r="K47" s="46">
        <f>SUM(scen_input_circular!K34:K46)/SUM(scen_input_circular!$D34:$D46)</f>
        <v>1.2958640930674223</v>
      </c>
      <c r="L47" s="47">
        <f>SUM(L34:L46)</f>
        <v>1</v>
      </c>
      <c r="M47" s="47">
        <f t="shared" ref="M47:S47" si="29">SUM(M34:M46)</f>
        <v>0.91787671855406661</v>
      </c>
      <c r="N47" s="47">
        <f t="shared" si="29"/>
        <v>0.92485009030890097</v>
      </c>
      <c r="O47" s="47">
        <f t="shared" si="29"/>
        <v>0.97175016224236188</v>
      </c>
      <c r="P47" s="47">
        <f t="shared" si="29"/>
        <v>1.0888035900601813</v>
      </c>
      <c r="Q47" s="47">
        <f t="shared" si="29"/>
        <v>1.1860403759776363</v>
      </c>
      <c r="R47" s="47">
        <f t="shared" si="29"/>
        <v>1.2615726190193426</v>
      </c>
      <c r="S47" s="47">
        <f t="shared" si="29"/>
        <v>1.2958640930674219</v>
      </c>
      <c r="T47" s="47">
        <f>L47/$L47</f>
        <v>1</v>
      </c>
      <c r="U47" s="47">
        <f>M47/$L47</f>
        <v>0.91787671855406661</v>
      </c>
      <c r="V47" s="47">
        <f t="shared" ref="V47:AA47" si="30">N47/$L47</f>
        <v>0.92485009030890097</v>
      </c>
      <c r="W47" s="47">
        <f t="shared" si="30"/>
        <v>0.97175016224236188</v>
      </c>
      <c r="X47" s="47">
        <f t="shared" si="30"/>
        <v>1.0888035900601813</v>
      </c>
      <c r="Y47" s="47">
        <f t="shared" si="30"/>
        <v>1.1860403759776363</v>
      </c>
      <c r="Z47" s="47">
        <f t="shared" si="30"/>
        <v>1.2615726190193426</v>
      </c>
      <c r="AA47" s="47">
        <f t="shared" si="30"/>
        <v>1.2958640930674219</v>
      </c>
    </row>
    <row r="48" spans="1:27" x14ac:dyDescent="0.25">
      <c r="A48" s="373" t="s">
        <v>1058</v>
      </c>
      <c r="B48" s="373"/>
      <c r="C48" s="297"/>
      <c r="D48" s="374"/>
      <c r="E48" s="374"/>
      <c r="F48" s="374"/>
      <c r="G48" s="374"/>
      <c r="H48" s="374"/>
      <c r="I48" s="374"/>
      <c r="J48" s="374"/>
      <c r="K48" s="374"/>
      <c r="L48" s="374"/>
      <c r="M48" s="374"/>
      <c r="N48" s="374"/>
      <c r="O48" s="374"/>
      <c r="P48" s="374"/>
      <c r="Q48" s="374"/>
      <c r="R48" s="374"/>
      <c r="S48" s="374"/>
      <c r="T48" s="374"/>
      <c r="U48" s="374"/>
      <c r="V48" s="374"/>
      <c r="W48" s="374"/>
      <c r="X48" s="374"/>
      <c r="Y48" s="47"/>
      <c r="Z48" s="47"/>
      <c r="AA48" s="47"/>
    </row>
    <row r="49" spans="1:27" x14ac:dyDescent="0.25">
      <c r="A49" s="375" t="s">
        <v>921</v>
      </c>
      <c r="B49" s="375"/>
      <c r="C49" s="297"/>
      <c r="D49" s="422" t="s">
        <v>1164</v>
      </c>
      <c r="E49" s="422" t="s">
        <v>1165</v>
      </c>
      <c r="F49" s="422" t="s">
        <v>1166</v>
      </c>
      <c r="G49" s="422" t="s">
        <v>1167</v>
      </c>
      <c r="H49" s="422" t="s">
        <v>1168</v>
      </c>
      <c r="I49" s="422" t="s">
        <v>1169</v>
      </c>
      <c r="J49" s="422" t="s">
        <v>1170</v>
      </c>
      <c r="K49" s="422" t="s">
        <v>1171</v>
      </c>
      <c r="L49" s="176" t="s">
        <v>1121</v>
      </c>
      <c r="M49" s="176" t="s">
        <v>1122</v>
      </c>
      <c r="N49" s="176" t="s">
        <v>1123</v>
      </c>
      <c r="O49" s="176" t="s">
        <v>1124</v>
      </c>
      <c r="P49" s="176" t="s">
        <v>1125</v>
      </c>
      <c r="Q49" s="176" t="s">
        <v>1126</v>
      </c>
      <c r="R49" s="176" t="s">
        <v>1127</v>
      </c>
      <c r="S49" s="176" t="s">
        <v>1128</v>
      </c>
      <c r="T49" s="428" t="s">
        <v>1137</v>
      </c>
      <c r="U49" s="428" t="s">
        <v>1138</v>
      </c>
      <c r="V49" s="428" t="s">
        <v>1139</v>
      </c>
      <c r="W49" s="428" t="s">
        <v>1140</v>
      </c>
      <c r="X49" s="428" t="s">
        <v>1141</v>
      </c>
      <c r="Y49" s="428" t="s">
        <v>1142</v>
      </c>
      <c r="Z49" s="428" t="s">
        <v>1143</v>
      </c>
      <c r="AA49" s="428" t="s">
        <v>1144</v>
      </c>
    </row>
    <row r="50" spans="1:27" x14ac:dyDescent="0.25">
      <c r="A50" s="297" t="s">
        <v>2</v>
      </c>
      <c r="B50" s="297" t="s">
        <v>3</v>
      </c>
      <c r="C50" s="297" t="str">
        <f>scen_input_circular!C50</f>
        <v>MIX-CP (2020-30)/EU 2020 Reference (trends 2030-50)</v>
      </c>
      <c r="D50" s="377">
        <f>scen_input_circular!D50/SUM(scen_input_circular!$D$50:$D$62)</f>
        <v>0.51645296878398617</v>
      </c>
      <c r="E50" s="377">
        <f>scen_input_circular!E50/SUM(scen_input_circular!$D$50:$D$62)</f>
        <v>0.53715199868625318</v>
      </c>
      <c r="F50" s="377">
        <f>scen_input_circular!F50/SUM(scen_input_circular!$D$50:$D$62)</f>
        <v>0.53326485692056913</v>
      </c>
      <c r="G50" s="377">
        <f>scen_input_circular!G50/SUM(scen_input_circular!$D$50:$D$62)</f>
        <v>0.50028298317178033</v>
      </c>
      <c r="H50" s="377">
        <f>scen_input_circular!H50/SUM(scen_input_circular!$D$50:$D$62)</f>
        <v>0.29597298285009099</v>
      </c>
      <c r="I50" s="377">
        <f>scen_input_circular!I50/SUM(scen_input_circular!$D$50:$D$62)</f>
        <v>0.14991512852748676</v>
      </c>
      <c r="J50" s="377">
        <f>scen_input_circular!J50/SUM(scen_input_circular!$D$50:$D$62)</f>
        <v>0.10119258760872522</v>
      </c>
      <c r="K50" s="377">
        <f>scen_input_circular!K50/SUM(scen_input_circular!$D$50:$D$62)</f>
        <v>9.5674001533459244E-2</v>
      </c>
      <c r="L50" s="427">
        <f>D50</f>
        <v>0.51645296878398617</v>
      </c>
      <c r="M50" s="427">
        <f t="shared" ref="M50:S62" si="31">E50</f>
        <v>0.53715199868625318</v>
      </c>
      <c r="N50" s="427">
        <f t="shared" si="31"/>
        <v>0.53326485692056913</v>
      </c>
      <c r="O50" s="427">
        <f t="shared" si="31"/>
        <v>0.50028298317178033</v>
      </c>
      <c r="P50" s="427">
        <f t="shared" si="31"/>
        <v>0.29597298285009099</v>
      </c>
      <c r="Q50" s="427">
        <f t="shared" si="31"/>
        <v>0.14991512852748676</v>
      </c>
      <c r="R50" s="427">
        <f t="shared" si="31"/>
        <v>0.10119258760872522</v>
      </c>
      <c r="S50" s="427">
        <f t="shared" si="31"/>
        <v>9.5674001533459244E-2</v>
      </c>
      <c r="T50" s="377">
        <f t="shared" ref="T50:AA62" si="32">L50/L$63*T$63</f>
        <v>0.51645296878398617</v>
      </c>
      <c r="U50" s="377">
        <f t="shared" si="32"/>
        <v>0.53715199868625318</v>
      </c>
      <c r="V50" s="377">
        <f t="shared" si="32"/>
        <v>0.53326485692056913</v>
      </c>
      <c r="W50" s="377">
        <f t="shared" si="32"/>
        <v>0.50028298317178033</v>
      </c>
      <c r="X50" s="377">
        <f t="shared" si="32"/>
        <v>0.29597298285009099</v>
      </c>
      <c r="Y50" s="377">
        <f t="shared" si="32"/>
        <v>0.14991512852748676</v>
      </c>
      <c r="Z50" s="377">
        <f t="shared" si="32"/>
        <v>0.10119258760872522</v>
      </c>
      <c r="AA50" s="377">
        <f t="shared" si="32"/>
        <v>9.5674001533459244E-2</v>
      </c>
    </row>
    <row r="51" spans="1:27" x14ac:dyDescent="0.25">
      <c r="A51" s="297" t="s">
        <v>4</v>
      </c>
      <c r="B51" s="297" t="s">
        <v>5</v>
      </c>
      <c r="C51" s="297" t="str">
        <f>scen_input_circular!C51</f>
        <v>MIX-CP (2020-30)/EU 2020 Reference (trends 2030-50)</v>
      </c>
      <c r="D51" s="377">
        <f>scen_input_circular!D51/SUM(scen_input_circular!$D$50:$D$62)</f>
        <v>4.9706491917349209E-2</v>
      </c>
      <c r="E51" s="377">
        <f>scen_input_circular!E51/SUM(scen_input_circular!$D$50:$D$62)</f>
        <v>3.1478743813987999E-2</v>
      </c>
      <c r="F51" s="377">
        <f>scen_input_circular!F51/SUM(scen_input_circular!$D$50:$D$62)</f>
        <v>4.3709199403674598E-2</v>
      </c>
      <c r="G51" s="377">
        <f>scen_input_circular!G51/SUM(scen_input_circular!$D$50:$D$62)</f>
        <v>5.9138528168589048E-2</v>
      </c>
      <c r="H51" s="377">
        <f>scen_input_circular!H51/SUM(scen_input_circular!$D$50:$D$62)</f>
        <v>9.9574369826474399E-2</v>
      </c>
      <c r="I51" s="377">
        <f>scen_input_circular!I51/SUM(scen_input_circular!$D$50:$D$62)</f>
        <v>0.13198573382183945</v>
      </c>
      <c r="J51" s="377">
        <f>scen_input_circular!J51/SUM(scen_input_circular!$D$50:$D$62)</f>
        <v>0.17122516109053079</v>
      </c>
      <c r="K51" s="377">
        <f>scen_input_circular!K51/SUM(scen_input_circular!$D$50:$D$62)</f>
        <v>0.21676547346831504</v>
      </c>
      <c r="L51" s="427">
        <f t="shared" ref="L51:L62" si="33">D51</f>
        <v>4.9706491917349209E-2</v>
      </c>
      <c r="M51" s="427">
        <f t="shared" si="31"/>
        <v>3.1478743813987999E-2</v>
      </c>
      <c r="N51" s="427">
        <f t="shared" si="31"/>
        <v>4.3709199403674598E-2</v>
      </c>
      <c r="O51" s="427">
        <f t="shared" si="31"/>
        <v>5.9138528168589048E-2</v>
      </c>
      <c r="P51" s="427">
        <f t="shared" si="31"/>
        <v>9.9574369826474399E-2</v>
      </c>
      <c r="Q51" s="427">
        <f t="shared" si="31"/>
        <v>0.13198573382183945</v>
      </c>
      <c r="R51" s="427">
        <f t="shared" si="31"/>
        <v>0.17122516109053079</v>
      </c>
      <c r="S51" s="427">
        <f t="shared" si="31"/>
        <v>0.21676547346831504</v>
      </c>
      <c r="T51" s="377">
        <f t="shared" si="32"/>
        <v>4.9706491917349209E-2</v>
      </c>
      <c r="U51" s="377">
        <f t="shared" si="32"/>
        <v>3.1478743813987999E-2</v>
      </c>
      <c r="V51" s="377">
        <f t="shared" si="32"/>
        <v>4.3709199403674591E-2</v>
      </c>
      <c r="W51" s="377">
        <f t="shared" si="32"/>
        <v>5.9138528168589048E-2</v>
      </c>
      <c r="X51" s="377">
        <f t="shared" si="32"/>
        <v>9.9574369826474399E-2</v>
      </c>
      <c r="Y51" s="377">
        <f t="shared" si="32"/>
        <v>0.13198573382183945</v>
      </c>
      <c r="Z51" s="377">
        <f t="shared" si="32"/>
        <v>0.17122516109053079</v>
      </c>
      <c r="AA51" s="377">
        <f t="shared" si="32"/>
        <v>0.21676547346831504</v>
      </c>
    </row>
    <row r="52" spans="1:27" x14ac:dyDescent="0.25">
      <c r="A52" s="297" t="s">
        <v>6</v>
      </c>
      <c r="B52" s="297" t="s">
        <v>7</v>
      </c>
      <c r="C52" s="297" t="str">
        <f>scen_input_circular!C52</f>
        <v>MIX-CP (2020-30)/EU 2020 Reference (trends 2030-50)</v>
      </c>
      <c r="D52" s="377">
        <f>scen_input_circular!D52/SUM(scen_input_circular!$D$50:$D$62)</f>
        <v>0.21425702923322931</v>
      </c>
      <c r="E52" s="377">
        <f>scen_input_circular!E52/SUM(scen_input_circular!$D$50:$D$62)</f>
        <v>0.21425702923322931</v>
      </c>
      <c r="F52" s="377">
        <f>scen_input_circular!F52/SUM(scen_input_circular!$D$50:$D$62)</f>
        <v>0.21425702923322931</v>
      </c>
      <c r="G52" s="377">
        <f>scen_input_circular!G52/SUM(scen_input_circular!$D$50:$D$62)</f>
        <v>0.21425702923322931</v>
      </c>
      <c r="H52" s="377">
        <f>scen_input_circular!H52/SUM(scen_input_circular!$D$50:$D$62)</f>
        <v>0.21425702923322931</v>
      </c>
      <c r="I52" s="377">
        <f>scen_input_circular!I52/SUM(scen_input_circular!$D$50:$D$62)</f>
        <v>0.27843658507831359</v>
      </c>
      <c r="J52" s="377">
        <f>scen_input_circular!J52/SUM(scen_input_circular!$D$50:$D$62)</f>
        <v>0.27843658507831359</v>
      </c>
      <c r="K52" s="377">
        <f>scen_input_circular!K52/SUM(scen_input_circular!$D$50:$D$62)</f>
        <v>0.23787510578422036</v>
      </c>
      <c r="L52" s="427">
        <f t="shared" si="33"/>
        <v>0.21425702923322931</v>
      </c>
      <c r="M52" s="427">
        <f t="shared" si="31"/>
        <v>0.21425702923322931</v>
      </c>
      <c r="N52" s="427">
        <f t="shared" si="31"/>
        <v>0.21425702923322931</v>
      </c>
      <c r="O52" s="427">
        <f t="shared" si="31"/>
        <v>0.21425702923322931</v>
      </c>
      <c r="P52" s="427">
        <f t="shared" si="31"/>
        <v>0.21425702923322931</v>
      </c>
      <c r="Q52" s="427">
        <f t="shared" si="31"/>
        <v>0.27843658507831359</v>
      </c>
      <c r="R52" s="427">
        <f t="shared" si="31"/>
        <v>0.27843658507831359</v>
      </c>
      <c r="S52" s="427">
        <f t="shared" si="31"/>
        <v>0.23787510578422036</v>
      </c>
      <c r="T52" s="377">
        <f t="shared" si="32"/>
        <v>0.21425702923322931</v>
      </c>
      <c r="U52" s="377">
        <f t="shared" si="32"/>
        <v>0.21425702923322931</v>
      </c>
      <c r="V52" s="377">
        <f t="shared" si="32"/>
        <v>0.21425702923322931</v>
      </c>
      <c r="W52" s="377">
        <f t="shared" si="32"/>
        <v>0.21425702923322931</v>
      </c>
      <c r="X52" s="377">
        <f t="shared" si="32"/>
        <v>0.21425702923322931</v>
      </c>
      <c r="Y52" s="377">
        <f t="shared" si="32"/>
        <v>0.27843658507831359</v>
      </c>
      <c r="Z52" s="377">
        <f t="shared" si="32"/>
        <v>0.27843658507831359</v>
      </c>
      <c r="AA52" s="377">
        <f t="shared" si="32"/>
        <v>0.23787510578422036</v>
      </c>
    </row>
    <row r="53" spans="1:27" x14ac:dyDescent="0.25">
      <c r="A53" s="297" t="s">
        <v>8</v>
      </c>
      <c r="B53" s="297" t="s">
        <v>9</v>
      </c>
      <c r="C53" s="297" t="str">
        <f>scen_input_circular!C53</f>
        <v>MIX-CP (2020-30)/EU 2020 Reference (trends 2030-50)</v>
      </c>
      <c r="D53" s="377">
        <f>scen_input_circular!D53/SUM(scen_input_circular!$D$50:$D$62)</f>
        <v>5.8189463966209748E-2</v>
      </c>
      <c r="E53" s="377">
        <f>scen_input_circular!E53/SUM(scen_input_circular!$D$50:$D$62)</f>
        <v>5.8296429892618212E-2</v>
      </c>
      <c r="F53" s="377">
        <f>scen_input_circular!F53/SUM(scen_input_circular!$D$50:$D$62)</f>
        <v>5.9136876175066751E-2</v>
      </c>
      <c r="G53" s="377">
        <f>scen_input_circular!G53/SUM(scen_input_circular!$D$50:$D$62)</f>
        <v>5.9899006831117978E-2</v>
      </c>
      <c r="H53" s="377">
        <f>scen_input_circular!H53/SUM(scen_input_circular!$D$50:$D$62)</f>
        <v>5.9899006831117978E-2</v>
      </c>
      <c r="I53" s="377">
        <f>scen_input_circular!I53/SUM(scen_input_circular!$D$50:$D$62)</f>
        <v>6.0458775639279143E-2</v>
      </c>
      <c r="J53" s="377">
        <f>scen_input_circular!J53/SUM(scen_input_circular!$D$50:$D$62)</f>
        <v>6.0670478520482497E-2</v>
      </c>
      <c r="K53" s="377">
        <f>scen_input_circular!K53/SUM(scen_input_circular!$D$50:$D$62)</f>
        <v>6.069863676519191E-2</v>
      </c>
      <c r="L53" s="427">
        <f t="shared" si="33"/>
        <v>5.8189463966209748E-2</v>
      </c>
      <c r="M53" s="427">
        <f t="shared" si="31"/>
        <v>5.8296429892618212E-2</v>
      </c>
      <c r="N53" s="427">
        <f t="shared" si="31"/>
        <v>5.9136876175066751E-2</v>
      </c>
      <c r="O53" s="427">
        <f t="shared" si="31"/>
        <v>5.9899006831117978E-2</v>
      </c>
      <c r="P53" s="427">
        <f t="shared" si="31"/>
        <v>5.9899006831117978E-2</v>
      </c>
      <c r="Q53" s="427">
        <f t="shared" si="31"/>
        <v>6.0458775639279143E-2</v>
      </c>
      <c r="R53" s="427">
        <f t="shared" si="31"/>
        <v>6.0670478520482497E-2</v>
      </c>
      <c r="S53" s="427">
        <f t="shared" si="31"/>
        <v>6.069863676519191E-2</v>
      </c>
      <c r="T53" s="377">
        <f t="shared" si="32"/>
        <v>5.8189463966209748E-2</v>
      </c>
      <c r="U53" s="377">
        <f t="shared" si="32"/>
        <v>5.8296429892618212E-2</v>
      </c>
      <c r="V53" s="377">
        <f t="shared" si="32"/>
        <v>5.9136876175066751E-2</v>
      </c>
      <c r="W53" s="377">
        <f t="shared" si="32"/>
        <v>5.9899006831117985E-2</v>
      </c>
      <c r="X53" s="377">
        <f t="shared" si="32"/>
        <v>5.9899006831117978E-2</v>
      </c>
      <c r="Y53" s="377">
        <f t="shared" si="32"/>
        <v>6.0458775639279143E-2</v>
      </c>
      <c r="Z53" s="377">
        <f t="shared" si="32"/>
        <v>6.0670478520482504E-2</v>
      </c>
      <c r="AA53" s="377">
        <f t="shared" si="32"/>
        <v>6.0698636765191917E-2</v>
      </c>
    </row>
    <row r="54" spans="1:27" x14ac:dyDescent="0.25">
      <c r="A54" s="297" t="s">
        <v>342</v>
      </c>
      <c r="B54" s="297" t="s">
        <v>336</v>
      </c>
      <c r="C54" s="297" t="str">
        <f>scen_input_circular!C54</f>
        <v>MIX-CP (2020-30)/EU 2020 Reference (trends 2030-50)</v>
      </c>
      <c r="D54" s="377">
        <f>scen_input_circular!D54/SUM(scen_input_circular!$D$50:$D$62)</f>
        <v>1.5031386808550779E-2</v>
      </c>
      <c r="E54" s="377">
        <f>scen_input_circular!E54/SUM(scen_input_circular!$D$50:$D$62)</f>
        <v>2.1184601725198239E-2</v>
      </c>
      <c r="F54" s="377">
        <f>scen_input_circular!F54/SUM(scen_input_circular!$D$50:$D$62)</f>
        <v>0.24376286689102902</v>
      </c>
      <c r="G54" s="377">
        <f>scen_input_circular!G54/SUM(scen_input_circular!$D$50:$D$62)</f>
        <v>0.34992102226297966</v>
      </c>
      <c r="H54" s="377">
        <f>scen_input_circular!H54/SUM(scen_input_circular!$D$50:$D$62)</f>
        <v>0.4062151637097412</v>
      </c>
      <c r="I54" s="377">
        <f>scen_input_circular!I54/SUM(scen_input_circular!$D$50:$D$62)</f>
        <v>0.4398124927496051</v>
      </c>
      <c r="J54" s="377">
        <f>scen_input_circular!J54/SUM(scen_input_circular!$D$50:$D$62)</f>
        <v>0.4591150410168115</v>
      </c>
      <c r="K54" s="377">
        <f>scen_input_circular!K54/SUM(scen_input_circular!$D$50:$D$62)</f>
        <v>0.46851380405115617</v>
      </c>
      <c r="L54" s="427">
        <f t="shared" si="33"/>
        <v>1.5031386808550779E-2</v>
      </c>
      <c r="M54" s="427">
        <f t="shared" si="31"/>
        <v>2.1184601725198239E-2</v>
      </c>
      <c r="N54" s="427">
        <f t="shared" si="31"/>
        <v>0.24376286689102902</v>
      </c>
      <c r="O54" s="427">
        <f t="shared" si="31"/>
        <v>0.34992102226297966</v>
      </c>
      <c r="P54" s="427">
        <f t="shared" si="31"/>
        <v>0.4062151637097412</v>
      </c>
      <c r="Q54" s="427">
        <f t="shared" si="31"/>
        <v>0.4398124927496051</v>
      </c>
      <c r="R54" s="427">
        <f t="shared" si="31"/>
        <v>0.4591150410168115</v>
      </c>
      <c r="S54" s="427">
        <f t="shared" si="31"/>
        <v>0.46851380405115617</v>
      </c>
      <c r="T54" s="377">
        <f t="shared" si="32"/>
        <v>1.5031386808550779E-2</v>
      </c>
      <c r="U54" s="377">
        <f t="shared" si="32"/>
        <v>2.1184601725198239E-2</v>
      </c>
      <c r="V54" s="377">
        <f t="shared" si="32"/>
        <v>0.24376286689102902</v>
      </c>
      <c r="W54" s="377">
        <f t="shared" si="32"/>
        <v>0.34992102226297966</v>
      </c>
      <c r="X54" s="377">
        <f t="shared" si="32"/>
        <v>0.40621516370974114</v>
      </c>
      <c r="Y54" s="377">
        <f t="shared" si="32"/>
        <v>0.4398124927496051</v>
      </c>
      <c r="Z54" s="377">
        <f t="shared" si="32"/>
        <v>0.45911504101681155</v>
      </c>
      <c r="AA54" s="377">
        <f t="shared" si="32"/>
        <v>0.46851380405115622</v>
      </c>
    </row>
    <row r="55" spans="1:27" x14ac:dyDescent="0.25">
      <c r="A55" s="297" t="s">
        <v>343</v>
      </c>
      <c r="B55" s="297" t="s">
        <v>337</v>
      </c>
      <c r="C55" s="297" t="str">
        <f>scen_input_circular!C55</f>
        <v>MIX-CP (2020-30)/EU 2020 Reference (trends 2030-50)</v>
      </c>
      <c r="D55" s="377">
        <f>scen_input_circular!D55/SUM(scen_input_circular!$D$50:$D$62)</f>
        <v>0</v>
      </c>
      <c r="E55" s="377">
        <f>scen_input_circular!E55/SUM(scen_input_circular!$D$50:$D$62)</f>
        <v>0</v>
      </c>
      <c r="F55" s="377">
        <f>scen_input_circular!F55/SUM(scen_input_circular!$D$50:$D$62)</f>
        <v>0</v>
      </c>
      <c r="G55" s="377">
        <f>scen_input_circular!G55/SUM(scen_input_circular!$D$50:$D$62)</f>
        <v>0</v>
      </c>
      <c r="H55" s="377">
        <f>scen_input_circular!H55/SUM(scen_input_circular!$D$50:$D$62)</f>
        <v>0</v>
      </c>
      <c r="I55" s="377">
        <f>scen_input_circular!I55/SUM(scen_input_circular!$D$50:$D$62)</f>
        <v>0</v>
      </c>
      <c r="J55" s="377">
        <f>scen_input_circular!J55/SUM(scen_input_circular!$D$50:$D$62)</f>
        <v>0</v>
      </c>
      <c r="K55" s="377">
        <f>scen_input_circular!K55/SUM(scen_input_circular!$D$50:$D$62)</f>
        <v>0</v>
      </c>
      <c r="L55" s="427">
        <f t="shared" si="33"/>
        <v>0</v>
      </c>
      <c r="M55" s="427">
        <f t="shared" si="31"/>
        <v>0</v>
      </c>
      <c r="N55" s="427">
        <f t="shared" si="31"/>
        <v>0</v>
      </c>
      <c r="O55" s="427">
        <f t="shared" si="31"/>
        <v>0</v>
      </c>
      <c r="P55" s="427">
        <f t="shared" si="31"/>
        <v>0</v>
      </c>
      <c r="Q55" s="427">
        <f t="shared" si="31"/>
        <v>0</v>
      </c>
      <c r="R55" s="427">
        <f t="shared" si="31"/>
        <v>0</v>
      </c>
      <c r="S55" s="427">
        <f t="shared" si="31"/>
        <v>0</v>
      </c>
      <c r="T55" s="377">
        <f t="shared" si="32"/>
        <v>0</v>
      </c>
      <c r="U55" s="377">
        <f t="shared" si="32"/>
        <v>0</v>
      </c>
      <c r="V55" s="377">
        <f t="shared" si="32"/>
        <v>0</v>
      </c>
      <c r="W55" s="377">
        <f t="shared" si="32"/>
        <v>0</v>
      </c>
      <c r="X55" s="377">
        <f t="shared" si="32"/>
        <v>0</v>
      </c>
      <c r="Y55" s="377">
        <f t="shared" si="32"/>
        <v>0</v>
      </c>
      <c r="Z55" s="377">
        <f t="shared" si="32"/>
        <v>0</v>
      </c>
      <c r="AA55" s="377">
        <f t="shared" si="32"/>
        <v>0</v>
      </c>
    </row>
    <row r="56" spans="1:27" x14ac:dyDescent="0.25">
      <c r="A56" s="297" t="s">
        <v>10</v>
      </c>
      <c r="B56" s="297" t="s">
        <v>11</v>
      </c>
      <c r="C56" s="297" t="str">
        <f>scen_input_circular!C56</f>
        <v>MIX-CP (2020-30)/EU 2020 Reference (trends 2030-50)</v>
      </c>
      <c r="D56" s="377">
        <f>scen_input_circular!D56/SUM(scen_input_circular!$D$50:$D$62)</f>
        <v>7.162979679899031E-3</v>
      </c>
      <c r="E56" s="377">
        <f>scen_input_circular!E56/SUM(scen_input_circular!$D$50:$D$62)</f>
        <v>3.8427573241800045E-3</v>
      </c>
      <c r="F56" s="377">
        <f>scen_input_circular!F56/SUM(scen_input_circular!$D$50:$D$62)</f>
        <v>3.4069781399918824E-3</v>
      </c>
      <c r="G56" s="377">
        <f>scen_input_circular!G56/SUM(scen_input_circular!$D$50:$D$62)</f>
        <v>3.4069781399918824E-3</v>
      </c>
      <c r="H56" s="377">
        <f>scen_input_circular!H56/SUM(scen_input_circular!$D$50:$D$62)</f>
        <v>2.3908018391113821E-3</v>
      </c>
      <c r="I56" s="377">
        <f>scen_input_circular!I56/SUM(scen_input_circular!$D$50:$D$62)</f>
        <v>2.2037280607563377E-3</v>
      </c>
      <c r="J56" s="377">
        <f>scen_input_circular!J56/SUM(scen_input_circular!$D$50:$D$62)</f>
        <v>2.2037280607563377E-3</v>
      </c>
      <c r="K56" s="377">
        <f>scen_input_circular!K56/SUM(scen_input_circular!$D$50:$D$62)</f>
        <v>1.2891693899638873E-3</v>
      </c>
      <c r="L56" s="427">
        <f t="shared" si="33"/>
        <v>7.162979679899031E-3</v>
      </c>
      <c r="M56" s="427">
        <f t="shared" si="31"/>
        <v>3.8427573241800045E-3</v>
      </c>
      <c r="N56" s="427">
        <f t="shared" si="31"/>
        <v>3.4069781399918824E-3</v>
      </c>
      <c r="O56" s="427">
        <f t="shared" si="31"/>
        <v>3.4069781399918824E-3</v>
      </c>
      <c r="P56" s="427">
        <f t="shared" si="31"/>
        <v>2.3908018391113821E-3</v>
      </c>
      <c r="Q56" s="427">
        <f t="shared" si="31"/>
        <v>2.2037280607563377E-3</v>
      </c>
      <c r="R56" s="427">
        <f t="shared" si="31"/>
        <v>2.2037280607563377E-3</v>
      </c>
      <c r="S56" s="427">
        <f t="shared" si="31"/>
        <v>1.2891693899638873E-3</v>
      </c>
      <c r="T56" s="377">
        <f t="shared" si="32"/>
        <v>7.162979679899031E-3</v>
      </c>
      <c r="U56" s="377">
        <f t="shared" si="32"/>
        <v>3.8427573241800045E-3</v>
      </c>
      <c r="V56" s="377">
        <f t="shared" si="32"/>
        <v>3.4069781399918824E-3</v>
      </c>
      <c r="W56" s="377">
        <f t="shared" si="32"/>
        <v>3.4069781399918824E-3</v>
      </c>
      <c r="X56" s="377">
        <f t="shared" si="32"/>
        <v>2.3908018391113821E-3</v>
      </c>
      <c r="Y56" s="377">
        <f t="shared" si="32"/>
        <v>2.2037280607563377E-3</v>
      </c>
      <c r="Z56" s="377">
        <f t="shared" si="32"/>
        <v>2.2037280607563377E-3</v>
      </c>
      <c r="AA56" s="377">
        <f t="shared" si="32"/>
        <v>1.2891693899638873E-3</v>
      </c>
    </row>
    <row r="57" spans="1:27" x14ac:dyDescent="0.25">
      <c r="A57" s="297" t="s">
        <v>12</v>
      </c>
      <c r="B57" s="297" t="s">
        <v>13</v>
      </c>
      <c r="C57" s="297" t="str">
        <f>scen_input_circular!C57</f>
        <v>MIX-CP (2020-30)/EU 2020 Reference (trends 2030-50)</v>
      </c>
      <c r="D57" s="377">
        <f>scen_input_circular!D57/SUM(scen_input_circular!$D$50:$D$62)</f>
        <v>2.8222530961984287E-2</v>
      </c>
      <c r="E57" s="377">
        <f>scen_input_circular!E57/SUM(scen_input_circular!$D$50:$D$62)</f>
        <v>3.4635692482782185E-2</v>
      </c>
      <c r="F57" s="377">
        <f>scen_input_circular!F57/SUM(scen_input_circular!$D$50:$D$62)</f>
        <v>3.5478499562496525E-2</v>
      </c>
      <c r="G57" s="377">
        <f>scen_input_circular!G57/SUM(scen_input_circular!$D$50:$D$62)</f>
        <v>4.5543486687259625E-2</v>
      </c>
      <c r="H57" s="377">
        <f>scen_input_circular!H57/SUM(scen_input_circular!$D$50:$D$62)</f>
        <v>5.2222188950373644E-2</v>
      </c>
      <c r="I57" s="377">
        <f>scen_input_circular!I57/SUM(scen_input_circular!$D$50:$D$62)</f>
        <v>6.1845652877326948E-2</v>
      </c>
      <c r="J57" s="377">
        <f>scen_input_circular!J57/SUM(scen_input_circular!$D$50:$D$62)</f>
        <v>7.0546900520829292E-2</v>
      </c>
      <c r="K57" s="377">
        <f>scen_input_circular!K57/SUM(scen_input_circular!$D$50:$D$62)</f>
        <v>8.6866418458847544E-2</v>
      </c>
      <c r="L57" s="427">
        <f t="shared" si="33"/>
        <v>2.8222530961984287E-2</v>
      </c>
      <c r="M57" s="427">
        <f t="shared" si="31"/>
        <v>3.4635692482782185E-2</v>
      </c>
      <c r="N57" s="427">
        <f t="shared" si="31"/>
        <v>3.5478499562496525E-2</v>
      </c>
      <c r="O57" s="427">
        <f t="shared" si="31"/>
        <v>4.5543486687259625E-2</v>
      </c>
      <c r="P57" s="427">
        <f t="shared" si="31"/>
        <v>5.2222188950373644E-2</v>
      </c>
      <c r="Q57" s="427">
        <f t="shared" si="31"/>
        <v>6.1845652877326948E-2</v>
      </c>
      <c r="R57" s="427">
        <f t="shared" si="31"/>
        <v>7.0546900520829292E-2</v>
      </c>
      <c r="S57" s="427">
        <f t="shared" si="31"/>
        <v>8.6866418458847544E-2</v>
      </c>
      <c r="T57" s="377">
        <f t="shared" si="32"/>
        <v>2.8222530961984287E-2</v>
      </c>
      <c r="U57" s="377">
        <f t="shared" si="32"/>
        <v>3.4635692482782185E-2</v>
      </c>
      <c r="V57" s="377">
        <f t="shared" si="32"/>
        <v>3.5478499562496525E-2</v>
      </c>
      <c r="W57" s="377">
        <f t="shared" si="32"/>
        <v>4.5543486687259625E-2</v>
      </c>
      <c r="X57" s="377">
        <f t="shared" si="32"/>
        <v>5.2222188950373651E-2</v>
      </c>
      <c r="Y57" s="377">
        <f t="shared" si="32"/>
        <v>6.1845652877326948E-2</v>
      </c>
      <c r="Z57" s="377">
        <f t="shared" si="32"/>
        <v>7.0546900520829292E-2</v>
      </c>
      <c r="AA57" s="377">
        <f t="shared" si="32"/>
        <v>8.6866418458847544E-2</v>
      </c>
    </row>
    <row r="58" spans="1:27" x14ac:dyDescent="0.25">
      <c r="A58" s="297" t="s">
        <v>831</v>
      </c>
      <c r="B58" s="297" t="s">
        <v>338</v>
      </c>
      <c r="C58" s="297" t="str">
        <f>scen_input_circular!C58</f>
        <v>MIX-CP (2020-30)/EU 2020 Reference (trends 2030-50)</v>
      </c>
      <c r="D58" s="377">
        <f>scen_input_circular!D58/SUM(scen_input_circular!$D$50:$D$62)</f>
        <v>7.1117610310716284E-2</v>
      </c>
      <c r="E58" s="377">
        <f>scen_input_circular!E58/SUM(scen_input_circular!$D$50:$D$62)</f>
        <v>7.1117610310716284E-2</v>
      </c>
      <c r="F58" s="377">
        <f>scen_input_circular!F58/SUM(scen_input_circular!$D$50:$D$62)</f>
        <v>0.13175617456665328</v>
      </c>
      <c r="G58" s="377">
        <f>scen_input_circular!G58/SUM(scen_input_circular!$D$50:$D$62)</f>
        <v>0.14828886715611278</v>
      </c>
      <c r="H58" s="377">
        <f>scen_input_circular!H58/SUM(scen_input_circular!$D$50:$D$62)</f>
        <v>0.15957228925509412</v>
      </c>
      <c r="I58" s="377">
        <f>scen_input_circular!I58/SUM(scen_input_circular!$D$50:$D$62)</f>
        <v>0.19069358033981212</v>
      </c>
      <c r="J58" s="377">
        <f>scen_input_circular!J58/SUM(scen_input_circular!$D$50:$D$62)</f>
        <v>0.24122098167586201</v>
      </c>
      <c r="K58" s="377">
        <f>scen_input_circular!K58/SUM(scen_input_circular!$D$50:$D$62)</f>
        <v>0.24122098167586201</v>
      </c>
      <c r="L58" s="427">
        <f t="shared" si="33"/>
        <v>7.1117610310716284E-2</v>
      </c>
      <c r="M58" s="427">
        <f t="shared" si="31"/>
        <v>7.1117610310716284E-2</v>
      </c>
      <c r="N58" s="427">
        <f t="shared" si="31"/>
        <v>0.13175617456665328</v>
      </c>
      <c r="O58" s="427">
        <f t="shared" si="31"/>
        <v>0.14828886715611278</v>
      </c>
      <c r="P58" s="427">
        <f t="shared" si="31"/>
        <v>0.15957228925509412</v>
      </c>
      <c r="Q58" s="427">
        <f t="shared" si="31"/>
        <v>0.19069358033981212</v>
      </c>
      <c r="R58" s="427">
        <f t="shared" si="31"/>
        <v>0.24122098167586201</v>
      </c>
      <c r="S58" s="427">
        <f t="shared" si="31"/>
        <v>0.24122098167586201</v>
      </c>
      <c r="T58" s="377">
        <f t="shared" si="32"/>
        <v>7.1117610310716284E-2</v>
      </c>
      <c r="U58" s="377">
        <f t="shared" si="32"/>
        <v>7.1117610310716284E-2</v>
      </c>
      <c r="V58" s="377">
        <f t="shared" si="32"/>
        <v>0.13175617456665328</v>
      </c>
      <c r="W58" s="377">
        <f t="shared" si="32"/>
        <v>0.14828886715611278</v>
      </c>
      <c r="X58" s="377">
        <f t="shared" si="32"/>
        <v>0.15957228925509412</v>
      </c>
      <c r="Y58" s="377">
        <f t="shared" si="32"/>
        <v>0.19069358033981212</v>
      </c>
      <c r="Z58" s="377">
        <f t="shared" si="32"/>
        <v>0.24122098167586201</v>
      </c>
      <c r="AA58" s="377">
        <f t="shared" si="32"/>
        <v>0.24122098167586201</v>
      </c>
    </row>
    <row r="59" spans="1:27" x14ac:dyDescent="0.25">
      <c r="A59" s="297" t="s">
        <v>832</v>
      </c>
      <c r="B59" s="297" t="s">
        <v>339</v>
      </c>
      <c r="C59" s="297" t="str">
        <f>scen_input_circular!C59</f>
        <v>MIX-CP (2020-30)/EU 2020 Reference (trends 2030-50)</v>
      </c>
      <c r="D59" s="377">
        <f>scen_input_circular!D59/SUM(scen_input_circular!$D$50:$D$62)</f>
        <v>3.9859538338075262E-2</v>
      </c>
      <c r="E59" s="377">
        <f>scen_input_circular!E59/SUM(scen_input_circular!$D$50:$D$62)</f>
        <v>3.9859538338075262E-2</v>
      </c>
      <c r="F59" s="377">
        <f>scen_input_circular!F59/SUM(scen_input_circular!$D$50:$D$62)</f>
        <v>7.3845848707128167E-2</v>
      </c>
      <c r="G59" s="377">
        <f>scen_input_circular!G59/SUM(scen_input_circular!$D$50:$D$62)</f>
        <v>8.3111985339419853E-2</v>
      </c>
      <c r="H59" s="377">
        <f>scen_input_circular!H59/SUM(scen_input_circular!$D$50:$D$62)</f>
        <v>9.4395407438401205E-2</v>
      </c>
      <c r="I59" s="377">
        <f>scen_input_circular!I59/SUM(scen_input_circular!$D$50:$D$62)</f>
        <v>0.1255166985231192</v>
      </c>
      <c r="J59" s="377">
        <f>scen_input_circular!J59/SUM(scen_input_circular!$D$50:$D$62)</f>
        <v>0.17604409985916911</v>
      </c>
      <c r="K59" s="377">
        <f>scen_input_circular!K59/SUM(scen_input_circular!$D$50:$D$62)</f>
        <v>0.17604409985916911</v>
      </c>
      <c r="L59" s="427">
        <f t="shared" si="33"/>
        <v>3.9859538338075262E-2</v>
      </c>
      <c r="M59" s="427">
        <f t="shared" si="31"/>
        <v>3.9859538338075262E-2</v>
      </c>
      <c r="N59" s="427">
        <f t="shared" si="31"/>
        <v>7.3845848707128167E-2</v>
      </c>
      <c r="O59" s="427">
        <f t="shared" si="31"/>
        <v>8.3111985339419853E-2</v>
      </c>
      <c r="P59" s="427">
        <f t="shared" si="31"/>
        <v>9.4395407438401205E-2</v>
      </c>
      <c r="Q59" s="427">
        <f t="shared" si="31"/>
        <v>0.1255166985231192</v>
      </c>
      <c r="R59" s="427">
        <f t="shared" si="31"/>
        <v>0.17604409985916911</v>
      </c>
      <c r="S59" s="427">
        <f t="shared" si="31"/>
        <v>0.17604409985916911</v>
      </c>
      <c r="T59" s="377">
        <f t="shared" si="32"/>
        <v>3.9859538338075262E-2</v>
      </c>
      <c r="U59" s="377">
        <f t="shared" si="32"/>
        <v>3.9859538338075262E-2</v>
      </c>
      <c r="V59" s="377">
        <f t="shared" si="32"/>
        <v>7.3845848707128167E-2</v>
      </c>
      <c r="W59" s="377">
        <f t="shared" si="32"/>
        <v>8.3111985339419853E-2</v>
      </c>
      <c r="X59" s="377">
        <f t="shared" si="32"/>
        <v>9.4395407438401205E-2</v>
      </c>
      <c r="Y59" s="377">
        <f t="shared" si="32"/>
        <v>0.1255166985231192</v>
      </c>
      <c r="Z59" s="377">
        <f t="shared" si="32"/>
        <v>0.17604409985916911</v>
      </c>
      <c r="AA59" s="377">
        <f t="shared" si="32"/>
        <v>0.17604409985916911</v>
      </c>
    </row>
    <row r="60" spans="1:27" x14ac:dyDescent="0.25">
      <c r="A60" s="297" t="s">
        <v>14</v>
      </c>
      <c r="B60" s="297" t="s">
        <v>15</v>
      </c>
      <c r="C60" s="297" t="str">
        <f>scen_input_circular!C60</f>
        <v>MIX-CP (2020-30)/EU 2020 Reference (trends 2030-50)</v>
      </c>
      <c r="D60" s="377">
        <f>scen_input_circular!D60/SUM(scen_input_circular!$D$50:$D$62)</f>
        <v>0</v>
      </c>
      <c r="E60" s="377">
        <f>scen_input_circular!E60/SUM(scen_input_circular!$D$50:$D$62)</f>
        <v>0</v>
      </c>
      <c r="F60" s="377">
        <f>scen_input_circular!F60/SUM(scen_input_circular!$D$50:$D$62)</f>
        <v>0</v>
      </c>
      <c r="G60" s="377">
        <f>scen_input_circular!G60/SUM(scen_input_circular!$D$50:$D$62)</f>
        <v>0</v>
      </c>
      <c r="H60" s="377">
        <f>scen_input_circular!H60/SUM(scen_input_circular!$D$50:$D$62)</f>
        <v>0</v>
      </c>
      <c r="I60" s="377">
        <f>scen_input_circular!I60/SUM(scen_input_circular!$D$50:$D$62)</f>
        <v>0</v>
      </c>
      <c r="J60" s="377">
        <f>scen_input_circular!J60/SUM(scen_input_circular!$D$50:$D$62)</f>
        <v>0</v>
      </c>
      <c r="K60" s="377">
        <f>scen_input_circular!K60/SUM(scen_input_circular!$D$50:$D$62)</f>
        <v>0</v>
      </c>
      <c r="L60" s="427">
        <f t="shared" si="33"/>
        <v>0</v>
      </c>
      <c r="M60" s="427">
        <f t="shared" si="31"/>
        <v>0</v>
      </c>
      <c r="N60" s="427">
        <f t="shared" si="31"/>
        <v>0</v>
      </c>
      <c r="O60" s="427">
        <f t="shared" si="31"/>
        <v>0</v>
      </c>
      <c r="P60" s="427">
        <f t="shared" si="31"/>
        <v>0</v>
      </c>
      <c r="Q60" s="427">
        <f t="shared" si="31"/>
        <v>0</v>
      </c>
      <c r="R60" s="427">
        <f t="shared" si="31"/>
        <v>0</v>
      </c>
      <c r="S60" s="427">
        <f t="shared" si="31"/>
        <v>0</v>
      </c>
      <c r="T60" s="377">
        <f t="shared" si="32"/>
        <v>0</v>
      </c>
      <c r="U60" s="377">
        <f t="shared" si="32"/>
        <v>0</v>
      </c>
      <c r="V60" s="377">
        <f t="shared" si="32"/>
        <v>0</v>
      </c>
      <c r="W60" s="377">
        <f t="shared" si="32"/>
        <v>0</v>
      </c>
      <c r="X60" s="377">
        <f t="shared" si="32"/>
        <v>0</v>
      </c>
      <c r="Y60" s="377">
        <f t="shared" si="32"/>
        <v>0</v>
      </c>
      <c r="Z60" s="377">
        <f t="shared" si="32"/>
        <v>0</v>
      </c>
      <c r="AA60" s="377">
        <f t="shared" si="32"/>
        <v>0</v>
      </c>
    </row>
    <row r="61" spans="1:27" x14ac:dyDescent="0.25">
      <c r="A61" s="297" t="s">
        <v>16</v>
      </c>
      <c r="B61" s="297" t="s">
        <v>17</v>
      </c>
      <c r="C61" s="297" t="str">
        <f>scen_input_circular!C61</f>
        <v>MIX-CP (2020-30)/EU 2020 Reference (trends 2030-50)</v>
      </c>
      <c r="D61" s="377">
        <f>scen_input_circular!D61/SUM(scen_input_circular!$D$50:$D$62)</f>
        <v>0</v>
      </c>
      <c r="E61" s="377">
        <f>scen_input_circular!E61/SUM(scen_input_circular!$D$50:$D$62)</f>
        <v>0</v>
      </c>
      <c r="F61" s="377">
        <f>scen_input_circular!F61/SUM(scen_input_circular!$D$50:$D$62)</f>
        <v>0</v>
      </c>
      <c r="G61" s="377">
        <f>scen_input_circular!G61/SUM(scen_input_circular!$D$50:$D$62)</f>
        <v>0</v>
      </c>
      <c r="H61" s="377">
        <f>scen_input_circular!H61/SUM(scen_input_circular!$D$50:$D$62)</f>
        <v>0</v>
      </c>
      <c r="I61" s="377">
        <f>scen_input_circular!I61/SUM(scen_input_circular!$D$50:$D$62)</f>
        <v>0</v>
      </c>
      <c r="J61" s="377">
        <f>scen_input_circular!J61/SUM(scen_input_circular!$D$50:$D$62)</f>
        <v>0</v>
      </c>
      <c r="K61" s="377">
        <f>scen_input_circular!K61/SUM(scen_input_circular!$D$50:$D$62)</f>
        <v>0</v>
      </c>
      <c r="L61" s="427">
        <f t="shared" si="33"/>
        <v>0</v>
      </c>
      <c r="M61" s="427">
        <f t="shared" si="31"/>
        <v>0</v>
      </c>
      <c r="N61" s="427">
        <f t="shared" si="31"/>
        <v>0</v>
      </c>
      <c r="O61" s="427">
        <f t="shared" si="31"/>
        <v>0</v>
      </c>
      <c r="P61" s="427">
        <f t="shared" si="31"/>
        <v>0</v>
      </c>
      <c r="Q61" s="427">
        <f t="shared" si="31"/>
        <v>0</v>
      </c>
      <c r="R61" s="427">
        <f t="shared" si="31"/>
        <v>0</v>
      </c>
      <c r="S61" s="427">
        <f t="shared" si="31"/>
        <v>0</v>
      </c>
      <c r="T61" s="377">
        <f t="shared" si="32"/>
        <v>0</v>
      </c>
      <c r="U61" s="377">
        <f t="shared" si="32"/>
        <v>0</v>
      </c>
      <c r="V61" s="377">
        <f t="shared" si="32"/>
        <v>0</v>
      </c>
      <c r="W61" s="377">
        <f t="shared" si="32"/>
        <v>0</v>
      </c>
      <c r="X61" s="377">
        <f t="shared" si="32"/>
        <v>0</v>
      </c>
      <c r="Y61" s="377">
        <f t="shared" si="32"/>
        <v>0</v>
      </c>
      <c r="Z61" s="377">
        <f t="shared" si="32"/>
        <v>0</v>
      </c>
      <c r="AA61" s="377">
        <f t="shared" si="32"/>
        <v>0</v>
      </c>
    </row>
    <row r="62" spans="1:27" x14ac:dyDescent="0.25">
      <c r="A62" s="297" t="s">
        <v>18</v>
      </c>
      <c r="B62" s="297" t="s">
        <v>19</v>
      </c>
      <c r="C62" s="297" t="str">
        <f>scen_input_circular!C62</f>
        <v>MIX-CP (2020-30)/EU 2020 Reference (trends 2030-50)</v>
      </c>
      <c r="D62" s="377">
        <f>scen_input_circular!D62/SUM(scen_input_circular!$D$50:$D$62)</f>
        <v>0</v>
      </c>
      <c r="E62" s="377">
        <f>scen_input_circular!E62/SUM(scen_input_circular!$D$50:$D$62)</f>
        <v>0</v>
      </c>
      <c r="F62" s="377">
        <f>scen_input_circular!F62/SUM(scen_input_circular!$D$50:$D$62)</f>
        <v>0</v>
      </c>
      <c r="G62" s="377">
        <f>scen_input_circular!G62/SUM(scen_input_circular!$D$50:$D$62)</f>
        <v>0</v>
      </c>
      <c r="H62" s="377">
        <f>scen_input_circular!H62/SUM(scen_input_circular!$D$50:$D$62)</f>
        <v>0</v>
      </c>
      <c r="I62" s="377">
        <f>scen_input_circular!I62/SUM(scen_input_circular!$D$50:$D$62)</f>
        <v>6.4014125307599874E-4</v>
      </c>
      <c r="J62" s="377">
        <f>scen_input_circular!J62/SUM(scen_input_circular!$D$50:$D$62)</f>
        <v>2.4248512279309034E-2</v>
      </c>
      <c r="K62" s="377">
        <f>scen_input_circular!K62/SUM(scen_input_circular!$D$50:$D$62)</f>
        <v>2.7968297383313547E-2</v>
      </c>
      <c r="L62" s="427">
        <f t="shared" si="33"/>
        <v>0</v>
      </c>
      <c r="M62" s="427">
        <f t="shared" si="31"/>
        <v>0</v>
      </c>
      <c r="N62" s="427">
        <f t="shared" si="31"/>
        <v>0</v>
      </c>
      <c r="O62" s="427">
        <f t="shared" si="31"/>
        <v>0</v>
      </c>
      <c r="P62" s="427">
        <f t="shared" si="31"/>
        <v>0</v>
      </c>
      <c r="Q62" s="427">
        <f t="shared" si="31"/>
        <v>6.4014125307599874E-4</v>
      </c>
      <c r="R62" s="427">
        <f t="shared" si="31"/>
        <v>2.4248512279309034E-2</v>
      </c>
      <c r="S62" s="427">
        <f t="shared" si="31"/>
        <v>2.7968297383313547E-2</v>
      </c>
      <c r="T62" s="377">
        <f t="shared" si="32"/>
        <v>0</v>
      </c>
      <c r="U62" s="377">
        <f t="shared" si="32"/>
        <v>0</v>
      </c>
      <c r="V62" s="377">
        <f t="shared" si="32"/>
        <v>0</v>
      </c>
      <c r="W62" s="377">
        <f t="shared" si="32"/>
        <v>0</v>
      </c>
      <c r="X62" s="377">
        <f t="shared" si="32"/>
        <v>0</v>
      </c>
      <c r="Y62" s="377">
        <f t="shared" si="32"/>
        <v>6.4014125307599874E-4</v>
      </c>
      <c r="Z62" s="377">
        <f t="shared" si="32"/>
        <v>2.4248512279309034E-2</v>
      </c>
      <c r="AA62" s="377">
        <f t="shared" si="32"/>
        <v>2.7968297383313547E-2</v>
      </c>
    </row>
    <row r="63" spans="1:27" x14ac:dyDescent="0.25">
      <c r="A63" s="373" t="s">
        <v>833</v>
      </c>
      <c r="B63" s="373"/>
      <c r="C63" s="297" t="str">
        <f>scen_input_circular!C63</f>
        <v>MIX-CP (2020-30)/EU 2020 Reference (trends 2030-50)</v>
      </c>
      <c r="D63" s="378">
        <f>SUM(scen_input_circular!D50:D62)/SUM(scen_input_circular!$D50:$D62)</f>
        <v>1</v>
      </c>
      <c r="E63" s="378">
        <f>SUM(scen_input_circular!E50:E62)/SUM(scen_input_circular!$D50:$D62)</f>
        <v>1.0118244018070408</v>
      </c>
      <c r="F63" s="378">
        <f>SUM(scen_input_circular!F50:F62)/SUM(scen_input_circular!$D50:$D62)</f>
        <v>1.3386183295998386</v>
      </c>
      <c r="G63" s="378">
        <f>SUM(scen_input_circular!G50:G62)/SUM(scen_input_circular!$D50:$D62)</f>
        <v>1.4638498869904804</v>
      </c>
      <c r="H63" s="378">
        <f>SUM(scen_input_circular!H50:H62)/SUM(scen_input_circular!$D50:$D62)</f>
        <v>1.3844992399336344</v>
      </c>
      <c r="I63" s="378">
        <f>SUM(scen_input_circular!I50:I62)/SUM(scen_input_circular!$D50:$D62)</f>
        <v>1.441508516870615</v>
      </c>
      <c r="J63" s="378">
        <f>SUM(scen_input_circular!J50:J62)/SUM(scen_input_circular!$D50:$D62)</f>
        <v>1.5849040757107895</v>
      </c>
      <c r="K63" s="378">
        <f>SUM(scen_input_circular!K50:K62)/SUM(scen_input_circular!$D50:$D62)</f>
        <v>1.6129159883694988</v>
      </c>
      <c r="L63" s="374">
        <f>SUM(L50:L62)</f>
        <v>1</v>
      </c>
      <c r="M63" s="374">
        <f t="shared" ref="M63:R63" si="34">SUM(M50:M62)</f>
        <v>1.0118244018070406</v>
      </c>
      <c r="N63" s="374">
        <f t="shared" si="34"/>
        <v>1.3386183295998388</v>
      </c>
      <c r="O63" s="374">
        <f t="shared" si="34"/>
        <v>1.4638498869904806</v>
      </c>
      <c r="P63" s="374">
        <f t="shared" si="34"/>
        <v>1.3844992399336342</v>
      </c>
      <c r="Q63" s="374">
        <f t="shared" si="34"/>
        <v>1.441508516870615</v>
      </c>
      <c r="R63" s="374">
        <f t="shared" si="34"/>
        <v>1.5849040757107891</v>
      </c>
      <c r="S63" s="374">
        <f>SUM(S50:S62)</f>
        <v>1.6129159883694986</v>
      </c>
      <c r="T63" s="374">
        <f>L63/$L63</f>
        <v>1</v>
      </c>
      <c r="U63" s="374">
        <f>M63/$L63</f>
        <v>1.0118244018070406</v>
      </c>
      <c r="V63" s="374">
        <f t="shared" ref="V63:AA63" si="35">N63/$L63</f>
        <v>1.3386183295998388</v>
      </c>
      <c r="W63" s="374">
        <f t="shared" si="35"/>
        <v>1.4638498869904806</v>
      </c>
      <c r="X63" s="374">
        <f t="shared" si="35"/>
        <v>1.3844992399336342</v>
      </c>
      <c r="Y63" s="374">
        <f t="shared" si="35"/>
        <v>1.441508516870615</v>
      </c>
      <c r="Z63" s="374">
        <f t="shared" si="35"/>
        <v>1.5849040757107891</v>
      </c>
      <c r="AA63" s="374">
        <f t="shared" si="35"/>
        <v>1.6129159883694986</v>
      </c>
    </row>
    <row r="64" spans="1:27" x14ac:dyDescent="0.25">
      <c r="A64" s="429" t="s">
        <v>1150</v>
      </c>
      <c r="B64" s="373"/>
      <c r="C64" s="297"/>
      <c r="D64" s="374"/>
      <c r="E64" s="374"/>
      <c r="F64" s="374"/>
      <c r="G64" s="374"/>
      <c r="H64" s="374"/>
      <c r="I64" s="374"/>
      <c r="J64" s="374"/>
      <c r="K64" s="374"/>
      <c r="L64" s="374"/>
      <c r="M64" s="374"/>
      <c r="N64" s="374"/>
      <c r="O64" s="374"/>
      <c r="P64" s="374"/>
      <c r="Q64" s="374"/>
      <c r="R64" s="374"/>
      <c r="S64" s="374"/>
      <c r="T64" s="374"/>
      <c r="U64" s="374"/>
      <c r="V64" s="374"/>
      <c r="W64" s="374"/>
      <c r="X64" s="374"/>
      <c r="Y64" s="47"/>
      <c r="Z64" s="47"/>
      <c r="AA64" s="47"/>
    </row>
    <row r="65" spans="1:27" x14ac:dyDescent="0.25">
      <c r="A65" s="387" t="s">
        <v>1056</v>
      </c>
      <c r="B65" s="387"/>
      <c r="C65" s="297"/>
      <c r="D65" s="422" t="s">
        <v>1164</v>
      </c>
      <c r="E65" s="422" t="s">
        <v>1165</v>
      </c>
      <c r="F65" s="422" t="s">
        <v>1166</v>
      </c>
      <c r="G65" s="422" t="s">
        <v>1167</v>
      </c>
      <c r="H65" s="422" t="s">
        <v>1168</v>
      </c>
      <c r="I65" s="422" t="s">
        <v>1169</v>
      </c>
      <c r="J65" s="422" t="s">
        <v>1170</v>
      </c>
      <c r="K65" s="422" t="s">
        <v>1171</v>
      </c>
      <c r="L65" s="176" t="s">
        <v>1121</v>
      </c>
      <c r="M65" s="176" t="s">
        <v>1122</v>
      </c>
      <c r="N65" s="176" t="s">
        <v>1123</v>
      </c>
      <c r="O65" s="176" t="s">
        <v>1124</v>
      </c>
      <c r="P65" s="176" t="s">
        <v>1125</v>
      </c>
      <c r="Q65" s="176" t="s">
        <v>1126</v>
      </c>
      <c r="R65" s="176" t="s">
        <v>1127</v>
      </c>
      <c r="S65" s="176" t="s">
        <v>1128</v>
      </c>
      <c r="T65" s="428" t="s">
        <v>1137</v>
      </c>
      <c r="U65" s="428" t="s">
        <v>1138</v>
      </c>
      <c r="V65" s="428" t="s">
        <v>1139</v>
      </c>
      <c r="W65" s="428" t="s">
        <v>1140</v>
      </c>
      <c r="X65" s="428" t="s">
        <v>1141</v>
      </c>
      <c r="Y65" s="428" t="s">
        <v>1142</v>
      </c>
      <c r="Z65" s="428" t="s">
        <v>1143</v>
      </c>
      <c r="AA65" s="428" t="s">
        <v>1144</v>
      </c>
    </row>
    <row r="66" spans="1:27" x14ac:dyDescent="0.25">
      <c r="A66" s="450" t="s">
        <v>636</v>
      </c>
      <c r="B66" s="450" t="s">
        <v>1149</v>
      </c>
      <c r="C66" s="297" t="str">
        <f>scen_input_circular!C66</f>
        <v>MIX-CP (2020-30)/EU 2020 Reference (trends 2030-50)</v>
      </c>
      <c r="D66" s="451">
        <f>scen_input_circular!D66/SUM(scen_input_circular!$D$66:$D$71)</f>
        <v>6.7846107444347201E-2</v>
      </c>
      <c r="E66" s="451">
        <f>scen_input_circular!E66/SUM(scen_input_circular!$D$66:$D$71)</f>
        <v>5.6747164021897806E-2</v>
      </c>
      <c r="F66" s="451">
        <f>scen_input_circular!F66/SUM(scen_input_circular!$D$66:$D$71)</f>
        <v>4.4407722952874769E-2</v>
      </c>
      <c r="G66" s="451">
        <f>scen_input_circular!G66/SUM(scen_input_circular!$D$66:$D$71)</f>
        <v>1.9525090889964028E-2</v>
      </c>
      <c r="H66" s="451">
        <f>scen_input_circular!H66/SUM(scen_input_circular!$D$66:$D$71)</f>
        <v>7.8454427124638178E-4</v>
      </c>
      <c r="I66" s="451">
        <f>scen_input_circular!I66/SUM(scen_input_circular!$D$66:$D$71)</f>
        <v>0</v>
      </c>
      <c r="J66" s="451">
        <f>scen_input_circular!J66/SUM(scen_input_circular!$D$66:$D$71)</f>
        <v>0</v>
      </c>
      <c r="K66" s="451">
        <f>scen_input_circular!K66/SUM(scen_input_circular!$D$66:$D$71)</f>
        <v>0</v>
      </c>
      <c r="L66" s="427">
        <f>D66</f>
        <v>6.7846107444347201E-2</v>
      </c>
      <c r="M66" s="427">
        <f t="shared" ref="M66:S71" si="36">E66</f>
        <v>5.6747164021897806E-2</v>
      </c>
      <c r="N66" s="427">
        <f t="shared" si="36"/>
        <v>4.4407722952874769E-2</v>
      </c>
      <c r="O66" s="427">
        <f t="shared" si="36"/>
        <v>1.9525090889964028E-2</v>
      </c>
      <c r="P66" s="427">
        <f t="shared" si="36"/>
        <v>7.8454427124638178E-4</v>
      </c>
      <c r="Q66" s="427">
        <f t="shared" si="36"/>
        <v>0</v>
      </c>
      <c r="R66" s="427">
        <f t="shared" si="36"/>
        <v>0</v>
      </c>
      <c r="S66" s="427">
        <f t="shared" si="36"/>
        <v>0</v>
      </c>
      <c r="T66" s="377">
        <f t="shared" ref="T66:AA71" si="37">L66/L$72*T$72</f>
        <v>6.7846107444347201E-2</v>
      </c>
      <c r="U66" s="377">
        <f t="shared" si="37"/>
        <v>5.6747164021897806E-2</v>
      </c>
      <c r="V66" s="377">
        <f t="shared" si="37"/>
        <v>4.4407722952874769E-2</v>
      </c>
      <c r="W66" s="377">
        <f t="shared" si="37"/>
        <v>1.9525090889964028E-2</v>
      </c>
      <c r="X66" s="377">
        <f t="shared" si="37"/>
        <v>7.8454427124638178E-4</v>
      </c>
      <c r="Y66" s="377">
        <f t="shared" si="37"/>
        <v>0</v>
      </c>
      <c r="Z66" s="377">
        <f t="shared" si="37"/>
        <v>0</v>
      </c>
      <c r="AA66" s="377">
        <f t="shared" si="37"/>
        <v>0</v>
      </c>
    </row>
    <row r="67" spans="1:27" x14ac:dyDescent="0.25">
      <c r="A67" s="450" t="s">
        <v>715</v>
      </c>
      <c r="B67" s="450" t="s">
        <v>1149</v>
      </c>
      <c r="C67" s="297" t="str">
        <f>scen_input_circular!C67</f>
        <v>MIX-CP (2020-30)/EU 2020 Reference (trends 2030-50)</v>
      </c>
      <c r="D67" s="451">
        <f>scen_input_circular!D67/SUM(scen_input_circular!$D$66:$D$71)</f>
        <v>0.27791812579485797</v>
      </c>
      <c r="E67" s="451">
        <f>scen_input_circular!E67/SUM(scen_input_circular!$D$66:$D$71)</f>
        <v>0.25247499041416516</v>
      </c>
      <c r="F67" s="451">
        <f>scen_input_circular!F67/SUM(scen_input_circular!$D$66:$D$71)</f>
        <v>0.25951947816867393</v>
      </c>
      <c r="G67" s="451">
        <f>scen_input_circular!G67/SUM(scen_input_circular!$D$66:$D$71)</f>
        <v>0.23288851946218544</v>
      </c>
      <c r="H67" s="451">
        <f>scen_input_circular!H67/SUM(scen_input_circular!$D$66:$D$71)</f>
        <v>0.22060568438233452</v>
      </c>
      <c r="I67" s="451">
        <f>scen_input_circular!I67/SUM(scen_input_circular!$D$66:$D$71)</f>
        <v>0.21111395495731741</v>
      </c>
      <c r="J67" s="451">
        <f>scen_input_circular!J67/SUM(scen_input_circular!$D$66:$D$71)</f>
        <v>0.19989288635208755</v>
      </c>
      <c r="K67" s="451">
        <f>scen_input_circular!K67/SUM(scen_input_circular!$D$66:$D$71)</f>
        <v>0.19224444741014227</v>
      </c>
      <c r="L67" s="427">
        <f t="shared" ref="L67:L71" si="38">D67</f>
        <v>0.27791812579485797</v>
      </c>
      <c r="M67" s="427">
        <f t="shared" si="36"/>
        <v>0.25247499041416516</v>
      </c>
      <c r="N67" s="427">
        <f t="shared" si="36"/>
        <v>0.25951947816867393</v>
      </c>
      <c r="O67" s="427">
        <f t="shared" si="36"/>
        <v>0.23288851946218544</v>
      </c>
      <c r="P67" s="427">
        <f t="shared" si="36"/>
        <v>0.22060568438233452</v>
      </c>
      <c r="Q67" s="427">
        <f t="shared" si="36"/>
        <v>0.21111395495731741</v>
      </c>
      <c r="R67" s="427">
        <f t="shared" si="36"/>
        <v>0.19989288635208755</v>
      </c>
      <c r="S67" s="427">
        <f t="shared" si="36"/>
        <v>0.19224444741014227</v>
      </c>
      <c r="T67" s="377">
        <f t="shared" si="37"/>
        <v>0.27791812579485797</v>
      </c>
      <c r="U67" s="377">
        <f t="shared" si="37"/>
        <v>0.25247499041416516</v>
      </c>
      <c r="V67" s="377">
        <f t="shared" si="37"/>
        <v>0.25951947816867393</v>
      </c>
      <c r="W67" s="377">
        <f t="shared" si="37"/>
        <v>0.23288851946218544</v>
      </c>
      <c r="X67" s="377">
        <f t="shared" si="37"/>
        <v>0.22060568438233452</v>
      </c>
      <c r="Y67" s="377">
        <f t="shared" si="37"/>
        <v>0.21111395495731741</v>
      </c>
      <c r="Z67" s="377">
        <f t="shared" si="37"/>
        <v>0.19989288635208755</v>
      </c>
      <c r="AA67" s="377">
        <f t="shared" si="37"/>
        <v>0.19224444741014227</v>
      </c>
    </row>
    <row r="68" spans="1:27" x14ac:dyDescent="0.25">
      <c r="A68" s="450" t="s">
        <v>432</v>
      </c>
      <c r="B68" s="450" t="s">
        <v>1149</v>
      </c>
      <c r="C68" s="297" t="str">
        <f>scen_input_circular!C68</f>
        <v>MIX-CP (2020-30)/EU 2020 Reference (trends 2030-50)</v>
      </c>
      <c r="D68" s="451">
        <f>scen_input_circular!D68/SUM(scen_input_circular!$D$66:$D$71)</f>
        <v>0.22973234133707482</v>
      </c>
      <c r="E68" s="451">
        <f>scen_input_circular!E68/SUM(scen_input_circular!$D$66:$D$71)</f>
        <v>0.21533665214659392</v>
      </c>
      <c r="F68" s="451">
        <f>scen_input_circular!F68/SUM(scen_input_circular!$D$66:$D$71)</f>
        <v>0.22626461286484095</v>
      </c>
      <c r="G68" s="451">
        <f>scen_input_circular!G68/SUM(scen_input_circular!$D$66:$D$71)</f>
        <v>0.18984254931186656</v>
      </c>
      <c r="H68" s="451">
        <f>scen_input_circular!H68/SUM(scen_input_circular!$D$66:$D$71)</f>
        <v>0.18227175517189029</v>
      </c>
      <c r="I68" s="451">
        <f>scen_input_circular!I68/SUM(scen_input_circular!$D$66:$D$71)</f>
        <v>0.17957110805920984</v>
      </c>
      <c r="J68" s="451">
        <f>scen_input_circular!J68/SUM(scen_input_circular!$D$66:$D$71)</f>
        <v>0.18374807156514053</v>
      </c>
      <c r="K68" s="451">
        <f>scen_input_circular!K68/SUM(scen_input_circular!$D$66:$D$71)</f>
        <v>0.18360511973560223</v>
      </c>
      <c r="L68" s="427">
        <f t="shared" si="38"/>
        <v>0.22973234133707482</v>
      </c>
      <c r="M68" s="427">
        <f t="shared" si="36"/>
        <v>0.21533665214659392</v>
      </c>
      <c r="N68" s="427">
        <f t="shared" si="36"/>
        <v>0.22626461286484095</v>
      </c>
      <c r="O68" s="427">
        <f t="shared" si="36"/>
        <v>0.18984254931186656</v>
      </c>
      <c r="P68" s="427">
        <f t="shared" si="36"/>
        <v>0.18227175517189029</v>
      </c>
      <c r="Q68" s="427">
        <f t="shared" si="36"/>
        <v>0.17957110805920984</v>
      </c>
      <c r="R68" s="427">
        <f t="shared" si="36"/>
        <v>0.18374807156514053</v>
      </c>
      <c r="S68" s="427">
        <f t="shared" si="36"/>
        <v>0.18360511973560223</v>
      </c>
      <c r="T68" s="377">
        <f t="shared" si="37"/>
        <v>0.22973234133707482</v>
      </c>
      <c r="U68" s="377">
        <f t="shared" si="37"/>
        <v>0.21533665214659392</v>
      </c>
      <c r="V68" s="377">
        <f t="shared" si="37"/>
        <v>0.22626461286484095</v>
      </c>
      <c r="W68" s="377">
        <f t="shared" si="37"/>
        <v>0.18984254931186656</v>
      </c>
      <c r="X68" s="377">
        <f t="shared" si="37"/>
        <v>0.18227175517189029</v>
      </c>
      <c r="Y68" s="377">
        <f t="shared" si="37"/>
        <v>0.17957110805920984</v>
      </c>
      <c r="Z68" s="377">
        <f t="shared" si="37"/>
        <v>0.18374807156514053</v>
      </c>
      <c r="AA68" s="377">
        <f t="shared" si="37"/>
        <v>0.18360511973560223</v>
      </c>
    </row>
    <row r="69" spans="1:27" x14ac:dyDescent="0.25">
      <c r="A69" s="297" t="s">
        <v>835</v>
      </c>
      <c r="B69" s="450" t="s">
        <v>1149</v>
      </c>
      <c r="C69" s="297" t="str">
        <f>scen_input_circular!C69</f>
        <v>MIX-CP (2020-30)/EU 2020 Reference (trends 2030-50)</v>
      </c>
      <c r="D69" s="451">
        <f>scen_input_circular!D69/SUM(scen_input_circular!$D$66:$D$71)</f>
        <v>8.9990395729422731E-2</v>
      </c>
      <c r="E69" s="451">
        <f>scen_input_circular!E69/SUM(scen_input_circular!$D$66:$D$71)</f>
        <v>8.4387999703262204E-2</v>
      </c>
      <c r="F69" s="451">
        <f>scen_input_circular!F69/SUM(scen_input_circular!$D$66:$D$71)</f>
        <v>0.10095278073689887</v>
      </c>
      <c r="G69" s="451">
        <f>scen_input_circular!G69/SUM(scen_input_circular!$D$66:$D$71)</f>
        <v>9.7962971833039925E-2</v>
      </c>
      <c r="H69" s="451">
        <f>scen_input_circular!H69/SUM(scen_input_circular!$D$66:$D$71)</f>
        <v>9.9143777121668691E-2</v>
      </c>
      <c r="I69" s="451">
        <f>scen_input_circular!I69/SUM(scen_input_circular!$D$66:$D$71)</f>
        <v>9.8994820134620715E-2</v>
      </c>
      <c r="J69" s="451">
        <f>scen_input_circular!J69/SUM(scen_input_circular!$D$66:$D$71)</f>
        <v>9.4649106881386183E-2</v>
      </c>
      <c r="K69" s="451">
        <f>scen_input_circular!K69/SUM(scen_input_circular!$D$66:$D$71)</f>
        <v>9.4023659063760312E-2</v>
      </c>
      <c r="L69" s="427">
        <f t="shared" si="38"/>
        <v>8.9990395729422731E-2</v>
      </c>
      <c r="M69" s="427">
        <f t="shared" si="36"/>
        <v>8.4387999703262204E-2</v>
      </c>
      <c r="N69" s="427">
        <f t="shared" si="36"/>
        <v>0.10095278073689887</v>
      </c>
      <c r="O69" s="427">
        <f t="shared" si="36"/>
        <v>9.7962971833039925E-2</v>
      </c>
      <c r="P69" s="427">
        <f t="shared" si="36"/>
        <v>9.9143777121668691E-2</v>
      </c>
      <c r="Q69" s="427">
        <f t="shared" si="36"/>
        <v>9.8994820134620715E-2</v>
      </c>
      <c r="R69" s="427">
        <f t="shared" si="36"/>
        <v>9.4649106881386183E-2</v>
      </c>
      <c r="S69" s="427">
        <f t="shared" si="36"/>
        <v>9.4023659063760312E-2</v>
      </c>
      <c r="T69" s="377">
        <f t="shared" si="37"/>
        <v>8.9990395729422731E-2</v>
      </c>
      <c r="U69" s="377">
        <f t="shared" si="37"/>
        <v>8.4387999703262204E-2</v>
      </c>
      <c r="V69" s="377">
        <f t="shared" si="37"/>
        <v>0.10095278073689887</v>
      </c>
      <c r="W69" s="377">
        <f t="shared" si="37"/>
        <v>9.7962971833039925E-2</v>
      </c>
      <c r="X69" s="377">
        <f t="shared" si="37"/>
        <v>9.9143777121668691E-2</v>
      </c>
      <c r="Y69" s="377">
        <f t="shared" si="37"/>
        <v>9.8994820134620715E-2</v>
      </c>
      <c r="Z69" s="377">
        <f t="shared" si="37"/>
        <v>9.4649106881386183E-2</v>
      </c>
      <c r="AA69" s="377">
        <f t="shared" si="37"/>
        <v>9.4023659063760312E-2</v>
      </c>
    </row>
    <row r="70" spans="1:27" x14ac:dyDescent="0.25">
      <c r="A70" s="297" t="s">
        <v>711</v>
      </c>
      <c r="B70" s="450" t="s">
        <v>1149</v>
      </c>
      <c r="C70" s="297" t="str">
        <f>scen_input_circular!C70</f>
        <v>MIX-CP (2020-30)/EU 2020 Reference (trends 2030-50)</v>
      </c>
      <c r="D70" s="451">
        <f>scen_input_circular!D70/SUM(scen_input_circular!$D$66:$D$71)</f>
        <v>0.13119481198661595</v>
      </c>
      <c r="E70" s="451">
        <f>scen_input_circular!E70/SUM(scen_input_circular!$D$66:$D$71)</f>
        <v>0.15394946243145166</v>
      </c>
      <c r="F70" s="451">
        <f>scen_input_circular!F70/SUM(scen_input_circular!$D$66:$D$71)</f>
        <v>0.1617165186962527</v>
      </c>
      <c r="G70" s="451">
        <f>scen_input_circular!G70/SUM(scen_input_circular!$D$66:$D$71)</f>
        <v>0.16208513565389548</v>
      </c>
      <c r="H70" s="451">
        <f>scen_input_circular!H70/SUM(scen_input_circular!$D$66:$D$71)</f>
        <v>0.17618091490206536</v>
      </c>
      <c r="I70" s="451">
        <f>scen_input_circular!I70/SUM(scen_input_circular!$D$66:$D$71)</f>
        <v>0.17201900143603807</v>
      </c>
      <c r="J70" s="451">
        <f>scen_input_circular!J70/SUM(scen_input_circular!$D$66:$D$71)</f>
        <v>0.16180192331815269</v>
      </c>
      <c r="K70" s="451">
        <f>scen_input_circular!K70/SUM(scen_input_circular!$D$66:$D$71)</f>
        <v>0.15773338997017505</v>
      </c>
      <c r="L70" s="427">
        <f t="shared" si="38"/>
        <v>0.13119481198661595</v>
      </c>
      <c r="M70" s="427">
        <f t="shared" si="36"/>
        <v>0.15394946243145166</v>
      </c>
      <c r="N70" s="427">
        <f t="shared" si="36"/>
        <v>0.1617165186962527</v>
      </c>
      <c r="O70" s="427">
        <f t="shared" si="36"/>
        <v>0.16208513565389548</v>
      </c>
      <c r="P70" s="427">
        <f t="shared" si="36"/>
        <v>0.17618091490206536</v>
      </c>
      <c r="Q70" s="427">
        <f t="shared" si="36"/>
        <v>0.17201900143603807</v>
      </c>
      <c r="R70" s="427">
        <f t="shared" si="36"/>
        <v>0.16180192331815269</v>
      </c>
      <c r="S70" s="427">
        <f t="shared" si="36"/>
        <v>0.15773338997017505</v>
      </c>
      <c r="T70" s="377">
        <f t="shared" si="37"/>
        <v>0.13119481198661595</v>
      </c>
      <c r="U70" s="377">
        <f t="shared" si="37"/>
        <v>0.15394946243145166</v>
      </c>
      <c r="V70" s="377">
        <f t="shared" si="37"/>
        <v>0.1617165186962527</v>
      </c>
      <c r="W70" s="377">
        <f t="shared" si="37"/>
        <v>0.16208513565389548</v>
      </c>
      <c r="X70" s="377">
        <f t="shared" si="37"/>
        <v>0.17618091490206536</v>
      </c>
      <c r="Y70" s="377">
        <f t="shared" si="37"/>
        <v>0.17201900143603807</v>
      </c>
      <c r="Z70" s="377">
        <f t="shared" si="37"/>
        <v>0.16180192331815269</v>
      </c>
      <c r="AA70" s="377">
        <f t="shared" si="37"/>
        <v>0.15773338997017505</v>
      </c>
    </row>
    <row r="71" spans="1:27" x14ac:dyDescent="0.25">
      <c r="A71" s="297" t="s">
        <v>836</v>
      </c>
      <c r="B71" s="450" t="s">
        <v>1149</v>
      </c>
      <c r="C71" s="297" t="str">
        <f>scen_input_circular!C71</f>
        <v>MIX-CP (2020-30)/EU 2020 Reference (trends 2030-50)</v>
      </c>
      <c r="D71" s="451">
        <f>scen_input_circular!D71/SUM(scen_input_circular!$D$66:$D$71)</f>
        <v>0.20331821770768141</v>
      </c>
      <c r="E71" s="451">
        <f>scen_input_circular!E71/SUM(scen_input_circular!$D$66:$D$71)</f>
        <v>0.19349332593491447</v>
      </c>
      <c r="F71" s="451">
        <f>scen_input_circular!F71/SUM(scen_input_circular!$D$66:$D$71)</f>
        <v>0.21615148480592089</v>
      </c>
      <c r="G71" s="451">
        <f>scen_input_circular!G71/SUM(scen_input_circular!$D$66:$D$71)</f>
        <v>0.24310106767122533</v>
      </c>
      <c r="H71" s="451">
        <f>scen_input_circular!H71/SUM(scen_input_circular!$D$66:$D$71)</f>
        <v>0.25510634402448978</v>
      </c>
      <c r="I71" s="451">
        <f>scen_input_circular!I71/SUM(scen_input_circular!$D$66:$D$71)</f>
        <v>0.2687185374377617</v>
      </c>
      <c r="J71" s="451">
        <f>scen_input_circular!J71/SUM(scen_input_circular!$D$66:$D$71)</f>
        <v>0.28236745161180138</v>
      </c>
      <c r="K71" s="451">
        <f>scen_input_circular!K71/SUM(scen_input_circular!$D$66:$D$71)</f>
        <v>0.29324775921836499</v>
      </c>
      <c r="L71" s="427">
        <f t="shared" si="38"/>
        <v>0.20331821770768141</v>
      </c>
      <c r="M71" s="427">
        <f t="shared" si="36"/>
        <v>0.19349332593491447</v>
      </c>
      <c r="N71" s="427">
        <f t="shared" si="36"/>
        <v>0.21615148480592089</v>
      </c>
      <c r="O71" s="427">
        <f t="shared" si="36"/>
        <v>0.24310106767122533</v>
      </c>
      <c r="P71" s="427">
        <f t="shared" si="36"/>
        <v>0.25510634402448978</v>
      </c>
      <c r="Q71" s="427">
        <f t="shared" si="36"/>
        <v>0.2687185374377617</v>
      </c>
      <c r="R71" s="427">
        <f t="shared" si="36"/>
        <v>0.28236745161180138</v>
      </c>
      <c r="S71" s="427">
        <f t="shared" si="36"/>
        <v>0.29324775921836499</v>
      </c>
      <c r="T71" s="377">
        <f t="shared" si="37"/>
        <v>0.20331821770768141</v>
      </c>
      <c r="U71" s="377">
        <f t="shared" si="37"/>
        <v>0.19349332593491447</v>
      </c>
      <c r="V71" s="377">
        <f t="shared" si="37"/>
        <v>0.21615148480592089</v>
      </c>
      <c r="W71" s="377">
        <f t="shared" si="37"/>
        <v>0.24310106767122533</v>
      </c>
      <c r="X71" s="377">
        <f t="shared" si="37"/>
        <v>0.25510634402448978</v>
      </c>
      <c r="Y71" s="377">
        <f t="shared" si="37"/>
        <v>0.2687185374377617</v>
      </c>
      <c r="Z71" s="377">
        <f t="shared" si="37"/>
        <v>0.28236745161180138</v>
      </c>
      <c r="AA71" s="377">
        <f t="shared" si="37"/>
        <v>0.29324775921836499</v>
      </c>
    </row>
    <row r="72" spans="1:27" x14ac:dyDescent="0.25">
      <c r="A72" s="373" t="s">
        <v>837</v>
      </c>
      <c r="B72" s="373"/>
      <c r="C72" s="297" t="str">
        <f>scen_input_circular!C72</f>
        <v>MIX-CP (2020-30)/EU 2020 Reference (trends 2030-50)</v>
      </c>
      <c r="D72" s="378">
        <f>SUM(scen_input_circular!D66:D71)/SUM(scen_input_circular!$D66:$D71)</f>
        <v>1</v>
      </c>
      <c r="E72" s="378">
        <f>SUM(scen_input_circular!E66:E71)/SUM(scen_input_circular!$D66:$D71)</f>
        <v>0.95638959465228512</v>
      </c>
      <c r="F72" s="378">
        <f>SUM(scen_input_circular!F66:F71)/SUM(scen_input_circular!$D66:$D71)</f>
        <v>1.0090125982254621</v>
      </c>
      <c r="G72" s="378">
        <f>SUM(scen_input_circular!G66:G71)/SUM(scen_input_circular!$D66:$D71)</f>
        <v>0.94540533482217681</v>
      </c>
      <c r="H72" s="378">
        <f>SUM(scen_input_circular!H66:H71)/SUM(scen_input_circular!$D66:$D71)</f>
        <v>0.93409301987369509</v>
      </c>
      <c r="I72" s="378">
        <f>SUM(scen_input_circular!I66:I71)/SUM(scen_input_circular!$D66:$D71)</f>
        <v>0.9304174220249477</v>
      </c>
      <c r="J72" s="378">
        <f>SUM(scen_input_circular!J66:J71)/SUM(scen_input_circular!$D66:$D71)</f>
        <v>0.92245943972856825</v>
      </c>
      <c r="K72" s="378">
        <f>SUM(scen_input_circular!K66:K71)/SUM(scen_input_circular!$D66:$D71)</f>
        <v>0.92085437539804482</v>
      </c>
      <c r="L72" s="374">
        <f>SUM(L66:L71)</f>
        <v>1</v>
      </c>
      <c r="M72" s="374">
        <f t="shared" ref="M72:S72" si="39">SUM(M66:M71)</f>
        <v>0.95638959465228512</v>
      </c>
      <c r="N72" s="374">
        <f t="shared" si="39"/>
        <v>1.0090125982254621</v>
      </c>
      <c r="O72" s="374">
        <f t="shared" si="39"/>
        <v>0.9454053348221767</v>
      </c>
      <c r="P72" s="374">
        <f t="shared" si="39"/>
        <v>0.93409301987369497</v>
      </c>
      <c r="Q72" s="374">
        <f t="shared" si="39"/>
        <v>0.9304174220249477</v>
      </c>
      <c r="R72" s="374">
        <f t="shared" si="39"/>
        <v>0.92245943972856836</v>
      </c>
      <c r="S72" s="374">
        <f t="shared" si="39"/>
        <v>0.92085437539804482</v>
      </c>
      <c r="T72" s="374">
        <f>L72/$L72</f>
        <v>1</v>
      </c>
      <c r="U72" s="374">
        <f>M72/$L72</f>
        <v>0.95638959465228512</v>
      </c>
      <c r="V72" s="374">
        <f t="shared" ref="V72:AA72" si="40">N72/$L72</f>
        <v>1.0090125982254621</v>
      </c>
      <c r="W72" s="374">
        <f t="shared" si="40"/>
        <v>0.9454053348221767</v>
      </c>
      <c r="X72" s="374">
        <f t="shared" si="40"/>
        <v>0.93409301987369497</v>
      </c>
      <c r="Y72" s="374">
        <f t="shared" si="40"/>
        <v>0.9304174220249477</v>
      </c>
      <c r="Z72" s="374">
        <f t="shared" si="40"/>
        <v>0.92245943972856836</v>
      </c>
      <c r="AA72" s="374">
        <f t="shared" si="40"/>
        <v>0.92085437539804482</v>
      </c>
    </row>
  </sheetData>
  <conditionalFormatting sqref="D48:K48 D64:K64">
    <cfRule type="cellIs" dxfId="19" priority="10" operator="equal">
      <formula>1</formula>
    </cfRule>
  </conditionalFormatting>
  <conditionalFormatting sqref="E64:K64">
    <cfRule type="cellIs" dxfId="18" priority="8" operator="equal">
      <formula>1</formula>
    </cfRule>
    <cfRule type="cellIs" dxfId="17" priority="9" operator="equal">
      <formula>0.497</formula>
    </cfRule>
  </conditionalFormatting>
  <conditionalFormatting sqref="D50:K62">
    <cfRule type="cellIs" dxfId="16" priority="7" operator="equal">
      <formula>1</formula>
    </cfRule>
  </conditionalFormatting>
  <conditionalFormatting sqref="L48:S48 L64:S64">
    <cfRule type="cellIs" dxfId="15" priority="6" operator="equal">
      <formula>1</formula>
    </cfRule>
  </conditionalFormatting>
  <conditionalFormatting sqref="M64:S64">
    <cfRule type="cellIs" dxfId="14" priority="4" operator="equal">
      <formula>1</formula>
    </cfRule>
    <cfRule type="cellIs" dxfId="13" priority="5" operator="equal">
      <formula>0.497</formula>
    </cfRule>
  </conditionalFormatting>
  <conditionalFormatting sqref="T48:AA48 T64:AA64">
    <cfRule type="cellIs" dxfId="12" priority="3" operator="equal">
      <formula>1</formula>
    </cfRule>
  </conditionalFormatting>
  <conditionalFormatting sqref="U64:AA64">
    <cfRule type="cellIs" dxfId="11" priority="1" operator="equal">
      <formula>1</formula>
    </cfRule>
    <cfRule type="cellIs" dxfId="10" priority="2" operator="equal">
      <formula>0.497</formula>
    </cfRule>
  </conditionalFormatting>
  <pageMargins left="0.7" right="0.7" top="0.78740157499999996" bottom="0.78740157499999996" header="0.3" footer="0.3"/>
  <pageSetup paperSize="9" orientation="portrait" verticalDpi="0"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72"/>
  <sheetViews>
    <sheetView zoomScale="75" zoomScaleNormal="75" workbookViewId="0">
      <pane xSplit="3" ySplit="1" topLeftCell="D2" activePane="bottomRight" state="frozen"/>
      <selection pane="topRight" activeCell="D1" sqref="D1"/>
      <selection pane="bottomLeft" activeCell="A2" sqref="A2"/>
      <selection pane="bottomRight" activeCell="D4" sqref="D4"/>
    </sheetView>
  </sheetViews>
  <sheetFormatPr defaultColWidth="8.25" defaultRowHeight="15" x14ac:dyDescent="0.25"/>
  <cols>
    <col min="1" max="1" width="94.25" style="118" bestFit="1" customWidth="1"/>
    <col min="2" max="2" width="14.625" style="118" customWidth="1"/>
    <col min="3" max="3" width="21.125" style="118" customWidth="1"/>
    <col min="4" max="27" width="10.25" style="15" customWidth="1"/>
    <col min="28" max="16384" width="8.25" style="15"/>
  </cols>
  <sheetData>
    <row r="1" spans="1:27" x14ac:dyDescent="0.25">
      <c r="A1" s="387" t="s">
        <v>0</v>
      </c>
      <c r="B1" s="387" t="s">
        <v>1</v>
      </c>
      <c r="C1" s="387" t="s">
        <v>1147</v>
      </c>
      <c r="D1" s="373" t="s">
        <v>1163</v>
      </c>
      <c r="E1" s="297"/>
      <c r="F1" s="297"/>
      <c r="G1" s="297"/>
      <c r="H1" s="297"/>
      <c r="I1" s="297"/>
      <c r="J1" s="297"/>
      <c r="K1" s="297"/>
      <c r="L1" s="373" t="s">
        <v>1153</v>
      </c>
      <c r="M1" s="297"/>
      <c r="N1" s="297"/>
      <c r="O1" s="297"/>
      <c r="P1" s="297"/>
      <c r="Q1" s="297"/>
      <c r="R1" s="297"/>
      <c r="S1" s="297"/>
      <c r="T1" s="134" t="s">
        <v>1154</v>
      </c>
      <c r="U1" s="133"/>
      <c r="V1" s="133"/>
      <c r="W1" s="133"/>
      <c r="X1" s="133"/>
      <c r="Y1" s="133"/>
      <c r="Z1" s="133"/>
      <c r="AA1" s="133"/>
    </row>
    <row r="2" spans="1:27" x14ac:dyDescent="0.25">
      <c r="A2" s="375" t="s">
        <v>1057</v>
      </c>
      <c r="B2" s="375"/>
      <c r="C2" s="375"/>
      <c r="D2" s="297"/>
      <c r="E2" s="297"/>
      <c r="F2" s="297"/>
      <c r="G2" s="297"/>
      <c r="H2" s="297"/>
      <c r="I2" s="297"/>
      <c r="J2" s="297"/>
      <c r="K2" s="297"/>
      <c r="L2" s="297"/>
      <c r="M2" s="297"/>
      <c r="N2" s="297"/>
      <c r="O2" s="297"/>
      <c r="P2" s="297"/>
      <c r="Q2" s="297"/>
      <c r="R2" s="297"/>
      <c r="S2" s="297"/>
      <c r="T2" s="297"/>
      <c r="U2" s="297"/>
      <c r="V2" s="297"/>
      <c r="W2" s="297"/>
      <c r="X2" s="297"/>
      <c r="Y2" s="297"/>
      <c r="Z2" s="297"/>
      <c r="AA2" s="297"/>
    </row>
    <row r="3" spans="1:27" x14ac:dyDescent="0.25">
      <c r="A3" s="375" t="s">
        <v>914</v>
      </c>
      <c r="B3" s="375"/>
      <c r="C3" s="375"/>
      <c r="D3" s="422" t="s">
        <v>1164</v>
      </c>
      <c r="E3" s="422" t="s">
        <v>1165</v>
      </c>
      <c r="F3" s="422" t="s">
        <v>1166</v>
      </c>
      <c r="G3" s="422" t="s">
        <v>1167</v>
      </c>
      <c r="H3" s="422" t="s">
        <v>1168</v>
      </c>
      <c r="I3" s="422" t="s">
        <v>1169</v>
      </c>
      <c r="J3" s="422" t="s">
        <v>1170</v>
      </c>
      <c r="K3" s="422" t="s">
        <v>1171</v>
      </c>
      <c r="L3" s="176" t="s">
        <v>1121</v>
      </c>
      <c r="M3" s="176" t="s">
        <v>1122</v>
      </c>
      <c r="N3" s="176" t="s">
        <v>1123</v>
      </c>
      <c r="O3" s="176" t="s">
        <v>1124</v>
      </c>
      <c r="P3" s="176" t="s">
        <v>1125</v>
      </c>
      <c r="Q3" s="176" t="s">
        <v>1126</v>
      </c>
      <c r="R3" s="176" t="s">
        <v>1127</v>
      </c>
      <c r="S3" s="176" t="s">
        <v>1128</v>
      </c>
      <c r="T3" s="428" t="s">
        <v>1137</v>
      </c>
      <c r="U3" s="428" t="s">
        <v>1138</v>
      </c>
      <c r="V3" s="428" t="s">
        <v>1139</v>
      </c>
      <c r="W3" s="428" t="s">
        <v>1140</v>
      </c>
      <c r="X3" s="428" t="s">
        <v>1141</v>
      </c>
      <c r="Y3" s="428" t="s">
        <v>1142</v>
      </c>
      <c r="Z3" s="428" t="s">
        <v>1143</v>
      </c>
      <c r="AA3" s="428" t="s">
        <v>1144</v>
      </c>
    </row>
    <row r="4" spans="1:27" x14ac:dyDescent="0.25">
      <c r="A4" s="15" t="s">
        <v>1037</v>
      </c>
      <c r="B4" s="2" t="s">
        <v>730</v>
      </c>
      <c r="C4" s="15" t="str">
        <f>scen_input_bau!C4</f>
        <v>BAU (fixed proportions from the initial state)</v>
      </c>
      <c r="D4" s="116">
        <f>scen_input_bau!D4/SUM(scen_input_bau!$D$4:$D$6)</f>
        <v>1</v>
      </c>
      <c r="E4" s="116">
        <f>scen_input_bau!E4/SUM(scen_input_bau!$D$4:$D$6)</f>
        <v>1</v>
      </c>
      <c r="F4" s="116">
        <f>scen_input_bau!F4/SUM(scen_input_bau!$D$4:$D$6)</f>
        <v>1</v>
      </c>
      <c r="G4" s="116">
        <f>scen_input_bau!G4/SUM(scen_input_bau!$D$4:$D$6)</f>
        <v>1.0414201183431953</v>
      </c>
      <c r="H4" s="116">
        <f>scen_input_bau!H4/SUM(scen_input_bau!$D$4:$D$6)</f>
        <v>1.0828402366863905</v>
      </c>
      <c r="I4" s="116">
        <f>scen_input_bau!I4/SUM(scen_input_bau!$D$4:$D$6)</f>
        <v>1.1242603550295858</v>
      </c>
      <c r="J4" s="116">
        <f>scen_input_bau!J4/SUM(scen_input_bau!$D$4:$D$6)</f>
        <v>1.1331360946745561</v>
      </c>
      <c r="K4" s="116">
        <f>scen_input_bau!K4/SUM(scen_input_bau!$D$4:$D$6)</f>
        <v>1.1420118343195267</v>
      </c>
      <c r="L4" s="116">
        <f>D4*cost_projections!C4*D$7</f>
        <v>1</v>
      </c>
      <c r="M4" s="116">
        <f>E4*cost_projections!D4*E$7</f>
        <v>1</v>
      </c>
      <c r="N4" s="116">
        <f>F4*cost_projections!E4*F$7</f>
        <v>1</v>
      </c>
      <c r="O4" s="116">
        <f>G4*cost_projections!F4*G$7</f>
        <v>1.0845558628899548</v>
      </c>
      <c r="P4" s="116">
        <f>H4*cost_projections!G4*H$7</f>
        <v>1.1725429781870382</v>
      </c>
      <c r="Q4" s="116">
        <f>I4*cost_projections!H4*I$7</f>
        <v>1.2639613458912502</v>
      </c>
      <c r="R4" s="116">
        <f>J4*cost_projections!I4*J$7</f>
        <v>1.2839974090543047</v>
      </c>
      <c r="S4" s="116">
        <f>K4*cost_projections!J4*K$7</f>
        <v>1.3041910297258501</v>
      </c>
      <c r="T4" s="116">
        <f>L4/L$7*T$7</f>
        <v>1</v>
      </c>
      <c r="U4" s="116">
        <f t="shared" ref="U4:AA6" si="0">M4/M$7*U$7</f>
        <v>1</v>
      </c>
      <c r="V4" s="116">
        <f t="shared" si="0"/>
        <v>1</v>
      </c>
      <c r="W4" s="116">
        <f t="shared" si="0"/>
        <v>1.0845558628899548</v>
      </c>
      <c r="X4" s="116">
        <f t="shared" si="0"/>
        <v>1.1725429781870382</v>
      </c>
      <c r="Y4" s="116">
        <f t="shared" si="0"/>
        <v>1.2639613458912502</v>
      </c>
      <c r="Z4" s="116">
        <f t="shared" si="0"/>
        <v>1.2839974090543047</v>
      </c>
      <c r="AA4" s="116">
        <f t="shared" si="0"/>
        <v>1.3041910297258501</v>
      </c>
    </row>
    <row r="5" spans="1:27" x14ac:dyDescent="0.25">
      <c r="A5" s="15" t="s">
        <v>1038</v>
      </c>
      <c r="B5" s="2" t="s">
        <v>731</v>
      </c>
      <c r="C5" s="15" t="str">
        <f>scen_input_bau!C5</f>
        <v>BAU (fixed proportions from the initial state)</v>
      </c>
      <c r="D5" s="116">
        <f>scen_input_bau!D5/SUM(scen_input_bau!$D$4:$D$6)</f>
        <v>0</v>
      </c>
      <c r="E5" s="116">
        <f>scen_input_bau!E5/SUM(scen_input_bau!$D$4:$D$6)</f>
        <v>0</v>
      </c>
      <c r="F5" s="116">
        <f>scen_input_bau!F5/SUM(scen_input_bau!$D$4:$D$6)</f>
        <v>0</v>
      </c>
      <c r="G5" s="116">
        <f>scen_input_bau!G5/SUM(scen_input_bau!$D$4:$D$6)</f>
        <v>0</v>
      </c>
      <c r="H5" s="116">
        <f>scen_input_bau!H5/SUM(scen_input_bau!$D$4:$D$6)</f>
        <v>0</v>
      </c>
      <c r="I5" s="116">
        <f>scen_input_bau!I5/SUM(scen_input_bau!$D$4:$D$6)</f>
        <v>0</v>
      </c>
      <c r="J5" s="116">
        <f>scen_input_bau!J5/SUM(scen_input_bau!$D$4:$D$6)</f>
        <v>0</v>
      </c>
      <c r="K5" s="116">
        <f>scen_input_bau!K5/SUM(scen_input_bau!$D$4:$D$6)</f>
        <v>0</v>
      </c>
      <c r="L5" s="116">
        <f>D5*cost_projections!C5*D$7</f>
        <v>0</v>
      </c>
      <c r="M5" s="116">
        <f>E5*cost_projections!D5*E$7</f>
        <v>0</v>
      </c>
      <c r="N5" s="116">
        <f>F5*cost_projections!E5*F$7</f>
        <v>0</v>
      </c>
      <c r="O5" s="116">
        <f>G5*cost_projections!F5*G$7</f>
        <v>0</v>
      </c>
      <c r="P5" s="116">
        <f>H5*cost_projections!G5*H$7</f>
        <v>0</v>
      </c>
      <c r="Q5" s="116">
        <f>I5*cost_projections!H5*I$7</f>
        <v>0</v>
      </c>
      <c r="R5" s="116">
        <f>J5*cost_projections!I5*J$7</f>
        <v>0</v>
      </c>
      <c r="S5" s="116">
        <f>K5*cost_projections!J5*K$7</f>
        <v>0</v>
      </c>
      <c r="T5" s="116">
        <f t="shared" ref="T5" si="1">L5/L$7*T$7</f>
        <v>0</v>
      </c>
      <c r="U5" s="116">
        <f t="shared" si="0"/>
        <v>0</v>
      </c>
      <c r="V5" s="116">
        <f t="shared" si="0"/>
        <v>0</v>
      </c>
      <c r="W5" s="116">
        <f t="shared" si="0"/>
        <v>0</v>
      </c>
      <c r="X5" s="116">
        <f t="shared" si="0"/>
        <v>0</v>
      </c>
      <c r="Y5" s="116">
        <f t="shared" si="0"/>
        <v>0</v>
      </c>
      <c r="Z5" s="116">
        <f t="shared" si="0"/>
        <v>0</v>
      </c>
      <c r="AA5" s="116">
        <f t="shared" si="0"/>
        <v>0</v>
      </c>
    </row>
    <row r="6" spans="1:27" x14ac:dyDescent="0.25">
      <c r="A6" s="15" t="s">
        <v>1039</v>
      </c>
      <c r="B6" s="2" t="s">
        <v>746</v>
      </c>
      <c r="C6" s="15" t="str">
        <f>scen_input_bau!C6</f>
        <v>BAU (fixed proportions from the initial state)</v>
      </c>
      <c r="D6" s="116">
        <f>scen_input_bau!D6/SUM(scen_input_bau!$D$4:$D$6)</f>
        <v>0</v>
      </c>
      <c r="E6" s="116">
        <f>scen_input_bau!E6/SUM(scen_input_bau!$D$4:$D$6)</f>
        <v>0</v>
      </c>
      <c r="F6" s="116">
        <f>scen_input_bau!F6/SUM(scen_input_bau!$D$4:$D$6)</f>
        <v>0</v>
      </c>
      <c r="G6" s="116">
        <f>scen_input_bau!G6/SUM(scen_input_bau!$D$4:$D$6)</f>
        <v>0</v>
      </c>
      <c r="H6" s="116">
        <f>scen_input_bau!H6/SUM(scen_input_bau!$D$4:$D$6)</f>
        <v>0</v>
      </c>
      <c r="I6" s="116">
        <f>scen_input_bau!I6/SUM(scen_input_bau!$D$4:$D$6)</f>
        <v>0</v>
      </c>
      <c r="J6" s="116">
        <f>scen_input_bau!J6/SUM(scen_input_bau!$D$4:$D$6)</f>
        <v>0</v>
      </c>
      <c r="K6" s="116">
        <f>scen_input_bau!K6/SUM(scen_input_bau!$D$4:$D$6)</f>
        <v>0</v>
      </c>
      <c r="L6" s="116">
        <f>D6*cost_projections!C6*D$7</f>
        <v>0</v>
      </c>
      <c r="M6" s="116">
        <f>E6*cost_projections!D6*E$7</f>
        <v>0</v>
      </c>
      <c r="N6" s="116">
        <f>F6*cost_projections!E6*F$7</f>
        <v>0</v>
      </c>
      <c r="O6" s="116">
        <f>G6*cost_projections!F6*G$7</f>
        <v>0</v>
      </c>
      <c r="P6" s="116">
        <f>H6*cost_projections!G6*H$7</f>
        <v>0</v>
      </c>
      <c r="Q6" s="116">
        <f>I6*cost_projections!H6*I$7</f>
        <v>0</v>
      </c>
      <c r="R6" s="116">
        <f>J6*cost_projections!I6*J$7</f>
        <v>0</v>
      </c>
      <c r="S6" s="116">
        <f>K6*cost_projections!J6*K$7</f>
        <v>0</v>
      </c>
      <c r="T6" s="116">
        <f>L6/L$7*T$7</f>
        <v>0</v>
      </c>
      <c r="U6" s="116">
        <f t="shared" si="0"/>
        <v>0</v>
      </c>
      <c r="V6" s="116">
        <f t="shared" si="0"/>
        <v>0</v>
      </c>
      <c r="W6" s="116">
        <f t="shared" si="0"/>
        <v>0</v>
      </c>
      <c r="X6" s="116">
        <f t="shared" si="0"/>
        <v>0</v>
      </c>
      <c r="Y6" s="116">
        <f t="shared" si="0"/>
        <v>0</v>
      </c>
      <c r="Z6" s="116">
        <f t="shared" si="0"/>
        <v>0</v>
      </c>
      <c r="AA6" s="116">
        <f t="shared" si="0"/>
        <v>0</v>
      </c>
    </row>
    <row r="7" spans="1:27" x14ac:dyDescent="0.25">
      <c r="A7" s="19" t="s">
        <v>1048</v>
      </c>
      <c r="B7" s="24"/>
      <c r="C7" s="15" t="str">
        <f>scen_input_bau!C7</f>
        <v>Baseline</v>
      </c>
      <c r="D7" s="47">
        <f>SUM(scen_input_bau!D4:D6)/SUM(scen_input_bau!$D4:$D6)</f>
        <v>1</v>
      </c>
      <c r="E7" s="47">
        <f>SUM(scen_input_bau!E4:E6)/SUM(scen_input_bau!$D4:$D6)</f>
        <v>1</v>
      </c>
      <c r="F7" s="47">
        <f>SUM(scen_input_bau!F4:F6)/SUM(scen_input_bau!$D4:$D6)</f>
        <v>1</v>
      </c>
      <c r="G7" s="47">
        <f>SUM(scen_input_bau!G4:G6)/SUM(scen_input_bau!$D4:$D6)</f>
        <v>1.0414201183431953</v>
      </c>
      <c r="H7" s="47">
        <f>SUM(scen_input_bau!H4:H6)/SUM(scen_input_bau!$D4:$D6)</f>
        <v>1.0828402366863905</v>
      </c>
      <c r="I7" s="47">
        <f>SUM(scen_input_bau!I4:I6)/SUM(scen_input_bau!$D4:$D6)</f>
        <v>1.1242603550295858</v>
      </c>
      <c r="J7" s="47">
        <f>SUM(scen_input_bau!J4:J6)/SUM(scen_input_bau!$D4:$D6)</f>
        <v>1.1331360946745561</v>
      </c>
      <c r="K7" s="47">
        <f>SUM(scen_input_bau!K4:K6)/SUM(scen_input_bau!$D4:$D6)</f>
        <v>1.1420118343195267</v>
      </c>
      <c r="L7" s="47">
        <f>SUM(L4:L6)</f>
        <v>1</v>
      </c>
      <c r="M7" s="47">
        <f t="shared" ref="M7" si="2">SUM(M4:M6)</f>
        <v>1</v>
      </c>
      <c r="N7" s="47">
        <f t="shared" ref="N7" si="3">SUM(N4:N6)</f>
        <v>1</v>
      </c>
      <c r="O7" s="47">
        <f t="shared" ref="O7" si="4">SUM(O4:O6)</f>
        <v>1.0845558628899548</v>
      </c>
      <c r="P7" s="47">
        <f t="shared" ref="P7" si="5">SUM(P4:P6)</f>
        <v>1.1725429781870382</v>
      </c>
      <c r="Q7" s="47">
        <f t="shared" ref="Q7" si="6">SUM(Q4:Q6)</f>
        <v>1.2639613458912502</v>
      </c>
      <c r="R7" s="47">
        <f t="shared" ref="R7" si="7">SUM(R4:R6)</f>
        <v>1.2839974090543047</v>
      </c>
      <c r="S7" s="47">
        <f t="shared" ref="S7" si="8">SUM(S4:S6)</f>
        <v>1.3041910297258501</v>
      </c>
      <c r="T7" s="47">
        <f>L7/$L7</f>
        <v>1</v>
      </c>
      <c r="U7" s="47">
        <f t="shared" ref="U7:AA7" si="9">M7/$L7</f>
        <v>1</v>
      </c>
      <c r="V7" s="47">
        <f t="shared" si="9"/>
        <v>1</v>
      </c>
      <c r="W7" s="47">
        <f t="shared" si="9"/>
        <v>1.0845558628899548</v>
      </c>
      <c r="X7" s="47">
        <f t="shared" si="9"/>
        <v>1.1725429781870382</v>
      </c>
      <c r="Y7" s="47">
        <f t="shared" si="9"/>
        <v>1.2639613458912502</v>
      </c>
      <c r="Z7" s="47">
        <f t="shared" si="9"/>
        <v>1.2839974090543047</v>
      </c>
      <c r="AA7" s="47">
        <f t="shared" si="9"/>
        <v>1.3041910297258501</v>
      </c>
    </row>
    <row r="8" spans="1:27" x14ac:dyDescent="0.25">
      <c r="A8" s="15" t="s">
        <v>1040</v>
      </c>
      <c r="B8" s="2" t="s">
        <v>166</v>
      </c>
      <c r="C8" s="15" t="str">
        <f>scen_input_bau!C8</f>
        <v>BAU (fixed proportions from the initial state)</v>
      </c>
      <c r="D8" s="116">
        <f>scen_input_bau!D8/SUM(scen_input_bau!$D$8)</f>
        <v>1</v>
      </c>
      <c r="E8" s="116">
        <f>scen_input_bau!E8/SUM(scen_input_bau!$D$8)</f>
        <v>1</v>
      </c>
      <c r="F8" s="116">
        <f>scen_input_bau!F8/SUM(scen_input_bau!$D$8)</f>
        <v>1</v>
      </c>
      <c r="G8" s="116">
        <f>scen_input_bau!G8/SUM(scen_input_bau!$D$8)</f>
        <v>1.0414201183431953</v>
      </c>
      <c r="H8" s="116">
        <f>scen_input_bau!H8/SUM(scen_input_bau!$D$8)</f>
        <v>1.0828402366863905</v>
      </c>
      <c r="I8" s="116">
        <f>scen_input_bau!I8/SUM(scen_input_bau!$D$8)</f>
        <v>1.1242603550295858</v>
      </c>
      <c r="J8" s="116">
        <f>scen_input_bau!J8/SUM(scen_input_bau!$D$8)</f>
        <v>1.1331360946745561</v>
      </c>
      <c r="K8" s="116">
        <f>scen_input_bau!K8/SUM(scen_input_bau!$D$8)</f>
        <v>1.1420118343195267</v>
      </c>
      <c r="L8" s="116">
        <f>D8*cost_projections!C7*D$9</f>
        <v>1</v>
      </c>
      <c r="M8" s="116">
        <f>E8*cost_projections!D7*E$9</f>
        <v>1</v>
      </c>
      <c r="N8" s="116">
        <f>F8*cost_projections!E7*F$9</f>
        <v>1</v>
      </c>
      <c r="O8" s="116">
        <f>G8*cost_projections!F7*G$9</f>
        <v>1.0845558628899548</v>
      </c>
      <c r="P8" s="116">
        <f>H8*cost_projections!G7*H$9</f>
        <v>1.1725429781870382</v>
      </c>
      <c r="Q8" s="116">
        <f>I8*cost_projections!H7*I$9</f>
        <v>1.2639613458912502</v>
      </c>
      <c r="R8" s="116">
        <f>J8*cost_projections!I7*J$9</f>
        <v>1.2839974090543047</v>
      </c>
      <c r="S8" s="116">
        <f>K8*cost_projections!J7*K$9</f>
        <v>1.3041910297258501</v>
      </c>
      <c r="T8" s="116">
        <f>L8/L$9*T$9</f>
        <v>1</v>
      </c>
      <c r="U8" s="116">
        <f t="shared" ref="U8:AA8" si="10">M8/M$9*U$9</f>
        <v>1</v>
      </c>
      <c r="V8" s="116">
        <f t="shared" si="10"/>
        <v>1</v>
      </c>
      <c r="W8" s="116">
        <f t="shared" si="10"/>
        <v>1.0845558628899548</v>
      </c>
      <c r="X8" s="116">
        <f t="shared" si="10"/>
        <v>1.1725429781870382</v>
      </c>
      <c r="Y8" s="116">
        <f t="shared" si="10"/>
        <v>1.2639613458912502</v>
      </c>
      <c r="Z8" s="116">
        <f t="shared" si="10"/>
        <v>1.2839974090543047</v>
      </c>
      <c r="AA8" s="116">
        <f t="shared" si="10"/>
        <v>1.3041910297258501</v>
      </c>
    </row>
    <row r="9" spans="1:27" x14ac:dyDescent="0.25">
      <c r="A9" s="19" t="s">
        <v>1048</v>
      </c>
      <c r="B9" s="19"/>
      <c r="C9" s="15" t="str">
        <f>scen_input_bau!C9</f>
        <v>Baseline</v>
      </c>
      <c r="D9" s="47">
        <f>SUM(scen_input_bau!D8)/SUM(scen_input_bau!$D8)</f>
        <v>1</v>
      </c>
      <c r="E9" s="47">
        <f>SUM(scen_input_bau!E8)/SUM(scen_input_bau!$D8)</f>
        <v>1</v>
      </c>
      <c r="F9" s="47">
        <f>SUM(scen_input_bau!F8)/SUM(scen_input_bau!$D8)</f>
        <v>1</v>
      </c>
      <c r="G9" s="47">
        <f>SUM(scen_input_bau!G8)/SUM(scen_input_bau!$D8)</f>
        <v>1.0414201183431953</v>
      </c>
      <c r="H9" s="47">
        <f>SUM(scen_input_bau!H8)/SUM(scen_input_bau!$D8)</f>
        <v>1.0828402366863905</v>
      </c>
      <c r="I9" s="47">
        <f>SUM(scen_input_bau!I8)/SUM(scen_input_bau!$D8)</f>
        <v>1.1242603550295858</v>
      </c>
      <c r="J9" s="47">
        <f>SUM(scen_input_bau!J8)/SUM(scen_input_bau!$D8)</f>
        <v>1.1331360946745561</v>
      </c>
      <c r="K9" s="47">
        <f>SUM(scen_input_bau!K8)/SUM(scen_input_bau!$D8)</f>
        <v>1.1420118343195267</v>
      </c>
      <c r="L9" s="47">
        <f>SUM(L8)</f>
        <v>1</v>
      </c>
      <c r="M9" s="47">
        <f t="shared" ref="M9" si="11">SUM(M8)</f>
        <v>1</v>
      </c>
      <c r="N9" s="47">
        <f t="shared" ref="N9" si="12">SUM(N8)</f>
        <v>1</v>
      </c>
      <c r="O9" s="47">
        <f t="shared" ref="O9" si="13">SUM(O8)</f>
        <v>1.0845558628899548</v>
      </c>
      <c r="P9" s="47">
        <f t="shared" ref="P9" si="14">SUM(P8)</f>
        <v>1.1725429781870382</v>
      </c>
      <c r="Q9" s="47">
        <f t="shared" ref="Q9" si="15">SUM(Q8)</f>
        <v>1.2639613458912502</v>
      </c>
      <c r="R9" s="47">
        <f t="shared" ref="R9" si="16">SUM(R8)</f>
        <v>1.2839974090543047</v>
      </c>
      <c r="S9" s="47">
        <f t="shared" ref="S9" si="17">SUM(S8)</f>
        <v>1.3041910297258501</v>
      </c>
      <c r="T9" s="47">
        <f>L9/$L9</f>
        <v>1</v>
      </c>
      <c r="U9" s="47">
        <f t="shared" ref="U9:AA9" si="18">M9/$L9</f>
        <v>1</v>
      </c>
      <c r="V9" s="47">
        <f t="shared" si="18"/>
        <v>1</v>
      </c>
      <c r="W9" s="47">
        <f t="shared" si="18"/>
        <v>1.0845558628899548</v>
      </c>
      <c r="X9" s="47">
        <f t="shared" si="18"/>
        <v>1.1725429781870382</v>
      </c>
      <c r="Y9" s="47">
        <f t="shared" si="18"/>
        <v>1.2639613458912502</v>
      </c>
      <c r="Z9" s="47">
        <f t="shared" si="18"/>
        <v>1.2839974090543047</v>
      </c>
      <c r="AA9" s="47">
        <f t="shared" si="18"/>
        <v>1.3041910297258501</v>
      </c>
    </row>
    <row r="10" spans="1:27" x14ac:dyDescent="0.25">
      <c r="A10" s="373" t="s">
        <v>917</v>
      </c>
      <c r="B10" s="373"/>
      <c r="C10" s="297"/>
      <c r="D10" s="422" t="s">
        <v>1164</v>
      </c>
      <c r="E10" s="422" t="s">
        <v>1165</v>
      </c>
      <c r="F10" s="422" t="s">
        <v>1166</v>
      </c>
      <c r="G10" s="422" t="s">
        <v>1167</v>
      </c>
      <c r="H10" s="422" t="s">
        <v>1168</v>
      </c>
      <c r="I10" s="422" t="s">
        <v>1169</v>
      </c>
      <c r="J10" s="422" t="s">
        <v>1170</v>
      </c>
      <c r="K10" s="422" t="s">
        <v>1171</v>
      </c>
      <c r="L10" s="176" t="s">
        <v>1121</v>
      </c>
      <c r="M10" s="176" t="s">
        <v>1122</v>
      </c>
      <c r="N10" s="176" t="s">
        <v>1123</v>
      </c>
      <c r="O10" s="176" t="s">
        <v>1124</v>
      </c>
      <c r="P10" s="176" t="s">
        <v>1125</v>
      </c>
      <c r="Q10" s="176" t="s">
        <v>1126</v>
      </c>
      <c r="R10" s="176" t="s">
        <v>1127</v>
      </c>
      <c r="S10" s="176" t="s">
        <v>1128</v>
      </c>
      <c r="T10" s="428" t="s">
        <v>1137</v>
      </c>
      <c r="U10" s="428" t="s">
        <v>1138</v>
      </c>
      <c r="V10" s="428" t="s">
        <v>1139</v>
      </c>
      <c r="W10" s="428" t="s">
        <v>1140</v>
      </c>
      <c r="X10" s="428" t="s">
        <v>1141</v>
      </c>
      <c r="Y10" s="428" t="s">
        <v>1142</v>
      </c>
      <c r="Z10" s="428" t="s">
        <v>1143</v>
      </c>
      <c r="AA10" s="428" t="s">
        <v>1144</v>
      </c>
    </row>
    <row r="11" spans="1:27" x14ac:dyDescent="0.25">
      <c r="A11" s="15" t="s">
        <v>1041</v>
      </c>
      <c r="B11" s="2" t="s">
        <v>735</v>
      </c>
      <c r="C11" s="15" t="str">
        <f>scen_input_bau!C11</f>
        <v>BAU (fixed proportions from the initial state)</v>
      </c>
      <c r="D11" s="116">
        <f>scen_input_bau!D11/SUM(scen_input_bau!$D$11:$D$13)</f>
        <v>1</v>
      </c>
      <c r="E11" s="116">
        <f>scen_input_bau!E11/SUM(scen_input_bau!$D$11:$D$13)</f>
        <v>1.0145423438836612</v>
      </c>
      <c r="F11" s="116">
        <f>scen_input_bau!F11/SUM(scen_input_bau!$D$11:$D$13)</f>
        <v>1.0290846877673225</v>
      </c>
      <c r="G11" s="116">
        <f>scen_input_bau!G11/SUM(scen_input_bau!$D$11:$D$13)</f>
        <v>1.0436270316509837</v>
      </c>
      <c r="H11" s="116">
        <f>scen_input_bau!H11/SUM(scen_input_bau!$D$11:$D$13)</f>
        <v>1.0581693755346451</v>
      </c>
      <c r="I11" s="116">
        <f>scen_input_bau!I11/SUM(scen_input_bau!$D$11:$D$13)</f>
        <v>1.0727117194183062</v>
      </c>
      <c r="J11" s="116">
        <f>scen_input_bau!J11/SUM(scen_input_bau!$D$11:$D$13)</f>
        <v>1.0872540633019676</v>
      </c>
      <c r="K11" s="116">
        <f>scen_input_bau!K11/SUM(scen_input_bau!$D$11:$D$13)</f>
        <v>1.1017964071856288</v>
      </c>
      <c r="L11" s="116">
        <f>D11*cost_projections!C9*D$14</f>
        <v>1</v>
      </c>
      <c r="M11" s="116">
        <f>E11*cost_projections!D9*E$14</f>
        <v>1.0292961675329531</v>
      </c>
      <c r="N11" s="116">
        <f>F11*cost_projections!E9*F$14</f>
        <v>1.0590152945971678</v>
      </c>
      <c r="O11" s="116">
        <f>G11*cost_projections!F9*G$14</f>
        <v>1.0891573811926434</v>
      </c>
      <c r="P11" s="116">
        <f>H11*cost_projections!G9*H$14</f>
        <v>1.1197224273193807</v>
      </c>
      <c r="Q11" s="116">
        <f>I11*cost_projections!H9*I$14</f>
        <v>1.150710432977379</v>
      </c>
      <c r="R11" s="116">
        <f>J11*cost_projections!I9*J$14</f>
        <v>1.182121398166639</v>
      </c>
      <c r="S11" s="116">
        <f>K11*cost_projections!J9*K$14</f>
        <v>1.2139553228871598</v>
      </c>
      <c r="T11" s="116">
        <f>L11/L$14*T$14</f>
        <v>1</v>
      </c>
      <c r="U11" s="116">
        <f t="shared" ref="U11:AA11" si="19">M11/M$14*U$14</f>
        <v>1.0292961675329531</v>
      </c>
      <c r="V11" s="116">
        <f t="shared" si="19"/>
        <v>1.0590152945971678</v>
      </c>
      <c r="W11" s="116">
        <f t="shared" si="19"/>
        <v>1.0891573811926434</v>
      </c>
      <c r="X11" s="116">
        <f t="shared" si="19"/>
        <v>1.1197224273193807</v>
      </c>
      <c r="Y11" s="116">
        <f t="shared" si="19"/>
        <v>1.150710432977379</v>
      </c>
      <c r="Z11" s="116">
        <f t="shared" si="19"/>
        <v>1.182121398166639</v>
      </c>
      <c r="AA11" s="116">
        <f t="shared" si="19"/>
        <v>1.2139553228871598</v>
      </c>
    </row>
    <row r="12" spans="1:27" x14ac:dyDescent="0.25">
      <c r="A12" s="15" t="s">
        <v>1042</v>
      </c>
      <c r="B12" s="2" t="s">
        <v>736</v>
      </c>
      <c r="C12" s="15" t="str">
        <f>scen_input_bau!C12</f>
        <v>BAU (fixed proportions from the initial state)</v>
      </c>
      <c r="D12" s="116">
        <f>scen_input_bau!D12/SUM(scen_input_bau!$D$11:$D$13)</f>
        <v>0</v>
      </c>
      <c r="E12" s="116">
        <f>scen_input_bau!E12/SUM(scen_input_bau!$D$11:$D$13)</f>
        <v>0</v>
      </c>
      <c r="F12" s="116">
        <f>scen_input_bau!F12/SUM(scen_input_bau!$D$11:$D$13)</f>
        <v>0</v>
      </c>
      <c r="G12" s="116">
        <f>scen_input_bau!G12/SUM(scen_input_bau!$D$11:$D$13)</f>
        <v>0</v>
      </c>
      <c r="H12" s="116">
        <f>scen_input_bau!H12/SUM(scen_input_bau!$D$11:$D$13)</f>
        <v>0</v>
      </c>
      <c r="I12" s="116">
        <f>scen_input_bau!I12/SUM(scen_input_bau!$D$11:$D$13)</f>
        <v>0</v>
      </c>
      <c r="J12" s="116">
        <f>scen_input_bau!J12/SUM(scen_input_bau!$D$11:$D$13)</f>
        <v>0</v>
      </c>
      <c r="K12" s="116">
        <f>scen_input_bau!K12/SUM(scen_input_bau!$D$11:$D$13)</f>
        <v>0</v>
      </c>
      <c r="L12" s="116">
        <f>D12*cost_projections!C10*D$14</f>
        <v>0</v>
      </c>
      <c r="M12" s="116">
        <f>E12*cost_projections!D10*E$14</f>
        <v>0</v>
      </c>
      <c r="N12" s="116">
        <f>F12*cost_projections!E10*F$14</f>
        <v>0</v>
      </c>
      <c r="O12" s="116">
        <f>G12*cost_projections!F10*G$14</f>
        <v>0</v>
      </c>
      <c r="P12" s="116">
        <f>H12*cost_projections!G10*H$14</f>
        <v>0</v>
      </c>
      <c r="Q12" s="116">
        <f>I12*cost_projections!H10*I$14</f>
        <v>0</v>
      </c>
      <c r="R12" s="116">
        <f>J12*cost_projections!I10*J$14</f>
        <v>0</v>
      </c>
      <c r="S12" s="116">
        <f>K12*cost_projections!J10*K$14</f>
        <v>0</v>
      </c>
      <c r="T12" s="116">
        <f t="shared" ref="T12:T13" si="20">L12/L$14*D$14</f>
        <v>0</v>
      </c>
      <c r="U12" s="116">
        <f t="shared" ref="U12:U13" si="21">M12/M$14*E$14</f>
        <v>0</v>
      </c>
      <c r="V12" s="116">
        <f t="shared" ref="V12:V13" si="22">N12/N$14*F$14</f>
        <v>0</v>
      </c>
      <c r="W12" s="116">
        <f t="shared" ref="W12:W13" si="23">O12/O$14*G$14</f>
        <v>0</v>
      </c>
      <c r="X12" s="116">
        <f t="shared" ref="X12:X13" si="24">P12/P$14*H$14</f>
        <v>0</v>
      </c>
      <c r="Y12" s="116">
        <f t="shared" ref="Y12:Y13" si="25">Q12/Q$14*I$14</f>
        <v>0</v>
      </c>
      <c r="Z12" s="116">
        <f t="shared" ref="Z12:Z13" si="26">R12/R$14*J$14</f>
        <v>0</v>
      </c>
      <c r="AA12" s="116">
        <f t="shared" ref="AA12:AA13" si="27">S12/S$14*K$14</f>
        <v>0</v>
      </c>
    </row>
    <row r="13" spans="1:27" x14ac:dyDescent="0.25">
      <c r="A13" s="15" t="s">
        <v>1043</v>
      </c>
      <c r="B13" s="2" t="s">
        <v>744</v>
      </c>
      <c r="C13" s="15" t="str">
        <f>scen_input_bau!C13</f>
        <v>BAU (fixed proportions from the initial state)</v>
      </c>
      <c r="D13" s="116">
        <f>scen_input_bau!D13/SUM(scen_input_bau!$D$11:$D$13)</f>
        <v>0</v>
      </c>
      <c r="E13" s="116">
        <f>scen_input_bau!E13/SUM(scen_input_bau!$D$11:$D$13)</f>
        <v>0</v>
      </c>
      <c r="F13" s="116">
        <f>scen_input_bau!F13/SUM(scen_input_bau!$D$11:$D$13)</f>
        <v>0</v>
      </c>
      <c r="G13" s="116">
        <f>scen_input_bau!G13/SUM(scen_input_bau!$D$11:$D$13)</f>
        <v>0</v>
      </c>
      <c r="H13" s="116">
        <f>scen_input_bau!H13/SUM(scen_input_bau!$D$11:$D$13)</f>
        <v>0</v>
      </c>
      <c r="I13" s="116">
        <f>scen_input_bau!I13/SUM(scen_input_bau!$D$11:$D$13)</f>
        <v>0</v>
      </c>
      <c r="J13" s="116">
        <f>scen_input_bau!J13/SUM(scen_input_bau!$D$11:$D$13)</f>
        <v>0</v>
      </c>
      <c r="K13" s="116">
        <f>scen_input_bau!K13/SUM(scen_input_bau!$D$11:$D$13)</f>
        <v>0</v>
      </c>
      <c r="L13" s="116">
        <f>D13*cost_projections!C11*D$14</f>
        <v>0</v>
      </c>
      <c r="M13" s="116">
        <f>E13*cost_projections!D11*E$14</f>
        <v>0</v>
      </c>
      <c r="N13" s="116">
        <f>F13*cost_projections!E11*F$14</f>
        <v>0</v>
      </c>
      <c r="O13" s="116">
        <f>G13*cost_projections!F11*G$14</f>
        <v>0</v>
      </c>
      <c r="P13" s="116">
        <f>H13*cost_projections!G11*H$14</f>
        <v>0</v>
      </c>
      <c r="Q13" s="116">
        <f>I13*cost_projections!H11*I$14</f>
        <v>0</v>
      </c>
      <c r="R13" s="116">
        <f>J13*cost_projections!I11*J$14</f>
        <v>0</v>
      </c>
      <c r="S13" s="116">
        <f>K13*cost_projections!J11*K$14</f>
        <v>0</v>
      </c>
      <c r="T13" s="116">
        <f t="shared" si="20"/>
        <v>0</v>
      </c>
      <c r="U13" s="116">
        <f t="shared" si="21"/>
        <v>0</v>
      </c>
      <c r="V13" s="116">
        <f t="shared" si="22"/>
        <v>0</v>
      </c>
      <c r="W13" s="116">
        <f t="shared" si="23"/>
        <v>0</v>
      </c>
      <c r="X13" s="116">
        <f t="shared" si="24"/>
        <v>0</v>
      </c>
      <c r="Y13" s="116">
        <f t="shared" si="25"/>
        <v>0</v>
      </c>
      <c r="Z13" s="116">
        <f t="shared" si="26"/>
        <v>0</v>
      </c>
      <c r="AA13" s="116">
        <f t="shared" si="27"/>
        <v>0</v>
      </c>
    </row>
    <row r="14" spans="1:27" x14ac:dyDescent="0.25">
      <c r="A14" s="19" t="s">
        <v>1048</v>
      </c>
      <c r="B14" s="24"/>
      <c r="C14" s="15" t="str">
        <f>scen_input_bau!C14</f>
        <v>Baseline</v>
      </c>
      <c r="D14" s="47">
        <f>SUM(scen_input_bau!D11:D13)/SUM(scen_input_bau!$D11:$D13)</f>
        <v>1</v>
      </c>
      <c r="E14" s="47">
        <f>SUM(scen_input_bau!E11:E13)/SUM(scen_input_bau!$D11:$D13)</f>
        <v>1.0145423438836612</v>
      </c>
      <c r="F14" s="47">
        <f>SUM(scen_input_bau!F11:F13)/SUM(scen_input_bau!$D11:$D13)</f>
        <v>1.0290846877673225</v>
      </c>
      <c r="G14" s="47">
        <f>SUM(scen_input_bau!G11:G13)/SUM(scen_input_bau!$D11:$D13)</f>
        <v>1.0436270316509837</v>
      </c>
      <c r="H14" s="47">
        <f>SUM(scen_input_bau!H11:H13)/SUM(scen_input_bau!$D11:$D13)</f>
        <v>1.0581693755346451</v>
      </c>
      <c r="I14" s="47">
        <f>SUM(scen_input_bau!I11:I13)/SUM(scen_input_bau!$D11:$D13)</f>
        <v>1.0727117194183062</v>
      </c>
      <c r="J14" s="47">
        <f>SUM(scen_input_bau!J11:J13)/SUM(scen_input_bau!$D11:$D13)</f>
        <v>1.0872540633019676</v>
      </c>
      <c r="K14" s="47">
        <f>SUM(scen_input_bau!K11:K13)/SUM(scen_input_bau!$D11:$D13)</f>
        <v>1.1017964071856288</v>
      </c>
      <c r="L14" s="47">
        <f>SUM(L11:L13)</f>
        <v>1</v>
      </c>
      <c r="M14" s="47">
        <f t="shared" ref="M14" si="28">SUM(M11:M13)</f>
        <v>1.0292961675329531</v>
      </c>
      <c r="N14" s="47">
        <f t="shared" ref="N14" si="29">SUM(N11:N13)</f>
        <v>1.0590152945971678</v>
      </c>
      <c r="O14" s="47">
        <f t="shared" ref="O14" si="30">SUM(O11:O13)</f>
        <v>1.0891573811926434</v>
      </c>
      <c r="P14" s="47">
        <f t="shared" ref="P14" si="31">SUM(P11:P13)</f>
        <v>1.1197224273193807</v>
      </c>
      <c r="Q14" s="47">
        <f t="shared" ref="Q14" si="32">SUM(Q11:Q13)</f>
        <v>1.150710432977379</v>
      </c>
      <c r="R14" s="47">
        <f t="shared" ref="R14" si="33">SUM(R11:R13)</f>
        <v>1.182121398166639</v>
      </c>
      <c r="S14" s="47">
        <f t="shared" ref="S14" si="34">SUM(S11:S13)</f>
        <v>1.2139553228871598</v>
      </c>
      <c r="T14" s="47">
        <f>L14/$L14</f>
        <v>1</v>
      </c>
      <c r="U14" s="47">
        <f t="shared" ref="U14" si="35">M14/$L14</f>
        <v>1.0292961675329531</v>
      </c>
      <c r="V14" s="47">
        <f t="shared" ref="V14" si="36">N14/$L14</f>
        <v>1.0590152945971678</v>
      </c>
      <c r="W14" s="47">
        <f t="shared" ref="W14" si="37">O14/$L14</f>
        <v>1.0891573811926434</v>
      </c>
      <c r="X14" s="47">
        <f t="shared" ref="X14" si="38">P14/$L14</f>
        <v>1.1197224273193807</v>
      </c>
      <c r="Y14" s="47">
        <f t="shared" ref="Y14" si="39">Q14/$L14</f>
        <v>1.150710432977379</v>
      </c>
      <c r="Z14" s="47">
        <f t="shared" ref="Z14" si="40">R14/$L14</f>
        <v>1.182121398166639</v>
      </c>
      <c r="AA14" s="47">
        <f>S14/$L14</f>
        <v>1.2139553228871598</v>
      </c>
    </row>
    <row r="15" spans="1:27" x14ac:dyDescent="0.25">
      <c r="A15" s="15" t="s">
        <v>161</v>
      </c>
      <c r="B15" s="2" t="s">
        <v>160</v>
      </c>
      <c r="C15" s="15" t="str">
        <f>scen_input_bau!C15</f>
        <v>BAU (fixed proportions from the initial state)</v>
      </c>
      <c r="D15" s="116">
        <f>scen_input_bau!D15/SUM(scen_input_bau!$D$15)</f>
        <v>1</v>
      </c>
      <c r="E15" s="116">
        <f>scen_input_bau!E15/SUM(scen_input_bau!$D$15)</f>
        <v>1.0145423438836612</v>
      </c>
      <c r="F15" s="116">
        <f>scen_input_bau!F15/SUM(scen_input_bau!$D$15)</f>
        <v>1.0290846877673225</v>
      </c>
      <c r="G15" s="116">
        <f>scen_input_bau!G15/SUM(scen_input_bau!$D$15)</f>
        <v>1.0436270316509837</v>
      </c>
      <c r="H15" s="116">
        <f>scen_input_bau!H15/SUM(scen_input_bau!$D$15)</f>
        <v>1.0581693755346451</v>
      </c>
      <c r="I15" s="116">
        <f>scen_input_bau!I15/SUM(scen_input_bau!$D$15)</f>
        <v>1.0727117194183062</v>
      </c>
      <c r="J15" s="116">
        <f>scen_input_bau!J15/SUM(scen_input_bau!$D$15)</f>
        <v>1.0872540633019676</v>
      </c>
      <c r="K15" s="116">
        <f>scen_input_bau!K15/SUM(scen_input_bau!$D$15)</f>
        <v>1.1017964071856288</v>
      </c>
      <c r="L15" s="116">
        <f>D15*cost_projections!C12*D$16</f>
        <v>1</v>
      </c>
      <c r="M15" s="116">
        <f>E15*cost_projections!D12*E$16</f>
        <v>1.0292961675329531</v>
      </c>
      <c r="N15" s="116">
        <f>F15*cost_projections!E12*F$16</f>
        <v>1.0590152945971678</v>
      </c>
      <c r="O15" s="116">
        <f>G15*cost_projections!F12*G$16</f>
        <v>1.0891573811926434</v>
      </c>
      <c r="P15" s="116">
        <f>H15*cost_projections!G12*H$16</f>
        <v>1.1197224273193807</v>
      </c>
      <c r="Q15" s="116">
        <f>I15*cost_projections!H12*I$16</f>
        <v>1.150710432977379</v>
      </c>
      <c r="R15" s="116">
        <f>J15*cost_projections!I12*J$16</f>
        <v>1.182121398166639</v>
      </c>
      <c r="S15" s="116">
        <f>K15*cost_projections!J12*K$16</f>
        <v>1.2139553228871598</v>
      </c>
      <c r="T15" s="116">
        <f>L15/L$16*T$16</f>
        <v>1</v>
      </c>
      <c r="U15" s="116">
        <f t="shared" ref="U15:AA15" si="41">M15/M$16*U$16</f>
        <v>1.0292961675329531</v>
      </c>
      <c r="V15" s="116">
        <f t="shared" si="41"/>
        <v>1.0590152945971678</v>
      </c>
      <c r="W15" s="116">
        <f t="shared" si="41"/>
        <v>1.0891573811926434</v>
      </c>
      <c r="X15" s="116">
        <f t="shared" si="41"/>
        <v>1.1197224273193807</v>
      </c>
      <c r="Y15" s="116">
        <f t="shared" si="41"/>
        <v>1.150710432977379</v>
      </c>
      <c r="Z15" s="116">
        <f t="shared" si="41"/>
        <v>1.182121398166639</v>
      </c>
      <c r="AA15" s="116">
        <f t="shared" si="41"/>
        <v>1.2139553228871598</v>
      </c>
    </row>
    <row r="16" spans="1:27" x14ac:dyDescent="0.25">
      <c r="A16" s="19" t="s">
        <v>1048</v>
      </c>
      <c r="B16" s="19"/>
      <c r="C16" s="15" t="str">
        <f>scen_input_bau!C16</f>
        <v>Baseline</v>
      </c>
      <c r="D16" s="47">
        <f>SUM(scen_input_bau!D15)/SUM(scen_input_bau!$D15)</f>
        <v>1</v>
      </c>
      <c r="E16" s="47">
        <f>SUM(scen_input_bau!E15)/SUM(scen_input_bau!$D15)</f>
        <v>1.0145423438836612</v>
      </c>
      <c r="F16" s="47">
        <f>SUM(scen_input_bau!F15)/SUM(scen_input_bau!$D15)</f>
        <v>1.0290846877673225</v>
      </c>
      <c r="G16" s="47">
        <f>SUM(scen_input_bau!G15)/SUM(scen_input_bau!$D15)</f>
        <v>1.0436270316509837</v>
      </c>
      <c r="H16" s="47">
        <f>SUM(scen_input_bau!H15)/SUM(scen_input_bau!$D15)</f>
        <v>1.0581693755346451</v>
      </c>
      <c r="I16" s="47">
        <f>SUM(scen_input_bau!I15)/SUM(scen_input_bau!$D15)</f>
        <v>1.0727117194183062</v>
      </c>
      <c r="J16" s="47">
        <f>SUM(scen_input_bau!J15)/SUM(scen_input_bau!$D15)</f>
        <v>1.0872540633019676</v>
      </c>
      <c r="K16" s="47">
        <f>SUM(scen_input_bau!K15)/SUM(scen_input_bau!$D15)</f>
        <v>1.1017964071856288</v>
      </c>
      <c r="L16" s="47">
        <f>SUM(L15)</f>
        <v>1</v>
      </c>
      <c r="M16" s="47">
        <f t="shared" ref="M16" si="42">SUM(M15)</f>
        <v>1.0292961675329531</v>
      </c>
      <c r="N16" s="47">
        <f t="shared" ref="N16" si="43">SUM(N15)</f>
        <v>1.0590152945971678</v>
      </c>
      <c r="O16" s="47">
        <f t="shared" ref="O16" si="44">SUM(O15)</f>
        <v>1.0891573811926434</v>
      </c>
      <c r="P16" s="47">
        <f t="shared" ref="P16" si="45">SUM(P15)</f>
        <v>1.1197224273193807</v>
      </c>
      <c r="Q16" s="47">
        <f t="shared" ref="Q16" si="46">SUM(Q15)</f>
        <v>1.150710432977379</v>
      </c>
      <c r="R16" s="47">
        <f t="shared" ref="R16" si="47">SUM(R15)</f>
        <v>1.182121398166639</v>
      </c>
      <c r="S16" s="47">
        <f t="shared" ref="S16" si="48">SUM(S15)</f>
        <v>1.2139553228871598</v>
      </c>
      <c r="T16" s="47">
        <f>L16/$L16</f>
        <v>1</v>
      </c>
      <c r="U16" s="47">
        <f t="shared" ref="U16" si="49">M16/$L16</f>
        <v>1.0292961675329531</v>
      </c>
      <c r="V16" s="47">
        <f t="shared" ref="V16" si="50">N16/$L16</f>
        <v>1.0590152945971678</v>
      </c>
      <c r="W16" s="47">
        <f t="shared" ref="W16" si="51">O16/$L16</f>
        <v>1.0891573811926434</v>
      </c>
      <c r="X16" s="47">
        <f t="shared" ref="X16" si="52">P16/$L16</f>
        <v>1.1197224273193807</v>
      </c>
      <c r="Y16" s="47">
        <f t="shared" ref="Y16" si="53">Q16/$L16</f>
        <v>1.150710432977379</v>
      </c>
      <c r="Z16" s="47">
        <f t="shared" ref="Z16" si="54">R16/$L16</f>
        <v>1.182121398166639</v>
      </c>
      <c r="AA16" s="47">
        <f t="shared" ref="AA16" si="55">S16/$L16</f>
        <v>1.2139553228871598</v>
      </c>
    </row>
    <row r="17" spans="1:27" x14ac:dyDescent="0.25">
      <c r="A17" s="373" t="s">
        <v>1054</v>
      </c>
      <c r="B17" s="373"/>
      <c r="C17" s="297"/>
      <c r="D17" s="422" t="s">
        <v>1164</v>
      </c>
      <c r="E17" s="422" t="s">
        <v>1165</v>
      </c>
      <c r="F17" s="422" t="s">
        <v>1166</v>
      </c>
      <c r="G17" s="422" t="s">
        <v>1167</v>
      </c>
      <c r="H17" s="422" t="s">
        <v>1168</v>
      </c>
      <c r="I17" s="422" t="s">
        <v>1169</v>
      </c>
      <c r="J17" s="422" t="s">
        <v>1170</v>
      </c>
      <c r="K17" s="422" t="s">
        <v>1171</v>
      </c>
      <c r="L17" s="176" t="s">
        <v>1121</v>
      </c>
      <c r="M17" s="176" t="s">
        <v>1122</v>
      </c>
      <c r="N17" s="176" t="s">
        <v>1123</v>
      </c>
      <c r="O17" s="176" t="s">
        <v>1124</v>
      </c>
      <c r="P17" s="176" t="s">
        <v>1125</v>
      </c>
      <c r="Q17" s="176" t="s">
        <v>1126</v>
      </c>
      <c r="R17" s="176" t="s">
        <v>1127</v>
      </c>
      <c r="S17" s="176" t="s">
        <v>1128</v>
      </c>
      <c r="T17" s="428" t="s">
        <v>1137</v>
      </c>
      <c r="U17" s="428" t="s">
        <v>1138</v>
      </c>
      <c r="V17" s="428" t="s">
        <v>1139</v>
      </c>
      <c r="W17" s="428" t="s">
        <v>1140</v>
      </c>
      <c r="X17" s="428" t="s">
        <v>1141</v>
      </c>
      <c r="Y17" s="428" t="s">
        <v>1142</v>
      </c>
      <c r="Z17" s="428" t="s">
        <v>1143</v>
      </c>
      <c r="AA17" s="428" t="s">
        <v>1144</v>
      </c>
    </row>
    <row r="18" spans="1:27" x14ac:dyDescent="0.25">
      <c r="A18" s="15" t="s">
        <v>1044</v>
      </c>
      <c r="B18" s="2" t="s">
        <v>737</v>
      </c>
      <c r="C18" s="15" t="str">
        <f>scen_input_bau!C18</f>
        <v>BAU (fixed proportions from the initial state)</v>
      </c>
      <c r="D18" s="116">
        <f>scen_input_bau!D18/SUM(scen_input_bau!$D$18:$D$20)</f>
        <v>1</v>
      </c>
      <c r="E18" s="116">
        <f>scen_input_bau!E18/SUM(scen_input_bau!$D$18:$D$20)</f>
        <v>1.0178571428571428</v>
      </c>
      <c r="F18" s="116">
        <f>scen_input_bau!F18/SUM(scen_input_bau!$D$18:$D$20)</f>
        <v>1.0357142857142858</v>
      </c>
      <c r="G18" s="116">
        <f>scen_input_bau!G18/SUM(scen_input_bau!$D$18:$D$20)</f>
        <v>1.0535714285714286</v>
      </c>
      <c r="H18" s="116">
        <f>scen_input_bau!H18/SUM(scen_input_bau!$D$18:$D$20)</f>
        <v>1.0714285714285714</v>
      </c>
      <c r="I18" s="116">
        <f>scen_input_bau!I18/SUM(scen_input_bau!$D$18:$D$20)</f>
        <v>1.0892857142857142</v>
      </c>
      <c r="J18" s="116">
        <f>scen_input_bau!J18/SUM(scen_input_bau!$D$18:$D$20)</f>
        <v>1.1071428571428572</v>
      </c>
      <c r="K18" s="116">
        <f>scen_input_bau!K18/SUM(scen_input_bau!$D$18:$D$20)</f>
        <v>1.125</v>
      </c>
      <c r="L18" s="116">
        <f>D18*cost_projections!C14*D$21</f>
        <v>1</v>
      </c>
      <c r="M18" s="116">
        <f>E18*cost_projections!D14*E$21</f>
        <v>1.0360331632653059</v>
      </c>
      <c r="N18" s="116">
        <f>F18*cost_projections!E14*F$21</f>
        <v>1.0727040816326532</v>
      </c>
      <c r="O18" s="116">
        <f>G18*cost_projections!F14*G$21</f>
        <v>1.1100127551020409</v>
      </c>
      <c r="P18" s="116">
        <f>H18*cost_projections!G14*H$21</f>
        <v>1.1479591836734693</v>
      </c>
      <c r="Q18" s="116">
        <f>I18*cost_projections!H14*I$21</f>
        <v>1.1865433673469385</v>
      </c>
      <c r="R18" s="116">
        <f>J18*cost_projections!I14*J$21</f>
        <v>1.2257653061224492</v>
      </c>
      <c r="S18" s="116">
        <f>K18*cost_projections!J14*K$21</f>
        <v>1.265625</v>
      </c>
      <c r="T18" s="116">
        <f>L18/L$21*T$21</f>
        <v>1</v>
      </c>
      <c r="U18" s="116">
        <f t="shared" ref="U18:AA20" si="56">M18/M$21*E$21</f>
        <v>1.0178571428571428</v>
      </c>
      <c r="V18" s="116">
        <f t="shared" si="56"/>
        <v>1.0357142857142858</v>
      </c>
      <c r="W18" s="116">
        <f t="shared" si="56"/>
        <v>1.0535714285714286</v>
      </c>
      <c r="X18" s="116">
        <f t="shared" si="56"/>
        <v>1.0714285714285714</v>
      </c>
      <c r="Y18" s="116">
        <f t="shared" si="56"/>
        <v>1.0892857142857142</v>
      </c>
      <c r="Z18" s="116">
        <f t="shared" si="56"/>
        <v>1.1071428571428572</v>
      </c>
      <c r="AA18" s="116">
        <f t="shared" si="56"/>
        <v>1.125</v>
      </c>
    </row>
    <row r="19" spans="1:27" x14ac:dyDescent="0.25">
      <c r="A19" s="15" t="s">
        <v>1045</v>
      </c>
      <c r="B19" s="2" t="s">
        <v>738</v>
      </c>
      <c r="C19" s="15" t="str">
        <f>scen_input_bau!C19</f>
        <v>BAU (fixed proportions from the initial state)</v>
      </c>
      <c r="D19" s="116">
        <f>scen_input_bau!D19/SUM(scen_input_bau!$D$18:$D$20)</f>
        <v>0</v>
      </c>
      <c r="E19" s="116">
        <f>scen_input_bau!E19/SUM(scen_input_bau!$D$18:$D$20)</f>
        <v>0</v>
      </c>
      <c r="F19" s="116">
        <f>scen_input_bau!F19/SUM(scen_input_bau!$D$18:$D$20)</f>
        <v>0</v>
      </c>
      <c r="G19" s="116">
        <f>scen_input_bau!G19/SUM(scen_input_bau!$D$18:$D$20)</f>
        <v>0</v>
      </c>
      <c r="H19" s="116">
        <f>scen_input_bau!H19/SUM(scen_input_bau!$D$18:$D$20)</f>
        <v>0</v>
      </c>
      <c r="I19" s="116">
        <f>scen_input_bau!I19/SUM(scen_input_bau!$D$18:$D$20)</f>
        <v>0</v>
      </c>
      <c r="J19" s="116">
        <f>scen_input_bau!J19/SUM(scen_input_bau!$D$18:$D$20)</f>
        <v>0</v>
      </c>
      <c r="K19" s="116">
        <f>scen_input_bau!K19/SUM(scen_input_bau!$D$18:$D$20)</f>
        <v>0</v>
      </c>
      <c r="L19" s="116">
        <f>D19*cost_projections!C15*D$21</f>
        <v>0</v>
      </c>
      <c r="M19" s="116">
        <f>E19*cost_projections!D15*E$21</f>
        <v>0</v>
      </c>
      <c r="N19" s="116">
        <f>F19*cost_projections!E15*F$21</f>
        <v>0</v>
      </c>
      <c r="O19" s="116">
        <f>G19*cost_projections!F15*G$21</f>
        <v>0</v>
      </c>
      <c r="P19" s="116">
        <f>H19*cost_projections!G15*H$21</f>
        <v>0</v>
      </c>
      <c r="Q19" s="116">
        <f>I19*cost_projections!H15*I$21</f>
        <v>0</v>
      </c>
      <c r="R19" s="116">
        <f>J19*cost_projections!I15*J$21</f>
        <v>0</v>
      </c>
      <c r="S19" s="116">
        <f>K19*cost_projections!J15*K$21</f>
        <v>0</v>
      </c>
      <c r="T19" s="116">
        <f>L19/L$21*T$21</f>
        <v>0</v>
      </c>
      <c r="U19" s="116">
        <f t="shared" si="56"/>
        <v>0</v>
      </c>
      <c r="V19" s="116">
        <f t="shared" si="56"/>
        <v>0</v>
      </c>
      <c r="W19" s="116">
        <f t="shared" si="56"/>
        <v>0</v>
      </c>
      <c r="X19" s="116">
        <f t="shared" si="56"/>
        <v>0</v>
      </c>
      <c r="Y19" s="116">
        <f t="shared" si="56"/>
        <v>0</v>
      </c>
      <c r="Z19" s="116">
        <f t="shared" si="56"/>
        <v>0</v>
      </c>
      <c r="AA19" s="116">
        <f t="shared" si="56"/>
        <v>0</v>
      </c>
    </row>
    <row r="20" spans="1:27" x14ac:dyDescent="0.25">
      <c r="A20" s="15" t="s">
        <v>1046</v>
      </c>
      <c r="B20" s="2" t="s">
        <v>748</v>
      </c>
      <c r="C20" s="15" t="str">
        <f>scen_input_bau!C20</f>
        <v>BAU (fixed proportions from the initial state)</v>
      </c>
      <c r="D20" s="116">
        <f>scen_input_bau!D20/SUM(scen_input_bau!$D$18:$D$20)</f>
        <v>0</v>
      </c>
      <c r="E20" s="116">
        <f>scen_input_bau!E20/SUM(scen_input_bau!$D$18:$D$20)</f>
        <v>0</v>
      </c>
      <c r="F20" s="116">
        <f>scen_input_bau!F20/SUM(scen_input_bau!$D$18:$D$20)</f>
        <v>0</v>
      </c>
      <c r="G20" s="116">
        <f>scen_input_bau!G20/SUM(scen_input_bau!$D$18:$D$20)</f>
        <v>0</v>
      </c>
      <c r="H20" s="116">
        <f>scen_input_bau!H20/SUM(scen_input_bau!$D$18:$D$20)</f>
        <v>0</v>
      </c>
      <c r="I20" s="116">
        <f>scen_input_bau!I20/SUM(scen_input_bau!$D$18:$D$20)</f>
        <v>0</v>
      </c>
      <c r="J20" s="116">
        <f>scen_input_bau!J20/SUM(scen_input_bau!$D$18:$D$20)</f>
        <v>0</v>
      </c>
      <c r="K20" s="116">
        <f>scen_input_bau!K20/SUM(scen_input_bau!$D$18:$D$20)</f>
        <v>0</v>
      </c>
      <c r="L20" s="116">
        <f>D20*cost_projections!C16*D$21</f>
        <v>0</v>
      </c>
      <c r="M20" s="116">
        <f>E20*cost_projections!D16*E$21</f>
        <v>0</v>
      </c>
      <c r="N20" s="116">
        <f>F20*cost_projections!E16*F$21</f>
        <v>0</v>
      </c>
      <c r="O20" s="116">
        <f>G20*cost_projections!F16*G$21</f>
        <v>0</v>
      </c>
      <c r="P20" s="116">
        <f>H20*cost_projections!G16*H$21</f>
        <v>0</v>
      </c>
      <c r="Q20" s="116">
        <f>I20*cost_projections!H16*I$21</f>
        <v>0</v>
      </c>
      <c r="R20" s="116">
        <f>J20*cost_projections!I16*J$21</f>
        <v>0</v>
      </c>
      <c r="S20" s="116">
        <f>K20*cost_projections!J16*K$21</f>
        <v>0</v>
      </c>
      <c r="T20" s="116">
        <f>L20/L$21*T$21</f>
        <v>0</v>
      </c>
      <c r="U20" s="116">
        <f t="shared" si="56"/>
        <v>0</v>
      </c>
      <c r="V20" s="116">
        <f t="shared" si="56"/>
        <v>0</v>
      </c>
      <c r="W20" s="116">
        <f t="shared" si="56"/>
        <v>0</v>
      </c>
      <c r="X20" s="116">
        <f t="shared" si="56"/>
        <v>0</v>
      </c>
      <c r="Y20" s="116">
        <f t="shared" si="56"/>
        <v>0</v>
      </c>
      <c r="Z20" s="116">
        <f t="shared" si="56"/>
        <v>0</v>
      </c>
      <c r="AA20" s="116">
        <f t="shared" si="56"/>
        <v>0</v>
      </c>
    </row>
    <row r="21" spans="1:27" x14ac:dyDescent="0.25">
      <c r="A21" s="19" t="s">
        <v>1048</v>
      </c>
      <c r="B21" s="24"/>
      <c r="C21" s="15" t="str">
        <f>scen_input_bau!C21</f>
        <v>Baseline</v>
      </c>
      <c r="D21" s="47">
        <f>SUM(scen_input_bau!D18:D20)/SUM(scen_input_bau!$D18:$D20)</f>
        <v>1</v>
      </c>
      <c r="E21" s="47">
        <f>SUM(scen_input_bau!E18:E20)/SUM(scen_input_bau!$D18:$D20)</f>
        <v>1.0178571428571428</v>
      </c>
      <c r="F21" s="47">
        <f>SUM(scen_input_bau!F18:F20)/SUM(scen_input_bau!$D18:$D20)</f>
        <v>1.0357142857142858</v>
      </c>
      <c r="G21" s="47">
        <f>SUM(scen_input_bau!G18:G20)/SUM(scen_input_bau!$D18:$D20)</f>
        <v>1.0535714285714286</v>
      </c>
      <c r="H21" s="47">
        <f>SUM(scen_input_bau!H18:H20)/SUM(scen_input_bau!$D18:$D20)</f>
        <v>1.0714285714285714</v>
      </c>
      <c r="I21" s="47">
        <f>SUM(scen_input_bau!I18:I20)/SUM(scen_input_bau!$D18:$D20)</f>
        <v>1.0892857142857142</v>
      </c>
      <c r="J21" s="47">
        <f>SUM(scen_input_bau!J18:J20)/SUM(scen_input_bau!$D18:$D20)</f>
        <v>1.1071428571428572</v>
      </c>
      <c r="K21" s="47">
        <f>SUM(scen_input_bau!K18:K20)/SUM(scen_input_bau!$D18:$D20)</f>
        <v>1.125</v>
      </c>
      <c r="L21" s="47">
        <f>SUM(L18:L20)</f>
        <v>1</v>
      </c>
      <c r="M21" s="47">
        <f t="shared" ref="M21" si="57">SUM(M18:M20)</f>
        <v>1.0360331632653059</v>
      </c>
      <c r="N21" s="47">
        <f t="shared" ref="N21" si="58">SUM(N18:N20)</f>
        <v>1.0727040816326532</v>
      </c>
      <c r="O21" s="47">
        <f t="shared" ref="O21" si="59">SUM(O18:O20)</f>
        <v>1.1100127551020409</v>
      </c>
      <c r="P21" s="47">
        <f t="shared" ref="P21" si="60">SUM(P18:P20)</f>
        <v>1.1479591836734693</v>
      </c>
      <c r="Q21" s="47">
        <f t="shared" ref="Q21" si="61">SUM(Q18:Q20)</f>
        <v>1.1865433673469385</v>
      </c>
      <c r="R21" s="47">
        <f t="shared" ref="R21" si="62">SUM(R18:R20)</f>
        <v>1.2257653061224492</v>
      </c>
      <c r="S21" s="47">
        <f t="shared" ref="S21" si="63">SUM(S18:S20)</f>
        <v>1.265625</v>
      </c>
      <c r="T21" s="47">
        <f>L21/$L21</f>
        <v>1</v>
      </c>
      <c r="U21" s="47">
        <f t="shared" ref="U21" si="64">M21/$L21</f>
        <v>1.0360331632653059</v>
      </c>
      <c r="V21" s="47">
        <f t="shared" ref="V21" si="65">N21/$L21</f>
        <v>1.0727040816326532</v>
      </c>
      <c r="W21" s="47">
        <f t="shared" ref="W21" si="66">O21/$L21</f>
        <v>1.1100127551020409</v>
      </c>
      <c r="X21" s="47">
        <f t="shared" ref="X21" si="67">P21/$L21</f>
        <v>1.1479591836734693</v>
      </c>
      <c r="Y21" s="47">
        <f t="shared" ref="Y21" si="68">Q21/$L21</f>
        <v>1.1865433673469385</v>
      </c>
      <c r="Z21" s="47">
        <f t="shared" ref="Z21" si="69">R21/$L21</f>
        <v>1.2257653061224492</v>
      </c>
      <c r="AA21" s="47">
        <f t="shared" ref="AA21" si="70">S21/$L21</f>
        <v>1.265625</v>
      </c>
    </row>
    <row r="22" spans="1:27" x14ac:dyDescent="0.25">
      <c r="A22" s="15" t="s">
        <v>1047</v>
      </c>
      <c r="B22" s="2" t="s">
        <v>140</v>
      </c>
      <c r="C22" s="15" t="str">
        <f>scen_input_bau!C22</f>
        <v>BAU (fixed proportions from the initial state)</v>
      </c>
      <c r="D22" s="116">
        <f>scen_input_bau!D22/SUM(scen_input_bau!$D$22)</f>
        <v>1</v>
      </c>
      <c r="E22" s="116">
        <f>scen_input_bau!E22/SUM(scen_input_bau!$D$22)</f>
        <v>1.0178571428571428</v>
      </c>
      <c r="F22" s="116">
        <f>scen_input_bau!F22/SUM(scen_input_bau!$D$22)</f>
        <v>1.0357142857142858</v>
      </c>
      <c r="G22" s="116">
        <f>scen_input_bau!G22/SUM(scen_input_bau!$D$22)</f>
        <v>1.0535714285714286</v>
      </c>
      <c r="H22" s="116">
        <f>scen_input_bau!H22/SUM(scen_input_bau!$D$22)</f>
        <v>1.0714285714285714</v>
      </c>
      <c r="I22" s="116">
        <f>scen_input_bau!I22/SUM(scen_input_bau!$D$22)</f>
        <v>1.0892857142857142</v>
      </c>
      <c r="J22" s="116">
        <f>scen_input_bau!J22/SUM(scen_input_bau!$D$22)</f>
        <v>1.1071428571428572</v>
      </c>
      <c r="K22" s="116">
        <f>scen_input_bau!K22/SUM(scen_input_bau!$D$22)</f>
        <v>1.125</v>
      </c>
      <c r="L22" s="116">
        <f>D22*cost_projections!C17*D$23</f>
        <v>1</v>
      </c>
      <c r="M22" s="116">
        <f>E22*cost_projections!D17*E$23</f>
        <v>1.0360331632653059</v>
      </c>
      <c r="N22" s="116">
        <f>F22*cost_projections!E17*F$23</f>
        <v>1.0727040816326532</v>
      </c>
      <c r="O22" s="116">
        <f>G22*cost_projections!F17*G$23</f>
        <v>1.1100127551020409</v>
      </c>
      <c r="P22" s="116">
        <f>H22*cost_projections!G17*H$23</f>
        <v>1.1479591836734693</v>
      </c>
      <c r="Q22" s="116">
        <f>I22*cost_projections!H17*I$23</f>
        <v>1.1865433673469385</v>
      </c>
      <c r="R22" s="116">
        <f>J22*cost_projections!I17*J$23</f>
        <v>1.2257653061224492</v>
      </c>
      <c r="S22" s="116">
        <f>K22*cost_projections!J17*K$23</f>
        <v>1.265625</v>
      </c>
      <c r="T22" s="116">
        <f>L22/L$23*T$23</f>
        <v>1</v>
      </c>
      <c r="U22" s="116">
        <f t="shared" ref="U22:AA22" si="71">M22/M$23*E$23</f>
        <v>1.0178571428571428</v>
      </c>
      <c r="V22" s="116">
        <f t="shared" si="71"/>
        <v>1.0357142857142858</v>
      </c>
      <c r="W22" s="116">
        <f t="shared" si="71"/>
        <v>1.0535714285714286</v>
      </c>
      <c r="X22" s="116">
        <f t="shared" si="71"/>
        <v>1.0714285714285714</v>
      </c>
      <c r="Y22" s="116">
        <f t="shared" si="71"/>
        <v>1.0892857142857142</v>
      </c>
      <c r="Z22" s="116">
        <f t="shared" si="71"/>
        <v>1.1071428571428572</v>
      </c>
      <c r="AA22" s="116">
        <f t="shared" si="71"/>
        <v>1.125</v>
      </c>
    </row>
    <row r="23" spans="1:27" x14ac:dyDescent="0.25">
      <c r="A23" s="19" t="s">
        <v>1048</v>
      </c>
      <c r="B23" s="19"/>
      <c r="C23" s="15" t="str">
        <f>scen_input_bau!C23</f>
        <v>Baseline</v>
      </c>
      <c r="D23" s="47">
        <f>SUM(scen_input_bau!D22)/SUM(scen_input_bau!$D22)</f>
        <v>1</v>
      </c>
      <c r="E23" s="47">
        <f>SUM(scen_input_bau!E22)/SUM(scen_input_bau!$D22)</f>
        <v>1.0178571428571428</v>
      </c>
      <c r="F23" s="47">
        <f>SUM(scen_input_bau!F22)/SUM(scen_input_bau!$D22)</f>
        <v>1.0357142857142858</v>
      </c>
      <c r="G23" s="47">
        <f>SUM(scen_input_bau!G22)/SUM(scen_input_bau!$D22)</f>
        <v>1.0535714285714286</v>
      </c>
      <c r="H23" s="47">
        <f>SUM(scen_input_bau!H22)/SUM(scen_input_bau!$D22)</f>
        <v>1.0714285714285714</v>
      </c>
      <c r="I23" s="47">
        <f>SUM(scen_input_bau!I22)/SUM(scen_input_bau!$D22)</f>
        <v>1.0892857142857142</v>
      </c>
      <c r="J23" s="47">
        <f>SUM(scen_input_bau!J22)/SUM(scen_input_bau!$D22)</f>
        <v>1.1071428571428572</v>
      </c>
      <c r="K23" s="47">
        <f>SUM(scen_input_bau!K22)/SUM(scen_input_bau!$D22)</f>
        <v>1.125</v>
      </c>
      <c r="L23" s="47">
        <f>SUM(L22)</f>
        <v>1</v>
      </c>
      <c r="M23" s="47">
        <f t="shared" ref="M23:S23" si="72">SUM(M22)</f>
        <v>1.0360331632653059</v>
      </c>
      <c r="N23" s="47">
        <f t="shared" si="72"/>
        <v>1.0727040816326532</v>
      </c>
      <c r="O23" s="47">
        <f t="shared" si="72"/>
        <v>1.1100127551020409</v>
      </c>
      <c r="P23" s="47">
        <f t="shared" si="72"/>
        <v>1.1479591836734693</v>
      </c>
      <c r="Q23" s="47">
        <f t="shared" si="72"/>
        <v>1.1865433673469385</v>
      </c>
      <c r="R23" s="47">
        <f t="shared" si="72"/>
        <v>1.2257653061224492</v>
      </c>
      <c r="S23" s="47">
        <f t="shared" si="72"/>
        <v>1.265625</v>
      </c>
      <c r="T23" s="47">
        <f>L23/$L23</f>
        <v>1</v>
      </c>
      <c r="U23" s="47">
        <f t="shared" ref="U23" si="73">M23/$L23</f>
        <v>1.0360331632653059</v>
      </c>
      <c r="V23" s="47">
        <f t="shared" ref="V23" si="74">N23/$L23</f>
        <v>1.0727040816326532</v>
      </c>
      <c r="W23" s="47">
        <f t="shared" ref="W23" si="75">O23/$L23</f>
        <v>1.1100127551020409</v>
      </c>
      <c r="X23" s="47">
        <f t="shared" ref="X23" si="76">P23/$L23</f>
        <v>1.1479591836734693</v>
      </c>
      <c r="Y23" s="47">
        <f t="shared" ref="Y23" si="77">Q23/$L23</f>
        <v>1.1865433673469385</v>
      </c>
      <c r="Z23" s="47">
        <f t="shared" ref="Z23" si="78">R23/$L23</f>
        <v>1.2257653061224492</v>
      </c>
      <c r="AA23" s="47">
        <f t="shared" ref="AA23" si="79">S23/$L23</f>
        <v>1.265625</v>
      </c>
    </row>
    <row r="24" spans="1:27" x14ac:dyDescent="0.25">
      <c r="A24" s="373" t="s">
        <v>1055</v>
      </c>
      <c r="B24" s="373"/>
      <c r="C24" s="297"/>
      <c r="D24" s="422" t="s">
        <v>1164</v>
      </c>
      <c r="E24" s="422" t="s">
        <v>1165</v>
      </c>
      <c r="F24" s="422" t="s">
        <v>1166</v>
      </c>
      <c r="G24" s="422" t="s">
        <v>1167</v>
      </c>
      <c r="H24" s="422" t="s">
        <v>1168</v>
      </c>
      <c r="I24" s="422" t="s">
        <v>1169</v>
      </c>
      <c r="J24" s="422" t="s">
        <v>1170</v>
      </c>
      <c r="K24" s="422" t="s">
        <v>1171</v>
      </c>
      <c r="L24" s="176" t="s">
        <v>1121</v>
      </c>
      <c r="M24" s="176" t="s">
        <v>1122</v>
      </c>
      <c r="N24" s="176" t="s">
        <v>1123</v>
      </c>
      <c r="O24" s="176" t="s">
        <v>1124</v>
      </c>
      <c r="P24" s="176" t="s">
        <v>1125</v>
      </c>
      <c r="Q24" s="176" t="s">
        <v>1126</v>
      </c>
      <c r="R24" s="176" t="s">
        <v>1127</v>
      </c>
      <c r="S24" s="176" t="s">
        <v>1128</v>
      </c>
      <c r="T24" s="428" t="s">
        <v>1137</v>
      </c>
      <c r="U24" s="428" t="s">
        <v>1138</v>
      </c>
      <c r="V24" s="428" t="s">
        <v>1139</v>
      </c>
      <c r="W24" s="428" t="s">
        <v>1140</v>
      </c>
      <c r="X24" s="428" t="s">
        <v>1141</v>
      </c>
      <c r="Y24" s="428" t="s">
        <v>1142</v>
      </c>
      <c r="Z24" s="428" t="s">
        <v>1143</v>
      </c>
      <c r="AA24" s="428" t="s">
        <v>1144</v>
      </c>
    </row>
    <row r="25" spans="1:27" x14ac:dyDescent="0.25">
      <c r="A25" s="15" t="s">
        <v>1049</v>
      </c>
      <c r="B25" s="2" t="s">
        <v>739</v>
      </c>
      <c r="C25" s="15" t="str">
        <f>scen_input_bau!C25</f>
        <v>BAU (fixed proportions from the initial state)</v>
      </c>
      <c r="D25" s="116">
        <f>scen_input_bau!D25/SUM(scen_input_bau!$D$25:$D$27)</f>
        <v>1</v>
      </c>
      <c r="E25" s="116">
        <f>scen_input_bau!E25/SUM(scen_input_bau!$D$25:$D$27)</f>
        <v>0.96296296296296302</v>
      </c>
      <c r="F25" s="116">
        <f>scen_input_bau!F25/SUM(scen_input_bau!$D$25:$D$27)</f>
        <v>0.92592592592592593</v>
      </c>
      <c r="G25" s="116">
        <f>scen_input_bau!G25/SUM(scen_input_bau!$D$25:$D$27)</f>
        <v>0.88888888888888895</v>
      </c>
      <c r="H25" s="116">
        <f>scen_input_bau!H25/SUM(scen_input_bau!$D$25:$D$27)</f>
        <v>0.85185185185185186</v>
      </c>
      <c r="I25" s="116">
        <f>scen_input_bau!I25/SUM(scen_input_bau!$D$25:$D$27)</f>
        <v>0.81481481481481488</v>
      </c>
      <c r="J25" s="116">
        <f>scen_input_bau!J25/SUM(scen_input_bau!$D$25:$D$27)</f>
        <v>0.7777777777777779</v>
      </c>
      <c r="K25" s="116">
        <f>scen_input_bau!K25/SUM(scen_input_bau!$D$25:$D$27)</f>
        <v>0.74074074074074081</v>
      </c>
      <c r="L25" s="116">
        <f>D25*cost_projections!C19*D$28</f>
        <v>1</v>
      </c>
      <c r="M25" s="116">
        <f>E25*cost_projections!D19*E$28</f>
        <v>0.92729766803840885</v>
      </c>
      <c r="N25" s="116">
        <f>F25*cost_projections!E19*F$28</f>
        <v>0.85733882030178332</v>
      </c>
      <c r="O25" s="116">
        <f>G25*cost_projections!F19*G$28</f>
        <v>0.79012345679012352</v>
      </c>
      <c r="P25" s="116">
        <f>H25*cost_projections!G19*H$28</f>
        <v>0.72565157750342935</v>
      </c>
      <c r="Q25" s="116">
        <f>I25*cost_projections!H19*I$28</f>
        <v>0.66392318244170112</v>
      </c>
      <c r="R25" s="116">
        <f>J25*cost_projections!I19*J$28</f>
        <v>0.60493827160493852</v>
      </c>
      <c r="S25" s="116">
        <f>K25*cost_projections!J19*K$28</f>
        <v>0.54869684499314142</v>
      </c>
      <c r="T25" s="116">
        <f>L25/L$28*T$28</f>
        <v>1</v>
      </c>
      <c r="U25" s="116">
        <f t="shared" ref="U25:AA27" si="80">M25/M$28*E$28</f>
        <v>0.96296296296296302</v>
      </c>
      <c r="V25" s="116">
        <f t="shared" si="80"/>
        <v>0.92592592592592593</v>
      </c>
      <c r="W25" s="116">
        <f t="shared" si="80"/>
        <v>0.88888888888888895</v>
      </c>
      <c r="X25" s="116">
        <f t="shared" si="80"/>
        <v>0.85185185185185186</v>
      </c>
      <c r="Y25" s="116">
        <f t="shared" si="80"/>
        <v>0.81481481481481488</v>
      </c>
      <c r="Z25" s="116">
        <f t="shared" si="80"/>
        <v>0.7777777777777779</v>
      </c>
      <c r="AA25" s="116">
        <f t="shared" si="80"/>
        <v>0.74074074074074081</v>
      </c>
    </row>
    <row r="26" spans="1:27" x14ac:dyDescent="0.25">
      <c r="A26" s="15" t="s">
        <v>1050</v>
      </c>
      <c r="B26" s="2" t="s">
        <v>740</v>
      </c>
      <c r="C26" s="15" t="str">
        <f>scen_input_bau!C26</f>
        <v>BAU (fixed proportions from the initial state)</v>
      </c>
      <c r="D26" s="116">
        <f>scen_input_bau!D26/SUM(scen_input_bau!$D$25:$D$27)</f>
        <v>0</v>
      </c>
      <c r="E26" s="116">
        <f>scen_input_bau!E26/SUM(scen_input_bau!$D$25:$D$27)</f>
        <v>0</v>
      </c>
      <c r="F26" s="116">
        <f>scen_input_bau!F26/SUM(scen_input_bau!$D$25:$D$27)</f>
        <v>0</v>
      </c>
      <c r="G26" s="116">
        <f>scen_input_bau!G26/SUM(scen_input_bau!$D$25:$D$27)</f>
        <v>0</v>
      </c>
      <c r="H26" s="116">
        <f>scen_input_bau!H26/SUM(scen_input_bau!$D$25:$D$27)</f>
        <v>0</v>
      </c>
      <c r="I26" s="116">
        <f>scen_input_bau!I26/SUM(scen_input_bau!$D$25:$D$27)</f>
        <v>0</v>
      </c>
      <c r="J26" s="116">
        <f>scen_input_bau!J26/SUM(scen_input_bau!$D$25:$D$27)</f>
        <v>0</v>
      </c>
      <c r="K26" s="116">
        <f>scen_input_bau!K26/SUM(scen_input_bau!$D$25:$D$27)</f>
        <v>0</v>
      </c>
      <c r="L26" s="116">
        <f>D26*cost_projections!C20*D$28</f>
        <v>0</v>
      </c>
      <c r="M26" s="116">
        <f>E26*cost_projections!D20*E$28</f>
        <v>0</v>
      </c>
      <c r="N26" s="116">
        <f>F26*cost_projections!E20*F$28</f>
        <v>0</v>
      </c>
      <c r="O26" s="116">
        <f>G26*cost_projections!F20*G$28</f>
        <v>0</v>
      </c>
      <c r="P26" s="116">
        <f>H26*cost_projections!G20*H$28</f>
        <v>0</v>
      </c>
      <c r="Q26" s="116">
        <f>I26*cost_projections!H20*I$28</f>
        <v>0</v>
      </c>
      <c r="R26" s="116">
        <f>J26*cost_projections!I20*J$28</f>
        <v>0</v>
      </c>
      <c r="S26" s="116">
        <f>K26*cost_projections!J20*K$28</f>
        <v>0</v>
      </c>
      <c r="T26" s="116">
        <f>L26/L$28*T$28</f>
        <v>0</v>
      </c>
      <c r="U26" s="116">
        <f t="shared" si="80"/>
        <v>0</v>
      </c>
      <c r="V26" s="116">
        <f t="shared" si="80"/>
        <v>0</v>
      </c>
      <c r="W26" s="116">
        <f t="shared" si="80"/>
        <v>0</v>
      </c>
      <c r="X26" s="116">
        <f t="shared" si="80"/>
        <v>0</v>
      </c>
      <c r="Y26" s="116">
        <f t="shared" si="80"/>
        <v>0</v>
      </c>
      <c r="Z26" s="116">
        <f t="shared" si="80"/>
        <v>0</v>
      </c>
      <c r="AA26" s="116">
        <f t="shared" si="80"/>
        <v>0</v>
      </c>
    </row>
    <row r="27" spans="1:27" x14ac:dyDescent="0.25">
      <c r="A27" s="15" t="s">
        <v>1051</v>
      </c>
      <c r="B27" s="2" t="s">
        <v>926</v>
      </c>
      <c r="C27" s="15" t="str">
        <f>scen_input_bau!C27</f>
        <v>BAU (fixed proportions from the initial state)</v>
      </c>
      <c r="D27" s="116">
        <f>scen_input_bau!D27/SUM(scen_input_bau!$D$25:$D$27)</f>
        <v>0</v>
      </c>
      <c r="E27" s="116">
        <f>scen_input_bau!E27/SUM(scen_input_bau!$D$25:$D$27)</f>
        <v>0</v>
      </c>
      <c r="F27" s="116">
        <f>scen_input_bau!F27/SUM(scen_input_bau!$D$25:$D$27)</f>
        <v>0</v>
      </c>
      <c r="G27" s="116">
        <f>scen_input_bau!G27/SUM(scen_input_bau!$D$25:$D$27)</f>
        <v>0</v>
      </c>
      <c r="H27" s="116">
        <f>scen_input_bau!H27/SUM(scen_input_bau!$D$25:$D$27)</f>
        <v>0</v>
      </c>
      <c r="I27" s="116">
        <f>scen_input_bau!I27/SUM(scen_input_bau!$D$25:$D$27)</f>
        <v>0</v>
      </c>
      <c r="J27" s="116">
        <f>scen_input_bau!J27/SUM(scen_input_bau!$D$25:$D$27)</f>
        <v>0</v>
      </c>
      <c r="K27" s="116">
        <f>scen_input_bau!K27/SUM(scen_input_bau!$D$25:$D$27)</f>
        <v>0</v>
      </c>
      <c r="L27" s="116">
        <f>D27*cost_projections!C21*D$28</f>
        <v>0</v>
      </c>
      <c r="M27" s="116">
        <f>E27*cost_projections!D21*E$28</f>
        <v>0</v>
      </c>
      <c r="N27" s="116">
        <f>F27*cost_projections!E21*F$28</f>
        <v>0</v>
      </c>
      <c r="O27" s="116">
        <f>G27*cost_projections!F21*G$28</f>
        <v>0</v>
      </c>
      <c r="P27" s="116">
        <f>H27*cost_projections!G21*H$28</f>
        <v>0</v>
      </c>
      <c r="Q27" s="116">
        <f>I27*cost_projections!H21*I$28</f>
        <v>0</v>
      </c>
      <c r="R27" s="116">
        <f>J27*cost_projections!I21*J$28</f>
        <v>0</v>
      </c>
      <c r="S27" s="116">
        <f>K27*cost_projections!J21*K$28</f>
        <v>0</v>
      </c>
      <c r="T27" s="116">
        <f>L27/L$28*T$28</f>
        <v>0</v>
      </c>
      <c r="U27" s="116">
        <f t="shared" si="80"/>
        <v>0</v>
      </c>
      <c r="V27" s="116">
        <f t="shared" si="80"/>
        <v>0</v>
      </c>
      <c r="W27" s="116">
        <f t="shared" si="80"/>
        <v>0</v>
      </c>
      <c r="X27" s="116">
        <f t="shared" si="80"/>
        <v>0</v>
      </c>
      <c r="Y27" s="116">
        <f t="shared" si="80"/>
        <v>0</v>
      </c>
      <c r="Z27" s="116">
        <f t="shared" si="80"/>
        <v>0</v>
      </c>
      <c r="AA27" s="116">
        <f t="shared" si="80"/>
        <v>0</v>
      </c>
    </row>
    <row r="28" spans="1:27" x14ac:dyDescent="0.25">
      <c r="A28" s="19" t="s">
        <v>1048</v>
      </c>
      <c r="B28" s="19"/>
      <c r="C28" s="15" t="str">
        <f>scen_input_bau!C28</f>
        <v>Baseline</v>
      </c>
      <c r="D28" s="47">
        <f>SUM(scen_input_bau!D25:D27)/SUM(scen_input_bau!$D25:$D27)</f>
        <v>1</v>
      </c>
      <c r="E28" s="47">
        <f>SUM(scen_input_bau!E25:E27)/SUM(scen_input_bau!$D25:$D27)</f>
        <v>0.96296296296296302</v>
      </c>
      <c r="F28" s="47">
        <f>SUM(scen_input_bau!F25:F27)/SUM(scen_input_bau!$D25:$D27)</f>
        <v>0.92592592592592593</v>
      </c>
      <c r="G28" s="47">
        <f>SUM(scen_input_bau!G25:G27)/SUM(scen_input_bau!$D25:$D27)</f>
        <v>0.88888888888888895</v>
      </c>
      <c r="H28" s="47">
        <f>SUM(scen_input_bau!H25:H27)/SUM(scen_input_bau!$D25:$D27)</f>
        <v>0.85185185185185186</v>
      </c>
      <c r="I28" s="47">
        <f>SUM(scen_input_bau!I25:I27)/SUM(scen_input_bau!$D25:$D27)</f>
        <v>0.81481481481481488</v>
      </c>
      <c r="J28" s="47">
        <f>SUM(scen_input_bau!J25:J27)/SUM(scen_input_bau!$D25:$D27)</f>
        <v>0.7777777777777779</v>
      </c>
      <c r="K28" s="47">
        <f>SUM(scen_input_bau!K25:K27)/SUM(scen_input_bau!$D25:$D27)</f>
        <v>0.74074074074074081</v>
      </c>
      <c r="L28" s="47">
        <f>SUM(L25:L27)</f>
        <v>1</v>
      </c>
      <c r="M28" s="47">
        <f t="shared" ref="M28:S28" si="81">SUM(M25:M27)</f>
        <v>0.92729766803840885</v>
      </c>
      <c r="N28" s="47">
        <f t="shared" si="81"/>
        <v>0.85733882030178332</v>
      </c>
      <c r="O28" s="47">
        <f t="shared" si="81"/>
        <v>0.79012345679012352</v>
      </c>
      <c r="P28" s="47">
        <f t="shared" si="81"/>
        <v>0.72565157750342935</v>
      </c>
      <c r="Q28" s="47">
        <f t="shared" si="81"/>
        <v>0.66392318244170112</v>
      </c>
      <c r="R28" s="47">
        <f t="shared" si="81"/>
        <v>0.60493827160493852</v>
      </c>
      <c r="S28" s="47">
        <f t="shared" si="81"/>
        <v>0.54869684499314142</v>
      </c>
      <c r="T28" s="47">
        <f>L28/$L28</f>
        <v>1</v>
      </c>
      <c r="U28" s="47">
        <f t="shared" ref="U28" si="82">M28/$L28</f>
        <v>0.92729766803840885</v>
      </c>
      <c r="V28" s="47">
        <f t="shared" ref="V28" si="83">N28/$L28</f>
        <v>0.85733882030178332</v>
      </c>
      <c r="W28" s="47">
        <f t="shared" ref="W28" si="84">O28/$L28</f>
        <v>0.79012345679012352</v>
      </c>
      <c r="X28" s="47">
        <f t="shared" ref="X28" si="85">P28/$L28</f>
        <v>0.72565157750342935</v>
      </c>
      <c r="Y28" s="47">
        <f t="shared" ref="Y28" si="86">Q28/$L28</f>
        <v>0.66392318244170112</v>
      </c>
      <c r="Z28" s="47">
        <f t="shared" ref="Z28" si="87">R28/$L28</f>
        <v>0.60493827160493852</v>
      </c>
      <c r="AA28" s="47">
        <f t="shared" ref="AA28" si="88">S28/$L28</f>
        <v>0.54869684499314142</v>
      </c>
    </row>
    <row r="29" spans="1:27" x14ac:dyDescent="0.25">
      <c r="A29" s="373" t="s">
        <v>944</v>
      </c>
      <c r="B29" s="373"/>
      <c r="C29" s="297"/>
      <c r="D29" s="422" t="s">
        <v>1164</v>
      </c>
      <c r="E29" s="422" t="s">
        <v>1165</v>
      </c>
      <c r="F29" s="422" t="s">
        <v>1166</v>
      </c>
      <c r="G29" s="422" t="s">
        <v>1167</v>
      </c>
      <c r="H29" s="422" t="s">
        <v>1168</v>
      </c>
      <c r="I29" s="422" t="s">
        <v>1169</v>
      </c>
      <c r="J29" s="422" t="s">
        <v>1170</v>
      </c>
      <c r="K29" s="422" t="s">
        <v>1171</v>
      </c>
      <c r="L29" s="176" t="s">
        <v>1121</v>
      </c>
      <c r="M29" s="176" t="s">
        <v>1122</v>
      </c>
      <c r="N29" s="176" t="s">
        <v>1123</v>
      </c>
      <c r="O29" s="176" t="s">
        <v>1124</v>
      </c>
      <c r="P29" s="176" t="s">
        <v>1125</v>
      </c>
      <c r="Q29" s="176" t="s">
        <v>1126</v>
      </c>
      <c r="R29" s="176" t="s">
        <v>1127</v>
      </c>
      <c r="S29" s="176" t="s">
        <v>1128</v>
      </c>
      <c r="T29" s="428" t="s">
        <v>1137</v>
      </c>
      <c r="U29" s="428" t="s">
        <v>1138</v>
      </c>
      <c r="V29" s="428" t="s">
        <v>1139</v>
      </c>
      <c r="W29" s="428" t="s">
        <v>1140</v>
      </c>
      <c r="X29" s="428" t="s">
        <v>1141</v>
      </c>
      <c r="Y29" s="428" t="s">
        <v>1142</v>
      </c>
      <c r="Z29" s="428" t="s">
        <v>1143</v>
      </c>
      <c r="AA29" s="428" t="s">
        <v>1144</v>
      </c>
    </row>
    <row r="30" spans="1:27" x14ac:dyDescent="0.25">
      <c r="A30" s="15" t="s">
        <v>1052</v>
      </c>
      <c r="B30" s="2" t="s">
        <v>733</v>
      </c>
      <c r="C30" s="15" t="str">
        <f>scen_input_bau!C30</f>
        <v>CPI</v>
      </c>
      <c r="D30" s="116">
        <f>scen_input_bau!D30/SUM(scen_input_bau!$D$30:$D$31)</f>
        <v>0.99</v>
      </c>
      <c r="E30" s="116">
        <f>scen_input_bau!E30/SUM(scen_input_bau!$D$30:$D$31)</f>
        <v>0.96064425770308115</v>
      </c>
      <c r="F30" s="116">
        <f>scen_input_bau!F30/SUM(scen_input_bau!$D$30:$D$31)</f>
        <v>0.97128851540616234</v>
      </c>
      <c r="G30" s="116">
        <f>scen_input_bau!G30/SUM(scen_input_bau!$D$30:$D$31)</f>
        <v>0.98193277310924365</v>
      </c>
      <c r="H30" s="116">
        <f>scen_input_bau!H30/SUM(scen_input_bau!$D$30:$D$31)</f>
        <v>0.99257703081232485</v>
      </c>
      <c r="I30" s="116">
        <f>scen_input_bau!I30/SUM(scen_input_bau!$D$30:$D$31)</f>
        <v>1.0032212885154062</v>
      </c>
      <c r="J30" s="116">
        <f>scen_input_bau!J30/SUM(scen_input_bau!$D$30:$D$31)</f>
        <v>1.0138655462184873</v>
      </c>
      <c r="K30" s="116">
        <f>scen_input_bau!K30/SUM(scen_input_bau!$D$30:$D$31)</f>
        <v>1.0245098039215685</v>
      </c>
      <c r="L30" s="116">
        <f>D30*cost_projections!C23*D$32</f>
        <v>0.99</v>
      </c>
      <c r="M30" s="116">
        <f>E30*cost_projections!D23*E$32</f>
        <v>0.9714077787977935</v>
      </c>
      <c r="N30" s="116">
        <f>F30*cost_projections!E23*F$32</f>
        <v>0.99305408437884934</v>
      </c>
      <c r="O30" s="116">
        <f>G30*cost_projections!F23*G$32</f>
        <v>1.0149389167431677</v>
      </c>
      <c r="P30" s="116">
        <f>H30*cost_projections!G23*H$32</f>
        <v>1.0370622758907482</v>
      </c>
      <c r="Q30" s="116">
        <f>I30*cost_projections!H23*I$32</f>
        <v>1.0594241618215914</v>
      </c>
      <c r="R30" s="116">
        <f>J30*cost_projections!I23*J$32</f>
        <v>1.0820245745356967</v>
      </c>
      <c r="S30" s="116">
        <f>K30*cost_projections!J23*K$32</f>
        <v>1.104863514033064</v>
      </c>
      <c r="T30" s="116">
        <f>L30/L$32*T$32</f>
        <v>0.98556495769039332</v>
      </c>
      <c r="U30" s="116">
        <f t="shared" ref="U30:AA31" si="89">M30/M$32*U$32</f>
        <v>0.9670560266777436</v>
      </c>
      <c r="V30" s="116">
        <f t="shared" si="89"/>
        <v>0.98860536025768986</v>
      </c>
      <c r="W30" s="116">
        <f t="shared" si="89"/>
        <v>1.0103921520589025</v>
      </c>
      <c r="X30" s="116">
        <f t="shared" si="89"/>
        <v>1.0324164020813817</v>
      </c>
      <c r="Y30" s="116">
        <f t="shared" si="89"/>
        <v>1.0546781103251284</v>
      </c>
      <c r="Z30" s="116">
        <f t="shared" si="89"/>
        <v>1.0771772767901411</v>
      </c>
      <c r="AA30" s="116">
        <f t="shared" si="89"/>
        <v>1.0999139014764201</v>
      </c>
    </row>
    <row r="31" spans="1:27" x14ac:dyDescent="0.25">
      <c r="A31" s="15" t="s">
        <v>1053</v>
      </c>
      <c r="B31" s="2" t="s">
        <v>734</v>
      </c>
      <c r="C31" s="15" t="str">
        <f>scen_input_bau!C31</f>
        <v>CPI</v>
      </c>
      <c r="D31" s="116">
        <f>scen_input_bau!D31/SUM(scen_input_bau!$D$30:$D$31)</f>
        <v>0.01</v>
      </c>
      <c r="E31" s="116">
        <f>scen_input_bau!E31/SUM(scen_input_bau!$D$30:$D$31)</f>
        <v>5.0560224089635855E-2</v>
      </c>
      <c r="F31" s="116">
        <f>scen_input_bau!F31/SUM(scen_input_bau!$D$30:$D$31)</f>
        <v>5.1120448179271707E-2</v>
      </c>
      <c r="G31" s="116">
        <f>scen_input_bau!G31/SUM(scen_input_bau!$D$30:$D$31)</f>
        <v>5.1680672268907567E-2</v>
      </c>
      <c r="H31" s="116">
        <f>scen_input_bau!H31/SUM(scen_input_bau!$D$30:$D$31)</f>
        <v>5.2240896358543419E-2</v>
      </c>
      <c r="I31" s="116">
        <f>scen_input_bau!I31/SUM(scen_input_bau!$D$30:$D$31)</f>
        <v>5.2801120448179271E-2</v>
      </c>
      <c r="J31" s="116">
        <f>scen_input_bau!J31/SUM(scen_input_bau!$D$30:$D$31)</f>
        <v>5.3361344537815131E-2</v>
      </c>
      <c r="K31" s="116">
        <f>scen_input_bau!K31/SUM(scen_input_bau!$D$30:$D$31)</f>
        <v>5.3921568627450983E-2</v>
      </c>
      <c r="L31" s="116">
        <f>D31*cost_projections!C24*D$32</f>
        <v>1.4499999999999997E-2</v>
      </c>
      <c r="M31" s="116">
        <f>E31*cost_projections!D24*E$32</f>
        <v>6.7875135179156179E-2</v>
      </c>
      <c r="N31" s="116">
        <f>F31*cost_projections!E24*F$32</f>
        <v>6.2989546731471474E-2</v>
      </c>
      <c r="O31" s="116">
        <f>G31*cost_projections!F24*G$32</f>
        <v>5.7838624293530795E-2</v>
      </c>
      <c r="P31" s="116">
        <f>H31*cost_projections!G24*H$32</f>
        <v>5.9099374705933745E-2</v>
      </c>
      <c r="Q31" s="116">
        <f>I31*cost_projections!H24*I$32</f>
        <v>6.0373718114696863E-2</v>
      </c>
      <c r="R31" s="116">
        <f>J31*cost_projections!I24*J$32</f>
        <v>6.16616545198201E-2</v>
      </c>
      <c r="S31" s="116">
        <f>K31*cost_projections!J24*K$32</f>
        <v>6.2963183921303484E-2</v>
      </c>
      <c r="T31" s="116">
        <f>L31/L$32*T$32</f>
        <v>1.4435042309606768E-2</v>
      </c>
      <c r="U31" s="116">
        <f t="shared" si="89"/>
        <v>6.7571065384924009E-2</v>
      </c>
      <c r="V31" s="116">
        <f t="shared" si="89"/>
        <v>6.2707363595292664E-2</v>
      </c>
      <c r="W31" s="116">
        <f t="shared" si="89"/>
        <v>5.7579516469418411E-2</v>
      </c>
      <c r="X31" s="116">
        <f t="shared" si="89"/>
        <v>5.8834618920790185E-2</v>
      </c>
      <c r="Y31" s="116">
        <f t="shared" si="89"/>
        <v>6.0103253474063575E-2</v>
      </c>
      <c r="Z31" s="116">
        <f t="shared" si="89"/>
        <v>6.1385420129238533E-2</v>
      </c>
      <c r="AA31" s="116">
        <f t="shared" si="89"/>
        <v>6.2681118886315071E-2</v>
      </c>
    </row>
    <row r="32" spans="1:27" x14ac:dyDescent="0.25">
      <c r="A32" s="19" t="s">
        <v>1048</v>
      </c>
      <c r="B32" s="19"/>
      <c r="C32" s="15" t="str">
        <f>scen_input_bau!C32</f>
        <v>CPI</v>
      </c>
      <c r="D32" s="47">
        <f>SUM(scen_input_bau!D30:D31)/SUM(scen_input_bau!$D30:$D31)</f>
        <v>1</v>
      </c>
      <c r="E32" s="47">
        <f>SUM(scen_input_bau!E30:E31)/SUM(scen_input_bau!$D30:$D31)</f>
        <v>1.011204481792717</v>
      </c>
      <c r="F32" s="47">
        <f>SUM(scen_input_bau!F30:F31)/SUM(scen_input_bau!$D30:$D31)</f>
        <v>1.0224089635854341</v>
      </c>
      <c r="G32" s="47">
        <f>SUM(scen_input_bau!G30:G31)/SUM(scen_input_bau!$D30:$D31)</f>
        <v>1.0336134453781511</v>
      </c>
      <c r="H32" s="47">
        <f>SUM(scen_input_bau!H30:H31)/SUM(scen_input_bau!$D30:$D31)</f>
        <v>1.0448179271708682</v>
      </c>
      <c r="I32" s="47">
        <f>SUM(scen_input_bau!I30:I31)/SUM(scen_input_bau!$D30:$D31)</f>
        <v>1.0560224089635855</v>
      </c>
      <c r="J32" s="47">
        <f>SUM(scen_input_bau!J30:J31)/SUM(scen_input_bau!$D30:$D31)</f>
        <v>1.0672268907563025</v>
      </c>
      <c r="K32" s="47">
        <f>SUM(scen_input_bau!K30:K31)/SUM(scen_input_bau!$D30:$D31)</f>
        <v>1.0784313725490196</v>
      </c>
      <c r="L32" s="47">
        <f>SUM(L30:L31)</f>
        <v>1.0044999999999999</v>
      </c>
      <c r="M32" s="47">
        <f t="shared" ref="M32:R32" si="90">SUM(M30:M31)</f>
        <v>1.0392829139769497</v>
      </c>
      <c r="N32" s="47">
        <f t="shared" si="90"/>
        <v>1.0560436311103207</v>
      </c>
      <c r="O32" s="47">
        <f t="shared" si="90"/>
        <v>1.0727775410366984</v>
      </c>
      <c r="P32" s="47">
        <f t="shared" si="90"/>
        <v>1.096161650596682</v>
      </c>
      <c r="Q32" s="47">
        <f t="shared" si="90"/>
        <v>1.1197978799362882</v>
      </c>
      <c r="R32" s="47">
        <f t="shared" si="90"/>
        <v>1.1436862290555168</v>
      </c>
      <c r="S32" s="47">
        <f>SUM(S30:S31)</f>
        <v>1.1678266979543674</v>
      </c>
      <c r="T32" s="47">
        <f>L32/$L32</f>
        <v>1</v>
      </c>
      <c r="U32" s="47">
        <f>M32/$L32</f>
        <v>1.0346270920626677</v>
      </c>
      <c r="V32" s="47">
        <f t="shared" ref="V32:AA32" si="91">N32/$L32</f>
        <v>1.0513127238529825</v>
      </c>
      <c r="W32" s="47">
        <f t="shared" si="91"/>
        <v>1.0679716685283209</v>
      </c>
      <c r="X32" s="47">
        <f t="shared" si="91"/>
        <v>1.0912510210021722</v>
      </c>
      <c r="Y32" s="47">
        <f t="shared" si="91"/>
        <v>1.1147813637991919</v>
      </c>
      <c r="Z32" s="47">
        <f t="shared" si="91"/>
        <v>1.1385626969193796</v>
      </c>
      <c r="AA32" s="47">
        <f t="shared" si="91"/>
        <v>1.1625950203627351</v>
      </c>
    </row>
    <row r="33" spans="1:27" s="117" customFormat="1" x14ac:dyDescent="0.25">
      <c r="A33" s="375" t="s">
        <v>921</v>
      </c>
      <c r="B33" s="375"/>
      <c r="C33" s="297"/>
      <c r="D33" s="422" t="s">
        <v>1164</v>
      </c>
      <c r="E33" s="422" t="s">
        <v>1165</v>
      </c>
      <c r="F33" s="422" t="s">
        <v>1166</v>
      </c>
      <c r="G33" s="422" t="s">
        <v>1167</v>
      </c>
      <c r="H33" s="422" t="s">
        <v>1168</v>
      </c>
      <c r="I33" s="422" t="s">
        <v>1169</v>
      </c>
      <c r="J33" s="422" t="s">
        <v>1170</v>
      </c>
      <c r="K33" s="422" t="s">
        <v>1171</v>
      </c>
      <c r="L33" s="176" t="s">
        <v>1121</v>
      </c>
      <c r="M33" s="176" t="s">
        <v>1122</v>
      </c>
      <c r="N33" s="176" t="s">
        <v>1123</v>
      </c>
      <c r="O33" s="176" t="s">
        <v>1124</v>
      </c>
      <c r="P33" s="176" t="s">
        <v>1125</v>
      </c>
      <c r="Q33" s="176" t="s">
        <v>1126</v>
      </c>
      <c r="R33" s="176" t="s">
        <v>1127</v>
      </c>
      <c r="S33" s="176" t="s">
        <v>1128</v>
      </c>
      <c r="T33" s="428" t="s">
        <v>1137</v>
      </c>
      <c r="U33" s="428" t="s">
        <v>1138</v>
      </c>
      <c r="V33" s="428" t="s">
        <v>1139</v>
      </c>
      <c r="W33" s="428" t="s">
        <v>1140</v>
      </c>
      <c r="X33" s="428" t="s">
        <v>1141</v>
      </c>
      <c r="Y33" s="428" t="s">
        <v>1142</v>
      </c>
      <c r="Z33" s="428" t="s">
        <v>1143</v>
      </c>
      <c r="AA33" s="428" t="s">
        <v>1144</v>
      </c>
    </row>
    <row r="34" spans="1:27" x14ac:dyDescent="0.25">
      <c r="A34" s="15" t="s">
        <v>2</v>
      </c>
      <c r="B34" s="2" t="s">
        <v>3</v>
      </c>
      <c r="C34" s="15" t="str">
        <f>scen_input_bau!C34</f>
        <v>EU Reference 2020</v>
      </c>
      <c r="D34" s="116">
        <f>scen_input_bau!D34/SUM(scen_input_bau!$D$34:$D$46)</f>
        <v>0.50069168202017122</v>
      </c>
      <c r="E34" s="116">
        <f>scen_input_bau!E34/SUM(scen_input_bau!$D$34:$D$46)</f>
        <v>0.40005654535950208</v>
      </c>
      <c r="F34" s="116">
        <f>scen_input_bau!F34/SUM(scen_input_bau!$D$34:$D$46)</f>
        <v>0.27389910183706856</v>
      </c>
      <c r="G34" s="116">
        <f>scen_input_bau!G34/SUM(scen_input_bau!$D$34:$D$46)</f>
        <v>0.1953985436420303</v>
      </c>
      <c r="H34" s="116">
        <f>scen_input_bau!H34/SUM(scen_input_bau!$D$34:$D$46)</f>
        <v>0.17878220647260323</v>
      </c>
      <c r="I34" s="116">
        <f>scen_input_bau!I34/SUM(scen_input_bau!$D$34:$D$46)</f>
        <v>5.6960846983919101E-2</v>
      </c>
      <c r="J34" s="116">
        <f>scen_input_bau!J34/SUM(scen_input_bau!$D$34:$D$46)</f>
        <v>1.6923435890577255E-2</v>
      </c>
      <c r="K34" s="116">
        <f>scen_input_bau!K34/SUM(scen_input_bau!$D$34:$D$46)</f>
        <v>1.5478193757846957E-2</v>
      </c>
      <c r="L34" s="427">
        <f>D34</f>
        <v>0.50069168202017122</v>
      </c>
      <c r="M34" s="427">
        <f t="shared" ref="M34:S46" si="92">E34</f>
        <v>0.40005654535950208</v>
      </c>
      <c r="N34" s="427">
        <f t="shared" si="92"/>
        <v>0.27389910183706856</v>
      </c>
      <c r="O34" s="427">
        <f t="shared" si="92"/>
        <v>0.1953985436420303</v>
      </c>
      <c r="P34" s="427">
        <f t="shared" si="92"/>
        <v>0.17878220647260323</v>
      </c>
      <c r="Q34" s="427">
        <f t="shared" si="92"/>
        <v>5.6960846983919101E-2</v>
      </c>
      <c r="R34" s="427">
        <f t="shared" si="92"/>
        <v>1.6923435890577255E-2</v>
      </c>
      <c r="S34" s="427">
        <f t="shared" si="92"/>
        <v>1.5478193757846957E-2</v>
      </c>
      <c r="T34" s="116">
        <f t="shared" ref="T34:T46" si="93">L34/L$47*T$47</f>
        <v>0.50069168202017134</v>
      </c>
      <c r="U34" s="116">
        <f t="shared" ref="U34:AA46" si="94">M34/M$47*U$47</f>
        <v>0.40005654535950214</v>
      </c>
      <c r="V34" s="116">
        <f t="shared" si="94"/>
        <v>0.27389910183706856</v>
      </c>
      <c r="W34" s="116">
        <f t="shared" si="94"/>
        <v>0.19539854364203033</v>
      </c>
      <c r="X34" s="116">
        <f t="shared" si="94"/>
        <v>0.17878220647260326</v>
      </c>
      <c r="Y34" s="116">
        <f t="shared" si="94"/>
        <v>5.6960846983919108E-2</v>
      </c>
      <c r="Z34" s="116">
        <f t="shared" si="94"/>
        <v>1.6923435890577262E-2</v>
      </c>
      <c r="AA34" s="116">
        <f t="shared" si="94"/>
        <v>1.547819375784696E-2</v>
      </c>
    </row>
    <row r="35" spans="1:27" x14ac:dyDescent="0.25">
      <c r="A35" s="15" t="s">
        <v>4</v>
      </c>
      <c r="B35" s="2" t="s">
        <v>5</v>
      </c>
      <c r="C35" s="15" t="str">
        <f>scen_input_bau!C35</f>
        <v>EU Reference 2020</v>
      </c>
      <c r="D35" s="116">
        <f>scen_input_bau!D35/SUM(scen_input_bau!$D$34:$D$46)</f>
        <v>5.0582981236250116E-2</v>
      </c>
      <c r="E35" s="116">
        <f>scen_input_bau!E35/SUM(scen_input_bau!$D$34:$D$46)</f>
        <v>3.6078117135424255E-2</v>
      </c>
      <c r="F35" s="116">
        <f>scen_input_bau!F35/SUM(scen_input_bau!$D$34:$D$46)</f>
        <v>3.6791380348339855E-2</v>
      </c>
      <c r="G35" s="116">
        <f>scen_input_bau!G35/SUM(scen_input_bau!$D$34:$D$46)</f>
        <v>2.1041214197161425E-2</v>
      </c>
      <c r="H35" s="116">
        <f>scen_input_bau!H35/SUM(scen_input_bau!$D$34:$D$46)</f>
        <v>0.11334571106588576</v>
      </c>
      <c r="I35" s="116">
        <f>scen_input_bau!I35/SUM(scen_input_bau!$D$34:$D$46)</f>
        <v>0.18089235858420435</v>
      </c>
      <c r="J35" s="116">
        <f>scen_input_bau!J35/SUM(scen_input_bau!$D$34:$D$46)</f>
        <v>0.20161535076436335</v>
      </c>
      <c r="K35" s="116">
        <f>scen_input_bau!K35/SUM(scen_input_bau!$D$34:$D$46)</f>
        <v>0.26642647844080058</v>
      </c>
      <c r="L35" s="427">
        <f t="shared" ref="L35:L46" si="95">D35</f>
        <v>5.0582981236250116E-2</v>
      </c>
      <c r="M35" s="427">
        <f t="shared" si="92"/>
        <v>3.6078117135424255E-2</v>
      </c>
      <c r="N35" s="427">
        <f t="shared" si="92"/>
        <v>3.6791380348339855E-2</v>
      </c>
      <c r="O35" s="427">
        <f t="shared" si="92"/>
        <v>2.1041214197161425E-2</v>
      </c>
      <c r="P35" s="427">
        <f t="shared" si="92"/>
        <v>0.11334571106588576</v>
      </c>
      <c r="Q35" s="427">
        <f t="shared" si="92"/>
        <v>0.18089235858420435</v>
      </c>
      <c r="R35" s="427">
        <f t="shared" si="92"/>
        <v>0.20161535076436335</v>
      </c>
      <c r="S35" s="427">
        <f t="shared" si="92"/>
        <v>0.26642647844080058</v>
      </c>
      <c r="T35" s="116">
        <f t="shared" si="93"/>
        <v>5.0582981236250123E-2</v>
      </c>
      <c r="U35" s="116">
        <f t="shared" si="94"/>
        <v>3.6078117135424262E-2</v>
      </c>
      <c r="V35" s="116">
        <f t="shared" si="94"/>
        <v>3.6791380348339862E-2</v>
      </c>
      <c r="W35" s="116">
        <f t="shared" si="94"/>
        <v>2.1041214197161429E-2</v>
      </c>
      <c r="X35" s="116">
        <f t="shared" si="94"/>
        <v>0.11334571106588577</v>
      </c>
      <c r="Y35" s="116">
        <f t="shared" si="94"/>
        <v>0.18089235858420435</v>
      </c>
      <c r="Z35" s="116">
        <f t="shared" si="94"/>
        <v>0.2016153507643634</v>
      </c>
      <c r="AA35" s="116">
        <f t="shared" si="94"/>
        <v>0.26642647844080064</v>
      </c>
    </row>
    <row r="36" spans="1:27" x14ac:dyDescent="0.25">
      <c r="A36" s="15" t="s">
        <v>6</v>
      </c>
      <c r="B36" s="2" t="s">
        <v>7</v>
      </c>
      <c r="C36" s="15" t="str">
        <f>scen_input_bau!C36</f>
        <v>EU Reference 2020</v>
      </c>
      <c r="D36" s="116">
        <f>scen_input_bau!D36/SUM(scen_input_bau!$D$34:$D$46)</f>
        <v>0.33383772064129424</v>
      </c>
      <c r="E36" s="116">
        <f>scen_input_bau!E36/SUM(scen_input_bau!$D$34:$D$46)</f>
        <v>0.37474190596761253</v>
      </c>
      <c r="F36" s="116">
        <f>scen_input_bau!F36/SUM(scen_input_bau!$D$34:$D$46)</f>
        <v>0.39322269477726302</v>
      </c>
      <c r="G36" s="116">
        <f>scen_input_bau!G36/SUM(scen_input_bau!$D$34:$D$46)</f>
        <v>0.39160926241052396</v>
      </c>
      <c r="H36" s="116">
        <f>scen_input_bau!H36/SUM(scen_input_bau!$D$34:$D$46)</f>
        <v>0.38851105316844725</v>
      </c>
      <c r="I36" s="116">
        <f>scen_input_bau!I36/SUM(scen_input_bau!$D$34:$D$46)</f>
        <v>0.48021721545596285</v>
      </c>
      <c r="J36" s="116">
        <f>scen_input_bau!J36/SUM(scen_input_bau!$D$34:$D$46)</f>
        <v>0.47563887659166393</v>
      </c>
      <c r="K36" s="116">
        <f>scen_input_bau!K36/SUM(scen_input_bau!$D$34:$D$46)</f>
        <v>0.40831982427594077</v>
      </c>
      <c r="L36" s="427">
        <f t="shared" si="95"/>
        <v>0.33383772064129424</v>
      </c>
      <c r="M36" s="427">
        <f t="shared" si="92"/>
        <v>0.37474190596761253</v>
      </c>
      <c r="N36" s="427">
        <f t="shared" si="92"/>
        <v>0.39322269477726302</v>
      </c>
      <c r="O36" s="427">
        <f t="shared" si="92"/>
        <v>0.39160926241052396</v>
      </c>
      <c r="P36" s="427">
        <f t="shared" si="92"/>
        <v>0.38851105316844725</v>
      </c>
      <c r="Q36" s="427">
        <f t="shared" si="92"/>
        <v>0.48021721545596285</v>
      </c>
      <c r="R36" s="427">
        <f t="shared" si="92"/>
        <v>0.47563887659166393</v>
      </c>
      <c r="S36" s="427">
        <f t="shared" si="92"/>
        <v>0.40831982427594077</v>
      </c>
      <c r="T36" s="116">
        <f t="shared" si="93"/>
        <v>0.3338377206412943</v>
      </c>
      <c r="U36" s="116">
        <f t="shared" si="94"/>
        <v>0.37474190596761259</v>
      </c>
      <c r="V36" s="116">
        <f t="shared" si="94"/>
        <v>0.39322269477726307</v>
      </c>
      <c r="W36" s="116">
        <f t="shared" si="94"/>
        <v>0.39160926241052402</v>
      </c>
      <c r="X36" s="116">
        <f t="shared" si="94"/>
        <v>0.38851105316844731</v>
      </c>
      <c r="Y36" s="116">
        <f t="shared" si="94"/>
        <v>0.48021721545596291</v>
      </c>
      <c r="Z36" s="116">
        <f t="shared" si="94"/>
        <v>0.47563887659166404</v>
      </c>
      <c r="AA36" s="116">
        <f t="shared" si="94"/>
        <v>0.40831982427594082</v>
      </c>
    </row>
    <row r="37" spans="1:27" x14ac:dyDescent="0.25">
      <c r="A37" s="15" t="s">
        <v>8</v>
      </c>
      <c r="B37" s="2" t="s">
        <v>9</v>
      </c>
      <c r="C37" s="15" t="str">
        <f>scen_input_bau!C37</f>
        <v>EU Reference 2020</v>
      </c>
      <c r="D37" s="116">
        <f>scen_input_bau!D37/SUM(scen_input_bau!$D$34:$D$46)</f>
        <v>2.239898791132303E-2</v>
      </c>
      <c r="E37" s="116">
        <f>scen_input_bau!E37/SUM(scen_input_bau!$D$34:$D$46)</f>
        <v>3.1517166035199676E-2</v>
      </c>
      <c r="F37" s="116">
        <f>scen_input_bau!F37/SUM(scen_input_bau!$D$34:$D$46)</f>
        <v>2.9320069313281752E-2</v>
      </c>
      <c r="G37" s="116">
        <f>scen_input_bau!G37/SUM(scen_input_bau!$D$34:$D$46)</f>
        <v>2.997319461738469E-2</v>
      </c>
      <c r="H37" s="116">
        <f>scen_input_bau!H37/SUM(scen_input_bau!$D$34:$D$46)</f>
        <v>3.002648142095864E-2</v>
      </c>
      <c r="I37" s="116">
        <f>scen_input_bau!I37/SUM(scen_input_bau!$D$34:$D$46)</f>
        <v>3.0622633046490266E-2</v>
      </c>
      <c r="J37" s="116">
        <f>scen_input_bau!J37/SUM(scen_input_bau!$D$34:$D$46)</f>
        <v>3.0733372541055744E-2</v>
      </c>
      <c r="K37" s="116">
        <f>scen_input_bau!K37/SUM(scen_input_bau!$D$34:$D$46)</f>
        <v>3.0727532132954028E-2</v>
      </c>
      <c r="L37" s="427">
        <f t="shared" si="95"/>
        <v>2.239898791132303E-2</v>
      </c>
      <c r="M37" s="427">
        <f t="shared" si="92"/>
        <v>3.1517166035199676E-2</v>
      </c>
      <c r="N37" s="427">
        <f t="shared" si="92"/>
        <v>2.9320069313281752E-2</v>
      </c>
      <c r="O37" s="427">
        <f t="shared" si="92"/>
        <v>2.997319461738469E-2</v>
      </c>
      <c r="P37" s="427">
        <f t="shared" si="92"/>
        <v>3.002648142095864E-2</v>
      </c>
      <c r="Q37" s="427">
        <f t="shared" si="92"/>
        <v>3.0622633046490266E-2</v>
      </c>
      <c r="R37" s="427">
        <f t="shared" si="92"/>
        <v>3.0733372541055744E-2</v>
      </c>
      <c r="S37" s="427">
        <f t="shared" si="92"/>
        <v>3.0727532132954028E-2</v>
      </c>
      <c r="T37" s="116">
        <f t="shared" si="93"/>
        <v>2.2398987911323033E-2</v>
      </c>
      <c r="U37" s="116">
        <f t="shared" si="94"/>
        <v>3.1517166035199683E-2</v>
      </c>
      <c r="V37" s="116">
        <f t="shared" si="94"/>
        <v>2.9320069313281755E-2</v>
      </c>
      <c r="W37" s="116">
        <f t="shared" si="94"/>
        <v>2.9973194617384694E-2</v>
      </c>
      <c r="X37" s="116">
        <f t="shared" si="94"/>
        <v>3.0026481420958644E-2</v>
      </c>
      <c r="Y37" s="116">
        <f t="shared" si="94"/>
        <v>3.062263304649027E-2</v>
      </c>
      <c r="Z37" s="116">
        <f t="shared" si="94"/>
        <v>3.0733372541055751E-2</v>
      </c>
      <c r="AA37" s="116">
        <f t="shared" si="94"/>
        <v>3.0727532132954035E-2</v>
      </c>
    </row>
    <row r="38" spans="1:27" x14ac:dyDescent="0.25">
      <c r="A38" s="15" t="s">
        <v>342</v>
      </c>
      <c r="B38" s="2" t="s">
        <v>336</v>
      </c>
      <c r="C38" s="15" t="str">
        <f>scen_input_bau!C38</f>
        <v>EU Reference 2020</v>
      </c>
      <c r="D38" s="116">
        <f>scen_input_bau!D38/SUM(scen_input_bau!$D$34:$D$46)</f>
        <v>7.0191001782551402E-3</v>
      </c>
      <c r="E38" s="116">
        <f>scen_input_bau!E38/SUM(scen_input_bau!$D$34:$D$46)</f>
        <v>9.8942468179843476E-3</v>
      </c>
      <c r="F38" s="116">
        <f>scen_input_bau!F38/SUM(scen_input_bau!$D$34:$D$46)</f>
        <v>4.0245909208817696E-2</v>
      </c>
      <c r="G38" s="116">
        <f>scen_input_bau!G38/SUM(scen_input_bau!$D$34:$D$46)</f>
        <v>4.809778910982896E-2</v>
      </c>
      <c r="H38" s="116">
        <f>scen_input_bau!H38/SUM(scen_input_bau!$D$34:$D$46)</f>
        <v>8.097994068629874E-2</v>
      </c>
      <c r="I38" s="116">
        <f>scen_input_bau!I38/SUM(scen_input_bau!$D$34:$D$46)</f>
        <v>0.10055503885579536</v>
      </c>
      <c r="J38" s="116">
        <f>scen_input_bau!J38/SUM(scen_input_bau!$D$34:$D$46)</f>
        <v>0.11232643007755815</v>
      </c>
      <c r="K38" s="116">
        <f>scen_input_bau!K38/SUM(scen_input_bau!$D$34:$D$46)</f>
        <v>0.11826600045158568</v>
      </c>
      <c r="L38" s="427">
        <f t="shared" si="95"/>
        <v>7.0191001782551402E-3</v>
      </c>
      <c r="M38" s="427">
        <f t="shared" si="92"/>
        <v>9.8942468179843476E-3</v>
      </c>
      <c r="N38" s="427">
        <f t="shared" si="92"/>
        <v>4.0245909208817696E-2</v>
      </c>
      <c r="O38" s="427">
        <f t="shared" si="92"/>
        <v>4.809778910982896E-2</v>
      </c>
      <c r="P38" s="427">
        <f t="shared" si="92"/>
        <v>8.097994068629874E-2</v>
      </c>
      <c r="Q38" s="427">
        <f t="shared" si="92"/>
        <v>0.10055503885579536</v>
      </c>
      <c r="R38" s="427">
        <f t="shared" si="92"/>
        <v>0.11232643007755815</v>
      </c>
      <c r="S38" s="427">
        <f t="shared" si="92"/>
        <v>0.11826600045158568</v>
      </c>
      <c r="T38" s="116">
        <f t="shared" si="93"/>
        <v>7.019100178255141E-3</v>
      </c>
      <c r="U38" s="116">
        <f t="shared" si="94"/>
        <v>9.8942468179843476E-3</v>
      </c>
      <c r="V38" s="116">
        <f t="shared" si="94"/>
        <v>4.0245909208817703E-2</v>
      </c>
      <c r="W38" s="116">
        <f t="shared" si="94"/>
        <v>4.8097789109828967E-2</v>
      </c>
      <c r="X38" s="116">
        <f t="shared" si="94"/>
        <v>8.0979940686298754E-2</v>
      </c>
      <c r="Y38" s="116">
        <f t="shared" si="94"/>
        <v>0.10055503885579538</v>
      </c>
      <c r="Z38" s="116">
        <f t="shared" si="94"/>
        <v>0.11232643007755817</v>
      </c>
      <c r="AA38" s="116">
        <f t="shared" si="94"/>
        <v>0.11826600045158571</v>
      </c>
    </row>
    <row r="39" spans="1:27" x14ac:dyDescent="0.25">
      <c r="A39" s="15" t="s">
        <v>343</v>
      </c>
      <c r="B39" s="2" t="s">
        <v>337</v>
      </c>
      <c r="C39" s="15" t="str">
        <f>scen_input_bau!C39</f>
        <v>EU Reference 2020</v>
      </c>
      <c r="D39" s="116">
        <f>scen_input_bau!D39/SUM(scen_input_bau!$D$34:$D$46)</f>
        <v>0</v>
      </c>
      <c r="E39" s="116">
        <f>scen_input_bau!E39/SUM(scen_input_bau!$D$34:$D$46)</f>
        <v>0</v>
      </c>
      <c r="F39" s="116">
        <f>scen_input_bau!F39/SUM(scen_input_bau!$D$34:$D$46)</f>
        <v>0</v>
      </c>
      <c r="G39" s="116">
        <f>scen_input_bau!G39/SUM(scen_input_bau!$D$34:$D$46)</f>
        <v>0</v>
      </c>
      <c r="H39" s="116">
        <f>scen_input_bau!H39/SUM(scen_input_bau!$D$34:$D$46)</f>
        <v>0</v>
      </c>
      <c r="I39" s="116">
        <f>scen_input_bau!I39/SUM(scen_input_bau!$D$34:$D$46)</f>
        <v>0</v>
      </c>
      <c r="J39" s="116">
        <f>scen_input_bau!J39/SUM(scen_input_bau!$D$34:$D$46)</f>
        <v>0</v>
      </c>
      <c r="K39" s="116">
        <f>scen_input_bau!K39/SUM(scen_input_bau!$D$34:$D$46)</f>
        <v>0</v>
      </c>
      <c r="L39" s="427">
        <f t="shared" si="95"/>
        <v>0</v>
      </c>
      <c r="M39" s="427">
        <f t="shared" si="92"/>
        <v>0</v>
      </c>
      <c r="N39" s="427">
        <f t="shared" si="92"/>
        <v>0</v>
      </c>
      <c r="O39" s="427">
        <f t="shared" si="92"/>
        <v>0</v>
      </c>
      <c r="P39" s="427">
        <f t="shared" si="92"/>
        <v>0</v>
      </c>
      <c r="Q39" s="427">
        <f t="shared" si="92"/>
        <v>0</v>
      </c>
      <c r="R39" s="427">
        <f t="shared" si="92"/>
        <v>0</v>
      </c>
      <c r="S39" s="427">
        <f t="shared" si="92"/>
        <v>0</v>
      </c>
      <c r="T39" s="116">
        <f t="shared" si="93"/>
        <v>0</v>
      </c>
      <c r="U39" s="116">
        <f t="shared" si="94"/>
        <v>0</v>
      </c>
      <c r="V39" s="116">
        <f t="shared" si="94"/>
        <v>0</v>
      </c>
      <c r="W39" s="116">
        <f t="shared" si="94"/>
        <v>0</v>
      </c>
      <c r="X39" s="116">
        <f t="shared" si="94"/>
        <v>0</v>
      </c>
      <c r="Y39" s="116">
        <f t="shared" si="94"/>
        <v>0</v>
      </c>
      <c r="Z39" s="116">
        <f t="shared" si="94"/>
        <v>0</v>
      </c>
      <c r="AA39" s="116">
        <f t="shared" si="94"/>
        <v>0</v>
      </c>
    </row>
    <row r="40" spans="1:27" x14ac:dyDescent="0.25">
      <c r="A40" s="15" t="s">
        <v>10</v>
      </c>
      <c r="B40" s="1" t="s">
        <v>11</v>
      </c>
      <c r="C40" s="15" t="str">
        <f>scen_input_bau!C40</f>
        <v>EU Reference 2020</v>
      </c>
      <c r="D40" s="116">
        <f>scen_input_bau!D40/SUM(scen_input_bau!$D$34:$D$46)</f>
        <v>2.2137866421114974E-3</v>
      </c>
      <c r="E40" s="116">
        <f>scen_input_bau!E40/SUM(scen_input_bau!$D$34:$D$46)</f>
        <v>1.6346179395416082E-3</v>
      </c>
      <c r="F40" s="116">
        <f>scen_input_bau!F40/SUM(scen_input_bau!$D$34:$D$46)</f>
        <v>1.5577189610358716E-3</v>
      </c>
      <c r="G40" s="116">
        <f>scen_input_bau!G40/SUM(scen_input_bau!$D$34:$D$46)</f>
        <v>1.5307255926064213E-3</v>
      </c>
      <c r="H40" s="116">
        <f>scen_input_bau!H40/SUM(scen_input_bau!$D$34:$D$46)</f>
        <v>1.2526761530305627E-3</v>
      </c>
      <c r="I40" s="116">
        <f>scen_input_bau!I40/SUM(scen_input_bau!$D$34:$D$46)</f>
        <v>1.2227641181611596E-3</v>
      </c>
      <c r="J40" s="116">
        <f>scen_input_bau!J40/SUM(scen_input_bau!$D$34:$D$46)</f>
        <v>7.8222563784818096E-4</v>
      </c>
      <c r="K40" s="116">
        <f>scen_input_bau!K40/SUM(scen_input_bau!$D$34:$D$46)</f>
        <v>1.9994829600975775E-4</v>
      </c>
      <c r="L40" s="427">
        <f t="shared" si="95"/>
        <v>2.2137866421114974E-3</v>
      </c>
      <c r="M40" s="427">
        <f t="shared" si="92"/>
        <v>1.6346179395416082E-3</v>
      </c>
      <c r="N40" s="427">
        <f t="shared" si="92"/>
        <v>1.5577189610358716E-3</v>
      </c>
      <c r="O40" s="427">
        <f t="shared" si="92"/>
        <v>1.5307255926064213E-3</v>
      </c>
      <c r="P40" s="427">
        <f t="shared" si="92"/>
        <v>1.2526761530305627E-3</v>
      </c>
      <c r="Q40" s="427">
        <f t="shared" si="92"/>
        <v>1.2227641181611596E-3</v>
      </c>
      <c r="R40" s="427">
        <f t="shared" si="92"/>
        <v>7.8222563784818096E-4</v>
      </c>
      <c r="S40" s="427">
        <f t="shared" si="92"/>
        <v>1.9994829600975775E-4</v>
      </c>
      <c r="T40" s="116">
        <f t="shared" si="93"/>
        <v>2.2137866421114978E-3</v>
      </c>
      <c r="U40" s="116">
        <f t="shared" si="94"/>
        <v>1.6346179395416085E-3</v>
      </c>
      <c r="V40" s="116">
        <f t="shared" si="94"/>
        <v>1.5577189610358718E-3</v>
      </c>
      <c r="W40" s="116">
        <f t="shared" si="94"/>
        <v>1.5307255926064218E-3</v>
      </c>
      <c r="X40" s="116">
        <f t="shared" si="94"/>
        <v>1.2526761530305629E-3</v>
      </c>
      <c r="Y40" s="116">
        <f t="shared" si="94"/>
        <v>1.2227641181611598E-3</v>
      </c>
      <c r="Z40" s="116">
        <f t="shared" si="94"/>
        <v>7.8222563784818117E-4</v>
      </c>
      <c r="AA40" s="116">
        <f t="shared" si="94"/>
        <v>1.9994829600975781E-4</v>
      </c>
    </row>
    <row r="41" spans="1:27" x14ac:dyDescent="0.25">
      <c r="A41" s="15" t="s">
        <v>12</v>
      </c>
      <c r="B41" s="2" t="s">
        <v>13</v>
      </c>
      <c r="C41" s="15" t="str">
        <f>scen_input_bau!C41</f>
        <v>EU Reference 2020</v>
      </c>
      <c r="D41" s="116">
        <f>scen_input_bau!D41/SUM(scen_input_bau!$D$34:$D$46)</f>
        <v>5.5074878562624191E-2</v>
      </c>
      <c r="E41" s="116">
        <f>scen_input_bau!E41/SUM(scen_input_bau!$D$34:$D$46)</f>
        <v>4.017292460651975E-2</v>
      </c>
      <c r="F41" s="116">
        <f>scen_input_bau!F41/SUM(scen_input_bau!$D$34:$D$46)</f>
        <v>3.1599824711880845E-2</v>
      </c>
      <c r="G41" s="116">
        <f>scen_input_bau!G41/SUM(scen_input_bau!$D$34:$D$46)</f>
        <v>3.9496107604322171E-2</v>
      </c>
      <c r="H41" s="116">
        <f>scen_input_bau!H41/SUM(scen_input_bau!$D$34:$D$46)</f>
        <v>4.5460470219023545E-2</v>
      </c>
      <c r="I41" s="116">
        <f>scen_input_bau!I41/SUM(scen_input_bau!$D$34:$D$46)</f>
        <v>6.8034737722268812E-2</v>
      </c>
      <c r="J41" s="116">
        <f>scen_input_bau!J41/SUM(scen_input_bau!$D$34:$D$46)</f>
        <v>7.8837652631634086E-2</v>
      </c>
      <c r="K41" s="116">
        <f>scen_input_bau!K41/SUM(scen_input_bau!$D$34:$D$46)</f>
        <v>0.10510632282431871</v>
      </c>
      <c r="L41" s="427">
        <f t="shared" si="95"/>
        <v>5.5074878562624191E-2</v>
      </c>
      <c r="M41" s="427">
        <f t="shared" si="92"/>
        <v>4.017292460651975E-2</v>
      </c>
      <c r="N41" s="427">
        <f t="shared" si="92"/>
        <v>3.1599824711880845E-2</v>
      </c>
      <c r="O41" s="427">
        <f t="shared" si="92"/>
        <v>3.9496107604322171E-2</v>
      </c>
      <c r="P41" s="427">
        <f t="shared" si="92"/>
        <v>4.5460470219023545E-2</v>
      </c>
      <c r="Q41" s="427">
        <f t="shared" si="92"/>
        <v>6.8034737722268812E-2</v>
      </c>
      <c r="R41" s="427">
        <f t="shared" si="92"/>
        <v>7.8837652631634086E-2</v>
      </c>
      <c r="S41" s="427">
        <f t="shared" si="92"/>
        <v>0.10510632282431871</v>
      </c>
      <c r="T41" s="116">
        <f t="shared" si="93"/>
        <v>5.5074878562624198E-2</v>
      </c>
      <c r="U41" s="116">
        <f t="shared" si="94"/>
        <v>4.017292460651975E-2</v>
      </c>
      <c r="V41" s="116">
        <f t="shared" si="94"/>
        <v>3.1599824711880851E-2</v>
      </c>
      <c r="W41" s="116">
        <f t="shared" si="94"/>
        <v>3.9496107604322178E-2</v>
      </c>
      <c r="X41" s="116">
        <f t="shared" si="94"/>
        <v>4.5460470219023552E-2</v>
      </c>
      <c r="Y41" s="116">
        <f t="shared" si="94"/>
        <v>6.8034737722268812E-2</v>
      </c>
      <c r="Z41" s="116">
        <f t="shared" si="94"/>
        <v>7.88376526316341E-2</v>
      </c>
      <c r="AA41" s="116">
        <f t="shared" si="94"/>
        <v>0.10510632282431874</v>
      </c>
    </row>
    <row r="42" spans="1:27" x14ac:dyDescent="0.25">
      <c r="A42" s="15" t="s">
        <v>831</v>
      </c>
      <c r="B42" s="2" t="s">
        <v>338</v>
      </c>
      <c r="C42" s="15" t="str">
        <f>scen_input_bau!C42</f>
        <v>EU Reference 2020</v>
      </c>
      <c r="D42" s="116">
        <f>scen_input_bau!D42/SUM(scen_input_bau!$D$34:$D$46)</f>
        <v>1.8433470403823576E-2</v>
      </c>
      <c r="E42" s="116">
        <f>scen_input_bau!E42/SUM(scen_input_bau!$D$34:$D$46)</f>
        <v>1.8433470403823576E-2</v>
      </c>
      <c r="F42" s="116">
        <f>scen_input_bau!F42/SUM(scen_input_bau!$D$34:$D$46)</f>
        <v>3.2336990290571042E-2</v>
      </c>
      <c r="G42" s="116">
        <f>scen_input_bau!G42/SUM(scen_input_bau!$D$34:$D$46)</f>
        <v>3.5622668762428533E-2</v>
      </c>
      <c r="H42" s="116">
        <f>scen_input_bau!H42/SUM(scen_input_bau!$D$34:$D$46)</f>
        <v>3.7533243333466755E-2</v>
      </c>
      <c r="I42" s="116">
        <f>scen_input_bau!I42/SUM(scen_input_bau!$D$34:$D$46)</f>
        <v>4.2844283251042115E-2</v>
      </c>
      <c r="J42" s="116">
        <f>scen_input_bau!J42/SUM(scen_input_bau!$D$34:$D$46)</f>
        <v>5.1808434219534572E-2</v>
      </c>
      <c r="K42" s="116">
        <f>scen_input_bau!K42/SUM(scen_input_bau!$D$34:$D$46)</f>
        <v>5.1882887834151424E-2</v>
      </c>
      <c r="L42" s="427">
        <f t="shared" si="95"/>
        <v>1.8433470403823576E-2</v>
      </c>
      <c r="M42" s="427">
        <f t="shared" si="92"/>
        <v>1.8433470403823576E-2</v>
      </c>
      <c r="N42" s="427">
        <f t="shared" si="92"/>
        <v>3.2336990290571042E-2</v>
      </c>
      <c r="O42" s="427">
        <f t="shared" si="92"/>
        <v>3.5622668762428533E-2</v>
      </c>
      <c r="P42" s="427">
        <f t="shared" si="92"/>
        <v>3.7533243333466755E-2</v>
      </c>
      <c r="Q42" s="427">
        <f t="shared" si="92"/>
        <v>4.2844283251042115E-2</v>
      </c>
      <c r="R42" s="427">
        <f t="shared" si="92"/>
        <v>5.1808434219534572E-2</v>
      </c>
      <c r="S42" s="427">
        <f t="shared" si="92"/>
        <v>5.1882887834151424E-2</v>
      </c>
      <c r="T42" s="116">
        <f t="shared" si="93"/>
        <v>1.8433470403823579E-2</v>
      </c>
      <c r="U42" s="116">
        <f t="shared" si="94"/>
        <v>1.8433470403823579E-2</v>
      </c>
      <c r="V42" s="116">
        <f t="shared" si="94"/>
        <v>3.2336990290571049E-2</v>
      </c>
      <c r="W42" s="116">
        <f t="shared" si="94"/>
        <v>3.562266876242854E-2</v>
      </c>
      <c r="X42" s="116">
        <f t="shared" si="94"/>
        <v>3.7533243333466762E-2</v>
      </c>
      <c r="Y42" s="116">
        <f t="shared" si="94"/>
        <v>4.2844283251042115E-2</v>
      </c>
      <c r="Z42" s="116">
        <f t="shared" si="94"/>
        <v>5.1808434219534578E-2</v>
      </c>
      <c r="AA42" s="116">
        <f t="shared" si="94"/>
        <v>5.1882887834151438E-2</v>
      </c>
    </row>
    <row r="43" spans="1:27" x14ac:dyDescent="0.25">
      <c r="A43" s="15" t="s">
        <v>832</v>
      </c>
      <c r="B43" s="2" t="s">
        <v>339</v>
      </c>
      <c r="C43" s="15" t="str">
        <f>scen_input_bau!C43</f>
        <v>EU Reference 2020</v>
      </c>
      <c r="D43" s="116">
        <f>scen_input_bau!D43/SUM(scen_input_bau!$D$34:$D$46)</f>
        <v>9.7473924041468884E-3</v>
      </c>
      <c r="E43" s="116">
        <f>scen_input_bau!E43/SUM(scen_input_bau!$D$34:$D$46)</f>
        <v>9.7473924041468884E-3</v>
      </c>
      <c r="F43" s="116">
        <f>scen_input_bau!F43/SUM(scen_input_bau!$D$34:$D$46)</f>
        <v>1.7099402696624227E-2</v>
      </c>
      <c r="G43" s="116">
        <f>scen_input_bau!G43/SUM(scen_input_bau!$D$34:$D$46)</f>
        <v>1.8836829056253696E-2</v>
      </c>
      <c r="H43" s="116">
        <f>scen_input_bau!H43/SUM(scen_input_bau!$D$34:$D$46)</f>
        <v>1.9847117387930584E-2</v>
      </c>
      <c r="I43" s="116">
        <f>scen_input_bau!I43/SUM(scen_input_bau!$D$34:$D$46)</f>
        <v>2.26555299666036E-2</v>
      </c>
      <c r="J43" s="116">
        <f>scen_input_bau!J43/SUM(scen_input_bau!$D$34:$D$46)</f>
        <v>2.7395662733018824E-2</v>
      </c>
      <c r="K43" s="116">
        <f>scen_input_bau!K43/SUM(scen_input_bau!$D$34:$D$46)</f>
        <v>2.7435032888593388E-2</v>
      </c>
      <c r="L43" s="427">
        <f t="shared" si="95"/>
        <v>9.7473924041468884E-3</v>
      </c>
      <c r="M43" s="427">
        <f t="shared" si="92"/>
        <v>9.7473924041468884E-3</v>
      </c>
      <c r="N43" s="427">
        <f t="shared" si="92"/>
        <v>1.7099402696624227E-2</v>
      </c>
      <c r="O43" s="427">
        <f t="shared" si="92"/>
        <v>1.8836829056253696E-2</v>
      </c>
      <c r="P43" s="427">
        <f t="shared" si="92"/>
        <v>1.9847117387930584E-2</v>
      </c>
      <c r="Q43" s="427">
        <f t="shared" si="92"/>
        <v>2.26555299666036E-2</v>
      </c>
      <c r="R43" s="427">
        <f t="shared" si="92"/>
        <v>2.7395662733018824E-2</v>
      </c>
      <c r="S43" s="427">
        <f t="shared" si="92"/>
        <v>2.7435032888593388E-2</v>
      </c>
      <c r="T43" s="116">
        <f t="shared" si="93"/>
        <v>9.7473924041468901E-3</v>
      </c>
      <c r="U43" s="116">
        <f t="shared" si="94"/>
        <v>9.7473924041468901E-3</v>
      </c>
      <c r="V43" s="116">
        <f t="shared" si="94"/>
        <v>1.709940269662423E-2</v>
      </c>
      <c r="W43" s="116">
        <f t="shared" si="94"/>
        <v>1.8836829056253696E-2</v>
      </c>
      <c r="X43" s="116">
        <f t="shared" si="94"/>
        <v>1.9847117387930584E-2</v>
      </c>
      <c r="Y43" s="116">
        <f t="shared" si="94"/>
        <v>2.26555299666036E-2</v>
      </c>
      <c r="Z43" s="116">
        <f t="shared" si="94"/>
        <v>2.7395662733018831E-2</v>
      </c>
      <c r="AA43" s="116">
        <f t="shared" si="94"/>
        <v>2.7435032888593395E-2</v>
      </c>
    </row>
    <row r="44" spans="1:27" x14ac:dyDescent="0.25">
      <c r="A44" s="15" t="s">
        <v>14</v>
      </c>
      <c r="B44" s="2" t="s">
        <v>15</v>
      </c>
      <c r="C44" s="15" t="str">
        <f>scen_input_bau!C44</f>
        <v>EU Reference 2020</v>
      </c>
      <c r="D44" s="116">
        <f>scen_input_bau!D44/SUM(scen_input_bau!$D$34:$D$46)</f>
        <v>0</v>
      </c>
      <c r="E44" s="116">
        <f>scen_input_bau!E44/SUM(scen_input_bau!$D$34:$D$46)</f>
        <v>0</v>
      </c>
      <c r="F44" s="116">
        <f>scen_input_bau!F44/SUM(scen_input_bau!$D$34:$D$46)</f>
        <v>0</v>
      </c>
      <c r="G44" s="116">
        <f>scen_input_bau!G44/SUM(scen_input_bau!$D$34:$D$46)</f>
        <v>0</v>
      </c>
      <c r="H44" s="116">
        <f>scen_input_bau!H44/SUM(scen_input_bau!$D$34:$D$46)</f>
        <v>0</v>
      </c>
      <c r="I44" s="116">
        <f>scen_input_bau!I44/SUM(scen_input_bau!$D$34:$D$46)</f>
        <v>0</v>
      </c>
      <c r="J44" s="116">
        <f>scen_input_bau!J44/SUM(scen_input_bau!$D$34:$D$46)</f>
        <v>0</v>
      </c>
      <c r="K44" s="116">
        <f>scen_input_bau!K44/SUM(scen_input_bau!$D$34:$D$46)</f>
        <v>0</v>
      </c>
      <c r="L44" s="427">
        <f t="shared" si="95"/>
        <v>0</v>
      </c>
      <c r="M44" s="427">
        <f t="shared" si="92"/>
        <v>0</v>
      </c>
      <c r="N44" s="427">
        <f t="shared" si="92"/>
        <v>0</v>
      </c>
      <c r="O44" s="427">
        <f t="shared" si="92"/>
        <v>0</v>
      </c>
      <c r="P44" s="427">
        <f t="shared" si="92"/>
        <v>0</v>
      </c>
      <c r="Q44" s="427">
        <f t="shared" si="92"/>
        <v>0</v>
      </c>
      <c r="R44" s="427">
        <f t="shared" si="92"/>
        <v>0</v>
      </c>
      <c r="S44" s="427">
        <f t="shared" si="92"/>
        <v>0</v>
      </c>
      <c r="T44" s="116">
        <f t="shared" si="93"/>
        <v>0</v>
      </c>
      <c r="U44" s="116">
        <f t="shared" si="94"/>
        <v>0</v>
      </c>
      <c r="V44" s="116">
        <f t="shared" si="94"/>
        <v>0</v>
      </c>
      <c r="W44" s="116">
        <f t="shared" si="94"/>
        <v>0</v>
      </c>
      <c r="X44" s="116">
        <f t="shared" si="94"/>
        <v>0</v>
      </c>
      <c r="Y44" s="116">
        <f t="shared" si="94"/>
        <v>0</v>
      </c>
      <c r="Z44" s="116">
        <f t="shared" si="94"/>
        <v>0</v>
      </c>
      <c r="AA44" s="116">
        <f t="shared" si="94"/>
        <v>0</v>
      </c>
    </row>
    <row r="45" spans="1:27" x14ac:dyDescent="0.25">
      <c r="A45" s="15" t="s">
        <v>16</v>
      </c>
      <c r="B45" s="2" t="s">
        <v>17</v>
      </c>
      <c r="C45" s="15" t="str">
        <f>scen_input_bau!C45</f>
        <v>EU Reference 2020</v>
      </c>
      <c r="D45" s="116">
        <f>scen_input_bau!D45/SUM(scen_input_bau!$D$34:$D$46)</f>
        <v>0</v>
      </c>
      <c r="E45" s="116">
        <f>scen_input_bau!E45/SUM(scen_input_bau!$D$34:$D$46)</f>
        <v>0</v>
      </c>
      <c r="F45" s="116">
        <f>scen_input_bau!F45/SUM(scen_input_bau!$D$34:$D$46)</f>
        <v>0</v>
      </c>
      <c r="G45" s="116">
        <f>scen_input_bau!G45/SUM(scen_input_bau!$D$34:$D$46)</f>
        <v>0</v>
      </c>
      <c r="H45" s="116">
        <f>scen_input_bau!H45/SUM(scen_input_bau!$D$34:$D$46)</f>
        <v>0</v>
      </c>
      <c r="I45" s="116">
        <f>scen_input_bau!I45/SUM(scen_input_bau!$D$34:$D$46)</f>
        <v>0</v>
      </c>
      <c r="J45" s="116">
        <f>scen_input_bau!J45/SUM(scen_input_bau!$D$34:$D$46)</f>
        <v>0</v>
      </c>
      <c r="K45" s="116">
        <f>scen_input_bau!K45/SUM(scen_input_bau!$D$34:$D$46)</f>
        <v>0</v>
      </c>
      <c r="L45" s="427">
        <f t="shared" si="95"/>
        <v>0</v>
      </c>
      <c r="M45" s="427">
        <f t="shared" si="92"/>
        <v>0</v>
      </c>
      <c r="N45" s="427">
        <f t="shared" si="92"/>
        <v>0</v>
      </c>
      <c r="O45" s="427">
        <f t="shared" si="92"/>
        <v>0</v>
      </c>
      <c r="P45" s="427">
        <f t="shared" si="92"/>
        <v>0</v>
      </c>
      <c r="Q45" s="427">
        <f t="shared" si="92"/>
        <v>0</v>
      </c>
      <c r="R45" s="427">
        <f t="shared" si="92"/>
        <v>0</v>
      </c>
      <c r="S45" s="427">
        <f t="shared" si="92"/>
        <v>0</v>
      </c>
      <c r="T45" s="116">
        <f t="shared" si="93"/>
        <v>0</v>
      </c>
      <c r="U45" s="116">
        <f t="shared" si="94"/>
        <v>0</v>
      </c>
      <c r="V45" s="116">
        <f t="shared" si="94"/>
        <v>0</v>
      </c>
      <c r="W45" s="116">
        <f t="shared" si="94"/>
        <v>0</v>
      </c>
      <c r="X45" s="116">
        <f t="shared" si="94"/>
        <v>0</v>
      </c>
      <c r="Y45" s="116">
        <f t="shared" si="94"/>
        <v>0</v>
      </c>
      <c r="Z45" s="116">
        <f t="shared" si="94"/>
        <v>0</v>
      </c>
      <c r="AA45" s="116">
        <f t="shared" si="94"/>
        <v>0</v>
      </c>
    </row>
    <row r="46" spans="1:27" x14ac:dyDescent="0.25">
      <c r="A46" s="15" t="s">
        <v>18</v>
      </c>
      <c r="B46" s="2" t="s">
        <v>19</v>
      </c>
      <c r="C46" s="15" t="str">
        <f>scen_input_bau!C46</f>
        <v>EU Reference 2020</v>
      </c>
      <c r="D46" s="116">
        <f>scen_input_bau!D46/SUM(scen_input_bau!$D$34:$D$46)</f>
        <v>0</v>
      </c>
      <c r="E46" s="116">
        <f>scen_input_bau!E46/SUM(scen_input_bau!$D$34:$D$46)</f>
        <v>0</v>
      </c>
      <c r="F46" s="116">
        <f>scen_input_bau!F46/SUM(scen_input_bau!$D$34:$D$46)</f>
        <v>0</v>
      </c>
      <c r="G46" s="116">
        <f>scen_input_bau!G46/SUM(scen_input_bau!$D$34:$D$46)</f>
        <v>0</v>
      </c>
      <c r="H46" s="116">
        <f>scen_input_bau!H46/SUM(scen_input_bau!$D$34:$D$46)</f>
        <v>0</v>
      </c>
      <c r="I46" s="116">
        <f>scen_input_bau!I46/SUM(scen_input_bau!$D$34:$D$46)</f>
        <v>8.5082534440411887E-4</v>
      </c>
      <c r="J46" s="116">
        <f>scen_input_bau!J46/SUM(scen_input_bau!$D$34:$D$46)</f>
        <v>3.2253276205508136E-2</v>
      </c>
      <c r="K46" s="116">
        <f>scen_input_bau!K46/SUM(scen_input_bau!$D$34:$D$46)</f>
        <v>3.7204904535719091E-2</v>
      </c>
      <c r="L46" s="427">
        <f t="shared" si="95"/>
        <v>0</v>
      </c>
      <c r="M46" s="427">
        <f t="shared" si="92"/>
        <v>0</v>
      </c>
      <c r="N46" s="427">
        <f t="shared" si="92"/>
        <v>0</v>
      </c>
      <c r="O46" s="427">
        <f t="shared" si="92"/>
        <v>0</v>
      </c>
      <c r="P46" s="427">
        <f t="shared" si="92"/>
        <v>0</v>
      </c>
      <c r="Q46" s="427">
        <f t="shared" si="92"/>
        <v>8.5082534440411887E-4</v>
      </c>
      <c r="R46" s="427">
        <f t="shared" si="92"/>
        <v>3.2253276205508136E-2</v>
      </c>
      <c r="S46" s="427">
        <f t="shared" si="92"/>
        <v>3.7204904535719091E-2</v>
      </c>
      <c r="T46" s="116">
        <f t="shared" si="93"/>
        <v>0</v>
      </c>
      <c r="U46" s="116">
        <f t="shared" si="94"/>
        <v>0</v>
      </c>
      <c r="V46" s="116">
        <f t="shared" si="94"/>
        <v>0</v>
      </c>
      <c r="W46" s="116">
        <f t="shared" si="94"/>
        <v>0</v>
      </c>
      <c r="X46" s="116">
        <f t="shared" si="94"/>
        <v>0</v>
      </c>
      <c r="Y46" s="116">
        <f t="shared" si="94"/>
        <v>8.5082534440411898E-4</v>
      </c>
      <c r="Z46" s="116">
        <f t="shared" si="94"/>
        <v>3.2253276205508143E-2</v>
      </c>
      <c r="AA46" s="116">
        <f t="shared" si="94"/>
        <v>3.7204904535719098E-2</v>
      </c>
    </row>
    <row r="47" spans="1:27" x14ac:dyDescent="0.25">
      <c r="A47" s="19" t="s">
        <v>1048</v>
      </c>
      <c r="B47" s="19"/>
      <c r="C47" s="15" t="str">
        <f>scen_input_bau!C47</f>
        <v>EU Reference 2020</v>
      </c>
      <c r="D47" s="46">
        <f>SUM(scen_input_bau!D34:D46)/SUM(scen_input_bau!$D34:$D46)</f>
        <v>1</v>
      </c>
      <c r="E47" s="46">
        <f>SUM(scen_input_bau!E34:E46)/SUM(scen_input_bau!$D34:$D46)</f>
        <v>0.92227638666975487</v>
      </c>
      <c r="F47" s="46">
        <f>SUM(scen_input_bau!F34:F46)/SUM(scen_input_bau!$D34:$D46)</f>
        <v>0.85607309214488281</v>
      </c>
      <c r="G47" s="46">
        <f>SUM(scen_input_bau!G34:G46)/SUM(scen_input_bau!$D34:$D46)</f>
        <v>0.78160633499254017</v>
      </c>
      <c r="H47" s="46">
        <f>SUM(scen_input_bau!H34:H46)/SUM(scen_input_bau!$D34:$D46)</f>
        <v>0.89573889990764521</v>
      </c>
      <c r="I47" s="46">
        <f>SUM(scen_input_bau!I34:I46)/SUM(scen_input_bau!$D34:$D46)</f>
        <v>0.98485623332885175</v>
      </c>
      <c r="J47" s="46">
        <f>SUM(scen_input_bau!J34:J46)/SUM(scen_input_bau!$D34:$D46)</f>
        <v>1.0283147172927625</v>
      </c>
      <c r="K47" s="46">
        <f>SUM(scen_input_bau!K34:K46)/SUM(scen_input_bau!$D34:$D46)</f>
        <v>1.0610471254379203</v>
      </c>
      <c r="L47" s="47">
        <f>SUM(L34:L46)</f>
        <v>0.99999999999999989</v>
      </c>
      <c r="M47" s="47">
        <f t="shared" ref="M47:S47" si="96">SUM(M34:M46)</f>
        <v>0.92227638666975476</v>
      </c>
      <c r="N47" s="47">
        <f t="shared" si="96"/>
        <v>0.85607309214488281</v>
      </c>
      <c r="O47" s="47">
        <f t="shared" si="96"/>
        <v>0.7816063349925404</v>
      </c>
      <c r="P47" s="47">
        <f t="shared" si="96"/>
        <v>0.8957388999076451</v>
      </c>
      <c r="Q47" s="47">
        <f t="shared" si="96"/>
        <v>0.98485623332885175</v>
      </c>
      <c r="R47" s="47">
        <f t="shared" si="96"/>
        <v>1.0283147172927625</v>
      </c>
      <c r="S47" s="47">
        <f t="shared" si="96"/>
        <v>1.0610471254379201</v>
      </c>
      <c r="T47" s="47">
        <f>L47/$L47</f>
        <v>1</v>
      </c>
      <c r="U47" s="47">
        <f>M47/$L47</f>
        <v>0.92227638666975487</v>
      </c>
      <c r="V47" s="47">
        <f t="shared" ref="V47" si="97">N47/$L47</f>
        <v>0.85607309214488292</v>
      </c>
      <c r="W47" s="47">
        <f t="shared" ref="W47" si="98">O47/$L47</f>
        <v>0.78160633499254051</v>
      </c>
      <c r="X47" s="47">
        <f t="shared" ref="X47" si="99">P47/$L47</f>
        <v>0.89573889990764521</v>
      </c>
      <c r="Y47" s="47">
        <f t="shared" ref="Y47" si="100">Q47/$L47</f>
        <v>0.98485623332885186</v>
      </c>
      <c r="Z47" s="47">
        <f t="shared" ref="Z47" si="101">R47/$L47</f>
        <v>1.0283147172927627</v>
      </c>
      <c r="AA47" s="47">
        <f t="shared" ref="AA47" si="102">S47/$L47</f>
        <v>1.0610471254379203</v>
      </c>
    </row>
    <row r="48" spans="1:27" x14ac:dyDescent="0.25">
      <c r="A48" s="373" t="s">
        <v>1058</v>
      </c>
      <c r="B48" s="373"/>
      <c r="C48" s="297"/>
      <c r="D48" s="374"/>
      <c r="E48" s="374"/>
      <c r="F48" s="374"/>
      <c r="G48" s="374"/>
      <c r="H48" s="374"/>
      <c r="I48" s="374"/>
      <c r="J48" s="374"/>
      <c r="K48" s="374"/>
      <c r="L48" s="374"/>
      <c r="M48" s="374"/>
      <c r="N48" s="374"/>
      <c r="O48" s="374"/>
      <c r="P48" s="374"/>
      <c r="Q48" s="374"/>
      <c r="R48" s="374"/>
      <c r="S48" s="374"/>
      <c r="T48" s="374"/>
      <c r="U48" s="374"/>
      <c r="V48" s="374"/>
      <c r="W48" s="374"/>
      <c r="X48" s="374"/>
      <c r="Y48" s="47"/>
      <c r="Z48" s="47"/>
      <c r="AA48" s="47"/>
    </row>
    <row r="49" spans="1:27" x14ac:dyDescent="0.25">
      <c r="A49" s="375" t="s">
        <v>921</v>
      </c>
      <c r="B49" s="375"/>
      <c r="C49" s="297"/>
      <c r="D49" s="422" t="s">
        <v>1164</v>
      </c>
      <c r="E49" s="422" t="s">
        <v>1165</v>
      </c>
      <c r="F49" s="422" t="s">
        <v>1166</v>
      </c>
      <c r="G49" s="422" t="s">
        <v>1167</v>
      </c>
      <c r="H49" s="422" t="s">
        <v>1168</v>
      </c>
      <c r="I49" s="422" t="s">
        <v>1169</v>
      </c>
      <c r="J49" s="422" t="s">
        <v>1170</v>
      </c>
      <c r="K49" s="422" t="s">
        <v>1171</v>
      </c>
      <c r="L49" s="176" t="s">
        <v>1121</v>
      </c>
      <c r="M49" s="176" t="s">
        <v>1122</v>
      </c>
      <c r="N49" s="176" t="s">
        <v>1123</v>
      </c>
      <c r="O49" s="176" t="s">
        <v>1124</v>
      </c>
      <c r="P49" s="176" t="s">
        <v>1125</v>
      </c>
      <c r="Q49" s="176" t="s">
        <v>1126</v>
      </c>
      <c r="R49" s="176" t="s">
        <v>1127</v>
      </c>
      <c r="S49" s="176" t="s">
        <v>1128</v>
      </c>
      <c r="T49" s="428" t="s">
        <v>1137</v>
      </c>
      <c r="U49" s="428" t="s">
        <v>1138</v>
      </c>
      <c r="V49" s="428" t="s">
        <v>1139</v>
      </c>
      <c r="W49" s="428" t="s">
        <v>1140</v>
      </c>
      <c r="X49" s="428" t="s">
        <v>1141</v>
      </c>
      <c r="Y49" s="428" t="s">
        <v>1142</v>
      </c>
      <c r="Z49" s="428" t="s">
        <v>1143</v>
      </c>
      <c r="AA49" s="428" t="s">
        <v>1144</v>
      </c>
    </row>
    <row r="50" spans="1:27" x14ac:dyDescent="0.25">
      <c r="A50" s="297" t="s">
        <v>2</v>
      </c>
      <c r="B50" s="297" t="s">
        <v>3</v>
      </c>
      <c r="C50" s="297" t="str">
        <f>scen_input_bau!C50</f>
        <v>EU Reference 2020</v>
      </c>
      <c r="D50" s="377">
        <f>scen_input_bau!D50/SUM(scen_input_bau!$D$50:$D$62)</f>
        <v>0.51645296878398617</v>
      </c>
      <c r="E50" s="377">
        <f>scen_input_bau!E50/SUM(scen_input_bau!$D$50:$D$62)</f>
        <v>0.53715199868625318</v>
      </c>
      <c r="F50" s="377">
        <f>scen_input_bau!F50/SUM(scen_input_bau!$D$50:$D$62)</f>
        <v>0.53326485692056913</v>
      </c>
      <c r="G50" s="377">
        <f>scen_input_bau!G50/SUM(scen_input_bau!$D$50:$D$62)</f>
        <v>0.50028298317178033</v>
      </c>
      <c r="H50" s="377">
        <f>scen_input_bau!H50/SUM(scen_input_bau!$D$50:$D$62)</f>
        <v>0.29597298285009099</v>
      </c>
      <c r="I50" s="377">
        <f>scen_input_bau!I50/SUM(scen_input_bau!$D$50:$D$62)</f>
        <v>0.14991512852748676</v>
      </c>
      <c r="J50" s="377">
        <f>scen_input_bau!J50/SUM(scen_input_bau!$D$50:$D$62)</f>
        <v>0.10119258760872522</v>
      </c>
      <c r="K50" s="377">
        <f>scen_input_bau!K50/SUM(scen_input_bau!$D$50:$D$62)</f>
        <v>9.5674001533459244E-2</v>
      </c>
      <c r="L50" s="427">
        <f>D50</f>
        <v>0.51645296878398617</v>
      </c>
      <c r="M50" s="427">
        <f t="shared" ref="M50:S62" si="103">E50</f>
        <v>0.53715199868625318</v>
      </c>
      <c r="N50" s="427">
        <f t="shared" si="103"/>
        <v>0.53326485692056913</v>
      </c>
      <c r="O50" s="427">
        <f t="shared" si="103"/>
        <v>0.50028298317178033</v>
      </c>
      <c r="P50" s="427">
        <f t="shared" si="103"/>
        <v>0.29597298285009099</v>
      </c>
      <c r="Q50" s="427">
        <f t="shared" si="103"/>
        <v>0.14991512852748676</v>
      </c>
      <c r="R50" s="427">
        <f t="shared" si="103"/>
        <v>0.10119258760872522</v>
      </c>
      <c r="S50" s="427">
        <f t="shared" si="103"/>
        <v>9.5674001533459244E-2</v>
      </c>
      <c r="T50" s="377">
        <f t="shared" ref="T50:T62" si="104">L50/L$63*T$63</f>
        <v>0.51645296878398617</v>
      </c>
      <c r="U50" s="377">
        <f t="shared" ref="U50:AA62" si="105">M50/M$63*U$63</f>
        <v>0.53715199868625318</v>
      </c>
      <c r="V50" s="377">
        <f t="shared" si="105"/>
        <v>0.53326485692056913</v>
      </c>
      <c r="W50" s="377">
        <f t="shared" si="105"/>
        <v>0.50028298317178033</v>
      </c>
      <c r="X50" s="377">
        <f t="shared" si="105"/>
        <v>0.29597298285009099</v>
      </c>
      <c r="Y50" s="377">
        <f t="shared" si="105"/>
        <v>0.14991512852748676</v>
      </c>
      <c r="Z50" s="377">
        <f t="shared" si="105"/>
        <v>0.10119258760872522</v>
      </c>
      <c r="AA50" s="377">
        <f t="shared" si="105"/>
        <v>9.5674001533459258E-2</v>
      </c>
    </row>
    <row r="51" spans="1:27" x14ac:dyDescent="0.25">
      <c r="A51" s="297" t="s">
        <v>4</v>
      </c>
      <c r="B51" s="297" t="s">
        <v>5</v>
      </c>
      <c r="C51" s="297" t="str">
        <f>scen_input_bau!C51</f>
        <v>EU Reference 2020</v>
      </c>
      <c r="D51" s="377">
        <f>scen_input_bau!D51/SUM(scen_input_bau!$D$50:$D$62)</f>
        <v>4.9705133728082031E-2</v>
      </c>
      <c r="E51" s="377">
        <f>scen_input_bau!E51/SUM(scen_input_bau!$D$50:$D$62)</f>
        <v>3.1578086513825536E-2</v>
      </c>
      <c r="F51" s="377">
        <f>scen_input_bau!F51/SUM(scen_input_bau!$D$50:$D$62)</f>
        <v>4.3164418270138089E-2</v>
      </c>
      <c r="G51" s="377">
        <f>scen_input_bau!G51/SUM(scen_input_bau!$D$50:$D$62)</f>
        <v>2.5438144409813596E-2</v>
      </c>
      <c r="H51" s="377">
        <f>scen_input_bau!H51/SUM(scen_input_bau!$D$50:$D$62)</f>
        <v>6.5873986067698939E-2</v>
      </c>
      <c r="I51" s="377">
        <f>scen_input_bau!I51/SUM(scen_input_bau!$D$50:$D$62)</f>
        <v>9.8285350063064006E-2</v>
      </c>
      <c r="J51" s="377">
        <f>scen_input_bau!J51/SUM(scen_input_bau!$D$50:$D$62)</f>
        <v>0.13752477733175533</v>
      </c>
      <c r="K51" s="377">
        <f>scen_input_bau!K51/SUM(scen_input_bau!$D$50:$D$62)</f>
        <v>0.18306508970953961</v>
      </c>
      <c r="L51" s="427">
        <f t="shared" ref="L51:L62" si="106">D51</f>
        <v>4.9705133728082031E-2</v>
      </c>
      <c r="M51" s="427">
        <f t="shared" si="103"/>
        <v>3.1578086513825536E-2</v>
      </c>
      <c r="N51" s="427">
        <f t="shared" si="103"/>
        <v>4.3164418270138089E-2</v>
      </c>
      <c r="O51" s="427">
        <f t="shared" si="103"/>
        <v>2.5438144409813596E-2</v>
      </c>
      <c r="P51" s="427">
        <f t="shared" si="103"/>
        <v>6.5873986067698939E-2</v>
      </c>
      <c r="Q51" s="427">
        <f t="shared" si="103"/>
        <v>9.8285350063064006E-2</v>
      </c>
      <c r="R51" s="427">
        <f t="shared" si="103"/>
        <v>0.13752477733175533</v>
      </c>
      <c r="S51" s="427">
        <f t="shared" si="103"/>
        <v>0.18306508970953961</v>
      </c>
      <c r="T51" s="377">
        <f t="shared" si="104"/>
        <v>4.9705133728082031E-2</v>
      </c>
      <c r="U51" s="377">
        <f t="shared" si="105"/>
        <v>3.1578086513825536E-2</v>
      </c>
      <c r="V51" s="377">
        <f t="shared" si="105"/>
        <v>4.3164418270138089E-2</v>
      </c>
      <c r="W51" s="377">
        <f t="shared" si="105"/>
        <v>2.5438144409813596E-2</v>
      </c>
      <c r="X51" s="377">
        <f t="shared" si="105"/>
        <v>6.5873986067698939E-2</v>
      </c>
      <c r="Y51" s="377">
        <f t="shared" si="105"/>
        <v>9.8285350063064006E-2</v>
      </c>
      <c r="Z51" s="377">
        <f t="shared" si="105"/>
        <v>0.13752477733175533</v>
      </c>
      <c r="AA51" s="377">
        <f t="shared" si="105"/>
        <v>0.18306508970953961</v>
      </c>
    </row>
    <row r="52" spans="1:27" x14ac:dyDescent="0.25">
      <c r="A52" s="297" t="s">
        <v>6</v>
      </c>
      <c r="B52" s="297" t="s">
        <v>7</v>
      </c>
      <c r="C52" s="297" t="str">
        <f>scen_input_bau!C52</f>
        <v>EU Reference 2020</v>
      </c>
      <c r="D52" s="377">
        <f>scen_input_bau!D52/SUM(scen_input_bau!$D$50:$D$62)</f>
        <v>0.21425702923322931</v>
      </c>
      <c r="E52" s="377">
        <f>scen_input_bau!E52/SUM(scen_input_bau!$D$50:$D$62)</f>
        <v>0.21425702923322931</v>
      </c>
      <c r="F52" s="377">
        <f>scen_input_bau!F52/SUM(scen_input_bau!$D$50:$D$62)</f>
        <v>0.21425702923322931</v>
      </c>
      <c r="G52" s="377">
        <f>scen_input_bau!G52/SUM(scen_input_bau!$D$50:$D$62)</f>
        <v>0.21425702923322931</v>
      </c>
      <c r="H52" s="377">
        <f>scen_input_bau!H52/SUM(scen_input_bau!$D$50:$D$62)</f>
        <v>0.21425702923322931</v>
      </c>
      <c r="I52" s="377">
        <f>scen_input_bau!I52/SUM(scen_input_bau!$D$50:$D$62)</f>
        <v>0.27843658507831359</v>
      </c>
      <c r="J52" s="377">
        <f>scen_input_bau!J52/SUM(scen_input_bau!$D$50:$D$62)</f>
        <v>0.27843658507831359</v>
      </c>
      <c r="K52" s="377">
        <f>scen_input_bau!K52/SUM(scen_input_bau!$D$50:$D$62)</f>
        <v>0.23787510578422036</v>
      </c>
      <c r="L52" s="427">
        <f t="shared" si="106"/>
        <v>0.21425702923322931</v>
      </c>
      <c r="M52" s="427">
        <f t="shared" si="103"/>
        <v>0.21425702923322931</v>
      </c>
      <c r="N52" s="427">
        <f t="shared" si="103"/>
        <v>0.21425702923322931</v>
      </c>
      <c r="O52" s="427">
        <f t="shared" si="103"/>
        <v>0.21425702923322931</v>
      </c>
      <c r="P52" s="427">
        <f t="shared" si="103"/>
        <v>0.21425702923322931</v>
      </c>
      <c r="Q52" s="427">
        <f t="shared" si="103"/>
        <v>0.27843658507831359</v>
      </c>
      <c r="R52" s="427">
        <f t="shared" si="103"/>
        <v>0.27843658507831359</v>
      </c>
      <c r="S52" s="427">
        <f t="shared" si="103"/>
        <v>0.23787510578422036</v>
      </c>
      <c r="T52" s="377">
        <f t="shared" si="104"/>
        <v>0.21425702923322931</v>
      </c>
      <c r="U52" s="377">
        <f t="shared" si="105"/>
        <v>0.21425702923322931</v>
      </c>
      <c r="V52" s="377">
        <f t="shared" si="105"/>
        <v>0.21425702923322931</v>
      </c>
      <c r="W52" s="377">
        <f t="shared" si="105"/>
        <v>0.21425702923322931</v>
      </c>
      <c r="X52" s="377">
        <f t="shared" si="105"/>
        <v>0.21425702923322931</v>
      </c>
      <c r="Y52" s="377">
        <f t="shared" si="105"/>
        <v>0.27843658507831359</v>
      </c>
      <c r="Z52" s="377">
        <f t="shared" si="105"/>
        <v>0.27843658507831359</v>
      </c>
      <c r="AA52" s="377">
        <f t="shared" si="105"/>
        <v>0.23787510578422036</v>
      </c>
    </row>
    <row r="53" spans="1:27" x14ac:dyDescent="0.25">
      <c r="A53" s="297" t="s">
        <v>8</v>
      </c>
      <c r="B53" s="297" t="s">
        <v>9</v>
      </c>
      <c r="C53" s="297" t="str">
        <f>scen_input_bau!C53</f>
        <v>EU Reference 2020</v>
      </c>
      <c r="D53" s="377">
        <f>scen_input_bau!D53/SUM(scen_input_bau!$D$50:$D$62)</f>
        <v>5.8189463966209748E-2</v>
      </c>
      <c r="E53" s="377">
        <f>scen_input_bau!E53/SUM(scen_input_bau!$D$50:$D$62)</f>
        <v>5.8296429892618212E-2</v>
      </c>
      <c r="F53" s="377">
        <f>scen_input_bau!F53/SUM(scen_input_bau!$D$50:$D$62)</f>
        <v>5.9103375926449105E-2</v>
      </c>
      <c r="G53" s="377">
        <f>scen_input_bau!G53/SUM(scen_input_bau!$D$50:$D$62)</f>
        <v>5.9706380401566561E-2</v>
      </c>
      <c r="H53" s="377">
        <f>scen_input_bau!H53/SUM(scen_input_bau!$D$50:$D$62)</f>
        <v>5.9706380401566561E-2</v>
      </c>
      <c r="I53" s="377">
        <f>scen_input_bau!I53/SUM(scen_input_bau!$D$50:$D$62)</f>
        <v>6.0266149209727726E-2</v>
      </c>
      <c r="J53" s="377">
        <f>scen_input_bau!J53/SUM(scen_input_bau!$D$50:$D$62)</f>
        <v>6.0477852090931081E-2</v>
      </c>
      <c r="K53" s="377">
        <f>scen_input_bau!K53/SUM(scen_input_bau!$D$50:$D$62)</f>
        <v>6.05060103356405E-2</v>
      </c>
      <c r="L53" s="427">
        <f t="shared" si="106"/>
        <v>5.8189463966209748E-2</v>
      </c>
      <c r="M53" s="427">
        <f t="shared" si="103"/>
        <v>5.8296429892618212E-2</v>
      </c>
      <c r="N53" s="427">
        <f t="shared" si="103"/>
        <v>5.9103375926449105E-2</v>
      </c>
      <c r="O53" s="427">
        <f t="shared" si="103"/>
        <v>5.9706380401566561E-2</v>
      </c>
      <c r="P53" s="427">
        <f t="shared" si="103"/>
        <v>5.9706380401566561E-2</v>
      </c>
      <c r="Q53" s="427">
        <f t="shared" si="103"/>
        <v>6.0266149209727726E-2</v>
      </c>
      <c r="R53" s="427">
        <f t="shared" si="103"/>
        <v>6.0477852090931081E-2</v>
      </c>
      <c r="S53" s="427">
        <f t="shared" si="103"/>
        <v>6.05060103356405E-2</v>
      </c>
      <c r="T53" s="377">
        <f t="shared" si="104"/>
        <v>5.8189463966209748E-2</v>
      </c>
      <c r="U53" s="377">
        <f t="shared" si="105"/>
        <v>5.8296429892618212E-2</v>
      </c>
      <c r="V53" s="377">
        <f t="shared" si="105"/>
        <v>5.9103375926449105E-2</v>
      </c>
      <c r="W53" s="377">
        <f t="shared" si="105"/>
        <v>5.9706380401566561E-2</v>
      </c>
      <c r="X53" s="377">
        <f t="shared" si="105"/>
        <v>5.9706380401566561E-2</v>
      </c>
      <c r="Y53" s="377">
        <f t="shared" si="105"/>
        <v>6.0266149209727726E-2</v>
      </c>
      <c r="Z53" s="377">
        <f t="shared" si="105"/>
        <v>6.0477852090931081E-2</v>
      </c>
      <c r="AA53" s="377">
        <f t="shared" si="105"/>
        <v>6.05060103356405E-2</v>
      </c>
    </row>
    <row r="54" spans="1:27" x14ac:dyDescent="0.25">
      <c r="A54" s="297" t="s">
        <v>342</v>
      </c>
      <c r="B54" s="297" t="s">
        <v>336</v>
      </c>
      <c r="C54" s="297" t="str">
        <f>scen_input_bau!C54</f>
        <v>EU Reference 2020</v>
      </c>
      <c r="D54" s="377">
        <f>scen_input_bau!D54/SUM(scen_input_bau!$D$50:$D$62)</f>
        <v>1.5031386808550779E-2</v>
      </c>
      <c r="E54" s="377">
        <f>scen_input_bau!E54/SUM(scen_input_bau!$D$50:$D$62)</f>
        <v>2.1184601725198239E-2</v>
      </c>
      <c r="F54" s="377">
        <f>scen_input_bau!F54/SUM(scen_input_bau!$D$50:$D$62)</f>
        <v>7.3388077295260076E-2</v>
      </c>
      <c r="G54" s="377">
        <f>scen_input_bau!G54/SUM(scen_input_bau!$D$50:$D$62)</f>
        <v>8.7126969932011425E-2</v>
      </c>
      <c r="H54" s="377">
        <f>scen_input_bau!H54/SUM(scen_input_bau!$D$50:$D$62)</f>
        <v>0.14342111137877295</v>
      </c>
      <c r="I54" s="377">
        <f>scen_input_bau!I54/SUM(scen_input_bau!$D$50:$D$62)</f>
        <v>0.17701844041863685</v>
      </c>
      <c r="J54" s="377">
        <f>scen_input_bau!J54/SUM(scen_input_bau!$D$50:$D$62)</f>
        <v>0.19632098868584325</v>
      </c>
      <c r="K54" s="377">
        <f>scen_input_bau!K54/SUM(scen_input_bau!$D$50:$D$62)</f>
        <v>0.20571975172018794</v>
      </c>
      <c r="L54" s="427">
        <f t="shared" si="106"/>
        <v>1.5031386808550779E-2</v>
      </c>
      <c r="M54" s="427">
        <f t="shared" si="103"/>
        <v>2.1184601725198239E-2</v>
      </c>
      <c r="N54" s="427">
        <f t="shared" si="103"/>
        <v>7.3388077295260076E-2</v>
      </c>
      <c r="O54" s="427">
        <f t="shared" si="103"/>
        <v>8.7126969932011425E-2</v>
      </c>
      <c r="P54" s="427">
        <f t="shared" si="103"/>
        <v>0.14342111137877295</v>
      </c>
      <c r="Q54" s="427">
        <f t="shared" si="103"/>
        <v>0.17701844041863685</v>
      </c>
      <c r="R54" s="427">
        <f t="shared" si="103"/>
        <v>0.19632098868584325</v>
      </c>
      <c r="S54" s="427">
        <f t="shared" si="103"/>
        <v>0.20571975172018794</v>
      </c>
      <c r="T54" s="377">
        <f t="shared" si="104"/>
        <v>1.5031386808550779E-2</v>
      </c>
      <c r="U54" s="377">
        <f t="shared" si="105"/>
        <v>2.1184601725198239E-2</v>
      </c>
      <c r="V54" s="377">
        <f t="shared" si="105"/>
        <v>7.3388077295260076E-2</v>
      </c>
      <c r="W54" s="377">
        <f t="shared" si="105"/>
        <v>8.7126969932011425E-2</v>
      </c>
      <c r="X54" s="377">
        <f t="shared" si="105"/>
        <v>0.14342111137877295</v>
      </c>
      <c r="Y54" s="377">
        <f t="shared" si="105"/>
        <v>0.17701844041863682</v>
      </c>
      <c r="Z54" s="377">
        <f t="shared" si="105"/>
        <v>0.19632098868584325</v>
      </c>
      <c r="AA54" s="377">
        <f t="shared" si="105"/>
        <v>0.20571975172018794</v>
      </c>
    </row>
    <row r="55" spans="1:27" x14ac:dyDescent="0.25">
      <c r="A55" s="297" t="s">
        <v>343</v>
      </c>
      <c r="B55" s="297" t="s">
        <v>337</v>
      </c>
      <c r="C55" s="297" t="str">
        <f>scen_input_bau!C55</f>
        <v>EU Reference 2020</v>
      </c>
      <c r="D55" s="377">
        <f>scen_input_bau!D55/SUM(scen_input_bau!$D$50:$D$62)</f>
        <v>0</v>
      </c>
      <c r="E55" s="377">
        <f>scen_input_bau!E55/SUM(scen_input_bau!$D$50:$D$62)</f>
        <v>0</v>
      </c>
      <c r="F55" s="377">
        <f>scen_input_bau!F55/SUM(scen_input_bau!$D$50:$D$62)</f>
        <v>0</v>
      </c>
      <c r="G55" s="377">
        <f>scen_input_bau!G55/SUM(scen_input_bau!$D$50:$D$62)</f>
        <v>0</v>
      </c>
      <c r="H55" s="377">
        <f>scen_input_bau!H55/SUM(scen_input_bau!$D$50:$D$62)</f>
        <v>0</v>
      </c>
      <c r="I55" s="377">
        <f>scen_input_bau!I55/SUM(scen_input_bau!$D$50:$D$62)</f>
        <v>0</v>
      </c>
      <c r="J55" s="377">
        <f>scen_input_bau!J55/SUM(scen_input_bau!$D$50:$D$62)</f>
        <v>0</v>
      </c>
      <c r="K55" s="377">
        <f>scen_input_bau!K55/SUM(scen_input_bau!$D$50:$D$62)</f>
        <v>0</v>
      </c>
      <c r="L55" s="427">
        <f t="shared" si="106"/>
        <v>0</v>
      </c>
      <c r="M55" s="427">
        <f t="shared" si="103"/>
        <v>0</v>
      </c>
      <c r="N55" s="427">
        <f t="shared" si="103"/>
        <v>0</v>
      </c>
      <c r="O55" s="427">
        <f t="shared" si="103"/>
        <v>0</v>
      </c>
      <c r="P55" s="427">
        <f t="shared" si="103"/>
        <v>0</v>
      </c>
      <c r="Q55" s="427">
        <f t="shared" si="103"/>
        <v>0</v>
      </c>
      <c r="R55" s="427">
        <f t="shared" si="103"/>
        <v>0</v>
      </c>
      <c r="S55" s="427">
        <f t="shared" si="103"/>
        <v>0</v>
      </c>
      <c r="T55" s="377">
        <f t="shared" si="104"/>
        <v>0</v>
      </c>
      <c r="U55" s="377">
        <f t="shared" si="105"/>
        <v>0</v>
      </c>
      <c r="V55" s="377">
        <f t="shared" si="105"/>
        <v>0</v>
      </c>
      <c r="W55" s="377">
        <f t="shared" si="105"/>
        <v>0</v>
      </c>
      <c r="X55" s="377">
        <f t="shared" si="105"/>
        <v>0</v>
      </c>
      <c r="Y55" s="377">
        <f t="shared" si="105"/>
        <v>0</v>
      </c>
      <c r="Z55" s="377">
        <f t="shared" si="105"/>
        <v>0</v>
      </c>
      <c r="AA55" s="377">
        <f t="shared" si="105"/>
        <v>0</v>
      </c>
    </row>
    <row r="56" spans="1:27" x14ac:dyDescent="0.25">
      <c r="A56" s="297" t="s">
        <v>10</v>
      </c>
      <c r="B56" s="297" t="s">
        <v>11</v>
      </c>
      <c r="C56" s="297" t="str">
        <f>scen_input_bau!C56</f>
        <v>EU Reference 2020</v>
      </c>
      <c r="D56" s="377">
        <f>scen_input_bau!D56/SUM(scen_input_bau!$D$50:$D$62)</f>
        <v>7.162979679899031E-3</v>
      </c>
      <c r="E56" s="377">
        <f>scen_input_bau!E56/SUM(scen_input_bau!$D$50:$D$62)</f>
        <v>3.8427573241800045E-3</v>
      </c>
      <c r="F56" s="377">
        <f>scen_input_bau!F56/SUM(scen_input_bau!$D$50:$D$62)</f>
        <v>3.4069781399918824E-3</v>
      </c>
      <c r="G56" s="377">
        <f>scen_input_bau!G56/SUM(scen_input_bau!$D$50:$D$62)</f>
        <v>3.4069781399918824E-3</v>
      </c>
      <c r="H56" s="377">
        <f>scen_input_bau!H56/SUM(scen_input_bau!$D$50:$D$62)</f>
        <v>2.3908018391113821E-3</v>
      </c>
      <c r="I56" s="377">
        <f>scen_input_bau!I56/SUM(scen_input_bau!$D$50:$D$62)</f>
        <v>2.2037280607563377E-3</v>
      </c>
      <c r="J56" s="377">
        <f>scen_input_bau!J56/SUM(scen_input_bau!$D$50:$D$62)</f>
        <v>2.2037280607563377E-3</v>
      </c>
      <c r="K56" s="377">
        <f>scen_input_bau!K56/SUM(scen_input_bau!$D$50:$D$62)</f>
        <v>1.2891693899638873E-3</v>
      </c>
      <c r="L56" s="427">
        <f t="shared" si="106"/>
        <v>7.162979679899031E-3</v>
      </c>
      <c r="M56" s="427">
        <f t="shared" si="103"/>
        <v>3.8427573241800045E-3</v>
      </c>
      <c r="N56" s="427">
        <f t="shared" si="103"/>
        <v>3.4069781399918824E-3</v>
      </c>
      <c r="O56" s="427">
        <f t="shared" si="103"/>
        <v>3.4069781399918824E-3</v>
      </c>
      <c r="P56" s="427">
        <f t="shared" si="103"/>
        <v>2.3908018391113821E-3</v>
      </c>
      <c r="Q56" s="427">
        <f t="shared" si="103"/>
        <v>2.2037280607563377E-3</v>
      </c>
      <c r="R56" s="427">
        <f t="shared" si="103"/>
        <v>2.2037280607563377E-3</v>
      </c>
      <c r="S56" s="427">
        <f t="shared" si="103"/>
        <v>1.2891693899638873E-3</v>
      </c>
      <c r="T56" s="377">
        <f t="shared" si="104"/>
        <v>7.162979679899031E-3</v>
      </c>
      <c r="U56" s="377">
        <f t="shared" si="105"/>
        <v>3.8427573241800045E-3</v>
      </c>
      <c r="V56" s="377">
        <f t="shared" si="105"/>
        <v>3.4069781399918824E-3</v>
      </c>
      <c r="W56" s="377">
        <f t="shared" si="105"/>
        <v>3.4069781399918824E-3</v>
      </c>
      <c r="X56" s="377">
        <f t="shared" si="105"/>
        <v>2.3908018391113821E-3</v>
      </c>
      <c r="Y56" s="377">
        <f t="shared" si="105"/>
        <v>2.2037280607563377E-3</v>
      </c>
      <c r="Z56" s="377">
        <f t="shared" si="105"/>
        <v>2.2037280607563377E-3</v>
      </c>
      <c r="AA56" s="377">
        <f t="shared" si="105"/>
        <v>1.2891693899638873E-3</v>
      </c>
    </row>
    <row r="57" spans="1:27" x14ac:dyDescent="0.25">
      <c r="A57" s="297" t="s">
        <v>12</v>
      </c>
      <c r="B57" s="297" t="s">
        <v>13</v>
      </c>
      <c r="C57" s="297" t="str">
        <f>scen_input_bau!C57</f>
        <v>EU Reference 2020</v>
      </c>
      <c r="D57" s="377">
        <f>scen_input_bau!D57/SUM(scen_input_bau!$D$50:$D$62)</f>
        <v>2.8223889151251461E-2</v>
      </c>
      <c r="E57" s="377">
        <f>scen_input_bau!E57/SUM(scen_input_bau!$D$50:$D$62)</f>
        <v>3.4536349782944641E-2</v>
      </c>
      <c r="F57" s="377">
        <f>scen_input_bau!F57/SUM(scen_input_bau!$D$50:$D$62)</f>
        <v>3.9841342619728604E-2</v>
      </c>
      <c r="G57" s="377">
        <f>scen_input_bau!G57/SUM(scen_input_bau!$D$50:$D$62)</f>
        <v>4.1247350780870648E-2</v>
      </c>
      <c r="H57" s="377">
        <f>scen_input_bau!H57/SUM(scen_input_bau!$D$50:$D$62)</f>
        <v>4.7926053043984666E-2</v>
      </c>
      <c r="I57" s="377">
        <f>scen_input_bau!I57/SUM(scen_input_bau!$D$50:$D$62)</f>
        <v>5.7549516970937964E-2</v>
      </c>
      <c r="J57" s="377">
        <f>scen_input_bau!J57/SUM(scen_input_bau!$D$50:$D$62)</f>
        <v>6.6250764614440308E-2</v>
      </c>
      <c r="K57" s="377">
        <f>scen_input_bau!K57/SUM(scen_input_bau!$D$50:$D$62)</f>
        <v>8.257028255245856E-2</v>
      </c>
      <c r="L57" s="427">
        <f t="shared" si="106"/>
        <v>2.8223889151251461E-2</v>
      </c>
      <c r="M57" s="427">
        <f t="shared" si="103"/>
        <v>3.4536349782944641E-2</v>
      </c>
      <c r="N57" s="427">
        <f t="shared" si="103"/>
        <v>3.9841342619728604E-2</v>
      </c>
      <c r="O57" s="427">
        <f t="shared" si="103"/>
        <v>4.1247350780870648E-2</v>
      </c>
      <c r="P57" s="427">
        <f t="shared" si="103"/>
        <v>4.7926053043984666E-2</v>
      </c>
      <c r="Q57" s="427">
        <f t="shared" si="103"/>
        <v>5.7549516970937964E-2</v>
      </c>
      <c r="R57" s="427">
        <f t="shared" si="103"/>
        <v>6.6250764614440308E-2</v>
      </c>
      <c r="S57" s="427">
        <f t="shared" si="103"/>
        <v>8.257028255245856E-2</v>
      </c>
      <c r="T57" s="377">
        <f t="shared" si="104"/>
        <v>2.8223889151251461E-2</v>
      </c>
      <c r="U57" s="377">
        <f t="shared" si="105"/>
        <v>3.4536349782944641E-2</v>
      </c>
      <c r="V57" s="377">
        <f t="shared" si="105"/>
        <v>3.9841342619728604E-2</v>
      </c>
      <c r="W57" s="377">
        <f t="shared" si="105"/>
        <v>4.1247350780870648E-2</v>
      </c>
      <c r="X57" s="377">
        <f t="shared" si="105"/>
        <v>4.7926053043984666E-2</v>
      </c>
      <c r="Y57" s="377">
        <f t="shared" si="105"/>
        <v>5.7549516970937964E-2</v>
      </c>
      <c r="Z57" s="377">
        <f t="shared" si="105"/>
        <v>6.6250764614440308E-2</v>
      </c>
      <c r="AA57" s="377">
        <f t="shared" si="105"/>
        <v>8.257028255245856E-2</v>
      </c>
    </row>
    <row r="58" spans="1:27" x14ac:dyDescent="0.25">
      <c r="A58" s="297" t="s">
        <v>831</v>
      </c>
      <c r="B58" s="297" t="s">
        <v>338</v>
      </c>
      <c r="C58" s="297" t="str">
        <f>scen_input_bau!C58</f>
        <v>EU Reference 2020</v>
      </c>
      <c r="D58" s="377">
        <f>scen_input_bau!D58/SUM(scen_input_bau!$D$50:$D$62)</f>
        <v>7.1117610310716284E-2</v>
      </c>
      <c r="E58" s="377">
        <f>scen_input_bau!E58/SUM(scen_input_bau!$D$50:$D$62)</f>
        <v>7.1117610310716284E-2</v>
      </c>
      <c r="F58" s="377">
        <f>scen_input_bau!F58/SUM(scen_input_bau!$D$50:$D$62)</f>
        <v>0.12435617024167683</v>
      </c>
      <c r="G58" s="377">
        <f>scen_input_bau!G58/SUM(scen_input_bau!$D$50:$D$62)</f>
        <v>0.13693256783592944</v>
      </c>
      <c r="H58" s="377">
        <f>scen_input_bau!H58/SUM(scen_input_bau!$D$50:$D$62)</f>
        <v>0.14416333584156801</v>
      </c>
      <c r="I58" s="377">
        <f>scen_input_bau!I58/SUM(scen_input_bau!$D$50:$D$62)</f>
        <v>0.16410682762052575</v>
      </c>
      <c r="J58" s="377">
        <f>scen_input_bau!J58/SUM(scen_input_bau!$D$50:$D$62)</f>
        <v>0.19648635874005674</v>
      </c>
      <c r="K58" s="377">
        <f>scen_input_bau!K58/SUM(scen_input_bau!$D$50:$D$62)</f>
        <v>0.19648635874005674</v>
      </c>
      <c r="L58" s="427">
        <f t="shared" si="106"/>
        <v>7.1117610310716284E-2</v>
      </c>
      <c r="M58" s="427">
        <f t="shared" si="103"/>
        <v>7.1117610310716284E-2</v>
      </c>
      <c r="N58" s="427">
        <f t="shared" si="103"/>
        <v>0.12435617024167683</v>
      </c>
      <c r="O58" s="427">
        <f t="shared" si="103"/>
        <v>0.13693256783592944</v>
      </c>
      <c r="P58" s="427">
        <f t="shared" si="103"/>
        <v>0.14416333584156801</v>
      </c>
      <c r="Q58" s="427">
        <f t="shared" si="103"/>
        <v>0.16410682762052575</v>
      </c>
      <c r="R58" s="427">
        <f t="shared" si="103"/>
        <v>0.19648635874005674</v>
      </c>
      <c r="S58" s="427">
        <f t="shared" si="103"/>
        <v>0.19648635874005674</v>
      </c>
      <c r="T58" s="377">
        <f t="shared" si="104"/>
        <v>7.1117610310716284E-2</v>
      </c>
      <c r="U58" s="377">
        <f t="shared" si="105"/>
        <v>7.1117610310716284E-2</v>
      </c>
      <c r="V58" s="377">
        <f t="shared" si="105"/>
        <v>0.12435617024167683</v>
      </c>
      <c r="W58" s="377">
        <f t="shared" si="105"/>
        <v>0.13693256783592944</v>
      </c>
      <c r="X58" s="377">
        <f t="shared" si="105"/>
        <v>0.14416333584156801</v>
      </c>
      <c r="Y58" s="377">
        <f t="shared" si="105"/>
        <v>0.16410682762052575</v>
      </c>
      <c r="Z58" s="377">
        <f t="shared" si="105"/>
        <v>0.19648635874005671</v>
      </c>
      <c r="AA58" s="377">
        <f t="shared" si="105"/>
        <v>0.19648635874005674</v>
      </c>
    </row>
    <row r="59" spans="1:27" x14ac:dyDescent="0.25">
      <c r="A59" s="297" t="s">
        <v>832</v>
      </c>
      <c r="B59" s="297" t="s">
        <v>339</v>
      </c>
      <c r="C59" s="297" t="str">
        <f>scen_input_bau!C59</f>
        <v>EU Reference 2020</v>
      </c>
      <c r="D59" s="377">
        <f>scen_input_bau!D59/SUM(scen_input_bau!$D$50:$D$62)</f>
        <v>3.9859538338075262E-2</v>
      </c>
      <c r="E59" s="377">
        <f>scen_input_bau!E59/SUM(scen_input_bau!$D$50:$D$62)</f>
        <v>3.9859538338075262E-2</v>
      </c>
      <c r="F59" s="377">
        <f>scen_input_bau!F59/SUM(scen_input_bau!$D$50:$D$62)</f>
        <v>6.9698342135905894E-2</v>
      </c>
      <c r="G59" s="377">
        <f>scen_input_bau!G59/SUM(scen_input_bau!$D$50:$D$62)</f>
        <v>7.6747080133046555E-2</v>
      </c>
      <c r="H59" s="377">
        <f>scen_input_bau!H59/SUM(scen_input_bau!$D$50:$D$62)</f>
        <v>8.0799734226389322E-2</v>
      </c>
      <c r="I59" s="377">
        <f>scen_input_bau!I59/SUM(scen_input_bau!$D$50:$D$62)</f>
        <v>9.1977533532149588E-2</v>
      </c>
      <c r="J59" s="377">
        <f>scen_input_bau!J59/SUM(scen_input_bau!$D$50:$D$62)</f>
        <v>0.1101254037486685</v>
      </c>
      <c r="K59" s="377">
        <f>scen_input_bau!K59/SUM(scen_input_bau!$D$50:$D$62)</f>
        <v>0.1101254037486685</v>
      </c>
      <c r="L59" s="427">
        <f t="shared" si="106"/>
        <v>3.9859538338075262E-2</v>
      </c>
      <c r="M59" s="427">
        <f t="shared" si="103"/>
        <v>3.9859538338075262E-2</v>
      </c>
      <c r="N59" s="427">
        <f t="shared" si="103"/>
        <v>6.9698342135905894E-2</v>
      </c>
      <c r="O59" s="427">
        <f t="shared" si="103"/>
        <v>7.6747080133046555E-2</v>
      </c>
      <c r="P59" s="427">
        <f t="shared" si="103"/>
        <v>8.0799734226389322E-2</v>
      </c>
      <c r="Q59" s="427">
        <f t="shared" si="103"/>
        <v>9.1977533532149588E-2</v>
      </c>
      <c r="R59" s="427">
        <f t="shared" si="103"/>
        <v>0.1101254037486685</v>
      </c>
      <c r="S59" s="427">
        <f t="shared" si="103"/>
        <v>0.1101254037486685</v>
      </c>
      <c r="T59" s="377">
        <f t="shared" si="104"/>
        <v>3.9859538338075262E-2</v>
      </c>
      <c r="U59" s="377">
        <f t="shared" si="105"/>
        <v>3.9859538338075262E-2</v>
      </c>
      <c r="V59" s="377">
        <f t="shared" si="105"/>
        <v>6.9698342135905894E-2</v>
      </c>
      <c r="W59" s="377">
        <f t="shared" si="105"/>
        <v>7.6747080133046555E-2</v>
      </c>
      <c r="X59" s="377">
        <f t="shared" si="105"/>
        <v>8.0799734226389322E-2</v>
      </c>
      <c r="Y59" s="377">
        <f t="shared" si="105"/>
        <v>9.1977533532149588E-2</v>
      </c>
      <c r="Z59" s="377">
        <f t="shared" si="105"/>
        <v>0.1101254037486685</v>
      </c>
      <c r="AA59" s="377">
        <f t="shared" si="105"/>
        <v>0.1101254037486685</v>
      </c>
    </row>
    <row r="60" spans="1:27" x14ac:dyDescent="0.25">
      <c r="A60" s="297" t="s">
        <v>14</v>
      </c>
      <c r="B60" s="297" t="s">
        <v>15</v>
      </c>
      <c r="C60" s="297" t="str">
        <f>scen_input_bau!C60</f>
        <v>EU Reference 2020</v>
      </c>
      <c r="D60" s="377">
        <f>scen_input_bau!D60/SUM(scen_input_bau!$D$50:$D$62)</f>
        <v>0</v>
      </c>
      <c r="E60" s="377">
        <f>scen_input_bau!E60/SUM(scen_input_bau!$D$50:$D$62)</f>
        <v>0</v>
      </c>
      <c r="F60" s="377">
        <f>scen_input_bau!F60/SUM(scen_input_bau!$D$50:$D$62)</f>
        <v>0</v>
      </c>
      <c r="G60" s="377">
        <f>scen_input_bau!G60/SUM(scen_input_bau!$D$50:$D$62)</f>
        <v>0</v>
      </c>
      <c r="H60" s="377">
        <f>scen_input_bau!H60/SUM(scen_input_bau!$D$50:$D$62)</f>
        <v>0</v>
      </c>
      <c r="I60" s="377">
        <f>scen_input_bau!I60/SUM(scen_input_bau!$D$50:$D$62)</f>
        <v>0</v>
      </c>
      <c r="J60" s="377">
        <f>scen_input_bau!J60/SUM(scen_input_bau!$D$50:$D$62)</f>
        <v>0</v>
      </c>
      <c r="K60" s="377">
        <f>scen_input_bau!K60/SUM(scen_input_bau!$D$50:$D$62)</f>
        <v>0</v>
      </c>
      <c r="L60" s="427">
        <f t="shared" si="106"/>
        <v>0</v>
      </c>
      <c r="M60" s="427">
        <f t="shared" si="103"/>
        <v>0</v>
      </c>
      <c r="N60" s="427">
        <f t="shared" si="103"/>
        <v>0</v>
      </c>
      <c r="O60" s="427">
        <f t="shared" si="103"/>
        <v>0</v>
      </c>
      <c r="P60" s="427">
        <f t="shared" si="103"/>
        <v>0</v>
      </c>
      <c r="Q60" s="427">
        <f t="shared" si="103"/>
        <v>0</v>
      </c>
      <c r="R60" s="427">
        <f t="shared" si="103"/>
        <v>0</v>
      </c>
      <c r="S60" s="427">
        <f t="shared" si="103"/>
        <v>0</v>
      </c>
      <c r="T60" s="377">
        <f t="shared" si="104"/>
        <v>0</v>
      </c>
      <c r="U60" s="377">
        <f t="shared" si="105"/>
        <v>0</v>
      </c>
      <c r="V60" s="377">
        <f t="shared" si="105"/>
        <v>0</v>
      </c>
      <c r="W60" s="377">
        <f t="shared" si="105"/>
        <v>0</v>
      </c>
      <c r="X60" s="377">
        <f t="shared" si="105"/>
        <v>0</v>
      </c>
      <c r="Y60" s="377">
        <f t="shared" si="105"/>
        <v>0</v>
      </c>
      <c r="Z60" s="377">
        <f t="shared" si="105"/>
        <v>0</v>
      </c>
      <c r="AA60" s="377">
        <f t="shared" si="105"/>
        <v>0</v>
      </c>
    </row>
    <row r="61" spans="1:27" x14ac:dyDescent="0.25">
      <c r="A61" s="297" t="s">
        <v>16</v>
      </c>
      <c r="B61" s="297" t="s">
        <v>17</v>
      </c>
      <c r="C61" s="297" t="str">
        <f>scen_input_bau!C61</f>
        <v>EU Reference 2020</v>
      </c>
      <c r="D61" s="377">
        <f>scen_input_bau!D61/SUM(scen_input_bau!$D$50:$D$62)</f>
        <v>0</v>
      </c>
      <c r="E61" s="377">
        <f>scen_input_bau!E61/SUM(scen_input_bau!$D$50:$D$62)</f>
        <v>0</v>
      </c>
      <c r="F61" s="377">
        <f>scen_input_bau!F61/SUM(scen_input_bau!$D$50:$D$62)</f>
        <v>0</v>
      </c>
      <c r="G61" s="377">
        <f>scen_input_bau!G61/SUM(scen_input_bau!$D$50:$D$62)</f>
        <v>0</v>
      </c>
      <c r="H61" s="377">
        <f>scen_input_bau!H61/SUM(scen_input_bau!$D$50:$D$62)</f>
        <v>0</v>
      </c>
      <c r="I61" s="377">
        <f>scen_input_bau!I61/SUM(scen_input_bau!$D$50:$D$62)</f>
        <v>0</v>
      </c>
      <c r="J61" s="377">
        <f>scen_input_bau!J61/SUM(scen_input_bau!$D$50:$D$62)</f>
        <v>0</v>
      </c>
      <c r="K61" s="377">
        <f>scen_input_bau!K61/SUM(scen_input_bau!$D$50:$D$62)</f>
        <v>0</v>
      </c>
      <c r="L61" s="427">
        <f t="shared" si="106"/>
        <v>0</v>
      </c>
      <c r="M61" s="427">
        <f t="shared" si="103"/>
        <v>0</v>
      </c>
      <c r="N61" s="427">
        <f t="shared" si="103"/>
        <v>0</v>
      </c>
      <c r="O61" s="427">
        <f t="shared" si="103"/>
        <v>0</v>
      </c>
      <c r="P61" s="427">
        <f t="shared" si="103"/>
        <v>0</v>
      </c>
      <c r="Q61" s="427">
        <f t="shared" si="103"/>
        <v>0</v>
      </c>
      <c r="R61" s="427">
        <f t="shared" si="103"/>
        <v>0</v>
      </c>
      <c r="S61" s="427">
        <f t="shared" si="103"/>
        <v>0</v>
      </c>
      <c r="T61" s="377">
        <f t="shared" si="104"/>
        <v>0</v>
      </c>
      <c r="U61" s="377">
        <f t="shared" si="105"/>
        <v>0</v>
      </c>
      <c r="V61" s="377">
        <f t="shared" si="105"/>
        <v>0</v>
      </c>
      <c r="W61" s="377">
        <f t="shared" si="105"/>
        <v>0</v>
      </c>
      <c r="X61" s="377">
        <f t="shared" si="105"/>
        <v>0</v>
      </c>
      <c r="Y61" s="377">
        <f t="shared" si="105"/>
        <v>0</v>
      </c>
      <c r="Z61" s="377">
        <f t="shared" si="105"/>
        <v>0</v>
      </c>
      <c r="AA61" s="377">
        <f t="shared" si="105"/>
        <v>0</v>
      </c>
    </row>
    <row r="62" spans="1:27" x14ac:dyDescent="0.25">
      <c r="A62" s="297" t="s">
        <v>18</v>
      </c>
      <c r="B62" s="297" t="s">
        <v>19</v>
      </c>
      <c r="C62" s="297" t="str">
        <f>scen_input_bau!C62</f>
        <v>EU Reference 2020</v>
      </c>
      <c r="D62" s="377">
        <f>scen_input_bau!D62/SUM(scen_input_bau!$D$50:$D$62)</f>
        <v>0</v>
      </c>
      <c r="E62" s="377">
        <f>scen_input_bau!E62/SUM(scen_input_bau!$D$50:$D$62)</f>
        <v>0</v>
      </c>
      <c r="F62" s="377">
        <f>scen_input_bau!F62/SUM(scen_input_bau!$D$50:$D$62)</f>
        <v>0</v>
      </c>
      <c r="G62" s="377">
        <f>scen_input_bau!G62/SUM(scen_input_bau!$D$50:$D$62)</f>
        <v>0</v>
      </c>
      <c r="H62" s="377">
        <f>scen_input_bau!H62/SUM(scen_input_bau!$D$50:$D$62)</f>
        <v>0</v>
      </c>
      <c r="I62" s="377">
        <f>scen_input_bau!I62/SUM(scen_input_bau!$D$50:$D$62)</f>
        <v>6.4014125307599874E-4</v>
      </c>
      <c r="J62" s="377">
        <f>scen_input_bau!J62/SUM(scen_input_bau!$D$50:$D$62)</f>
        <v>2.4248512279309034E-2</v>
      </c>
      <c r="K62" s="377">
        <f>scen_input_bau!K62/SUM(scen_input_bau!$D$50:$D$62)</f>
        <v>2.7968297383313547E-2</v>
      </c>
      <c r="L62" s="427">
        <f t="shared" si="106"/>
        <v>0</v>
      </c>
      <c r="M62" s="427">
        <f t="shared" si="103"/>
        <v>0</v>
      </c>
      <c r="N62" s="427">
        <f t="shared" si="103"/>
        <v>0</v>
      </c>
      <c r="O62" s="427">
        <f t="shared" si="103"/>
        <v>0</v>
      </c>
      <c r="P62" s="427">
        <f t="shared" si="103"/>
        <v>0</v>
      </c>
      <c r="Q62" s="427">
        <f t="shared" si="103"/>
        <v>6.4014125307599874E-4</v>
      </c>
      <c r="R62" s="427">
        <f t="shared" si="103"/>
        <v>2.4248512279309034E-2</v>
      </c>
      <c r="S62" s="427">
        <f t="shared" si="103"/>
        <v>2.7968297383313547E-2</v>
      </c>
      <c r="T62" s="377">
        <f t="shared" si="104"/>
        <v>0</v>
      </c>
      <c r="U62" s="377">
        <f t="shared" si="105"/>
        <v>0</v>
      </c>
      <c r="V62" s="377">
        <f t="shared" si="105"/>
        <v>0</v>
      </c>
      <c r="W62" s="377">
        <f t="shared" si="105"/>
        <v>0</v>
      </c>
      <c r="X62" s="377">
        <f t="shared" si="105"/>
        <v>0</v>
      </c>
      <c r="Y62" s="377">
        <f t="shared" si="105"/>
        <v>6.4014125307599874E-4</v>
      </c>
      <c r="Z62" s="377">
        <f t="shared" si="105"/>
        <v>2.4248512279309031E-2</v>
      </c>
      <c r="AA62" s="377">
        <f t="shared" si="105"/>
        <v>2.7968297383313547E-2</v>
      </c>
    </row>
    <row r="63" spans="1:27" x14ac:dyDescent="0.25">
      <c r="A63" s="373" t="s">
        <v>833</v>
      </c>
      <c r="B63" s="373"/>
      <c r="C63" s="297" t="str">
        <f>scen_input_bau!C63</f>
        <v>EU Reference 2020</v>
      </c>
      <c r="D63" s="378">
        <f>SUM(scen_input_bau!D50:D62)/SUM(scen_input_bau!$D50:$D62)</f>
        <v>1</v>
      </c>
      <c r="E63" s="378">
        <f>SUM(scen_input_bau!E50:E62)/SUM(scen_input_bau!$D50:$D62)</f>
        <v>1.0118244018070408</v>
      </c>
      <c r="F63" s="378">
        <f>SUM(scen_input_bau!F50:F62)/SUM(scen_input_bau!$D50:$D62)</f>
        <v>1.1604805907829492</v>
      </c>
      <c r="G63" s="378">
        <f>SUM(scen_input_bau!G50:G62)/SUM(scen_input_bau!$D50:$D62)</f>
        <v>1.1451454840382398</v>
      </c>
      <c r="H63" s="378">
        <f>SUM(scen_input_bau!H50:H62)/SUM(scen_input_bau!$D50:$D62)</f>
        <v>1.0545114148824122</v>
      </c>
      <c r="I63" s="378">
        <f>SUM(scen_input_bau!I50:I62)/SUM(scen_input_bau!$D50:$D62)</f>
        <v>1.0803994007346744</v>
      </c>
      <c r="J63" s="378">
        <f>SUM(scen_input_bau!J50:J62)/SUM(scen_input_bau!$D50:$D62)</f>
        <v>1.1732675582387997</v>
      </c>
      <c r="K63" s="378">
        <f>SUM(scen_input_bau!K50:K62)/SUM(scen_input_bau!$D50:$D62)</f>
        <v>1.2012794708975092</v>
      </c>
      <c r="L63" s="374">
        <f>SUM(L50:L62)</f>
        <v>1</v>
      </c>
      <c r="M63" s="374">
        <f t="shared" ref="M63:R63" si="107">SUM(M50:M62)</f>
        <v>1.0118244018070406</v>
      </c>
      <c r="N63" s="374">
        <f t="shared" si="107"/>
        <v>1.160480590782949</v>
      </c>
      <c r="O63" s="374">
        <f t="shared" si="107"/>
        <v>1.1451454840382398</v>
      </c>
      <c r="P63" s="374">
        <f t="shared" si="107"/>
        <v>1.054511414882412</v>
      </c>
      <c r="Q63" s="374">
        <f t="shared" si="107"/>
        <v>1.0803994007346747</v>
      </c>
      <c r="R63" s="374">
        <f t="shared" si="107"/>
        <v>1.1732675582387995</v>
      </c>
      <c r="S63" s="374">
        <f>SUM(S50:S62)</f>
        <v>1.201279470897509</v>
      </c>
      <c r="T63" s="374">
        <f>L63/$L63</f>
        <v>1</v>
      </c>
      <c r="U63" s="374">
        <f>M63/$L63</f>
        <v>1.0118244018070406</v>
      </c>
      <c r="V63" s="374">
        <f t="shared" ref="V63" si="108">N63/$L63</f>
        <v>1.160480590782949</v>
      </c>
      <c r="W63" s="374">
        <f t="shared" ref="W63" si="109">O63/$L63</f>
        <v>1.1451454840382398</v>
      </c>
      <c r="X63" s="374">
        <f t="shared" ref="X63" si="110">P63/$L63</f>
        <v>1.054511414882412</v>
      </c>
      <c r="Y63" s="374">
        <f t="shared" ref="Y63" si="111">Q63/$L63</f>
        <v>1.0803994007346747</v>
      </c>
      <c r="Z63" s="374">
        <f t="shared" ref="Z63" si="112">R63/$L63</f>
        <v>1.1732675582387995</v>
      </c>
      <c r="AA63" s="374">
        <f t="shared" ref="AA63" si="113">S63/$L63</f>
        <v>1.201279470897509</v>
      </c>
    </row>
    <row r="64" spans="1:27" x14ac:dyDescent="0.25">
      <c r="A64" s="429" t="s">
        <v>1150</v>
      </c>
      <c r="B64" s="373"/>
      <c r="C64" s="297"/>
      <c r="D64" s="374"/>
      <c r="E64" s="374"/>
      <c r="F64" s="374"/>
      <c r="G64" s="374"/>
      <c r="H64" s="374"/>
      <c r="I64" s="374"/>
      <c r="J64" s="374"/>
      <c r="K64" s="374"/>
      <c r="L64" s="374"/>
      <c r="M64" s="374"/>
      <c r="N64" s="374"/>
      <c r="O64" s="374"/>
      <c r="P64" s="374"/>
      <c r="Q64" s="374"/>
      <c r="R64" s="374"/>
      <c r="S64" s="374"/>
      <c r="T64" s="374"/>
      <c r="U64" s="374"/>
      <c r="V64" s="374"/>
      <c r="W64" s="374"/>
      <c r="X64" s="374"/>
      <c r="Y64" s="47"/>
      <c r="Z64" s="47"/>
      <c r="AA64" s="47"/>
    </row>
    <row r="65" spans="1:27" x14ac:dyDescent="0.25">
      <c r="A65" s="387" t="s">
        <v>1056</v>
      </c>
      <c r="B65" s="387"/>
      <c r="C65" s="297"/>
      <c r="D65" s="422" t="s">
        <v>1164</v>
      </c>
      <c r="E65" s="422" t="s">
        <v>1165</v>
      </c>
      <c r="F65" s="422" t="s">
        <v>1166</v>
      </c>
      <c r="G65" s="422" t="s">
        <v>1167</v>
      </c>
      <c r="H65" s="422" t="s">
        <v>1168</v>
      </c>
      <c r="I65" s="422" t="s">
        <v>1169</v>
      </c>
      <c r="J65" s="422" t="s">
        <v>1170</v>
      </c>
      <c r="K65" s="422" t="s">
        <v>1171</v>
      </c>
      <c r="L65" s="176" t="s">
        <v>1121</v>
      </c>
      <c r="M65" s="176" t="s">
        <v>1122</v>
      </c>
      <c r="N65" s="176" t="s">
        <v>1123</v>
      </c>
      <c r="O65" s="176" t="s">
        <v>1124</v>
      </c>
      <c r="P65" s="176" t="s">
        <v>1125</v>
      </c>
      <c r="Q65" s="176" t="s">
        <v>1126</v>
      </c>
      <c r="R65" s="176" t="s">
        <v>1127</v>
      </c>
      <c r="S65" s="176" t="s">
        <v>1128</v>
      </c>
      <c r="T65" s="428" t="s">
        <v>1137</v>
      </c>
      <c r="U65" s="428" t="s">
        <v>1138</v>
      </c>
      <c r="V65" s="428" t="s">
        <v>1139</v>
      </c>
      <c r="W65" s="428" t="s">
        <v>1140</v>
      </c>
      <c r="X65" s="428" t="s">
        <v>1141</v>
      </c>
      <c r="Y65" s="428" t="s">
        <v>1142</v>
      </c>
      <c r="Z65" s="428" t="s">
        <v>1143</v>
      </c>
      <c r="AA65" s="428" t="s">
        <v>1144</v>
      </c>
    </row>
    <row r="66" spans="1:27" x14ac:dyDescent="0.25">
      <c r="A66" s="450" t="s">
        <v>636</v>
      </c>
      <c r="B66" s="450" t="s">
        <v>1149</v>
      </c>
      <c r="C66" s="297" t="str">
        <f>scen_input_bau!C66</f>
        <v>EU Reference 2020</v>
      </c>
      <c r="D66" s="451">
        <f>scen_input_bau!D66/SUM(scen_input_bau!$D$66:$D$71)</f>
        <v>6.7845671594392032E-2</v>
      </c>
      <c r="E66" s="451">
        <f>scen_input_bau!E66/SUM(scen_input_bau!$D$66:$D$71)</f>
        <v>5.6862674615838195E-2</v>
      </c>
      <c r="F66" s="451">
        <f>scen_input_bau!F66/SUM(scen_input_bau!$D$66:$D$71)</f>
        <v>6.0299991808710832E-2</v>
      </c>
      <c r="G66" s="451">
        <f>scen_input_bau!G66/SUM(scen_input_bau!$D$66:$D$71)</f>
        <v>4.1833354292895725E-2</v>
      </c>
      <c r="H66" s="451">
        <f>scen_input_bau!H66/SUM(scen_input_bau!$D$66:$D$71)</f>
        <v>2.3092928065261763E-2</v>
      </c>
      <c r="I66" s="451">
        <f>scen_input_bau!I66/SUM(scen_input_bau!$D$66:$D$71)</f>
        <v>1.3610041001836123E-2</v>
      </c>
      <c r="J66" s="451">
        <f>scen_input_bau!J66/SUM(scen_input_bau!$D$66:$D$71)</f>
        <v>7.4570179546867617E-3</v>
      </c>
      <c r="K66" s="451">
        <f>scen_input_bau!K66/SUM(scen_input_bau!$D$66:$D$71)</f>
        <v>4.9576042994217981E-3</v>
      </c>
      <c r="L66" s="427">
        <f>D66</f>
        <v>6.7845671594392032E-2</v>
      </c>
      <c r="M66" s="427">
        <f t="shared" ref="M66:S71" si="114">E66</f>
        <v>5.6862674615838195E-2</v>
      </c>
      <c r="N66" s="427">
        <f t="shared" si="114"/>
        <v>6.0299991808710832E-2</v>
      </c>
      <c r="O66" s="427">
        <f t="shared" si="114"/>
        <v>4.1833354292895725E-2</v>
      </c>
      <c r="P66" s="427">
        <f t="shared" si="114"/>
        <v>2.3092928065261763E-2</v>
      </c>
      <c r="Q66" s="427">
        <f t="shared" si="114"/>
        <v>1.3610041001836123E-2</v>
      </c>
      <c r="R66" s="427">
        <f t="shared" si="114"/>
        <v>7.4570179546867617E-3</v>
      </c>
      <c r="S66" s="427">
        <f t="shared" si="114"/>
        <v>4.9576042994217981E-3</v>
      </c>
      <c r="T66" s="377">
        <f t="shared" ref="T66:T71" si="115">L66/L$72*T$72</f>
        <v>6.7845671594392032E-2</v>
      </c>
      <c r="U66" s="377">
        <f t="shared" ref="U66:AA71" si="116">M66/M$72*U$72</f>
        <v>5.6862674615838195E-2</v>
      </c>
      <c r="V66" s="377">
        <f t="shared" si="116"/>
        <v>6.0299991808710832E-2</v>
      </c>
      <c r="W66" s="377">
        <f t="shared" si="116"/>
        <v>4.1833354292895725E-2</v>
      </c>
      <c r="X66" s="377">
        <f t="shared" si="116"/>
        <v>2.3092928065261763E-2</v>
      </c>
      <c r="Y66" s="377">
        <f t="shared" si="116"/>
        <v>1.3610041001836123E-2</v>
      </c>
      <c r="Z66" s="377">
        <f t="shared" si="116"/>
        <v>7.4570179546867609E-3</v>
      </c>
      <c r="AA66" s="377">
        <f t="shared" si="116"/>
        <v>4.9576042994217981E-3</v>
      </c>
    </row>
    <row r="67" spans="1:27" x14ac:dyDescent="0.25">
      <c r="A67" s="450" t="s">
        <v>715</v>
      </c>
      <c r="B67" s="450" t="s">
        <v>1149</v>
      </c>
      <c r="C67" s="297" t="str">
        <f>scen_input_bau!C67</f>
        <v>EU Reference 2020</v>
      </c>
      <c r="D67" s="451">
        <f>scen_input_bau!D67/SUM(scen_input_bau!$D$66:$D$71)</f>
        <v>0.2779163404219433</v>
      </c>
      <c r="E67" s="451">
        <f>scen_input_bau!E67/SUM(scen_input_bau!$D$66:$D$71)</f>
        <v>0.25255377035153626</v>
      </c>
      <c r="F67" s="451">
        <f>scen_input_bau!F67/SUM(scen_input_bau!$D$66:$D$71)</f>
        <v>0.26408417407938795</v>
      </c>
      <c r="G67" s="451">
        <f>scen_input_bau!G67/SUM(scen_input_bau!$D$66:$D$71)</f>
        <v>0.24547962811222074</v>
      </c>
      <c r="H67" s="451">
        <f>scen_input_bau!H67/SUM(scen_input_bau!$D$66:$D$71)</f>
        <v>0.23319687193849012</v>
      </c>
      <c r="I67" s="451">
        <f>scen_input_bau!I67/SUM(scen_input_bau!$D$66:$D$71)</f>
        <v>0.22370520348926068</v>
      </c>
      <c r="J67" s="451">
        <f>scen_input_bau!J67/SUM(scen_input_bau!$D$66:$D$71)</f>
        <v>0.2124842069692606</v>
      </c>
      <c r="K67" s="451">
        <f>scen_input_bau!K67/SUM(scen_input_bau!$D$66:$D$71)</f>
        <v>0.20483581716162669</v>
      </c>
      <c r="L67" s="427">
        <f t="shared" ref="L67:L71" si="117">D67</f>
        <v>0.2779163404219433</v>
      </c>
      <c r="M67" s="427">
        <f t="shared" si="114"/>
        <v>0.25255377035153626</v>
      </c>
      <c r="N67" s="427">
        <f t="shared" si="114"/>
        <v>0.26408417407938795</v>
      </c>
      <c r="O67" s="427">
        <f t="shared" si="114"/>
        <v>0.24547962811222074</v>
      </c>
      <c r="P67" s="427">
        <f t="shared" si="114"/>
        <v>0.23319687193849012</v>
      </c>
      <c r="Q67" s="427">
        <f t="shared" si="114"/>
        <v>0.22370520348926068</v>
      </c>
      <c r="R67" s="427">
        <f t="shared" si="114"/>
        <v>0.2124842069692606</v>
      </c>
      <c r="S67" s="427">
        <f t="shared" si="114"/>
        <v>0.20483581716162669</v>
      </c>
      <c r="T67" s="377">
        <f t="shared" si="115"/>
        <v>0.2779163404219433</v>
      </c>
      <c r="U67" s="377">
        <f t="shared" si="116"/>
        <v>0.25255377035153626</v>
      </c>
      <c r="V67" s="377">
        <f t="shared" si="116"/>
        <v>0.26408417407938795</v>
      </c>
      <c r="W67" s="377">
        <f t="shared" si="116"/>
        <v>0.24547962811222074</v>
      </c>
      <c r="X67" s="377">
        <f t="shared" si="116"/>
        <v>0.23319687193849012</v>
      </c>
      <c r="Y67" s="377">
        <f t="shared" si="116"/>
        <v>0.22370520348926068</v>
      </c>
      <c r="Z67" s="377">
        <f t="shared" si="116"/>
        <v>0.2124842069692606</v>
      </c>
      <c r="AA67" s="377">
        <f t="shared" si="116"/>
        <v>0.20483581716162669</v>
      </c>
    </row>
    <row r="68" spans="1:27" x14ac:dyDescent="0.25">
      <c r="A68" s="450" t="s">
        <v>432</v>
      </c>
      <c r="B68" s="450" t="s">
        <v>1149</v>
      </c>
      <c r="C68" s="297" t="str">
        <f>scen_input_bau!C68</f>
        <v>EU Reference 2020</v>
      </c>
      <c r="D68" s="451">
        <f>scen_input_bau!D68/SUM(scen_input_bau!$D$66:$D$71)</f>
        <v>0.22973728961099868</v>
      </c>
      <c r="E68" s="451">
        <f>scen_input_bau!E68/SUM(scen_input_bau!$D$66:$D$71)</f>
        <v>0.22111736370690407</v>
      </c>
      <c r="F68" s="451">
        <f>scen_input_bau!F68/SUM(scen_input_bau!$D$66:$D$71)</f>
        <v>0.23415265073657707</v>
      </c>
      <c r="G68" s="451">
        <f>scen_input_bau!G68/SUM(scen_input_bau!$D$66:$D$71)</f>
        <v>0.20764328298013157</v>
      </c>
      <c r="H68" s="451">
        <f>scen_input_bau!H68/SUM(scen_input_bau!$D$66:$D$71)</f>
        <v>0.20007253747566894</v>
      </c>
      <c r="I68" s="451">
        <f>scen_input_bau!I68/SUM(scen_input_bau!$D$66:$D$71)</f>
        <v>0.1973719077122067</v>
      </c>
      <c r="J68" s="451">
        <f>scen_input_bau!J68/SUM(scen_input_bau!$D$66:$D$71)</f>
        <v>0.20154884438491993</v>
      </c>
      <c r="K68" s="451">
        <f>scen_input_bau!K68/SUM(scen_input_bau!$D$66:$D$71)</f>
        <v>0.20140589347371798</v>
      </c>
      <c r="L68" s="427">
        <f t="shared" si="117"/>
        <v>0.22973728961099868</v>
      </c>
      <c r="M68" s="427">
        <f t="shared" si="114"/>
        <v>0.22111736370690407</v>
      </c>
      <c r="N68" s="427">
        <f t="shared" si="114"/>
        <v>0.23415265073657707</v>
      </c>
      <c r="O68" s="427">
        <f t="shared" si="114"/>
        <v>0.20764328298013157</v>
      </c>
      <c r="P68" s="427">
        <f t="shared" si="114"/>
        <v>0.20007253747566894</v>
      </c>
      <c r="Q68" s="427">
        <f t="shared" si="114"/>
        <v>0.1973719077122067</v>
      </c>
      <c r="R68" s="427">
        <f t="shared" si="114"/>
        <v>0.20154884438491993</v>
      </c>
      <c r="S68" s="427">
        <f t="shared" si="114"/>
        <v>0.20140589347371798</v>
      </c>
      <c r="T68" s="377">
        <f t="shared" si="115"/>
        <v>0.22973728961099868</v>
      </c>
      <c r="U68" s="377">
        <f t="shared" si="116"/>
        <v>0.22111736370690407</v>
      </c>
      <c r="V68" s="377">
        <f t="shared" si="116"/>
        <v>0.23415265073657707</v>
      </c>
      <c r="W68" s="377">
        <f t="shared" si="116"/>
        <v>0.20764328298013157</v>
      </c>
      <c r="X68" s="377">
        <f t="shared" si="116"/>
        <v>0.20007253747566894</v>
      </c>
      <c r="Y68" s="377">
        <f t="shared" si="116"/>
        <v>0.1973719077122067</v>
      </c>
      <c r="Z68" s="377">
        <f t="shared" si="116"/>
        <v>0.20154884438491993</v>
      </c>
      <c r="AA68" s="377">
        <f t="shared" si="116"/>
        <v>0.20140589347371798</v>
      </c>
    </row>
    <row r="69" spans="1:27" x14ac:dyDescent="0.25">
      <c r="A69" s="297" t="s">
        <v>835</v>
      </c>
      <c r="B69" s="450" t="s">
        <v>1149</v>
      </c>
      <c r="C69" s="297" t="str">
        <f>scen_input_bau!C69</f>
        <v>EU Reference 2020</v>
      </c>
      <c r="D69" s="451">
        <f>scen_input_bau!D69/SUM(scen_input_bau!$D$66:$D$71)</f>
        <v>8.998981762241863E-2</v>
      </c>
      <c r="E69" s="451">
        <f>scen_input_bau!E69/SUM(scen_input_bau!$D$66:$D$71)</f>
        <v>8.4245890366999476E-2</v>
      </c>
      <c r="F69" s="451">
        <f>scen_input_bau!F69/SUM(scen_input_bau!$D$66:$D$71)</f>
        <v>9.0935612747420999E-2</v>
      </c>
      <c r="G69" s="451">
        <f>scen_input_bau!G69/SUM(scen_input_bau!$D$66:$D$71)</f>
        <v>9.1217651042044212E-2</v>
      </c>
      <c r="H69" s="451">
        <f>scen_input_bau!H69/SUM(scen_input_bau!$D$66:$D$71)</f>
        <v>9.2398448745065614E-2</v>
      </c>
      <c r="I69" s="451">
        <f>scen_input_bau!I69/SUM(scen_input_bau!$D$66:$D$71)</f>
        <v>9.2249492714931727E-2</v>
      </c>
      <c r="J69" s="451">
        <f>scen_input_bau!J69/SUM(scen_input_bau!$D$66:$D$71)</f>
        <v>8.7903807378979362E-2</v>
      </c>
      <c r="K69" s="451">
        <f>scen_input_bau!K69/SUM(scen_input_bau!$D$66:$D$71)</f>
        <v>8.7278363579290738E-2</v>
      </c>
      <c r="L69" s="427">
        <f t="shared" si="117"/>
        <v>8.998981762241863E-2</v>
      </c>
      <c r="M69" s="427">
        <f t="shared" si="114"/>
        <v>8.4245890366999476E-2</v>
      </c>
      <c r="N69" s="427">
        <f t="shared" si="114"/>
        <v>9.0935612747420999E-2</v>
      </c>
      <c r="O69" s="427">
        <f t="shared" si="114"/>
        <v>9.1217651042044212E-2</v>
      </c>
      <c r="P69" s="427">
        <f t="shared" si="114"/>
        <v>9.2398448745065614E-2</v>
      </c>
      <c r="Q69" s="427">
        <f t="shared" si="114"/>
        <v>9.2249492714931727E-2</v>
      </c>
      <c r="R69" s="427">
        <f t="shared" si="114"/>
        <v>8.7903807378979362E-2</v>
      </c>
      <c r="S69" s="427">
        <f t="shared" si="114"/>
        <v>8.7278363579290738E-2</v>
      </c>
      <c r="T69" s="377">
        <f t="shared" si="115"/>
        <v>8.998981762241863E-2</v>
      </c>
      <c r="U69" s="377">
        <f t="shared" si="116"/>
        <v>8.4245890366999476E-2</v>
      </c>
      <c r="V69" s="377">
        <f t="shared" si="116"/>
        <v>9.0935612747420999E-2</v>
      </c>
      <c r="W69" s="377">
        <f t="shared" si="116"/>
        <v>9.1217651042044212E-2</v>
      </c>
      <c r="X69" s="377">
        <f t="shared" si="116"/>
        <v>9.2398448745065614E-2</v>
      </c>
      <c r="Y69" s="377">
        <f t="shared" si="116"/>
        <v>9.2249492714931727E-2</v>
      </c>
      <c r="Z69" s="377">
        <f t="shared" si="116"/>
        <v>8.7903807378979362E-2</v>
      </c>
      <c r="AA69" s="377">
        <f t="shared" si="116"/>
        <v>8.7278363579290738E-2</v>
      </c>
    </row>
    <row r="70" spans="1:27" x14ac:dyDescent="0.25">
      <c r="A70" s="297" t="s">
        <v>711</v>
      </c>
      <c r="B70" s="450" t="s">
        <v>1149</v>
      </c>
      <c r="C70" s="297" t="str">
        <f>scen_input_bau!C70</f>
        <v>EU Reference 2020</v>
      </c>
      <c r="D70" s="451">
        <f>scen_input_bau!D70/SUM(scen_input_bau!$D$66:$D$71)</f>
        <v>0.13119396917845727</v>
      </c>
      <c r="E70" s="451">
        <f>scen_input_bau!E70/SUM(scen_input_bau!$D$66:$D$71)</f>
        <v>0.15391616956858212</v>
      </c>
      <c r="F70" s="451">
        <f>scen_input_bau!F70/SUM(scen_input_bau!$D$66:$D$71)</f>
        <v>0.15974845748781336</v>
      </c>
      <c r="G70" s="451">
        <f>scen_input_bau!G70/SUM(scen_input_bau!$D$66:$D$71)</f>
        <v>0.1744213376748012</v>
      </c>
      <c r="H70" s="451">
        <f>scen_input_bau!H70/SUM(scen_input_bau!$D$66:$D$71)</f>
        <v>0.18851702637032211</v>
      </c>
      <c r="I70" s="451">
        <f>scen_input_bau!I70/SUM(scen_input_bau!$D$66:$D$71)</f>
        <v>0.18435513964082939</v>
      </c>
      <c r="J70" s="451">
        <f>scen_input_bau!J70/SUM(scen_input_bau!$D$66:$D$71)</f>
        <v>0.17413812715844182</v>
      </c>
      <c r="K70" s="451">
        <f>scen_input_bau!K70/SUM(scen_input_bau!$D$66:$D$71)</f>
        <v>0.17006961994711586</v>
      </c>
      <c r="L70" s="427">
        <f t="shared" si="117"/>
        <v>0.13119396917845727</v>
      </c>
      <c r="M70" s="427">
        <f t="shared" si="114"/>
        <v>0.15391616956858212</v>
      </c>
      <c r="N70" s="427">
        <f t="shared" si="114"/>
        <v>0.15974845748781336</v>
      </c>
      <c r="O70" s="427">
        <f t="shared" si="114"/>
        <v>0.1744213376748012</v>
      </c>
      <c r="P70" s="427">
        <f t="shared" si="114"/>
        <v>0.18851702637032211</v>
      </c>
      <c r="Q70" s="427">
        <f t="shared" si="114"/>
        <v>0.18435513964082939</v>
      </c>
      <c r="R70" s="427">
        <f t="shared" si="114"/>
        <v>0.17413812715844182</v>
      </c>
      <c r="S70" s="427">
        <f t="shared" si="114"/>
        <v>0.17006961994711586</v>
      </c>
      <c r="T70" s="377">
        <f t="shared" si="115"/>
        <v>0.13119396917845727</v>
      </c>
      <c r="U70" s="377">
        <f t="shared" si="116"/>
        <v>0.15391616956858212</v>
      </c>
      <c r="V70" s="377">
        <f t="shared" si="116"/>
        <v>0.15974845748781336</v>
      </c>
      <c r="W70" s="377">
        <f t="shared" si="116"/>
        <v>0.1744213376748012</v>
      </c>
      <c r="X70" s="377">
        <f t="shared" si="116"/>
        <v>0.18851702637032211</v>
      </c>
      <c r="Y70" s="377">
        <f t="shared" si="116"/>
        <v>0.18435513964082939</v>
      </c>
      <c r="Z70" s="377">
        <f t="shared" si="116"/>
        <v>0.17413812715844182</v>
      </c>
      <c r="AA70" s="377">
        <f t="shared" si="116"/>
        <v>0.17006961994711586</v>
      </c>
    </row>
    <row r="71" spans="1:27" x14ac:dyDescent="0.25">
      <c r="A71" s="297" t="s">
        <v>836</v>
      </c>
      <c r="B71" s="450" t="s">
        <v>1149</v>
      </c>
      <c r="C71" s="297" t="str">
        <f>scen_input_bau!C71</f>
        <v>EU Reference 2020</v>
      </c>
      <c r="D71" s="451">
        <f>scen_input_bau!D71/SUM(scen_input_bau!$D$66:$D$71)</f>
        <v>0.20331691157179008</v>
      </c>
      <c r="E71" s="451">
        <f>scen_input_bau!E71/SUM(scen_input_bau!$D$66:$D$71)</f>
        <v>0.19459490753746744</v>
      </c>
      <c r="F71" s="451">
        <f>scen_input_bau!F71/SUM(scen_input_bau!$D$66:$D$71)</f>
        <v>0.21240016504629886</v>
      </c>
      <c r="G71" s="451">
        <f>scen_input_bau!G71/SUM(scen_input_bau!$D$66:$D$71)</f>
        <v>0.22760855650694531</v>
      </c>
      <c r="H71" s="451">
        <f>scen_input_bau!H71/SUM(scen_input_bau!$D$66:$D$71)</f>
        <v>0.23961375573715354</v>
      </c>
      <c r="I71" s="451">
        <f>scen_input_bau!I71/SUM(scen_input_bau!$D$66:$D$71)</f>
        <v>0.25322586170437866</v>
      </c>
      <c r="J71" s="451">
        <f>scen_input_bau!J71/SUM(scen_input_bau!$D$66:$D$71)</f>
        <v>0.26687468819647386</v>
      </c>
      <c r="K71" s="451">
        <f>scen_input_bau!K71/SUM(scen_input_bau!$D$66:$D$71)</f>
        <v>0.27775492590688927</v>
      </c>
      <c r="L71" s="427">
        <f t="shared" si="117"/>
        <v>0.20331691157179008</v>
      </c>
      <c r="M71" s="427">
        <f t="shared" si="114"/>
        <v>0.19459490753746744</v>
      </c>
      <c r="N71" s="427">
        <f t="shared" si="114"/>
        <v>0.21240016504629886</v>
      </c>
      <c r="O71" s="427">
        <f t="shared" si="114"/>
        <v>0.22760855650694531</v>
      </c>
      <c r="P71" s="427">
        <f t="shared" si="114"/>
        <v>0.23961375573715354</v>
      </c>
      <c r="Q71" s="427">
        <f t="shared" si="114"/>
        <v>0.25322586170437866</v>
      </c>
      <c r="R71" s="427">
        <f t="shared" si="114"/>
        <v>0.26687468819647386</v>
      </c>
      <c r="S71" s="427">
        <f t="shared" si="114"/>
        <v>0.27775492590688927</v>
      </c>
      <c r="T71" s="377">
        <f t="shared" si="115"/>
        <v>0.20331691157179008</v>
      </c>
      <c r="U71" s="377">
        <f t="shared" si="116"/>
        <v>0.19459490753746744</v>
      </c>
      <c r="V71" s="377">
        <f t="shared" si="116"/>
        <v>0.21240016504629886</v>
      </c>
      <c r="W71" s="377">
        <f t="shared" si="116"/>
        <v>0.22760855650694531</v>
      </c>
      <c r="X71" s="377">
        <f t="shared" si="116"/>
        <v>0.23961375573715354</v>
      </c>
      <c r="Y71" s="377">
        <f t="shared" si="116"/>
        <v>0.25322586170437866</v>
      </c>
      <c r="Z71" s="377">
        <f t="shared" si="116"/>
        <v>0.26687468819647386</v>
      </c>
      <c r="AA71" s="377">
        <f t="shared" si="116"/>
        <v>0.27775492590688927</v>
      </c>
    </row>
    <row r="72" spans="1:27" x14ac:dyDescent="0.25">
      <c r="A72" s="373" t="s">
        <v>837</v>
      </c>
      <c r="B72" s="373"/>
      <c r="C72" s="297" t="str">
        <f>scen_input_bau!C72</f>
        <v>EU Reference 2020</v>
      </c>
      <c r="D72" s="378">
        <f>SUM(scen_input_bau!D66:D71)/SUM(scen_input_bau!$D66:$D71)</f>
        <v>1</v>
      </c>
      <c r="E72" s="378">
        <f>SUM(scen_input_bau!E66:E71)/SUM(scen_input_bau!$D66:$D71)</f>
        <v>0.96329077614732761</v>
      </c>
      <c r="F72" s="378">
        <f>SUM(scen_input_bau!F66:F71)/SUM(scen_input_bau!$D66:$D71)</f>
        <v>1.021621051906209</v>
      </c>
      <c r="G72" s="378">
        <f>SUM(scen_input_bau!G66:G71)/SUM(scen_input_bau!$D66:$D71)</f>
        <v>0.98820381060903872</v>
      </c>
      <c r="H72" s="378">
        <f>SUM(scen_input_bau!H66:H71)/SUM(scen_input_bau!$D66:$D71)</f>
        <v>0.97689156833196211</v>
      </c>
      <c r="I72" s="378">
        <f>SUM(scen_input_bau!I66:I71)/SUM(scen_input_bau!$D66:$D71)</f>
        <v>0.96451764626344327</v>
      </c>
      <c r="J72" s="378">
        <f>SUM(scen_input_bau!J66:J71)/SUM(scen_input_bau!$D66:$D71)</f>
        <v>0.95040669204276229</v>
      </c>
      <c r="K72" s="378">
        <f>SUM(scen_input_bau!K66:K71)/SUM(scen_input_bau!$D66:$D71)</f>
        <v>0.94630222436806244</v>
      </c>
      <c r="L72" s="374">
        <f>SUM(L66:L71)</f>
        <v>1</v>
      </c>
      <c r="M72" s="374">
        <f t="shared" ref="M72:S72" si="118">SUM(M66:M71)</f>
        <v>0.96329077614732761</v>
      </c>
      <c r="N72" s="374">
        <f t="shared" si="118"/>
        <v>1.021621051906209</v>
      </c>
      <c r="O72" s="374">
        <f t="shared" si="118"/>
        <v>0.98820381060903884</v>
      </c>
      <c r="P72" s="374">
        <f t="shared" si="118"/>
        <v>0.97689156833196211</v>
      </c>
      <c r="Q72" s="374">
        <f t="shared" si="118"/>
        <v>0.96451764626344327</v>
      </c>
      <c r="R72" s="374">
        <f t="shared" si="118"/>
        <v>0.95040669204276229</v>
      </c>
      <c r="S72" s="374">
        <f t="shared" si="118"/>
        <v>0.94630222436806233</v>
      </c>
      <c r="T72" s="374">
        <f>L72/$L72</f>
        <v>1</v>
      </c>
      <c r="U72" s="374">
        <f>M72/$L72</f>
        <v>0.96329077614732761</v>
      </c>
      <c r="V72" s="374">
        <f t="shared" ref="V72" si="119">N72/$L72</f>
        <v>1.021621051906209</v>
      </c>
      <c r="W72" s="374">
        <f t="shared" ref="W72" si="120">O72/$L72</f>
        <v>0.98820381060903884</v>
      </c>
      <c r="X72" s="374">
        <f t="shared" ref="X72" si="121">P72/$L72</f>
        <v>0.97689156833196211</v>
      </c>
      <c r="Y72" s="374">
        <f t="shared" ref="Y72" si="122">Q72/$L72</f>
        <v>0.96451764626344327</v>
      </c>
      <c r="Z72" s="374">
        <f t="shared" ref="Z72" si="123">R72/$L72</f>
        <v>0.95040669204276229</v>
      </c>
      <c r="AA72" s="374">
        <f t="shared" ref="AA72" si="124">S72/$L72</f>
        <v>0.94630222436806233</v>
      </c>
    </row>
  </sheetData>
  <conditionalFormatting sqref="D48:K48 D64:K64">
    <cfRule type="cellIs" dxfId="9" priority="59" operator="equal">
      <formula>1</formula>
    </cfRule>
  </conditionalFormatting>
  <conditionalFormatting sqref="E64:K64">
    <cfRule type="cellIs" dxfId="8" priority="57" operator="equal">
      <formula>1</formula>
    </cfRule>
    <cfRule type="cellIs" dxfId="7" priority="58" operator="equal">
      <formula>0.497</formula>
    </cfRule>
  </conditionalFormatting>
  <conditionalFormatting sqref="D50:K62">
    <cfRule type="cellIs" dxfId="6" priority="38" operator="equal">
      <formula>1</formula>
    </cfRule>
  </conditionalFormatting>
  <conditionalFormatting sqref="L48:S48 L64:S64">
    <cfRule type="cellIs" dxfId="5" priority="8" operator="equal">
      <formula>1</formula>
    </cfRule>
  </conditionalFormatting>
  <conditionalFormatting sqref="M64:S64">
    <cfRule type="cellIs" dxfId="4" priority="6" operator="equal">
      <formula>1</formula>
    </cfRule>
    <cfRule type="cellIs" dxfId="3" priority="7" operator="equal">
      <formula>0.497</formula>
    </cfRule>
  </conditionalFormatting>
  <conditionalFormatting sqref="T48:AA48 T64:AA64">
    <cfRule type="cellIs" dxfId="2" priority="4" operator="equal">
      <formula>1</formula>
    </cfRule>
  </conditionalFormatting>
  <conditionalFormatting sqref="U64:AA64">
    <cfRule type="cellIs" dxfId="1" priority="2" operator="equal">
      <formula>1</formula>
    </cfRule>
    <cfRule type="cellIs" dxfId="0" priority="3" operator="equal">
      <formula>0.497</formula>
    </cfRule>
  </conditionalFormatting>
  <pageMargins left="0.7" right="0.7" top="0.78740157499999996" bottom="0.78740157499999996" header="0.3" footer="0.3"/>
  <pageSetup paperSize="9" orientation="portrait" verticalDpi="0"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4"/>
  <sheetViews>
    <sheetView zoomScale="75" zoomScaleNormal="75" workbookViewId="0">
      <pane xSplit="3" ySplit="1" topLeftCell="D2" activePane="bottomRight" state="frozen"/>
      <selection activeCell="B2" sqref="B2"/>
      <selection pane="topRight" activeCell="B2" sqref="B2"/>
      <selection pane="bottomLeft" activeCell="B2" sqref="B2"/>
      <selection pane="bottomRight" activeCell="H2" sqref="H2"/>
    </sheetView>
  </sheetViews>
  <sheetFormatPr defaultColWidth="8.75" defaultRowHeight="15" x14ac:dyDescent="0.25"/>
  <cols>
    <col min="1" max="1" width="48.625" bestFit="1" customWidth="1"/>
    <col min="2" max="2" width="12.25" bestFit="1" customWidth="1"/>
    <col min="3" max="3" width="11.75" bestFit="1" customWidth="1"/>
    <col min="4" max="7" width="15.75" style="95" customWidth="1"/>
    <col min="8" max="32" width="11.75" style="4" customWidth="1"/>
    <col min="33" max="16384" width="8.75" style="4"/>
  </cols>
  <sheetData>
    <row r="1" spans="1:32" ht="15" customHeight="1" x14ac:dyDescent="0.25">
      <c r="A1" s="88" t="s">
        <v>0</v>
      </c>
      <c r="B1" s="88" t="s">
        <v>1</v>
      </c>
      <c r="C1" s="88" t="s">
        <v>586</v>
      </c>
      <c r="D1" s="48" t="s">
        <v>587</v>
      </c>
      <c r="E1" s="21" t="s">
        <v>588</v>
      </c>
      <c r="F1" s="48" t="s">
        <v>589</v>
      </c>
      <c r="G1" s="21" t="s">
        <v>590</v>
      </c>
      <c r="H1" s="89" t="s">
        <v>591</v>
      </c>
      <c r="I1" s="89" t="s">
        <v>592</v>
      </c>
      <c r="J1" s="89" t="s">
        <v>593</v>
      </c>
      <c r="K1" s="89" t="s">
        <v>594</v>
      </c>
      <c r="L1" s="89" t="s">
        <v>595</v>
      </c>
      <c r="M1" s="89" t="s">
        <v>596</v>
      </c>
      <c r="N1" s="89" t="s">
        <v>597</v>
      </c>
      <c r="O1" s="89" t="s">
        <v>598</v>
      </c>
      <c r="P1" s="89" t="s">
        <v>599</v>
      </c>
      <c r="Q1" s="90" t="s">
        <v>600</v>
      </c>
      <c r="R1" s="90" t="s">
        <v>601</v>
      </c>
      <c r="S1" s="90" t="s">
        <v>602</v>
      </c>
      <c r="T1" s="90" t="s">
        <v>603</v>
      </c>
      <c r="U1" s="90" t="s">
        <v>604</v>
      </c>
      <c r="V1" s="90" t="s">
        <v>605</v>
      </c>
      <c r="W1" s="90" t="s">
        <v>606</v>
      </c>
      <c r="X1" s="90" t="s">
        <v>607</v>
      </c>
      <c r="Y1" s="90" t="s">
        <v>608</v>
      </c>
      <c r="Z1" s="90" t="s">
        <v>609</v>
      </c>
      <c r="AA1" s="90" t="s">
        <v>610</v>
      </c>
      <c r="AB1" s="90" t="s">
        <v>611</v>
      </c>
      <c r="AC1" s="90" t="s">
        <v>612</v>
      </c>
      <c r="AD1" s="90" t="s">
        <v>613</v>
      </c>
      <c r="AE1" s="90" t="s">
        <v>614</v>
      </c>
      <c r="AF1" s="90" t="s">
        <v>615</v>
      </c>
    </row>
    <row r="2" spans="1:32" x14ac:dyDescent="0.25">
      <c r="A2" s="2" t="s">
        <v>2</v>
      </c>
      <c r="B2" s="2" t="s">
        <v>3</v>
      </c>
      <c r="C2" s="2" t="s">
        <v>616</v>
      </c>
      <c r="D2" s="91" t="s">
        <v>348</v>
      </c>
      <c r="E2" s="2" t="s">
        <v>617</v>
      </c>
      <c r="F2" s="2"/>
      <c r="G2" s="2"/>
      <c r="H2" s="92">
        <f>[7]CZ!$B$8/([7]CZ!$B$8+[7]CZ!$B$11)*(2000+2/7*(2000-2000))+[7]CZ!$B$11/([7]CZ!$B$8+[7]CZ!$B$11)*(1600+2/7*(1600-1600))</f>
        <v>1961.7021276595747</v>
      </c>
      <c r="I2" s="92">
        <f>$H2</f>
        <v>1961.7021276595747</v>
      </c>
      <c r="J2" s="92">
        <f t="shared" ref="J2:O3" si="0">$H2</f>
        <v>1961.7021276595747</v>
      </c>
      <c r="K2" s="92">
        <f t="shared" si="0"/>
        <v>1961.7021276595747</v>
      </c>
      <c r="L2" s="92">
        <f t="shared" si="0"/>
        <v>1961.7021276595747</v>
      </c>
      <c r="M2" s="92">
        <f t="shared" si="0"/>
        <v>1961.7021276595747</v>
      </c>
      <c r="N2" s="92">
        <f t="shared" si="0"/>
        <v>1961.7021276595747</v>
      </c>
      <c r="O2" s="92">
        <f t="shared" si="0"/>
        <v>1961.7021276595747</v>
      </c>
      <c r="P2" s="92"/>
      <c r="Q2" s="93">
        <f t="shared" ref="Q2:X4" si="1">H2/1000</f>
        <v>1.9617021276595747</v>
      </c>
      <c r="R2" s="93">
        <f t="shared" si="1"/>
        <v>1.9617021276595747</v>
      </c>
      <c r="S2" s="93">
        <f t="shared" si="1"/>
        <v>1.9617021276595747</v>
      </c>
      <c r="T2" s="93">
        <f t="shared" si="1"/>
        <v>1.9617021276595747</v>
      </c>
      <c r="U2" s="93">
        <f t="shared" si="1"/>
        <v>1.9617021276595747</v>
      </c>
      <c r="V2" s="93">
        <f t="shared" si="1"/>
        <v>1.9617021276595747</v>
      </c>
      <c r="W2" s="93">
        <f t="shared" si="1"/>
        <v>1.9617021276595747</v>
      </c>
      <c r="X2" s="93">
        <f t="shared" si="1"/>
        <v>1.9617021276595747</v>
      </c>
      <c r="Y2" s="93">
        <f>scen_bau!AJ19*Q2</f>
        <v>473.57458665425543</v>
      </c>
      <c r="Z2" s="93">
        <f>scen_bau!AK19*R2</f>
        <v>250.35500075638399</v>
      </c>
      <c r="AA2" s="93">
        <f>scen_bau!AL19*S2</f>
        <v>97.798134373404281</v>
      </c>
      <c r="AB2" s="93">
        <f>scen_bau!AM19*T2</f>
        <v>91.749422032978742</v>
      </c>
      <c r="AC2" s="93">
        <f>scen_bau!AN19*U2</f>
        <v>54.279979586170221</v>
      </c>
      <c r="AD2" s="93">
        <f>scen_bau!AO19*V2</f>
        <v>27.493692288297879</v>
      </c>
      <c r="AE2" s="93">
        <f>scen_bau!AP19*W2</f>
        <v>18.558219526595746</v>
      </c>
      <c r="AF2" s="93">
        <f>scen_bau!AQ19*X2</f>
        <v>17.54613816489362</v>
      </c>
    </row>
    <row r="3" spans="1:32" x14ac:dyDescent="0.25">
      <c r="A3" s="2" t="s">
        <v>4</v>
      </c>
      <c r="B3" s="2" t="s">
        <v>5</v>
      </c>
      <c r="C3" s="2" t="s">
        <v>616</v>
      </c>
      <c r="D3" s="2" t="s">
        <v>348</v>
      </c>
      <c r="E3" s="2" t="s">
        <v>618</v>
      </c>
      <c r="F3" s="2"/>
      <c r="G3" s="2"/>
      <c r="H3" s="92">
        <f>850+2/7*(850-850)</f>
        <v>850</v>
      </c>
      <c r="I3" s="92">
        <f>$H3</f>
        <v>850</v>
      </c>
      <c r="J3" s="92">
        <f t="shared" si="0"/>
        <v>850</v>
      </c>
      <c r="K3" s="92">
        <f t="shared" si="0"/>
        <v>850</v>
      </c>
      <c r="L3" s="92">
        <f t="shared" si="0"/>
        <v>850</v>
      </c>
      <c r="M3" s="92">
        <f t="shared" si="0"/>
        <v>850</v>
      </c>
      <c r="N3" s="92">
        <f t="shared" si="0"/>
        <v>850</v>
      </c>
      <c r="O3" s="92">
        <f t="shared" si="0"/>
        <v>850</v>
      </c>
      <c r="P3" s="92"/>
      <c r="Q3" s="93">
        <f t="shared" si="1"/>
        <v>0.85</v>
      </c>
      <c r="R3" s="93">
        <f t="shared" si="1"/>
        <v>0.85</v>
      </c>
      <c r="S3" s="93">
        <f t="shared" si="1"/>
        <v>0.85</v>
      </c>
      <c r="T3" s="93">
        <f t="shared" si="1"/>
        <v>0.85</v>
      </c>
      <c r="U3" s="93">
        <f t="shared" si="1"/>
        <v>0.85</v>
      </c>
      <c r="V3" s="93">
        <f t="shared" si="1"/>
        <v>0.85</v>
      </c>
      <c r="W3" s="93">
        <f t="shared" si="1"/>
        <v>0.85</v>
      </c>
      <c r="X3" s="93">
        <f t="shared" si="1"/>
        <v>0.85</v>
      </c>
      <c r="Y3" s="93">
        <f>scen_bau!AJ20*Q3</f>
        <v>476.83197635137935</v>
      </c>
      <c r="Z3" s="93">
        <f>scen_bau!AK20*R3</f>
        <v>3.3457848915677815</v>
      </c>
      <c r="AA3" s="93">
        <f>scen_bau!AL20*S3</f>
        <v>41.401497525761044</v>
      </c>
      <c r="AB3" s="93">
        <f>scen_bau!AM20*T3</f>
        <v>2.6952411824766709</v>
      </c>
      <c r="AC3" s="93">
        <f>scen_bau!AN20*U3</f>
        <v>135.50817996405758</v>
      </c>
      <c r="AD3" s="93">
        <f>scen_bau!AO20*V3</f>
        <v>113.43579025470815</v>
      </c>
      <c r="AE3" s="93">
        <f>scen_bau!AP20*W3</f>
        <v>139.29687625523997</v>
      </c>
      <c r="AF3" s="93">
        <f>scen_bau!AQ20*X3</f>
        <v>164.14987913787152</v>
      </c>
    </row>
    <row r="4" spans="1:32" x14ac:dyDescent="0.25">
      <c r="A4" s="2" t="s">
        <v>6</v>
      </c>
      <c r="B4" s="2" t="s">
        <v>7</v>
      </c>
      <c r="C4" s="2" t="s">
        <v>616</v>
      </c>
      <c r="D4" s="2" t="s">
        <v>348</v>
      </c>
      <c r="E4" s="2" t="s">
        <v>619</v>
      </c>
      <c r="F4" s="2"/>
      <c r="G4" s="2"/>
      <c r="H4" s="92">
        <f>4500+2/7*(4350-4500)</f>
        <v>4457.1428571428569</v>
      </c>
      <c r="I4" s="92">
        <f>4350</f>
        <v>4350</v>
      </c>
      <c r="J4" s="92">
        <f>(I4+K4)/2</f>
        <v>4225</v>
      </c>
      <c r="K4" s="92">
        <v>4100</v>
      </c>
      <c r="L4" s="92">
        <f>(K4+M4)/2</f>
        <v>3950</v>
      </c>
      <c r="M4" s="92">
        <v>3800</v>
      </c>
      <c r="N4" s="92">
        <f>(M4+O4)/2</f>
        <v>3775</v>
      </c>
      <c r="O4" s="92">
        <v>3750</v>
      </c>
      <c r="P4" s="92"/>
      <c r="Q4" s="93">
        <f t="shared" si="1"/>
        <v>4.4571428571428573</v>
      </c>
      <c r="R4" s="93">
        <f t="shared" si="1"/>
        <v>4.3499999999999996</v>
      </c>
      <c r="S4" s="93">
        <f t="shared" si="1"/>
        <v>4.2249999999999996</v>
      </c>
      <c r="T4" s="93">
        <f t="shared" si="1"/>
        <v>4.0999999999999996</v>
      </c>
      <c r="U4" s="93">
        <f t="shared" si="1"/>
        <v>3.95</v>
      </c>
      <c r="V4" s="93">
        <f t="shared" si="1"/>
        <v>3.8</v>
      </c>
      <c r="W4" s="93">
        <f t="shared" si="1"/>
        <v>3.7749999999999999</v>
      </c>
      <c r="X4" s="93">
        <f t="shared" si="1"/>
        <v>3.75</v>
      </c>
      <c r="Y4" s="93">
        <f>scen_bau!AJ21*Q4</f>
        <v>297.5945142857143</v>
      </c>
      <c r="Z4" s="93">
        <f>scen_bau!AK21*R4</f>
        <v>58.088159999999995</v>
      </c>
      <c r="AA4" s="93">
        <f>scen_bau!AL21*S4</f>
        <v>56.418959999999998</v>
      </c>
      <c r="AB4" s="93">
        <f>scen_bau!AM21*T4</f>
        <v>54.749759999999995</v>
      </c>
      <c r="AC4" s="93">
        <f>scen_bau!AN21*U4</f>
        <v>52.746720000000003</v>
      </c>
      <c r="AD4" s="93">
        <f>scen_bau!AO21*V4</f>
        <v>977.94368000000009</v>
      </c>
      <c r="AE4" s="93">
        <f>scen_bau!AP21*W4</f>
        <v>65.509839999999997</v>
      </c>
      <c r="AF4" s="93">
        <f>scen_bau!AQ21*X4</f>
        <v>55.595999999999997</v>
      </c>
    </row>
    <row r="5" spans="1:32" x14ac:dyDescent="0.25">
      <c r="A5" s="2" t="s">
        <v>8</v>
      </c>
      <c r="B5" s="2" t="s">
        <v>9</v>
      </c>
      <c r="C5" s="2" t="s">
        <v>616</v>
      </c>
      <c r="D5" s="2" t="s">
        <v>620</v>
      </c>
      <c r="E5" s="2" t="s">
        <v>621</v>
      </c>
      <c r="F5" s="2" t="s">
        <v>348</v>
      </c>
      <c r="G5" s="2" t="s">
        <v>622</v>
      </c>
      <c r="H5" s="93">
        <f>'[8]Figure 5.5'!$E$23</f>
        <v>1842.692924470706</v>
      </c>
      <c r="I5" s="93">
        <f>$H5</f>
        <v>1842.692924470706</v>
      </c>
      <c r="J5" s="93">
        <f t="shared" ref="J5:O5" si="2">$H5</f>
        <v>1842.692924470706</v>
      </c>
      <c r="K5" s="93">
        <f t="shared" si="2"/>
        <v>1842.692924470706</v>
      </c>
      <c r="L5" s="93">
        <f t="shared" si="2"/>
        <v>1842.692924470706</v>
      </c>
      <c r="M5" s="93">
        <f t="shared" si="2"/>
        <v>1842.692924470706</v>
      </c>
      <c r="N5" s="93">
        <f t="shared" si="2"/>
        <v>1842.692924470706</v>
      </c>
      <c r="O5" s="93">
        <f t="shared" si="2"/>
        <v>1842.692924470706</v>
      </c>
      <c r="P5" s="92">
        <v>0.91</v>
      </c>
      <c r="Q5" s="93">
        <f t="shared" ref="Q5:X7" si="3">H5*$P5/1000</f>
        <v>1.6768505612683424</v>
      </c>
      <c r="R5" s="93">
        <f t="shared" si="3"/>
        <v>1.6768505612683424</v>
      </c>
      <c r="S5" s="93">
        <f t="shared" si="3"/>
        <v>1.6768505612683424</v>
      </c>
      <c r="T5" s="93">
        <f t="shared" si="3"/>
        <v>1.6768505612683424</v>
      </c>
      <c r="U5" s="93">
        <f t="shared" si="3"/>
        <v>1.6768505612683424</v>
      </c>
      <c r="V5" s="93">
        <f t="shared" si="3"/>
        <v>1.6768505612683424</v>
      </c>
      <c r="W5" s="93">
        <f t="shared" si="3"/>
        <v>1.6768505612683424</v>
      </c>
      <c r="X5" s="93">
        <f t="shared" si="3"/>
        <v>1.6768505612683424</v>
      </c>
      <c r="Y5" s="93">
        <f>scen_bau!AJ22*Q5</f>
        <v>43.821694667812686</v>
      </c>
      <c r="Z5" s="93">
        <f>scen_bau!AK22*R5</f>
        <v>6.7632972637822384</v>
      </c>
      <c r="AA5" s="93">
        <f>scen_bau!AL22*S5</f>
        <v>11.236924363569612</v>
      </c>
      <c r="AB5" s="93">
        <f>scen_bau!AM22*T5</f>
        <v>10.021108991695524</v>
      </c>
      <c r="AC5" s="93">
        <f>scen_bau!AN22*U5</f>
        <v>6.2399108980643705</v>
      </c>
      <c r="AD5" s="93">
        <f>scen_bau!AO22*V5</f>
        <v>9.8084969560350235</v>
      </c>
      <c r="AE5" s="93">
        <f>scen_bau!AP22*W5</f>
        <v>7.6480408327698832</v>
      </c>
      <c r="AF5" s="93">
        <f>scen_bau!AQ22*X5</f>
        <v>6.5000491901119473</v>
      </c>
    </row>
    <row r="6" spans="1:32" x14ac:dyDescent="0.25">
      <c r="A6" s="2" t="s">
        <v>342</v>
      </c>
      <c r="B6" s="2" t="s">
        <v>336</v>
      </c>
      <c r="C6" s="2" t="s">
        <v>616</v>
      </c>
      <c r="D6" s="2" t="s">
        <v>620</v>
      </c>
      <c r="E6" s="2" t="s">
        <v>623</v>
      </c>
      <c r="F6" s="2" t="s">
        <v>348</v>
      </c>
      <c r="G6" s="2" t="s">
        <v>624</v>
      </c>
      <c r="H6" s="94">
        <f>SUM('[8]Figure 2.5'!$AD$10:$AL$10)/9</f>
        <v>1988.1111111111111</v>
      </c>
      <c r="I6" s="94">
        <f>H6*1350/(1400+2/7*(1350-1400))</f>
        <v>1936.8711340206185</v>
      </c>
      <c r="J6" s="94">
        <f t="shared" ref="J6:J14" si="4">(I6+K6)/2</f>
        <v>1901.0031500572736</v>
      </c>
      <c r="K6" s="94">
        <f>I6*1300/1350</f>
        <v>1865.1351660939288</v>
      </c>
      <c r="L6" s="94">
        <f t="shared" ref="L6:L14" si="5">(K6+M6)/2</f>
        <v>1793.3991981672393</v>
      </c>
      <c r="M6" s="94">
        <f>K6*1200/1300</f>
        <v>1721.6632302405496</v>
      </c>
      <c r="N6" s="94">
        <f t="shared" ref="N6:N14" si="6">(M6+O6)/2</f>
        <v>1649.92726231386</v>
      </c>
      <c r="O6" s="94">
        <f>M6*1100/1200</f>
        <v>1578.1912943871705</v>
      </c>
      <c r="P6" s="92">
        <v>0.91</v>
      </c>
      <c r="Q6" s="93">
        <f t="shared" si="3"/>
        <v>1.8091811111111114</v>
      </c>
      <c r="R6" s="93">
        <f t="shared" si="3"/>
        <v>1.7625527319587628</v>
      </c>
      <c r="S6" s="93">
        <f t="shared" si="3"/>
        <v>1.7299128665521191</v>
      </c>
      <c r="T6" s="93">
        <f t="shared" si="3"/>
        <v>1.6972730011454753</v>
      </c>
      <c r="U6" s="93">
        <f t="shared" si="3"/>
        <v>1.6319932703321878</v>
      </c>
      <c r="V6" s="93">
        <f t="shared" si="3"/>
        <v>1.5667135395189002</v>
      </c>
      <c r="W6" s="93">
        <f t="shared" si="3"/>
        <v>1.5014338087056125</v>
      </c>
      <c r="X6" s="93">
        <f t="shared" si="3"/>
        <v>1.4361540778923252</v>
      </c>
      <c r="Y6" s="93">
        <f>scen_bau!AJ23*Q6</f>
        <v>30.851060897222229</v>
      </c>
      <c r="Z6" s="93">
        <f>scen_bau!AK23*R6</f>
        <v>46.90313051808814</v>
      </c>
      <c r="AA6" s="93">
        <f>scen_bau!AL23*S6</f>
        <v>357.90763215874284</v>
      </c>
      <c r="AB6" s="93">
        <f>scen_bau!AM23*T6</f>
        <v>109.31997756312504</v>
      </c>
      <c r="AC6" s="93">
        <f>scen_bau!AN23*U6</f>
        <v>378.56597869271462</v>
      </c>
      <c r="AD6" s="93">
        <f>scen_bau!AO23*V6</f>
        <v>238.32216457039354</v>
      </c>
      <c r="AE6" s="93">
        <f>scen_bau!AP23*W6</f>
        <v>152.46730888008523</v>
      </c>
      <c r="AF6" s="93">
        <f>scen_bau!AQ23*X6</f>
        <v>94.668959069007187</v>
      </c>
    </row>
    <row r="7" spans="1:32" x14ac:dyDescent="0.25">
      <c r="A7" s="2" t="s">
        <v>343</v>
      </c>
      <c r="B7" s="2" t="s">
        <v>337</v>
      </c>
      <c r="C7" s="2" t="s">
        <v>616</v>
      </c>
      <c r="D7" s="2" t="s">
        <v>620</v>
      </c>
      <c r="E7" s="2" t="s">
        <v>625</v>
      </c>
      <c r="F7" s="2" t="s">
        <v>348</v>
      </c>
      <c r="G7" s="2" t="s">
        <v>626</v>
      </c>
      <c r="H7" s="92">
        <f>('[8]Table 4.1'!$D$11+'[8]Table 4.1'!$G$11)/2</f>
        <v>4376</v>
      </c>
      <c r="I7" s="92">
        <f>H7*2880/(3470+2/7*(2880-3470))</f>
        <v>3817.4019904803113</v>
      </c>
      <c r="J7" s="92">
        <f t="shared" si="4"/>
        <v>3618.5789701427948</v>
      </c>
      <c r="K7" s="92">
        <f>I7*2580/2880</f>
        <v>3419.7559498052788</v>
      </c>
      <c r="L7" s="92">
        <f t="shared" si="5"/>
        <v>3287.2072695802681</v>
      </c>
      <c r="M7" s="92">
        <f>K7*2380/2580</f>
        <v>3154.6585893552569</v>
      </c>
      <c r="N7" s="92">
        <f t="shared" si="6"/>
        <v>3032.3850006205571</v>
      </c>
      <c r="O7" s="92">
        <f>M7*2380/2580</f>
        <v>2910.1114118858573</v>
      </c>
      <c r="P7" s="92">
        <v>0.91</v>
      </c>
      <c r="Q7" s="93">
        <f t="shared" si="3"/>
        <v>3.9821600000000004</v>
      </c>
      <c r="R7" s="93">
        <f t="shared" si="3"/>
        <v>3.4738358113370831</v>
      </c>
      <c r="S7" s="93">
        <f t="shared" si="3"/>
        <v>3.2929068628299434</v>
      </c>
      <c r="T7" s="93">
        <f t="shared" si="3"/>
        <v>3.1119779143228037</v>
      </c>
      <c r="U7" s="93">
        <f t="shared" si="3"/>
        <v>2.991358615318044</v>
      </c>
      <c r="V7" s="93">
        <f t="shared" si="3"/>
        <v>2.8707393163132839</v>
      </c>
      <c r="W7" s="93">
        <f t="shared" si="3"/>
        <v>2.7594703505647074</v>
      </c>
      <c r="X7" s="93">
        <f t="shared" si="3"/>
        <v>2.6482013848161299</v>
      </c>
      <c r="Y7" s="93">
        <f>scen_bau!AJ24*Q7</f>
        <v>0</v>
      </c>
      <c r="Z7" s="93">
        <f>scen_bau!AK24*R7</f>
        <v>0</v>
      </c>
      <c r="AA7" s="93">
        <f>scen_bau!AL24*S7</f>
        <v>0</v>
      </c>
      <c r="AB7" s="93">
        <f>scen_bau!AM24*T7</f>
        <v>0</v>
      </c>
      <c r="AC7" s="93">
        <f>scen_bau!AN24*U7</f>
        <v>0</v>
      </c>
      <c r="AD7" s="93">
        <f>scen_bau!AO24*V7</f>
        <v>0</v>
      </c>
      <c r="AE7" s="93">
        <f>scen_bau!AP24*W7</f>
        <v>0</v>
      </c>
      <c r="AF7" s="93">
        <f>scen_bau!AQ24*X7</f>
        <v>0</v>
      </c>
    </row>
    <row r="8" spans="1:32" x14ac:dyDescent="0.25">
      <c r="A8" s="1" t="s">
        <v>10</v>
      </c>
      <c r="B8" s="1" t="s">
        <v>11</v>
      </c>
      <c r="C8" s="2" t="s">
        <v>616</v>
      </c>
      <c r="D8" s="2" t="s">
        <v>348</v>
      </c>
      <c r="E8" s="2" t="s">
        <v>627</v>
      </c>
      <c r="F8" s="2"/>
      <c r="G8" s="2"/>
      <c r="H8" s="92">
        <f>2500+2/7*(2300-2500)</f>
        <v>2442.8571428571427</v>
      </c>
      <c r="I8" s="92">
        <v>2300</v>
      </c>
      <c r="J8" s="92">
        <f t="shared" si="4"/>
        <v>2300</v>
      </c>
      <c r="K8" s="92">
        <v>2300</v>
      </c>
      <c r="L8" s="92">
        <f t="shared" si="5"/>
        <v>2300</v>
      </c>
      <c r="M8" s="92">
        <v>2300</v>
      </c>
      <c r="N8" s="92">
        <f t="shared" si="6"/>
        <v>2250</v>
      </c>
      <c r="O8" s="92">
        <v>2200</v>
      </c>
      <c r="P8" s="92"/>
      <c r="Q8" s="93">
        <f t="shared" ref="Q8:X9" si="7">H8/1000</f>
        <v>2.4428571428571426</v>
      </c>
      <c r="R8" s="93">
        <f t="shared" si="7"/>
        <v>2.2999999999999998</v>
      </c>
      <c r="S8" s="93">
        <f t="shared" si="7"/>
        <v>2.2999999999999998</v>
      </c>
      <c r="T8" s="93">
        <f t="shared" si="7"/>
        <v>2.2999999999999998</v>
      </c>
      <c r="U8" s="93">
        <f t="shared" si="7"/>
        <v>2.2999999999999998</v>
      </c>
      <c r="V8" s="93">
        <f t="shared" si="7"/>
        <v>2.2999999999999998</v>
      </c>
      <c r="W8" s="93">
        <f t="shared" si="7"/>
        <v>2.25</v>
      </c>
      <c r="X8" s="93">
        <f t="shared" si="7"/>
        <v>2.2000000000000002</v>
      </c>
      <c r="Y8" s="93">
        <f>scen_bau!AJ25*Q8</f>
        <v>9.3477757224489775</v>
      </c>
      <c r="Z8" s="93">
        <f>scen_bau!AK25*R8</f>
        <v>0.94431586285714264</v>
      </c>
      <c r="AA8" s="93">
        <f>scen_bau!AL25*S8</f>
        <v>0.83722786285714268</v>
      </c>
      <c r="AB8" s="93">
        <f>scen_bau!AM25*T8</f>
        <v>0.83722786285714268</v>
      </c>
      <c r="AC8" s="93">
        <f>scen_bau!AN25*U8</f>
        <v>0.58751357714285712</v>
      </c>
      <c r="AD8" s="93">
        <f>scen_bau!AO25*V8</f>
        <v>0.54154222857142842</v>
      </c>
      <c r="AE8" s="93">
        <f>scen_bau!AP25*W8</f>
        <v>0.5297695714285714</v>
      </c>
      <c r="AF8" s="93">
        <f>scen_bau!AQ25*X8</f>
        <v>0.30302548571428572</v>
      </c>
    </row>
    <row r="9" spans="1:32" x14ac:dyDescent="0.25">
      <c r="A9" s="2" t="s">
        <v>12</v>
      </c>
      <c r="B9" s="2" t="s">
        <v>13</v>
      </c>
      <c r="C9" s="2" t="s">
        <v>616</v>
      </c>
      <c r="D9" s="2" t="s">
        <v>348</v>
      </c>
      <c r="E9" s="2" t="s">
        <v>628</v>
      </c>
      <c r="F9" s="2"/>
      <c r="G9" s="2"/>
      <c r="H9" s="92">
        <f>2890+2/7*(2620-2890)</f>
        <v>2812.8571428571427</v>
      </c>
      <c r="I9" s="92">
        <v>2620</v>
      </c>
      <c r="J9" s="92">
        <f t="shared" si="4"/>
        <v>2495</v>
      </c>
      <c r="K9" s="92">
        <v>2370</v>
      </c>
      <c r="L9" s="92">
        <f t="shared" si="5"/>
        <v>2260</v>
      </c>
      <c r="M9" s="92">
        <v>2150</v>
      </c>
      <c r="N9" s="92">
        <f t="shared" si="6"/>
        <v>2050</v>
      </c>
      <c r="O9" s="92">
        <v>1950</v>
      </c>
      <c r="P9" s="92"/>
      <c r="Q9" s="93">
        <f t="shared" si="7"/>
        <v>2.8128571428571427</v>
      </c>
      <c r="R9" s="93">
        <f t="shared" si="7"/>
        <v>2.62</v>
      </c>
      <c r="S9" s="93">
        <f t="shared" si="7"/>
        <v>2.4950000000000001</v>
      </c>
      <c r="T9" s="93">
        <f t="shared" si="7"/>
        <v>2.37</v>
      </c>
      <c r="U9" s="93">
        <f t="shared" si="7"/>
        <v>2.2599999999999998</v>
      </c>
      <c r="V9" s="93">
        <f t="shared" si="7"/>
        <v>2.15</v>
      </c>
      <c r="W9" s="93">
        <f t="shared" si="7"/>
        <v>2.0499999999999998</v>
      </c>
      <c r="X9" s="93">
        <f t="shared" si="7"/>
        <v>1.95</v>
      </c>
      <c r="Y9" s="93">
        <f>scen_bau!AJ26*Q9</f>
        <v>135.32288678900989</v>
      </c>
      <c r="Z9" s="93">
        <f>scen_bau!AK26*R9</f>
        <v>75.381224616559066</v>
      </c>
      <c r="AA9" s="93">
        <f>scen_bau!AL26*S9</f>
        <v>64.364882160685411</v>
      </c>
      <c r="AB9" s="93">
        <f>scen_bau!AM26*T9</f>
        <v>27.083346778210814</v>
      </c>
      <c r="AC9" s="93">
        <f>scen_bau!AN26*U9</f>
        <v>72.645123403614761</v>
      </c>
      <c r="AD9" s="93">
        <f>scen_bau!AO26*V9</f>
        <v>95.879900313448189</v>
      </c>
      <c r="AE9" s="93">
        <f>scen_bau!AP26*W9</f>
        <v>87.018814865218445</v>
      </c>
      <c r="AF9" s="93">
        <f>scen_bau!AQ26*X9</f>
        <v>143.08684383140596</v>
      </c>
    </row>
    <row r="10" spans="1:32" x14ac:dyDescent="0.25">
      <c r="A10" s="2" t="s">
        <v>340</v>
      </c>
      <c r="B10" s="2" t="s">
        <v>338</v>
      </c>
      <c r="C10" s="2" t="s">
        <v>616</v>
      </c>
      <c r="D10" s="2" t="s">
        <v>620</v>
      </c>
      <c r="E10" s="2" t="s">
        <v>629</v>
      </c>
      <c r="F10" s="2" t="s">
        <v>348</v>
      </c>
      <c r="G10" s="2" t="s">
        <v>630</v>
      </c>
      <c r="H10" s="94">
        <f>SUM('[8]Figure 3.4'!$F$10:$N$10)/9</f>
        <v>1608.2725555555553</v>
      </c>
      <c r="I10" s="94">
        <f>H10*800/(980+2/7*(800-980))</f>
        <v>1385.588663247863</v>
      </c>
      <c r="J10" s="94">
        <f t="shared" si="4"/>
        <v>1247.0297969230767</v>
      </c>
      <c r="K10" s="94">
        <f>I10*640/800</f>
        <v>1108.4709305982904</v>
      </c>
      <c r="L10" s="94">
        <f t="shared" si="5"/>
        <v>1056.5113557264956</v>
      </c>
      <c r="M10" s="94">
        <f>K10*580/640</f>
        <v>1004.5517808547007</v>
      </c>
      <c r="N10" s="94">
        <f t="shared" si="6"/>
        <v>952.59220598290585</v>
      </c>
      <c r="O10" s="94">
        <f>M10*520/580</f>
        <v>900.63263111111098</v>
      </c>
      <c r="P10" s="92">
        <v>0.91</v>
      </c>
      <c r="Q10" s="93">
        <f t="shared" ref="Q10:X12" si="8">H10*$P10/1000</f>
        <v>1.4635280255555554</v>
      </c>
      <c r="R10" s="93">
        <f t="shared" si="8"/>
        <v>1.2608856835555553</v>
      </c>
      <c r="S10" s="93">
        <f t="shared" si="8"/>
        <v>1.1347971151999998</v>
      </c>
      <c r="T10" s="93">
        <f t="shared" si="8"/>
        <v>1.0087085468444443</v>
      </c>
      <c r="U10" s="93">
        <f t="shared" si="8"/>
        <v>0.96142533371111105</v>
      </c>
      <c r="V10" s="93">
        <f t="shared" si="8"/>
        <v>0.91414212057777777</v>
      </c>
      <c r="W10" s="93">
        <f t="shared" si="8"/>
        <v>0.86685890744444438</v>
      </c>
      <c r="X10" s="93">
        <f t="shared" si="8"/>
        <v>0.81957569431111099</v>
      </c>
      <c r="Y10" s="93">
        <f>scen_bau!AJ27*Q10</f>
        <v>84.877624309256163</v>
      </c>
      <c r="Z10" s="93">
        <f>scen_bau!AK27*R10</f>
        <v>13.413045398705417</v>
      </c>
      <c r="AA10" s="93">
        <f>scen_bau!AL27*S10</f>
        <v>247.03090928113019</v>
      </c>
      <c r="AB10" s="93">
        <f>scen_bau!AM27*T10</f>
        <v>68.099898403131888</v>
      </c>
      <c r="AC10" s="93">
        <f>scen_bau!AN27*U10</f>
        <v>46.728655725022477</v>
      </c>
      <c r="AD10" s="93">
        <f>scen_bau!AO27*V10</f>
        <v>90.61526493997637</v>
      </c>
      <c r="AE10" s="93">
        <f>scen_bau!AP27*W10</f>
        <v>130.43975460837004</v>
      </c>
      <c r="AF10" s="93">
        <f>scen_bau!AQ27*X10</f>
        <v>24.087736989754063</v>
      </c>
    </row>
    <row r="11" spans="1:32" x14ac:dyDescent="0.25">
      <c r="A11" s="2" t="s">
        <v>341</v>
      </c>
      <c r="B11" s="2" t="s">
        <v>339</v>
      </c>
      <c r="C11" s="2" t="s">
        <v>616</v>
      </c>
      <c r="D11" s="2" t="s">
        <v>620</v>
      </c>
      <c r="E11" s="2" t="s">
        <v>631</v>
      </c>
      <c r="F11" s="2" t="s">
        <v>348</v>
      </c>
      <c r="G11" s="2" t="s">
        <v>632</v>
      </c>
      <c r="H11" s="94">
        <f>SUM('[8]Table 3.1'!$F$10:$N$10)/9</f>
        <v>2164.4444444444443</v>
      </c>
      <c r="I11" s="94">
        <f>H11*1100/(1310+2/7*(1100-1310))</f>
        <v>1904.7111111111112</v>
      </c>
      <c r="J11" s="94">
        <f t="shared" si="4"/>
        <v>1809.4755555555557</v>
      </c>
      <c r="K11" s="94">
        <f>I11*990/1100</f>
        <v>1714.24</v>
      </c>
      <c r="L11" s="94">
        <f t="shared" si="5"/>
        <v>1662.2933333333333</v>
      </c>
      <c r="M11" s="94">
        <f>K11*930/990</f>
        <v>1610.3466666666666</v>
      </c>
      <c r="N11" s="94">
        <f t="shared" si="6"/>
        <v>1567.0577777777776</v>
      </c>
      <c r="O11" s="94">
        <f>M11*880/930</f>
        <v>1523.7688888888888</v>
      </c>
      <c r="P11" s="92">
        <v>0.91</v>
      </c>
      <c r="Q11" s="93">
        <f t="shared" si="8"/>
        <v>1.9696444444444443</v>
      </c>
      <c r="R11" s="93">
        <f t="shared" si="8"/>
        <v>1.7332871111111112</v>
      </c>
      <c r="S11" s="93">
        <f t="shared" si="8"/>
        <v>1.6466227555555559</v>
      </c>
      <c r="T11" s="93">
        <f t="shared" si="8"/>
        <v>1.5599584</v>
      </c>
      <c r="U11" s="93">
        <f t="shared" si="8"/>
        <v>1.5126869333333335</v>
      </c>
      <c r="V11" s="93">
        <f t="shared" si="8"/>
        <v>1.4654154666666666</v>
      </c>
      <c r="W11" s="93">
        <f t="shared" si="8"/>
        <v>1.4260225777777775</v>
      </c>
      <c r="X11" s="93">
        <f t="shared" si="8"/>
        <v>1.3866296888888889</v>
      </c>
      <c r="Y11" s="93">
        <f>scen_bau!AJ28*Q11</f>
        <v>64.022866759013311</v>
      </c>
      <c r="Z11" s="93">
        <f>scen_bau!AK28*R11</f>
        <v>10.334210360394085</v>
      </c>
      <c r="AA11" s="93">
        <f>scen_bau!AL28*S11</f>
        <v>200.901091341284</v>
      </c>
      <c r="AB11" s="93">
        <f>scen_bau!AM28*T11</f>
        <v>59.02675242926351</v>
      </c>
      <c r="AC11" s="93">
        <f>scen_bau!AN28*U11</f>
        <v>41.207084721472995</v>
      </c>
      <c r="AD11" s="93">
        <f>scen_bau!AO28*V11</f>
        <v>81.414830781802493</v>
      </c>
      <c r="AE11" s="93">
        <f>scen_bau!AP28*W11</f>
        <v>120.26605567766624</v>
      </c>
      <c r="AF11" s="93">
        <f>scen_bau!AQ28*X11</f>
        <v>22.841390258149708</v>
      </c>
    </row>
    <row r="12" spans="1:32" x14ac:dyDescent="0.25">
      <c r="A12" s="2" t="s">
        <v>14</v>
      </c>
      <c r="B12" s="2" t="s">
        <v>15</v>
      </c>
      <c r="C12" s="2" t="s">
        <v>616</v>
      </c>
      <c r="D12" s="2" t="s">
        <v>348</v>
      </c>
      <c r="E12" s="2" t="s">
        <v>633</v>
      </c>
      <c r="F12" s="2"/>
      <c r="G12" s="2"/>
      <c r="H12" s="92">
        <f>5600+2/7*(4500-5600)</f>
        <v>5285.7142857142853</v>
      </c>
      <c r="I12" s="93">
        <v>4500</v>
      </c>
      <c r="J12" s="92">
        <f t="shared" si="4"/>
        <v>4150</v>
      </c>
      <c r="K12" s="92">
        <v>3800</v>
      </c>
      <c r="L12" s="92">
        <f t="shared" si="5"/>
        <v>3650</v>
      </c>
      <c r="M12" s="92">
        <v>3500</v>
      </c>
      <c r="N12" s="92">
        <f t="shared" si="6"/>
        <v>3450</v>
      </c>
      <c r="O12" s="93">
        <v>3400</v>
      </c>
      <c r="P12" s="92">
        <v>0.91</v>
      </c>
      <c r="Q12" s="93">
        <f t="shared" si="8"/>
        <v>4.8099999999999996</v>
      </c>
      <c r="R12" s="93">
        <f t="shared" si="8"/>
        <v>4.0949999999999998</v>
      </c>
      <c r="S12" s="93">
        <f t="shared" si="8"/>
        <v>3.7765</v>
      </c>
      <c r="T12" s="93">
        <f t="shared" si="8"/>
        <v>3.4580000000000002</v>
      </c>
      <c r="U12" s="93">
        <f t="shared" si="8"/>
        <v>3.3214999999999999</v>
      </c>
      <c r="V12" s="93">
        <f t="shared" si="8"/>
        <v>3.1850000000000001</v>
      </c>
      <c r="W12" s="93">
        <f t="shared" si="8"/>
        <v>3.1395</v>
      </c>
      <c r="X12" s="93">
        <f t="shared" si="8"/>
        <v>3.0939999999999999</v>
      </c>
      <c r="Y12" s="93">
        <f>scen_bau!AJ29*Q12</f>
        <v>0</v>
      </c>
      <c r="Z12" s="93">
        <f>scen_bau!AK29*R12</f>
        <v>0</v>
      </c>
      <c r="AA12" s="93">
        <f>scen_bau!AL29*S12</f>
        <v>0</v>
      </c>
      <c r="AB12" s="93">
        <f>scen_bau!AM29*T12</f>
        <v>0</v>
      </c>
      <c r="AC12" s="93">
        <f>scen_bau!AN29*U12</f>
        <v>0</v>
      </c>
      <c r="AD12" s="93">
        <f>scen_bau!AO29*V12</f>
        <v>0</v>
      </c>
      <c r="AE12" s="93">
        <f>scen_bau!AP29*W12</f>
        <v>0</v>
      </c>
      <c r="AF12" s="93">
        <f>scen_bau!AQ29*X12</f>
        <v>0</v>
      </c>
    </row>
    <row r="13" spans="1:32" x14ac:dyDescent="0.25">
      <c r="A13" s="2" t="s">
        <v>16</v>
      </c>
      <c r="B13" s="2" t="s">
        <v>17</v>
      </c>
      <c r="C13" s="2" t="s">
        <v>616</v>
      </c>
      <c r="D13" s="2" t="s">
        <v>348</v>
      </c>
      <c r="E13" s="2" t="s">
        <v>634</v>
      </c>
      <c r="F13" s="2"/>
      <c r="G13" s="2"/>
      <c r="H13" s="92">
        <f>9080+2/7*(5790-9080)</f>
        <v>8140</v>
      </c>
      <c r="I13" s="92">
        <v>5790</v>
      </c>
      <c r="J13" s="92">
        <f t="shared" si="4"/>
        <v>5135</v>
      </c>
      <c r="K13" s="92">
        <v>4480</v>
      </c>
      <c r="L13" s="92">
        <f t="shared" si="5"/>
        <v>3565</v>
      </c>
      <c r="M13" s="92">
        <v>2650</v>
      </c>
      <c r="N13" s="92">
        <f t="shared" si="6"/>
        <v>2475</v>
      </c>
      <c r="O13" s="92">
        <v>2300</v>
      </c>
      <c r="P13" s="92"/>
      <c r="Q13" s="93">
        <f t="shared" ref="Q13:X13" si="9">H13/1000</f>
        <v>8.14</v>
      </c>
      <c r="R13" s="93">
        <f t="shared" si="9"/>
        <v>5.79</v>
      </c>
      <c r="S13" s="93">
        <f t="shared" si="9"/>
        <v>5.1349999999999998</v>
      </c>
      <c r="T13" s="93">
        <f t="shared" si="9"/>
        <v>4.4800000000000004</v>
      </c>
      <c r="U13" s="93">
        <f t="shared" si="9"/>
        <v>3.5649999999999999</v>
      </c>
      <c r="V13" s="93">
        <f t="shared" si="9"/>
        <v>2.65</v>
      </c>
      <c r="W13" s="93">
        <f t="shared" si="9"/>
        <v>2.4750000000000001</v>
      </c>
      <c r="X13" s="93">
        <f t="shared" si="9"/>
        <v>2.2999999999999998</v>
      </c>
      <c r="Y13" s="93">
        <f>scen_bau!AJ30*Q13</f>
        <v>0</v>
      </c>
      <c r="Z13" s="93">
        <f>scen_bau!AK30*R13</f>
        <v>0</v>
      </c>
      <c r="AA13" s="93">
        <f>scen_bau!AL30*S13</f>
        <v>0</v>
      </c>
      <c r="AB13" s="93">
        <f>scen_bau!AM30*T13</f>
        <v>0</v>
      </c>
      <c r="AC13" s="93">
        <f>scen_bau!AN30*U13</f>
        <v>0</v>
      </c>
      <c r="AD13" s="93">
        <f>scen_bau!AO30*V13</f>
        <v>0</v>
      </c>
      <c r="AE13" s="93">
        <f>scen_bau!AP30*W13</f>
        <v>0</v>
      </c>
      <c r="AF13" s="93">
        <f>scen_bau!AQ30*X13</f>
        <v>0</v>
      </c>
    </row>
    <row r="14" spans="1:32" x14ac:dyDescent="0.25">
      <c r="A14" s="2" t="s">
        <v>18</v>
      </c>
      <c r="B14" s="2" t="s">
        <v>19</v>
      </c>
      <c r="C14" s="2" t="s">
        <v>616</v>
      </c>
      <c r="D14" s="2" t="s">
        <v>348</v>
      </c>
      <c r="E14" s="2" t="s">
        <v>635</v>
      </c>
      <c r="F14" s="2"/>
      <c r="G14" s="2"/>
      <c r="H14" s="92">
        <f>5530+2/7*(4970-5530)</f>
        <v>5370</v>
      </c>
      <c r="I14" s="93">
        <v>4970</v>
      </c>
      <c r="J14" s="92">
        <f t="shared" si="4"/>
        <v>4720</v>
      </c>
      <c r="K14" s="92">
        <v>4470</v>
      </c>
      <c r="L14" s="92">
        <f t="shared" si="5"/>
        <v>4245</v>
      </c>
      <c r="M14" s="92">
        <v>4020</v>
      </c>
      <c r="N14" s="92">
        <f t="shared" si="6"/>
        <v>3815</v>
      </c>
      <c r="O14" s="93">
        <v>3610</v>
      </c>
      <c r="P14" s="92">
        <v>0.91</v>
      </c>
      <c r="Q14" s="93">
        <f t="shared" ref="Q14:X14" si="10">H14*$P14/1000</f>
        <v>4.8866999999999994</v>
      </c>
      <c r="R14" s="93">
        <f t="shared" si="10"/>
        <v>4.5226999999999995</v>
      </c>
      <c r="S14" s="93">
        <f t="shared" si="10"/>
        <v>4.2951999999999995</v>
      </c>
      <c r="T14" s="93">
        <f t="shared" si="10"/>
        <v>4.0677000000000003</v>
      </c>
      <c r="U14" s="93">
        <f t="shared" si="10"/>
        <v>3.8629500000000001</v>
      </c>
      <c r="V14" s="93">
        <f t="shared" si="10"/>
        <v>3.6582000000000003</v>
      </c>
      <c r="W14" s="93">
        <f t="shared" si="10"/>
        <v>3.4716499999999999</v>
      </c>
      <c r="X14" s="93">
        <f t="shared" si="10"/>
        <v>3.2850999999999999</v>
      </c>
      <c r="Y14" s="93">
        <f>scen_bau!AJ31*Q14</f>
        <v>0</v>
      </c>
      <c r="Z14" s="93">
        <f>scen_bau!AK31*R14</f>
        <v>0</v>
      </c>
      <c r="AA14" s="93">
        <f>scen_bau!AL31*S14</f>
        <v>0</v>
      </c>
      <c r="AB14" s="93">
        <f>scen_bau!AM31*T14</f>
        <v>0</v>
      </c>
      <c r="AC14" s="93">
        <f>scen_bau!AN31*U14</f>
        <v>0</v>
      </c>
      <c r="AD14" s="93">
        <f>scen_bau!AO31*V14</f>
        <v>9.0489509609333272</v>
      </c>
      <c r="AE14" s="93">
        <f>scen_bau!AP31*W14</f>
        <v>316.98348202836883</v>
      </c>
      <c r="AF14" s="93">
        <f>scen_bau!AQ31*X14</f>
        <v>57.148994448704514</v>
      </c>
    </row>
  </sheetData>
  <hyperlinks>
    <hyperlink ref="D2" r:id="rId1"/>
  </hyperlinks>
  <pageMargins left="0.7" right="0.7" top="0.78740157499999996" bottom="0.78740157499999996" header="0.3" footer="0.3"/>
  <pageSetup paperSize="9" orientation="portrait"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4"/>
  <sheetViews>
    <sheetView zoomScale="75" zoomScaleNormal="75" workbookViewId="0">
      <pane xSplit="7" ySplit="1" topLeftCell="H2" activePane="bottomRight" state="frozen"/>
      <selection activeCell="D2" sqref="D2"/>
      <selection pane="topRight" activeCell="D2" sqref="D2"/>
      <selection pane="bottomLeft" activeCell="D2" sqref="D2"/>
      <selection pane="bottomRight" activeCell="H2" sqref="H2"/>
    </sheetView>
  </sheetViews>
  <sheetFormatPr defaultRowHeight="14.25" x14ac:dyDescent="0.2"/>
  <cols>
    <col min="1" max="1" width="11.75" bestFit="1" customWidth="1"/>
    <col min="2" max="2" width="48.625" bestFit="1" customWidth="1"/>
    <col min="3" max="3" width="12.25" bestFit="1" customWidth="1"/>
    <col min="4" max="7" width="12.25" customWidth="1"/>
    <col min="8" max="10" width="10.25" customWidth="1"/>
    <col min="11" max="12" width="10.25" style="106" customWidth="1"/>
    <col min="13" max="16" width="10.25" style="107" customWidth="1"/>
    <col min="17" max="24" width="10.25" customWidth="1"/>
  </cols>
  <sheetData>
    <row r="1" spans="1:24" ht="15" x14ac:dyDescent="0.25">
      <c r="A1" s="88" t="s">
        <v>586</v>
      </c>
      <c r="B1" s="88" t="s">
        <v>0</v>
      </c>
      <c r="C1" s="88" t="s">
        <v>1</v>
      </c>
      <c r="D1" s="88" t="s">
        <v>587</v>
      </c>
      <c r="E1" s="88" t="s">
        <v>589</v>
      </c>
      <c r="F1" s="88" t="s">
        <v>638</v>
      </c>
      <c r="G1" s="88" t="s">
        <v>639</v>
      </c>
      <c r="H1" s="96" t="s">
        <v>640</v>
      </c>
      <c r="I1" s="96" t="s">
        <v>641</v>
      </c>
      <c r="J1" s="96" t="s">
        <v>642</v>
      </c>
      <c r="K1" s="96" t="s">
        <v>643</v>
      </c>
      <c r="L1" s="96" t="s">
        <v>644</v>
      </c>
      <c r="M1" s="96" t="s">
        <v>645</v>
      </c>
      <c r="N1" s="96" t="s">
        <v>646</v>
      </c>
      <c r="O1" s="96" t="s">
        <v>647</v>
      </c>
      <c r="P1" s="96" t="s">
        <v>648</v>
      </c>
      <c r="Q1" s="88" t="s">
        <v>649</v>
      </c>
      <c r="R1" s="88" t="s">
        <v>650</v>
      </c>
      <c r="S1" s="88" t="s">
        <v>651</v>
      </c>
      <c r="T1" s="88" t="s">
        <v>652</v>
      </c>
      <c r="U1" s="88" t="s">
        <v>653</v>
      </c>
      <c r="V1" s="88" t="s">
        <v>654</v>
      </c>
      <c r="W1" s="88" t="s">
        <v>655</v>
      </c>
      <c r="X1" s="88" t="s">
        <v>656</v>
      </c>
    </row>
    <row r="2" spans="1:24" ht="15" x14ac:dyDescent="0.25">
      <c r="A2" s="2" t="s">
        <v>616</v>
      </c>
      <c r="B2" s="2" t="s">
        <v>2</v>
      </c>
      <c r="C2" s="2" t="s">
        <v>3</v>
      </c>
      <c r="D2" s="97" t="s">
        <v>657</v>
      </c>
      <c r="E2" s="98" t="s">
        <v>658</v>
      </c>
      <c r="F2" s="99" t="s">
        <v>659</v>
      </c>
      <c r="G2" s="1" t="s">
        <v>660</v>
      </c>
      <c r="H2" s="100">
        <f>'[9]ENTSO-E'!$I$448+'[9]ENTSO-E'!$I$450</f>
        <v>8700</v>
      </c>
      <c r="I2" s="100">
        <f>'[9]ENTSO-E'!$I$472+'[9]ENTSO-E'!$I$474</f>
        <v>9300</v>
      </c>
      <c r="J2" s="100">
        <f>'[9]ENTSO-E'!$I$496+'[9]ENTSO-E'!$I$498</f>
        <v>9300</v>
      </c>
      <c r="K2" s="101">
        <f>'[9]ENTSO-E'!$I$6604+'[9]ENTSO-E'!$I$6824</f>
        <v>9680</v>
      </c>
      <c r="L2" s="102">
        <f>[7]CZ!B8+[7]CZ!B11</f>
        <v>9400</v>
      </c>
      <c r="M2" s="102">
        <f>[7]CZ!C8+[7]CZ!C11</f>
        <v>9534</v>
      </c>
      <c r="N2" s="102">
        <f>[7]CZ!D8+[7]CZ!D11</f>
        <v>9129</v>
      </c>
      <c r="O2" s="102">
        <f>[7]CZ!E8+[7]CZ!E11</f>
        <v>9742</v>
      </c>
      <c r="P2" s="102">
        <f>[7]CZ!F8+[7]CZ!F11</f>
        <v>9650</v>
      </c>
      <c r="Q2" s="103">
        <f t="shared" ref="Q2:X14" si="0">MAX((I2-H2),0)</f>
        <v>600</v>
      </c>
      <c r="R2" s="103">
        <f t="shared" si="0"/>
        <v>0</v>
      </c>
      <c r="S2" s="103">
        <f t="shared" si="0"/>
        <v>380</v>
      </c>
      <c r="T2" s="103">
        <f t="shared" si="0"/>
        <v>0</v>
      </c>
      <c r="U2" s="103">
        <f t="shared" si="0"/>
        <v>134</v>
      </c>
      <c r="V2" s="103">
        <f t="shared" si="0"/>
        <v>0</v>
      </c>
      <c r="W2" s="103">
        <f t="shared" si="0"/>
        <v>613</v>
      </c>
      <c r="X2" s="103">
        <f t="shared" si="0"/>
        <v>0</v>
      </c>
    </row>
    <row r="3" spans="1:24" ht="15" x14ac:dyDescent="0.25">
      <c r="A3" s="2" t="s">
        <v>616</v>
      </c>
      <c r="B3" s="2" t="s">
        <v>4</v>
      </c>
      <c r="C3" s="2" t="s">
        <v>5</v>
      </c>
      <c r="D3" s="97" t="s">
        <v>657</v>
      </c>
      <c r="E3" s="98" t="s">
        <v>658</v>
      </c>
      <c r="F3" s="99" t="s">
        <v>659</v>
      </c>
      <c r="G3" s="1" t="s">
        <v>660</v>
      </c>
      <c r="H3" s="100">
        <f>'[9]ENTSO-E'!$I$452</f>
        <v>600</v>
      </c>
      <c r="I3" s="100">
        <f>'[9]ENTSO-E'!$I$476</f>
        <v>600</v>
      </c>
      <c r="J3" s="100">
        <f>'[9]ENTSO-E'!$I$500</f>
        <v>600</v>
      </c>
      <c r="K3" s="101">
        <f>'[9]ENTSO-E'!$I$7154</f>
        <v>1570</v>
      </c>
      <c r="L3" s="102">
        <f>[7]CZ!B9+[7]CZ!B10</f>
        <v>2100</v>
      </c>
      <c r="M3" s="102">
        <f>[7]CZ!C9+[7]CZ!C10</f>
        <v>1606</v>
      </c>
      <c r="N3" s="102">
        <f>[7]CZ!D9+[7]CZ!D10</f>
        <v>1606</v>
      </c>
      <c r="O3" s="102">
        <f>[7]CZ!E9+[7]CZ!E10</f>
        <v>1606</v>
      </c>
      <c r="P3" s="102">
        <f>[7]CZ!F9+[7]CZ!F10</f>
        <v>1606</v>
      </c>
      <c r="Q3" s="103">
        <f t="shared" si="0"/>
        <v>0</v>
      </c>
      <c r="R3" s="103">
        <f t="shared" si="0"/>
        <v>0</v>
      </c>
      <c r="S3" s="103">
        <f t="shared" si="0"/>
        <v>970</v>
      </c>
      <c r="T3" s="103">
        <f t="shared" si="0"/>
        <v>530</v>
      </c>
      <c r="U3" s="103">
        <f t="shared" si="0"/>
        <v>0</v>
      </c>
      <c r="V3" s="103">
        <f t="shared" si="0"/>
        <v>0</v>
      </c>
      <c r="W3" s="103">
        <f t="shared" si="0"/>
        <v>0</v>
      </c>
      <c r="X3" s="103">
        <f t="shared" si="0"/>
        <v>0</v>
      </c>
    </row>
    <row r="4" spans="1:24" ht="15" x14ac:dyDescent="0.25">
      <c r="A4" s="2" t="s">
        <v>616</v>
      </c>
      <c r="B4" s="2" t="s">
        <v>6</v>
      </c>
      <c r="C4" s="2" t="s">
        <v>7</v>
      </c>
      <c r="D4" s="2" t="s">
        <v>661</v>
      </c>
      <c r="E4" s="2"/>
      <c r="F4" s="2"/>
      <c r="G4" s="2" t="s">
        <v>662</v>
      </c>
      <c r="H4" s="104">
        <f>[10]Data12!W16</f>
        <v>3970</v>
      </c>
      <c r="I4" s="104">
        <f>[10]Data12!X16</f>
        <v>4040</v>
      </c>
      <c r="J4" s="104">
        <f>[10]Data12!Y16</f>
        <v>4290</v>
      </c>
      <c r="K4" s="104">
        <f>[10]Data12!Z16</f>
        <v>4290</v>
      </c>
      <c r="L4" s="104">
        <f>[10]Data12!AA16</f>
        <v>4290</v>
      </c>
      <c r="M4" s="104">
        <f>[10]Data12!AB16</f>
        <v>4290</v>
      </c>
      <c r="N4" s="104">
        <f>[10]Data12!AC16</f>
        <v>4290</v>
      </c>
      <c r="O4" s="104">
        <f>[10]Data12!AD16</f>
        <v>4290</v>
      </c>
      <c r="P4" s="104">
        <f>[10]Data12!AE16</f>
        <v>4290</v>
      </c>
      <c r="Q4" s="103">
        <f t="shared" si="0"/>
        <v>70</v>
      </c>
      <c r="R4" s="103">
        <f t="shared" si="0"/>
        <v>250</v>
      </c>
      <c r="S4" s="103">
        <f t="shared" si="0"/>
        <v>0</v>
      </c>
      <c r="T4" s="103">
        <f t="shared" si="0"/>
        <v>0</v>
      </c>
      <c r="U4" s="103">
        <f t="shared" si="0"/>
        <v>0</v>
      </c>
      <c r="V4" s="103">
        <f t="shared" si="0"/>
        <v>0</v>
      </c>
      <c r="W4" s="103">
        <f t="shared" si="0"/>
        <v>0</v>
      </c>
      <c r="X4" s="103">
        <f t="shared" si="0"/>
        <v>0</v>
      </c>
    </row>
    <row r="5" spans="1:24" ht="15" x14ac:dyDescent="0.25">
      <c r="A5" s="2" t="s">
        <v>616</v>
      </c>
      <c r="B5" s="2" t="s">
        <v>8</v>
      </c>
      <c r="C5" s="2" t="s">
        <v>9</v>
      </c>
      <c r="D5" s="2" t="s">
        <v>663</v>
      </c>
      <c r="E5" s="2"/>
      <c r="F5" s="2"/>
      <c r="G5" s="2" t="s">
        <v>664</v>
      </c>
      <c r="H5" s="104">
        <f>[11]Data!W16</f>
        <v>2197</v>
      </c>
      <c r="I5" s="104">
        <f>[11]Data!X16</f>
        <v>2212</v>
      </c>
      <c r="J5" s="104">
        <f>[11]Data!Y16</f>
        <v>2252</v>
      </c>
      <c r="K5" s="104">
        <f>[11]Data!Z16</f>
        <v>2252</v>
      </c>
      <c r="L5" s="104">
        <f>[11]Data!AA16</f>
        <v>2260</v>
      </c>
      <c r="M5" s="104">
        <f>[11]Data!AB16</f>
        <v>2262</v>
      </c>
      <c r="N5" s="104">
        <f>[11]Data!AC16</f>
        <v>2264.6999999999998</v>
      </c>
      <c r="O5" s="104">
        <f>[11]Data!AD16</f>
        <v>2264.0189999999998</v>
      </c>
      <c r="P5" s="104">
        <f>[11]Data!AE16</f>
        <v>2265.21</v>
      </c>
      <c r="Q5" s="103">
        <f t="shared" si="0"/>
        <v>15</v>
      </c>
      <c r="R5" s="103">
        <f t="shared" si="0"/>
        <v>40</v>
      </c>
      <c r="S5" s="103">
        <f t="shared" si="0"/>
        <v>0</v>
      </c>
      <c r="T5" s="103">
        <f t="shared" si="0"/>
        <v>8</v>
      </c>
      <c r="U5" s="103">
        <f t="shared" si="0"/>
        <v>2</v>
      </c>
      <c r="V5" s="103">
        <f t="shared" si="0"/>
        <v>2.6999999999998181</v>
      </c>
      <c r="W5" s="103">
        <f t="shared" si="0"/>
        <v>0</v>
      </c>
      <c r="X5" s="103">
        <f t="shared" si="0"/>
        <v>1.1910000000002583</v>
      </c>
    </row>
    <row r="6" spans="1:24" ht="15" x14ac:dyDescent="0.25">
      <c r="A6" s="2" t="s">
        <v>616</v>
      </c>
      <c r="B6" s="2" t="s">
        <v>342</v>
      </c>
      <c r="C6" s="2" t="s">
        <v>336</v>
      </c>
      <c r="D6" s="2" t="s">
        <v>663</v>
      </c>
      <c r="E6" s="2"/>
      <c r="F6" s="2"/>
      <c r="G6" s="2" t="s">
        <v>664</v>
      </c>
      <c r="H6" s="104">
        <f>[11]Data8!W16</f>
        <v>213</v>
      </c>
      <c r="I6" s="104">
        <f>[11]Data8!X16</f>
        <v>258</v>
      </c>
      <c r="J6" s="104">
        <f>[11]Data8!Y16</f>
        <v>262</v>
      </c>
      <c r="K6" s="104">
        <f>[11]Data8!Z16</f>
        <v>278</v>
      </c>
      <c r="L6" s="104">
        <f>[11]Data8!AA16</f>
        <v>281</v>
      </c>
      <c r="M6" s="104">
        <f>[11]Data8!AB16</f>
        <v>282</v>
      </c>
      <c r="N6" s="104">
        <f>[11]Data8!AC16</f>
        <v>308.20499999999998</v>
      </c>
      <c r="O6" s="104">
        <f>[11]Data8!AD16</f>
        <v>316.2</v>
      </c>
      <c r="P6" s="104">
        <f>[11]Data8!AE16</f>
        <v>339.41399999999999</v>
      </c>
      <c r="Q6" s="103">
        <f t="shared" si="0"/>
        <v>45</v>
      </c>
      <c r="R6" s="103">
        <f t="shared" si="0"/>
        <v>4</v>
      </c>
      <c r="S6" s="103">
        <f t="shared" si="0"/>
        <v>16</v>
      </c>
      <c r="T6" s="103">
        <f t="shared" si="0"/>
        <v>3</v>
      </c>
      <c r="U6" s="103">
        <f t="shared" si="0"/>
        <v>1</v>
      </c>
      <c r="V6" s="103">
        <f t="shared" si="0"/>
        <v>26.204999999999984</v>
      </c>
      <c r="W6" s="103">
        <f t="shared" si="0"/>
        <v>7.9950000000000045</v>
      </c>
      <c r="X6" s="103">
        <f t="shared" si="0"/>
        <v>23.213999999999999</v>
      </c>
    </row>
    <row r="7" spans="1:24" ht="15" x14ac:dyDescent="0.25">
      <c r="A7" s="2" t="s">
        <v>616</v>
      </c>
      <c r="B7" s="2" t="s">
        <v>343</v>
      </c>
      <c r="C7" s="2" t="s">
        <v>337</v>
      </c>
      <c r="D7" s="2" t="s">
        <v>663</v>
      </c>
      <c r="E7" s="2"/>
      <c r="F7" s="2"/>
      <c r="G7" s="2" t="s">
        <v>664</v>
      </c>
      <c r="H7" s="104">
        <f>[11]Data9!W16</f>
        <v>0</v>
      </c>
      <c r="I7" s="104">
        <f>[11]Data9!X16</f>
        <v>0</v>
      </c>
      <c r="J7" s="104">
        <f>[11]Data9!Y16</f>
        <v>0</v>
      </c>
      <c r="K7" s="104">
        <f>[11]Data9!Z16</f>
        <v>0</v>
      </c>
      <c r="L7" s="104">
        <f>[11]Data9!AA16</f>
        <v>0</v>
      </c>
      <c r="M7" s="104">
        <f>[11]Data9!AB16</f>
        <v>0</v>
      </c>
      <c r="N7" s="104">
        <f>[11]Data9!AC16</f>
        <v>0</v>
      </c>
      <c r="O7" s="104">
        <f>[11]Data9!AD16</f>
        <v>0</v>
      </c>
      <c r="P7" s="104">
        <f>[11]Data9!AE16</f>
        <v>0</v>
      </c>
      <c r="Q7" s="103">
        <f t="shared" si="0"/>
        <v>0</v>
      </c>
      <c r="R7" s="103">
        <f t="shared" si="0"/>
        <v>0</v>
      </c>
      <c r="S7" s="103">
        <f t="shared" si="0"/>
        <v>0</v>
      </c>
      <c r="T7" s="103">
        <f t="shared" si="0"/>
        <v>0</v>
      </c>
      <c r="U7" s="103">
        <f t="shared" si="0"/>
        <v>0</v>
      </c>
      <c r="V7" s="103">
        <f t="shared" si="0"/>
        <v>0</v>
      </c>
      <c r="W7" s="103">
        <f t="shared" si="0"/>
        <v>0</v>
      </c>
      <c r="X7" s="103">
        <f t="shared" si="0"/>
        <v>0</v>
      </c>
    </row>
    <row r="8" spans="1:24" ht="15" x14ac:dyDescent="0.25">
      <c r="A8" s="2" t="s">
        <v>616</v>
      </c>
      <c r="B8" s="1" t="s">
        <v>10</v>
      </c>
      <c r="C8" s="1" t="s">
        <v>11</v>
      </c>
      <c r="D8" s="97" t="s">
        <v>657</v>
      </c>
      <c r="E8" s="98" t="s">
        <v>658</v>
      </c>
      <c r="F8" s="99" t="s">
        <v>659</v>
      </c>
      <c r="G8" s="1" t="s">
        <v>660</v>
      </c>
      <c r="H8" s="100">
        <f>'[9]ENTSO-E'!$I$455</f>
        <v>0</v>
      </c>
      <c r="I8" s="100">
        <f>'[9]ENTSO-E'!$I$479</f>
        <v>0</v>
      </c>
      <c r="J8" s="100">
        <f>'[9]ENTSO-E'!$I$503</f>
        <v>0</v>
      </c>
      <c r="K8" s="101">
        <f>'[9]ENTSO-E'!$I$7594</f>
        <v>0</v>
      </c>
      <c r="L8" s="102">
        <f>[7]CZ!B12+[7]CZ!B13+[7]CZ!B14</f>
        <v>0</v>
      </c>
      <c r="M8" s="102">
        <f>[7]CZ!C12+[7]CZ!C13+[7]CZ!C14</f>
        <v>0</v>
      </c>
      <c r="N8" s="102">
        <f>[7]CZ!D12+[7]CZ!D13+[7]CZ!D14</f>
        <v>0</v>
      </c>
      <c r="O8" s="102">
        <f>[7]CZ!E12+[7]CZ!E13+[7]CZ!E14</f>
        <v>0</v>
      </c>
      <c r="P8" s="102">
        <f>[7]CZ!F12+[7]CZ!F13+[7]CZ!F14</f>
        <v>0</v>
      </c>
      <c r="Q8" s="103">
        <f t="shared" si="0"/>
        <v>0</v>
      </c>
      <c r="R8" s="103">
        <f t="shared" si="0"/>
        <v>0</v>
      </c>
      <c r="S8" s="103">
        <f t="shared" si="0"/>
        <v>0</v>
      </c>
      <c r="T8" s="103">
        <f t="shared" si="0"/>
        <v>0</v>
      </c>
      <c r="U8" s="103">
        <f t="shared" si="0"/>
        <v>0</v>
      </c>
      <c r="V8" s="103">
        <f t="shared" si="0"/>
        <v>0</v>
      </c>
      <c r="W8" s="103">
        <f t="shared" si="0"/>
        <v>0</v>
      </c>
      <c r="X8" s="103">
        <f t="shared" si="0"/>
        <v>0</v>
      </c>
    </row>
    <row r="9" spans="1:24" ht="15" x14ac:dyDescent="0.25">
      <c r="A9" s="2" t="s">
        <v>616</v>
      </c>
      <c r="B9" s="2" t="s">
        <v>12</v>
      </c>
      <c r="C9" s="2" t="s">
        <v>13</v>
      </c>
      <c r="D9" s="2" t="s">
        <v>663</v>
      </c>
      <c r="E9" s="2"/>
      <c r="F9" s="2"/>
      <c r="G9" s="2" t="s">
        <v>664</v>
      </c>
      <c r="H9" s="104">
        <f>[11]Data18!W16+[11]Data19!W16+[11]Data20!W16+[11]Data21!W16+[11]Data22!W16+[11]Data23!W16</f>
        <v>527</v>
      </c>
      <c r="I9" s="104">
        <f>[11]Data18!X16+[11]Data19!X16+[11]Data20!X16+[11]Data21!X16+[11]Data22!X16+[11]Data23!X16</f>
        <v>676</v>
      </c>
      <c r="J9" s="104">
        <f>[11]Data18!Y16+[11]Data19!Y16+[11]Data20!Y16+[11]Data21!Y16+[11]Data22!Y16+[11]Data23!Y16</f>
        <v>714</v>
      </c>
      <c r="K9" s="104">
        <f>[11]Data18!Z16+[11]Data19!Z16+[11]Data20!Z16+[11]Data21!Z16+[11]Data22!Z16+[11]Data23!Z16</f>
        <v>769</v>
      </c>
      <c r="L9" s="104">
        <f>[11]Data18!AA16+[11]Data19!AA16+[11]Data20!AA16+[11]Data21!AA16+[11]Data22!AA16+[11]Data23!AA16</f>
        <v>796</v>
      </c>
      <c r="M9" s="104">
        <f>[11]Data18!AB16+[11]Data19!AB16+[11]Data20!AB16+[11]Data21!AB16+[11]Data22!AB16+[11]Data23!AB16</f>
        <v>803</v>
      </c>
      <c r="N9" s="104">
        <f>[11]Data18!AC16+[11]Data19!AC16+[11]Data20!AC16+[11]Data21!AC16+[11]Data22!AC16+[11]Data23!AC16</f>
        <v>832</v>
      </c>
      <c r="O9" s="104">
        <f>[11]Data18!AD16+[11]Data19!AD16+[11]Data20!AD16+[11]Data21!AD16+[11]Data22!AD16+[11]Data23!AD16</f>
        <v>812</v>
      </c>
      <c r="P9" s="104">
        <f>[11]Data18!AE16+[11]Data19!AE16+[11]Data20!AE16+[11]Data21!AE16+[11]Data22!AE16+[11]Data23!AE16</f>
        <v>860</v>
      </c>
      <c r="Q9" s="103">
        <f t="shared" si="0"/>
        <v>149</v>
      </c>
      <c r="R9" s="103">
        <f t="shared" si="0"/>
        <v>38</v>
      </c>
      <c r="S9" s="103">
        <f t="shared" si="0"/>
        <v>55</v>
      </c>
      <c r="T9" s="103">
        <f t="shared" si="0"/>
        <v>27</v>
      </c>
      <c r="U9" s="103">
        <f t="shared" si="0"/>
        <v>7</v>
      </c>
      <c r="V9" s="103">
        <f t="shared" si="0"/>
        <v>29</v>
      </c>
      <c r="W9" s="103">
        <f t="shared" si="0"/>
        <v>0</v>
      </c>
      <c r="X9" s="103">
        <f t="shared" si="0"/>
        <v>48</v>
      </c>
    </row>
    <row r="10" spans="1:24" ht="15" x14ac:dyDescent="0.25">
      <c r="A10" s="2" t="s">
        <v>616</v>
      </c>
      <c r="B10" s="2" t="s">
        <v>340</v>
      </c>
      <c r="C10" s="2" t="s">
        <v>338</v>
      </c>
      <c r="D10" s="2" t="s">
        <v>663</v>
      </c>
      <c r="E10" s="2"/>
      <c r="F10" s="2"/>
      <c r="G10" s="2" t="s">
        <v>664</v>
      </c>
      <c r="H10" s="105">
        <f>[11]Data12!W16*$N$10/($N$10+$N$11)</f>
        <v>1225.909929934767</v>
      </c>
      <c r="I10" s="105">
        <f>[11]Data12!X16*$N$10/($N$10+$N$11)</f>
        <v>1295.7605218651847</v>
      </c>
      <c r="J10" s="105">
        <f>[11]Data12!Y16*$N$10/($N$10+$N$11)</f>
        <v>1322.355013288234</v>
      </c>
      <c r="K10" s="105">
        <f>[11]Data12!Z16*$N$10/($N$10+$N$11)</f>
        <v>1324.854254650882</v>
      </c>
      <c r="L10" s="105">
        <f>[11]Data12!AA16*$N$10/($N$10+$N$11)</f>
        <v>1329.6604880405896</v>
      </c>
      <c r="M10" s="105">
        <f>[11]Data12!AB16*$N$10/($N$10+$N$11)</f>
        <v>1325.1746702101959</v>
      </c>
      <c r="N10" s="104">
        <f>[11]Data15!AC16</f>
        <v>1326.2</v>
      </c>
      <c r="O10" s="104">
        <f>[11]Data15!AD16</f>
        <v>1312.3810000000001</v>
      </c>
      <c r="P10" s="104">
        <f>[11]Data15!AE16</f>
        <v>1306.7809999999999</v>
      </c>
      <c r="Q10" s="103">
        <f t="shared" si="0"/>
        <v>69.85059193041775</v>
      </c>
      <c r="R10" s="103">
        <f t="shared" si="0"/>
        <v>26.594491423049249</v>
      </c>
      <c r="S10" s="103">
        <f t="shared" si="0"/>
        <v>2.4992413626480356</v>
      </c>
      <c r="T10" s="103">
        <f t="shared" si="0"/>
        <v>4.806233389707586</v>
      </c>
      <c r="U10" s="103">
        <f t="shared" si="0"/>
        <v>0</v>
      </c>
      <c r="V10" s="103">
        <f t="shared" si="0"/>
        <v>1.0253297898041183</v>
      </c>
      <c r="W10" s="103">
        <f t="shared" si="0"/>
        <v>0</v>
      </c>
      <c r="X10" s="103">
        <f t="shared" si="0"/>
        <v>0</v>
      </c>
    </row>
    <row r="11" spans="1:24" ht="15" x14ac:dyDescent="0.25">
      <c r="A11" s="2" t="s">
        <v>616</v>
      </c>
      <c r="B11" s="2" t="s">
        <v>341</v>
      </c>
      <c r="C11" s="2" t="s">
        <v>339</v>
      </c>
      <c r="D11" s="2" t="s">
        <v>663</v>
      </c>
      <c r="E11" s="2"/>
      <c r="F11" s="2"/>
      <c r="G11" s="2" t="s">
        <v>664</v>
      </c>
      <c r="H11" s="105">
        <f>[11]Data12!W16*$N$11/($N$10+$N$11)</f>
        <v>687.09007006523314</v>
      </c>
      <c r="I11" s="105">
        <f>[11]Data12!X16*$N$11/($N$10+$N$11)</f>
        <v>726.23947813481516</v>
      </c>
      <c r="J11" s="105">
        <f>[11]Data12!Y16*$N$11/($N$10+$N$11)</f>
        <v>741.14498671176602</v>
      </c>
      <c r="K11" s="105">
        <f>[11]Data12!Z16*$N$11/($N$10+$N$11)</f>
        <v>742.54574534911808</v>
      </c>
      <c r="L11" s="105">
        <f>[11]Data12!AA16*$N$11/($N$10+$N$11)</f>
        <v>745.23951195941049</v>
      </c>
      <c r="M11" s="105">
        <f>[11]Data12!AB16*$N$11/($N$10+$N$11)</f>
        <v>742.72532978980428</v>
      </c>
      <c r="N11" s="104">
        <f>[11]Data13!AC16+[11]Data14!AC16+[11]Data16!AC16</f>
        <v>743.3</v>
      </c>
      <c r="O11" s="104">
        <f>[11]Data13!AD16+[11]Data14!AD16+[11]Data16!AD16</f>
        <v>762.69099999999992</v>
      </c>
      <c r="P11" s="104">
        <f>[11]Data13!AE16+[11]Data14!AE16+[11]Data16!AE16</f>
        <v>779.64300000000003</v>
      </c>
      <c r="Q11" s="103">
        <f t="shared" si="0"/>
        <v>39.149408069582023</v>
      </c>
      <c r="R11" s="103">
        <f t="shared" si="0"/>
        <v>14.905508576950865</v>
      </c>
      <c r="S11" s="103">
        <f t="shared" si="0"/>
        <v>1.4007586373520553</v>
      </c>
      <c r="T11" s="103">
        <f t="shared" si="0"/>
        <v>2.693766610292414</v>
      </c>
      <c r="U11" s="103">
        <f t="shared" si="0"/>
        <v>0</v>
      </c>
      <c r="V11" s="103">
        <f t="shared" si="0"/>
        <v>0.5746702101956771</v>
      </c>
      <c r="W11" s="103">
        <f t="shared" si="0"/>
        <v>19.390999999999963</v>
      </c>
      <c r="X11" s="103">
        <f t="shared" si="0"/>
        <v>16.952000000000112</v>
      </c>
    </row>
    <row r="12" spans="1:24" ht="15" x14ac:dyDescent="0.25">
      <c r="A12" s="2" t="s">
        <v>616</v>
      </c>
      <c r="B12" s="2" t="s">
        <v>14</v>
      </c>
      <c r="C12" s="2" t="s">
        <v>15</v>
      </c>
      <c r="D12" s="2" t="s">
        <v>663</v>
      </c>
      <c r="E12" s="2"/>
      <c r="F12" s="2"/>
      <c r="G12" s="2" t="s">
        <v>664</v>
      </c>
      <c r="H12" s="104">
        <f>[11]Data11!W16</f>
        <v>0</v>
      </c>
      <c r="I12" s="104">
        <f>[11]Data11!X16</f>
        <v>0</v>
      </c>
      <c r="J12" s="104">
        <f>[11]Data11!Y16</f>
        <v>0</v>
      </c>
      <c r="K12" s="104">
        <f>[11]Data11!Z16</f>
        <v>0</v>
      </c>
      <c r="L12" s="104">
        <f>[11]Data11!AA16</f>
        <v>0</v>
      </c>
      <c r="M12" s="104">
        <f>[11]Data11!AB16</f>
        <v>0</v>
      </c>
      <c r="N12" s="104">
        <f>[11]Data11!AC16</f>
        <v>0</v>
      </c>
      <c r="O12" s="104">
        <f>[11]Data11!AD16</f>
        <v>0</v>
      </c>
      <c r="P12" s="104">
        <f>[11]Data11!AE16</f>
        <v>0</v>
      </c>
      <c r="Q12" s="103">
        <f t="shared" si="0"/>
        <v>0</v>
      </c>
      <c r="R12" s="103">
        <f t="shared" si="0"/>
        <v>0</v>
      </c>
      <c r="S12" s="103">
        <f t="shared" si="0"/>
        <v>0</v>
      </c>
      <c r="T12" s="103">
        <f t="shared" si="0"/>
        <v>0</v>
      </c>
      <c r="U12" s="103">
        <f t="shared" si="0"/>
        <v>0</v>
      </c>
      <c r="V12" s="103">
        <f t="shared" si="0"/>
        <v>0</v>
      </c>
      <c r="W12" s="103">
        <f t="shared" si="0"/>
        <v>0</v>
      </c>
      <c r="X12" s="103">
        <f t="shared" si="0"/>
        <v>0</v>
      </c>
    </row>
    <row r="13" spans="1:24" ht="15" x14ac:dyDescent="0.25">
      <c r="A13" s="2" t="s">
        <v>616</v>
      </c>
      <c r="B13" s="2" t="s">
        <v>16</v>
      </c>
      <c r="C13" s="2" t="s">
        <v>17</v>
      </c>
      <c r="D13" s="2" t="s">
        <v>663</v>
      </c>
      <c r="E13" s="2"/>
      <c r="F13" s="2"/>
      <c r="G13" s="2" t="s">
        <v>664</v>
      </c>
      <c r="H13" s="104">
        <f>[11]Data17!W16</f>
        <v>0</v>
      </c>
      <c r="I13" s="104">
        <f>[11]Data17!X16</f>
        <v>0</v>
      </c>
      <c r="J13" s="104">
        <f>[11]Data17!Y16</f>
        <v>0</v>
      </c>
      <c r="K13" s="104">
        <f>[11]Data17!Z16</f>
        <v>0</v>
      </c>
      <c r="L13" s="104">
        <f>[11]Data17!AA16</f>
        <v>0</v>
      </c>
      <c r="M13" s="104">
        <f>[11]Data17!AB16</f>
        <v>0</v>
      </c>
      <c r="N13" s="104">
        <f>[11]Data17!AC16</f>
        <v>0</v>
      </c>
      <c r="O13" s="104">
        <f>[11]Data17!AD16</f>
        <v>0</v>
      </c>
      <c r="P13" s="104">
        <f>[11]Data17!AE16</f>
        <v>0</v>
      </c>
      <c r="Q13" s="103">
        <f t="shared" si="0"/>
        <v>0</v>
      </c>
      <c r="R13" s="103">
        <f t="shared" si="0"/>
        <v>0</v>
      </c>
      <c r="S13" s="103">
        <f t="shared" si="0"/>
        <v>0</v>
      </c>
      <c r="T13" s="103">
        <f t="shared" si="0"/>
        <v>0</v>
      </c>
      <c r="U13" s="103">
        <f t="shared" si="0"/>
        <v>0</v>
      </c>
      <c r="V13" s="103">
        <f t="shared" si="0"/>
        <v>0</v>
      </c>
      <c r="W13" s="103">
        <f t="shared" si="0"/>
        <v>0</v>
      </c>
      <c r="X13" s="103">
        <f t="shared" si="0"/>
        <v>0</v>
      </c>
    </row>
    <row r="14" spans="1:24" ht="15" x14ac:dyDescent="0.25">
      <c r="A14" s="2" t="s">
        <v>616</v>
      </c>
      <c r="B14" s="2" t="s">
        <v>18</v>
      </c>
      <c r="C14" s="2" t="s">
        <v>19</v>
      </c>
      <c r="D14" s="2" t="s">
        <v>663</v>
      </c>
      <c r="E14" s="2"/>
      <c r="F14" s="2"/>
      <c r="G14" s="2" t="s">
        <v>664</v>
      </c>
      <c r="H14" s="104">
        <f>[11]Data6!W16</f>
        <v>0</v>
      </c>
      <c r="I14" s="104">
        <f>[11]Data6!X16</f>
        <v>0</v>
      </c>
      <c r="J14" s="104">
        <f>[11]Data6!Y16</f>
        <v>0</v>
      </c>
      <c r="K14" s="104">
        <f>[11]Data6!Z16</f>
        <v>0</v>
      </c>
      <c r="L14" s="104">
        <f>[11]Data6!AA16</f>
        <v>0</v>
      </c>
      <c r="M14" s="104">
        <f>[11]Data6!AB16</f>
        <v>0</v>
      </c>
      <c r="N14" s="104">
        <f>[11]Data6!AC16</f>
        <v>0</v>
      </c>
      <c r="O14" s="104">
        <f>[11]Data6!AD16</f>
        <v>0</v>
      </c>
      <c r="P14" s="104">
        <f>[11]Data6!AE16</f>
        <v>0</v>
      </c>
      <c r="Q14" s="103">
        <f t="shared" si="0"/>
        <v>0</v>
      </c>
      <c r="R14" s="103">
        <f t="shared" si="0"/>
        <v>0</v>
      </c>
      <c r="S14" s="103">
        <f t="shared" si="0"/>
        <v>0</v>
      </c>
      <c r="T14" s="103">
        <f t="shared" si="0"/>
        <v>0</v>
      </c>
      <c r="U14" s="103">
        <f t="shared" si="0"/>
        <v>0</v>
      </c>
      <c r="V14" s="103">
        <f t="shared" si="0"/>
        <v>0</v>
      </c>
      <c r="W14" s="103">
        <f t="shared" si="0"/>
        <v>0</v>
      </c>
      <c r="X14" s="103">
        <f t="shared" si="0"/>
        <v>0</v>
      </c>
    </row>
  </sheetData>
  <pageMargins left="0.7" right="0.7" top="0.78740157499999996" bottom="0.78740157499999996"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4"/>
  <sheetViews>
    <sheetView zoomScale="75" zoomScaleNormal="75" workbookViewId="0">
      <pane xSplit="7" ySplit="1" topLeftCell="H2" activePane="bottomRight" state="frozen"/>
      <selection activeCell="D2" sqref="D2"/>
      <selection pane="topRight" activeCell="D2" sqref="D2"/>
      <selection pane="bottomLeft" activeCell="D2" sqref="D2"/>
      <selection pane="bottomRight" activeCell="H2" sqref="H2"/>
    </sheetView>
  </sheetViews>
  <sheetFormatPr defaultRowHeight="14.25" x14ac:dyDescent="0.2"/>
  <cols>
    <col min="1" max="1" width="11.75" bestFit="1" customWidth="1"/>
    <col min="2" max="2" width="48.625" bestFit="1" customWidth="1"/>
    <col min="3" max="3" width="12.25" bestFit="1" customWidth="1"/>
    <col min="4" max="4" width="12.25" style="111" customWidth="1"/>
    <col min="5" max="7" width="12.25" customWidth="1"/>
    <col min="8" max="16" width="10.25" customWidth="1"/>
  </cols>
  <sheetData>
    <row r="1" spans="1:16" ht="15" x14ac:dyDescent="0.25">
      <c r="A1" s="88" t="s">
        <v>586</v>
      </c>
      <c r="B1" s="88" t="s">
        <v>0</v>
      </c>
      <c r="C1" s="88" t="s">
        <v>1</v>
      </c>
      <c r="D1" s="88" t="s">
        <v>587</v>
      </c>
      <c r="E1" s="88" t="s">
        <v>589</v>
      </c>
      <c r="F1" s="88" t="s">
        <v>638</v>
      </c>
      <c r="G1" s="88" t="s">
        <v>639</v>
      </c>
      <c r="H1" s="88" t="s">
        <v>665</v>
      </c>
      <c r="I1" s="88" t="s">
        <v>666</v>
      </c>
      <c r="J1" s="88" t="s">
        <v>667</v>
      </c>
      <c r="K1" s="88" t="s">
        <v>668</v>
      </c>
      <c r="L1" s="88" t="s">
        <v>669</v>
      </c>
      <c r="M1" s="88" t="s">
        <v>670</v>
      </c>
      <c r="N1" s="88" t="s">
        <v>671</v>
      </c>
      <c r="O1" s="88" t="s">
        <v>672</v>
      </c>
      <c r="P1" s="88" t="s">
        <v>673</v>
      </c>
    </row>
    <row r="2" spans="1:16" ht="15" x14ac:dyDescent="0.25">
      <c r="A2" s="2" t="s">
        <v>616</v>
      </c>
      <c r="B2" s="2" t="s">
        <v>2</v>
      </c>
      <c r="C2" s="2" t="s">
        <v>3</v>
      </c>
      <c r="D2" s="2" t="s">
        <v>674</v>
      </c>
      <c r="E2" s="2"/>
      <c r="F2" s="2"/>
      <c r="G2" s="1" t="s">
        <v>675</v>
      </c>
      <c r="H2" s="108">
        <f>[12]Data2!W16+[12]Data18!W16+[12]Data21!W16</f>
        <v>46685</v>
      </c>
      <c r="I2" s="108">
        <f>[12]Data2!X16+[12]Data18!X16+[12]Data21!X16</f>
        <v>43978</v>
      </c>
      <c r="J2" s="108">
        <f>[12]Data2!Y16+[12]Data18!Y16+[12]Data21!Y16</f>
        <v>41113</v>
      </c>
      <c r="K2" s="108">
        <f>[12]Data2!Z16+[12]Data18!Z16+[12]Data21!Z16</f>
        <v>40727</v>
      </c>
      <c r="L2" s="108">
        <f>[12]Data2!AA16+[12]Data18!AA16+[12]Data21!AA16</f>
        <v>41141</v>
      </c>
      <c r="M2" s="108">
        <f>[12]Data2!AB16+[12]Data18!AB16+[12]Data21!AB16</f>
        <v>41974</v>
      </c>
      <c r="N2" s="108">
        <f>[12]Data2!AC16+[12]Data18!AC16+[12]Data21!AC16</f>
        <v>41443.796999999999</v>
      </c>
      <c r="O2" s="108">
        <f>[12]Data2!AD16+[12]Data18!AD16+[12]Data21!AD16</f>
        <v>41201.476000000002</v>
      </c>
      <c r="P2" s="108">
        <f>[12]Data2!AE16+[12]Data18!AE16+[12]Data21!AE16</f>
        <v>37335.603000000003</v>
      </c>
    </row>
    <row r="3" spans="1:16" ht="15" x14ac:dyDescent="0.25">
      <c r="A3" s="2" t="s">
        <v>616</v>
      </c>
      <c r="B3" s="2" t="s">
        <v>4</v>
      </c>
      <c r="C3" s="2" t="s">
        <v>5</v>
      </c>
      <c r="D3" s="2" t="s">
        <v>674</v>
      </c>
      <c r="E3" s="2"/>
      <c r="F3" s="2"/>
      <c r="G3" s="1" t="s">
        <v>675</v>
      </c>
      <c r="H3" s="108">
        <f>[12]Data22!W16</f>
        <v>1397</v>
      </c>
      <c r="I3" s="108">
        <f>[12]Data22!X16</f>
        <v>1479</v>
      </c>
      <c r="J3" s="108">
        <f>[12]Data22!Y16</f>
        <v>2025</v>
      </c>
      <c r="K3" s="108">
        <f>[12]Data22!Z16</f>
        <v>1806</v>
      </c>
      <c r="L3" s="108">
        <f>[12]Data22!AA16</f>
        <v>2264</v>
      </c>
      <c r="M3" s="108">
        <f>[12]Data22!AB16</f>
        <v>3710</v>
      </c>
      <c r="N3" s="108">
        <f>[12]Data22!AC16</f>
        <v>3679.422</v>
      </c>
      <c r="O3" s="108">
        <f>[12]Data22!AD16</f>
        <v>3750.4650000000001</v>
      </c>
      <c r="P3" s="108">
        <f>[12]Data22!AE16</f>
        <v>5790.61</v>
      </c>
    </row>
    <row r="4" spans="1:16" ht="15" x14ac:dyDescent="0.25">
      <c r="A4" s="2" t="s">
        <v>616</v>
      </c>
      <c r="B4" s="2" t="s">
        <v>6</v>
      </c>
      <c r="C4" s="2" t="s">
        <v>7</v>
      </c>
      <c r="D4" s="2" t="s">
        <v>674</v>
      </c>
      <c r="E4" s="2"/>
      <c r="F4" s="2"/>
      <c r="G4" s="1" t="s">
        <v>675</v>
      </c>
      <c r="H4" s="108">
        <f>[12]Data68!W16</f>
        <v>28283</v>
      </c>
      <c r="I4" s="108">
        <f>[12]Data68!X16</f>
        <v>30324</v>
      </c>
      <c r="J4" s="108">
        <f>[12]Data68!Y16</f>
        <v>30745</v>
      </c>
      <c r="K4" s="108">
        <f>[12]Data68!Z16</f>
        <v>30325</v>
      </c>
      <c r="L4" s="108">
        <f>[12]Data68!AA16</f>
        <v>26841</v>
      </c>
      <c r="M4" s="108">
        <f>[12]Data68!AB16</f>
        <v>24104</v>
      </c>
      <c r="N4" s="108">
        <f>[12]Data68!AC16</f>
        <v>28339.599999999999</v>
      </c>
      <c r="O4" s="108">
        <f>[12]Data68!AD16</f>
        <v>29921.311000000002</v>
      </c>
      <c r="P4" s="108">
        <f>[12]Data68!AE16</f>
        <v>30246.208999999999</v>
      </c>
    </row>
    <row r="5" spans="1:16" ht="15" x14ac:dyDescent="0.25">
      <c r="A5" s="2" t="s">
        <v>616</v>
      </c>
      <c r="B5" s="2" t="s">
        <v>8</v>
      </c>
      <c r="C5" s="2" t="s">
        <v>9</v>
      </c>
      <c r="D5" s="2" t="s">
        <v>676</v>
      </c>
      <c r="E5" s="2"/>
      <c r="F5" s="2"/>
      <c r="G5" s="1" t="s">
        <v>675</v>
      </c>
      <c r="H5" s="108">
        <f>[13]Data!W18</f>
        <v>2664.0160000000001</v>
      </c>
      <c r="I5" s="108">
        <f>[13]Data!X18</f>
        <v>2860.143</v>
      </c>
      <c r="J5" s="108">
        <f>[13]Data!Y18</f>
        <v>3639.5070000000001</v>
      </c>
      <c r="K5" s="108">
        <f>[13]Data!Z18</f>
        <v>2960.7489999999998</v>
      </c>
      <c r="L5" s="108">
        <f>[13]Data!AA18</f>
        <v>3070.7689999999998</v>
      </c>
      <c r="M5" s="108">
        <f>[13]Data!AB18</f>
        <v>3202.0360000000001</v>
      </c>
      <c r="N5" s="108">
        <f>[13]Data!AC18</f>
        <v>3039.9189999999999</v>
      </c>
      <c r="O5" s="108">
        <f>[13]Data!AD18</f>
        <v>2679.4180000000001</v>
      </c>
      <c r="P5" s="108">
        <f>[13]Data!AE18</f>
        <v>3174.6860000000001</v>
      </c>
    </row>
    <row r="6" spans="1:16" ht="15" x14ac:dyDescent="0.25">
      <c r="A6" s="2" t="s">
        <v>616</v>
      </c>
      <c r="B6" s="2" t="s">
        <v>342</v>
      </c>
      <c r="C6" s="2" t="s">
        <v>336</v>
      </c>
      <c r="D6" s="2" t="s">
        <v>676</v>
      </c>
      <c r="E6" s="2"/>
      <c r="F6" s="2"/>
      <c r="G6" s="1" t="s">
        <v>675</v>
      </c>
      <c r="H6" s="108">
        <f>[13]Data9!W18</f>
        <v>397.00299999999999</v>
      </c>
      <c r="I6" s="108">
        <f>[13]Data9!X18</f>
        <v>415.81700000000001</v>
      </c>
      <c r="J6" s="108">
        <f>[13]Data9!Y18</f>
        <v>480.51900000000001</v>
      </c>
      <c r="K6" s="108">
        <f>[13]Data9!Z18</f>
        <v>476.54399999999998</v>
      </c>
      <c r="L6" s="108">
        <f>[13]Data9!AA18</f>
        <v>572.61199999999997</v>
      </c>
      <c r="M6" s="108">
        <f>[13]Data9!AB18</f>
        <v>496.95699999999999</v>
      </c>
      <c r="N6" s="108">
        <f>[13]Data9!AC18</f>
        <v>591.03800000000001</v>
      </c>
      <c r="O6" s="108">
        <f>[13]Data9!AD18</f>
        <v>609.33000000000004</v>
      </c>
      <c r="P6" s="108">
        <f>[13]Data9!AE18</f>
        <v>700.01400000000001</v>
      </c>
    </row>
    <row r="7" spans="1:16" ht="15" x14ac:dyDescent="0.25">
      <c r="A7" s="2" t="s">
        <v>616</v>
      </c>
      <c r="B7" s="2" t="s">
        <v>343</v>
      </c>
      <c r="C7" s="2" t="s">
        <v>337</v>
      </c>
      <c r="D7" s="2" t="s">
        <v>676</v>
      </c>
      <c r="E7" s="2"/>
      <c r="F7" s="2"/>
      <c r="G7" s="1" t="s">
        <v>675</v>
      </c>
      <c r="H7" s="108">
        <f>[13]Data10!W18</f>
        <v>0</v>
      </c>
      <c r="I7" s="108">
        <f>[13]Data10!X18</f>
        <v>0</v>
      </c>
      <c r="J7" s="108">
        <f>[13]Data10!Y18</f>
        <v>0</v>
      </c>
      <c r="K7" s="108">
        <f>[13]Data10!Z18</f>
        <v>0</v>
      </c>
      <c r="L7" s="108">
        <f>[13]Data10!AA18</f>
        <v>0</v>
      </c>
      <c r="M7" s="108">
        <f>[13]Data10!AB18</f>
        <v>0</v>
      </c>
      <c r="N7" s="108">
        <f>[13]Data10!AC18</f>
        <v>0</v>
      </c>
      <c r="O7" s="108">
        <f>[13]Data10!AD18</f>
        <v>0</v>
      </c>
      <c r="P7" s="108">
        <f>[13]Data10!AE18</f>
        <v>0</v>
      </c>
    </row>
    <row r="8" spans="1:16" ht="15" x14ac:dyDescent="0.25">
      <c r="A8" s="2" t="s">
        <v>616</v>
      </c>
      <c r="B8" s="1" t="s">
        <v>10</v>
      </c>
      <c r="C8" s="1" t="s">
        <v>11</v>
      </c>
      <c r="D8" s="2" t="s">
        <v>674</v>
      </c>
      <c r="E8" s="2"/>
      <c r="F8" s="2"/>
      <c r="G8" s="1" t="s">
        <v>675</v>
      </c>
      <c r="H8" s="109">
        <f>[12]Data23!W16</f>
        <v>174</v>
      </c>
      <c r="I8" s="109">
        <f>[12]Data23!X16</f>
        <v>113</v>
      </c>
      <c r="J8" s="109">
        <f>[12]Data23!Y16</f>
        <v>79</v>
      </c>
      <c r="K8" s="109">
        <f>[12]Data23!Z16</f>
        <v>105</v>
      </c>
      <c r="L8" s="109">
        <f>[12]Data23!AA16</f>
        <v>94</v>
      </c>
      <c r="M8" s="109">
        <f>[12]Data23!AB16</f>
        <v>92</v>
      </c>
      <c r="N8" s="109">
        <f>[12]Data23!AC16</f>
        <v>119.377</v>
      </c>
      <c r="O8" s="109">
        <f>[12]Data23!AD16</f>
        <v>107.84099999999999</v>
      </c>
      <c r="P8" s="109">
        <f>[12]Data23!AE16</f>
        <v>118.032</v>
      </c>
    </row>
    <row r="9" spans="1:16" ht="15" x14ac:dyDescent="0.25">
      <c r="A9" s="2" t="s">
        <v>616</v>
      </c>
      <c r="B9" s="2" t="s">
        <v>12</v>
      </c>
      <c r="C9" s="2" t="s">
        <v>13</v>
      </c>
      <c r="D9" s="2" t="s">
        <v>674</v>
      </c>
      <c r="E9" s="2"/>
      <c r="F9" s="2"/>
      <c r="G9" s="1" t="s">
        <v>675</v>
      </c>
      <c r="H9" s="108">
        <f>[12]Data54!W16+[12]Data55!W16+[12]Data56!W16+[12]Data57!W16+[12]Data58!W16+[12]Data59!W16+[12]Data60!W16+[12]Data61!W16+[12]Data62!W16+[12]Data63!W16+[12]Data65!W16+[12]Data67!W16</f>
        <v>2769.97</v>
      </c>
      <c r="I9" s="108">
        <f>[12]Data54!X16+[12]Data55!X16+[12]Data56!X16+[12]Data57!X16+[12]Data58!X16+[12]Data59!X16+[12]Data60!X16+[12]Data61!X16+[12]Data62!X16+[12]Data63!X16+[12]Data65!X16+[12]Data67!X16</f>
        <v>3436.5639999999999</v>
      </c>
      <c r="J9" s="108">
        <f>[12]Data54!Y16+[12]Data55!Y16+[12]Data56!Y16+[12]Data57!Y16+[12]Data58!Y16+[12]Data59!Y16+[12]Data60!Y16+[12]Data61!Y16+[12]Data62!Y16+[12]Data63!Y16+[12]Data65!Y16+[12]Data67!Y16</f>
        <v>4125.5810000000001</v>
      </c>
      <c r="K9" s="108">
        <f>[12]Data54!Z16+[12]Data55!Z16+[12]Data56!Z16+[12]Data57!Z16+[12]Data58!Z16+[12]Data59!Z16+[12]Data60!Z16+[12]Data61!Z16+[12]Data62!Z16+[12]Data63!Z16+[12]Data65!Z16+[12]Data67!Z16</f>
        <v>4732.6419999999998</v>
      </c>
      <c r="L9" s="108">
        <f>[12]Data54!AA16+[12]Data55!AA16+[12]Data56!AA16+[12]Data57!AA16+[12]Data58!AA16+[12]Data59!AA16+[12]Data60!AA16+[12]Data61!AA16+[12]Data62!AA16+[12]Data63!AA16+[12]Data65!AA16+[12]Data67!AA16</f>
        <v>4866.6309999999994</v>
      </c>
      <c r="M9" s="108">
        <f>[12]Data54!AB16+[12]Data55!AB16+[12]Data56!AB16+[12]Data57!AB16+[12]Data58!AB16+[12]Data59!AB16+[12]Data60!AB16+[12]Data61!AB16+[12]Data62!AB16+[12]Data63!AB16+[12]Data65!AB16+[12]Data67!AB16</f>
        <v>4836.6279999999997</v>
      </c>
      <c r="N9" s="108">
        <f>[12]Data54!AC16+[12]Data55!AC16+[12]Data56!AC16+[12]Data57!AC16+[12]Data58!AC16+[12]Data59!AC16+[12]Data60!AC16+[12]Data61!AC16+[12]Data62!AC16+[12]Data63!AC16+[12]Data65!AC16+[12]Data67!AC16</f>
        <v>5058.8550000000005</v>
      </c>
      <c r="O9" s="108">
        <f>[12]Data54!AD16+[12]Data55!AD16+[12]Data56!AD16+[12]Data57!AD16+[12]Data58!AD16+[12]Data59!AD16+[12]Data60!AD16+[12]Data61!AD16+[12]Data62!AD16+[12]Data63!AD16+[12]Data65!AD16+[12]Data67!AD16</f>
        <v>4908.8879999999999</v>
      </c>
      <c r="P9" s="108">
        <f>[12]Data54!AE16+[12]Data55!AE16+[12]Data56!AE16+[12]Data57!AE16+[12]Data58!AE16+[12]Data59!AE16+[12]Data60!AE16+[12]Data61!AE16+[12]Data62!AE16+[12]Data63!AE16+[12]Data65!AE16+[12]Data67!AE16</f>
        <v>5116.3270000000002</v>
      </c>
    </row>
    <row r="10" spans="1:16" ht="15" x14ac:dyDescent="0.25">
      <c r="A10" s="2" t="s">
        <v>616</v>
      </c>
      <c r="B10" s="2" t="s">
        <v>340</v>
      </c>
      <c r="C10" s="2" t="s">
        <v>338</v>
      </c>
      <c r="D10" s="2" t="s">
        <v>676</v>
      </c>
      <c r="E10" s="2"/>
      <c r="F10" s="2"/>
      <c r="G10" s="1" t="s">
        <v>675</v>
      </c>
      <c r="H10" s="110">
        <f>[13]Data12!W18*$N10/($N10+$N11)</f>
        <v>1427.2864708824377</v>
      </c>
      <c r="I10" s="110">
        <f>[13]Data12!X18*$N10/($N10+$N11)</f>
        <v>1405.4430193579094</v>
      </c>
      <c r="J10" s="110">
        <f>[13]Data12!Y18*$N10/($N10+$N11)</f>
        <v>1329.5855277935705</v>
      </c>
      <c r="K10" s="110">
        <f>[13]Data12!Z18*$N10/($N10+$N11)</f>
        <v>1388.5963374984669</v>
      </c>
      <c r="L10" s="110">
        <f>[13]Data12!AA18*$N10/($N10+$N11)</f>
        <v>1480.8112343533937</v>
      </c>
      <c r="M10" s="110">
        <f>[13]Data12!AB18*$N10/($N10+$N11)</f>
        <v>1394.2125522313409</v>
      </c>
      <c r="N10" s="108">
        <f>[13]Data15!AC18</f>
        <v>1434.71</v>
      </c>
      <c r="O10" s="108">
        <f>[13]Data15!AD18</f>
        <v>1528.5730000000001</v>
      </c>
      <c r="P10" s="108">
        <f>[13]Data15!AE18</f>
        <v>1485.4659999999999</v>
      </c>
    </row>
    <row r="11" spans="1:16" ht="15" x14ac:dyDescent="0.25">
      <c r="A11" s="2" t="s">
        <v>616</v>
      </c>
      <c r="B11" s="2" t="s">
        <v>341</v>
      </c>
      <c r="C11" s="2" t="s">
        <v>339</v>
      </c>
      <c r="D11" s="2" t="s">
        <v>676</v>
      </c>
      <c r="E11" s="2"/>
      <c r="F11" s="2"/>
      <c r="G11" s="1" t="s">
        <v>675</v>
      </c>
      <c r="H11" s="110">
        <f>[13]Data12!W18*$N11/($N10+$N11)</f>
        <v>754.7315291175621</v>
      </c>
      <c r="I11" s="110">
        <f>[13]Data12!X18*$N11/($N10+$N11)</f>
        <v>743.18098064209039</v>
      </c>
      <c r="J11" s="110">
        <f>[13]Data12!Y18*$N11/($N10+$N11)</f>
        <v>703.06847220642965</v>
      </c>
      <c r="K11" s="110">
        <f>[13]Data12!Z18*$N11/($N10+$N11)</f>
        <v>734.27266250153298</v>
      </c>
      <c r="L11" s="110">
        <f>[13]Data12!AA18*$N11/($N10+$N11)</f>
        <v>783.03476564660627</v>
      </c>
      <c r="M11" s="110">
        <f>[13]Data12!AB18*$N11/($N10+$N11)</f>
        <v>737.24244776865885</v>
      </c>
      <c r="N11" s="108">
        <f>[13]Data13!AC18+[13]Data14!AC18+[13]Data16!AC18</f>
        <v>758.65700000000004</v>
      </c>
      <c r="O11" s="108">
        <f>[13]Data13!AD18+[13]Data14!AD18+[13]Data16!AD18</f>
        <v>830.30799999999999</v>
      </c>
      <c r="P11" s="108">
        <f>[13]Data13!AE18+[13]Data14!AE18+[13]Data16!AE18</f>
        <v>826.10799999999995</v>
      </c>
    </row>
    <row r="12" spans="1:16" ht="15" x14ac:dyDescent="0.25">
      <c r="A12" s="2" t="s">
        <v>616</v>
      </c>
      <c r="B12" s="2" t="s">
        <v>14</v>
      </c>
      <c r="C12" s="2" t="s">
        <v>15</v>
      </c>
      <c r="D12" s="2" t="s">
        <v>676</v>
      </c>
      <c r="E12" s="2"/>
      <c r="F12" s="2"/>
      <c r="G12" s="1" t="s">
        <v>675</v>
      </c>
      <c r="H12" s="108">
        <f>[13]Data11!W18</f>
        <v>0</v>
      </c>
      <c r="I12" s="108">
        <f>[13]Data11!X18</f>
        <v>0</v>
      </c>
      <c r="J12" s="108">
        <f>[13]Data11!Y18</f>
        <v>0</v>
      </c>
      <c r="K12" s="108">
        <f>[13]Data11!Z18</f>
        <v>0</v>
      </c>
      <c r="L12" s="108">
        <f>[13]Data11!AA18</f>
        <v>0</v>
      </c>
      <c r="M12" s="108">
        <f>[13]Data11!AB18</f>
        <v>0</v>
      </c>
      <c r="N12" s="108">
        <f>[13]Data11!AC18</f>
        <v>0</v>
      </c>
      <c r="O12" s="108">
        <f>[13]Data11!AD18</f>
        <v>0</v>
      </c>
      <c r="P12" s="108">
        <f>[13]Data11!AE18</f>
        <v>0</v>
      </c>
    </row>
    <row r="13" spans="1:16" ht="15" x14ac:dyDescent="0.25">
      <c r="A13" s="2" t="s">
        <v>616</v>
      </c>
      <c r="B13" s="2" t="s">
        <v>16</v>
      </c>
      <c r="C13" s="2" t="s">
        <v>17</v>
      </c>
      <c r="D13" s="2" t="s">
        <v>676</v>
      </c>
      <c r="E13" s="2"/>
      <c r="F13" s="2"/>
      <c r="G13" s="1" t="s">
        <v>675</v>
      </c>
      <c r="H13" s="108">
        <f>[13]Data17!W18</f>
        <v>0</v>
      </c>
      <c r="I13" s="108">
        <f>[13]Data17!X18</f>
        <v>0</v>
      </c>
      <c r="J13" s="108">
        <f>[13]Data17!Y18</f>
        <v>0</v>
      </c>
      <c r="K13" s="108">
        <f>[13]Data17!Z18</f>
        <v>0</v>
      </c>
      <c r="L13" s="108">
        <f>[13]Data17!AA18</f>
        <v>0</v>
      </c>
      <c r="M13" s="108">
        <f>[13]Data17!AB18</f>
        <v>0</v>
      </c>
      <c r="N13" s="108">
        <f>[13]Data17!AC18</f>
        <v>0</v>
      </c>
      <c r="O13" s="108">
        <f>[13]Data17!AD18</f>
        <v>0</v>
      </c>
      <c r="P13" s="108">
        <f>[13]Data17!AE18</f>
        <v>0</v>
      </c>
    </row>
    <row r="14" spans="1:16" ht="15" x14ac:dyDescent="0.25">
      <c r="A14" s="2" t="s">
        <v>616</v>
      </c>
      <c r="B14" s="2" t="s">
        <v>18</v>
      </c>
      <c r="C14" s="2" t="s">
        <v>19</v>
      </c>
      <c r="D14" s="2" t="s">
        <v>676</v>
      </c>
      <c r="E14" s="2"/>
      <c r="F14" s="2"/>
      <c r="G14" s="1" t="s">
        <v>675</v>
      </c>
      <c r="H14" s="108">
        <f>[13]Data7!W18</f>
        <v>0</v>
      </c>
      <c r="I14" s="108">
        <f>[13]Data7!X18</f>
        <v>0</v>
      </c>
      <c r="J14" s="108">
        <f>[13]Data7!Y18</f>
        <v>0</v>
      </c>
      <c r="K14" s="108">
        <f>[13]Data7!Z18</f>
        <v>0</v>
      </c>
      <c r="L14" s="108">
        <f>[13]Data7!AA18</f>
        <v>0</v>
      </c>
      <c r="M14" s="108">
        <f>[13]Data7!AB18</f>
        <v>0</v>
      </c>
      <c r="N14" s="108">
        <f>[13]Data7!AC18</f>
        <v>0</v>
      </c>
      <c r="O14" s="108">
        <f>[13]Data7!AD18</f>
        <v>0</v>
      </c>
      <c r="P14" s="108">
        <f>[13]Data7!AE18</f>
        <v>0</v>
      </c>
    </row>
  </sheetData>
  <pageMargins left="0.7" right="0.7" top="0.78740157499999996" bottom="0.78740157499999996"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zoomScale="75" zoomScaleNormal="75" workbookViewId="0">
      <pane xSplit="3" ySplit="1" topLeftCell="D2" activePane="bottomRight" state="frozen"/>
      <selection activeCell="D2" sqref="D2"/>
      <selection pane="topRight" activeCell="D2" sqref="D2"/>
      <selection pane="bottomLeft" activeCell="D2" sqref="D2"/>
      <selection pane="bottomRight" activeCell="D2" sqref="D2"/>
    </sheetView>
  </sheetViews>
  <sheetFormatPr defaultColWidth="9" defaultRowHeight="14.25" x14ac:dyDescent="0.2"/>
  <cols>
    <col min="1" max="1" width="11.75" bestFit="1" customWidth="1"/>
    <col min="2" max="2" width="48.625" bestFit="1" customWidth="1"/>
    <col min="3" max="3" width="12.25" bestFit="1" customWidth="1"/>
    <col min="4" max="4" width="10.25" customWidth="1"/>
  </cols>
  <sheetData>
    <row r="1" spans="1:4" ht="15" x14ac:dyDescent="0.25">
      <c r="A1" s="88" t="s">
        <v>586</v>
      </c>
      <c r="B1" s="88" t="s">
        <v>0</v>
      </c>
      <c r="C1" s="88" t="s">
        <v>1</v>
      </c>
      <c r="D1" s="88" t="s">
        <v>669</v>
      </c>
    </row>
    <row r="2" spans="1:4" ht="15" x14ac:dyDescent="0.25">
      <c r="A2" s="2" t="s">
        <v>677</v>
      </c>
      <c r="B2" s="2" t="s">
        <v>343</v>
      </c>
      <c r="C2" s="2" t="s">
        <v>337</v>
      </c>
      <c r="D2" s="108">
        <f>[14]euref_det!$D$72</f>
        <v>6797.1584984219689</v>
      </c>
    </row>
    <row r="3" spans="1:4" ht="15" x14ac:dyDescent="0.25">
      <c r="A3" s="2" t="s">
        <v>678</v>
      </c>
      <c r="B3" s="2" t="s">
        <v>14</v>
      </c>
      <c r="C3" s="2" t="s">
        <v>15</v>
      </c>
      <c r="D3" s="108">
        <f>[14]euref_det!$D$116</f>
        <v>4861.3780211733238</v>
      </c>
    </row>
    <row r="4" spans="1:4" ht="15" x14ac:dyDescent="0.25">
      <c r="A4" s="2" t="s">
        <v>679</v>
      </c>
      <c r="B4" s="2" t="s">
        <v>16</v>
      </c>
      <c r="C4" s="2" t="s">
        <v>17</v>
      </c>
      <c r="D4" s="108">
        <f>[14]euref_det!$D$143</f>
        <v>398.70958474308679</v>
      </c>
    </row>
    <row r="5" spans="1:4" ht="15" x14ac:dyDescent="0.25">
      <c r="A5" s="2" t="s">
        <v>680</v>
      </c>
      <c r="B5" s="2" t="s">
        <v>18</v>
      </c>
      <c r="C5" s="2" t="s">
        <v>19</v>
      </c>
      <c r="D5" s="108">
        <f>[14]euref_det!$D$14</f>
        <v>11.388000000000147</v>
      </c>
    </row>
  </sheetData>
  <pageMargins left="0.7" right="0.7" top="0.78740157499999996" bottom="0.78740157499999996"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32"/>
  <sheetViews>
    <sheetView zoomScale="75" zoomScaleNormal="75" workbookViewId="0">
      <pane xSplit="3" ySplit="1" topLeftCell="T2" activePane="bottomRight" state="frozen"/>
      <selection activeCell="D2" sqref="D2"/>
      <selection pane="topRight" activeCell="D2" sqref="D2"/>
      <selection pane="bottomLeft" activeCell="D2" sqref="D2"/>
      <selection pane="bottomRight" activeCell="T2" sqref="T2"/>
    </sheetView>
  </sheetViews>
  <sheetFormatPr defaultColWidth="8.25" defaultRowHeight="15" x14ac:dyDescent="0.25"/>
  <cols>
    <col min="1" max="1" width="11.75" bestFit="1" customWidth="1"/>
    <col min="2" max="2" width="90.25" bestFit="1" customWidth="1"/>
    <col min="3" max="3" width="12.25" bestFit="1" customWidth="1"/>
    <col min="4" max="43" width="10.25" style="2" customWidth="1"/>
    <col min="44" max="16384" width="8.25" style="2"/>
  </cols>
  <sheetData>
    <row r="1" spans="1:43" s="44" customFormat="1" x14ac:dyDescent="0.25">
      <c r="A1" s="88" t="s">
        <v>586</v>
      </c>
      <c r="B1" s="88" t="s">
        <v>0</v>
      </c>
      <c r="C1" s="88" t="s">
        <v>1</v>
      </c>
      <c r="D1" s="44" t="s">
        <v>669</v>
      </c>
      <c r="E1" s="44" t="s">
        <v>681</v>
      </c>
      <c r="F1" s="44" t="s">
        <v>682</v>
      </c>
      <c r="G1" s="44" t="s">
        <v>683</v>
      </c>
      <c r="H1" s="44" t="s">
        <v>684</v>
      </c>
      <c r="I1" s="44" t="s">
        <v>685</v>
      </c>
      <c r="J1" s="44" t="s">
        <v>686</v>
      </c>
      <c r="K1" s="44" t="s">
        <v>687</v>
      </c>
      <c r="L1" s="44" t="s">
        <v>1113</v>
      </c>
      <c r="M1" s="44" t="s">
        <v>1114</v>
      </c>
      <c r="N1" s="44" t="s">
        <v>1115</v>
      </c>
      <c r="O1" s="44" t="s">
        <v>1116</v>
      </c>
      <c r="P1" s="44" t="s">
        <v>1117</v>
      </c>
      <c r="Q1" s="44" t="s">
        <v>1118</v>
      </c>
      <c r="R1" s="44" t="s">
        <v>1119</v>
      </c>
      <c r="S1" s="44" t="s">
        <v>1120</v>
      </c>
      <c r="T1" s="44" t="s">
        <v>688</v>
      </c>
      <c r="U1" s="44" t="s">
        <v>689</v>
      </c>
      <c r="V1" s="44" t="s">
        <v>690</v>
      </c>
      <c r="W1" s="44" t="s">
        <v>691</v>
      </c>
      <c r="X1" s="44" t="s">
        <v>692</v>
      </c>
      <c r="Y1" s="44" t="s">
        <v>693</v>
      </c>
      <c r="Z1" s="44" t="s">
        <v>694</v>
      </c>
      <c r="AA1" s="44" t="s">
        <v>695</v>
      </c>
      <c r="AB1" s="44" t="s">
        <v>644</v>
      </c>
      <c r="AC1" s="44" t="s">
        <v>696</v>
      </c>
      <c r="AD1" s="44" t="s">
        <v>697</v>
      </c>
      <c r="AE1" s="44" t="s">
        <v>698</v>
      </c>
      <c r="AF1" s="44" t="s">
        <v>699</v>
      </c>
      <c r="AG1" s="44" t="s">
        <v>700</v>
      </c>
      <c r="AH1" s="44" t="s">
        <v>701</v>
      </c>
      <c r="AI1" s="44" t="s">
        <v>702</v>
      </c>
      <c r="AJ1" s="112" t="s">
        <v>652</v>
      </c>
      <c r="AK1" s="112" t="s">
        <v>703</v>
      </c>
      <c r="AL1" s="112" t="s">
        <v>704</v>
      </c>
      <c r="AM1" s="112" t="s">
        <v>705</v>
      </c>
      <c r="AN1" s="112" t="s">
        <v>706</v>
      </c>
      <c r="AO1" s="112" t="s">
        <v>707</v>
      </c>
      <c r="AP1" s="112" t="s">
        <v>708</v>
      </c>
      <c r="AQ1" s="112" t="s">
        <v>709</v>
      </c>
    </row>
    <row r="2" spans="1:43" s="44" customFormat="1" x14ac:dyDescent="0.25">
      <c r="A2" s="388" t="s">
        <v>616</v>
      </c>
      <c r="B2" s="389" t="s">
        <v>1044</v>
      </c>
      <c r="C2" s="390" t="s">
        <v>737</v>
      </c>
      <c r="D2" s="403">
        <f>scen_pct_electro_hydro!T18</f>
        <v>1</v>
      </c>
      <c r="E2" s="403">
        <f>scen_pct_electro_hydro!U18</f>
        <v>0.83321826585462511</v>
      </c>
      <c r="F2" s="403">
        <f>scen_pct_electro_hydro!V18</f>
        <v>0.67166806746265129</v>
      </c>
      <c r="G2" s="403">
        <f>scen_pct_electro_hydro!W18</f>
        <v>0.51650896062261353</v>
      </c>
      <c r="H2" s="403">
        <f>scen_pct_electro_hydro!X18</f>
        <v>0.36927052243044894</v>
      </c>
      <c r="I2" s="403">
        <f>scen_pct_electro_hydro!Y18</f>
        <v>0.23201274172475289</v>
      </c>
      <c r="J2" s="403">
        <f>scen_pct_electro_hydro!Z18</f>
        <v>0.1075777565783788</v>
      </c>
      <c r="K2" s="403">
        <f>scen_pct_electro_hydro!AA18</f>
        <v>0</v>
      </c>
      <c r="L2" s="403">
        <f>D2/SUM(D$2:D$4)</f>
        <v>1</v>
      </c>
      <c r="M2" s="403">
        <f t="shared" ref="M2:S4" si="0">E2/SUM(E$2:E$4)</f>
        <v>0.91231774790513998</v>
      </c>
      <c r="N2" s="403">
        <f t="shared" si="0"/>
        <v>0.8125705284202257</v>
      </c>
      <c r="O2" s="403">
        <f t="shared" si="0"/>
        <v>0.69808417404345391</v>
      </c>
      <c r="P2" s="403">
        <f t="shared" si="0"/>
        <v>0.56533117418272771</v>
      </c>
      <c r="Q2" s="403">
        <f t="shared" si="0"/>
        <v>0.40956078272198176</v>
      </c>
      <c r="R2" s="403">
        <f t="shared" si="0"/>
        <v>0.22421846103559109</v>
      </c>
      <c r="S2" s="403">
        <f t="shared" si="0"/>
        <v>0</v>
      </c>
      <c r="T2" s="454">
        <f>([15]xdecarb_CZ!$B$2+[15]xdecarb_CZ!$B$3)*(64/68)*D2</f>
        <v>27.945118281078599</v>
      </c>
      <c r="U2" s="454">
        <f>([15]xdecarb_CZ!$B$2+[15]xdecarb_CZ!$B$3)*(64/68)*E2</f>
        <v>23.284382993262692</v>
      </c>
      <c r="V2" s="454">
        <f>([15]xdecarb_CZ!$B$2+[15]xdecarb_CZ!$B$3)*(64/68)*F2</f>
        <v>18.769843590867271</v>
      </c>
      <c r="W2" s="454">
        <f>([15]xdecarb_CZ!$B$2+[15]xdecarb_CZ!$B$3)*(64/68)*G2</f>
        <v>14.433903997835904</v>
      </c>
      <c r="X2" s="454">
        <f>([15]xdecarb_CZ!$B$2+[15]xdecarb_CZ!$B$3)*(64/68)*H2</f>
        <v>10.319308427034583</v>
      </c>
      <c r="Y2" s="454">
        <f>([15]xdecarb_CZ!$B$2+[15]xdecarb_CZ!$B$3)*(64/68)*I2</f>
        <v>6.4836235102155593</v>
      </c>
      <c r="Z2" s="454">
        <f>([15]xdecarb_CZ!$B$2+[15]xdecarb_CZ!$B$3)*(64/68)*J2</f>
        <v>3.0062731319958771</v>
      </c>
      <c r="AA2" s="455">
        <f>([15]xdecarb_CZ!$B$2+[15]xdecarb_CZ!$B$3)*(64/68)*K2</f>
        <v>0</v>
      </c>
      <c r="AB2" s="175"/>
      <c r="AC2" s="175"/>
      <c r="AD2" s="175"/>
      <c r="AE2" s="175"/>
      <c r="AF2" s="175"/>
      <c r="AG2" s="175"/>
      <c r="AH2" s="175"/>
      <c r="AI2" s="175"/>
      <c r="AJ2" s="176"/>
      <c r="AK2" s="176"/>
      <c r="AL2" s="176"/>
      <c r="AM2" s="176"/>
      <c r="AN2" s="176"/>
      <c r="AO2" s="176"/>
      <c r="AP2" s="176"/>
      <c r="AQ2" s="176"/>
    </row>
    <row r="3" spans="1:43" s="44" customFormat="1" x14ac:dyDescent="0.25">
      <c r="A3" s="391" t="s">
        <v>616</v>
      </c>
      <c r="B3" s="113" t="s">
        <v>1045</v>
      </c>
      <c r="C3" s="15" t="s">
        <v>738</v>
      </c>
      <c r="D3" s="404">
        <f>scen_pct_electro_hydro!T19</f>
        <v>0</v>
      </c>
      <c r="E3" s="404">
        <f>scen_pct_electro_hydro!U19</f>
        <v>0</v>
      </c>
      <c r="F3" s="404">
        <f>scen_pct_electro_hydro!V19</f>
        <v>0</v>
      </c>
      <c r="G3" s="404">
        <f>scen_pct_electro_hydro!W19</f>
        <v>0</v>
      </c>
      <c r="H3" s="404">
        <f>scen_pct_electro_hydro!X19</f>
        <v>0</v>
      </c>
      <c r="I3" s="404">
        <f>scen_pct_electro_hydro!Y19</f>
        <v>0</v>
      </c>
      <c r="J3" s="404">
        <f>scen_pct_electro_hydro!Z19</f>
        <v>0</v>
      </c>
      <c r="K3" s="404">
        <f>scen_pct_electro_hydro!AA19</f>
        <v>0</v>
      </c>
      <c r="L3" s="404">
        <f t="shared" ref="L3:L4" si="1">D3/SUM(D$2:D$4)</f>
        <v>0</v>
      </c>
      <c r="M3" s="404">
        <f t="shared" si="0"/>
        <v>0</v>
      </c>
      <c r="N3" s="404">
        <f t="shared" si="0"/>
        <v>0</v>
      </c>
      <c r="O3" s="404">
        <f t="shared" si="0"/>
        <v>0</v>
      </c>
      <c r="P3" s="404">
        <f t="shared" si="0"/>
        <v>0</v>
      </c>
      <c r="Q3" s="404">
        <f t="shared" si="0"/>
        <v>0</v>
      </c>
      <c r="R3" s="404">
        <f t="shared" si="0"/>
        <v>0</v>
      </c>
      <c r="S3" s="404">
        <f t="shared" si="0"/>
        <v>0</v>
      </c>
      <c r="T3" s="174">
        <f>([15]xdecarb_CZ!$B$2+[15]xdecarb_CZ!$B$3)*(64/68)*D3</f>
        <v>0</v>
      </c>
      <c r="U3" s="174">
        <f>([15]xdecarb_CZ!$B$2+[15]xdecarb_CZ!$B$3)*(64/68)*E3</f>
        <v>0</v>
      </c>
      <c r="V3" s="174">
        <f>([15]xdecarb_CZ!$B$2+[15]xdecarb_CZ!$B$3)*(64/68)*F3</f>
        <v>0</v>
      </c>
      <c r="W3" s="174">
        <f>([15]xdecarb_CZ!$B$2+[15]xdecarb_CZ!$B$3)*(64/68)*G3</f>
        <v>0</v>
      </c>
      <c r="X3" s="174">
        <f>([15]xdecarb_CZ!$B$2+[15]xdecarb_CZ!$B$3)*(64/68)*H3</f>
        <v>0</v>
      </c>
      <c r="Y3" s="174">
        <f>([15]xdecarb_CZ!$B$2+[15]xdecarb_CZ!$B$3)*(64/68)*I3</f>
        <v>0</v>
      </c>
      <c r="Z3" s="174">
        <f>([15]xdecarb_CZ!$B$2+[15]xdecarb_CZ!$B$3)*(64/68)*J3</f>
        <v>0</v>
      </c>
      <c r="AA3" s="398">
        <f>([15]xdecarb_CZ!$B$2+[15]xdecarb_CZ!$B$3)*(64/68)*K3</f>
        <v>0</v>
      </c>
      <c r="AB3" s="175"/>
      <c r="AC3" s="175"/>
      <c r="AD3" s="175"/>
      <c r="AE3" s="175"/>
      <c r="AF3" s="175"/>
      <c r="AG3" s="175"/>
      <c r="AH3" s="175"/>
      <c r="AI3" s="175"/>
      <c r="AJ3" s="176"/>
      <c r="AK3" s="176"/>
      <c r="AL3" s="176"/>
      <c r="AM3" s="176"/>
      <c r="AN3" s="176"/>
      <c r="AO3" s="176"/>
      <c r="AP3" s="176"/>
      <c r="AQ3" s="176"/>
    </row>
    <row r="4" spans="1:43" s="44" customFormat="1" x14ac:dyDescent="0.25">
      <c r="A4" s="392" t="s">
        <v>616</v>
      </c>
      <c r="B4" s="393" t="s">
        <v>1046</v>
      </c>
      <c r="C4" s="394" t="s">
        <v>748</v>
      </c>
      <c r="D4" s="404">
        <f>scen_pct_electro_hydro!T20</f>
        <v>0</v>
      </c>
      <c r="E4" s="404">
        <f>scen_pct_electro_hydro!U20</f>
        <v>8.0080053473106108E-2</v>
      </c>
      <c r="F4" s="404">
        <f>scen_pct_electro_hydro!V20</f>
        <v>0.15492857119281092</v>
      </c>
      <c r="G4" s="404">
        <f>scen_pct_electro_hydro!W20</f>
        <v>0.22338599736057976</v>
      </c>
      <c r="H4" s="404">
        <f>scen_pct_electro_hydro!X20</f>
        <v>0.28392275488047541</v>
      </c>
      <c r="I4" s="404">
        <f>scen_pct_electro_hydro!Y20</f>
        <v>0.3344788549139025</v>
      </c>
      <c r="J4" s="404">
        <f>scen_pct_electro_hydro!Z20</f>
        <v>0.37221215938800789</v>
      </c>
      <c r="K4" s="404">
        <f>scen_pct_electro_hydro!AA20</f>
        <v>0.39308823529411768</v>
      </c>
      <c r="L4" s="404">
        <f t="shared" si="1"/>
        <v>0</v>
      </c>
      <c r="M4" s="404">
        <f t="shared" si="0"/>
        <v>8.7682252094860039E-2</v>
      </c>
      <c r="N4" s="404">
        <f t="shared" si="0"/>
        <v>0.1874294715797743</v>
      </c>
      <c r="O4" s="404">
        <f t="shared" si="0"/>
        <v>0.30191582595654609</v>
      </c>
      <c r="P4" s="404">
        <f t="shared" si="0"/>
        <v>0.43466882581727229</v>
      </c>
      <c r="Q4" s="404">
        <f t="shared" si="0"/>
        <v>0.59043921727801818</v>
      </c>
      <c r="R4" s="404">
        <f t="shared" si="0"/>
        <v>0.77578153896440893</v>
      </c>
      <c r="S4" s="404">
        <f t="shared" si="0"/>
        <v>1</v>
      </c>
      <c r="T4" s="174">
        <f>([15]xdecarb_CZ!$B$2+[15]xdecarb_CZ!$B$3)*(64/68)*D4</f>
        <v>0</v>
      </c>
      <c r="U4" s="174">
        <f>([15]xdecarb_CZ!$B$2+[15]xdecarb_CZ!$B$3)*(64/68)*E4</f>
        <v>2.2378465662610494</v>
      </c>
      <c r="V4" s="174">
        <f>([15]xdecarb_CZ!$B$2+[15]xdecarb_CZ!$B$3)*(64/68)*F4</f>
        <v>4.3294972471016075</v>
      </c>
      <c r="W4" s="174">
        <f>([15]xdecarb_CZ!$B$2+[15]xdecarb_CZ!$B$3)*(64/68)*G4</f>
        <v>6.2425481185781129</v>
      </c>
      <c r="X4" s="174">
        <f>([15]xdecarb_CZ!$B$2+[15]xdecarb_CZ!$B$3)*(64/68)*H4</f>
        <v>7.9342549678245717</v>
      </c>
      <c r="Y4" s="174">
        <f>([15]xdecarb_CZ!$B$2+[15]xdecarb_CZ!$B$3)*(64/68)*I4</f>
        <v>9.3470511630887341</v>
      </c>
      <c r="Z4" s="174">
        <f>([15]xdecarb_CZ!$B$2+[15]xdecarb_CZ!$B$3)*(64/68)*J4</f>
        <v>10.401512819753561</v>
      </c>
      <c r="AA4" s="398">
        <f>([15]xdecarb_CZ!$B$2+[15]xdecarb_CZ!$B$3)*(64/68)*K4</f>
        <v>10.984897230194575</v>
      </c>
      <c r="AB4" s="175"/>
      <c r="AC4" s="175"/>
      <c r="AD4" s="175"/>
      <c r="AE4" s="175"/>
      <c r="AF4" s="175"/>
      <c r="AG4" s="175"/>
      <c r="AH4" s="175"/>
      <c r="AI4" s="175"/>
      <c r="AJ4" s="176"/>
      <c r="AK4" s="176"/>
      <c r="AL4" s="176"/>
      <c r="AM4" s="176"/>
      <c r="AN4" s="176"/>
      <c r="AO4" s="176"/>
      <c r="AP4" s="176"/>
      <c r="AQ4" s="176"/>
    </row>
    <row r="5" spans="1:43" s="44" customFormat="1" x14ac:dyDescent="0.25">
      <c r="A5" s="391" t="s">
        <v>616</v>
      </c>
      <c r="B5" s="113" t="s">
        <v>1047</v>
      </c>
      <c r="C5" s="15" t="s">
        <v>140</v>
      </c>
      <c r="D5" s="412">
        <f>scen_pct_electro_hydro!T22</f>
        <v>1</v>
      </c>
      <c r="E5" s="412">
        <f>scen_pct_electro_hydro!U22</f>
        <v>2.7953571428571431</v>
      </c>
      <c r="F5" s="412">
        <f>scen_pct_electro_hydro!V22</f>
        <v>4.5907142857142862</v>
      </c>
      <c r="G5" s="412">
        <f>scen_pct_electro_hydro!W22</f>
        <v>6.3860714285714284</v>
      </c>
      <c r="H5" s="412">
        <f>scen_pct_electro_hydro!X22</f>
        <v>8.1814285714285724</v>
      </c>
      <c r="I5" s="412">
        <f>scen_pct_electro_hydro!Y22</f>
        <v>9.9767857142857146</v>
      </c>
      <c r="J5" s="412">
        <f>scen_pct_electro_hydro!Z22</f>
        <v>11.772142857142857</v>
      </c>
      <c r="K5" s="412">
        <f>scen_pct_electro_hydro!AA22</f>
        <v>13.567500000000001</v>
      </c>
      <c r="L5" s="413">
        <f>D5/SUM(D$5)</f>
        <v>1</v>
      </c>
      <c r="M5" s="413">
        <f t="shared" ref="M5:S5" si="2">E5/SUM(E$5)</f>
        <v>1</v>
      </c>
      <c r="N5" s="413">
        <f t="shared" si="2"/>
        <v>1</v>
      </c>
      <c r="O5" s="413">
        <f t="shared" si="2"/>
        <v>1</v>
      </c>
      <c r="P5" s="413">
        <f t="shared" si="2"/>
        <v>1</v>
      </c>
      <c r="Q5" s="413">
        <f t="shared" si="2"/>
        <v>1</v>
      </c>
      <c r="R5" s="413">
        <f t="shared" si="2"/>
        <v>1</v>
      </c>
      <c r="S5" s="413">
        <f t="shared" si="2"/>
        <v>1</v>
      </c>
      <c r="T5" s="456">
        <f>([15]xdecarb_CZ!$B$2+[15]xdecarb_CZ!$B$3)*(4/68)*D5</f>
        <v>1.7465698925674125</v>
      </c>
      <c r="U5" s="456">
        <f>([15]xdecarb_CZ!$B$2+[15]xdecarb_CZ!$B$3)*(4/68)*E5</f>
        <v>4.8822866246875494</v>
      </c>
      <c r="V5" s="456">
        <f>([15]xdecarb_CZ!$B$2+[15]xdecarb_CZ!$B$3)*(4/68)*F5</f>
        <v>8.0180033568076858</v>
      </c>
      <c r="W5" s="456">
        <f>([15]xdecarb_CZ!$B$2+[15]xdecarb_CZ!$B$3)*(4/68)*G5</f>
        <v>11.153720088927821</v>
      </c>
      <c r="X5" s="456">
        <f>([15]xdecarb_CZ!$B$2+[15]xdecarb_CZ!$B$3)*(4/68)*H5</f>
        <v>14.289436821047961</v>
      </c>
      <c r="Y5" s="456">
        <f>([15]xdecarb_CZ!$B$2+[15]xdecarb_CZ!$B$3)*(4/68)*I5</f>
        <v>17.425153553168094</v>
      </c>
      <c r="Z5" s="456">
        <f>([15]xdecarb_CZ!$B$2+[15]xdecarb_CZ!$B$3)*(4/68)*J5</f>
        <v>20.560870285288232</v>
      </c>
      <c r="AA5" s="457">
        <f>([15]xdecarb_CZ!$B$2+[15]xdecarb_CZ!$B$3)*(4/68)*K5</f>
        <v>23.696587017408369</v>
      </c>
      <c r="AB5" s="175"/>
      <c r="AC5" s="175"/>
      <c r="AD5" s="175"/>
      <c r="AE5" s="175"/>
      <c r="AF5" s="175"/>
      <c r="AG5" s="175"/>
      <c r="AH5" s="175"/>
      <c r="AI5" s="175"/>
      <c r="AJ5" s="176"/>
      <c r="AK5" s="176"/>
      <c r="AL5" s="176"/>
      <c r="AM5" s="176"/>
      <c r="AN5" s="176"/>
      <c r="AO5" s="176"/>
      <c r="AP5" s="176"/>
      <c r="AQ5" s="176"/>
    </row>
    <row r="6" spans="1:43" s="44" customFormat="1" x14ac:dyDescent="0.25">
      <c r="A6" s="388" t="s">
        <v>616</v>
      </c>
      <c r="B6" s="389" t="s">
        <v>1049</v>
      </c>
      <c r="C6" s="390" t="s">
        <v>739</v>
      </c>
      <c r="D6" s="416">
        <f>scen_pct_electro_hydro!T25</f>
        <v>1</v>
      </c>
      <c r="E6" s="416">
        <f>scen_pct_electro_hydro!U25</f>
        <v>0.79588502975380182</v>
      </c>
      <c r="F6" s="416">
        <f>scen_pct_electro_hydro!V25</f>
        <v>0.61441887007799134</v>
      </c>
      <c r="G6" s="416">
        <f>scen_pct_electro_hydro!W25</f>
        <v>0.45414944711269961</v>
      </c>
      <c r="H6" s="416">
        <f>scen_pct_electro_hydro!X25</f>
        <v>0.31374621805854269</v>
      </c>
      <c r="I6" s="416">
        <f>scen_pct_electro_hydro!Y25</f>
        <v>0.19198771735637518</v>
      </c>
      <c r="J6" s="416">
        <f>scen_pct_electro_hydro!Z25</f>
        <v>8.7750603547811529E-2</v>
      </c>
      <c r="K6" s="416">
        <f>scen_pct_electro_hydro!AA25</f>
        <v>0</v>
      </c>
      <c r="L6" s="403">
        <f>D6/SUM(D$6:D$8)</f>
        <v>1</v>
      </c>
      <c r="M6" s="403">
        <f>E6/SUM(E$6:E$8)</f>
        <v>0.83800707868227609</v>
      </c>
      <c r="N6" s="403">
        <f t="shared" ref="M6:S8" si="3">F6/SUM(F$6:F$8)</f>
        <v>0.68308921438082559</v>
      </c>
      <c r="O6" s="403">
        <f t="shared" si="3"/>
        <v>0.53479280688037523</v>
      </c>
      <c r="P6" s="403">
        <f t="shared" si="3"/>
        <v>0.39270221995406995</v>
      </c>
      <c r="Q6" s="403">
        <f t="shared" si="3"/>
        <v>0.25643589102724312</v>
      </c>
      <c r="R6" s="403">
        <f t="shared" si="3"/>
        <v>0.12564290962527558</v>
      </c>
      <c r="S6" s="403">
        <f t="shared" si="3"/>
        <v>0</v>
      </c>
      <c r="T6" s="407">
        <f>[15]xdecarb_CZ!$B$4*D6</f>
        <v>177.868399769934</v>
      </c>
      <c r="U6" s="407">
        <f>[15]xdecarb_CZ!$B$4*E6</f>
        <v>141.56279664315505</v>
      </c>
      <c r="V6" s="407">
        <f>[15]xdecarb_CZ!$B$4*F6</f>
        <v>109.2857012092233</v>
      </c>
      <c r="W6" s="407">
        <f>[15]xdecarb_CZ!$B$4*G6</f>
        <v>80.778835414336157</v>
      </c>
      <c r="X6" s="407">
        <f>[15]xdecarb_CZ!$B$4*H6</f>
        <v>55.805537739941755</v>
      </c>
      <c r="Y6" s="407">
        <f>[15]xdecarb_CZ!$B$4*I6</f>
        <v>34.14854806166084</v>
      </c>
      <c r="Z6" s="407">
        <f>[15]xdecarb_CZ!$B$4*J6</f>
        <v>15.60805943189513</v>
      </c>
      <c r="AA6" s="408">
        <f>[15]xdecarb_CZ!$B$4*K6</f>
        <v>0</v>
      </c>
      <c r="AB6" s="175"/>
      <c r="AC6" s="175"/>
      <c r="AD6" s="175"/>
      <c r="AE6" s="175"/>
      <c r="AF6" s="175"/>
      <c r="AG6" s="175"/>
      <c r="AH6" s="175"/>
      <c r="AI6" s="175"/>
      <c r="AJ6" s="176"/>
      <c r="AK6" s="176"/>
      <c r="AL6" s="176"/>
      <c r="AM6" s="176"/>
      <c r="AN6" s="176"/>
      <c r="AO6" s="176"/>
      <c r="AP6" s="176"/>
      <c r="AQ6" s="176"/>
    </row>
    <row r="7" spans="1:43" s="44" customFormat="1" x14ac:dyDescent="0.25">
      <c r="A7" s="391" t="s">
        <v>616</v>
      </c>
      <c r="B7" s="113" t="s">
        <v>1050</v>
      </c>
      <c r="C7" s="15" t="s">
        <v>740</v>
      </c>
      <c r="D7" s="417">
        <f>scen_pct_electro_hydro!T26</f>
        <v>0</v>
      </c>
      <c r="E7" s="417">
        <f>scen_pct_electro_hydro!U26</f>
        <v>0</v>
      </c>
      <c r="F7" s="417">
        <f>scen_pct_electro_hydro!V26</f>
        <v>0</v>
      </c>
      <c r="G7" s="417">
        <f>scen_pct_electro_hydro!W26</f>
        <v>0</v>
      </c>
      <c r="H7" s="417">
        <f>scen_pct_electro_hydro!X26</f>
        <v>0</v>
      </c>
      <c r="I7" s="417">
        <f>scen_pct_electro_hydro!Y26</f>
        <v>0</v>
      </c>
      <c r="J7" s="417">
        <f>scen_pct_electro_hydro!Z26</f>
        <v>0</v>
      </c>
      <c r="K7" s="417">
        <f>scen_pct_electro_hydro!AA26</f>
        <v>0</v>
      </c>
      <c r="L7" s="404">
        <f t="shared" ref="L7:L8" si="4">D7/SUM(D$6:D$8)</f>
        <v>0</v>
      </c>
      <c r="M7" s="404">
        <f t="shared" si="3"/>
        <v>0</v>
      </c>
      <c r="N7" s="404">
        <f t="shared" si="3"/>
        <v>0</v>
      </c>
      <c r="O7" s="404">
        <f t="shared" si="3"/>
        <v>0</v>
      </c>
      <c r="P7" s="404">
        <f t="shared" si="3"/>
        <v>0</v>
      </c>
      <c r="Q7" s="404">
        <f t="shared" si="3"/>
        <v>0</v>
      </c>
      <c r="R7" s="404">
        <f t="shared" si="3"/>
        <v>0</v>
      </c>
      <c r="S7" s="404">
        <f t="shared" si="3"/>
        <v>0</v>
      </c>
      <c r="T7" s="409">
        <f>[15]xdecarb_CZ!$B$4*D7</f>
        <v>0</v>
      </c>
      <c r="U7" s="409">
        <f>[15]xdecarb_CZ!$B$4*E7</f>
        <v>0</v>
      </c>
      <c r="V7" s="409">
        <f>[15]xdecarb_CZ!$B$4*F7</f>
        <v>0</v>
      </c>
      <c r="W7" s="409">
        <f>[15]xdecarb_CZ!$B$4*G7</f>
        <v>0</v>
      </c>
      <c r="X7" s="409">
        <f>[15]xdecarb_CZ!$B$4*H7</f>
        <v>0</v>
      </c>
      <c r="Y7" s="409">
        <f>[15]xdecarb_CZ!$B$4*I7</f>
        <v>0</v>
      </c>
      <c r="Z7" s="409">
        <f>[15]xdecarb_CZ!$B$4*J7</f>
        <v>0</v>
      </c>
      <c r="AA7" s="410">
        <f>[15]xdecarb_CZ!$B$4*K7</f>
        <v>0</v>
      </c>
      <c r="AB7" s="175"/>
      <c r="AC7" s="175"/>
      <c r="AD7" s="175"/>
      <c r="AE7" s="175"/>
      <c r="AF7" s="175"/>
      <c r="AG7" s="175"/>
      <c r="AH7" s="175"/>
      <c r="AI7" s="175"/>
      <c r="AJ7" s="176"/>
      <c r="AK7" s="176"/>
      <c r="AL7" s="176"/>
      <c r="AM7" s="176"/>
      <c r="AN7" s="176"/>
      <c r="AO7" s="176"/>
      <c r="AP7" s="176"/>
      <c r="AQ7" s="176"/>
    </row>
    <row r="8" spans="1:43" s="44" customFormat="1" x14ac:dyDescent="0.25">
      <c r="A8" s="391" t="s">
        <v>616</v>
      </c>
      <c r="B8" s="113" t="s">
        <v>1051</v>
      </c>
      <c r="C8" s="15" t="s">
        <v>926</v>
      </c>
      <c r="D8" s="418">
        <f>scen_pct_electro_hydro!T27</f>
        <v>0</v>
      </c>
      <c r="E8" s="418">
        <f>scen_pct_electro_hydro!U27</f>
        <v>0.15385041998164786</v>
      </c>
      <c r="F8" s="418">
        <f>scen_pct_electro_hydro!V27</f>
        <v>0.28505202939290825</v>
      </c>
      <c r="G8" s="418">
        <f>scen_pct_electro_hydro!W27</f>
        <v>0.39505690209364958</v>
      </c>
      <c r="H8" s="418">
        <f>scen_pct_electro_hydro!X27</f>
        <v>0.48519558088325637</v>
      </c>
      <c r="I8" s="418">
        <f>scen_pct_electro_hydro!Y27</f>
        <v>0.55668953132087362</v>
      </c>
      <c r="J8" s="418">
        <f>scen_pct_electro_hydro!Z27</f>
        <v>0.61066209486488698</v>
      </c>
      <c r="K8" s="418">
        <f>scen_pct_electro_hydro!AA27</f>
        <v>0.64814814814814825</v>
      </c>
      <c r="L8" s="405">
        <f t="shared" si="4"/>
        <v>0</v>
      </c>
      <c r="M8" s="405">
        <f t="shared" si="3"/>
        <v>0.16199292131772394</v>
      </c>
      <c r="N8" s="405">
        <f t="shared" si="3"/>
        <v>0.31691078561917446</v>
      </c>
      <c r="O8" s="405">
        <f t="shared" si="3"/>
        <v>0.46520719311962472</v>
      </c>
      <c r="P8" s="405">
        <f t="shared" si="3"/>
        <v>0.60729778004593005</v>
      </c>
      <c r="Q8" s="405">
        <f t="shared" si="3"/>
        <v>0.74356410897275682</v>
      </c>
      <c r="R8" s="405">
        <f t="shared" si="3"/>
        <v>0.87435709037472442</v>
      </c>
      <c r="S8" s="405">
        <f t="shared" si="3"/>
        <v>1</v>
      </c>
      <c r="T8" s="406">
        <f>[15]xdecarb_CZ!$B$4*D8</f>
        <v>0</v>
      </c>
      <c r="U8" s="406">
        <f>[15]xdecarb_CZ!$B$4*E8</f>
        <v>27.365128006067984</v>
      </c>
      <c r="V8" s="406">
        <f>[15]xdecarb_CZ!$B$4*F8</f>
        <v>50.701748319288782</v>
      </c>
      <c r="W8" s="406">
        <f>[15]xdecarb_CZ!$B$4*G8</f>
        <v>70.268138993464945</v>
      </c>
      <c r="X8" s="406">
        <f>[15]xdecarb_CZ!$B$4*H8</f>
        <v>86.30096154714839</v>
      </c>
      <c r="Y8" s="406">
        <f>[15]xdecarb_CZ!$B$4*I8</f>
        <v>99.017476104718341</v>
      </c>
      <c r="Z8" s="406">
        <f>[15]xdecarb_CZ!$B$4*J8</f>
        <v>108.61748961377307</v>
      </c>
      <c r="AA8" s="411">
        <f>[15]xdecarb_CZ!$B$4*K8</f>
        <v>115.28507392495725</v>
      </c>
      <c r="AB8" s="175"/>
      <c r="AC8" s="175"/>
      <c r="AD8" s="175"/>
      <c r="AE8" s="175"/>
      <c r="AF8" s="175"/>
      <c r="AG8" s="175"/>
      <c r="AH8" s="175"/>
      <c r="AI8" s="175"/>
      <c r="AJ8" s="176"/>
      <c r="AK8" s="176"/>
      <c r="AL8" s="176"/>
      <c r="AM8" s="176"/>
      <c r="AN8" s="176"/>
      <c r="AO8" s="176"/>
      <c r="AP8" s="176"/>
      <c r="AQ8" s="176"/>
    </row>
    <row r="9" spans="1:43" s="44" customFormat="1" x14ac:dyDescent="0.25">
      <c r="A9" s="388" t="s">
        <v>616</v>
      </c>
      <c r="B9" s="389" t="s">
        <v>1041</v>
      </c>
      <c r="C9" s="390" t="s">
        <v>735</v>
      </c>
      <c r="D9" s="416">
        <f>scen_pct_electro_hydro!T11</f>
        <v>1</v>
      </c>
      <c r="E9" s="416">
        <f>scen_pct_electro_hydro!U11</f>
        <v>0.84916623154433268</v>
      </c>
      <c r="F9" s="416">
        <f>scen_pct_electro_hydro!V11</f>
        <v>0.70099133828817317</v>
      </c>
      <c r="G9" s="416">
        <f>scen_pct_electro_hydro!W11</f>
        <v>0.55547532023152213</v>
      </c>
      <c r="H9" s="416">
        <f>scen_pct_electro_hydro!X11</f>
        <v>0.41261817737437928</v>
      </c>
      <c r="I9" s="416">
        <f>scen_pct_electro_hydro!Y11</f>
        <v>0.27241990971674462</v>
      </c>
      <c r="J9" s="416">
        <f>scen_pct_electro_hydro!Z11</f>
        <v>0.13488051725861827</v>
      </c>
      <c r="K9" s="416">
        <f>scen_pct_electro_hydro!AA11</f>
        <v>0</v>
      </c>
      <c r="L9" s="403">
        <f>D9/SUM(D$9:D$11)</f>
        <v>1</v>
      </c>
      <c r="M9" s="403">
        <f t="shared" ref="M9:S11" si="5">E9/SUM(E$9:E$11)</f>
        <v>0.80179769229289577</v>
      </c>
      <c r="N9" s="403">
        <f t="shared" si="5"/>
        <v>0.64555372709017844</v>
      </c>
      <c r="O9" s="403">
        <f t="shared" si="5"/>
        <v>0.51070469161262311</v>
      </c>
      <c r="P9" s="403">
        <f t="shared" si="5"/>
        <v>0.38568688687686942</v>
      </c>
      <c r="Q9" s="403">
        <f t="shared" si="5"/>
        <v>0.26284311501110924</v>
      </c>
      <c r="R9" s="403">
        <f t="shared" si="5"/>
        <v>0.1361567009444993</v>
      </c>
      <c r="S9" s="403">
        <f t="shared" si="5"/>
        <v>0</v>
      </c>
      <c r="T9" s="407">
        <f>[15]xdecarb_CZ!$B$5*D9</f>
        <v>896.79049396425603</v>
      </c>
      <c r="U9" s="407">
        <f>[15]xdecarb_CZ!$B$5*E9</f>
        <v>761.52420424440788</v>
      </c>
      <c r="V9" s="407">
        <f>[15]xdecarb_CZ!$B$5*F9</f>
        <v>628.64236852811575</v>
      </c>
      <c r="W9" s="407">
        <f>[15]xdecarb_CZ!$B$5*G9</f>
        <v>498.14498681538004</v>
      </c>
      <c r="X9" s="407">
        <f>[15]xdecarb_CZ!$B$5*H9</f>
        <v>370.03205910620062</v>
      </c>
      <c r="Y9" s="407">
        <f>[15]xdecarb_CZ!$B$5*I9</f>
        <v>244.30358540057745</v>
      </c>
      <c r="Z9" s="407">
        <f>[15]xdecarb_CZ!$B$5*J9</f>
        <v>120.95956569851064</v>
      </c>
      <c r="AA9" s="408">
        <f>[15]xdecarb_CZ!$B$5*K9</f>
        <v>0</v>
      </c>
      <c r="AB9" s="175"/>
      <c r="AC9" s="175"/>
      <c r="AD9" s="175"/>
      <c r="AE9" s="175"/>
      <c r="AF9" s="175"/>
      <c r="AG9" s="175"/>
      <c r="AH9" s="175"/>
      <c r="AI9" s="175"/>
      <c r="AJ9" s="176"/>
      <c r="AK9" s="176"/>
      <c r="AL9" s="176"/>
      <c r="AM9" s="176"/>
      <c r="AN9" s="176"/>
      <c r="AO9" s="176"/>
      <c r="AP9" s="176"/>
      <c r="AQ9" s="176"/>
    </row>
    <row r="10" spans="1:43" s="44" customFormat="1" x14ac:dyDescent="0.25">
      <c r="A10" s="391" t="s">
        <v>616</v>
      </c>
      <c r="B10" s="113" t="s">
        <v>1042</v>
      </c>
      <c r="C10" s="15" t="s">
        <v>736</v>
      </c>
      <c r="D10" s="417">
        <f>scen_pct_electro_hydro!T12</f>
        <v>0</v>
      </c>
      <c r="E10" s="417">
        <f>scen_pct_electro_hydro!U12</f>
        <v>0.20991168762001081</v>
      </c>
      <c r="F10" s="417">
        <f>scen_pct_electro_hydro!V12</f>
        <v>0.38488472263688517</v>
      </c>
      <c r="G10" s="417">
        <f>scen_pct_electro_hydro!W12</f>
        <v>0.53218909592555164</v>
      </c>
      <c r="H10" s="417">
        <f>scen_pct_electro_hydro!X12</f>
        <v>0.65720864695866499</v>
      </c>
      <c r="I10" s="417">
        <f>scen_pct_electro_hydro!Y12</f>
        <v>0.7640154928435644</v>
      </c>
      <c r="J10" s="417">
        <f>scen_pct_electro_hydro!Z12</f>
        <v>0.85574657874893534</v>
      </c>
      <c r="K10" s="417">
        <f>scen_pct_electro_hydro!AA12</f>
        <v>0.9348575576120487</v>
      </c>
      <c r="L10" s="404">
        <f t="shared" ref="L10:L11" si="6">D10/SUM(D$9:D$11)</f>
        <v>0</v>
      </c>
      <c r="M10" s="404">
        <f t="shared" si="5"/>
        <v>0.19820230770710415</v>
      </c>
      <c r="N10" s="404">
        <f t="shared" si="5"/>
        <v>0.35444627290982145</v>
      </c>
      <c r="O10" s="404">
        <f t="shared" si="5"/>
        <v>0.48929530838737684</v>
      </c>
      <c r="P10" s="404">
        <f t="shared" si="5"/>
        <v>0.61431311312313064</v>
      </c>
      <c r="Q10" s="404">
        <f t="shared" si="5"/>
        <v>0.73715688498889076</v>
      </c>
      <c r="R10" s="404">
        <f t="shared" si="5"/>
        <v>0.86384329905550072</v>
      </c>
      <c r="S10" s="404">
        <f t="shared" si="5"/>
        <v>1</v>
      </c>
      <c r="T10" s="409">
        <f>[15]xdecarb_CZ!$B$5*D10</f>
        <v>0</v>
      </c>
      <c r="U10" s="409">
        <f>[15]xdecarb_CZ!$B$5*E10</f>
        <v>188.2468060296201</v>
      </c>
      <c r="V10" s="409">
        <f>[15]xdecarb_CZ!$B$5*F10</f>
        <v>345.16096053282791</v>
      </c>
      <c r="W10" s="409">
        <f>[15]xdecarb_CZ!$B$5*G10</f>
        <v>477.2621222174663</v>
      </c>
      <c r="X10" s="409">
        <f>[15]xdecarb_CZ!$B$5*H10</f>
        <v>589.3784671436415</v>
      </c>
      <c r="Y10" s="409">
        <f>[15]xdecarb_CZ!$B$5*I10</f>
        <v>685.16183122352459</v>
      </c>
      <c r="Z10" s="409">
        <f>[15]xdecarb_CZ!$B$5*J10</f>
        <v>767.42539706447985</v>
      </c>
      <c r="AA10" s="410">
        <f>[15]xdecarb_CZ!$B$5*K10</f>
        <v>838.37137087712711</v>
      </c>
      <c r="AB10" s="175"/>
      <c r="AC10" s="175"/>
      <c r="AD10" s="175"/>
      <c r="AE10" s="175"/>
      <c r="AF10" s="175"/>
      <c r="AG10" s="175"/>
      <c r="AH10" s="175"/>
      <c r="AI10" s="175"/>
      <c r="AJ10" s="176"/>
      <c r="AK10" s="176"/>
      <c r="AL10" s="176"/>
      <c r="AM10" s="176"/>
      <c r="AN10" s="176"/>
      <c r="AO10" s="176"/>
      <c r="AP10" s="176"/>
      <c r="AQ10" s="176"/>
    </row>
    <row r="11" spans="1:43" s="44" customFormat="1" x14ac:dyDescent="0.25">
      <c r="A11" s="392" t="s">
        <v>616</v>
      </c>
      <c r="B11" s="393" t="s">
        <v>1043</v>
      </c>
      <c r="C11" s="394" t="s">
        <v>744</v>
      </c>
      <c r="D11" s="418">
        <f>scen_pct_electro_hydro!T13</f>
        <v>0</v>
      </c>
      <c r="E11" s="418">
        <f>scen_pct_electro_hydro!U13</f>
        <v>0</v>
      </c>
      <c r="F11" s="418">
        <f>scen_pct_electro_hydro!V13</f>
        <v>0</v>
      </c>
      <c r="G11" s="418">
        <f>scen_pct_electro_hydro!W13</f>
        <v>0</v>
      </c>
      <c r="H11" s="418">
        <f>scen_pct_electro_hydro!X13</f>
        <v>0</v>
      </c>
      <c r="I11" s="418">
        <f>scen_pct_electro_hydro!Y13</f>
        <v>0</v>
      </c>
      <c r="J11" s="418">
        <f>scen_pct_electro_hydro!Z13</f>
        <v>0</v>
      </c>
      <c r="K11" s="418">
        <f>scen_pct_electro_hydro!AA13</f>
        <v>0</v>
      </c>
      <c r="L11" s="405">
        <f t="shared" si="6"/>
        <v>0</v>
      </c>
      <c r="M11" s="405">
        <f t="shared" si="5"/>
        <v>0</v>
      </c>
      <c r="N11" s="405">
        <f t="shared" si="5"/>
        <v>0</v>
      </c>
      <c r="O11" s="405">
        <f t="shared" si="5"/>
        <v>0</v>
      </c>
      <c r="P11" s="405">
        <f t="shared" si="5"/>
        <v>0</v>
      </c>
      <c r="Q11" s="405">
        <f t="shared" si="5"/>
        <v>0</v>
      </c>
      <c r="R11" s="405">
        <f t="shared" si="5"/>
        <v>0</v>
      </c>
      <c r="S11" s="405">
        <f t="shared" si="5"/>
        <v>0</v>
      </c>
      <c r="T11" s="406">
        <f>[15]xdecarb_CZ!$B$5*D11</f>
        <v>0</v>
      </c>
      <c r="U11" s="406">
        <f>[15]xdecarb_CZ!$B$5*E11</f>
        <v>0</v>
      </c>
      <c r="V11" s="406">
        <f>[15]xdecarb_CZ!$B$5*F11</f>
        <v>0</v>
      </c>
      <c r="W11" s="406">
        <f>[15]xdecarb_CZ!$B$5*G11</f>
        <v>0</v>
      </c>
      <c r="X11" s="406">
        <f>[15]xdecarb_CZ!$B$5*H11</f>
        <v>0</v>
      </c>
      <c r="Y11" s="406">
        <f>[15]xdecarb_CZ!$B$5*I11</f>
        <v>0</v>
      </c>
      <c r="Z11" s="406">
        <f>[15]xdecarb_CZ!$B$5*J11</f>
        <v>0</v>
      </c>
      <c r="AA11" s="411">
        <f>[15]xdecarb_CZ!$B$5*K11</f>
        <v>0</v>
      </c>
      <c r="AB11" s="175"/>
      <c r="AC11" s="175"/>
      <c r="AD11" s="175"/>
      <c r="AE11" s="175"/>
      <c r="AF11" s="175"/>
      <c r="AG11" s="175"/>
      <c r="AH11" s="175"/>
      <c r="AI11" s="175"/>
      <c r="AJ11" s="176"/>
      <c r="AK11" s="176"/>
      <c r="AL11" s="176"/>
      <c r="AM11" s="176"/>
      <c r="AN11" s="176"/>
      <c r="AO11" s="176"/>
      <c r="AP11" s="176"/>
      <c r="AQ11" s="176"/>
    </row>
    <row r="12" spans="1:43" s="44" customFormat="1" x14ac:dyDescent="0.25">
      <c r="A12" s="388" t="s">
        <v>616</v>
      </c>
      <c r="B12" s="389" t="s">
        <v>161</v>
      </c>
      <c r="C12" s="390" t="s">
        <v>160</v>
      </c>
      <c r="D12" s="412">
        <f>scen_pct_electro_hydro!T15</f>
        <v>1</v>
      </c>
      <c r="E12" s="412">
        <f>scen_pct_electro_hydro!U15</f>
        <v>1.4924212257332674</v>
      </c>
      <c r="F12" s="412">
        <f>scen_pct_electro_hydro!V15</f>
        <v>2.0830971761310351</v>
      </c>
      <c r="G12" s="412">
        <f>scen_pct_electro_hydro!W15</f>
        <v>2.7720278511933016</v>
      </c>
      <c r="H12" s="412">
        <f>scen_pct_electro_hydro!X15</f>
        <v>3.5592132509200698</v>
      </c>
      <c r="I12" s="412">
        <f>scen_pct_electro_hydro!Y15</f>
        <v>4.4446533753113364</v>
      </c>
      <c r="J12" s="412">
        <f>scen_pct_electro_hydro!Z15</f>
        <v>5.4283482243671024</v>
      </c>
      <c r="K12" s="412">
        <f>scen_pct_electro_hydro!AA15</f>
        <v>6.5102977980873709</v>
      </c>
      <c r="L12" s="413">
        <f>D12/SUM(D$12)</f>
        <v>1</v>
      </c>
      <c r="M12" s="413">
        <f t="shared" ref="M12:S12" si="7">E12/SUM(E$12)</f>
        <v>1</v>
      </c>
      <c r="N12" s="413">
        <f t="shared" si="7"/>
        <v>1</v>
      </c>
      <c r="O12" s="413">
        <f t="shared" si="7"/>
        <v>1</v>
      </c>
      <c r="P12" s="413">
        <f t="shared" si="7"/>
        <v>1</v>
      </c>
      <c r="Q12" s="413">
        <f t="shared" si="7"/>
        <v>1</v>
      </c>
      <c r="R12" s="413">
        <f t="shared" si="7"/>
        <v>1</v>
      </c>
      <c r="S12" s="413">
        <f t="shared" si="7"/>
        <v>1</v>
      </c>
      <c r="T12" s="414">
        <f>[15]xdecarb_CZ!$B$6*D12</f>
        <v>178.289135511376</v>
      </c>
      <c r="U12" s="414">
        <f>[15]xdecarb_CZ!$B$6*E12</f>
        <v>266.08249015481238</v>
      </c>
      <c r="V12" s="414">
        <f>[15]xdecarb_CZ!$B$6*F12</f>
        <v>371.3935947185908</v>
      </c>
      <c r="W12" s="414">
        <f>[15]xdecarb_CZ!$B$6*G12</f>
        <v>494.222449202711</v>
      </c>
      <c r="X12" s="414">
        <f>[15]xdecarb_CZ!$B$6*H12</f>
        <v>634.56905360717349</v>
      </c>
      <c r="Y12" s="414">
        <f>[15]xdecarb_CZ!$B$6*I12</f>
        <v>792.43340793197763</v>
      </c>
      <c r="Z12" s="414">
        <f>[15]xdecarb_CZ!$B$6*J12</f>
        <v>967.81551217712365</v>
      </c>
      <c r="AA12" s="415">
        <f>[15]xdecarb_CZ!$B$6*K12</f>
        <v>1160.715366342612</v>
      </c>
      <c r="AB12" s="175"/>
      <c r="AC12" s="175"/>
      <c r="AD12" s="175"/>
      <c r="AE12" s="175"/>
      <c r="AF12" s="175"/>
      <c r="AG12" s="175"/>
      <c r="AH12" s="175"/>
      <c r="AI12" s="175"/>
      <c r="AJ12" s="176"/>
      <c r="AK12" s="176"/>
      <c r="AL12" s="176"/>
      <c r="AM12" s="176"/>
      <c r="AN12" s="176"/>
      <c r="AO12" s="176"/>
      <c r="AP12" s="176"/>
      <c r="AQ12" s="176"/>
    </row>
    <row r="13" spans="1:43" s="44" customFormat="1" x14ac:dyDescent="0.25">
      <c r="A13" s="388" t="s">
        <v>616</v>
      </c>
      <c r="B13" s="389" t="s">
        <v>1037</v>
      </c>
      <c r="C13" s="390" t="s">
        <v>730</v>
      </c>
      <c r="D13" s="416">
        <f>scen_pct_electro_hydro!T4</f>
        <v>1</v>
      </c>
      <c r="E13" s="416">
        <f>scen_pct_electro_hydro!U4</f>
        <v>0.82449795918367363</v>
      </c>
      <c r="F13" s="416">
        <f>scen_pct_electro_hydro!V4</f>
        <v>0.65987755102040824</v>
      </c>
      <c r="G13" s="416">
        <f>scen_pct_electro_hydro!W4</f>
        <v>0.50613877551020403</v>
      </c>
      <c r="H13" s="416">
        <f>scen_pct_electro_hydro!X4</f>
        <v>0.36328163265306124</v>
      </c>
      <c r="I13" s="416">
        <f>scen_pct_electro_hydro!Y4</f>
        <v>0.23130612244897961</v>
      </c>
      <c r="J13" s="416">
        <f>scen_pct_electro_hydro!Z4</f>
        <v>0.11021224489795921</v>
      </c>
      <c r="K13" s="416">
        <f>scen_pct_electro_hydro!AA4</f>
        <v>0</v>
      </c>
      <c r="L13" s="403">
        <f>D13/SUM(D$13:D$15)</f>
        <v>1</v>
      </c>
      <c r="M13" s="403">
        <f t="shared" ref="M13:S15" si="8">E13/SUM(E$13:E$15)</f>
        <v>0.87479123238084078</v>
      </c>
      <c r="N13" s="403">
        <f t="shared" si="8"/>
        <v>0.74431803155417697</v>
      </c>
      <c r="O13" s="403">
        <f t="shared" si="8"/>
        <v>0.60824125120572547</v>
      </c>
      <c r="P13" s="403">
        <f t="shared" si="8"/>
        <v>0.46619197432585735</v>
      </c>
      <c r="Q13" s="403">
        <f t="shared" si="8"/>
        <v>0.31776817327677326</v>
      </c>
      <c r="R13" s="403">
        <f t="shared" si="8"/>
        <v>0.16253090989625707</v>
      </c>
      <c r="S13" s="403">
        <f t="shared" si="8"/>
        <v>0</v>
      </c>
      <c r="T13" s="407">
        <f>[15]xdecarb_CZ!$B$7*D13</f>
        <v>2344.70679882788</v>
      </c>
      <c r="U13" s="407">
        <f>[15]xdecarb_CZ!$B$7*E13</f>
        <v>1933.2059705176714</v>
      </c>
      <c r="V13" s="407">
        <f>[15]xdecarb_CZ!$B$7*F13</f>
        <v>1547.2193802714426</v>
      </c>
      <c r="W13" s="407">
        <f>[15]xdecarb_CZ!$B$7*G13</f>
        <v>1186.7470280891935</v>
      </c>
      <c r="X13" s="407">
        <f>[15]xdecarb_CZ!$B$7*H13</f>
        <v>851.78891397092502</v>
      </c>
      <c r="Y13" s="407">
        <f>[15]xdecarb_CZ!$B$7*I13</f>
        <v>542.34503791663656</v>
      </c>
      <c r="Z13" s="407">
        <f>[15]xdecarb_CZ!$B$7*J13</f>
        <v>258.41539992632829</v>
      </c>
      <c r="AA13" s="408">
        <f>[15]xdecarb_CZ!$B$7*K13</f>
        <v>0</v>
      </c>
      <c r="AB13" s="175"/>
      <c r="AC13" s="175"/>
      <c r="AD13" s="175"/>
      <c r="AE13" s="175"/>
      <c r="AF13" s="175"/>
      <c r="AG13" s="175"/>
      <c r="AH13" s="175"/>
      <c r="AI13" s="175"/>
      <c r="AJ13" s="176"/>
      <c r="AK13" s="176"/>
      <c r="AL13" s="176"/>
      <c r="AM13" s="176"/>
      <c r="AN13" s="176"/>
      <c r="AO13" s="176"/>
      <c r="AP13" s="176"/>
      <c r="AQ13" s="176"/>
    </row>
    <row r="14" spans="1:43" s="44" customFormat="1" x14ac:dyDescent="0.25">
      <c r="A14" s="391" t="s">
        <v>616</v>
      </c>
      <c r="B14" s="113" t="s">
        <v>1038</v>
      </c>
      <c r="C14" s="15" t="s">
        <v>731</v>
      </c>
      <c r="D14" s="417">
        <f>scen_pct_electro_hydro!T5</f>
        <v>0</v>
      </c>
      <c r="E14" s="417">
        <f>scen_pct_electro_hydro!U5</f>
        <v>0.10338955246692086</v>
      </c>
      <c r="F14" s="417">
        <f>scen_pct_electro_hydro!V5</f>
        <v>0.19859196183000677</v>
      </c>
      <c r="G14" s="417">
        <f>scen_pct_electro_hydro!W5</f>
        <v>0.2856072280892577</v>
      </c>
      <c r="H14" s="417">
        <f>scen_pct_electro_hydro!X5</f>
        <v>0.36443535124467374</v>
      </c>
      <c r="I14" s="417">
        <f>scen_pct_electro_hydro!Y5</f>
        <v>0.43507633129625478</v>
      </c>
      <c r="J14" s="417">
        <f>scen_pct_electro_hydro!Z5</f>
        <v>0.49753016824400098</v>
      </c>
      <c r="K14" s="417">
        <f>scen_pct_electro_hydro!AA5</f>
        <v>0.55179686208791212</v>
      </c>
      <c r="L14" s="404">
        <f t="shared" ref="L14:L15" si="9">D14/SUM(D$13:D$15)</f>
        <v>0</v>
      </c>
      <c r="M14" s="404">
        <f t="shared" si="8"/>
        <v>0.10969617694067937</v>
      </c>
      <c r="N14" s="404">
        <f t="shared" si="8"/>
        <v>0.2240045564259866</v>
      </c>
      <c r="O14" s="404">
        <f t="shared" si="8"/>
        <v>0.3432222666427715</v>
      </c>
      <c r="P14" s="404">
        <f t="shared" si="8"/>
        <v>0.46767251806849669</v>
      </c>
      <c r="Q14" s="404">
        <f t="shared" si="8"/>
        <v>0.59770752960707463</v>
      </c>
      <c r="R14" s="404">
        <f t="shared" si="8"/>
        <v>0.73371185770150926</v>
      </c>
      <c r="S14" s="404">
        <f t="shared" si="8"/>
        <v>0.87610619469026552</v>
      </c>
      <c r="T14" s="409">
        <f>[15]xdecarb_CZ!$B$7*D14</f>
        <v>0</v>
      </c>
      <c r="U14" s="409">
        <f>[15]xdecarb_CZ!$B$7*E14</f>
        <v>242.41818659696116</v>
      </c>
      <c r="V14" s="409">
        <f>[15]xdecarb_CZ!$B$7*F14</f>
        <v>465.63992309538372</v>
      </c>
      <c r="W14" s="409">
        <f>[15]xdecarb_CZ!$B$7*G14</f>
        <v>669.66520949526762</v>
      </c>
      <c r="X14" s="409">
        <f>[15]xdecarb_CZ!$B$7*H14</f>
        <v>854.49404579661302</v>
      </c>
      <c r="Y14" s="409">
        <f>[15]xdecarb_CZ!$B$7*I14</f>
        <v>1020.1264319994198</v>
      </c>
      <c r="Z14" s="409">
        <f>[15]xdecarb_CZ!$B$7*J14</f>
        <v>1166.5623681036882</v>
      </c>
      <c r="AA14" s="410">
        <f>[15]xdecarb_CZ!$B$7*K14</f>
        <v>1293.8018541094177</v>
      </c>
      <c r="AB14" s="175"/>
      <c r="AC14" s="175"/>
      <c r="AD14" s="175"/>
      <c r="AE14" s="175"/>
      <c r="AF14" s="175"/>
      <c r="AG14" s="175"/>
      <c r="AH14" s="175"/>
      <c r="AI14" s="175"/>
      <c r="AJ14" s="176"/>
      <c r="AK14" s="176"/>
      <c r="AL14" s="176"/>
      <c r="AM14" s="176"/>
      <c r="AN14" s="176"/>
      <c r="AO14" s="176"/>
      <c r="AP14" s="176"/>
      <c r="AQ14" s="176"/>
    </row>
    <row r="15" spans="1:43" s="44" customFormat="1" x14ac:dyDescent="0.25">
      <c r="A15" s="392" t="s">
        <v>616</v>
      </c>
      <c r="B15" s="393" t="s">
        <v>1039</v>
      </c>
      <c r="C15" s="394" t="s">
        <v>746</v>
      </c>
      <c r="D15" s="418">
        <f>scen_pct_electro_hydro!T6</f>
        <v>0</v>
      </c>
      <c r="E15" s="418">
        <f>scen_pct_electro_hydro!U6</f>
        <v>1.4620744793301941E-2</v>
      </c>
      <c r="F15" s="418">
        <f>scen_pct_electro_hydro!V6</f>
        <v>2.808371177394035E-2</v>
      </c>
      <c r="G15" s="418">
        <f>scen_pct_electro_hydro!W6</f>
        <v>4.0388900941915232E-2</v>
      </c>
      <c r="H15" s="418">
        <f>scen_pct_electro_hydro!X6</f>
        <v>5.1536312297226598E-2</v>
      </c>
      <c r="I15" s="418">
        <f>scen_pct_electro_hydro!Y6</f>
        <v>6.1525945839874432E-2</v>
      </c>
      <c r="J15" s="418">
        <f>scen_pct_electro_hydro!Z6</f>
        <v>7.0357801569858713E-2</v>
      </c>
      <c r="K15" s="418">
        <f>scen_pct_electro_hydro!AA6</f>
        <v>7.803187948717949E-2</v>
      </c>
      <c r="L15" s="405">
        <f t="shared" si="9"/>
        <v>0</v>
      </c>
      <c r="M15" s="405">
        <f t="shared" si="8"/>
        <v>1.5512590678479913E-2</v>
      </c>
      <c r="N15" s="405">
        <f t="shared" si="8"/>
        <v>3.1677412019836489E-2</v>
      </c>
      <c r="O15" s="405">
        <f t="shared" si="8"/>
        <v>4.8536482151503045E-2</v>
      </c>
      <c r="P15" s="405">
        <f t="shared" si="8"/>
        <v>6.6135507605646002E-2</v>
      </c>
      <c r="Q15" s="405">
        <f t="shared" si="8"/>
        <v>8.4524297116151989E-2</v>
      </c>
      <c r="R15" s="405">
        <f t="shared" si="8"/>
        <v>0.10375723240223363</v>
      </c>
      <c r="S15" s="405">
        <f t="shared" si="8"/>
        <v>0.12389380530973451</v>
      </c>
      <c r="T15" s="406">
        <f>[15]xdecarb_CZ!$B$7*D15</f>
        <v>0</v>
      </c>
      <c r="U15" s="406">
        <f>[15]xdecarb_CZ!$B$7*E15</f>
        <v>34.28135972078239</v>
      </c>
      <c r="V15" s="406">
        <f>[15]xdecarb_CZ!$B$7*F15</f>
        <v>65.848069932680517</v>
      </c>
      <c r="W15" s="406">
        <f>[15]xdecarb_CZ!$B$7*G15</f>
        <v>94.700130635694407</v>
      </c>
      <c r="X15" s="406">
        <f>[15]xdecarb_CZ!$B$7*H15</f>
        <v>120.83754182982409</v>
      </c>
      <c r="Y15" s="406">
        <f>[15]xdecarb_CZ!$B$7*I15</f>
        <v>144.2603035150695</v>
      </c>
      <c r="Z15" s="406">
        <f>[15]xdecarb_CZ!$B$7*J15</f>
        <v>164.96841569143061</v>
      </c>
      <c r="AA15" s="411">
        <f>[15]xdecarb_CZ!$B$7*K15</f>
        <v>182.96187835890754</v>
      </c>
      <c r="AB15" s="175"/>
      <c r="AC15" s="175"/>
      <c r="AD15" s="175"/>
      <c r="AE15" s="175"/>
      <c r="AF15" s="175"/>
      <c r="AG15" s="175"/>
      <c r="AH15" s="175"/>
      <c r="AI15" s="175"/>
      <c r="AJ15" s="176"/>
      <c r="AK15" s="176"/>
      <c r="AL15" s="176"/>
      <c r="AM15" s="176"/>
      <c r="AN15" s="176"/>
      <c r="AO15" s="176"/>
      <c r="AP15" s="176"/>
      <c r="AQ15" s="176"/>
    </row>
    <row r="16" spans="1:43" s="44" customFormat="1" x14ac:dyDescent="0.25">
      <c r="A16" s="388" t="s">
        <v>616</v>
      </c>
      <c r="B16" s="389" t="s">
        <v>1040</v>
      </c>
      <c r="C16" s="390" t="s">
        <v>166</v>
      </c>
      <c r="D16" s="412">
        <f>scen_pct_electro_hydro!T8</f>
        <v>1</v>
      </c>
      <c r="E16" s="412">
        <f>scen_pct_electro_hydro!U8</f>
        <v>1.22077335665205</v>
      </c>
      <c r="F16" s="412">
        <f>scen_pct_electro_hydro!V8</f>
        <v>1.4635489131506416</v>
      </c>
      <c r="G16" s="412">
        <f>scen_pct_electro_hydro!W8</f>
        <v>1.7283266694957755</v>
      </c>
      <c r="H16" s="412">
        <f>scen_pct_electro_hydro!X8</f>
        <v>2.0151066256874524</v>
      </c>
      <c r="I16" s="412">
        <f>scen_pct_electro_hydro!Y8</f>
        <v>2.3238887817256715</v>
      </c>
      <c r="J16" s="412">
        <f>scen_pct_electro_hydro!Z8</f>
        <v>2.6546731376104322</v>
      </c>
      <c r="K16" s="412">
        <f>scen_pct_electro_hydro!AA8</f>
        <v>3.0074596933417359</v>
      </c>
      <c r="L16" s="413">
        <f>D16/SUM(D$16)</f>
        <v>1</v>
      </c>
      <c r="M16" s="413">
        <f t="shared" ref="M16:S16" si="10">E16/SUM(E$16)</f>
        <v>1</v>
      </c>
      <c r="N16" s="413">
        <f t="shared" si="10"/>
        <v>1</v>
      </c>
      <c r="O16" s="413">
        <f t="shared" si="10"/>
        <v>1</v>
      </c>
      <c r="P16" s="413">
        <f t="shared" si="10"/>
        <v>1</v>
      </c>
      <c r="Q16" s="413">
        <f t="shared" si="10"/>
        <v>1</v>
      </c>
      <c r="R16" s="413">
        <f t="shared" si="10"/>
        <v>1</v>
      </c>
      <c r="S16" s="413">
        <f t="shared" si="10"/>
        <v>1</v>
      </c>
      <c r="T16" s="414">
        <f>[15]xdecarb_CZ!$B$8*D16</f>
        <v>612.11938289500404</v>
      </c>
      <c r="U16" s="414">
        <f>[15]xdecarb_CZ!$B$8*E16</f>
        <v>747.25903372851553</v>
      </c>
      <c r="V16" s="414">
        <f>[15]xdecarb_CZ!$B$8*F16</f>
        <v>895.86665755442459</v>
      </c>
      <c r="W16" s="414">
        <f>[15]xdecarb_CZ!$B$8*G16</f>
        <v>1057.9422543727317</v>
      </c>
      <c r="X16" s="414">
        <f>[15]xdecarb_CZ!$B$8*H16</f>
        <v>1233.4858241834372</v>
      </c>
      <c r="Y16" s="414">
        <f>[15]xdecarb_CZ!$B$8*I16</f>
        <v>1422.4973669865408</v>
      </c>
      <c r="Z16" s="414">
        <f>[15]xdecarb_CZ!$B$8*J16</f>
        <v>1624.9768827820419</v>
      </c>
      <c r="AA16" s="415">
        <f>[15]xdecarb_CZ!$B$8*K16</f>
        <v>1840.9243715699415</v>
      </c>
      <c r="AB16" s="175"/>
      <c r="AC16" s="175"/>
      <c r="AD16" s="175"/>
      <c r="AE16" s="175"/>
      <c r="AF16" s="175"/>
      <c r="AG16" s="175"/>
      <c r="AH16" s="175"/>
      <c r="AI16" s="175"/>
      <c r="AJ16" s="176"/>
      <c r="AK16" s="176"/>
      <c r="AL16" s="176"/>
      <c r="AM16" s="176"/>
      <c r="AN16" s="176"/>
      <c r="AO16" s="176"/>
      <c r="AP16" s="176"/>
      <c r="AQ16" s="176"/>
    </row>
    <row r="17" spans="1:43" s="44" customFormat="1" x14ac:dyDescent="0.25">
      <c r="A17" s="388" t="s">
        <v>616</v>
      </c>
      <c r="B17" s="389" t="s">
        <v>1052</v>
      </c>
      <c r="C17" s="390" t="s">
        <v>733</v>
      </c>
      <c r="D17" s="416">
        <f>scen_pct_electro_hydro!T30</f>
        <v>0.98556495769039332</v>
      </c>
      <c r="E17" s="416">
        <f>scen_pct_electro_hydro!U30</f>
        <v>0.9670560266777436</v>
      </c>
      <c r="F17" s="416">
        <f>scen_pct_electro_hydro!V30</f>
        <v>0.4682867495957479</v>
      </c>
      <c r="G17" s="416">
        <f>scen_pct_electro_hydro!W30</f>
        <v>0.10635706863777922</v>
      </c>
      <c r="H17" s="416">
        <f>scen_pct_electro_hydro!X30</f>
        <v>0</v>
      </c>
      <c r="I17" s="416">
        <f>scen_pct_electro_hydro!Y30</f>
        <v>0</v>
      </c>
      <c r="J17" s="416">
        <f>scen_pct_electro_hydro!Z30</f>
        <v>0</v>
      </c>
      <c r="K17" s="416">
        <f>scen_pct_electro_hydro!AA30</f>
        <v>0</v>
      </c>
      <c r="L17" s="403">
        <f>D17/SUM(D$17:D$18)</f>
        <v>0.98556495769039332</v>
      </c>
      <c r="M17" s="403">
        <f t="shared" ref="M17:S18" si="11">E17/SUM(E$17:E$18)</f>
        <v>0.93469041560644606</v>
      </c>
      <c r="N17" s="403">
        <f t="shared" si="11"/>
        <v>0.40436904485242858</v>
      </c>
      <c r="O17" s="403">
        <f t="shared" si="11"/>
        <v>9.3068035943517313E-2</v>
      </c>
      <c r="P17" s="403">
        <f t="shared" si="11"/>
        <v>0</v>
      </c>
      <c r="Q17" s="403">
        <f t="shared" si="11"/>
        <v>0</v>
      </c>
      <c r="R17" s="403">
        <f t="shared" si="11"/>
        <v>0</v>
      </c>
      <c r="S17" s="403">
        <f t="shared" si="11"/>
        <v>0</v>
      </c>
      <c r="T17" s="407">
        <f>[15]xdecarb_CZ!$B$9*D17</f>
        <v>34610.745364040493</v>
      </c>
      <c r="U17" s="407">
        <f>[15]xdecarb_CZ!$B$9*E17</f>
        <v>33960.754824867268</v>
      </c>
      <c r="V17" s="407">
        <f>[15]xdecarb_CZ!$B$9*F17</f>
        <v>16445.139735481695</v>
      </c>
      <c r="W17" s="407">
        <f>[15]xdecarb_CZ!$B$9*G17</f>
        <v>3735.0124835143929</v>
      </c>
      <c r="X17" s="407">
        <f>[15]xdecarb_CZ!$B$9*H17</f>
        <v>0</v>
      </c>
      <c r="Y17" s="407">
        <f>[15]xdecarb_CZ!$B$9*I17</f>
        <v>0</v>
      </c>
      <c r="Z17" s="407">
        <f>[15]xdecarb_CZ!$B$9*J17</f>
        <v>0</v>
      </c>
      <c r="AA17" s="408">
        <f>[15]xdecarb_CZ!$B$9*K17</f>
        <v>0</v>
      </c>
      <c r="AB17" s="175"/>
      <c r="AC17" s="175"/>
      <c r="AD17" s="175"/>
      <c r="AE17" s="175"/>
      <c r="AF17" s="175"/>
      <c r="AG17" s="175"/>
      <c r="AH17" s="175"/>
      <c r="AI17" s="175"/>
      <c r="AJ17" s="176"/>
      <c r="AK17" s="176"/>
      <c r="AL17" s="176"/>
      <c r="AM17" s="176"/>
      <c r="AN17" s="176"/>
      <c r="AO17" s="176"/>
      <c r="AP17" s="176"/>
      <c r="AQ17" s="176"/>
    </row>
    <row r="18" spans="1:43" s="44" customFormat="1" x14ac:dyDescent="0.25">
      <c r="A18" s="392" t="s">
        <v>616</v>
      </c>
      <c r="B18" s="393" t="s">
        <v>1053</v>
      </c>
      <c r="C18" s="394" t="s">
        <v>734</v>
      </c>
      <c r="D18" s="418">
        <f>scen_pct_electro_hydro!T31</f>
        <v>1.4435042309606768E-2</v>
      </c>
      <c r="E18" s="418">
        <f>scen_pct_electro_hydro!U31</f>
        <v>6.7571065384924009E-2</v>
      </c>
      <c r="F18" s="418">
        <f>scen_pct_electro_hydro!V31</f>
        <v>0.68978099954821925</v>
      </c>
      <c r="G18" s="418">
        <f>scen_pct_electro_hydro!W31</f>
        <v>1.0364312964495315</v>
      </c>
      <c r="H18" s="418">
        <f>scen_pct_electro_hydro!X31</f>
        <v>1.1766923784158043</v>
      </c>
      <c r="I18" s="418">
        <f>scen_pct_electro_hydro!Y31</f>
        <v>1.2020650694812716</v>
      </c>
      <c r="J18" s="418">
        <f>scen_pct_electro_hydro!Z31</f>
        <v>1.2277084025847704</v>
      </c>
      <c r="K18" s="418">
        <f>scen_pct_electro_hydro!AA31</f>
        <v>1.2536223777263011</v>
      </c>
      <c r="L18" s="405">
        <f>D18/SUM(D$17:D$18)</f>
        <v>1.4435042309606768E-2</v>
      </c>
      <c r="M18" s="405">
        <f t="shared" si="11"/>
        <v>6.530958439355386E-2</v>
      </c>
      <c r="N18" s="405">
        <f t="shared" si="11"/>
        <v>0.59563095514757136</v>
      </c>
      <c r="O18" s="405">
        <f t="shared" si="11"/>
        <v>0.90693196405648269</v>
      </c>
      <c r="P18" s="405">
        <f t="shared" si="11"/>
        <v>1</v>
      </c>
      <c r="Q18" s="405">
        <f t="shared" si="11"/>
        <v>1</v>
      </c>
      <c r="R18" s="405">
        <f t="shared" si="11"/>
        <v>1</v>
      </c>
      <c r="S18" s="405">
        <f t="shared" si="11"/>
        <v>1</v>
      </c>
      <c r="T18" s="406">
        <f>[15]xdecarb_CZ!$B$9*D18</f>
        <v>506.92505836220914</v>
      </c>
      <c r="U18" s="406">
        <f>[15]xdecarb_CZ!$B$9*E18</f>
        <v>2372.9384042783845</v>
      </c>
      <c r="V18" s="406">
        <f>[15]xdecarb_CZ!$B$9*F18</f>
        <v>24223.501805769869</v>
      </c>
      <c r="W18" s="406">
        <f>[15]xdecarb_CZ!$B$9*G18</f>
        <v>36397.05268417819</v>
      </c>
      <c r="X18" s="406">
        <f>[15]xdecarb_CZ!$B$9*H18</f>
        <v>41322.695133759371</v>
      </c>
      <c r="Y18" s="406">
        <f>[15]xdecarb_CZ!$B$9*I18</f>
        <v>42213.724936325896</v>
      </c>
      <c r="Z18" s="406">
        <f>[15]xdecarb_CZ!$B$9*J18</f>
        <v>43114.259056786454</v>
      </c>
      <c r="AA18" s="411">
        <f>[15]xdecarb_CZ!$B$9*K18</f>
        <v>44024.297495141065</v>
      </c>
      <c r="AB18" s="175"/>
      <c r="AC18" s="175"/>
      <c r="AD18" s="175"/>
      <c r="AE18" s="175"/>
      <c r="AF18" s="175"/>
      <c r="AG18" s="175"/>
      <c r="AH18" s="175"/>
      <c r="AI18" s="175"/>
      <c r="AJ18" s="176"/>
      <c r="AK18" s="176"/>
      <c r="AL18" s="176"/>
      <c r="AM18" s="176"/>
      <c r="AN18" s="176"/>
      <c r="AO18" s="176"/>
      <c r="AP18" s="176"/>
      <c r="AQ18" s="176"/>
    </row>
    <row r="19" spans="1:43" x14ac:dyDescent="0.25">
      <c r="A19" s="391" t="s">
        <v>616</v>
      </c>
      <c r="B19" s="15" t="s">
        <v>2</v>
      </c>
      <c r="C19" s="15" t="s">
        <v>3</v>
      </c>
      <c r="D19" s="419">
        <f>scen_pct_electro_hydro!T34</f>
        <v>0.50086203722103262</v>
      </c>
      <c r="E19" s="419">
        <f>scen_pct_electro_hydro!U34</f>
        <v>0.39604275038087633</v>
      </c>
      <c r="F19" s="419">
        <f>scen_pct_electro_hydro!V34</f>
        <v>0.24130781218094849</v>
      </c>
      <c r="G19" s="419">
        <f>scen_pct_electro_hydro!W34</f>
        <v>0.16010563240856479</v>
      </c>
      <c r="H19" s="419">
        <f>scen_pct_electro_hydro!X34</f>
        <v>0.14348929523913775</v>
      </c>
      <c r="I19" s="419">
        <f>scen_pct_electro_hydro!Y34</f>
        <v>2.1667935750453917E-2</v>
      </c>
      <c r="J19" s="419">
        <f>scen_pct_electro_hydro!Z34</f>
        <v>0</v>
      </c>
      <c r="K19" s="419">
        <f>scen_pct_electro_hydro!AA34</f>
        <v>0</v>
      </c>
      <c r="L19" s="403">
        <f>D19/SUM(D$19:D$31)</f>
        <v>0.50086203722103262</v>
      </c>
      <c r="M19" s="403">
        <f t="shared" ref="M19:S31" si="12">E19/SUM(E$19:E$31)</f>
        <v>0.43147706263294644</v>
      </c>
      <c r="N19" s="403">
        <f t="shared" si="12"/>
        <v>0.26091559562950511</v>
      </c>
      <c r="O19" s="403">
        <f t="shared" si="12"/>
        <v>0.16476007787754116</v>
      </c>
      <c r="P19" s="403">
        <f t="shared" si="12"/>
        <v>0.13178620694225179</v>
      </c>
      <c r="Q19" s="403">
        <f t="shared" si="12"/>
        <v>1.8269138377851043E-2</v>
      </c>
      <c r="R19" s="403">
        <f t="shared" si="12"/>
        <v>0</v>
      </c>
      <c r="S19" s="403">
        <f t="shared" si="12"/>
        <v>0</v>
      </c>
      <c r="T19" s="395">
        <f>[15]xdecarb_CZ!B10</f>
        <v>2857.8017298236</v>
      </c>
      <c r="U19" s="395">
        <f t="shared" ref="U19:AA23" si="13">IFERROR($T19*E19/$D19,0)</f>
        <v>2259.7273760300804</v>
      </c>
      <c r="V19" s="395">
        <f t="shared" si="13"/>
        <v>1376.8459811745226</v>
      </c>
      <c r="W19" s="395">
        <f t="shared" si="13"/>
        <v>913.52532084554662</v>
      </c>
      <c r="X19" s="395">
        <f t="shared" si="13"/>
        <v>818.71638429768655</v>
      </c>
      <c r="Y19" s="395">
        <f t="shared" si="13"/>
        <v>123.6321774613297</v>
      </c>
      <c r="Z19" s="395">
        <f t="shared" si="13"/>
        <v>0</v>
      </c>
      <c r="AA19" s="396">
        <f t="shared" si="13"/>
        <v>0</v>
      </c>
      <c r="AB19" s="177">
        <f>scen_input_bau!D50</f>
        <v>9656.4015500000005</v>
      </c>
      <c r="AC19" s="177">
        <f>scen_input_bau!E50</f>
        <v>10043.422550000003</v>
      </c>
      <c r="AD19" s="177">
        <f>scen_input_bau!F50</f>
        <v>9970.7425500000008</v>
      </c>
      <c r="AE19" s="177">
        <f>scen_input_bau!G50</f>
        <v>9354.0625500000006</v>
      </c>
      <c r="AF19" s="177">
        <f>scen_input_bau!H50</f>
        <v>5533.9675500000003</v>
      </c>
      <c r="AG19" s="177">
        <f>scen_input_bau!I50</f>
        <v>2803.0445500000001</v>
      </c>
      <c r="AH19" s="177">
        <f>scen_input_bau!J50</f>
        <v>1892.0527500000001</v>
      </c>
      <c r="AI19" s="177">
        <f>scen_input_bau!K50</f>
        <v>1788.8687500000001</v>
      </c>
      <c r="AJ19" s="177">
        <f>el_capacity!T2+AB19/lifespan!C2</f>
        <v>241.41003875000001</v>
      </c>
      <c r="AK19" s="177">
        <f>MAX((AC19-AB19),0)/5+AC19/lifespan!D2/5</f>
        <v>127.6213127500005</v>
      </c>
      <c r="AL19" s="177">
        <f>MAX((AD19-AC19),0)/5+AD19/lifespan!E2/5</f>
        <v>49.853712750000007</v>
      </c>
      <c r="AM19" s="177">
        <f>MAX((AE19-AD19),0)/5+AE19/lifespan!F2/5</f>
        <v>46.770312750000002</v>
      </c>
      <c r="AN19" s="177">
        <f>MAX((AF19-AE19),0)/5+AF19/lifespan!G2/5</f>
        <v>27.669837749999999</v>
      </c>
      <c r="AO19" s="177">
        <f>MAX((AG19-AF19),0)/5+AG19/lifespan!H2/5</f>
        <v>14.015222750000001</v>
      </c>
      <c r="AP19" s="177">
        <f>MAX((AH19-AG19),0)/5+AH19/lifespan!I2/5</f>
        <v>9.4602637499999993</v>
      </c>
      <c r="AQ19" s="177">
        <f>MAX((AI19-AH19),0)/5+AI19/lifespan!J2/5</f>
        <v>8.9443437499999998</v>
      </c>
    </row>
    <row r="20" spans="1:43" x14ac:dyDescent="0.25">
      <c r="A20" s="391" t="s">
        <v>616</v>
      </c>
      <c r="B20" s="15" t="s">
        <v>4</v>
      </c>
      <c r="C20" s="15" t="s">
        <v>5</v>
      </c>
      <c r="D20" s="420">
        <f>scen_pct_electro_hydro!T35</f>
        <v>5.3882907337272308E-2</v>
      </c>
      <c r="E20" s="420">
        <f>scen_pct_electro_hydro!U35</f>
        <v>3.5856531065000981E-2</v>
      </c>
      <c r="F20" s="420">
        <f>scen_pct_electro_hydro!V35</f>
        <v>4.2860125354729973E-2</v>
      </c>
      <c r="G20" s="420">
        <f>scen_pct_electro_hydro!W35</f>
        <v>8.9061218568554243E-2</v>
      </c>
      <c r="H20" s="420">
        <f>scen_pct_electro_hydro!X35</f>
        <v>0.18136571543727836</v>
      </c>
      <c r="I20" s="420">
        <f>scen_pct_electro_hydro!Y35</f>
        <v>0.24891236295559685</v>
      </c>
      <c r="J20" s="420">
        <f>scen_pct_electro_hydro!Z35</f>
        <v>0.26963535513575576</v>
      </c>
      <c r="K20" s="420">
        <f>scen_pct_electro_hydro!AA35</f>
        <v>0.33444648281219286</v>
      </c>
      <c r="L20" s="404">
        <f t="shared" ref="L20:L31" si="14">D20/SUM(D$19:D$31)</f>
        <v>5.3882907337272308E-2</v>
      </c>
      <c r="M20" s="404">
        <f t="shared" si="12"/>
        <v>3.9064648160469589E-2</v>
      </c>
      <c r="N20" s="404">
        <f t="shared" si="12"/>
        <v>4.6342781174854665E-2</v>
      </c>
      <c r="O20" s="404">
        <f t="shared" si="12"/>
        <v>9.1650325391293017E-2</v>
      </c>
      <c r="P20" s="404">
        <f t="shared" si="12"/>
        <v>0.16657339954881464</v>
      </c>
      <c r="Q20" s="404">
        <f t="shared" si="12"/>
        <v>0.20986837210362413</v>
      </c>
      <c r="R20" s="404">
        <f t="shared" si="12"/>
        <v>0.21372955553311804</v>
      </c>
      <c r="S20" s="404">
        <f t="shared" si="12"/>
        <v>0.25808762246087802</v>
      </c>
      <c r="T20" s="119">
        <f>[15]xdecarb_CZ!B11</f>
        <v>102.987242586044</v>
      </c>
      <c r="U20" s="119">
        <f t="shared" si="13"/>
        <v>68.533147997581978</v>
      </c>
      <c r="V20" s="119">
        <f t="shared" si="13"/>
        <v>81.919227178050079</v>
      </c>
      <c r="W20" s="119">
        <f t="shared" si="13"/>
        <v>170.22409841986641</v>
      </c>
      <c r="X20" s="119">
        <f t="shared" si="13"/>
        <v>346.64712532335977</v>
      </c>
      <c r="Y20" s="119">
        <f t="shared" si="13"/>
        <v>475.75008798089078</v>
      </c>
      <c r="Z20" s="119">
        <f t="shared" si="13"/>
        <v>515.35826668231039</v>
      </c>
      <c r="AA20" s="397">
        <f t="shared" si="13"/>
        <v>639.23278753006014</v>
      </c>
      <c r="AB20" s="177">
        <f>scen_input_bau!D51</f>
        <v>929.36387122515339</v>
      </c>
      <c r="AC20" s="177">
        <f>scen_input_bau!E51</f>
        <v>590.43262792372616</v>
      </c>
      <c r="AD20" s="177">
        <f>scen_input_bau!F51</f>
        <v>807.06856322273904</v>
      </c>
      <c r="AE20" s="177">
        <f>scen_input_bau!G51</f>
        <v>475.63079690764778</v>
      </c>
      <c r="AF20" s="177">
        <f>scen_input_bau!H51</f>
        <v>1231.6816818122829</v>
      </c>
      <c r="AG20" s="177">
        <f>scen_input_bau!I51</f>
        <v>1837.6945512113639</v>
      </c>
      <c r="AH20" s="177">
        <f>scen_input_bau!J51</f>
        <v>2571.3754267239383</v>
      </c>
      <c r="AI20" s="177">
        <f>scen_input_bau!K51</f>
        <v>3422.8673719977669</v>
      </c>
      <c r="AJ20" s="177">
        <f>el_capacity!T3+AB20/lifespan!C3</f>
        <v>560.97879570750513</v>
      </c>
      <c r="AK20" s="177">
        <f>MAX((AC20-AB20),0)/5+AC20/lifespan!D3/5</f>
        <v>3.9362175194915077</v>
      </c>
      <c r="AL20" s="177">
        <f>MAX((AD20-AC20),0)/5+AD20/lifespan!E3/5</f>
        <v>48.70764414795417</v>
      </c>
      <c r="AM20" s="177">
        <f>MAX((AE20-AD20),0)/5+AE20/lifespan!F3/5</f>
        <v>3.1708719793843185</v>
      </c>
      <c r="AN20" s="177">
        <f>MAX((AF20-AE20),0)/5+AF20/lifespan!G3/5</f>
        <v>159.42138819300891</v>
      </c>
      <c r="AO20" s="177">
        <f>MAX((AG20-AF20),0)/5+AG20/lifespan!H3/5</f>
        <v>133.45387088789195</v>
      </c>
      <c r="AP20" s="177">
        <f>MAX((AH20-AG20),0)/5+AH20/lifespan!I3/5</f>
        <v>163.87867794734115</v>
      </c>
      <c r="AQ20" s="177">
        <f>MAX((AI20-AH20),0)/5+AI20/lifespan!J3/5</f>
        <v>193.11750486808415</v>
      </c>
    </row>
    <row r="21" spans="1:43" x14ac:dyDescent="0.25">
      <c r="A21" s="391" t="s">
        <v>616</v>
      </c>
      <c r="B21" s="15" t="s">
        <v>6</v>
      </c>
      <c r="C21" s="15" t="s">
        <v>7</v>
      </c>
      <c r="D21" s="420">
        <f>scen_pct_electro_hydro!T36</f>
        <v>0.33383772064129019</v>
      </c>
      <c r="E21" s="420">
        <f>scen_pct_electro_hydro!U36</f>
        <v>0.3747419059676117</v>
      </c>
      <c r="F21" s="420">
        <f>scen_pct_electro_hydro!V36</f>
        <v>0.39322269477726207</v>
      </c>
      <c r="G21" s="420">
        <f>scen_pct_electro_hydro!W36</f>
        <v>0.38967129397377814</v>
      </c>
      <c r="H21" s="420">
        <f>scen_pct_electro_hydro!X36</f>
        <v>0.38657308473170154</v>
      </c>
      <c r="I21" s="420">
        <f>scen_pct_electro_hydro!Y36</f>
        <v>0.47827924701921687</v>
      </c>
      <c r="J21" s="420">
        <f>scen_pct_electro_hydro!Z36</f>
        <v>0.473700908154918</v>
      </c>
      <c r="K21" s="420">
        <f>scen_pct_electro_hydro!AA36</f>
        <v>0.40638185583919501</v>
      </c>
      <c r="L21" s="404">
        <f t="shared" si="14"/>
        <v>0.33383772064129019</v>
      </c>
      <c r="M21" s="404">
        <f t="shared" si="12"/>
        <v>0.40827041191102825</v>
      </c>
      <c r="N21" s="404">
        <f t="shared" si="12"/>
        <v>0.42517452168483355</v>
      </c>
      <c r="O21" s="404">
        <f t="shared" si="12"/>
        <v>0.40099946376606949</v>
      </c>
      <c r="P21" s="404">
        <f t="shared" si="12"/>
        <v>0.35504391082172543</v>
      </c>
      <c r="Q21" s="404">
        <f t="shared" si="12"/>
        <v>0.40325713753629849</v>
      </c>
      <c r="R21" s="404">
        <f t="shared" si="12"/>
        <v>0.37548445568130639</v>
      </c>
      <c r="S21" s="404">
        <f t="shared" si="12"/>
        <v>0.31359913282052143</v>
      </c>
      <c r="T21" s="119">
        <f>[15]xdecarb_CZ!B12</f>
        <v>1705.85788789408</v>
      </c>
      <c r="U21" s="119">
        <f t="shared" si="13"/>
        <v>1914.8717975647676</v>
      </c>
      <c r="V21" s="119">
        <f t="shared" si="13"/>
        <v>2009.3057018727864</v>
      </c>
      <c r="W21" s="119">
        <f t="shared" si="13"/>
        <v>1991.1586061459798</v>
      </c>
      <c r="X21" s="119">
        <f t="shared" si="13"/>
        <v>1975.3272475332076</v>
      </c>
      <c r="Y21" s="119">
        <f t="shared" si="13"/>
        <v>2443.9312147725641</v>
      </c>
      <c r="Z21" s="119">
        <f t="shared" si="13"/>
        <v>2420.5366281748798</v>
      </c>
      <c r="AA21" s="397">
        <f t="shared" si="13"/>
        <v>2076.5469310917188</v>
      </c>
      <c r="AB21" s="177">
        <f>scen_input_bau!D52</f>
        <v>4006.08</v>
      </c>
      <c r="AC21" s="177">
        <f>scen_input_bau!E52</f>
        <v>4006.08</v>
      </c>
      <c r="AD21" s="177">
        <f>scen_input_bau!F52</f>
        <v>4006.08</v>
      </c>
      <c r="AE21" s="177">
        <f>scen_input_bau!G52</f>
        <v>4006.08</v>
      </c>
      <c r="AF21" s="177">
        <f>scen_input_bau!H52</f>
        <v>4006.08</v>
      </c>
      <c r="AG21" s="177">
        <f>scen_input_bau!I52</f>
        <v>5206.08</v>
      </c>
      <c r="AH21" s="177">
        <f>scen_input_bau!J52</f>
        <v>5206.08</v>
      </c>
      <c r="AI21" s="177">
        <f>scen_input_bau!K52</f>
        <v>4447.68</v>
      </c>
      <c r="AJ21" s="177">
        <f>el_capacity!T4+AB21/lifespan!C4</f>
        <v>66.768000000000001</v>
      </c>
      <c r="AK21" s="177">
        <f>MAX((AC21-AB21),0)/5+AC21/lifespan!D4/5</f>
        <v>13.3536</v>
      </c>
      <c r="AL21" s="177">
        <f>MAX((AD21-AC21),0)/5+AD21/lifespan!E4/5</f>
        <v>13.3536</v>
      </c>
      <c r="AM21" s="177">
        <f>MAX((AE21-AD21),0)/5+AE21/lifespan!F4/5</f>
        <v>13.3536</v>
      </c>
      <c r="AN21" s="177">
        <f>MAX((AF21-AE21),0)/5+AF21/lifespan!G4/5</f>
        <v>13.3536</v>
      </c>
      <c r="AO21" s="177">
        <f>MAX((AG21-AF21),0)/5+AG21/lifespan!H4/5</f>
        <v>257.35360000000003</v>
      </c>
      <c r="AP21" s="177">
        <f>MAX((AH21-AG21),0)/5+AH21/lifespan!I4/5</f>
        <v>17.3536</v>
      </c>
      <c r="AQ21" s="177">
        <f>MAX((AI21-AH21),0)/5+AI21/lifespan!J4/5</f>
        <v>14.8256</v>
      </c>
    </row>
    <row r="22" spans="1:43" x14ac:dyDescent="0.25">
      <c r="A22" s="391" t="s">
        <v>616</v>
      </c>
      <c r="B22" s="15" t="s">
        <v>8</v>
      </c>
      <c r="C22" s="15" t="s">
        <v>9</v>
      </c>
      <c r="D22" s="420">
        <f>scen_pct_electro_hydro!T37</f>
        <v>2.2398987911322985E-2</v>
      </c>
      <c r="E22" s="420">
        <f>scen_pct_electro_hydro!U37</f>
        <v>3.1517166035199606E-2</v>
      </c>
      <c r="F22" s="420">
        <f>scen_pct_electro_hydro!V37</f>
        <v>2.9355744732952816E-2</v>
      </c>
      <c r="G22" s="420">
        <f>scen_pct_electro_hydro!W37</f>
        <v>3.0178490472202953E-2</v>
      </c>
      <c r="H22" s="420">
        <f>scen_pct_electro_hydro!X37</f>
        <v>3.0231777275776903E-2</v>
      </c>
      <c r="I22" s="420">
        <f>scen_pct_electro_hydro!Y37</f>
        <v>3.0827928901308525E-2</v>
      </c>
      <c r="J22" s="420">
        <f>scen_pct_electro_hydro!Z37</f>
        <v>3.0938668395874006E-2</v>
      </c>
      <c r="K22" s="420">
        <f>scen_pct_electro_hydro!AA37</f>
        <v>3.0932827987772287E-2</v>
      </c>
      <c r="L22" s="404">
        <f t="shared" si="14"/>
        <v>2.2398987911322985E-2</v>
      </c>
      <c r="M22" s="404">
        <f t="shared" si="12"/>
        <v>3.4337036116188539E-2</v>
      </c>
      <c r="N22" s="404">
        <f t="shared" si="12"/>
        <v>3.1741084355787826E-2</v>
      </c>
      <c r="O22" s="404">
        <f t="shared" si="12"/>
        <v>3.1055812126199789E-2</v>
      </c>
      <c r="P22" s="404">
        <f t="shared" si="12"/>
        <v>2.7766052161993609E-2</v>
      </c>
      <c r="Q22" s="404">
        <f t="shared" si="12"/>
        <v>2.5992309811457726E-2</v>
      </c>
      <c r="R22" s="404">
        <f t="shared" si="12"/>
        <v>2.452389020611714E-2</v>
      </c>
      <c r="S22" s="404">
        <f t="shared" si="12"/>
        <v>2.3870426037156119E-2</v>
      </c>
      <c r="T22" s="119">
        <f>[15]xdecarb_CZ!B13</f>
        <v>108.06680701051999</v>
      </c>
      <c r="U22" s="119">
        <f t="shared" si="13"/>
        <v>152.05863376187071</v>
      </c>
      <c r="V22" s="119">
        <f t="shared" si="13"/>
        <v>141.63057783081442</v>
      </c>
      <c r="W22" s="119">
        <f t="shared" si="13"/>
        <v>145.60002079735693</v>
      </c>
      <c r="X22" s="119">
        <f t="shared" si="13"/>
        <v>145.85710985606045</v>
      </c>
      <c r="Y22" s="119">
        <f t="shared" si="13"/>
        <v>148.73332028665612</v>
      </c>
      <c r="Z22" s="119">
        <f t="shared" si="13"/>
        <v>149.26759726537625</v>
      </c>
      <c r="AA22" s="397">
        <f t="shared" si="13"/>
        <v>149.23941946298223</v>
      </c>
      <c r="AB22" s="177">
        <f>scen_input_bau!D53</f>
        <v>1088.0000000000002</v>
      </c>
      <c r="AC22" s="177">
        <f>scen_input_bau!E53</f>
        <v>1090</v>
      </c>
      <c r="AD22" s="177">
        <f>scen_input_bau!F53</f>
        <v>1105.0879081016769</v>
      </c>
      <c r="AE22" s="177">
        <f>scen_input_bau!G53</f>
        <v>1116.3626101561376</v>
      </c>
      <c r="AF22" s="177">
        <f>scen_input_bau!H53</f>
        <v>1116.3626101561376</v>
      </c>
      <c r="AG22" s="177">
        <f>scen_input_bau!I53</f>
        <v>1126.8289114720083</v>
      </c>
      <c r="AH22" s="177">
        <f>scen_input_bau!J53</f>
        <v>1130.7872351795957</v>
      </c>
      <c r="AI22" s="177">
        <f>scen_input_bau!K53</f>
        <v>1131.3137251686019</v>
      </c>
      <c r="AJ22" s="177">
        <f>el_capacity!T5+AB22/lifespan!C5</f>
        <v>26.133333333333336</v>
      </c>
      <c r="AK22" s="177">
        <f>MAX((AC22-AB22),0)/5+AC22/lifespan!D5/5</f>
        <v>4.0333333333332879</v>
      </c>
      <c r="AL22" s="177">
        <f>MAX((AD22-AC22),0)/5+AD22/lifespan!E5/5</f>
        <v>6.7012079806743099</v>
      </c>
      <c r="AM22" s="177">
        <f>MAX((AE22-AD22),0)/5+AE22/lifespan!F5/5</f>
        <v>5.9761491114125995</v>
      </c>
      <c r="AN22" s="177">
        <f>MAX((AF22-AE22),0)/5+AF22/lifespan!G5/5</f>
        <v>3.7212087005204588</v>
      </c>
      <c r="AO22" s="177">
        <f>MAX((AG22-AF22),0)/5+AG22/lifespan!H5/5</f>
        <v>5.849356634747485</v>
      </c>
      <c r="AP22" s="177">
        <f>MAX((AH22-AG22),0)/5+AH22/lifespan!I5/5</f>
        <v>4.5609555254494651</v>
      </c>
      <c r="AQ22" s="177">
        <f>MAX((AI22-AH22),0)/5+AI22/lifespan!J5/5</f>
        <v>3.8763437483632508</v>
      </c>
    </row>
    <row r="23" spans="1:43" x14ac:dyDescent="0.25">
      <c r="A23" s="391" t="s">
        <v>616</v>
      </c>
      <c r="B23" s="15" t="s">
        <v>342</v>
      </c>
      <c r="C23" s="15" t="s">
        <v>336</v>
      </c>
      <c r="D23" s="420">
        <f>scen_pct_electro_hydro!T38</f>
        <v>7.0191001782551254E-3</v>
      </c>
      <c r="E23" s="420">
        <f>scen_pct_electro_hydro!U38</f>
        <v>9.8942468179843267E-3</v>
      </c>
      <c r="F23" s="420">
        <f>scen_pct_electro_hydro!V38</f>
        <v>0.14022981784491256</v>
      </c>
      <c r="G23" s="420">
        <f>scen_pct_electro_hydro!W38</f>
        <v>0.19965832815341286</v>
      </c>
      <c r="H23" s="420">
        <f>scen_pct_electro_hydro!X38</f>
        <v>0.23254047972988257</v>
      </c>
      <c r="I23" s="420">
        <f>scen_pct_electro_hydro!Y38</f>
        <v>0.25211557789937916</v>
      </c>
      <c r="J23" s="420">
        <f>scen_pct_electro_hydro!Z38</f>
        <v>0.2638869691211419</v>
      </c>
      <c r="K23" s="420">
        <f>scen_pct_electro_hydro!AA38</f>
        <v>0.26982653949516944</v>
      </c>
      <c r="L23" s="404">
        <f t="shared" si="14"/>
        <v>7.0191001782551254E-3</v>
      </c>
      <c r="M23" s="404">
        <f t="shared" si="12"/>
        <v>1.0779494258848572E-2</v>
      </c>
      <c r="N23" s="404">
        <f t="shared" si="12"/>
        <v>0.15162437600895476</v>
      </c>
      <c r="O23" s="404">
        <f t="shared" si="12"/>
        <v>0.20546261365441024</v>
      </c>
      <c r="P23" s="404">
        <f t="shared" si="12"/>
        <v>0.21357431391003162</v>
      </c>
      <c r="Q23" s="404">
        <f t="shared" si="12"/>
        <v>0.21256913592976448</v>
      </c>
      <c r="R23" s="404">
        <f t="shared" si="12"/>
        <v>0.209173031455192</v>
      </c>
      <c r="S23" s="404">
        <f t="shared" si="12"/>
        <v>0.2082213257846097</v>
      </c>
      <c r="T23" s="119">
        <f>[15]xdecarb_CZ!B14</f>
        <v>21.322554890018601</v>
      </c>
      <c r="U23" s="119">
        <f t="shared" si="13"/>
        <v>30.056647649144647</v>
      </c>
      <c r="V23" s="119">
        <f t="shared" si="13"/>
        <v>425.98878948594165</v>
      </c>
      <c r="W23" s="119">
        <f t="shared" si="13"/>
        <v>606.52014548662464</v>
      </c>
      <c r="X23" s="119">
        <f t="shared" si="13"/>
        <v>706.40922871459497</v>
      </c>
      <c r="Y23" s="119">
        <f t="shared" si="13"/>
        <v>765.87427332097525</v>
      </c>
      <c r="Z23" s="119">
        <f t="shared" si="13"/>
        <v>801.63329215297529</v>
      </c>
      <c r="AA23" s="397">
        <f t="shared" si="13"/>
        <v>819.67646180535849</v>
      </c>
      <c r="AB23" s="177">
        <f>scen_input_bau!D54</f>
        <v>281.05</v>
      </c>
      <c r="AC23" s="177">
        <f>scen_input_bau!E54</f>
        <v>396.10000000000014</v>
      </c>
      <c r="AD23" s="177">
        <f>scen_input_bau!F54</f>
        <v>1372.1767250444027</v>
      </c>
      <c r="AE23" s="177">
        <f>scen_input_bau!G54</f>
        <v>1629.060259793333</v>
      </c>
      <c r="AF23" s="177">
        <f>scen_input_bau!H54</f>
        <v>2681.6223856387073</v>
      </c>
      <c r="AG23" s="177">
        <f>scen_input_bau!I54</f>
        <v>3309.8098873589252</v>
      </c>
      <c r="AH23" s="177">
        <f>scen_input_bau!J54</f>
        <v>3670.7201120503883</v>
      </c>
      <c r="AI23" s="177">
        <f>scen_input_bau!K54</f>
        <v>3846.4538872799581</v>
      </c>
      <c r="AJ23" s="177">
        <f>el_capacity!T6+AB23/lifespan!C6</f>
        <v>17.052500000000002</v>
      </c>
      <c r="AK23" s="177">
        <f>MAX((AC23-AB23),0)/5+AC23/lifespan!D6/5</f>
        <v>26.610909090909118</v>
      </c>
      <c r="AL23" s="177">
        <f>MAX((AD23-AC23),0)/5+AD23/lifespan!E6/5</f>
        <v>206.89344479649245</v>
      </c>
      <c r="AM23" s="177">
        <f>MAX((AE23-AD23),0)/5+AE23/lifespan!F6/5</f>
        <v>64.409189028132715</v>
      </c>
      <c r="AN23" s="177">
        <f>MAX((AF23-AE23),0)/5+AF23/lifespan!G6/5</f>
        <v>231.96540425418453</v>
      </c>
      <c r="AO23" s="177">
        <f>MAX((AG23-AF23),0)/5+AG23/lifespan!H6/5</f>
        <v>152.11597944291495</v>
      </c>
      <c r="AP23" s="177">
        <f>MAX((AH23-AG23),0)/5+AH23/lifespan!I6/5</f>
        <v>101.54780583469572</v>
      </c>
      <c r="AQ23" s="177">
        <f>MAX((AI23-AH23),0)/5+AI23/lifespan!J6/5</f>
        <v>65.918386144153629</v>
      </c>
    </row>
    <row r="24" spans="1:43" x14ac:dyDescent="0.25">
      <c r="A24" s="391" t="s">
        <v>616</v>
      </c>
      <c r="B24" s="15" t="s">
        <v>343</v>
      </c>
      <c r="C24" s="15" t="s">
        <v>337</v>
      </c>
      <c r="D24" s="420">
        <f>scen_pct_electro_hydro!T39</f>
        <v>0</v>
      </c>
      <c r="E24" s="420">
        <f>scen_pct_electro_hydro!U39</f>
        <v>0</v>
      </c>
      <c r="F24" s="420">
        <f>scen_pct_electro_hydro!V39</f>
        <v>0</v>
      </c>
      <c r="G24" s="420">
        <f>scen_pct_electro_hydro!W39</f>
        <v>0</v>
      </c>
      <c r="H24" s="420">
        <f>scen_pct_electro_hydro!X39</f>
        <v>0</v>
      </c>
      <c r="I24" s="420">
        <f>scen_pct_electro_hydro!Y39</f>
        <v>0</v>
      </c>
      <c r="J24" s="420">
        <f>scen_pct_electro_hydro!Z39</f>
        <v>0</v>
      </c>
      <c r="K24" s="420">
        <f>scen_pct_electro_hydro!AA39</f>
        <v>0</v>
      </c>
      <c r="L24" s="404">
        <f t="shared" si="14"/>
        <v>0</v>
      </c>
      <c r="M24" s="404">
        <f t="shared" si="12"/>
        <v>0</v>
      </c>
      <c r="N24" s="404">
        <f t="shared" si="12"/>
        <v>0</v>
      </c>
      <c r="O24" s="404">
        <f t="shared" si="12"/>
        <v>0</v>
      </c>
      <c r="P24" s="404">
        <f t="shared" si="12"/>
        <v>0</v>
      </c>
      <c r="Q24" s="404">
        <f t="shared" si="12"/>
        <v>0</v>
      </c>
      <c r="R24" s="404">
        <f t="shared" si="12"/>
        <v>0</v>
      </c>
      <c r="S24" s="404">
        <f t="shared" si="12"/>
        <v>0</v>
      </c>
      <c r="T24" s="119">
        <f>[15]xdecarb_CZ!B15</f>
        <v>0</v>
      </c>
      <c r="U24" s="174">
        <f>IFERROR([16]x2015el_repl!$A20*E24/el_replacements!$D2,0)</f>
        <v>0</v>
      </c>
      <c r="V24" s="174">
        <f>IFERROR([16]x2015el_repl!$A20*F24/el_replacements!$D2,0)</f>
        <v>0</v>
      </c>
      <c r="W24" s="174">
        <f>IFERROR([16]x2015el_repl!$A20*G24/el_replacements!$D2,0)</f>
        <v>0</v>
      </c>
      <c r="X24" s="174">
        <f>IFERROR([16]x2015el_repl!$A20*H24/el_replacements!$D2,0)</f>
        <v>0</v>
      </c>
      <c r="Y24" s="174">
        <f>IFERROR([16]x2015el_repl!$A20*I24/el_replacements!$D2,0)</f>
        <v>0</v>
      </c>
      <c r="Z24" s="174">
        <f>IFERROR([16]x2015el_repl!$A20*J24/el_replacements!$D2,0)</f>
        <v>0</v>
      </c>
      <c r="AA24" s="398">
        <f>IFERROR([16]x2015el_repl!$A20*K24/el_replacements!$D2,0)</f>
        <v>0</v>
      </c>
      <c r="AB24" s="177">
        <f>scen_input_bau!D55</f>
        <v>0</v>
      </c>
      <c r="AC24" s="177">
        <f>scen_input_bau!E55</f>
        <v>0</v>
      </c>
      <c r="AD24" s="177">
        <f>scen_input_bau!F55</f>
        <v>0</v>
      </c>
      <c r="AE24" s="177">
        <f>scen_input_bau!G55</f>
        <v>0</v>
      </c>
      <c r="AF24" s="177">
        <f>scen_input_bau!H55</f>
        <v>0</v>
      </c>
      <c r="AG24" s="177">
        <f>scen_input_bau!I55</f>
        <v>0</v>
      </c>
      <c r="AH24" s="177">
        <f>scen_input_bau!J55</f>
        <v>0</v>
      </c>
      <c r="AI24" s="177">
        <f>scen_input_bau!K55</f>
        <v>0</v>
      </c>
      <c r="AJ24" s="177">
        <f>el_capacity!T7+AB24/lifespan!C7</f>
        <v>0</v>
      </c>
      <c r="AK24" s="177">
        <f>MAX((AC24-AB24),0)/5+AC24/lifespan!D7/5</f>
        <v>0</v>
      </c>
      <c r="AL24" s="177">
        <f>MAX((AD24-AC24),0)/5+AD24/lifespan!E7/5</f>
        <v>0</v>
      </c>
      <c r="AM24" s="177">
        <f>MAX((AE24-AD24),0)/5+AE24/lifespan!F7/5</f>
        <v>0</v>
      </c>
      <c r="AN24" s="177">
        <f>MAX((AF24-AE24),0)/5+AF24/lifespan!G7/5</f>
        <v>0</v>
      </c>
      <c r="AO24" s="177">
        <f>MAX((AG24-AF24),0)/5+AG24/lifespan!H7/5</f>
        <v>0</v>
      </c>
      <c r="AP24" s="177">
        <f>MAX((AH24-AG24),0)/5+AH24/lifespan!I7/5</f>
        <v>0</v>
      </c>
      <c r="AQ24" s="177">
        <f>MAX((AI24-AH24),0)/5+AI24/lifespan!J7/5</f>
        <v>0</v>
      </c>
    </row>
    <row r="25" spans="1:43" x14ac:dyDescent="0.25">
      <c r="A25" s="391" t="s">
        <v>616</v>
      </c>
      <c r="B25" s="399" t="s">
        <v>10</v>
      </c>
      <c r="C25" s="399" t="s">
        <v>11</v>
      </c>
      <c r="D25" s="420">
        <f>scen_pct_electro_hydro!T40</f>
        <v>2.3135979454853373E-3</v>
      </c>
      <c r="E25" s="420">
        <f>scen_pct_electro_hydro!U40</f>
        <v>1.6346179395416048E-3</v>
      </c>
      <c r="F25" s="420">
        <f>scen_pct_electro_hydro!V40</f>
        <v>1.5307255926064179E-3</v>
      </c>
      <c r="G25" s="420">
        <f>scen_pct_electro_hydro!W40</f>
        <v>1.5315972630096915E-3</v>
      </c>
      <c r="H25" s="420">
        <f>scen_pct_electro_hydro!X40</f>
        <v>1.2535478234338335E-3</v>
      </c>
      <c r="I25" s="420">
        <f>scen_pct_electro_hydro!Y40</f>
        <v>1.2236357885644304E-3</v>
      </c>
      <c r="J25" s="420">
        <f>scen_pct_electro_hydro!Z40</f>
        <v>7.8309730825145275E-4</v>
      </c>
      <c r="K25" s="420">
        <f>scen_pct_electro_hydro!AA40</f>
        <v>2.0081996641303085E-4</v>
      </c>
      <c r="L25" s="404">
        <f t="shared" si="14"/>
        <v>2.3135979454853373E-3</v>
      </c>
      <c r="M25" s="404">
        <f t="shared" si="12"/>
        <v>1.7808687228897389E-3</v>
      </c>
      <c r="N25" s="404">
        <f t="shared" si="12"/>
        <v>1.6551067125864191E-3</v>
      </c>
      <c r="O25" s="404">
        <f t="shared" si="12"/>
        <v>1.5761224669882787E-3</v>
      </c>
      <c r="P25" s="404">
        <f t="shared" si="12"/>
        <v>1.1513075773056059E-3</v>
      </c>
      <c r="Q25" s="404">
        <f t="shared" si="12"/>
        <v>1.0316982569466109E-3</v>
      </c>
      <c r="R25" s="404">
        <f t="shared" si="12"/>
        <v>6.2073105935049329E-4</v>
      </c>
      <c r="S25" s="404">
        <f t="shared" si="12"/>
        <v>1.5496992893573638E-4</v>
      </c>
      <c r="T25" s="119">
        <f>[15]xdecarb_CZ!B16</f>
        <v>8.0865215949541902</v>
      </c>
      <c r="U25" s="119">
        <f t="shared" ref="U25:AA28" si="15">IFERROR($T25*E25/$D25,0)</f>
        <v>5.7133406836725955</v>
      </c>
      <c r="V25" s="119">
        <f t="shared" si="15"/>
        <v>5.3502146233814143</v>
      </c>
      <c r="W25" s="119">
        <f t="shared" si="15"/>
        <v>5.3532612986058234</v>
      </c>
      <c r="X25" s="119">
        <f t="shared" si="15"/>
        <v>4.3814188045447331</v>
      </c>
      <c r="Y25" s="119">
        <f t="shared" si="15"/>
        <v>4.2768698199675059</v>
      </c>
      <c r="Z25" s="119">
        <f t="shared" si="15"/>
        <v>2.7370932389021712</v>
      </c>
      <c r="AA25" s="397">
        <f t="shared" si="15"/>
        <v>0.70190890265347572</v>
      </c>
      <c r="AB25" s="177">
        <f>scen_input_bau!D56</f>
        <v>133.93011999999999</v>
      </c>
      <c r="AC25" s="177">
        <f>scen_input_bau!E56</f>
        <v>71.85011999999999</v>
      </c>
      <c r="AD25" s="177">
        <f>scen_input_bau!F56</f>
        <v>63.702119999999987</v>
      </c>
      <c r="AE25" s="177">
        <f>scen_input_bau!G56</f>
        <v>63.702119999999987</v>
      </c>
      <c r="AF25" s="177">
        <f>scen_input_bau!H56</f>
        <v>44.702120000000001</v>
      </c>
      <c r="AG25" s="177">
        <f>scen_input_bau!I56</f>
        <v>41.204299999999996</v>
      </c>
      <c r="AH25" s="177">
        <f>scen_input_bau!J56</f>
        <v>41.204299999999996</v>
      </c>
      <c r="AI25" s="177">
        <f>scen_input_bau!K56</f>
        <v>24.104299999999999</v>
      </c>
      <c r="AJ25" s="177">
        <f>el_capacity!T8+AB25/lifespan!C8</f>
        <v>3.8265748571428566</v>
      </c>
      <c r="AK25" s="177">
        <f>MAX((AC25-AB25),0)/5+AC25/lifespan!D8/5</f>
        <v>0.41057211428571422</v>
      </c>
      <c r="AL25" s="177">
        <f>MAX((AD25-AC25),0)/5+AD25/lifespan!E8/5</f>
        <v>0.36401211428571423</v>
      </c>
      <c r="AM25" s="177">
        <f>MAX((AE25-AD25),0)/5+AE25/lifespan!F8/5</f>
        <v>0.36401211428571423</v>
      </c>
      <c r="AN25" s="177">
        <f>MAX((AF25-AE25),0)/5+AF25/lifespan!G8/5</f>
        <v>0.25544068571428574</v>
      </c>
      <c r="AO25" s="177">
        <f>MAX((AG25-AF25),0)/5+AG25/lifespan!H8/5</f>
        <v>0.23545314285714283</v>
      </c>
      <c r="AP25" s="177">
        <f>MAX((AH25-AG25),0)/5+AH25/lifespan!I8/5</f>
        <v>0.23545314285714283</v>
      </c>
      <c r="AQ25" s="177">
        <f>MAX((AI25-AH25),0)/5+AI25/lifespan!J8/5</f>
        <v>0.13773885714285714</v>
      </c>
    </row>
    <row r="26" spans="1:43" x14ac:dyDescent="0.25">
      <c r="A26" s="391" t="s">
        <v>616</v>
      </c>
      <c r="B26" s="15" t="s">
        <v>12</v>
      </c>
      <c r="C26" s="15" t="s">
        <v>13</v>
      </c>
      <c r="D26" s="420">
        <f>scen_pct_electro_hydro!T41</f>
        <v>5.1504785957370923E-2</v>
      </c>
      <c r="E26" s="420">
        <f>scen_pct_electro_hydro!U41</f>
        <v>4.000863753988157E-2</v>
      </c>
      <c r="F26" s="420">
        <f>scen_pct_electro_hydro!V41</f>
        <v>2.3976505470970182E-2</v>
      </c>
      <c r="G26" s="420">
        <f>scen_pct_electro_hydro!W41</f>
        <v>4.2580916457430985E-2</v>
      </c>
      <c r="H26" s="420">
        <f>scen_pct_electro_hydro!X41</f>
        <v>4.8545279072132345E-2</v>
      </c>
      <c r="I26" s="420">
        <f>scen_pct_electro_hydro!Y41</f>
        <v>7.1119546575377557E-2</v>
      </c>
      <c r="J26" s="420">
        <f>scen_pct_electro_hydro!Z41</f>
        <v>8.1922461484742817E-2</v>
      </c>
      <c r="K26" s="420">
        <f>scen_pct_electro_hydro!AA41</f>
        <v>0.1081911316774274</v>
      </c>
      <c r="L26" s="404">
        <f t="shared" si="14"/>
        <v>5.1504785957370923E-2</v>
      </c>
      <c r="M26" s="404">
        <f t="shared" si="12"/>
        <v>4.3588247453217106E-2</v>
      </c>
      <c r="N26" s="404">
        <f t="shared" si="12"/>
        <v>2.5924747937216507E-2</v>
      </c>
      <c r="O26" s="404">
        <f t="shared" si="12"/>
        <v>4.3818790170483124E-2</v>
      </c>
      <c r="P26" s="404">
        <f t="shared" si="12"/>
        <v>4.4585891813094691E-2</v>
      </c>
      <c r="Q26" s="404">
        <f t="shared" si="12"/>
        <v>5.9963849474141823E-2</v>
      </c>
      <c r="R26" s="404">
        <f t="shared" si="12"/>
        <v>6.4936778311203008E-2</v>
      </c>
      <c r="S26" s="404">
        <f t="shared" si="12"/>
        <v>8.3489566734833806E-2</v>
      </c>
      <c r="T26" s="119">
        <f>[15]xdecarb_CZ!B17</f>
        <v>337.32365507763399</v>
      </c>
      <c r="U26" s="119">
        <f t="shared" si="15"/>
        <v>262.03118018584212</v>
      </c>
      <c r="V26" s="119">
        <f t="shared" si="15"/>
        <v>157.03089161754079</v>
      </c>
      <c r="W26" s="119">
        <f t="shared" si="15"/>
        <v>278.87797432775102</v>
      </c>
      <c r="X26" s="119">
        <f t="shared" si="15"/>
        <v>317.94076354242065</v>
      </c>
      <c r="Y26" s="119">
        <f t="shared" si="15"/>
        <v>465.78788654954303</v>
      </c>
      <c r="Z26" s="119">
        <f t="shared" si="15"/>
        <v>536.54012199686349</v>
      </c>
      <c r="AA26" s="397">
        <f t="shared" si="15"/>
        <v>708.583237577604</v>
      </c>
      <c r="AB26" s="177">
        <f>scen_input_bau!D57</f>
        <v>527.71737877484657</v>
      </c>
      <c r="AC26" s="177">
        <f>scen_input_bau!E57</f>
        <v>645.74488236674006</v>
      </c>
      <c r="AD26" s="177">
        <f>scen_input_bau!F57</f>
        <v>744.9352136228008</v>
      </c>
      <c r="AE26" s="177">
        <f>scen_input_bau!G57</f>
        <v>771.22411156162445</v>
      </c>
      <c r="AF26" s="177">
        <f>scen_input_bau!H57</f>
        <v>896.09943377609989</v>
      </c>
      <c r="AG26" s="177">
        <f>scen_input_bau!I57</f>
        <v>1076.0345635893809</v>
      </c>
      <c r="AH26" s="177">
        <f>scen_input_bau!J57</f>
        <v>1238.7265148613149</v>
      </c>
      <c r="AI26" s="177">
        <f>scen_input_bau!K57</f>
        <v>1543.8614019411211</v>
      </c>
      <c r="AJ26" s="177">
        <f>el_capacity!T9+AB26/lifespan!C9</f>
        <v>48.108695150993867</v>
      </c>
      <c r="AK26" s="177">
        <f>MAX((AC26-AB26),0)/5+AC26/lifespan!D9/5</f>
        <v>28.771459777312621</v>
      </c>
      <c r="AL26" s="177">
        <f>MAX((AD26-AC26),0)/5+AD26/lifespan!E9/5</f>
        <v>25.797547960194553</v>
      </c>
      <c r="AM26" s="177">
        <f>MAX((AE26-AD26),0)/5+AE26/lifespan!F9/5</f>
        <v>11.427572480257727</v>
      </c>
      <c r="AN26" s="177">
        <f>MAX((AF26-AE26),0)/5+AF26/lifespan!G9/5</f>
        <v>32.143859913103881</v>
      </c>
      <c r="AO26" s="177">
        <f>MAX((AG26-AF26),0)/5+AG26/lifespan!H9/5</f>
        <v>44.595302471371255</v>
      </c>
      <c r="AP26" s="177">
        <f>MAX((AH26-AG26),0)/5+AH26/lifespan!I9/5</f>
        <v>42.448202373277297</v>
      </c>
      <c r="AQ26" s="177">
        <f>MAX((AI26-AH26),0)/5+AI26/lifespan!J9/5</f>
        <v>73.37786863149023</v>
      </c>
    </row>
    <row r="27" spans="1:43" x14ac:dyDescent="0.25">
      <c r="A27" s="391" t="s">
        <v>616</v>
      </c>
      <c r="B27" s="15" t="s">
        <v>340</v>
      </c>
      <c r="C27" s="15" t="s">
        <v>338</v>
      </c>
      <c r="D27" s="420">
        <f>scen_pct_electro_hydro!T42</f>
        <v>1.8433470403823538E-2</v>
      </c>
      <c r="E27" s="420">
        <f>scen_pct_electro_hydro!U42</f>
        <v>1.8433470403823538E-2</v>
      </c>
      <c r="F27" s="420">
        <f>scen_pct_electro_hydro!V42</f>
        <v>3.4253719061183706E-2</v>
      </c>
      <c r="G27" s="420">
        <f>scen_pct_electro_hydro!W42</f>
        <v>3.8568262273493886E-2</v>
      </c>
      <c r="H27" s="420">
        <f>scen_pct_electro_hydro!X42</f>
        <v>4.1489125176208994E-2</v>
      </c>
      <c r="I27" s="420">
        <f>scen_pct_electro_hydro!Y42</f>
        <v>4.9608577672457355E-2</v>
      </c>
      <c r="J27" s="420">
        <f>scen_pct_electro_hydro!Z42</f>
        <v>6.3312861407365001E-2</v>
      </c>
      <c r="K27" s="420">
        <f>scen_pct_electro_hydro!AA42</f>
        <v>6.3426685177556424E-2</v>
      </c>
      <c r="L27" s="404">
        <f t="shared" si="14"/>
        <v>1.8433470403823538E-2</v>
      </c>
      <c r="M27" s="404">
        <f t="shared" si="12"/>
        <v>2.0082730100031112E-2</v>
      </c>
      <c r="N27" s="404">
        <f t="shared" si="12"/>
        <v>3.7037050025851136E-2</v>
      </c>
      <c r="O27" s="404">
        <f t="shared" si="12"/>
        <v>3.9689483750119166E-2</v>
      </c>
      <c r="P27" s="404">
        <f t="shared" si="12"/>
        <v>3.8105242814193668E-2</v>
      </c>
      <c r="Q27" s="404">
        <f t="shared" si="12"/>
        <v>4.1827056377878959E-2</v>
      </c>
      <c r="R27" s="404">
        <f t="shared" si="12"/>
        <v>5.0185665456642478E-2</v>
      </c>
      <c r="S27" s="404">
        <f t="shared" si="12"/>
        <v>4.8945476240043043E-2</v>
      </c>
      <c r="T27" s="119">
        <f>[15]xdecarb_CZ!B18</f>
        <v>73.433125828821801</v>
      </c>
      <c r="U27" s="119">
        <f t="shared" si="15"/>
        <v>73.433125828821801</v>
      </c>
      <c r="V27" s="119">
        <f t="shared" si="15"/>
        <v>136.45600132915123</v>
      </c>
      <c r="W27" s="119">
        <f t="shared" si="15"/>
        <v>153.64377919531717</v>
      </c>
      <c r="X27" s="119">
        <f t="shared" si="15"/>
        <v>165.27957475442827</v>
      </c>
      <c r="Y27" s="119">
        <f t="shared" si="15"/>
        <v>197.6249098300456</v>
      </c>
      <c r="Z27" s="119">
        <f t="shared" si="15"/>
        <v>252.21844918282036</v>
      </c>
      <c r="AA27" s="397">
        <f t="shared" si="15"/>
        <v>252.67188714407612</v>
      </c>
      <c r="AB27" s="177">
        <f>scen_input_bau!D58</f>
        <v>1329.7245711524522</v>
      </c>
      <c r="AC27" s="177">
        <f>scen_input_bau!E58</f>
        <v>1329.7245711524522</v>
      </c>
      <c r="AD27" s="177">
        <f>scen_input_bau!F58</f>
        <v>2325.1548304605794</v>
      </c>
      <c r="AE27" s="177">
        <f>scen_input_bau!G58</f>
        <v>2560.3025642581024</v>
      </c>
      <c r="AF27" s="177">
        <f>scen_input_bau!H58</f>
        <v>2695.5001593880925</v>
      </c>
      <c r="AG27" s="177">
        <f>scen_input_bau!I58</f>
        <v>3068.3944528998218</v>
      </c>
      <c r="AH27" s="177">
        <f>scen_input_bau!J58</f>
        <v>3673.8121257367279</v>
      </c>
      <c r="AI27" s="177">
        <f>scen_input_bau!K58</f>
        <v>3673.8121257367279</v>
      </c>
      <c r="AJ27" s="177">
        <f>el_capacity!T10+AB27/lifespan!C10</f>
        <v>57.995216235805671</v>
      </c>
      <c r="AK27" s="177">
        <f>MAX((AC27-AB27),0)/5+AC27/lifespan!D10/5</f>
        <v>10.637796569219617</v>
      </c>
      <c r="AL27" s="177">
        <f>MAX((AD27-AC27),0)/5+AD27/lifespan!E10/5</f>
        <v>217.68729050531007</v>
      </c>
      <c r="AM27" s="177">
        <f>MAX((AE27-AD27),0)/5+AE27/lifespan!F10/5</f>
        <v>67.511967273569411</v>
      </c>
      <c r="AN27" s="177">
        <f>MAX((AF27-AE27),0)/5+AF27/lifespan!G10/5</f>
        <v>48.603520301102755</v>
      </c>
      <c r="AO27" s="177">
        <f>MAX((AG27-AF27),0)/5+AG27/lifespan!H10/5</f>
        <v>99.126014325544432</v>
      </c>
      <c r="AP27" s="177">
        <f>MAX((AH27-AG27),0)/5+AH27/lifespan!I10/5</f>
        <v>150.47403157327506</v>
      </c>
      <c r="AQ27" s="177">
        <f>MAX((AI27-AH27),0)/5+AI27/lifespan!J10/5</f>
        <v>29.390497005893828</v>
      </c>
    </row>
    <row r="28" spans="1:43" x14ac:dyDescent="0.25">
      <c r="A28" s="391" t="s">
        <v>616</v>
      </c>
      <c r="B28" s="15" t="s">
        <v>341</v>
      </c>
      <c r="C28" s="15" t="s">
        <v>339</v>
      </c>
      <c r="D28" s="420">
        <f>scen_pct_electro_hydro!T43</f>
        <v>9.7473924041468676E-3</v>
      </c>
      <c r="E28" s="420">
        <f>scen_pct_electro_hydro!U43</f>
        <v>9.7473924041468676E-3</v>
      </c>
      <c r="F28" s="420">
        <f>scen_pct_electro_hydro!V43</f>
        <v>1.8112945293334851E-2</v>
      </c>
      <c r="G28" s="420">
        <f>scen_pct_electro_hydro!W43</f>
        <v>2.0394422671914221E-2</v>
      </c>
      <c r="H28" s="420">
        <f>scen_pct_electro_hydro!X43</f>
        <v>2.3315285574629325E-2</v>
      </c>
      <c r="I28" s="420">
        <f>scen_pct_electro_hydro!Y43</f>
        <v>3.1434738070877682E-2</v>
      </c>
      <c r="J28" s="420">
        <f>scen_pct_electro_hydro!Z43</f>
        <v>4.5139021805785329E-2</v>
      </c>
      <c r="K28" s="420">
        <f>scen_pct_electro_hydro!AA43</f>
        <v>4.5252845575976745E-2</v>
      </c>
      <c r="L28" s="404">
        <f t="shared" si="14"/>
        <v>9.7473924041468676E-3</v>
      </c>
      <c r="M28" s="404">
        <f t="shared" si="12"/>
        <v>1.0619500644380607E-2</v>
      </c>
      <c r="N28" s="404">
        <f t="shared" si="12"/>
        <v>1.9584736470410147E-2</v>
      </c>
      <c r="O28" s="404">
        <f t="shared" si="12"/>
        <v>2.0987310796895649E-2</v>
      </c>
      <c r="P28" s="404">
        <f t="shared" si="12"/>
        <v>2.1413674410589167E-2</v>
      </c>
      <c r="Q28" s="404">
        <f t="shared" si="12"/>
        <v>2.6503935875679167E-2</v>
      </c>
      <c r="R28" s="404">
        <f t="shared" si="12"/>
        <v>3.5779963139080502E-2</v>
      </c>
      <c r="S28" s="404">
        <f t="shared" si="12"/>
        <v>3.4920981156950928E-2</v>
      </c>
      <c r="T28" s="119">
        <f>[15]xdecarb_CZ!B19</f>
        <v>38.830533656220702</v>
      </c>
      <c r="U28" s="119">
        <f t="shared" si="15"/>
        <v>38.830533656220702</v>
      </c>
      <c r="V28" s="119">
        <f t="shared" si="15"/>
        <v>72.156254992555844</v>
      </c>
      <c r="W28" s="119">
        <f t="shared" si="15"/>
        <v>81.244940505733993</v>
      </c>
      <c r="X28" s="119">
        <f t="shared" si="15"/>
        <v>92.880736064845095</v>
      </c>
      <c r="Y28" s="119">
        <f t="shared" si="15"/>
        <v>125.22607114046235</v>
      </c>
      <c r="Z28" s="119">
        <f t="shared" si="15"/>
        <v>179.81961049323706</v>
      </c>
      <c r="AA28" s="397">
        <f t="shared" si="15"/>
        <v>180.27304845449277</v>
      </c>
      <c r="AB28" s="177">
        <f>scen_input_bau!D59</f>
        <v>745.27542884754769</v>
      </c>
      <c r="AC28" s="177">
        <f>scen_input_bau!E59</f>
        <v>745.27542884754769</v>
      </c>
      <c r="AD28" s="177">
        <f>scen_input_bau!F59</f>
        <v>1303.1877435389449</v>
      </c>
      <c r="AE28" s="177">
        <f>scen_input_bau!G59</f>
        <v>1434.9818247723172</v>
      </c>
      <c r="AF28" s="177">
        <f>scen_input_bau!H59</f>
        <v>1510.7564986225073</v>
      </c>
      <c r="AG28" s="177">
        <f>scen_input_bau!I59</f>
        <v>1719.753880893106</v>
      </c>
      <c r="AH28" s="177">
        <f>scen_input_bau!J59</f>
        <v>2059.0744631730581</v>
      </c>
      <c r="AI28" s="177">
        <f>scen_input_bau!K59</f>
        <v>2059.0744631730581</v>
      </c>
      <c r="AJ28" s="177">
        <f>el_capacity!T11+AB28/lifespan!C11</f>
        <v>32.504783764194322</v>
      </c>
      <c r="AK28" s="177">
        <f>MAX((AC28-AB28),0)/5+AC28/lifespan!D11/5</f>
        <v>5.9622034307803817</v>
      </c>
      <c r="AL28" s="177">
        <f>MAX((AD28-AC28),0)/5+AD28/lifespan!E11/5</f>
        <v>122.00796488659101</v>
      </c>
      <c r="AM28" s="177">
        <f>MAX((AE28-AD28),0)/5+AE28/lifespan!F11/5</f>
        <v>37.838670844852984</v>
      </c>
      <c r="AN28" s="177">
        <f>MAX((AF28-AE28),0)/5+AF28/lifespan!G11/5</f>
        <v>27.240986759018075</v>
      </c>
      <c r="AO28" s="177">
        <f>MAX((AG28-AF28),0)/5+AG28/lifespan!H11/5</f>
        <v>55.557507501264602</v>
      </c>
      <c r="AP28" s="177">
        <f>MAX((AH28-AG28),0)/5+AH28/lifespan!I11/5</f>
        <v>84.336712161374876</v>
      </c>
      <c r="AQ28" s="177">
        <f>MAX((AI28-AH28),0)/5+AI28/lifespan!J11/5</f>
        <v>16.472595705384464</v>
      </c>
    </row>
    <row r="29" spans="1:43" x14ac:dyDescent="0.25">
      <c r="A29" s="391" t="s">
        <v>616</v>
      </c>
      <c r="B29" s="15" t="s">
        <v>14</v>
      </c>
      <c r="C29" s="15" t="s">
        <v>15</v>
      </c>
      <c r="D29" s="420">
        <f>scen_pct_electro_hydro!T44</f>
        <v>0</v>
      </c>
      <c r="E29" s="420">
        <f>scen_pct_electro_hydro!U44</f>
        <v>0</v>
      </c>
      <c r="F29" s="420">
        <f>scen_pct_electro_hydro!V44</f>
        <v>0</v>
      </c>
      <c r="G29" s="420">
        <f>scen_pct_electro_hydro!W44</f>
        <v>0</v>
      </c>
      <c r="H29" s="420">
        <f>scen_pct_electro_hydro!X44</f>
        <v>0</v>
      </c>
      <c r="I29" s="420">
        <f>scen_pct_electro_hydro!Y44</f>
        <v>0</v>
      </c>
      <c r="J29" s="420">
        <f>scen_pct_electro_hydro!Z44</f>
        <v>0</v>
      </c>
      <c r="K29" s="420">
        <f>scen_pct_electro_hydro!AA44</f>
        <v>0</v>
      </c>
      <c r="L29" s="404">
        <f t="shared" si="14"/>
        <v>0</v>
      </c>
      <c r="M29" s="404">
        <f t="shared" si="12"/>
        <v>0</v>
      </c>
      <c r="N29" s="404">
        <f t="shared" si="12"/>
        <v>0</v>
      </c>
      <c r="O29" s="404">
        <f t="shared" si="12"/>
        <v>0</v>
      </c>
      <c r="P29" s="404">
        <f t="shared" si="12"/>
        <v>0</v>
      </c>
      <c r="Q29" s="404">
        <f t="shared" si="12"/>
        <v>0</v>
      </c>
      <c r="R29" s="404">
        <f t="shared" si="12"/>
        <v>0</v>
      </c>
      <c r="S29" s="404">
        <f t="shared" si="12"/>
        <v>0</v>
      </c>
      <c r="T29" s="119">
        <f>[15]xdecarb_CZ!B20</f>
        <v>0</v>
      </c>
      <c r="U29" s="174">
        <f>IFERROR([16]x2015el_repl!$A38*E29/el_replacements!$D3,0)</f>
        <v>0</v>
      </c>
      <c r="V29" s="174">
        <f>IFERROR([16]x2015el_repl!$A38*F29/el_replacements!$D3,0)</f>
        <v>0</v>
      </c>
      <c r="W29" s="174">
        <f>IFERROR([16]x2015el_repl!$A38*G29/el_replacements!$D3,0)</f>
        <v>0</v>
      </c>
      <c r="X29" s="174">
        <f>IFERROR([16]x2015el_repl!$A38*H29/el_replacements!$D3,0)</f>
        <v>0</v>
      </c>
      <c r="Y29" s="174">
        <f>IFERROR([16]x2015el_repl!$A38*I29/el_replacements!$D3,0)</f>
        <v>0</v>
      </c>
      <c r="Z29" s="174">
        <f>IFERROR([16]x2015el_repl!$A38*J29/el_replacements!$D3,0)</f>
        <v>0</v>
      </c>
      <c r="AA29" s="398">
        <f>IFERROR([16]x2015el_repl!$A38*K29/el_replacements!$D3,0)</f>
        <v>0</v>
      </c>
      <c r="AB29" s="177">
        <f>scen_input_bau!D60</f>
        <v>0</v>
      </c>
      <c r="AC29" s="177">
        <f>scen_input_bau!E60</f>
        <v>0</v>
      </c>
      <c r="AD29" s="177">
        <f>scen_input_bau!F60</f>
        <v>0</v>
      </c>
      <c r="AE29" s="177">
        <f>scen_input_bau!G60</f>
        <v>0</v>
      </c>
      <c r="AF29" s="177">
        <f>scen_input_bau!H60</f>
        <v>0</v>
      </c>
      <c r="AG29" s="177">
        <f>scen_input_bau!I60</f>
        <v>0</v>
      </c>
      <c r="AH29" s="177">
        <f>scen_input_bau!J60</f>
        <v>0</v>
      </c>
      <c r="AI29" s="177">
        <f>scen_input_bau!K60</f>
        <v>0</v>
      </c>
      <c r="AJ29" s="177">
        <f>el_capacity!T12+AB29/lifespan!C12</f>
        <v>0</v>
      </c>
      <c r="AK29" s="177">
        <f>MAX((AC29-AB29),0)/5+AC29/lifespan!D12/5</f>
        <v>0</v>
      </c>
      <c r="AL29" s="177">
        <f>MAX((AD29-AC29),0)/5+AD29/lifespan!E12/5</f>
        <v>0</v>
      </c>
      <c r="AM29" s="177">
        <f>MAX((AE29-AD29),0)/5+AE29/lifespan!F12/5</f>
        <v>0</v>
      </c>
      <c r="AN29" s="177">
        <f>MAX((AF29-AE29),0)/5+AF29/lifespan!G12/5</f>
        <v>0</v>
      </c>
      <c r="AO29" s="177">
        <f>MAX((AG29-AF29),0)/5+AG29/lifespan!H12/5</f>
        <v>0</v>
      </c>
      <c r="AP29" s="177">
        <f>MAX((AH29-AG29),0)/5+AH29/lifespan!I12/5</f>
        <v>0</v>
      </c>
      <c r="AQ29" s="177">
        <f>MAX((AI29-AH29),0)/5+AI29/lifespan!J12/5</f>
        <v>0</v>
      </c>
    </row>
    <row r="30" spans="1:43" x14ac:dyDescent="0.25">
      <c r="A30" s="391" t="s">
        <v>616</v>
      </c>
      <c r="B30" s="15" t="s">
        <v>16</v>
      </c>
      <c r="C30" s="15" t="s">
        <v>17</v>
      </c>
      <c r="D30" s="420">
        <f>scen_pct_electro_hydro!T45</f>
        <v>0</v>
      </c>
      <c r="E30" s="420">
        <f>scen_pct_electro_hydro!U45</f>
        <v>0</v>
      </c>
      <c r="F30" s="420">
        <f>scen_pct_electro_hydro!V45</f>
        <v>0</v>
      </c>
      <c r="G30" s="420">
        <f>scen_pct_electro_hydro!W45</f>
        <v>0</v>
      </c>
      <c r="H30" s="420">
        <f>scen_pct_electro_hydro!X45</f>
        <v>0</v>
      </c>
      <c r="I30" s="420">
        <f>scen_pct_electro_hydro!Y45</f>
        <v>0</v>
      </c>
      <c r="J30" s="420">
        <f>scen_pct_electro_hydro!Z45</f>
        <v>0</v>
      </c>
      <c r="K30" s="420">
        <f>scen_pct_electro_hydro!AA45</f>
        <v>0</v>
      </c>
      <c r="L30" s="404">
        <f t="shared" si="14"/>
        <v>0</v>
      </c>
      <c r="M30" s="404">
        <f t="shared" si="12"/>
        <v>0</v>
      </c>
      <c r="N30" s="404">
        <f t="shared" si="12"/>
        <v>0</v>
      </c>
      <c r="O30" s="404">
        <f t="shared" si="12"/>
        <v>0</v>
      </c>
      <c r="P30" s="404">
        <f t="shared" si="12"/>
        <v>0</v>
      </c>
      <c r="Q30" s="404">
        <f t="shared" si="12"/>
        <v>0</v>
      </c>
      <c r="R30" s="404">
        <f t="shared" si="12"/>
        <v>0</v>
      </c>
      <c r="S30" s="404">
        <f t="shared" si="12"/>
        <v>0</v>
      </c>
      <c r="T30" s="119">
        <f>[15]xdecarb_CZ!B21</f>
        <v>0</v>
      </c>
      <c r="U30" s="174">
        <f>IFERROR([16]x2015el_repl!$A52*E30/el_replacements!$D4,0)</f>
        <v>0</v>
      </c>
      <c r="V30" s="174">
        <f>IFERROR([16]x2015el_repl!$A52*F30/el_replacements!$D4,0)</f>
        <v>0</v>
      </c>
      <c r="W30" s="174">
        <f>IFERROR([16]x2015el_repl!$A52*G30/el_replacements!$D4,0)</f>
        <v>0</v>
      </c>
      <c r="X30" s="174">
        <f>IFERROR([16]x2015el_repl!$A52*H30/el_replacements!$D4,0)</f>
        <v>0</v>
      </c>
      <c r="Y30" s="174">
        <f>IFERROR([16]x2015el_repl!$A52*I30/el_replacements!$D4,0)</f>
        <v>0</v>
      </c>
      <c r="Z30" s="174">
        <f>IFERROR([16]x2015el_repl!$A52*J30/el_replacements!$D4,0)</f>
        <v>0</v>
      </c>
      <c r="AA30" s="398">
        <f>IFERROR([16]x2015el_repl!$A52*K30/el_replacements!$D4,0)</f>
        <v>0</v>
      </c>
      <c r="AB30" s="177">
        <f>scen_input_bau!D61</f>
        <v>0</v>
      </c>
      <c r="AC30" s="177">
        <f>scen_input_bau!E61</f>
        <v>0</v>
      </c>
      <c r="AD30" s="177">
        <f>scen_input_bau!F61</f>
        <v>0</v>
      </c>
      <c r="AE30" s="177">
        <f>scen_input_bau!G61</f>
        <v>0</v>
      </c>
      <c r="AF30" s="177">
        <f>scen_input_bau!H61</f>
        <v>0</v>
      </c>
      <c r="AG30" s="177">
        <f>scen_input_bau!I61</f>
        <v>0</v>
      </c>
      <c r="AH30" s="177">
        <f>scen_input_bau!J61</f>
        <v>0</v>
      </c>
      <c r="AI30" s="177">
        <f>scen_input_bau!K61</f>
        <v>0</v>
      </c>
      <c r="AJ30" s="177">
        <f>el_capacity!T13+AB30/lifespan!C13</f>
        <v>0</v>
      </c>
      <c r="AK30" s="177">
        <f>MAX((AC30-AB30),0)/5+AC30/lifespan!D13/5</f>
        <v>0</v>
      </c>
      <c r="AL30" s="177">
        <f>MAX((AD30-AC30),0)/5+AD30/lifespan!E13/5</f>
        <v>0</v>
      </c>
      <c r="AM30" s="177">
        <f>MAX((AE30-AD30),0)/5+AE30/lifespan!F13/5</f>
        <v>0</v>
      </c>
      <c r="AN30" s="177">
        <f>MAX((AF30-AE30),0)/5+AF30/lifespan!G13/5</f>
        <v>0</v>
      </c>
      <c r="AO30" s="177">
        <f>MAX((AG30-AF30),0)/5+AG30/lifespan!H13/5</f>
        <v>0</v>
      </c>
      <c r="AP30" s="177">
        <f>MAX((AH30-AG30),0)/5+AH30/lifespan!I13/5</f>
        <v>0</v>
      </c>
      <c r="AQ30" s="177">
        <f>MAX((AI30-AH30),0)/5+AI30/lifespan!J13/5</f>
        <v>0</v>
      </c>
    </row>
    <row r="31" spans="1:43" x14ac:dyDescent="0.25">
      <c r="A31" s="392" t="s">
        <v>616</v>
      </c>
      <c r="B31" s="394" t="s">
        <v>18</v>
      </c>
      <c r="C31" s="394" t="s">
        <v>19</v>
      </c>
      <c r="D31" s="421">
        <f>scen_pct_electro_hydro!T46</f>
        <v>0</v>
      </c>
      <c r="E31" s="421">
        <f>scen_pct_electro_hydro!U46</f>
        <v>0</v>
      </c>
      <c r="F31" s="421">
        <f>scen_pct_electro_hydro!V46</f>
        <v>0</v>
      </c>
      <c r="G31" s="421">
        <f>scen_pct_electro_hydro!W46</f>
        <v>0</v>
      </c>
      <c r="H31" s="421">
        <f>scen_pct_electro_hydro!X46</f>
        <v>0</v>
      </c>
      <c r="I31" s="421">
        <f>scen_pct_electro_hydro!Y46</f>
        <v>8.5082534440411703E-4</v>
      </c>
      <c r="J31" s="421">
        <f>scen_pct_electro_hydro!Z46</f>
        <v>3.2253276205508066E-2</v>
      </c>
      <c r="K31" s="421">
        <f>scen_pct_electro_hydro!AA46</f>
        <v>3.7204904535719015E-2</v>
      </c>
      <c r="L31" s="405">
        <f t="shared" si="14"/>
        <v>0</v>
      </c>
      <c r="M31" s="405">
        <f t="shared" si="12"/>
        <v>0</v>
      </c>
      <c r="N31" s="405">
        <f t="shared" si="12"/>
        <v>0</v>
      </c>
      <c r="O31" s="405">
        <f t="shared" si="12"/>
        <v>0</v>
      </c>
      <c r="P31" s="405">
        <f t="shared" si="12"/>
        <v>0</v>
      </c>
      <c r="Q31" s="405">
        <f t="shared" si="12"/>
        <v>7.1736625635766718E-4</v>
      </c>
      <c r="R31" s="405">
        <f t="shared" si="12"/>
        <v>2.556592915798972E-2</v>
      </c>
      <c r="S31" s="405">
        <f t="shared" si="12"/>
        <v>2.871049883607146E-2</v>
      </c>
      <c r="T31" s="400">
        <f>[15]xdecarb_CZ!B22</f>
        <v>0</v>
      </c>
      <c r="U31" s="401">
        <f>IFERROR([16]x2015el_repl!$A14*E31/el_replacements!$D5,0)</f>
        <v>0</v>
      </c>
      <c r="V31" s="401">
        <f>IFERROR([16]x2015el_repl!$A14*F31/el_replacements!$D5,0)</f>
        <v>0</v>
      </c>
      <c r="W31" s="401">
        <f>IFERROR([16]x2015el_repl!$A14*G31/el_replacements!$D5,0)</f>
        <v>0</v>
      </c>
      <c r="X31" s="401">
        <f>IFERROR([16]x2015el_repl!$A14*H31/el_replacements!$D5,0)</f>
        <v>0</v>
      </c>
      <c r="Y31" s="401">
        <f>IFERROR([16]x2015el_repl!$A14*I31/el_replacements!$D5,0)</f>
        <v>8.8807131319371913E-5</v>
      </c>
      <c r="Z31" s="401">
        <f>IFERROR([16]x2015el_repl!$A14*J31/el_replacements!$D5,0)</f>
        <v>3.3665204666282955E-3</v>
      </c>
      <c r="AA31" s="402">
        <f>IFERROR([16]x2015el_repl!$A14*K31/el_replacements!$D5,0)</f>
        <v>3.8833596866373584E-3</v>
      </c>
      <c r="AB31" s="177">
        <f>scen_input_bau!D62</f>
        <v>0</v>
      </c>
      <c r="AC31" s="177">
        <f>scen_input_bau!E62</f>
        <v>0</v>
      </c>
      <c r="AD31" s="177">
        <f>scen_input_bau!F62</f>
        <v>0</v>
      </c>
      <c r="AE31" s="177">
        <f>scen_input_bau!G62</f>
        <v>0</v>
      </c>
      <c r="AF31" s="177">
        <f>scen_input_bau!H62</f>
        <v>0</v>
      </c>
      <c r="AG31" s="177">
        <f>scen_input_bau!I62</f>
        <v>11.969068554251068</v>
      </c>
      <c r="AH31" s="177">
        <f>scen_input_bau!J62</f>
        <v>453.38759908852768</v>
      </c>
      <c r="AI31" s="177">
        <f>scen_input_bau!K62</f>
        <v>522.93844072382876</v>
      </c>
      <c r="AJ31" s="177">
        <f>el_capacity!T14+AB31/lifespan!C14</f>
        <v>0</v>
      </c>
      <c r="AK31" s="177">
        <f>MAX((AC31-AB31),0)/5+AC31/lifespan!D14/5</f>
        <v>0</v>
      </c>
      <c r="AL31" s="177">
        <f>MAX((AD31-AC31),0)/5+AD31/lifespan!E14/5</f>
        <v>0</v>
      </c>
      <c r="AM31" s="177">
        <f>MAX((AE31-AD31),0)/5+AE31/lifespan!F14/5</f>
        <v>0</v>
      </c>
      <c r="AN31" s="177">
        <f>MAX((AF31-AE31),0)/5+AF31/lifespan!G14/5</f>
        <v>0</v>
      </c>
      <c r="AO31" s="177">
        <f>MAX((AG31-AF31),0)/5+AG31/lifespan!H14/5</f>
        <v>2.4736075012118874</v>
      </c>
      <c r="AP31" s="177">
        <f>MAX((AH31-AG31),0)/5+AH31/lifespan!I14/5</f>
        <v>91.306290100778838</v>
      </c>
      <c r="AQ31" s="177">
        <f>MAX((AI31-AH31),0)/5+AI31/lifespan!J14/5</f>
        <v>17.396424598552407</v>
      </c>
    </row>
    <row r="32" spans="1:43" x14ac:dyDescent="0.25">
      <c r="D32" s="372"/>
      <c r="E32" s="372"/>
      <c r="F32" s="372"/>
      <c r="G32" s="372"/>
      <c r="H32" s="372"/>
      <c r="I32" s="372"/>
      <c r="J32" s="372"/>
      <c r="K32" s="372"/>
      <c r="L32" s="372"/>
      <c r="M32" s="372"/>
      <c r="N32" s="372"/>
      <c r="O32" s="372"/>
      <c r="P32" s="372"/>
      <c r="Q32" s="372"/>
      <c r="R32" s="372"/>
      <c r="S32" s="372"/>
    </row>
  </sheetData>
  <pageMargins left="0.7" right="0.7" top="0.78740157499999996" bottom="0.78740157499999996" header="0.3" footer="0.3"/>
  <pageSetup paperSize="9"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32"/>
  <sheetViews>
    <sheetView zoomScale="75" zoomScaleNormal="75" workbookViewId="0">
      <pane xSplit="3" ySplit="1" topLeftCell="T2" activePane="bottomRight" state="frozen"/>
      <selection activeCell="D2" sqref="D2"/>
      <selection pane="topRight" activeCell="D2" sqref="D2"/>
      <selection pane="bottomLeft" activeCell="D2" sqref="D2"/>
      <selection pane="bottomRight" activeCell="T2" sqref="T2"/>
    </sheetView>
  </sheetViews>
  <sheetFormatPr defaultColWidth="8.25" defaultRowHeight="15" x14ac:dyDescent="0.25"/>
  <cols>
    <col min="1" max="1" width="11.75" bestFit="1" customWidth="1"/>
    <col min="2" max="2" width="90.25" bestFit="1" customWidth="1"/>
    <col min="3" max="3" width="12.25" bestFit="1" customWidth="1"/>
    <col min="4" max="43" width="10.25" style="2" customWidth="1"/>
    <col min="44" max="16384" width="8.25" style="2"/>
  </cols>
  <sheetData>
    <row r="1" spans="1:43" s="44" customFormat="1" x14ac:dyDescent="0.25">
      <c r="A1" s="88" t="s">
        <v>586</v>
      </c>
      <c r="B1" s="88" t="s">
        <v>0</v>
      </c>
      <c r="C1" s="88" t="s">
        <v>1</v>
      </c>
      <c r="D1" s="44" t="s">
        <v>669</v>
      </c>
      <c r="E1" s="44" t="s">
        <v>681</v>
      </c>
      <c r="F1" s="44" t="s">
        <v>682</v>
      </c>
      <c r="G1" s="44" t="s">
        <v>683</v>
      </c>
      <c r="H1" s="44" t="s">
        <v>684</v>
      </c>
      <c r="I1" s="44" t="s">
        <v>685</v>
      </c>
      <c r="J1" s="44" t="s">
        <v>686</v>
      </c>
      <c r="K1" s="44" t="s">
        <v>687</v>
      </c>
      <c r="L1" s="44" t="s">
        <v>1113</v>
      </c>
      <c r="M1" s="44" t="s">
        <v>1114</v>
      </c>
      <c r="N1" s="44" t="s">
        <v>1115</v>
      </c>
      <c r="O1" s="44" t="s">
        <v>1116</v>
      </c>
      <c r="P1" s="44" t="s">
        <v>1117</v>
      </c>
      <c r="Q1" s="44" t="s">
        <v>1118</v>
      </c>
      <c r="R1" s="44" t="s">
        <v>1119</v>
      </c>
      <c r="S1" s="44" t="s">
        <v>1120</v>
      </c>
      <c r="T1" s="44" t="s">
        <v>688</v>
      </c>
      <c r="U1" s="44" t="s">
        <v>689</v>
      </c>
      <c r="V1" s="44" t="s">
        <v>690</v>
      </c>
      <c r="W1" s="44" t="s">
        <v>691</v>
      </c>
      <c r="X1" s="44" t="s">
        <v>692</v>
      </c>
      <c r="Y1" s="44" t="s">
        <v>693</v>
      </c>
      <c r="Z1" s="44" t="s">
        <v>694</v>
      </c>
      <c r="AA1" s="44" t="s">
        <v>695</v>
      </c>
      <c r="AB1" s="44" t="s">
        <v>644</v>
      </c>
      <c r="AC1" s="44" t="s">
        <v>696</v>
      </c>
      <c r="AD1" s="44" t="s">
        <v>697</v>
      </c>
      <c r="AE1" s="44" t="s">
        <v>698</v>
      </c>
      <c r="AF1" s="44" t="s">
        <v>699</v>
      </c>
      <c r="AG1" s="44" t="s">
        <v>700</v>
      </c>
      <c r="AH1" s="44" t="s">
        <v>701</v>
      </c>
      <c r="AI1" s="44" t="s">
        <v>702</v>
      </c>
      <c r="AJ1" s="112" t="s">
        <v>652</v>
      </c>
      <c r="AK1" s="112" t="s">
        <v>703</v>
      </c>
      <c r="AL1" s="112" t="s">
        <v>704</v>
      </c>
      <c r="AM1" s="112" t="s">
        <v>705</v>
      </c>
      <c r="AN1" s="112" t="s">
        <v>706</v>
      </c>
      <c r="AO1" s="112" t="s">
        <v>707</v>
      </c>
      <c r="AP1" s="112" t="s">
        <v>708</v>
      </c>
      <c r="AQ1" s="112" t="s">
        <v>709</v>
      </c>
    </row>
    <row r="2" spans="1:43" s="44" customFormat="1" x14ac:dyDescent="0.25">
      <c r="A2" s="388" t="s">
        <v>616</v>
      </c>
      <c r="B2" s="389" t="s">
        <v>1044</v>
      </c>
      <c r="C2" s="390" t="s">
        <v>737</v>
      </c>
      <c r="D2" s="403">
        <f>scen_pct_ccs!T18</f>
        <v>1</v>
      </c>
      <c r="E2" s="403">
        <f>scen_pct_ccs!U18</f>
        <v>0.82260861664079155</v>
      </c>
      <c r="F2" s="403">
        <f>scen_pct_ccs!V18</f>
        <v>0.6567006506662878</v>
      </c>
      <c r="G2" s="403">
        <f>scen_pct_ccs!W18</f>
        <v>0.50229286704821008</v>
      </c>
      <c r="H2" s="403">
        <f>scen_pct_ccs!X18</f>
        <v>0.35940206340838915</v>
      </c>
      <c r="I2" s="403">
        <f>scen_pct_ccs!Y18</f>
        <v>0.22804507009828673</v>
      </c>
      <c r="J2" s="403">
        <f>scen_pct_ccs!Z18</f>
        <v>0.10823875027875005</v>
      </c>
      <c r="K2" s="403">
        <f>scen_pct_ccs!AA18</f>
        <v>0</v>
      </c>
      <c r="L2" s="403">
        <f>D2/SUM(D$2:D$4)</f>
        <v>1</v>
      </c>
      <c r="M2" s="403">
        <f t="shared" ref="M2:S4" si="0">E2/SUM(E$2:E$4)</f>
        <v>0.85755957407143413</v>
      </c>
      <c r="N2" s="403">
        <f t="shared" si="0"/>
        <v>0.71498058032285672</v>
      </c>
      <c r="O2" s="403">
        <f t="shared" si="0"/>
        <v>0.57226281645511723</v>
      </c>
      <c r="P2" s="403">
        <f t="shared" si="0"/>
        <v>0.42940607977508333</v>
      </c>
      <c r="Q2" s="403">
        <f t="shared" si="0"/>
        <v>0.28641016719468199</v>
      </c>
      <c r="R2" s="403">
        <f t="shared" si="0"/>
        <v>0.14327487522993601</v>
      </c>
      <c r="S2" s="403">
        <f t="shared" si="0"/>
        <v>0</v>
      </c>
      <c r="T2" s="454">
        <f>([15]xdecarb_CZ!$B$2+[15]xdecarb_CZ!$B$3)*(64/68)*D2</f>
        <v>27.945118281078599</v>
      </c>
      <c r="U2" s="454">
        <f>([15]xdecarb_CZ!$B$2+[15]xdecarb_CZ!$B$3)*(64/68)*E2</f>
        <v>22.987895091061361</v>
      </c>
      <c r="V2" s="454">
        <f>([15]xdecarb_CZ!$B$2+[15]xdecarb_CZ!$B$3)*(64/68)*F2</f>
        <v>18.35157735813069</v>
      </c>
      <c r="W2" s="454">
        <f>([15]xdecarb_CZ!$B$2+[15]xdecarb_CZ!$B$3)*(64/68)*G2</f>
        <v>14.036633581404319</v>
      </c>
      <c r="X2" s="454">
        <f>([15]xdecarb_CZ!$B$2+[15]xdecarb_CZ!$B$3)*(64/68)*H2</f>
        <v>10.043533172411145</v>
      </c>
      <c r="Y2" s="454">
        <f>([15]xdecarb_CZ!$B$2+[15]xdecarb_CZ!$B$3)*(64/68)*I2</f>
        <v>6.3727464573134833</v>
      </c>
      <c r="Z2" s="454">
        <f>([15]xdecarb_CZ!$B$2+[15]xdecarb_CZ!$B$3)*(64/68)*J2</f>
        <v>3.0247446791357993</v>
      </c>
      <c r="AA2" s="455">
        <f>([15]xdecarb_CZ!$B$2+[15]xdecarb_CZ!$B$3)*(64/68)*K2</f>
        <v>0</v>
      </c>
      <c r="AB2" s="175"/>
      <c r="AC2" s="175"/>
      <c r="AD2" s="175"/>
      <c r="AE2" s="175"/>
      <c r="AF2" s="175"/>
      <c r="AG2" s="175"/>
      <c r="AH2" s="175"/>
      <c r="AI2" s="175"/>
      <c r="AJ2" s="176"/>
      <c r="AK2" s="176"/>
      <c r="AL2" s="176"/>
      <c r="AM2" s="176"/>
      <c r="AN2" s="176"/>
      <c r="AO2" s="176"/>
      <c r="AP2" s="176"/>
      <c r="AQ2" s="176"/>
    </row>
    <row r="3" spans="1:43" s="44" customFormat="1" x14ac:dyDescent="0.25">
      <c r="A3" s="391" t="s">
        <v>616</v>
      </c>
      <c r="B3" s="113" t="s">
        <v>1045</v>
      </c>
      <c r="C3" s="15" t="s">
        <v>738</v>
      </c>
      <c r="D3" s="404">
        <f>scen_pct_ccs!T19</f>
        <v>0</v>
      </c>
      <c r="E3" s="404">
        <f>scen_pct_ccs!U19</f>
        <v>6.9553557202415767E-2</v>
      </c>
      <c r="F3" s="404">
        <f>scen_pct_ccs!V19</f>
        <v>0.13326152538738092</v>
      </c>
      <c r="G3" s="404">
        <f>scen_pct_ccs!W19</f>
        <v>0.1911153704111565</v>
      </c>
      <c r="H3" s="404">
        <f>scen_pct_ccs!X19</f>
        <v>0.24310654150959277</v>
      </c>
      <c r="I3" s="404">
        <f>scen_pct_ccs!Y19</f>
        <v>0.289226471257648</v>
      </c>
      <c r="J3" s="404">
        <f>scen_pct_ccs!Z19</f>
        <v>0.32946657552879055</v>
      </c>
      <c r="K3" s="404">
        <f>scen_pct_ccs!AA19</f>
        <v>0.36381825345428037</v>
      </c>
      <c r="L3" s="404">
        <f t="shared" ref="L3:L4" si="1">D3/SUM(D$2:D$4)</f>
        <v>0</v>
      </c>
      <c r="M3" s="404">
        <f t="shared" si="0"/>
        <v>7.2508745572382627E-2</v>
      </c>
      <c r="N3" s="404">
        <f t="shared" si="0"/>
        <v>0.14508802855533695</v>
      </c>
      <c r="O3" s="404">
        <f t="shared" si="0"/>
        <v>0.21773795192845977</v>
      </c>
      <c r="P3" s="404">
        <f t="shared" si="0"/>
        <v>0.29045861887190294</v>
      </c>
      <c r="Q3" s="404">
        <f t="shared" si="0"/>
        <v>0.3632501327668613</v>
      </c>
      <c r="R3" s="404">
        <f t="shared" si="0"/>
        <v>0.43611259719606288</v>
      </c>
      <c r="S3" s="404">
        <f t="shared" si="0"/>
        <v>0.50904611594426052</v>
      </c>
      <c r="T3" s="174">
        <f>([15]xdecarb_CZ!$B$2+[15]xdecarb_CZ!$B$3)*(64/68)*D3</f>
        <v>0</v>
      </c>
      <c r="U3" s="174">
        <f>([15]xdecarb_CZ!$B$2+[15]xdecarb_CZ!$B$3)*(64/68)*E3</f>
        <v>1.9436823828912748</v>
      </c>
      <c r="V3" s="174">
        <f>([15]xdecarb_CZ!$B$2+[15]xdecarb_CZ!$B$3)*(64/68)*F3</f>
        <v>3.7240090892673186</v>
      </c>
      <c r="W3" s="174">
        <f>([15]xdecarb_CZ!$B$2+[15]xdecarb_CZ!$B$3)*(64/68)*G3</f>
        <v>5.3407416314719178</v>
      </c>
      <c r="X3" s="174">
        <f>([15]xdecarb_CZ!$B$2+[15]xdecarb_CZ!$B$3)*(64/68)*H3</f>
        <v>6.7936410573895145</v>
      </c>
      <c r="Y3" s="174">
        <f>([15]xdecarb_CZ!$B$2+[15]xdecarb_CZ!$B$3)*(64/68)*I3</f>
        <v>8.0824679493139531</v>
      </c>
      <c r="Z3" s="174">
        <f>([15]xdecarb_CZ!$B$2+[15]xdecarb_CZ!$B$3)*(64/68)*J3</f>
        <v>9.2069824228139687</v>
      </c>
      <c r="AA3" s="398">
        <f>([15]xdecarb_CZ!$B$2+[15]xdecarb_CZ!$B$3)*(64/68)*K3</f>
        <v>10.166944125595299</v>
      </c>
      <c r="AB3" s="175"/>
      <c r="AC3" s="175"/>
      <c r="AD3" s="175"/>
      <c r="AE3" s="175"/>
      <c r="AF3" s="175"/>
      <c r="AG3" s="175"/>
      <c r="AH3" s="175"/>
      <c r="AI3" s="175"/>
      <c r="AJ3" s="176"/>
      <c r="AK3" s="176"/>
      <c r="AL3" s="176"/>
      <c r="AM3" s="176"/>
      <c r="AN3" s="176"/>
      <c r="AO3" s="176"/>
      <c r="AP3" s="176"/>
      <c r="AQ3" s="176"/>
    </row>
    <row r="4" spans="1:43" s="44" customFormat="1" x14ac:dyDescent="0.25">
      <c r="A4" s="392" t="s">
        <v>616</v>
      </c>
      <c r="B4" s="393" t="s">
        <v>1046</v>
      </c>
      <c r="C4" s="394" t="s">
        <v>748</v>
      </c>
      <c r="D4" s="404">
        <f>scen_pct_ccs!T20</f>
        <v>0</v>
      </c>
      <c r="E4" s="404">
        <f>scen_pct_ccs!U20</f>
        <v>6.7081523635784263E-2</v>
      </c>
      <c r="F4" s="404">
        <f>scen_pct_ccs!V20</f>
        <v>0.12852521890431462</v>
      </c>
      <c r="G4" s="404">
        <f>scen_pct_ccs!W20</f>
        <v>0.18432285497760828</v>
      </c>
      <c r="H4" s="404">
        <f>scen_pct_ccs!X20</f>
        <v>0.23446618499798449</v>
      </c>
      <c r="I4" s="404">
        <f>scen_pct_ccs!Y20</f>
        <v>0.27894694603902331</v>
      </c>
      <c r="J4" s="404">
        <f>scen_pct_ccs!Z20</f>
        <v>0.31775685906640933</v>
      </c>
      <c r="K4" s="404">
        <f>scen_pct_ccs!AA20</f>
        <v>0.35088762889866099</v>
      </c>
      <c r="L4" s="404">
        <f t="shared" si="1"/>
        <v>0</v>
      </c>
      <c r="M4" s="404">
        <f t="shared" si="0"/>
        <v>6.9931680356183343E-2</v>
      </c>
      <c r="N4" s="404">
        <f t="shared" si="0"/>
        <v>0.13993139112180639</v>
      </c>
      <c r="O4" s="404">
        <f t="shared" si="0"/>
        <v>0.209999231616423</v>
      </c>
      <c r="P4" s="404">
        <f t="shared" si="0"/>
        <v>0.28013530135301357</v>
      </c>
      <c r="Q4" s="404">
        <f t="shared" si="0"/>
        <v>0.35033970003845671</v>
      </c>
      <c r="R4" s="404">
        <f t="shared" si="0"/>
        <v>0.42061252757400097</v>
      </c>
      <c r="S4" s="404">
        <f t="shared" si="0"/>
        <v>0.49095388405573959</v>
      </c>
      <c r="T4" s="174">
        <f>([15]xdecarb_CZ!$B$2+[15]xdecarb_CZ!$B$3)*(64/68)*D4</f>
        <v>0</v>
      </c>
      <c r="U4" s="174">
        <f>([15]xdecarb_CZ!$B$2+[15]xdecarb_CZ!$B$3)*(64/68)*E4</f>
        <v>1.874601112476961</v>
      </c>
      <c r="V4" s="174">
        <f>([15]xdecarb_CZ!$B$2+[15]xdecarb_CZ!$B$3)*(64/68)*F4</f>
        <v>3.5916524443825915</v>
      </c>
      <c r="W4" s="174">
        <f>([15]xdecarb_CZ!$B$2+[15]xdecarb_CZ!$B$3)*(64/68)*G4</f>
        <v>5.1509239842553605</v>
      </c>
      <c r="X4" s="174">
        <f>([15]xdecarb_CZ!$B$2+[15]xdecarb_CZ!$B$3)*(64/68)*H4</f>
        <v>6.5521852726819336</v>
      </c>
      <c r="Y4" s="174">
        <f>([15]xdecarb_CZ!$B$2+[15]xdecarb_CZ!$B$3)*(64/68)*I4</f>
        <v>7.7952054012061556</v>
      </c>
      <c r="Z4" s="174">
        <f>([15]xdecarb_CZ!$B$2+[15]xdecarb_CZ!$B$3)*(64/68)*J4</f>
        <v>8.8797530112348309</v>
      </c>
      <c r="AA4" s="398">
        <f>([15]xdecarb_CZ!$B$2+[15]xdecarb_CZ!$B$3)*(64/68)*K4</f>
        <v>9.8055962929402938</v>
      </c>
      <c r="AB4" s="175"/>
      <c r="AC4" s="175"/>
      <c r="AD4" s="175"/>
      <c r="AE4" s="175"/>
      <c r="AF4" s="175"/>
      <c r="AG4" s="175"/>
      <c r="AH4" s="175"/>
      <c r="AI4" s="175"/>
      <c r="AJ4" s="176"/>
      <c r="AK4" s="176"/>
      <c r="AL4" s="176"/>
      <c r="AM4" s="176"/>
      <c r="AN4" s="176"/>
      <c r="AO4" s="176"/>
      <c r="AP4" s="176"/>
      <c r="AQ4" s="176"/>
    </row>
    <row r="5" spans="1:43" s="44" customFormat="1" x14ac:dyDescent="0.25">
      <c r="A5" s="391" t="s">
        <v>616</v>
      </c>
      <c r="B5" s="113" t="s">
        <v>1047</v>
      </c>
      <c r="C5" s="15" t="s">
        <v>140</v>
      </c>
      <c r="D5" s="412">
        <f>scen_pct_ccs!T22</f>
        <v>1</v>
      </c>
      <c r="E5" s="412">
        <f>scen_pct_ccs!U22</f>
        <v>1.985357142857143</v>
      </c>
      <c r="F5" s="412">
        <f>scen_pct_ccs!V22</f>
        <v>2.9707142857142861</v>
      </c>
      <c r="G5" s="412">
        <f>scen_pct_ccs!W22</f>
        <v>3.9560714285714291</v>
      </c>
      <c r="H5" s="412">
        <f>scen_pct_ccs!X22</f>
        <v>4.9414285714285722</v>
      </c>
      <c r="I5" s="412">
        <f>scen_pct_ccs!Y22</f>
        <v>5.9267857142857148</v>
      </c>
      <c r="J5" s="412">
        <f>scen_pct_ccs!Z22</f>
        <v>6.9121428571428583</v>
      </c>
      <c r="K5" s="412">
        <f>scen_pct_ccs!AA22</f>
        <v>7.8975000000000009</v>
      </c>
      <c r="L5" s="413">
        <f>D5/SUM(D$5)</f>
        <v>1</v>
      </c>
      <c r="M5" s="413">
        <f t="shared" ref="M5:S5" si="2">E5/SUM(E$5)</f>
        <v>1</v>
      </c>
      <c r="N5" s="413">
        <f t="shared" si="2"/>
        <v>1</v>
      </c>
      <c r="O5" s="413">
        <f t="shared" si="2"/>
        <v>1</v>
      </c>
      <c r="P5" s="413">
        <f t="shared" si="2"/>
        <v>1</v>
      </c>
      <c r="Q5" s="413">
        <f t="shared" si="2"/>
        <v>1</v>
      </c>
      <c r="R5" s="413">
        <f t="shared" si="2"/>
        <v>1</v>
      </c>
      <c r="S5" s="413">
        <f t="shared" si="2"/>
        <v>1</v>
      </c>
      <c r="T5" s="456">
        <f>([15]xdecarb_CZ!$B$2+[15]xdecarb_CZ!$B$3)*(4/68)*D5</f>
        <v>1.7465698925674125</v>
      </c>
      <c r="U5" s="456">
        <f>([15]xdecarb_CZ!$B$2+[15]xdecarb_CZ!$B$3)*(4/68)*E5</f>
        <v>3.4675650117079453</v>
      </c>
      <c r="V5" s="456">
        <f>([15]xdecarb_CZ!$B$2+[15]xdecarb_CZ!$B$3)*(4/68)*F5</f>
        <v>5.1885601308484777</v>
      </c>
      <c r="W5" s="456">
        <f>([15]xdecarb_CZ!$B$2+[15]xdecarb_CZ!$B$3)*(4/68)*G5</f>
        <v>6.9095552499890109</v>
      </c>
      <c r="X5" s="456">
        <f>([15]xdecarb_CZ!$B$2+[15]xdecarb_CZ!$B$3)*(4/68)*H5</f>
        <v>8.6305503691295442</v>
      </c>
      <c r="Y5" s="456">
        <f>([15]xdecarb_CZ!$B$2+[15]xdecarb_CZ!$B$3)*(4/68)*I5</f>
        <v>10.351545488270077</v>
      </c>
      <c r="Z5" s="456">
        <f>([15]xdecarb_CZ!$B$2+[15]xdecarb_CZ!$B$3)*(4/68)*J5</f>
        <v>12.072540607410609</v>
      </c>
      <c r="AA5" s="457">
        <f>([15]xdecarb_CZ!$B$2+[15]xdecarb_CZ!$B$3)*(4/68)*K5</f>
        <v>13.793535726551141</v>
      </c>
      <c r="AB5" s="175"/>
      <c r="AC5" s="175"/>
      <c r="AD5" s="175"/>
      <c r="AE5" s="175"/>
      <c r="AF5" s="175"/>
      <c r="AG5" s="175"/>
      <c r="AH5" s="175"/>
      <c r="AI5" s="175"/>
      <c r="AJ5" s="176"/>
      <c r="AK5" s="176"/>
      <c r="AL5" s="176"/>
      <c r="AM5" s="176"/>
      <c r="AN5" s="176"/>
      <c r="AO5" s="176"/>
      <c r="AP5" s="176"/>
      <c r="AQ5" s="176"/>
    </row>
    <row r="6" spans="1:43" s="44" customFormat="1" x14ac:dyDescent="0.25">
      <c r="A6" s="388" t="s">
        <v>616</v>
      </c>
      <c r="B6" s="389" t="s">
        <v>1049</v>
      </c>
      <c r="C6" s="390" t="s">
        <v>739</v>
      </c>
      <c r="D6" s="416">
        <f>scen_pct_ccs!T25</f>
        <v>1</v>
      </c>
      <c r="E6" s="416">
        <f>scen_pct_ccs!U25</f>
        <v>0.82867472694475319</v>
      </c>
      <c r="F6" s="416">
        <f>scen_pct_ccs!V25</f>
        <v>0.66787707224842185</v>
      </c>
      <c r="G6" s="416">
        <f>scen_pct_ccs!W25</f>
        <v>0.51792514635449682</v>
      </c>
      <c r="H6" s="416">
        <f>scen_pct_ccs!X25</f>
        <v>0.37915000646236829</v>
      </c>
      <c r="I6" s="416">
        <f>scen_pct_ccs!Y25</f>
        <v>0.25189632194674383</v>
      </c>
      <c r="J6" s="416">
        <f>scen_pct_ccs!Z25</f>
        <v>0.1365230812436812</v>
      </c>
      <c r="K6" s="416">
        <f>scen_pct_ccs!AA25</f>
        <v>3.3404343249605568E-2</v>
      </c>
      <c r="L6" s="403">
        <f>D6/SUM(D$6:D$8)</f>
        <v>1</v>
      </c>
      <c r="M6" s="403">
        <f>E6/SUM(E$6:E$8)</f>
        <v>0.87253216374684295</v>
      </c>
      <c r="N6" s="403">
        <f t="shared" ref="M6:S8" si="3">F6/SUM(F$6:F$8)</f>
        <v>0.74252215679383371</v>
      </c>
      <c r="O6" s="403">
        <f t="shared" si="3"/>
        <v>0.60989316299688401</v>
      </c>
      <c r="P6" s="403">
        <f t="shared" si="3"/>
        <v>0.47456523987673904</v>
      </c>
      <c r="Q6" s="403">
        <f t="shared" si="3"/>
        <v>0.33645515793593345</v>
      </c>
      <c r="R6" s="403">
        <f t="shared" si="3"/>
        <v>0.19547622996254349</v>
      </c>
      <c r="S6" s="403">
        <f t="shared" si="3"/>
        <v>5.1538129585105737E-2</v>
      </c>
      <c r="T6" s="407">
        <f>[15]xdecarb_CZ!$B$4*D6</f>
        <v>177.868399769934</v>
      </c>
      <c r="U6" s="407">
        <f>[15]xdecarb_CZ!$B$4*E6</f>
        <v>147.39504761145025</v>
      </c>
      <c r="V6" s="407">
        <f>[15]xdecarb_CZ!$B$4*F6</f>
        <v>118.79422608385539</v>
      </c>
      <c r="W6" s="407">
        <f>[15]xdecarb_CZ!$B$4*G6</f>
        <v>92.122516982683223</v>
      </c>
      <c r="X6" s="407">
        <f>[15]xdecarb_CZ!$B$4*H6</f>
        <v>67.438804922221578</v>
      </c>
      <c r="Y6" s="407">
        <f>[15]xdecarb_CZ!$B$4*I6</f>
        <v>44.804395692599428</v>
      </c>
      <c r="Z6" s="407">
        <f>[15]xdecarb_CZ!$B$4*J6</f>
        <v>24.283141992474267</v>
      </c>
      <c r="AA6" s="408">
        <f>[15]xdecarb_CZ!$B$4*K6</f>
        <v>5.9415770791729399</v>
      </c>
      <c r="AB6" s="175"/>
      <c r="AC6" s="175"/>
      <c r="AD6" s="175"/>
      <c r="AE6" s="175"/>
      <c r="AF6" s="175"/>
      <c r="AG6" s="175"/>
      <c r="AH6" s="175"/>
      <c r="AI6" s="175"/>
      <c r="AJ6" s="176"/>
      <c r="AK6" s="176"/>
      <c r="AL6" s="176"/>
      <c r="AM6" s="176"/>
      <c r="AN6" s="176"/>
      <c r="AO6" s="176"/>
      <c r="AP6" s="176"/>
      <c r="AQ6" s="176"/>
    </row>
    <row r="7" spans="1:43" s="44" customFormat="1" x14ac:dyDescent="0.25">
      <c r="A7" s="391" t="s">
        <v>616</v>
      </c>
      <c r="B7" s="113" t="s">
        <v>1050</v>
      </c>
      <c r="C7" s="15" t="s">
        <v>740</v>
      </c>
      <c r="D7" s="417">
        <f>scen_pct_ccs!T26</f>
        <v>0</v>
      </c>
      <c r="E7" s="417">
        <f>scen_pct_ccs!U26</f>
        <v>7.3974121219066616E-2</v>
      </c>
      <c r="F7" s="417">
        <f>scen_pct_ccs!V26</f>
        <v>0.14151534414809966</v>
      </c>
      <c r="G7" s="417">
        <f>scen_pct_ccs!W26</f>
        <v>0.20242928748848005</v>
      </c>
      <c r="H7" s="417">
        <f>scen_pct_ccs!X26</f>
        <v>0.25651365882997262</v>
      </c>
      <c r="I7" s="417">
        <f>scen_pct_ccs!Y26</f>
        <v>0.30355784804637481</v>
      </c>
      <c r="J7" s="417">
        <f>scen_pct_ccs!Z26</f>
        <v>0.34334249535300182</v>
      </c>
      <c r="K7" s="417">
        <f>scen_pct_ccs!AA26</f>
        <v>0.37563903216452382</v>
      </c>
      <c r="L7" s="404">
        <f t="shared" ref="L7:L8" si="4">D7/SUM(D$6:D$8)</f>
        <v>0</v>
      </c>
      <c r="M7" s="404">
        <f t="shared" si="3"/>
        <v>7.7889186130382093E-2</v>
      </c>
      <c r="N7" s="404">
        <f t="shared" si="3"/>
        <v>0.15733176496465195</v>
      </c>
      <c r="O7" s="404">
        <f t="shared" si="3"/>
        <v>0.23837467498643441</v>
      </c>
      <c r="P7" s="404">
        <f t="shared" si="3"/>
        <v>0.32106676502559484</v>
      </c>
      <c r="Q7" s="404">
        <f t="shared" si="3"/>
        <v>0.40545889244356775</v>
      </c>
      <c r="R7" s="404">
        <f t="shared" si="3"/>
        <v>0.49160402743725246</v>
      </c>
      <c r="S7" s="404">
        <f t="shared" si="3"/>
        <v>0.57955736391097967</v>
      </c>
      <c r="T7" s="409">
        <f>[15]xdecarb_CZ!$B$4*D7</f>
        <v>0</v>
      </c>
      <c r="U7" s="409">
        <f>[15]xdecarb_CZ!$B$4*E7</f>
        <v>13.157658565622498</v>
      </c>
      <c r="V7" s="409">
        <f>[15]xdecarb_CZ!$B$4*F7</f>
        <v>25.17110780651398</v>
      </c>
      <c r="W7" s="409">
        <f>[15]xdecarb_CZ!$B$4*G7</f>
        <v>36.005773432143869</v>
      </c>
      <c r="X7" s="409">
        <f>[15]xdecarb_CZ!$B$4*H7</f>
        <v>45.625674015218031</v>
      </c>
      <c r="Y7" s="409">
        <f>[15]xdecarb_CZ!$B$4*I7</f>
        <v>53.993348669613475</v>
      </c>
      <c r="Z7" s="409">
        <f>[15]xdecarb_CZ!$B$4*J7</f>
        <v>61.069780221454437</v>
      </c>
      <c r="AA7" s="410">
        <f>[15]xdecarb_CZ!$B$4*K7</f>
        <v>66.814313542230622</v>
      </c>
      <c r="AB7" s="175"/>
      <c r="AC7" s="175"/>
      <c r="AD7" s="175"/>
      <c r="AE7" s="175"/>
      <c r="AF7" s="175"/>
      <c r="AG7" s="175"/>
      <c r="AH7" s="175"/>
      <c r="AI7" s="175"/>
      <c r="AJ7" s="176"/>
      <c r="AK7" s="176"/>
      <c r="AL7" s="176"/>
      <c r="AM7" s="176"/>
      <c r="AN7" s="176"/>
      <c r="AO7" s="176"/>
      <c r="AP7" s="176"/>
      <c r="AQ7" s="176"/>
    </row>
    <row r="8" spans="1:43" s="44" customFormat="1" x14ac:dyDescent="0.25">
      <c r="A8" s="391" t="s">
        <v>616</v>
      </c>
      <c r="B8" s="113" t="s">
        <v>1051</v>
      </c>
      <c r="C8" s="15" t="s">
        <v>926</v>
      </c>
      <c r="D8" s="418">
        <f>scen_pct_ccs!T27</f>
        <v>0</v>
      </c>
      <c r="E8" s="418">
        <f>scen_pct_ccs!U27</f>
        <v>4.7086601571630096E-2</v>
      </c>
      <c r="F8" s="418">
        <f>scen_pct_ccs!V27</f>
        <v>9.0078483074378074E-2</v>
      </c>
      <c r="G8" s="418">
        <f>scen_pct_ccs!W27</f>
        <v>0.12885191536337245</v>
      </c>
      <c r="H8" s="418">
        <f>scen_pct_ccs!X27</f>
        <v>0.16327813364945815</v>
      </c>
      <c r="I8" s="418">
        <f>scen_pct_ccs!Y27</f>
        <v>0.19322307868413011</v>
      </c>
      <c r="J8" s="418">
        <f>scen_pct_ccs!Z27</f>
        <v>0.21854712181601554</v>
      </c>
      <c r="K8" s="418">
        <f>scen_pct_ccs!AA27</f>
        <v>0.23910477273401878</v>
      </c>
      <c r="L8" s="405">
        <f t="shared" si="4"/>
        <v>0</v>
      </c>
      <c r="M8" s="405">
        <f t="shared" si="3"/>
        <v>4.9578650122774855E-2</v>
      </c>
      <c r="N8" s="405">
        <f t="shared" si="3"/>
        <v>0.10014607824151445</v>
      </c>
      <c r="O8" s="405">
        <f t="shared" si="3"/>
        <v>0.15173216201668158</v>
      </c>
      <c r="P8" s="405">
        <f t="shared" si="3"/>
        <v>0.20436799509766612</v>
      </c>
      <c r="Q8" s="405">
        <f t="shared" si="3"/>
        <v>0.25808594962049886</v>
      </c>
      <c r="R8" s="405">
        <f t="shared" si="3"/>
        <v>0.312919742600204</v>
      </c>
      <c r="S8" s="405">
        <f t="shared" si="3"/>
        <v>0.36890450650391471</v>
      </c>
      <c r="T8" s="406">
        <f>[15]xdecarb_CZ!$B$4*D8</f>
        <v>0</v>
      </c>
      <c r="U8" s="406">
        <f>[15]xdecarb_CZ!$B$4*E8</f>
        <v>8.3752184721503049</v>
      </c>
      <c r="V8" s="406">
        <f>[15]xdecarb_CZ!$B$4*F8</f>
        <v>16.022115638142711</v>
      </c>
      <c r="W8" s="406">
        <f>[15]xdecarb_CZ!$B$4*G8</f>
        <v>22.918683992974032</v>
      </c>
      <c r="X8" s="406">
        <f>[15]xdecarb_CZ!$B$4*H8</f>
        <v>29.042020349650535</v>
      </c>
      <c r="Y8" s="406">
        <f>[15]xdecarb_CZ!$B$4*I8</f>
        <v>34.368279804166264</v>
      </c>
      <c r="Z8" s="406">
        <f>[15]xdecarb_CZ!$B$4*J8</f>
        <v>38.872626831739517</v>
      </c>
      <c r="AA8" s="411">
        <f>[15]xdecarb_CZ!$B$4*K8</f>
        <v>42.529183303553665</v>
      </c>
      <c r="AB8" s="175"/>
      <c r="AC8" s="175"/>
      <c r="AD8" s="175"/>
      <c r="AE8" s="175"/>
      <c r="AF8" s="175"/>
      <c r="AG8" s="175"/>
      <c r="AH8" s="175"/>
      <c r="AI8" s="175"/>
      <c r="AJ8" s="176"/>
      <c r="AK8" s="176"/>
      <c r="AL8" s="176"/>
      <c r="AM8" s="176"/>
      <c r="AN8" s="176"/>
      <c r="AO8" s="176"/>
      <c r="AP8" s="176"/>
      <c r="AQ8" s="176"/>
    </row>
    <row r="9" spans="1:43" s="44" customFormat="1" x14ac:dyDescent="0.25">
      <c r="A9" s="388" t="s">
        <v>616</v>
      </c>
      <c r="B9" s="389" t="s">
        <v>1041</v>
      </c>
      <c r="C9" s="390" t="s">
        <v>735</v>
      </c>
      <c r="D9" s="416">
        <f>scen_pct_ccs!T11</f>
        <v>1</v>
      </c>
      <c r="E9" s="416">
        <f>scen_pct_ccs!U11</f>
        <v>0.86879006365747169</v>
      </c>
      <c r="F9" s="416">
        <f>scen_pct_ccs!V11</f>
        <v>0.73369772514340537</v>
      </c>
      <c r="G9" s="416">
        <f>scen_pct_ccs!W11</f>
        <v>0.59472298445780047</v>
      </c>
      <c r="H9" s="416">
        <f>scen_pct_ccs!X11</f>
        <v>0.45186584160065774</v>
      </c>
      <c r="I9" s="416">
        <f>scen_pct_ccs!Y11</f>
        <v>0.30512629657197671</v>
      </c>
      <c r="J9" s="416">
        <f>scen_pct_ccs!Z11</f>
        <v>0.1545043493717575</v>
      </c>
      <c r="K9" s="416">
        <f>scen_pct_ccs!AA11</f>
        <v>0</v>
      </c>
      <c r="L9" s="403">
        <f>D9/SUM(D$9:D$11)</f>
        <v>1</v>
      </c>
      <c r="M9" s="403">
        <f t="shared" ref="M9:S11" si="5">E9/SUM(E$9:E$11)</f>
        <v>0.75589048810621584</v>
      </c>
      <c r="N9" s="403">
        <f t="shared" si="5"/>
        <v>0.59869140277272437</v>
      </c>
      <c r="O9" s="403">
        <f t="shared" si="5"/>
        <v>0.47456595881655744</v>
      </c>
      <c r="P9" s="403">
        <f t="shared" si="5"/>
        <v>0.362461461268277</v>
      </c>
      <c r="Q9" s="403">
        <f t="shared" si="5"/>
        <v>0.25120458790120836</v>
      </c>
      <c r="R9" s="403">
        <f t="shared" si="5"/>
        <v>0.13286625515449749</v>
      </c>
      <c r="S9" s="403">
        <f t="shared" si="5"/>
        <v>0</v>
      </c>
      <c r="T9" s="407">
        <f>[15]xdecarb_CZ!$B$5*D9</f>
        <v>896.79049396425603</v>
      </c>
      <c r="U9" s="407">
        <f>[15]xdecarb_CZ!$B$5*E9</f>
        <v>779.12267033862145</v>
      </c>
      <c r="V9" s="407">
        <f>[15]xdecarb_CZ!$B$5*F9</f>
        <v>657.97314535180544</v>
      </c>
      <c r="W9" s="407">
        <f>[15]xdecarb_CZ!$B$5*G9</f>
        <v>533.34191900380745</v>
      </c>
      <c r="X9" s="407">
        <f>[15]xdecarb_CZ!$B$5*H9</f>
        <v>405.22899129462814</v>
      </c>
      <c r="Y9" s="407">
        <f>[15]xdecarb_CZ!$B$5*I9</f>
        <v>273.63436222426708</v>
      </c>
      <c r="Z9" s="407">
        <f>[15]xdecarb_CZ!$B$5*J9</f>
        <v>138.55803179272439</v>
      </c>
      <c r="AA9" s="408">
        <f>[15]xdecarb_CZ!$B$5*K9</f>
        <v>0</v>
      </c>
      <c r="AB9" s="175"/>
      <c r="AC9" s="175"/>
      <c r="AD9" s="175"/>
      <c r="AE9" s="175"/>
      <c r="AF9" s="175"/>
      <c r="AG9" s="175"/>
      <c r="AH9" s="175"/>
      <c r="AI9" s="175"/>
      <c r="AJ9" s="176"/>
      <c r="AK9" s="176"/>
      <c r="AL9" s="176"/>
      <c r="AM9" s="176"/>
      <c r="AN9" s="176"/>
      <c r="AO9" s="176"/>
      <c r="AP9" s="176"/>
      <c r="AQ9" s="176"/>
    </row>
    <row r="10" spans="1:43" s="44" customFormat="1" x14ac:dyDescent="0.25">
      <c r="A10" s="391" t="s">
        <v>616</v>
      </c>
      <c r="B10" s="113" t="s">
        <v>1042</v>
      </c>
      <c r="C10" s="15" t="s">
        <v>736</v>
      </c>
      <c r="D10" s="417">
        <f>scen_pct_ccs!T12</f>
        <v>0</v>
      </c>
      <c r="E10" s="417">
        <f>scen_pct_ccs!U12</f>
        <v>2.2522351547049721E-2</v>
      </c>
      <c r="F10" s="417">
        <f>scen_pct_ccs!V12</f>
        <v>3.9478957895608777E-2</v>
      </c>
      <c r="G10" s="417">
        <f>scen_pct_ccs!W12</f>
        <v>5.2857840034804204E-2</v>
      </c>
      <c r="H10" s="417">
        <f>scen_pct_ccs!X12</f>
        <v>6.380095565560806E-2</v>
      </c>
      <c r="I10" s="417">
        <f>scen_pct_ccs!Y12</f>
        <v>7.3011002471903286E-2</v>
      </c>
      <c r="J10" s="417">
        <f>scen_pct_ccs!Z12</f>
        <v>8.0944094304715011E-2</v>
      </c>
      <c r="K10" s="417">
        <f>scen_pct_ccs!AA12</f>
        <v>8.7909198706350153E-2</v>
      </c>
      <c r="L10" s="404">
        <f t="shared" ref="L10:L11" si="6">D10/SUM(D$9:D$11)</f>
        <v>0</v>
      </c>
      <c r="M10" s="404">
        <f t="shared" si="5"/>
        <v>1.9595564010629885E-2</v>
      </c>
      <c r="N10" s="404">
        <f t="shared" si="5"/>
        <v>3.2214509971265903E-2</v>
      </c>
      <c r="O10" s="404">
        <f t="shared" si="5"/>
        <v>4.2178513682228448E-2</v>
      </c>
      <c r="P10" s="404">
        <f t="shared" si="5"/>
        <v>5.1177552025898868E-2</v>
      </c>
      <c r="Q10" s="404">
        <f t="shared" si="5"/>
        <v>6.0108548474064917E-2</v>
      </c>
      <c r="R10" s="404">
        <f t="shared" si="5"/>
        <v>6.9607999586229624E-2</v>
      </c>
      <c r="S10" s="404">
        <f t="shared" si="5"/>
        <v>8.0273660205245165E-2</v>
      </c>
      <c r="T10" s="409">
        <f>[15]xdecarb_CZ!$B$5*D10</f>
        <v>0</v>
      </c>
      <c r="U10" s="409">
        <f>[15]xdecarb_CZ!$B$5*E10</f>
        <v>20.197830769115345</v>
      </c>
      <c r="V10" s="409">
        <f>[15]xdecarb_CZ!$B$5*F10</f>
        <v>35.404354152397062</v>
      </c>
      <c r="W10" s="409">
        <f>[15]xdecarb_CZ!$B$5*G10</f>
        <v>47.40240847469569</v>
      </c>
      <c r="X10" s="409">
        <f>[15]xdecarb_CZ!$B$5*H10</f>
        <v>57.216090537784346</v>
      </c>
      <c r="Y10" s="409">
        <f>[15]xdecarb_CZ!$B$5*I10</f>
        <v>65.475572971603668</v>
      </c>
      <c r="Z10" s="409">
        <f>[15]xdecarb_CZ!$B$5*J10</f>
        <v>72.589894315014703</v>
      </c>
      <c r="AA10" s="410">
        <f>[15]xdecarb_CZ!$B$5*K10</f>
        <v>78.836133731869694</v>
      </c>
      <c r="AB10" s="175"/>
      <c r="AC10" s="175"/>
      <c r="AD10" s="175"/>
      <c r="AE10" s="175"/>
      <c r="AF10" s="175"/>
      <c r="AG10" s="175"/>
      <c r="AH10" s="175"/>
      <c r="AI10" s="175"/>
      <c r="AJ10" s="176"/>
      <c r="AK10" s="176"/>
      <c r="AL10" s="176"/>
      <c r="AM10" s="176"/>
      <c r="AN10" s="176"/>
      <c r="AO10" s="176"/>
      <c r="AP10" s="176"/>
      <c r="AQ10" s="176"/>
    </row>
    <row r="11" spans="1:43" s="44" customFormat="1" x14ac:dyDescent="0.25">
      <c r="A11" s="392" t="s">
        <v>616</v>
      </c>
      <c r="B11" s="393" t="s">
        <v>1043</v>
      </c>
      <c r="C11" s="394" t="s">
        <v>744</v>
      </c>
      <c r="D11" s="418">
        <f>scen_pct_ccs!T13</f>
        <v>0</v>
      </c>
      <c r="E11" s="418">
        <f>scen_pct_ccs!U13</f>
        <v>0.25804728349219175</v>
      </c>
      <c r="F11" s="418">
        <f>scen_pct_ccs!V13</f>
        <v>0.45232567384372213</v>
      </c>
      <c r="G11" s="418">
        <f>scen_pct_ccs!W13</f>
        <v>0.60561269562603803</v>
      </c>
      <c r="H11" s="418">
        <f>scen_pct_ccs!X13</f>
        <v>0.73099219931553194</v>
      </c>
      <c r="I11" s="418">
        <f>scen_pct_ccs!Y13</f>
        <v>0.83651526411700561</v>
      </c>
      <c r="J11" s="418">
        <f>scen_pct_ccs!Z13</f>
        <v>0.92740776230373756</v>
      </c>
      <c r="K11" s="418">
        <f>scen_pct_ccs!AA13</f>
        <v>1.0072096544963356</v>
      </c>
      <c r="L11" s="405">
        <f t="shared" si="6"/>
        <v>0</v>
      </c>
      <c r="M11" s="405">
        <f t="shared" si="5"/>
        <v>0.22451394788315426</v>
      </c>
      <c r="N11" s="405">
        <f t="shared" si="5"/>
        <v>0.36909408725600962</v>
      </c>
      <c r="O11" s="405">
        <f t="shared" si="5"/>
        <v>0.48325552750121403</v>
      </c>
      <c r="P11" s="405">
        <f t="shared" si="5"/>
        <v>0.58636098670582415</v>
      </c>
      <c r="Q11" s="405">
        <f t="shared" si="5"/>
        <v>0.68868686362472675</v>
      </c>
      <c r="R11" s="405">
        <f t="shared" si="5"/>
        <v>0.79752574525927289</v>
      </c>
      <c r="S11" s="405">
        <f t="shared" si="5"/>
        <v>0.91972633979475493</v>
      </c>
      <c r="T11" s="406">
        <f>[15]xdecarb_CZ!$B$5*D11</f>
        <v>0</v>
      </c>
      <c r="U11" s="406">
        <f>[15]xdecarb_CZ!$B$5*E11</f>
        <v>231.41435082909706</v>
      </c>
      <c r="V11" s="406">
        <f>[15]xdecarb_CZ!$B$5*F11</f>
        <v>405.64136447902655</v>
      </c>
      <c r="W11" s="406">
        <f>[15]xdecarb_CZ!$B$5*G11</f>
        <v>543.10770846149933</v>
      </c>
      <c r="X11" s="406">
        <f>[15]xdecarb_CZ!$B$5*H11</f>
        <v>655.54685550819374</v>
      </c>
      <c r="Y11" s="406">
        <f>[15]xdecarb_CZ!$B$5*I11</f>
        <v>750.1789369161296</v>
      </c>
      <c r="Z11" s="406">
        <f>[15]xdecarb_CZ!$B$5*J11</f>
        <v>831.69046526265413</v>
      </c>
      <c r="AA11" s="411">
        <f>[15]xdecarb_CZ!$B$5*K11</f>
        <v>903.25604358133648</v>
      </c>
      <c r="AB11" s="175"/>
      <c r="AC11" s="175"/>
      <c r="AD11" s="175"/>
      <c r="AE11" s="175"/>
      <c r="AF11" s="175"/>
      <c r="AG11" s="175"/>
      <c r="AH11" s="175"/>
      <c r="AI11" s="175"/>
      <c r="AJ11" s="176"/>
      <c r="AK11" s="176"/>
      <c r="AL11" s="176"/>
      <c r="AM11" s="176"/>
      <c r="AN11" s="176"/>
      <c r="AO11" s="176"/>
      <c r="AP11" s="176"/>
      <c r="AQ11" s="176"/>
    </row>
    <row r="12" spans="1:43" s="44" customFormat="1" x14ac:dyDescent="0.25">
      <c r="A12" s="388" t="s">
        <v>616</v>
      </c>
      <c r="B12" s="389" t="s">
        <v>161</v>
      </c>
      <c r="C12" s="390" t="s">
        <v>160</v>
      </c>
      <c r="D12" s="412">
        <f>scen_pct_ccs!T15</f>
        <v>1</v>
      </c>
      <c r="E12" s="412">
        <f>scen_pct_ccs!U15</f>
        <v>1.0292961675329531</v>
      </c>
      <c r="F12" s="412">
        <f>scen_pct_ccs!V15</f>
        <v>1.0590152945971678</v>
      </c>
      <c r="G12" s="412">
        <f>scen_pct_ccs!W15</f>
        <v>1.0891573811926434</v>
      </c>
      <c r="H12" s="412">
        <f>scen_pct_ccs!X15</f>
        <v>1.1197224273193807</v>
      </c>
      <c r="I12" s="412">
        <f>scen_pct_ccs!Y15</f>
        <v>1.150710432977379</v>
      </c>
      <c r="J12" s="412">
        <f>scen_pct_ccs!Z15</f>
        <v>1.182121398166639</v>
      </c>
      <c r="K12" s="412">
        <f>scen_pct_ccs!AA15</f>
        <v>1.2139553228871598</v>
      </c>
      <c r="L12" s="413">
        <f>D12/SUM(D$12)</f>
        <v>1</v>
      </c>
      <c r="M12" s="413">
        <f t="shared" ref="M12:S12" si="7">E12/SUM(E$12)</f>
        <v>1</v>
      </c>
      <c r="N12" s="413">
        <f t="shared" si="7"/>
        <v>1</v>
      </c>
      <c r="O12" s="413">
        <f t="shared" si="7"/>
        <v>1</v>
      </c>
      <c r="P12" s="413">
        <f t="shared" si="7"/>
        <v>1</v>
      </c>
      <c r="Q12" s="413">
        <f t="shared" si="7"/>
        <v>1</v>
      </c>
      <c r="R12" s="413">
        <f t="shared" si="7"/>
        <v>1</v>
      </c>
      <c r="S12" s="413">
        <f t="shared" si="7"/>
        <v>1</v>
      </c>
      <c r="T12" s="414">
        <f>[15]xdecarb_CZ!$B$6*D12</f>
        <v>178.289135511376</v>
      </c>
      <c r="U12" s="414">
        <f>[15]xdecarb_CZ!$B$6*E12</f>
        <v>183.51232389462265</v>
      </c>
      <c r="V12" s="414">
        <f>[15]xdecarb_CZ!$B$6*F12</f>
        <v>188.81092136705422</v>
      </c>
      <c r="W12" s="414">
        <f>[15]xdecarb_CZ!$B$6*G12</f>
        <v>194.18492792867062</v>
      </c>
      <c r="X12" s="414">
        <f>[15]xdecarb_CZ!$B$6*H12</f>
        <v>199.63434357947193</v>
      </c>
      <c r="Y12" s="414">
        <f>[15]xdecarb_CZ!$B$6*I12</f>
        <v>205.15916831945808</v>
      </c>
      <c r="Z12" s="414">
        <f>[15]xdecarb_CZ!$B$6*J12</f>
        <v>210.75940214862916</v>
      </c>
      <c r="AA12" s="415">
        <f>[15]xdecarb_CZ!$B$6*K12</f>
        <v>216.43504506698505</v>
      </c>
      <c r="AB12" s="175"/>
      <c r="AC12" s="175"/>
      <c r="AD12" s="175"/>
      <c r="AE12" s="175"/>
      <c r="AF12" s="175"/>
      <c r="AG12" s="175"/>
      <c r="AH12" s="175"/>
      <c r="AI12" s="175"/>
      <c r="AJ12" s="176"/>
      <c r="AK12" s="176"/>
      <c r="AL12" s="176"/>
      <c r="AM12" s="176"/>
      <c r="AN12" s="176"/>
      <c r="AO12" s="176"/>
      <c r="AP12" s="176"/>
      <c r="AQ12" s="176"/>
    </row>
    <row r="13" spans="1:43" s="44" customFormat="1" x14ac:dyDescent="0.25">
      <c r="A13" s="388" t="s">
        <v>616</v>
      </c>
      <c r="B13" s="389" t="s">
        <v>1037</v>
      </c>
      <c r="C13" s="390" t="s">
        <v>730</v>
      </c>
      <c r="D13" s="416">
        <f>scen_pct_ccs!T4</f>
        <v>1</v>
      </c>
      <c r="E13" s="416">
        <f>scen_pct_ccs!U4</f>
        <v>0.84576734693877564</v>
      </c>
      <c r="F13" s="416">
        <f>scen_pct_ccs!V4</f>
        <v>0.69532653061224503</v>
      </c>
      <c r="G13" s="416">
        <f>scen_pct_ccs!W4</f>
        <v>0.54867755102040816</v>
      </c>
      <c r="H13" s="416">
        <f>scen_pct_ccs!X4</f>
        <v>0.40582040816326537</v>
      </c>
      <c r="I13" s="416">
        <f>scen_pct_ccs!Y4</f>
        <v>0.26675510204081632</v>
      </c>
      <c r="J13" s="416">
        <f>scen_pct_ccs!Z4</f>
        <v>0.13148163265306129</v>
      </c>
      <c r="K13" s="416">
        <f>scen_pct_ccs!AA4</f>
        <v>0</v>
      </c>
      <c r="L13" s="403">
        <f>D13/SUM(D$13:D$15)</f>
        <v>1</v>
      </c>
      <c r="M13" s="403">
        <f t="shared" ref="M13:S15" si="8">E13/SUM(E$13:E$15)</f>
        <v>0.85360464133713887</v>
      </c>
      <c r="N13" s="403">
        <f t="shared" si="8"/>
        <v>0.70841293031609276</v>
      </c>
      <c r="O13" s="403">
        <f t="shared" si="8"/>
        <v>0.5644100833101845</v>
      </c>
      <c r="P13" s="403">
        <f t="shared" si="8"/>
        <v>0.42158155780922951</v>
      </c>
      <c r="Q13" s="403">
        <f t="shared" si="8"/>
        <v>0.27991304752382684</v>
      </c>
      <c r="R13" s="403">
        <f t="shared" si="8"/>
        <v>0.13939047760845155</v>
      </c>
      <c r="S13" s="403">
        <f t="shared" si="8"/>
        <v>0</v>
      </c>
      <c r="T13" s="407">
        <f>[15]xdecarb_CZ!$B$7*D13</f>
        <v>2344.70679882788</v>
      </c>
      <c r="U13" s="407">
        <f>[15]xdecarb_CZ!$B$7*E13</f>
        <v>1983.0764485939656</v>
      </c>
      <c r="V13" s="407">
        <f>[15]xdecarb_CZ!$B$7*F13</f>
        <v>1630.336843731933</v>
      </c>
      <c r="W13" s="407">
        <f>[15]xdecarb_CZ!$B$7*G13</f>
        <v>1286.487984241782</v>
      </c>
      <c r="X13" s="407">
        <f>[15]xdecarb_CZ!$B$7*H13</f>
        <v>951.52987012351355</v>
      </c>
      <c r="Y13" s="407">
        <f>[15]xdecarb_CZ!$B$7*I13</f>
        <v>625.46250137712696</v>
      </c>
      <c r="Z13" s="407">
        <f>[15]xdecarb_CZ!$B$7*J13</f>
        <v>308.28587800262261</v>
      </c>
      <c r="AA13" s="408">
        <f>[15]xdecarb_CZ!$B$7*K13</f>
        <v>0</v>
      </c>
      <c r="AB13" s="175"/>
      <c r="AC13" s="175"/>
      <c r="AD13" s="175"/>
      <c r="AE13" s="175"/>
      <c r="AF13" s="175"/>
      <c r="AG13" s="175"/>
      <c r="AH13" s="175"/>
      <c r="AI13" s="175"/>
      <c r="AJ13" s="176"/>
      <c r="AK13" s="176"/>
      <c r="AL13" s="176"/>
      <c r="AM13" s="176"/>
      <c r="AN13" s="176"/>
      <c r="AO13" s="176"/>
      <c r="AP13" s="176"/>
      <c r="AQ13" s="176"/>
    </row>
    <row r="14" spans="1:43" s="44" customFormat="1" x14ac:dyDescent="0.25">
      <c r="A14" s="391" t="s">
        <v>616</v>
      </c>
      <c r="B14" s="113" t="s">
        <v>1038</v>
      </c>
      <c r="C14" s="15" t="s">
        <v>731</v>
      </c>
      <c r="D14" s="417">
        <f>scen_pct_ccs!T5</f>
        <v>0</v>
      </c>
      <c r="E14" s="417">
        <f>scen_pct_ccs!U5</f>
        <v>6.1062930875756906E-2</v>
      </c>
      <c r="F14" s="417">
        <f>scen_pct_ccs!V5</f>
        <v>0.12048327766315321</v>
      </c>
      <c r="G14" s="417">
        <f>scen_pct_ccs!W5</f>
        <v>0.17826104036218884</v>
      </c>
      <c r="H14" s="417">
        <f>scen_pct_ccs!X5</f>
        <v>0.23439621897286392</v>
      </c>
      <c r="I14" s="417">
        <f>scen_pct_ccs!Y5</f>
        <v>0.28888881349517836</v>
      </c>
      <c r="J14" s="417">
        <f>scen_pct_ccs!Z5</f>
        <v>0.34173882392913218</v>
      </c>
      <c r="K14" s="417">
        <f>scen_pct_ccs!AA5</f>
        <v>0.39294625027472535</v>
      </c>
      <c r="L14" s="404">
        <f t="shared" ref="L14:L15" si="9">D14/SUM(D$13:D$15)</f>
        <v>0</v>
      </c>
      <c r="M14" s="404">
        <f t="shared" si="8"/>
        <v>6.1628769895000636E-2</v>
      </c>
      <c r="N14" s="404">
        <f t="shared" si="8"/>
        <v>0.12275083435733168</v>
      </c>
      <c r="O14" s="404">
        <f t="shared" si="8"/>
        <v>0.18337241692259587</v>
      </c>
      <c r="P14" s="404">
        <f t="shared" si="8"/>
        <v>0.24349963962240703</v>
      </c>
      <c r="Q14" s="404">
        <f t="shared" si="8"/>
        <v>0.30313852504536093</v>
      </c>
      <c r="R14" s="404">
        <f t="shared" si="8"/>
        <v>0.36229499834799306</v>
      </c>
      <c r="S14" s="404">
        <f t="shared" si="8"/>
        <v>0.42097488921713438</v>
      </c>
      <c r="T14" s="409">
        <f>[15]xdecarb_CZ!$B$7*D14</f>
        <v>0</v>
      </c>
      <c r="U14" s="409">
        <f>[15]xdecarb_CZ!$B$7*E14</f>
        <v>143.17466918074408</v>
      </c>
      <c r="V14" s="409">
        <f>[15]xdecarb_CZ!$B$7*F14</f>
        <v>282.49796028186256</v>
      </c>
      <c r="W14" s="409">
        <f>[15]xdecarb_CZ!$B$7*G14</f>
        <v>417.96987330335531</v>
      </c>
      <c r="X14" s="409">
        <f>[15]xdecarb_CZ!$B$7*H14</f>
        <v>549.59040824522253</v>
      </c>
      <c r="Y14" s="409">
        <f>[15]xdecarb_CZ!$B$7*I14</f>
        <v>677.35956510746416</v>
      </c>
      <c r="Z14" s="409">
        <f>[15]xdecarb_CZ!$B$7*J14</f>
        <v>801.27734389008003</v>
      </c>
      <c r="AA14" s="410">
        <f>[15]xdecarb_CZ!$B$7*K14</f>
        <v>921.34374459307026</v>
      </c>
      <c r="AB14" s="175"/>
      <c r="AC14" s="175"/>
      <c r="AD14" s="175"/>
      <c r="AE14" s="175"/>
      <c r="AF14" s="175"/>
      <c r="AG14" s="175"/>
      <c r="AH14" s="175"/>
      <c r="AI14" s="175"/>
      <c r="AJ14" s="176"/>
      <c r="AK14" s="176"/>
      <c r="AL14" s="176"/>
      <c r="AM14" s="176"/>
      <c r="AN14" s="176"/>
      <c r="AO14" s="176"/>
      <c r="AP14" s="176"/>
      <c r="AQ14" s="176"/>
    </row>
    <row r="15" spans="1:43" s="44" customFormat="1" x14ac:dyDescent="0.25">
      <c r="A15" s="392" t="s">
        <v>616</v>
      </c>
      <c r="B15" s="393" t="s">
        <v>1039</v>
      </c>
      <c r="C15" s="394" t="s">
        <v>746</v>
      </c>
      <c r="D15" s="418">
        <f>scen_pct_ccs!T6</f>
        <v>0</v>
      </c>
      <c r="E15" s="418">
        <f>scen_pct_ccs!U6</f>
        <v>8.3988311941391974E-2</v>
      </c>
      <c r="F15" s="418">
        <f>scen_pct_ccs!V6</f>
        <v>0.16571735032967042</v>
      </c>
      <c r="G15" s="418">
        <f>scen_pct_ccs!W6</f>
        <v>0.24518711516483521</v>
      </c>
      <c r="H15" s="418">
        <f>scen_pct_ccs!X6</f>
        <v>0.32239760644688659</v>
      </c>
      <c r="I15" s="418">
        <f>scen_pct_ccs!Y6</f>
        <v>0.39734882417582434</v>
      </c>
      <c r="J15" s="418">
        <f>scen_pct_ccs!Z6</f>
        <v>0.47004076835164854</v>
      </c>
      <c r="K15" s="418">
        <f>scen_pct_ccs!AA6</f>
        <v>0.54047343897435918</v>
      </c>
      <c r="L15" s="405">
        <f t="shared" si="9"/>
        <v>0</v>
      </c>
      <c r="M15" s="405">
        <f t="shared" si="8"/>
        <v>8.4766588767860543E-2</v>
      </c>
      <c r="N15" s="405">
        <f t="shared" si="8"/>
        <v>0.16883623532657555</v>
      </c>
      <c r="O15" s="405">
        <f t="shared" si="8"/>
        <v>0.25221749976721963</v>
      </c>
      <c r="P15" s="405">
        <f t="shared" si="8"/>
        <v>0.33491880256836343</v>
      </c>
      <c r="Q15" s="405">
        <f t="shared" si="8"/>
        <v>0.41694842743081229</v>
      </c>
      <c r="R15" s="405">
        <f t="shared" si="8"/>
        <v>0.49831452404355542</v>
      </c>
      <c r="S15" s="405">
        <f t="shared" si="8"/>
        <v>0.57902511078286567</v>
      </c>
      <c r="T15" s="406">
        <f>[15]xdecarb_CZ!$B$7*D15</f>
        <v>0</v>
      </c>
      <c r="U15" s="406">
        <f>[15]xdecarb_CZ!$B$7*E15</f>
        <v>196.92796603105859</v>
      </c>
      <c r="V15" s="406">
        <f>[15]xdecarb_CZ!$B$7*F15</f>
        <v>388.55859800171982</v>
      </c>
      <c r="W15" s="406">
        <f>[15]xdecarb_CZ!$B$7*G15</f>
        <v>574.89189591198351</v>
      </c>
      <c r="X15" s="406">
        <f>[15]xdecarb_CZ!$B$7*H15</f>
        <v>755.92785976185019</v>
      </c>
      <c r="Y15" s="406">
        <f>[15]xdecarb_CZ!$B$7*I15</f>
        <v>931.66648955131927</v>
      </c>
      <c r="Z15" s="406">
        <f>[15]xdecarb_CZ!$B$7*J15</f>
        <v>1102.107785280391</v>
      </c>
      <c r="AA15" s="411">
        <f>[15]xdecarb_CZ!$B$7*K15</f>
        <v>1267.2517469490654</v>
      </c>
      <c r="AB15" s="175"/>
      <c r="AC15" s="175"/>
      <c r="AD15" s="175"/>
      <c r="AE15" s="175"/>
      <c r="AF15" s="175"/>
      <c r="AG15" s="175"/>
      <c r="AH15" s="175"/>
      <c r="AI15" s="175"/>
      <c r="AJ15" s="176"/>
      <c r="AK15" s="176"/>
      <c r="AL15" s="176"/>
      <c r="AM15" s="176"/>
      <c r="AN15" s="176"/>
      <c r="AO15" s="176"/>
      <c r="AP15" s="176"/>
      <c r="AQ15" s="176"/>
    </row>
    <row r="16" spans="1:43" s="44" customFormat="1" x14ac:dyDescent="0.25">
      <c r="A16" s="388" t="s">
        <v>616</v>
      </c>
      <c r="B16" s="389" t="s">
        <v>1040</v>
      </c>
      <c r="C16" s="390" t="s">
        <v>166</v>
      </c>
      <c r="D16" s="412">
        <f>scen_pct_ccs!T8</f>
        <v>1</v>
      </c>
      <c r="E16" s="412">
        <f>scen_pct_ccs!U8</f>
        <v>1.1425972253299554</v>
      </c>
      <c r="F16" s="412">
        <f>scen_pct_ccs!V8</f>
        <v>1.2946953195392841</v>
      </c>
      <c r="G16" s="412">
        <f>scen_pct_ccs!W8</f>
        <v>1.456294282627985</v>
      </c>
      <c r="H16" s="412">
        <f>scen_pct_ccs!X8</f>
        <v>1.6273941145960591</v>
      </c>
      <c r="I16" s="412">
        <f>scen_pct_ccs!Y8</f>
        <v>1.8079948154435057</v>
      </c>
      <c r="J16" s="412">
        <f>scen_pct_ccs!Z8</f>
        <v>1.9980963851703248</v>
      </c>
      <c r="K16" s="412">
        <f>scen_pct_ccs!AA8</f>
        <v>2.1976988237765176</v>
      </c>
      <c r="L16" s="413">
        <f>D16/SUM(D$16)</f>
        <v>1</v>
      </c>
      <c r="M16" s="413">
        <f t="shared" ref="M16:S16" si="10">E16/SUM(E$16)</f>
        <v>1</v>
      </c>
      <c r="N16" s="413">
        <f t="shared" si="10"/>
        <v>1</v>
      </c>
      <c r="O16" s="413">
        <f t="shared" si="10"/>
        <v>1</v>
      </c>
      <c r="P16" s="413">
        <f t="shared" si="10"/>
        <v>1</v>
      </c>
      <c r="Q16" s="413">
        <f t="shared" si="10"/>
        <v>1</v>
      </c>
      <c r="R16" s="413">
        <f t="shared" si="10"/>
        <v>1</v>
      </c>
      <c r="S16" s="413">
        <f t="shared" si="10"/>
        <v>1</v>
      </c>
      <c r="T16" s="414">
        <f>[15]xdecarb_CZ!$B$8*D16</f>
        <v>612.11938289500404</v>
      </c>
      <c r="U16" s="414">
        <f>[15]xdecarb_CZ!$B$8*E16</f>
        <v>699.40590846651617</v>
      </c>
      <c r="V16" s="414">
        <f>[15]xdecarb_CZ!$B$8*F16</f>
        <v>792.50810003343668</v>
      </c>
      <c r="W16" s="414">
        <f>[15]xdecarb_CZ!$B$8*G16</f>
        <v>891.42595759576477</v>
      </c>
      <c r="X16" s="414">
        <f>[15]xdecarb_CZ!$B$8*H16</f>
        <v>996.15948115350113</v>
      </c>
      <c r="Y16" s="414">
        <f>[15]xdecarb_CZ!$B$8*I16</f>
        <v>1106.7086707066455</v>
      </c>
      <c r="Z16" s="414">
        <f>[15]xdecarb_CZ!$B$8*J16</f>
        <v>1223.0735262551975</v>
      </c>
      <c r="AA16" s="415">
        <f>[15]xdecarb_CZ!$B$8*K16</f>
        <v>1345.2540477991581</v>
      </c>
      <c r="AB16" s="175"/>
      <c r="AC16" s="175"/>
      <c r="AD16" s="175"/>
      <c r="AE16" s="175"/>
      <c r="AF16" s="175"/>
      <c r="AG16" s="175"/>
      <c r="AH16" s="175"/>
      <c r="AI16" s="175"/>
      <c r="AJ16" s="176"/>
      <c r="AK16" s="176"/>
      <c r="AL16" s="176"/>
      <c r="AM16" s="176"/>
      <c r="AN16" s="176"/>
      <c r="AO16" s="176"/>
      <c r="AP16" s="176"/>
      <c r="AQ16" s="176"/>
    </row>
    <row r="17" spans="1:43" s="44" customFormat="1" x14ac:dyDescent="0.25">
      <c r="A17" s="388" t="s">
        <v>616</v>
      </c>
      <c r="B17" s="389" t="s">
        <v>1052</v>
      </c>
      <c r="C17" s="390" t="s">
        <v>733</v>
      </c>
      <c r="D17" s="416">
        <f>scen_pct_ccs!T30</f>
        <v>0.98556495769039332</v>
      </c>
      <c r="E17" s="416">
        <f>scen_pct_ccs!U30</f>
        <v>0.9670560266777436</v>
      </c>
      <c r="F17" s="416">
        <f>scen_pct_ccs!V30</f>
        <v>0.8012906604193909</v>
      </c>
      <c r="G17" s="416">
        <f>scen_pct_ccs!W30</f>
        <v>0.53178534318889603</v>
      </c>
      <c r="H17" s="416">
        <f>scen_pct_ccs!X30</f>
        <v>0.21735082149081741</v>
      </c>
      <c r="I17" s="416">
        <f>scen_pct_ccs!Y30</f>
        <v>0</v>
      </c>
      <c r="J17" s="416">
        <f>scen_pct_ccs!Z30</f>
        <v>0</v>
      </c>
      <c r="K17" s="416">
        <f>scen_pct_ccs!AA30</f>
        <v>0</v>
      </c>
      <c r="L17" s="403">
        <f>D17/SUM(D$17:D$18)</f>
        <v>0.98556495769039332</v>
      </c>
      <c r="M17" s="403">
        <f t="shared" ref="M17:S18" si="11">E17/SUM(E$17:E$18)</f>
        <v>0.93469041560644606</v>
      </c>
      <c r="N17" s="403">
        <f t="shared" si="11"/>
        <v>0.73530138136555978</v>
      </c>
      <c r="O17" s="403">
        <f t="shared" si="11"/>
        <v>0.48013245033112584</v>
      </c>
      <c r="P17" s="403">
        <f t="shared" si="11"/>
        <v>0.18758085381630016</v>
      </c>
      <c r="Q17" s="403">
        <f t="shared" si="11"/>
        <v>0</v>
      </c>
      <c r="R17" s="403">
        <f t="shared" si="11"/>
        <v>0</v>
      </c>
      <c r="S17" s="403">
        <f t="shared" si="11"/>
        <v>0</v>
      </c>
      <c r="T17" s="407">
        <f>[15]xdecarb_CZ!$B$9*D17</f>
        <v>34610.745364040493</v>
      </c>
      <c r="U17" s="407">
        <f>[15]xdecarb_CZ!$B$9*E17</f>
        <v>33960.754824867268</v>
      </c>
      <c r="V17" s="407">
        <f>[15]xdecarb_CZ!$B$9*F17</f>
        <v>28139.461325157568</v>
      </c>
      <c r="W17" s="407">
        <f>[15]xdecarb_CZ!$B$9*G17</f>
        <v>18675.062417571964</v>
      </c>
      <c r="X17" s="407">
        <f>[15]xdecarb_CZ!$B$9*H17</f>
        <v>7632.854515153007</v>
      </c>
      <c r="Y17" s="407">
        <f>[15]xdecarb_CZ!$B$9*I17</f>
        <v>0</v>
      </c>
      <c r="Z17" s="407">
        <f>[15]xdecarb_CZ!$B$9*J17</f>
        <v>0</v>
      </c>
      <c r="AA17" s="408">
        <f>[15]xdecarb_CZ!$B$9*K17</f>
        <v>0</v>
      </c>
      <c r="AB17" s="175"/>
      <c r="AC17" s="175"/>
      <c r="AD17" s="175"/>
      <c r="AE17" s="175"/>
      <c r="AF17" s="175"/>
      <c r="AG17" s="175"/>
      <c r="AH17" s="175"/>
      <c r="AI17" s="175"/>
      <c r="AJ17" s="176"/>
      <c r="AK17" s="176"/>
      <c r="AL17" s="176"/>
      <c r="AM17" s="176"/>
      <c r="AN17" s="176"/>
      <c r="AO17" s="176"/>
      <c r="AP17" s="176"/>
      <c r="AQ17" s="176"/>
    </row>
    <row r="18" spans="1:43" s="44" customFormat="1" x14ac:dyDescent="0.25">
      <c r="A18" s="392" t="s">
        <v>616</v>
      </c>
      <c r="B18" s="393" t="s">
        <v>1053</v>
      </c>
      <c r="C18" s="394" t="s">
        <v>734</v>
      </c>
      <c r="D18" s="418">
        <f>scen_pct_ccs!T31</f>
        <v>1.4435042309606768E-2</v>
      </c>
      <c r="E18" s="418">
        <f>scen_pct_ccs!U31</f>
        <v>6.7571065384924009E-2</v>
      </c>
      <c r="F18" s="418">
        <f>scen_pct_ccs!V31</f>
        <v>0.28845387253834626</v>
      </c>
      <c r="G18" s="418">
        <f>scen_pct_ccs!W31</f>
        <v>0.57579516469418401</v>
      </c>
      <c r="H18" s="418">
        <f>scen_pct_ccs!X31</f>
        <v>0.94135390273264363</v>
      </c>
      <c r="I18" s="418">
        <f>scen_pct_ccs!Y31</f>
        <v>1.2020650694812716</v>
      </c>
      <c r="J18" s="418">
        <f>scen_pct_ccs!Z31</f>
        <v>1.2277084025847704</v>
      </c>
      <c r="K18" s="418">
        <f>scen_pct_ccs!AA31</f>
        <v>1.2536223777263011</v>
      </c>
      <c r="L18" s="405">
        <f>D18/SUM(D$17:D$18)</f>
        <v>1.4435042309606768E-2</v>
      </c>
      <c r="M18" s="405">
        <f t="shared" si="11"/>
        <v>6.530958439355386E-2</v>
      </c>
      <c r="N18" s="405">
        <f t="shared" si="11"/>
        <v>0.26469861863444027</v>
      </c>
      <c r="O18" s="405">
        <f t="shared" si="11"/>
        <v>0.51986754966887416</v>
      </c>
      <c r="P18" s="405">
        <f t="shared" si="11"/>
        <v>0.81241914618369993</v>
      </c>
      <c r="Q18" s="405">
        <f t="shared" si="11"/>
        <v>1</v>
      </c>
      <c r="R18" s="405">
        <f t="shared" si="11"/>
        <v>1</v>
      </c>
      <c r="S18" s="405">
        <f t="shared" si="11"/>
        <v>1</v>
      </c>
      <c r="T18" s="406">
        <f>[15]xdecarb_CZ!$B$9*D18</f>
        <v>506.92505836220914</v>
      </c>
      <c r="U18" s="406">
        <f>[15]xdecarb_CZ!$B$9*E18</f>
        <v>2372.9384042783845</v>
      </c>
      <c r="V18" s="406">
        <f>[15]xdecarb_CZ!$B$9*F18</f>
        <v>10129.828027867401</v>
      </c>
      <c r="W18" s="406">
        <f>[15]xdecarb_CZ!$B$9*G18</f>
        <v>20220.584824543435</v>
      </c>
      <c r="X18" s="406">
        <f>[15]xdecarb_CZ!$B$9*H18</f>
        <v>33058.156107007504</v>
      </c>
      <c r="Y18" s="406">
        <f>[15]xdecarb_CZ!$B$9*I18</f>
        <v>42213.724936325896</v>
      </c>
      <c r="Z18" s="406">
        <f>[15]xdecarb_CZ!$B$9*J18</f>
        <v>43114.259056786454</v>
      </c>
      <c r="AA18" s="411">
        <f>[15]xdecarb_CZ!$B$9*K18</f>
        <v>44024.297495141065</v>
      </c>
      <c r="AB18" s="175"/>
      <c r="AC18" s="175"/>
      <c r="AD18" s="175"/>
      <c r="AE18" s="175"/>
      <c r="AF18" s="175"/>
      <c r="AG18" s="175"/>
      <c r="AH18" s="175"/>
      <c r="AI18" s="175"/>
      <c r="AJ18" s="176"/>
      <c r="AK18" s="176"/>
      <c r="AL18" s="176"/>
      <c r="AM18" s="176"/>
      <c r="AN18" s="176"/>
      <c r="AO18" s="176"/>
      <c r="AP18" s="176"/>
      <c r="AQ18" s="176"/>
    </row>
    <row r="19" spans="1:43" x14ac:dyDescent="0.25">
      <c r="A19" s="391" t="s">
        <v>616</v>
      </c>
      <c r="B19" s="15" t="s">
        <v>2</v>
      </c>
      <c r="C19" s="15" t="s">
        <v>3</v>
      </c>
      <c r="D19" s="419">
        <f>scen_pct_ccs!T34</f>
        <v>0.50086203722103262</v>
      </c>
      <c r="E19" s="419">
        <f>scen_pct_ccs!U34</f>
        <v>0.39604275038087633</v>
      </c>
      <c r="F19" s="419">
        <f>scen_pct_ccs!V34</f>
        <v>0.24130781218094849</v>
      </c>
      <c r="G19" s="419">
        <f>scen_pct_ccs!W34</f>
        <v>0.16010563240856479</v>
      </c>
      <c r="H19" s="419">
        <f>scen_pct_ccs!X34</f>
        <v>0.14348929523913775</v>
      </c>
      <c r="I19" s="419">
        <f>scen_pct_ccs!Y34</f>
        <v>2.1667935750453917E-2</v>
      </c>
      <c r="J19" s="419">
        <f>scen_pct_ccs!Z34</f>
        <v>0</v>
      </c>
      <c r="K19" s="419">
        <f>scen_pct_ccs!AA34</f>
        <v>0</v>
      </c>
      <c r="L19" s="403">
        <f>D19/SUM(D$19:D$31)</f>
        <v>0.50086203722103262</v>
      </c>
      <c r="M19" s="403">
        <f t="shared" ref="M19:S31" si="12">E19/SUM(E$19:E$31)</f>
        <v>0.43147706263294644</v>
      </c>
      <c r="N19" s="403">
        <f t="shared" si="12"/>
        <v>0.26091559562950511</v>
      </c>
      <c r="O19" s="403">
        <f t="shared" si="12"/>
        <v>0.16476007787754116</v>
      </c>
      <c r="P19" s="403">
        <f t="shared" si="12"/>
        <v>0.13178620694225179</v>
      </c>
      <c r="Q19" s="403">
        <f t="shared" si="12"/>
        <v>1.8269138377851043E-2</v>
      </c>
      <c r="R19" s="403">
        <f t="shared" si="12"/>
        <v>0</v>
      </c>
      <c r="S19" s="403">
        <f t="shared" si="12"/>
        <v>0</v>
      </c>
      <c r="T19" s="395">
        <f>[15]xdecarb_CZ!B10</f>
        <v>2857.8017298236</v>
      </c>
      <c r="U19" s="395">
        <f t="shared" ref="U19:AA23" si="13">IFERROR($T19*E19/$D19,0)</f>
        <v>2259.7273760300804</v>
      </c>
      <c r="V19" s="395">
        <f t="shared" si="13"/>
        <v>1376.8459811745226</v>
      </c>
      <c r="W19" s="395">
        <f t="shared" si="13"/>
        <v>913.52532084554662</v>
      </c>
      <c r="X19" s="395">
        <f t="shared" si="13"/>
        <v>818.71638429768655</v>
      </c>
      <c r="Y19" s="395">
        <f t="shared" si="13"/>
        <v>123.6321774613297</v>
      </c>
      <c r="Z19" s="395">
        <f t="shared" si="13"/>
        <v>0</v>
      </c>
      <c r="AA19" s="396">
        <f t="shared" si="13"/>
        <v>0</v>
      </c>
      <c r="AB19" s="177">
        <f>scen_input_bau!D50</f>
        <v>9656.4015500000005</v>
      </c>
      <c r="AC19" s="177">
        <f>scen_input_bau!E50</f>
        <v>10043.422550000003</v>
      </c>
      <c r="AD19" s="177">
        <f>scen_input_bau!F50</f>
        <v>9970.7425500000008</v>
      </c>
      <c r="AE19" s="177">
        <f>scen_input_bau!G50</f>
        <v>9354.0625500000006</v>
      </c>
      <c r="AF19" s="177">
        <f>scen_input_bau!H50</f>
        <v>5533.9675500000003</v>
      </c>
      <c r="AG19" s="177">
        <f>scen_input_bau!I50</f>
        <v>2803.0445500000001</v>
      </c>
      <c r="AH19" s="177">
        <f>scen_input_bau!J50</f>
        <v>1892.0527500000001</v>
      </c>
      <c r="AI19" s="177">
        <f>scen_input_bau!K50</f>
        <v>1788.8687500000001</v>
      </c>
      <c r="AJ19" s="177">
        <f>el_capacity!T2+AB19/lifespan!C2</f>
        <v>241.41003875000001</v>
      </c>
      <c r="AK19" s="177">
        <f>MAX((AC19-AB19),0)/5+AC19/lifespan!D2/5</f>
        <v>127.6213127500005</v>
      </c>
      <c r="AL19" s="177">
        <f>MAX((AD19-AC19),0)/5+AD19/lifespan!E2/5</f>
        <v>49.853712750000007</v>
      </c>
      <c r="AM19" s="177">
        <f>MAX((AE19-AD19),0)/5+AE19/lifespan!F2/5</f>
        <v>46.770312750000002</v>
      </c>
      <c r="AN19" s="177">
        <f>MAX((AF19-AE19),0)/5+AF19/lifespan!G2/5</f>
        <v>27.669837749999999</v>
      </c>
      <c r="AO19" s="177">
        <f>MAX((AG19-AF19),0)/5+AG19/lifespan!H2/5</f>
        <v>14.015222750000001</v>
      </c>
      <c r="AP19" s="177">
        <f>MAX((AH19-AG19),0)/5+AH19/lifespan!I2/5</f>
        <v>9.4602637499999993</v>
      </c>
      <c r="AQ19" s="177">
        <f>MAX((AI19-AH19),0)/5+AI19/lifespan!J2/5</f>
        <v>8.9443437499999998</v>
      </c>
    </row>
    <row r="20" spans="1:43" x14ac:dyDescent="0.25">
      <c r="A20" s="391" t="s">
        <v>616</v>
      </c>
      <c r="B20" s="15" t="s">
        <v>4</v>
      </c>
      <c r="C20" s="15" t="s">
        <v>5</v>
      </c>
      <c r="D20" s="420">
        <f>scen_pct_ccs!T35</f>
        <v>5.3882907337272308E-2</v>
      </c>
      <c r="E20" s="420">
        <f>scen_pct_ccs!U35</f>
        <v>3.5856531065000981E-2</v>
      </c>
      <c r="F20" s="420">
        <f>scen_pct_ccs!V35</f>
        <v>4.2860125354729973E-2</v>
      </c>
      <c r="G20" s="420">
        <f>scen_pct_ccs!W35</f>
        <v>8.9061218568554243E-2</v>
      </c>
      <c r="H20" s="420">
        <f>scen_pct_ccs!X35</f>
        <v>0.18136571543727836</v>
      </c>
      <c r="I20" s="420">
        <f>scen_pct_ccs!Y35</f>
        <v>0.24891236295559685</v>
      </c>
      <c r="J20" s="420">
        <f>scen_pct_ccs!Z35</f>
        <v>0.26963535513575576</v>
      </c>
      <c r="K20" s="420">
        <f>scen_pct_ccs!AA35</f>
        <v>0.33444648281219286</v>
      </c>
      <c r="L20" s="404">
        <f t="shared" ref="L20:L31" si="14">D20/SUM(D$19:D$31)</f>
        <v>5.3882907337272308E-2</v>
      </c>
      <c r="M20" s="404">
        <f t="shared" si="12"/>
        <v>3.9064648160469589E-2</v>
      </c>
      <c r="N20" s="404">
        <f t="shared" si="12"/>
        <v>4.6342781174854665E-2</v>
      </c>
      <c r="O20" s="404">
        <f t="shared" si="12"/>
        <v>9.1650325391293017E-2</v>
      </c>
      <c r="P20" s="404">
        <f t="shared" si="12"/>
        <v>0.16657339954881464</v>
      </c>
      <c r="Q20" s="404">
        <f t="shared" si="12"/>
        <v>0.20986837210362413</v>
      </c>
      <c r="R20" s="404">
        <f t="shared" si="12"/>
        <v>0.21372955553311804</v>
      </c>
      <c r="S20" s="404">
        <f t="shared" si="12"/>
        <v>0.25808762246087802</v>
      </c>
      <c r="T20" s="119">
        <f>[15]xdecarb_CZ!B11</f>
        <v>102.987242586044</v>
      </c>
      <c r="U20" s="119">
        <f t="shared" si="13"/>
        <v>68.533147997581978</v>
      </c>
      <c r="V20" s="119">
        <f t="shared" si="13"/>
        <v>81.919227178050079</v>
      </c>
      <c r="W20" s="119">
        <f t="shared" si="13"/>
        <v>170.22409841986641</v>
      </c>
      <c r="X20" s="119">
        <f t="shared" si="13"/>
        <v>346.64712532335977</v>
      </c>
      <c r="Y20" s="119">
        <f t="shared" si="13"/>
        <v>475.75008798089078</v>
      </c>
      <c r="Z20" s="119">
        <f t="shared" si="13"/>
        <v>515.35826668231039</v>
      </c>
      <c r="AA20" s="397">
        <f t="shared" si="13"/>
        <v>639.23278753006014</v>
      </c>
      <c r="AB20" s="177">
        <f>scen_input_bau!D51</f>
        <v>929.36387122515339</v>
      </c>
      <c r="AC20" s="177">
        <f>scen_input_bau!E51</f>
        <v>590.43262792372616</v>
      </c>
      <c r="AD20" s="177">
        <f>scen_input_bau!F51</f>
        <v>807.06856322273904</v>
      </c>
      <c r="AE20" s="177">
        <f>scen_input_bau!G51</f>
        <v>475.63079690764778</v>
      </c>
      <c r="AF20" s="177">
        <f>scen_input_bau!H51</f>
        <v>1231.6816818122829</v>
      </c>
      <c r="AG20" s="177">
        <f>scen_input_bau!I51</f>
        <v>1837.6945512113639</v>
      </c>
      <c r="AH20" s="177">
        <f>scen_input_bau!J51</f>
        <v>2571.3754267239383</v>
      </c>
      <c r="AI20" s="177">
        <f>scen_input_bau!K51</f>
        <v>3422.8673719977669</v>
      </c>
      <c r="AJ20" s="177">
        <f>el_capacity!T3+AB20/lifespan!C3</f>
        <v>560.97879570750513</v>
      </c>
      <c r="AK20" s="177">
        <f>MAX((AC20-AB20),0)/5+AC20/lifespan!D3/5</f>
        <v>3.9362175194915077</v>
      </c>
      <c r="AL20" s="177">
        <f>MAX((AD20-AC20),0)/5+AD20/lifespan!E3/5</f>
        <v>48.70764414795417</v>
      </c>
      <c r="AM20" s="177">
        <f>MAX((AE20-AD20),0)/5+AE20/lifespan!F3/5</f>
        <v>3.1708719793843185</v>
      </c>
      <c r="AN20" s="177">
        <f>MAX((AF20-AE20),0)/5+AF20/lifespan!G3/5</f>
        <v>159.42138819300891</v>
      </c>
      <c r="AO20" s="177">
        <f>MAX((AG20-AF20),0)/5+AG20/lifespan!H3/5</f>
        <v>133.45387088789195</v>
      </c>
      <c r="AP20" s="177">
        <f>MAX((AH20-AG20),0)/5+AH20/lifespan!I3/5</f>
        <v>163.87867794734115</v>
      </c>
      <c r="AQ20" s="177">
        <f>MAX((AI20-AH20),0)/5+AI20/lifespan!J3/5</f>
        <v>193.11750486808415</v>
      </c>
    </row>
    <row r="21" spans="1:43" x14ac:dyDescent="0.25">
      <c r="A21" s="391" t="s">
        <v>616</v>
      </c>
      <c r="B21" s="15" t="s">
        <v>6</v>
      </c>
      <c r="C21" s="15" t="s">
        <v>7</v>
      </c>
      <c r="D21" s="420">
        <f>scen_pct_ccs!T36</f>
        <v>0.33383772064129019</v>
      </c>
      <c r="E21" s="420">
        <f>scen_pct_ccs!U36</f>
        <v>0.3747419059676117</v>
      </c>
      <c r="F21" s="420">
        <f>scen_pct_ccs!V36</f>
        <v>0.39322269477726207</v>
      </c>
      <c r="G21" s="420">
        <f>scen_pct_ccs!W36</f>
        <v>0.38967129397377814</v>
      </c>
      <c r="H21" s="420">
        <f>scen_pct_ccs!X36</f>
        <v>0.38657308473170154</v>
      </c>
      <c r="I21" s="420">
        <f>scen_pct_ccs!Y36</f>
        <v>0.47827924701921687</v>
      </c>
      <c r="J21" s="420">
        <f>scen_pct_ccs!Z36</f>
        <v>0.473700908154918</v>
      </c>
      <c r="K21" s="420">
        <f>scen_pct_ccs!AA36</f>
        <v>0.40638185583919501</v>
      </c>
      <c r="L21" s="404">
        <f t="shared" si="14"/>
        <v>0.33383772064129019</v>
      </c>
      <c r="M21" s="404">
        <f t="shared" si="12"/>
        <v>0.40827041191102825</v>
      </c>
      <c r="N21" s="404">
        <f t="shared" si="12"/>
        <v>0.42517452168483355</v>
      </c>
      <c r="O21" s="404">
        <f t="shared" si="12"/>
        <v>0.40099946376606949</v>
      </c>
      <c r="P21" s="404">
        <f t="shared" si="12"/>
        <v>0.35504391082172543</v>
      </c>
      <c r="Q21" s="404">
        <f t="shared" si="12"/>
        <v>0.40325713753629849</v>
      </c>
      <c r="R21" s="404">
        <f t="shared" si="12"/>
        <v>0.37548445568130639</v>
      </c>
      <c r="S21" s="404">
        <f t="shared" si="12"/>
        <v>0.31359913282052143</v>
      </c>
      <c r="T21" s="119">
        <f>[15]xdecarb_CZ!B12</f>
        <v>1705.85788789408</v>
      </c>
      <c r="U21" s="119">
        <f t="shared" si="13"/>
        <v>1914.8717975647676</v>
      </c>
      <c r="V21" s="119">
        <f t="shared" si="13"/>
        <v>2009.3057018727864</v>
      </c>
      <c r="W21" s="119">
        <f t="shared" si="13"/>
        <v>1991.1586061459798</v>
      </c>
      <c r="X21" s="119">
        <f t="shared" si="13"/>
        <v>1975.3272475332076</v>
      </c>
      <c r="Y21" s="119">
        <f t="shared" si="13"/>
        <v>2443.9312147725641</v>
      </c>
      <c r="Z21" s="119">
        <f t="shared" si="13"/>
        <v>2420.5366281748798</v>
      </c>
      <c r="AA21" s="397">
        <f t="shared" si="13"/>
        <v>2076.5469310917188</v>
      </c>
      <c r="AB21" s="177">
        <f>scen_input_bau!D52</f>
        <v>4006.08</v>
      </c>
      <c r="AC21" s="177">
        <f>scen_input_bau!E52</f>
        <v>4006.08</v>
      </c>
      <c r="AD21" s="177">
        <f>scen_input_bau!F52</f>
        <v>4006.08</v>
      </c>
      <c r="AE21" s="177">
        <f>scen_input_bau!G52</f>
        <v>4006.08</v>
      </c>
      <c r="AF21" s="177">
        <f>scen_input_bau!H52</f>
        <v>4006.08</v>
      </c>
      <c r="AG21" s="177">
        <f>scen_input_bau!I52</f>
        <v>5206.08</v>
      </c>
      <c r="AH21" s="177">
        <f>scen_input_bau!J52</f>
        <v>5206.08</v>
      </c>
      <c r="AI21" s="177">
        <f>scen_input_bau!K52</f>
        <v>4447.68</v>
      </c>
      <c r="AJ21" s="177">
        <f>el_capacity!T4+AB21/lifespan!C4</f>
        <v>66.768000000000001</v>
      </c>
      <c r="AK21" s="177">
        <f>MAX((AC21-AB21),0)/5+AC21/lifespan!D4/5</f>
        <v>13.3536</v>
      </c>
      <c r="AL21" s="177">
        <f>MAX((AD21-AC21),0)/5+AD21/lifespan!E4/5</f>
        <v>13.3536</v>
      </c>
      <c r="AM21" s="177">
        <f>MAX((AE21-AD21),0)/5+AE21/lifespan!F4/5</f>
        <v>13.3536</v>
      </c>
      <c r="AN21" s="177">
        <f>MAX((AF21-AE21),0)/5+AF21/lifespan!G4/5</f>
        <v>13.3536</v>
      </c>
      <c r="AO21" s="177">
        <f>MAX((AG21-AF21),0)/5+AG21/lifespan!H4/5</f>
        <v>257.35360000000003</v>
      </c>
      <c r="AP21" s="177">
        <f>MAX((AH21-AG21),0)/5+AH21/lifespan!I4/5</f>
        <v>17.3536</v>
      </c>
      <c r="AQ21" s="177">
        <f>MAX((AI21-AH21),0)/5+AI21/lifespan!J4/5</f>
        <v>14.8256</v>
      </c>
    </row>
    <row r="22" spans="1:43" x14ac:dyDescent="0.25">
      <c r="A22" s="391" t="s">
        <v>616</v>
      </c>
      <c r="B22" s="15" t="s">
        <v>8</v>
      </c>
      <c r="C22" s="15" t="s">
        <v>9</v>
      </c>
      <c r="D22" s="420">
        <f>scen_pct_ccs!T37</f>
        <v>2.2398987911322985E-2</v>
      </c>
      <c r="E22" s="420">
        <f>scen_pct_ccs!U37</f>
        <v>3.1517166035199606E-2</v>
      </c>
      <c r="F22" s="420">
        <f>scen_pct_ccs!V37</f>
        <v>2.9355744732952816E-2</v>
      </c>
      <c r="G22" s="420">
        <f>scen_pct_ccs!W37</f>
        <v>3.0178490472202953E-2</v>
      </c>
      <c r="H22" s="420">
        <f>scen_pct_ccs!X37</f>
        <v>3.0231777275776903E-2</v>
      </c>
      <c r="I22" s="420">
        <f>scen_pct_ccs!Y37</f>
        <v>3.0827928901308525E-2</v>
      </c>
      <c r="J22" s="420">
        <f>scen_pct_ccs!Z37</f>
        <v>3.0938668395874006E-2</v>
      </c>
      <c r="K22" s="420">
        <f>scen_pct_ccs!AA37</f>
        <v>3.0932827987772287E-2</v>
      </c>
      <c r="L22" s="404">
        <f t="shared" si="14"/>
        <v>2.2398987911322985E-2</v>
      </c>
      <c r="M22" s="404">
        <f t="shared" si="12"/>
        <v>3.4337036116188539E-2</v>
      </c>
      <c r="N22" s="404">
        <f t="shared" si="12"/>
        <v>3.1741084355787826E-2</v>
      </c>
      <c r="O22" s="404">
        <f t="shared" si="12"/>
        <v>3.1055812126199789E-2</v>
      </c>
      <c r="P22" s="404">
        <f t="shared" si="12"/>
        <v>2.7766052161993609E-2</v>
      </c>
      <c r="Q22" s="404">
        <f t="shared" si="12"/>
        <v>2.5992309811457726E-2</v>
      </c>
      <c r="R22" s="404">
        <f t="shared" si="12"/>
        <v>2.452389020611714E-2</v>
      </c>
      <c r="S22" s="404">
        <f t="shared" si="12"/>
        <v>2.3870426037156119E-2</v>
      </c>
      <c r="T22" s="119">
        <f>[15]xdecarb_CZ!B13</f>
        <v>108.06680701051999</v>
      </c>
      <c r="U22" s="119">
        <f t="shared" si="13"/>
        <v>152.05863376187071</v>
      </c>
      <c r="V22" s="119">
        <f t="shared" si="13"/>
        <v>141.63057783081442</v>
      </c>
      <c r="W22" s="119">
        <f t="shared" si="13"/>
        <v>145.60002079735693</v>
      </c>
      <c r="X22" s="119">
        <f t="shared" si="13"/>
        <v>145.85710985606045</v>
      </c>
      <c r="Y22" s="119">
        <f t="shared" si="13"/>
        <v>148.73332028665612</v>
      </c>
      <c r="Z22" s="119">
        <f t="shared" si="13"/>
        <v>149.26759726537625</v>
      </c>
      <c r="AA22" s="397">
        <f t="shared" si="13"/>
        <v>149.23941946298223</v>
      </c>
      <c r="AB22" s="177">
        <f>scen_input_bau!D53</f>
        <v>1088.0000000000002</v>
      </c>
      <c r="AC22" s="177">
        <f>scen_input_bau!E53</f>
        <v>1090</v>
      </c>
      <c r="AD22" s="177">
        <f>scen_input_bau!F53</f>
        <v>1105.0879081016769</v>
      </c>
      <c r="AE22" s="177">
        <f>scen_input_bau!G53</f>
        <v>1116.3626101561376</v>
      </c>
      <c r="AF22" s="177">
        <f>scen_input_bau!H53</f>
        <v>1116.3626101561376</v>
      </c>
      <c r="AG22" s="177">
        <f>scen_input_bau!I53</f>
        <v>1126.8289114720083</v>
      </c>
      <c r="AH22" s="177">
        <f>scen_input_bau!J53</f>
        <v>1130.7872351795957</v>
      </c>
      <c r="AI22" s="177">
        <f>scen_input_bau!K53</f>
        <v>1131.3137251686019</v>
      </c>
      <c r="AJ22" s="177">
        <f>el_capacity!T5+AB22/lifespan!C5</f>
        <v>26.133333333333336</v>
      </c>
      <c r="AK22" s="177">
        <f>MAX((AC22-AB22),0)/5+AC22/lifespan!D5/5</f>
        <v>4.0333333333332879</v>
      </c>
      <c r="AL22" s="177">
        <f>MAX((AD22-AC22),0)/5+AD22/lifespan!E5/5</f>
        <v>6.7012079806743099</v>
      </c>
      <c r="AM22" s="177">
        <f>MAX((AE22-AD22),0)/5+AE22/lifespan!F5/5</f>
        <v>5.9761491114125995</v>
      </c>
      <c r="AN22" s="177">
        <f>MAX((AF22-AE22),0)/5+AF22/lifespan!G5/5</f>
        <v>3.7212087005204588</v>
      </c>
      <c r="AO22" s="177">
        <f>MAX((AG22-AF22),0)/5+AG22/lifespan!H5/5</f>
        <v>5.849356634747485</v>
      </c>
      <c r="AP22" s="177">
        <f>MAX((AH22-AG22),0)/5+AH22/lifespan!I5/5</f>
        <v>4.5609555254494651</v>
      </c>
      <c r="AQ22" s="177">
        <f>MAX((AI22-AH22),0)/5+AI22/lifespan!J5/5</f>
        <v>3.8763437483632508</v>
      </c>
    </row>
    <row r="23" spans="1:43" x14ac:dyDescent="0.25">
      <c r="A23" s="391" t="s">
        <v>616</v>
      </c>
      <c r="B23" s="15" t="s">
        <v>342</v>
      </c>
      <c r="C23" s="15" t="s">
        <v>336</v>
      </c>
      <c r="D23" s="420">
        <f>scen_pct_ccs!T38</f>
        <v>7.0191001782551254E-3</v>
      </c>
      <c r="E23" s="420">
        <f>scen_pct_ccs!U38</f>
        <v>9.8942468179843267E-3</v>
      </c>
      <c r="F23" s="420">
        <f>scen_pct_ccs!V38</f>
        <v>0.14022981784491256</v>
      </c>
      <c r="G23" s="420">
        <f>scen_pct_ccs!W38</f>
        <v>0.19965832815341286</v>
      </c>
      <c r="H23" s="420">
        <f>scen_pct_ccs!X38</f>
        <v>0.23254047972988257</v>
      </c>
      <c r="I23" s="420">
        <f>scen_pct_ccs!Y38</f>
        <v>0.25211557789937916</v>
      </c>
      <c r="J23" s="420">
        <f>scen_pct_ccs!Z38</f>
        <v>0.2638869691211419</v>
      </c>
      <c r="K23" s="420">
        <f>scen_pct_ccs!AA38</f>
        <v>0.26982653949516944</v>
      </c>
      <c r="L23" s="404">
        <f t="shared" si="14"/>
        <v>7.0191001782551254E-3</v>
      </c>
      <c r="M23" s="404">
        <f t="shared" si="12"/>
        <v>1.0779494258848572E-2</v>
      </c>
      <c r="N23" s="404">
        <f t="shared" si="12"/>
        <v>0.15162437600895476</v>
      </c>
      <c r="O23" s="404">
        <f t="shared" si="12"/>
        <v>0.20546261365441024</v>
      </c>
      <c r="P23" s="404">
        <f t="shared" si="12"/>
        <v>0.21357431391003162</v>
      </c>
      <c r="Q23" s="404">
        <f t="shared" si="12"/>
        <v>0.21256913592976448</v>
      </c>
      <c r="R23" s="404">
        <f t="shared" si="12"/>
        <v>0.209173031455192</v>
      </c>
      <c r="S23" s="404">
        <f t="shared" si="12"/>
        <v>0.2082213257846097</v>
      </c>
      <c r="T23" s="119">
        <f>[15]xdecarb_CZ!B14</f>
        <v>21.322554890018601</v>
      </c>
      <c r="U23" s="119">
        <f t="shared" si="13"/>
        <v>30.056647649144647</v>
      </c>
      <c r="V23" s="119">
        <f t="shared" si="13"/>
        <v>425.98878948594165</v>
      </c>
      <c r="W23" s="119">
        <f t="shared" si="13"/>
        <v>606.52014548662464</v>
      </c>
      <c r="X23" s="119">
        <f t="shared" si="13"/>
        <v>706.40922871459497</v>
      </c>
      <c r="Y23" s="119">
        <f t="shared" si="13"/>
        <v>765.87427332097525</v>
      </c>
      <c r="Z23" s="119">
        <f t="shared" si="13"/>
        <v>801.63329215297529</v>
      </c>
      <c r="AA23" s="397">
        <f t="shared" si="13"/>
        <v>819.67646180535849</v>
      </c>
      <c r="AB23" s="177">
        <f>scen_input_bau!D54</f>
        <v>281.05</v>
      </c>
      <c r="AC23" s="177">
        <f>scen_input_bau!E54</f>
        <v>396.10000000000014</v>
      </c>
      <c r="AD23" s="177">
        <f>scen_input_bau!F54</f>
        <v>1372.1767250444027</v>
      </c>
      <c r="AE23" s="177">
        <f>scen_input_bau!G54</f>
        <v>1629.060259793333</v>
      </c>
      <c r="AF23" s="177">
        <f>scen_input_bau!H54</f>
        <v>2681.6223856387073</v>
      </c>
      <c r="AG23" s="177">
        <f>scen_input_bau!I54</f>
        <v>3309.8098873589252</v>
      </c>
      <c r="AH23" s="177">
        <f>scen_input_bau!J54</f>
        <v>3670.7201120503883</v>
      </c>
      <c r="AI23" s="177">
        <f>scen_input_bau!K54</f>
        <v>3846.4538872799581</v>
      </c>
      <c r="AJ23" s="177">
        <f>el_capacity!T6+AB23/lifespan!C6</f>
        <v>17.052500000000002</v>
      </c>
      <c r="AK23" s="177">
        <f>MAX((AC23-AB23),0)/5+AC23/lifespan!D6/5</f>
        <v>26.610909090909118</v>
      </c>
      <c r="AL23" s="177">
        <f>MAX((AD23-AC23),0)/5+AD23/lifespan!E6/5</f>
        <v>206.89344479649245</v>
      </c>
      <c r="AM23" s="177">
        <f>MAX((AE23-AD23),0)/5+AE23/lifespan!F6/5</f>
        <v>64.409189028132715</v>
      </c>
      <c r="AN23" s="177">
        <f>MAX((AF23-AE23),0)/5+AF23/lifespan!G6/5</f>
        <v>231.96540425418453</v>
      </c>
      <c r="AO23" s="177">
        <f>MAX((AG23-AF23),0)/5+AG23/lifespan!H6/5</f>
        <v>152.11597944291495</v>
      </c>
      <c r="AP23" s="177">
        <f>MAX((AH23-AG23),0)/5+AH23/lifespan!I6/5</f>
        <v>101.54780583469572</v>
      </c>
      <c r="AQ23" s="177">
        <f>MAX((AI23-AH23),0)/5+AI23/lifespan!J6/5</f>
        <v>65.918386144153629</v>
      </c>
    </row>
    <row r="24" spans="1:43" x14ac:dyDescent="0.25">
      <c r="A24" s="391" t="s">
        <v>616</v>
      </c>
      <c r="B24" s="15" t="s">
        <v>343</v>
      </c>
      <c r="C24" s="15" t="s">
        <v>337</v>
      </c>
      <c r="D24" s="420">
        <f>scen_pct_ccs!T39</f>
        <v>0</v>
      </c>
      <c r="E24" s="420">
        <f>scen_pct_ccs!U39</f>
        <v>0</v>
      </c>
      <c r="F24" s="420">
        <f>scen_pct_ccs!V39</f>
        <v>0</v>
      </c>
      <c r="G24" s="420">
        <f>scen_pct_ccs!W39</f>
        <v>0</v>
      </c>
      <c r="H24" s="420">
        <f>scen_pct_ccs!X39</f>
        <v>0</v>
      </c>
      <c r="I24" s="420">
        <f>scen_pct_ccs!Y39</f>
        <v>0</v>
      </c>
      <c r="J24" s="420">
        <f>scen_pct_ccs!Z39</f>
        <v>0</v>
      </c>
      <c r="K24" s="420">
        <f>scen_pct_ccs!AA39</f>
        <v>0</v>
      </c>
      <c r="L24" s="404">
        <f t="shared" si="14"/>
        <v>0</v>
      </c>
      <c r="M24" s="404">
        <f t="shared" si="12"/>
        <v>0</v>
      </c>
      <c r="N24" s="404">
        <f t="shared" si="12"/>
        <v>0</v>
      </c>
      <c r="O24" s="404">
        <f t="shared" si="12"/>
        <v>0</v>
      </c>
      <c r="P24" s="404">
        <f t="shared" si="12"/>
        <v>0</v>
      </c>
      <c r="Q24" s="404">
        <f t="shared" si="12"/>
        <v>0</v>
      </c>
      <c r="R24" s="404">
        <f t="shared" si="12"/>
        <v>0</v>
      </c>
      <c r="S24" s="404">
        <f t="shared" si="12"/>
        <v>0</v>
      </c>
      <c r="T24" s="119">
        <f>[15]xdecarb_CZ!B15</f>
        <v>0</v>
      </c>
      <c r="U24" s="174">
        <f>IFERROR([16]x2015el_repl!$A20*E24/el_replacements!$D2,0)</f>
        <v>0</v>
      </c>
      <c r="V24" s="174">
        <f>IFERROR([16]x2015el_repl!$A20*F24/el_replacements!$D2,0)</f>
        <v>0</v>
      </c>
      <c r="W24" s="174">
        <f>IFERROR([16]x2015el_repl!$A20*G24/el_replacements!$D2,0)</f>
        <v>0</v>
      </c>
      <c r="X24" s="174">
        <f>IFERROR([16]x2015el_repl!$A20*H24/el_replacements!$D2,0)</f>
        <v>0</v>
      </c>
      <c r="Y24" s="174">
        <f>IFERROR([16]x2015el_repl!$A20*I24/el_replacements!$D2,0)</f>
        <v>0</v>
      </c>
      <c r="Z24" s="174">
        <f>IFERROR([16]x2015el_repl!$A20*J24/el_replacements!$D2,0)</f>
        <v>0</v>
      </c>
      <c r="AA24" s="398">
        <f>IFERROR([16]x2015el_repl!$A20*K24/el_replacements!$D2,0)</f>
        <v>0</v>
      </c>
      <c r="AB24" s="177">
        <f>scen_input_bau!D55</f>
        <v>0</v>
      </c>
      <c r="AC24" s="177">
        <f>scen_input_bau!E55</f>
        <v>0</v>
      </c>
      <c r="AD24" s="177">
        <f>scen_input_bau!F55</f>
        <v>0</v>
      </c>
      <c r="AE24" s="177">
        <f>scen_input_bau!G55</f>
        <v>0</v>
      </c>
      <c r="AF24" s="177">
        <f>scen_input_bau!H55</f>
        <v>0</v>
      </c>
      <c r="AG24" s="177">
        <f>scen_input_bau!I55</f>
        <v>0</v>
      </c>
      <c r="AH24" s="177">
        <f>scen_input_bau!J55</f>
        <v>0</v>
      </c>
      <c r="AI24" s="177">
        <f>scen_input_bau!K55</f>
        <v>0</v>
      </c>
      <c r="AJ24" s="177">
        <f>el_capacity!T7+AB24/lifespan!C7</f>
        <v>0</v>
      </c>
      <c r="AK24" s="177">
        <f>MAX((AC24-AB24),0)/5+AC24/lifespan!D7/5</f>
        <v>0</v>
      </c>
      <c r="AL24" s="177">
        <f>MAX((AD24-AC24),0)/5+AD24/lifespan!E7/5</f>
        <v>0</v>
      </c>
      <c r="AM24" s="177">
        <f>MAX((AE24-AD24),0)/5+AE24/lifespan!F7/5</f>
        <v>0</v>
      </c>
      <c r="AN24" s="177">
        <f>MAX((AF24-AE24),0)/5+AF24/lifespan!G7/5</f>
        <v>0</v>
      </c>
      <c r="AO24" s="177">
        <f>MAX((AG24-AF24),0)/5+AG24/lifespan!H7/5</f>
        <v>0</v>
      </c>
      <c r="AP24" s="177">
        <f>MAX((AH24-AG24),0)/5+AH24/lifespan!I7/5</f>
        <v>0</v>
      </c>
      <c r="AQ24" s="177">
        <f>MAX((AI24-AH24),0)/5+AI24/lifespan!J7/5</f>
        <v>0</v>
      </c>
    </row>
    <row r="25" spans="1:43" x14ac:dyDescent="0.25">
      <c r="A25" s="391" t="s">
        <v>616</v>
      </c>
      <c r="B25" s="399" t="s">
        <v>10</v>
      </c>
      <c r="C25" s="399" t="s">
        <v>11</v>
      </c>
      <c r="D25" s="420">
        <f>scen_pct_ccs!T40</f>
        <v>2.3135979454853373E-3</v>
      </c>
      <c r="E25" s="420">
        <f>scen_pct_ccs!U40</f>
        <v>1.6346179395416048E-3</v>
      </c>
      <c r="F25" s="420">
        <f>scen_pct_ccs!V40</f>
        <v>1.5307255926064179E-3</v>
      </c>
      <c r="G25" s="420">
        <f>scen_pct_ccs!W40</f>
        <v>1.5315972630096915E-3</v>
      </c>
      <c r="H25" s="420">
        <f>scen_pct_ccs!X40</f>
        <v>1.2535478234338335E-3</v>
      </c>
      <c r="I25" s="420">
        <f>scen_pct_ccs!Y40</f>
        <v>1.2236357885644304E-3</v>
      </c>
      <c r="J25" s="420">
        <f>scen_pct_ccs!Z40</f>
        <v>7.8309730825145275E-4</v>
      </c>
      <c r="K25" s="420">
        <f>scen_pct_ccs!AA40</f>
        <v>2.0081996641303085E-4</v>
      </c>
      <c r="L25" s="404">
        <f t="shared" si="14"/>
        <v>2.3135979454853373E-3</v>
      </c>
      <c r="M25" s="404">
        <f t="shared" si="12"/>
        <v>1.7808687228897389E-3</v>
      </c>
      <c r="N25" s="404">
        <f t="shared" si="12"/>
        <v>1.6551067125864191E-3</v>
      </c>
      <c r="O25" s="404">
        <f t="shared" si="12"/>
        <v>1.5761224669882787E-3</v>
      </c>
      <c r="P25" s="404">
        <f t="shared" si="12"/>
        <v>1.1513075773056059E-3</v>
      </c>
      <c r="Q25" s="404">
        <f t="shared" si="12"/>
        <v>1.0316982569466109E-3</v>
      </c>
      <c r="R25" s="404">
        <f t="shared" si="12"/>
        <v>6.2073105935049329E-4</v>
      </c>
      <c r="S25" s="404">
        <f t="shared" si="12"/>
        <v>1.5496992893573638E-4</v>
      </c>
      <c r="T25" s="119">
        <f>[15]xdecarb_CZ!B16</f>
        <v>8.0865215949541902</v>
      </c>
      <c r="U25" s="119">
        <f t="shared" ref="U25:AA28" si="15">IFERROR($T25*E25/$D25,0)</f>
        <v>5.7133406836725955</v>
      </c>
      <c r="V25" s="119">
        <f t="shared" si="15"/>
        <v>5.3502146233814143</v>
      </c>
      <c r="W25" s="119">
        <f t="shared" si="15"/>
        <v>5.3532612986058234</v>
      </c>
      <c r="X25" s="119">
        <f t="shared" si="15"/>
        <v>4.3814188045447331</v>
      </c>
      <c r="Y25" s="119">
        <f t="shared" si="15"/>
        <v>4.2768698199675059</v>
      </c>
      <c r="Z25" s="119">
        <f t="shared" si="15"/>
        <v>2.7370932389021712</v>
      </c>
      <c r="AA25" s="397">
        <f t="shared" si="15"/>
        <v>0.70190890265347572</v>
      </c>
      <c r="AB25" s="177">
        <f>scen_input_bau!D56</f>
        <v>133.93011999999999</v>
      </c>
      <c r="AC25" s="177">
        <f>scen_input_bau!E56</f>
        <v>71.85011999999999</v>
      </c>
      <c r="AD25" s="177">
        <f>scen_input_bau!F56</f>
        <v>63.702119999999987</v>
      </c>
      <c r="AE25" s="177">
        <f>scen_input_bau!G56</f>
        <v>63.702119999999987</v>
      </c>
      <c r="AF25" s="177">
        <f>scen_input_bau!H56</f>
        <v>44.702120000000001</v>
      </c>
      <c r="AG25" s="177">
        <f>scen_input_bau!I56</f>
        <v>41.204299999999996</v>
      </c>
      <c r="AH25" s="177">
        <f>scen_input_bau!J56</f>
        <v>41.204299999999996</v>
      </c>
      <c r="AI25" s="177">
        <f>scen_input_bau!K56</f>
        <v>24.104299999999999</v>
      </c>
      <c r="AJ25" s="177">
        <f>el_capacity!T8+AB25/lifespan!C8</f>
        <v>3.8265748571428566</v>
      </c>
      <c r="AK25" s="177">
        <f>MAX((AC25-AB25),0)/5+AC25/lifespan!D8/5</f>
        <v>0.41057211428571422</v>
      </c>
      <c r="AL25" s="177">
        <f>MAX((AD25-AC25),0)/5+AD25/lifespan!E8/5</f>
        <v>0.36401211428571423</v>
      </c>
      <c r="AM25" s="177">
        <f>MAX((AE25-AD25),0)/5+AE25/lifespan!F8/5</f>
        <v>0.36401211428571423</v>
      </c>
      <c r="AN25" s="177">
        <f>MAX((AF25-AE25),0)/5+AF25/lifespan!G8/5</f>
        <v>0.25544068571428574</v>
      </c>
      <c r="AO25" s="177">
        <f>MAX((AG25-AF25),0)/5+AG25/lifespan!H8/5</f>
        <v>0.23545314285714283</v>
      </c>
      <c r="AP25" s="177">
        <f>MAX((AH25-AG25),0)/5+AH25/lifespan!I8/5</f>
        <v>0.23545314285714283</v>
      </c>
      <c r="AQ25" s="177">
        <f>MAX((AI25-AH25),0)/5+AI25/lifespan!J8/5</f>
        <v>0.13773885714285714</v>
      </c>
    </row>
    <row r="26" spans="1:43" x14ac:dyDescent="0.25">
      <c r="A26" s="391" t="s">
        <v>616</v>
      </c>
      <c r="B26" s="15" t="s">
        <v>12</v>
      </c>
      <c r="C26" s="15" t="s">
        <v>13</v>
      </c>
      <c r="D26" s="420">
        <f>scen_pct_ccs!T41</f>
        <v>5.1504785957370923E-2</v>
      </c>
      <c r="E26" s="420">
        <f>scen_pct_ccs!U41</f>
        <v>4.000863753988157E-2</v>
      </c>
      <c r="F26" s="420">
        <f>scen_pct_ccs!V41</f>
        <v>2.3976505470970182E-2</v>
      </c>
      <c r="G26" s="420">
        <f>scen_pct_ccs!W41</f>
        <v>4.2580916457430985E-2</v>
      </c>
      <c r="H26" s="420">
        <f>scen_pct_ccs!X41</f>
        <v>4.8545279072132345E-2</v>
      </c>
      <c r="I26" s="420">
        <f>scen_pct_ccs!Y41</f>
        <v>7.1119546575377557E-2</v>
      </c>
      <c r="J26" s="420">
        <f>scen_pct_ccs!Z41</f>
        <v>8.1922461484742817E-2</v>
      </c>
      <c r="K26" s="420">
        <f>scen_pct_ccs!AA41</f>
        <v>0.1081911316774274</v>
      </c>
      <c r="L26" s="404">
        <f t="shared" si="14"/>
        <v>5.1504785957370923E-2</v>
      </c>
      <c r="M26" s="404">
        <f t="shared" si="12"/>
        <v>4.3588247453217106E-2</v>
      </c>
      <c r="N26" s="404">
        <f t="shared" si="12"/>
        <v>2.5924747937216507E-2</v>
      </c>
      <c r="O26" s="404">
        <f t="shared" si="12"/>
        <v>4.3818790170483124E-2</v>
      </c>
      <c r="P26" s="404">
        <f t="shared" si="12"/>
        <v>4.4585891813094691E-2</v>
      </c>
      <c r="Q26" s="404">
        <f t="shared" si="12"/>
        <v>5.9963849474141823E-2</v>
      </c>
      <c r="R26" s="404">
        <f t="shared" si="12"/>
        <v>6.4936778311203008E-2</v>
      </c>
      <c r="S26" s="404">
        <f t="shared" si="12"/>
        <v>8.3489566734833806E-2</v>
      </c>
      <c r="T26" s="119">
        <f>[15]xdecarb_CZ!B17</f>
        <v>337.32365507763399</v>
      </c>
      <c r="U26" s="119">
        <f t="shared" si="15"/>
        <v>262.03118018584212</v>
      </c>
      <c r="V26" s="119">
        <f t="shared" si="15"/>
        <v>157.03089161754079</v>
      </c>
      <c r="W26" s="119">
        <f t="shared" si="15"/>
        <v>278.87797432775102</v>
      </c>
      <c r="X26" s="119">
        <f t="shared" si="15"/>
        <v>317.94076354242065</v>
      </c>
      <c r="Y26" s="119">
        <f t="shared" si="15"/>
        <v>465.78788654954303</v>
      </c>
      <c r="Z26" s="119">
        <f t="shared" si="15"/>
        <v>536.54012199686349</v>
      </c>
      <c r="AA26" s="397">
        <f t="shared" si="15"/>
        <v>708.583237577604</v>
      </c>
      <c r="AB26" s="177">
        <f>scen_input_bau!D57</f>
        <v>527.71737877484657</v>
      </c>
      <c r="AC26" s="177">
        <f>scen_input_bau!E57</f>
        <v>645.74488236674006</v>
      </c>
      <c r="AD26" s="177">
        <f>scen_input_bau!F57</f>
        <v>744.9352136228008</v>
      </c>
      <c r="AE26" s="177">
        <f>scen_input_bau!G57</f>
        <v>771.22411156162445</v>
      </c>
      <c r="AF26" s="177">
        <f>scen_input_bau!H57</f>
        <v>896.09943377609989</v>
      </c>
      <c r="AG26" s="177">
        <f>scen_input_bau!I57</f>
        <v>1076.0345635893809</v>
      </c>
      <c r="AH26" s="177">
        <f>scen_input_bau!J57</f>
        <v>1238.7265148613149</v>
      </c>
      <c r="AI26" s="177">
        <f>scen_input_bau!K57</f>
        <v>1543.8614019411211</v>
      </c>
      <c r="AJ26" s="177">
        <f>el_capacity!T9+AB26/lifespan!C9</f>
        <v>48.108695150993867</v>
      </c>
      <c r="AK26" s="177">
        <f>MAX((AC26-AB26),0)/5+AC26/lifespan!D9/5</f>
        <v>28.771459777312621</v>
      </c>
      <c r="AL26" s="177">
        <f>MAX((AD26-AC26),0)/5+AD26/lifespan!E9/5</f>
        <v>25.797547960194553</v>
      </c>
      <c r="AM26" s="177">
        <f>MAX((AE26-AD26),0)/5+AE26/lifespan!F9/5</f>
        <v>11.427572480257727</v>
      </c>
      <c r="AN26" s="177">
        <f>MAX((AF26-AE26),0)/5+AF26/lifespan!G9/5</f>
        <v>32.143859913103881</v>
      </c>
      <c r="AO26" s="177">
        <f>MAX((AG26-AF26),0)/5+AG26/lifespan!H9/5</f>
        <v>44.595302471371255</v>
      </c>
      <c r="AP26" s="177">
        <f>MAX((AH26-AG26),0)/5+AH26/lifespan!I9/5</f>
        <v>42.448202373277297</v>
      </c>
      <c r="AQ26" s="177">
        <f>MAX((AI26-AH26),0)/5+AI26/lifespan!J9/5</f>
        <v>73.37786863149023</v>
      </c>
    </row>
    <row r="27" spans="1:43" x14ac:dyDescent="0.25">
      <c r="A27" s="391" t="s">
        <v>616</v>
      </c>
      <c r="B27" s="15" t="s">
        <v>340</v>
      </c>
      <c r="C27" s="15" t="s">
        <v>338</v>
      </c>
      <c r="D27" s="420">
        <f>scen_pct_ccs!T42</f>
        <v>1.8433470403823538E-2</v>
      </c>
      <c r="E27" s="420">
        <f>scen_pct_ccs!U42</f>
        <v>1.8433470403823538E-2</v>
      </c>
      <c r="F27" s="420">
        <f>scen_pct_ccs!V42</f>
        <v>3.4253719061183706E-2</v>
      </c>
      <c r="G27" s="420">
        <f>scen_pct_ccs!W42</f>
        <v>3.8568262273493886E-2</v>
      </c>
      <c r="H27" s="420">
        <f>scen_pct_ccs!X42</f>
        <v>4.1489125176208994E-2</v>
      </c>
      <c r="I27" s="420">
        <f>scen_pct_ccs!Y42</f>
        <v>4.9608577672457355E-2</v>
      </c>
      <c r="J27" s="420">
        <f>scen_pct_ccs!Z42</f>
        <v>6.3312861407365001E-2</v>
      </c>
      <c r="K27" s="420">
        <f>scen_pct_ccs!AA42</f>
        <v>6.3426685177556424E-2</v>
      </c>
      <c r="L27" s="404">
        <f t="shared" si="14"/>
        <v>1.8433470403823538E-2</v>
      </c>
      <c r="M27" s="404">
        <f t="shared" si="12"/>
        <v>2.0082730100031112E-2</v>
      </c>
      <c r="N27" s="404">
        <f t="shared" si="12"/>
        <v>3.7037050025851136E-2</v>
      </c>
      <c r="O27" s="404">
        <f t="shared" si="12"/>
        <v>3.9689483750119166E-2</v>
      </c>
      <c r="P27" s="404">
        <f t="shared" si="12"/>
        <v>3.8105242814193668E-2</v>
      </c>
      <c r="Q27" s="404">
        <f t="shared" si="12"/>
        <v>4.1827056377878959E-2</v>
      </c>
      <c r="R27" s="404">
        <f t="shared" si="12"/>
        <v>5.0185665456642478E-2</v>
      </c>
      <c r="S27" s="404">
        <f t="shared" si="12"/>
        <v>4.8945476240043043E-2</v>
      </c>
      <c r="T27" s="119">
        <f>[15]xdecarb_CZ!B18</f>
        <v>73.433125828821801</v>
      </c>
      <c r="U27" s="119">
        <f t="shared" si="15"/>
        <v>73.433125828821801</v>
      </c>
      <c r="V27" s="119">
        <f t="shared" si="15"/>
        <v>136.45600132915123</v>
      </c>
      <c r="W27" s="119">
        <f t="shared" si="15"/>
        <v>153.64377919531717</v>
      </c>
      <c r="X27" s="119">
        <f t="shared" si="15"/>
        <v>165.27957475442827</v>
      </c>
      <c r="Y27" s="119">
        <f t="shared" si="15"/>
        <v>197.6249098300456</v>
      </c>
      <c r="Z27" s="119">
        <f t="shared" si="15"/>
        <v>252.21844918282036</v>
      </c>
      <c r="AA27" s="397">
        <f t="shared" si="15"/>
        <v>252.67188714407612</v>
      </c>
      <c r="AB27" s="177">
        <f>scen_input_bau!D58</f>
        <v>1329.7245711524522</v>
      </c>
      <c r="AC27" s="177">
        <f>scen_input_bau!E58</f>
        <v>1329.7245711524522</v>
      </c>
      <c r="AD27" s="177">
        <f>scen_input_bau!F58</f>
        <v>2325.1548304605794</v>
      </c>
      <c r="AE27" s="177">
        <f>scen_input_bau!G58</f>
        <v>2560.3025642581024</v>
      </c>
      <c r="AF27" s="177">
        <f>scen_input_bau!H58</f>
        <v>2695.5001593880925</v>
      </c>
      <c r="AG27" s="177">
        <f>scen_input_bau!I58</f>
        <v>3068.3944528998218</v>
      </c>
      <c r="AH27" s="177">
        <f>scen_input_bau!J58</f>
        <v>3673.8121257367279</v>
      </c>
      <c r="AI27" s="177">
        <f>scen_input_bau!K58</f>
        <v>3673.8121257367279</v>
      </c>
      <c r="AJ27" s="177">
        <f>el_capacity!T10+AB27/lifespan!C10</f>
        <v>57.995216235805671</v>
      </c>
      <c r="AK27" s="177">
        <f>MAX((AC27-AB27),0)/5+AC27/lifespan!D10/5</f>
        <v>10.637796569219617</v>
      </c>
      <c r="AL27" s="177">
        <f>MAX((AD27-AC27),0)/5+AD27/lifespan!E10/5</f>
        <v>217.68729050531007</v>
      </c>
      <c r="AM27" s="177">
        <f>MAX((AE27-AD27),0)/5+AE27/lifespan!F10/5</f>
        <v>67.511967273569411</v>
      </c>
      <c r="AN27" s="177">
        <f>MAX((AF27-AE27),0)/5+AF27/lifespan!G10/5</f>
        <v>48.603520301102755</v>
      </c>
      <c r="AO27" s="177">
        <f>MAX((AG27-AF27),0)/5+AG27/lifespan!H10/5</f>
        <v>99.126014325544432</v>
      </c>
      <c r="AP27" s="177">
        <f>MAX((AH27-AG27),0)/5+AH27/lifespan!I10/5</f>
        <v>150.47403157327506</v>
      </c>
      <c r="AQ27" s="177">
        <f>MAX((AI27-AH27),0)/5+AI27/lifespan!J10/5</f>
        <v>29.390497005893828</v>
      </c>
    </row>
    <row r="28" spans="1:43" x14ac:dyDescent="0.25">
      <c r="A28" s="391" t="s">
        <v>616</v>
      </c>
      <c r="B28" s="15" t="s">
        <v>341</v>
      </c>
      <c r="C28" s="15" t="s">
        <v>339</v>
      </c>
      <c r="D28" s="420">
        <f>scen_pct_ccs!T43</f>
        <v>9.7473924041468676E-3</v>
      </c>
      <c r="E28" s="420">
        <f>scen_pct_ccs!U43</f>
        <v>9.7473924041468676E-3</v>
      </c>
      <c r="F28" s="420">
        <f>scen_pct_ccs!V43</f>
        <v>1.8112945293334851E-2</v>
      </c>
      <c r="G28" s="420">
        <f>scen_pct_ccs!W43</f>
        <v>2.0394422671914221E-2</v>
      </c>
      <c r="H28" s="420">
        <f>scen_pct_ccs!X43</f>
        <v>2.3315285574629325E-2</v>
      </c>
      <c r="I28" s="420">
        <f>scen_pct_ccs!Y43</f>
        <v>3.1434738070877682E-2</v>
      </c>
      <c r="J28" s="420">
        <f>scen_pct_ccs!Z43</f>
        <v>4.5139021805785329E-2</v>
      </c>
      <c r="K28" s="420">
        <f>scen_pct_ccs!AA43</f>
        <v>4.5252845575976745E-2</v>
      </c>
      <c r="L28" s="404">
        <f t="shared" si="14"/>
        <v>9.7473924041468676E-3</v>
      </c>
      <c r="M28" s="404">
        <f t="shared" si="12"/>
        <v>1.0619500644380607E-2</v>
      </c>
      <c r="N28" s="404">
        <f t="shared" si="12"/>
        <v>1.9584736470410147E-2</v>
      </c>
      <c r="O28" s="404">
        <f t="shared" si="12"/>
        <v>2.0987310796895649E-2</v>
      </c>
      <c r="P28" s="404">
        <f t="shared" si="12"/>
        <v>2.1413674410589167E-2</v>
      </c>
      <c r="Q28" s="404">
        <f t="shared" si="12"/>
        <v>2.6503935875679167E-2</v>
      </c>
      <c r="R28" s="404">
        <f t="shared" si="12"/>
        <v>3.5779963139080502E-2</v>
      </c>
      <c r="S28" s="404">
        <f t="shared" si="12"/>
        <v>3.4920981156950928E-2</v>
      </c>
      <c r="T28" s="119">
        <f>[15]xdecarb_CZ!B19</f>
        <v>38.830533656220702</v>
      </c>
      <c r="U28" s="119">
        <f t="shared" si="15"/>
        <v>38.830533656220702</v>
      </c>
      <c r="V28" s="119">
        <f t="shared" si="15"/>
        <v>72.156254992555844</v>
      </c>
      <c r="W28" s="119">
        <f t="shared" si="15"/>
        <v>81.244940505733993</v>
      </c>
      <c r="X28" s="119">
        <f t="shared" si="15"/>
        <v>92.880736064845095</v>
      </c>
      <c r="Y28" s="119">
        <f t="shared" si="15"/>
        <v>125.22607114046235</v>
      </c>
      <c r="Z28" s="119">
        <f t="shared" si="15"/>
        <v>179.81961049323706</v>
      </c>
      <c r="AA28" s="397">
        <f t="shared" si="15"/>
        <v>180.27304845449277</v>
      </c>
      <c r="AB28" s="177">
        <f>scen_input_bau!D59</f>
        <v>745.27542884754769</v>
      </c>
      <c r="AC28" s="177">
        <f>scen_input_bau!E59</f>
        <v>745.27542884754769</v>
      </c>
      <c r="AD28" s="177">
        <f>scen_input_bau!F59</f>
        <v>1303.1877435389449</v>
      </c>
      <c r="AE28" s="177">
        <f>scen_input_bau!G59</f>
        <v>1434.9818247723172</v>
      </c>
      <c r="AF28" s="177">
        <f>scen_input_bau!H59</f>
        <v>1510.7564986225073</v>
      </c>
      <c r="AG28" s="177">
        <f>scen_input_bau!I59</f>
        <v>1719.753880893106</v>
      </c>
      <c r="AH28" s="177">
        <f>scen_input_bau!J59</f>
        <v>2059.0744631730581</v>
      </c>
      <c r="AI28" s="177">
        <f>scen_input_bau!K59</f>
        <v>2059.0744631730581</v>
      </c>
      <c r="AJ28" s="177">
        <f>el_capacity!T11+AB28/lifespan!C11</f>
        <v>32.504783764194322</v>
      </c>
      <c r="AK28" s="177">
        <f>MAX((AC28-AB28),0)/5+AC28/lifespan!D11/5</f>
        <v>5.9622034307803817</v>
      </c>
      <c r="AL28" s="177">
        <f>MAX((AD28-AC28),0)/5+AD28/lifespan!E11/5</f>
        <v>122.00796488659101</v>
      </c>
      <c r="AM28" s="177">
        <f>MAX((AE28-AD28),0)/5+AE28/lifespan!F11/5</f>
        <v>37.838670844852984</v>
      </c>
      <c r="AN28" s="177">
        <f>MAX((AF28-AE28),0)/5+AF28/lifespan!G11/5</f>
        <v>27.240986759018075</v>
      </c>
      <c r="AO28" s="177">
        <f>MAX((AG28-AF28),0)/5+AG28/lifespan!H11/5</f>
        <v>55.557507501264602</v>
      </c>
      <c r="AP28" s="177">
        <f>MAX((AH28-AG28),0)/5+AH28/lifespan!I11/5</f>
        <v>84.336712161374876</v>
      </c>
      <c r="AQ28" s="177">
        <f>MAX((AI28-AH28),0)/5+AI28/lifespan!J11/5</f>
        <v>16.472595705384464</v>
      </c>
    </row>
    <row r="29" spans="1:43" x14ac:dyDescent="0.25">
      <c r="A29" s="391" t="s">
        <v>616</v>
      </c>
      <c r="B29" s="15" t="s">
        <v>14</v>
      </c>
      <c r="C29" s="15" t="s">
        <v>15</v>
      </c>
      <c r="D29" s="420">
        <f>scen_pct_ccs!T44</f>
        <v>0</v>
      </c>
      <c r="E29" s="420">
        <f>scen_pct_ccs!U44</f>
        <v>0</v>
      </c>
      <c r="F29" s="420">
        <f>scen_pct_ccs!V44</f>
        <v>0</v>
      </c>
      <c r="G29" s="420">
        <f>scen_pct_ccs!W44</f>
        <v>0</v>
      </c>
      <c r="H29" s="420">
        <f>scen_pct_ccs!X44</f>
        <v>0</v>
      </c>
      <c r="I29" s="420">
        <f>scen_pct_ccs!Y44</f>
        <v>0</v>
      </c>
      <c r="J29" s="420">
        <f>scen_pct_ccs!Z44</f>
        <v>0</v>
      </c>
      <c r="K29" s="420">
        <f>scen_pct_ccs!AA44</f>
        <v>0</v>
      </c>
      <c r="L29" s="404">
        <f t="shared" si="14"/>
        <v>0</v>
      </c>
      <c r="M29" s="404">
        <f t="shared" si="12"/>
        <v>0</v>
      </c>
      <c r="N29" s="404">
        <f t="shared" si="12"/>
        <v>0</v>
      </c>
      <c r="O29" s="404">
        <f t="shared" si="12"/>
        <v>0</v>
      </c>
      <c r="P29" s="404">
        <f t="shared" si="12"/>
        <v>0</v>
      </c>
      <c r="Q29" s="404">
        <f t="shared" si="12"/>
        <v>0</v>
      </c>
      <c r="R29" s="404">
        <f t="shared" si="12"/>
        <v>0</v>
      </c>
      <c r="S29" s="404">
        <f t="shared" si="12"/>
        <v>0</v>
      </c>
      <c r="T29" s="119">
        <f>[15]xdecarb_CZ!B20</f>
        <v>0</v>
      </c>
      <c r="U29" s="174">
        <f>IFERROR([16]x2015el_repl!$A38*E29/el_replacements!$D3,0)</f>
        <v>0</v>
      </c>
      <c r="V29" s="174">
        <f>IFERROR([16]x2015el_repl!$A38*F29/el_replacements!$D3,0)</f>
        <v>0</v>
      </c>
      <c r="W29" s="174">
        <f>IFERROR([16]x2015el_repl!$A38*G29/el_replacements!$D3,0)</f>
        <v>0</v>
      </c>
      <c r="X29" s="174">
        <f>IFERROR([16]x2015el_repl!$A38*H29/el_replacements!$D3,0)</f>
        <v>0</v>
      </c>
      <c r="Y29" s="174">
        <f>IFERROR([16]x2015el_repl!$A38*I29/el_replacements!$D3,0)</f>
        <v>0</v>
      </c>
      <c r="Z29" s="174">
        <f>IFERROR([16]x2015el_repl!$A38*J29/el_replacements!$D3,0)</f>
        <v>0</v>
      </c>
      <c r="AA29" s="398">
        <f>IFERROR([16]x2015el_repl!$A38*K29/el_replacements!$D3,0)</f>
        <v>0</v>
      </c>
      <c r="AB29" s="177">
        <f>scen_input_bau!D60</f>
        <v>0</v>
      </c>
      <c r="AC29" s="177">
        <f>scen_input_bau!E60</f>
        <v>0</v>
      </c>
      <c r="AD29" s="177">
        <f>scen_input_bau!F60</f>
        <v>0</v>
      </c>
      <c r="AE29" s="177">
        <f>scen_input_bau!G60</f>
        <v>0</v>
      </c>
      <c r="AF29" s="177">
        <f>scen_input_bau!H60</f>
        <v>0</v>
      </c>
      <c r="AG29" s="177">
        <f>scen_input_bau!I60</f>
        <v>0</v>
      </c>
      <c r="AH29" s="177">
        <f>scen_input_bau!J60</f>
        <v>0</v>
      </c>
      <c r="AI29" s="177">
        <f>scen_input_bau!K60</f>
        <v>0</v>
      </c>
      <c r="AJ29" s="177">
        <f>el_capacity!T12+AB29/lifespan!C12</f>
        <v>0</v>
      </c>
      <c r="AK29" s="177">
        <f>MAX((AC29-AB29),0)/5+AC29/lifespan!D12/5</f>
        <v>0</v>
      </c>
      <c r="AL29" s="177">
        <f>MAX((AD29-AC29),0)/5+AD29/lifespan!E12/5</f>
        <v>0</v>
      </c>
      <c r="AM29" s="177">
        <f>MAX((AE29-AD29),0)/5+AE29/lifespan!F12/5</f>
        <v>0</v>
      </c>
      <c r="AN29" s="177">
        <f>MAX((AF29-AE29),0)/5+AF29/lifespan!G12/5</f>
        <v>0</v>
      </c>
      <c r="AO29" s="177">
        <f>MAX((AG29-AF29),0)/5+AG29/lifespan!H12/5</f>
        <v>0</v>
      </c>
      <c r="AP29" s="177">
        <f>MAX((AH29-AG29),0)/5+AH29/lifespan!I12/5</f>
        <v>0</v>
      </c>
      <c r="AQ29" s="177">
        <f>MAX((AI29-AH29),0)/5+AI29/lifespan!J12/5</f>
        <v>0</v>
      </c>
    </row>
    <row r="30" spans="1:43" x14ac:dyDescent="0.25">
      <c r="A30" s="391" t="s">
        <v>616</v>
      </c>
      <c r="B30" s="15" t="s">
        <v>16</v>
      </c>
      <c r="C30" s="15" t="s">
        <v>17</v>
      </c>
      <c r="D30" s="420">
        <f>scen_pct_ccs!T45</f>
        <v>0</v>
      </c>
      <c r="E30" s="420">
        <f>scen_pct_ccs!U45</f>
        <v>0</v>
      </c>
      <c r="F30" s="420">
        <f>scen_pct_ccs!V45</f>
        <v>0</v>
      </c>
      <c r="G30" s="420">
        <f>scen_pct_ccs!W45</f>
        <v>0</v>
      </c>
      <c r="H30" s="420">
        <f>scen_pct_ccs!X45</f>
        <v>0</v>
      </c>
      <c r="I30" s="420">
        <f>scen_pct_ccs!Y45</f>
        <v>0</v>
      </c>
      <c r="J30" s="420">
        <f>scen_pct_ccs!Z45</f>
        <v>0</v>
      </c>
      <c r="K30" s="420">
        <f>scen_pct_ccs!AA45</f>
        <v>0</v>
      </c>
      <c r="L30" s="404">
        <f t="shared" si="14"/>
        <v>0</v>
      </c>
      <c r="M30" s="404">
        <f t="shared" si="12"/>
        <v>0</v>
      </c>
      <c r="N30" s="404">
        <f t="shared" si="12"/>
        <v>0</v>
      </c>
      <c r="O30" s="404">
        <f t="shared" si="12"/>
        <v>0</v>
      </c>
      <c r="P30" s="404">
        <f t="shared" si="12"/>
        <v>0</v>
      </c>
      <c r="Q30" s="404">
        <f t="shared" si="12"/>
        <v>0</v>
      </c>
      <c r="R30" s="404">
        <f t="shared" si="12"/>
        <v>0</v>
      </c>
      <c r="S30" s="404">
        <f t="shared" si="12"/>
        <v>0</v>
      </c>
      <c r="T30" s="119">
        <f>[15]xdecarb_CZ!B21</f>
        <v>0</v>
      </c>
      <c r="U30" s="174">
        <f>IFERROR([16]x2015el_repl!$A52*E30/el_replacements!$D4,0)</f>
        <v>0</v>
      </c>
      <c r="V30" s="174">
        <f>IFERROR([16]x2015el_repl!$A52*F30/el_replacements!$D4,0)</f>
        <v>0</v>
      </c>
      <c r="W30" s="174">
        <f>IFERROR([16]x2015el_repl!$A52*G30/el_replacements!$D4,0)</f>
        <v>0</v>
      </c>
      <c r="X30" s="174">
        <f>IFERROR([16]x2015el_repl!$A52*H30/el_replacements!$D4,0)</f>
        <v>0</v>
      </c>
      <c r="Y30" s="174">
        <f>IFERROR([16]x2015el_repl!$A52*I30/el_replacements!$D4,0)</f>
        <v>0</v>
      </c>
      <c r="Z30" s="174">
        <f>IFERROR([16]x2015el_repl!$A52*J30/el_replacements!$D4,0)</f>
        <v>0</v>
      </c>
      <c r="AA30" s="398">
        <f>IFERROR([16]x2015el_repl!$A52*K30/el_replacements!$D4,0)</f>
        <v>0</v>
      </c>
      <c r="AB30" s="177">
        <f>scen_input_bau!D61</f>
        <v>0</v>
      </c>
      <c r="AC30" s="177">
        <f>scen_input_bau!E61</f>
        <v>0</v>
      </c>
      <c r="AD30" s="177">
        <f>scen_input_bau!F61</f>
        <v>0</v>
      </c>
      <c r="AE30" s="177">
        <f>scen_input_bau!G61</f>
        <v>0</v>
      </c>
      <c r="AF30" s="177">
        <f>scen_input_bau!H61</f>
        <v>0</v>
      </c>
      <c r="AG30" s="177">
        <f>scen_input_bau!I61</f>
        <v>0</v>
      </c>
      <c r="AH30" s="177">
        <f>scen_input_bau!J61</f>
        <v>0</v>
      </c>
      <c r="AI30" s="177">
        <f>scen_input_bau!K61</f>
        <v>0</v>
      </c>
      <c r="AJ30" s="177">
        <f>el_capacity!T13+AB30/lifespan!C13</f>
        <v>0</v>
      </c>
      <c r="AK30" s="177">
        <f>MAX((AC30-AB30),0)/5+AC30/lifespan!D13/5</f>
        <v>0</v>
      </c>
      <c r="AL30" s="177">
        <f>MAX((AD30-AC30),0)/5+AD30/lifespan!E13/5</f>
        <v>0</v>
      </c>
      <c r="AM30" s="177">
        <f>MAX((AE30-AD30),0)/5+AE30/lifespan!F13/5</f>
        <v>0</v>
      </c>
      <c r="AN30" s="177">
        <f>MAX((AF30-AE30),0)/5+AF30/lifespan!G13/5</f>
        <v>0</v>
      </c>
      <c r="AO30" s="177">
        <f>MAX((AG30-AF30),0)/5+AG30/lifespan!H13/5</f>
        <v>0</v>
      </c>
      <c r="AP30" s="177">
        <f>MAX((AH30-AG30),0)/5+AH30/lifespan!I13/5</f>
        <v>0</v>
      </c>
      <c r="AQ30" s="177">
        <f>MAX((AI30-AH30),0)/5+AI30/lifespan!J13/5</f>
        <v>0</v>
      </c>
    </row>
    <row r="31" spans="1:43" x14ac:dyDescent="0.25">
      <c r="A31" s="392" t="s">
        <v>616</v>
      </c>
      <c r="B31" s="394" t="s">
        <v>18</v>
      </c>
      <c r="C31" s="394" t="s">
        <v>19</v>
      </c>
      <c r="D31" s="421">
        <f>scen_pct_ccs!T46</f>
        <v>0</v>
      </c>
      <c r="E31" s="421">
        <f>scen_pct_ccs!U46</f>
        <v>0</v>
      </c>
      <c r="F31" s="421">
        <f>scen_pct_ccs!V46</f>
        <v>0</v>
      </c>
      <c r="G31" s="421">
        <f>scen_pct_ccs!W46</f>
        <v>0</v>
      </c>
      <c r="H31" s="421">
        <f>scen_pct_ccs!X46</f>
        <v>0</v>
      </c>
      <c r="I31" s="421">
        <f>scen_pct_ccs!Y46</f>
        <v>8.5082534440411703E-4</v>
      </c>
      <c r="J31" s="421">
        <f>scen_pct_ccs!Z46</f>
        <v>3.2253276205508066E-2</v>
      </c>
      <c r="K31" s="421">
        <f>scen_pct_ccs!AA46</f>
        <v>3.7204904535719015E-2</v>
      </c>
      <c r="L31" s="405">
        <f t="shared" si="14"/>
        <v>0</v>
      </c>
      <c r="M31" s="405">
        <f t="shared" si="12"/>
        <v>0</v>
      </c>
      <c r="N31" s="405">
        <f t="shared" si="12"/>
        <v>0</v>
      </c>
      <c r="O31" s="405">
        <f t="shared" si="12"/>
        <v>0</v>
      </c>
      <c r="P31" s="405">
        <f t="shared" si="12"/>
        <v>0</v>
      </c>
      <c r="Q31" s="405">
        <f t="shared" si="12"/>
        <v>7.1736625635766718E-4</v>
      </c>
      <c r="R31" s="405">
        <f t="shared" si="12"/>
        <v>2.556592915798972E-2</v>
      </c>
      <c r="S31" s="405">
        <f t="shared" si="12"/>
        <v>2.871049883607146E-2</v>
      </c>
      <c r="T31" s="400">
        <f>[15]xdecarb_CZ!B22</f>
        <v>0</v>
      </c>
      <c r="U31" s="401">
        <f>IFERROR([16]x2015el_repl!$A14*E31/el_replacements!$D5,0)</f>
        <v>0</v>
      </c>
      <c r="V31" s="401">
        <f>IFERROR([16]x2015el_repl!$A14*F31/el_replacements!$D5,0)</f>
        <v>0</v>
      </c>
      <c r="W31" s="401">
        <f>IFERROR([16]x2015el_repl!$A14*G31/el_replacements!$D5,0)</f>
        <v>0</v>
      </c>
      <c r="X31" s="401">
        <f>IFERROR([16]x2015el_repl!$A14*H31/el_replacements!$D5,0)</f>
        <v>0</v>
      </c>
      <c r="Y31" s="401">
        <f>IFERROR([16]x2015el_repl!$A14*I31/el_replacements!$D5,0)</f>
        <v>8.8807131319371913E-5</v>
      </c>
      <c r="Z31" s="401">
        <f>IFERROR([16]x2015el_repl!$A14*J31/el_replacements!$D5,0)</f>
        <v>3.3665204666282955E-3</v>
      </c>
      <c r="AA31" s="402">
        <f>IFERROR([16]x2015el_repl!$A14*K31/el_replacements!$D5,0)</f>
        <v>3.8833596866373584E-3</v>
      </c>
      <c r="AB31" s="177">
        <f>scen_input_bau!D62</f>
        <v>0</v>
      </c>
      <c r="AC31" s="177">
        <f>scen_input_bau!E62</f>
        <v>0</v>
      </c>
      <c r="AD31" s="177">
        <f>scen_input_bau!F62</f>
        <v>0</v>
      </c>
      <c r="AE31" s="177">
        <f>scen_input_bau!G62</f>
        <v>0</v>
      </c>
      <c r="AF31" s="177">
        <f>scen_input_bau!H62</f>
        <v>0</v>
      </c>
      <c r="AG31" s="177">
        <f>scen_input_bau!I62</f>
        <v>11.969068554251068</v>
      </c>
      <c r="AH31" s="177">
        <f>scen_input_bau!J62</f>
        <v>453.38759908852768</v>
      </c>
      <c r="AI31" s="177">
        <f>scen_input_bau!K62</f>
        <v>522.93844072382876</v>
      </c>
      <c r="AJ31" s="177">
        <f>el_capacity!T14+AB31/lifespan!C14</f>
        <v>0</v>
      </c>
      <c r="AK31" s="177">
        <f>MAX((AC31-AB31),0)/5+AC31/lifespan!D14/5</f>
        <v>0</v>
      </c>
      <c r="AL31" s="177">
        <f>MAX((AD31-AC31),0)/5+AD31/lifespan!E14/5</f>
        <v>0</v>
      </c>
      <c r="AM31" s="177">
        <f>MAX((AE31-AD31),0)/5+AE31/lifespan!F14/5</f>
        <v>0</v>
      </c>
      <c r="AN31" s="177">
        <f>MAX((AF31-AE31),0)/5+AF31/lifespan!G14/5</f>
        <v>0</v>
      </c>
      <c r="AO31" s="177">
        <f>MAX((AG31-AF31),0)/5+AG31/lifespan!H14/5</f>
        <v>2.4736075012118874</v>
      </c>
      <c r="AP31" s="177">
        <f>MAX((AH31-AG31),0)/5+AH31/lifespan!I14/5</f>
        <v>91.306290100778838</v>
      </c>
      <c r="AQ31" s="177">
        <f>MAX((AI31-AH31),0)/5+AI31/lifespan!J14/5</f>
        <v>17.396424598552407</v>
      </c>
    </row>
    <row r="32" spans="1:43" x14ac:dyDescent="0.25">
      <c r="D32" s="372"/>
      <c r="E32" s="372"/>
      <c r="F32" s="372"/>
      <c r="G32" s="372"/>
      <c r="H32" s="372"/>
      <c r="I32" s="372"/>
      <c r="J32" s="372"/>
      <c r="K32" s="372"/>
      <c r="L32" s="372"/>
      <c r="M32" s="372"/>
      <c r="N32" s="372"/>
      <c r="O32" s="372"/>
      <c r="P32" s="372"/>
      <c r="Q32" s="372"/>
      <c r="R32" s="372"/>
      <c r="S32" s="372"/>
    </row>
  </sheetData>
  <pageMargins left="0.7" right="0.7" top="0.78740157499999996" bottom="0.78740157499999996"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32"/>
  <sheetViews>
    <sheetView zoomScale="75" zoomScaleNormal="75" workbookViewId="0">
      <pane xSplit="3" ySplit="1" topLeftCell="T2" activePane="bottomRight" state="frozen"/>
      <selection activeCell="D2" sqref="D2"/>
      <selection pane="topRight" activeCell="D2" sqref="D2"/>
      <selection pane="bottomLeft" activeCell="D2" sqref="D2"/>
      <selection pane="bottomRight" activeCell="T2" sqref="T2"/>
    </sheetView>
  </sheetViews>
  <sheetFormatPr defaultColWidth="8.25" defaultRowHeight="15" x14ac:dyDescent="0.25"/>
  <cols>
    <col min="1" max="1" width="11.75" bestFit="1" customWidth="1"/>
    <col min="2" max="2" width="90.25" bestFit="1" customWidth="1"/>
    <col min="3" max="3" width="12.25" bestFit="1" customWidth="1"/>
    <col min="4" max="43" width="10.25" style="2" customWidth="1"/>
    <col min="44" max="16384" width="8.25" style="2"/>
  </cols>
  <sheetData>
    <row r="1" spans="1:43" s="44" customFormat="1" x14ac:dyDescent="0.25">
      <c r="A1" s="88" t="s">
        <v>586</v>
      </c>
      <c r="B1" s="88" t="s">
        <v>0</v>
      </c>
      <c r="C1" s="88" t="s">
        <v>1</v>
      </c>
      <c r="D1" s="44" t="s">
        <v>669</v>
      </c>
      <c r="E1" s="44" t="s">
        <v>681</v>
      </c>
      <c r="F1" s="44" t="s">
        <v>682</v>
      </c>
      <c r="G1" s="44" t="s">
        <v>683</v>
      </c>
      <c r="H1" s="44" t="s">
        <v>684</v>
      </c>
      <c r="I1" s="44" t="s">
        <v>685</v>
      </c>
      <c r="J1" s="44" t="s">
        <v>686</v>
      </c>
      <c r="K1" s="44" t="s">
        <v>687</v>
      </c>
      <c r="L1" s="44" t="s">
        <v>1113</v>
      </c>
      <c r="M1" s="44" t="s">
        <v>1114</v>
      </c>
      <c r="N1" s="44" t="s">
        <v>1115</v>
      </c>
      <c r="O1" s="44" t="s">
        <v>1116</v>
      </c>
      <c r="P1" s="44" t="s">
        <v>1117</v>
      </c>
      <c r="Q1" s="44" t="s">
        <v>1118</v>
      </c>
      <c r="R1" s="44" t="s">
        <v>1119</v>
      </c>
      <c r="S1" s="44" t="s">
        <v>1120</v>
      </c>
      <c r="T1" s="44" t="s">
        <v>688</v>
      </c>
      <c r="U1" s="44" t="s">
        <v>689</v>
      </c>
      <c r="V1" s="44" t="s">
        <v>690</v>
      </c>
      <c r="W1" s="44" t="s">
        <v>691</v>
      </c>
      <c r="X1" s="44" t="s">
        <v>692</v>
      </c>
      <c r="Y1" s="44" t="s">
        <v>693</v>
      </c>
      <c r="Z1" s="44" t="s">
        <v>694</v>
      </c>
      <c r="AA1" s="44" t="s">
        <v>695</v>
      </c>
      <c r="AB1" s="44" t="s">
        <v>644</v>
      </c>
      <c r="AC1" s="44" t="s">
        <v>696</v>
      </c>
      <c r="AD1" s="44" t="s">
        <v>697</v>
      </c>
      <c r="AE1" s="44" t="s">
        <v>698</v>
      </c>
      <c r="AF1" s="44" t="s">
        <v>699</v>
      </c>
      <c r="AG1" s="44" t="s">
        <v>700</v>
      </c>
      <c r="AH1" s="44" t="s">
        <v>701</v>
      </c>
      <c r="AI1" s="44" t="s">
        <v>702</v>
      </c>
      <c r="AJ1" s="112" t="s">
        <v>652</v>
      </c>
      <c r="AK1" s="112" t="s">
        <v>703</v>
      </c>
      <c r="AL1" s="112" t="s">
        <v>704</v>
      </c>
      <c r="AM1" s="112" t="s">
        <v>705</v>
      </c>
      <c r="AN1" s="112" t="s">
        <v>706</v>
      </c>
      <c r="AO1" s="112" t="s">
        <v>707</v>
      </c>
      <c r="AP1" s="112" t="s">
        <v>708</v>
      </c>
      <c r="AQ1" s="112" t="s">
        <v>709</v>
      </c>
    </row>
    <row r="2" spans="1:43" s="44" customFormat="1" x14ac:dyDescent="0.25">
      <c r="A2" s="388" t="s">
        <v>616</v>
      </c>
      <c r="B2" s="389" t="s">
        <v>1044</v>
      </c>
      <c r="C2" s="390" t="s">
        <v>737</v>
      </c>
      <c r="D2" s="403">
        <f>scen_pct_circular!T18</f>
        <v>1</v>
      </c>
      <c r="E2" s="403">
        <f>scen_pct_circular!U18</f>
        <v>0.84042161824783879</v>
      </c>
      <c r="F2" s="403">
        <f>scen_pct_circular!V18</f>
        <v>0.68348573124707757</v>
      </c>
      <c r="G2" s="403">
        <f>scen_pct_circular!W18</f>
        <v>0.53012416733542056</v>
      </c>
      <c r="H2" s="403">
        <f>scen_pct_circular!X18</f>
        <v>0.38176523670234669</v>
      </c>
      <c r="I2" s="403">
        <f>scen_pct_circular!Y18</f>
        <v>0.24071520320095308</v>
      </c>
      <c r="J2" s="403">
        <f>scen_pct_circular!Z18</f>
        <v>0.11095534419200491</v>
      </c>
      <c r="K2" s="403">
        <f>scen_pct_circular!AA18</f>
        <v>0</v>
      </c>
      <c r="L2" s="403">
        <f>D2/SUM(D$2:D$4)</f>
        <v>1</v>
      </c>
      <c r="M2" s="403">
        <f t="shared" ref="M2:S4" si="0">E2/SUM(E$2:E$4)</f>
        <v>0.93871762044049889</v>
      </c>
      <c r="N2" s="403">
        <f t="shared" si="0"/>
        <v>0.86454379873283671</v>
      </c>
      <c r="O2" s="403">
        <f t="shared" si="0"/>
        <v>0.77293259922239399</v>
      </c>
      <c r="P2" s="403">
        <f t="shared" si="0"/>
        <v>0.65691599362168329</v>
      </c>
      <c r="Q2" s="403">
        <f t="shared" si="0"/>
        <v>0.50524284622840987</v>
      </c>
      <c r="R2" s="403">
        <f t="shared" si="0"/>
        <v>0.29849044797384489</v>
      </c>
      <c r="S2" s="403">
        <f t="shared" si="0"/>
        <v>0</v>
      </c>
      <c r="T2" s="454">
        <f>([15]xdecarb_CZ!$B$2+[15]xdecarb_CZ!$B$3)*(64/68)*D2</f>
        <v>27.945118281078599</v>
      </c>
      <c r="U2" s="454">
        <f>([15]xdecarb_CZ!$B$2+[15]xdecarb_CZ!$B$3)*(64/68)*E2</f>
        <v>23.485681527911339</v>
      </c>
      <c r="V2" s="454">
        <f>([15]xdecarb_CZ!$B$2+[15]xdecarb_CZ!$B$3)*(64/68)*F2</f>
        <v>19.100089603129081</v>
      </c>
      <c r="W2" s="454">
        <f>([15]xdecarb_CZ!$B$2+[15]xdecarb_CZ!$B$3)*(64/68)*G2</f>
        <v>14.814382559846631</v>
      </c>
      <c r="X2" s="454">
        <f>([15]xdecarb_CZ!$B$2+[15]xdecarb_CZ!$B$3)*(64/68)*H2</f>
        <v>10.668474695251048</v>
      </c>
      <c r="Y2" s="454">
        <f>([15]xdecarb_CZ!$B$2+[15]xdecarb_CZ!$B$3)*(64/68)*I2</f>
        <v>6.7268148255045039</v>
      </c>
      <c r="Z2" s="454">
        <f>([15]xdecarb_CZ!$B$2+[15]xdecarb_CZ!$B$3)*(64/68)*J2</f>
        <v>3.1006602173633646</v>
      </c>
      <c r="AA2" s="455">
        <f>([15]xdecarb_CZ!$B$2+[15]xdecarb_CZ!$B$3)*(64/68)*K2</f>
        <v>0</v>
      </c>
      <c r="AB2" s="175"/>
      <c r="AC2" s="175"/>
      <c r="AD2" s="175"/>
      <c r="AE2" s="175"/>
      <c r="AF2" s="175"/>
      <c r="AG2" s="175"/>
      <c r="AH2" s="175"/>
      <c r="AI2" s="175"/>
      <c r="AJ2" s="176"/>
      <c r="AK2" s="176"/>
      <c r="AL2" s="176"/>
      <c r="AM2" s="176"/>
      <c r="AN2" s="176"/>
      <c r="AO2" s="176"/>
      <c r="AP2" s="176"/>
      <c r="AQ2" s="176"/>
    </row>
    <row r="3" spans="1:43" s="44" customFormat="1" x14ac:dyDescent="0.25">
      <c r="A3" s="391" t="s">
        <v>616</v>
      </c>
      <c r="B3" s="113" t="s">
        <v>1045</v>
      </c>
      <c r="C3" s="15" t="s">
        <v>738</v>
      </c>
      <c r="D3" s="404">
        <f>scen_pct_circular!T19</f>
        <v>0</v>
      </c>
      <c r="E3" s="404">
        <f>scen_pct_circular!U19</f>
        <v>0</v>
      </c>
      <c r="F3" s="404">
        <f>scen_pct_circular!V19</f>
        <v>0</v>
      </c>
      <c r="G3" s="404">
        <f>scen_pct_circular!W19</f>
        <v>0</v>
      </c>
      <c r="H3" s="404">
        <f>scen_pct_circular!X19</f>
        <v>0</v>
      </c>
      <c r="I3" s="404">
        <f>scen_pct_circular!Y19</f>
        <v>0</v>
      </c>
      <c r="J3" s="404">
        <f>scen_pct_circular!Z19</f>
        <v>0</v>
      </c>
      <c r="K3" s="404">
        <f>scen_pct_circular!AA19</f>
        <v>0</v>
      </c>
      <c r="L3" s="404">
        <f t="shared" ref="L3:L4" si="1">D3/SUM(D$2:D$4)</f>
        <v>0</v>
      </c>
      <c r="M3" s="404">
        <f t="shared" si="0"/>
        <v>0</v>
      </c>
      <c r="N3" s="404">
        <f t="shared" si="0"/>
        <v>0</v>
      </c>
      <c r="O3" s="404">
        <f t="shared" si="0"/>
        <v>0</v>
      </c>
      <c r="P3" s="404">
        <f t="shared" si="0"/>
        <v>0</v>
      </c>
      <c r="Q3" s="404">
        <f t="shared" si="0"/>
        <v>0</v>
      </c>
      <c r="R3" s="404">
        <f t="shared" si="0"/>
        <v>0</v>
      </c>
      <c r="S3" s="404">
        <f t="shared" si="0"/>
        <v>0</v>
      </c>
      <c r="T3" s="174">
        <f>([15]xdecarb_CZ!$B$2+[15]xdecarb_CZ!$B$3)*(64/68)*D3</f>
        <v>0</v>
      </c>
      <c r="U3" s="174">
        <f>([15]xdecarb_CZ!$B$2+[15]xdecarb_CZ!$B$3)*(64/68)*E3</f>
        <v>0</v>
      </c>
      <c r="V3" s="174">
        <f>([15]xdecarb_CZ!$B$2+[15]xdecarb_CZ!$B$3)*(64/68)*F3</f>
        <v>0</v>
      </c>
      <c r="W3" s="174">
        <f>([15]xdecarb_CZ!$B$2+[15]xdecarb_CZ!$B$3)*(64/68)*G3</f>
        <v>0</v>
      </c>
      <c r="X3" s="174">
        <f>([15]xdecarb_CZ!$B$2+[15]xdecarb_CZ!$B$3)*(64/68)*H3</f>
        <v>0</v>
      </c>
      <c r="Y3" s="174">
        <f>([15]xdecarb_CZ!$B$2+[15]xdecarb_CZ!$B$3)*(64/68)*I3</f>
        <v>0</v>
      </c>
      <c r="Z3" s="174">
        <f>([15]xdecarb_CZ!$B$2+[15]xdecarb_CZ!$B$3)*(64/68)*J3</f>
        <v>0</v>
      </c>
      <c r="AA3" s="398">
        <f>([15]xdecarb_CZ!$B$2+[15]xdecarb_CZ!$B$3)*(64/68)*K3</f>
        <v>0</v>
      </c>
      <c r="AB3" s="175"/>
      <c r="AC3" s="175"/>
      <c r="AD3" s="175"/>
      <c r="AE3" s="175"/>
      <c r="AF3" s="175"/>
      <c r="AG3" s="175"/>
      <c r="AH3" s="175"/>
      <c r="AI3" s="175"/>
      <c r="AJ3" s="176"/>
      <c r="AK3" s="176"/>
      <c r="AL3" s="176"/>
      <c r="AM3" s="176"/>
      <c r="AN3" s="176"/>
      <c r="AO3" s="176"/>
      <c r="AP3" s="176"/>
      <c r="AQ3" s="176"/>
    </row>
    <row r="4" spans="1:43" s="44" customFormat="1" x14ac:dyDescent="0.25">
      <c r="A4" s="392" t="s">
        <v>616</v>
      </c>
      <c r="B4" s="393" t="s">
        <v>1046</v>
      </c>
      <c r="C4" s="394" t="s">
        <v>748</v>
      </c>
      <c r="D4" s="404">
        <f>scen_pct_circular!T20</f>
        <v>0</v>
      </c>
      <c r="E4" s="404">
        <f>scen_pct_circular!U20</f>
        <v>5.4865313570343015E-2</v>
      </c>
      <c r="F4" s="404">
        <f>scen_pct_circular!V20</f>
        <v>0.10708813238928613</v>
      </c>
      <c r="G4" s="404">
        <f>scen_pct_circular!W20</f>
        <v>0.15573662811912489</v>
      </c>
      <c r="H4" s="404">
        <f>scen_pct_circular!X20</f>
        <v>0.19938249057038068</v>
      </c>
      <c r="I4" s="404">
        <f>scen_pct_circular!Y20</f>
        <v>0.23571945588995605</v>
      </c>
      <c r="J4" s="404">
        <f>scen_pct_circular!Z20</f>
        <v>0.26076624671708615</v>
      </c>
      <c r="K4" s="404">
        <f>scen_pct_circular!AA20</f>
        <v>0.26700852272727277</v>
      </c>
      <c r="L4" s="404">
        <f t="shared" si="1"/>
        <v>0</v>
      </c>
      <c r="M4" s="404">
        <f t="shared" si="0"/>
        <v>6.1282379559501124E-2</v>
      </c>
      <c r="N4" s="404">
        <f t="shared" si="0"/>
        <v>0.13545620126716321</v>
      </c>
      <c r="O4" s="404">
        <f t="shared" si="0"/>
        <v>0.22706740077760595</v>
      </c>
      <c r="P4" s="404">
        <f t="shared" si="0"/>
        <v>0.34308400637831676</v>
      </c>
      <c r="Q4" s="404">
        <f t="shared" si="0"/>
        <v>0.49475715377159019</v>
      </c>
      <c r="R4" s="404">
        <f t="shared" si="0"/>
        <v>0.70150955202615506</v>
      </c>
      <c r="S4" s="404">
        <f t="shared" si="0"/>
        <v>1</v>
      </c>
      <c r="T4" s="174">
        <f>([15]xdecarb_CZ!$B$2+[15]xdecarb_CZ!$B$3)*(64/68)*D4</f>
        <v>0</v>
      </c>
      <c r="U4" s="174">
        <f>([15]xdecarb_CZ!$B$2+[15]xdecarb_CZ!$B$3)*(64/68)*E4</f>
        <v>1.5332176772517023</v>
      </c>
      <c r="V4" s="174">
        <f>([15]xdecarb_CZ!$B$2+[15]xdecarb_CZ!$B$3)*(64/68)*F4</f>
        <v>2.9925905261184051</v>
      </c>
      <c r="W4" s="174">
        <f>([15]xdecarb_CZ!$B$2+[15]xdecarb_CZ!$B$3)*(64/68)*G4</f>
        <v>4.3520784934852967</v>
      </c>
      <c r="X4" s="174">
        <f>([15]xdecarb_CZ!$B$2+[15]xdecarb_CZ!$B$3)*(64/68)*H4</f>
        <v>5.571767282165327</v>
      </c>
      <c r="Y4" s="174">
        <f>([15]xdecarb_CZ!$B$2+[15]xdecarb_CZ!$B$3)*(64/68)*I4</f>
        <v>6.587208075996311</v>
      </c>
      <c r="Z4" s="174">
        <f>([15]xdecarb_CZ!$B$2+[15]xdecarb_CZ!$B$3)*(64/68)*J4</f>
        <v>7.2871436082218963</v>
      </c>
      <c r="AA4" s="398">
        <f>([15]xdecarb_CZ!$B$2+[15]xdecarb_CZ!$B$3)*(64/68)*K4</f>
        <v>7.4615847496697008</v>
      </c>
      <c r="AB4" s="175"/>
      <c r="AC4" s="175"/>
      <c r="AD4" s="175"/>
      <c r="AE4" s="175"/>
      <c r="AF4" s="175"/>
      <c r="AG4" s="175"/>
      <c r="AH4" s="175"/>
      <c r="AI4" s="175"/>
      <c r="AJ4" s="176"/>
      <c r="AK4" s="176"/>
      <c r="AL4" s="176"/>
      <c r="AM4" s="176"/>
      <c r="AN4" s="176"/>
      <c r="AO4" s="176"/>
      <c r="AP4" s="176"/>
      <c r="AQ4" s="176"/>
    </row>
    <row r="5" spans="1:43" s="44" customFormat="1" x14ac:dyDescent="0.25">
      <c r="A5" s="391" t="s">
        <v>616</v>
      </c>
      <c r="B5" s="113" t="s">
        <v>1047</v>
      </c>
      <c r="C5" s="15" t="s">
        <v>140</v>
      </c>
      <c r="D5" s="412">
        <f>scen_pct_circular!T22</f>
        <v>1</v>
      </c>
      <c r="E5" s="412">
        <f>scen_pct_circular!U22</f>
        <v>2.2751841517857141</v>
      </c>
      <c r="F5" s="412">
        <f>scen_pct_circular!V22</f>
        <v>3.5503683035714286</v>
      </c>
      <c r="G5" s="412">
        <f>scen_pct_circular!W22</f>
        <v>4.8255524553571432</v>
      </c>
      <c r="H5" s="412">
        <f>scen_pct_circular!X22</f>
        <v>6.1007366071428573</v>
      </c>
      <c r="I5" s="412">
        <f>scen_pct_circular!Y22</f>
        <v>7.3759207589285722</v>
      </c>
      <c r="J5" s="412">
        <f>scen_pct_circular!Z22</f>
        <v>8.6511049107142863</v>
      </c>
      <c r="K5" s="412">
        <f>scen_pct_circular!AA22</f>
        <v>9.9262890625000004</v>
      </c>
      <c r="L5" s="413">
        <f>D5/SUM(D$5)</f>
        <v>1</v>
      </c>
      <c r="M5" s="413">
        <f t="shared" ref="M5:S5" si="2">E5/SUM(E$5)</f>
        <v>1</v>
      </c>
      <c r="N5" s="413">
        <f t="shared" si="2"/>
        <v>1</v>
      </c>
      <c r="O5" s="413">
        <f t="shared" si="2"/>
        <v>1</v>
      </c>
      <c r="P5" s="413">
        <f t="shared" si="2"/>
        <v>1</v>
      </c>
      <c r="Q5" s="413">
        <f t="shared" si="2"/>
        <v>1</v>
      </c>
      <c r="R5" s="413">
        <f t="shared" si="2"/>
        <v>1</v>
      </c>
      <c r="S5" s="413">
        <f t="shared" si="2"/>
        <v>1</v>
      </c>
      <c r="T5" s="456">
        <f>([15]xdecarb_CZ!$B$2+[15]xdecarb_CZ!$B$3)*(4/68)*D5</f>
        <v>1.7465698925674125</v>
      </c>
      <c r="U5" s="456">
        <f>([15]xdecarb_CZ!$B$2+[15]xdecarb_CZ!$B$3)*(4/68)*E5</f>
        <v>3.973768139555454</v>
      </c>
      <c r="V5" s="456">
        <f>([15]xdecarb_CZ!$B$2+[15]xdecarb_CZ!$B$3)*(4/68)*F5</f>
        <v>6.200966386543497</v>
      </c>
      <c r="W5" s="456">
        <f>([15]xdecarb_CZ!$B$2+[15]xdecarb_CZ!$B$3)*(4/68)*G5</f>
        <v>8.428164633531539</v>
      </c>
      <c r="X5" s="456">
        <f>([15]xdecarb_CZ!$B$2+[15]xdecarb_CZ!$B$3)*(4/68)*H5</f>
        <v>10.655362880519581</v>
      </c>
      <c r="Y5" s="456">
        <f>([15]xdecarb_CZ!$B$2+[15]xdecarb_CZ!$B$3)*(4/68)*I5</f>
        <v>12.882561127507623</v>
      </c>
      <c r="Z5" s="456">
        <f>([15]xdecarb_CZ!$B$2+[15]xdecarb_CZ!$B$3)*(4/68)*J5</f>
        <v>15.109759374495665</v>
      </c>
      <c r="AA5" s="457">
        <f>([15]xdecarb_CZ!$B$2+[15]xdecarb_CZ!$B$3)*(4/68)*K5</f>
        <v>17.336957621483709</v>
      </c>
      <c r="AB5" s="175"/>
      <c r="AC5" s="175"/>
      <c r="AD5" s="175"/>
      <c r="AE5" s="175"/>
      <c r="AF5" s="175"/>
      <c r="AG5" s="175"/>
      <c r="AH5" s="175"/>
      <c r="AI5" s="175"/>
      <c r="AJ5" s="176"/>
      <c r="AK5" s="176"/>
      <c r="AL5" s="176"/>
      <c r="AM5" s="176"/>
      <c r="AN5" s="176"/>
      <c r="AO5" s="176"/>
      <c r="AP5" s="176"/>
      <c r="AQ5" s="176"/>
    </row>
    <row r="6" spans="1:43" s="44" customFormat="1" x14ac:dyDescent="0.25">
      <c r="A6" s="388" t="s">
        <v>616</v>
      </c>
      <c r="B6" s="389" t="s">
        <v>1049</v>
      </c>
      <c r="C6" s="390" t="s">
        <v>739</v>
      </c>
      <c r="D6" s="416">
        <f>scen_pct_circular!T25</f>
        <v>1</v>
      </c>
      <c r="E6" s="416">
        <f>scen_pct_circular!U25</f>
        <v>0.8033922599139991</v>
      </c>
      <c r="F6" s="416">
        <f>scen_pct_circular!V25</f>
        <v>0.62462641960549914</v>
      </c>
      <c r="G6" s="416">
        <f>scen_pct_circular!W25</f>
        <v>0.46374730796841346</v>
      </c>
      <c r="H6" s="416">
        <f>scen_pct_circular!X25</f>
        <v>0.32079990420308946</v>
      </c>
      <c r="I6" s="416">
        <f>scen_pct_circular!Y25</f>
        <v>0.19582933844678807</v>
      </c>
      <c r="J6" s="416">
        <f>scen_pct_circular!Z25</f>
        <v>8.8880892407340789E-2</v>
      </c>
      <c r="K6" s="416">
        <f>scen_pct_circular!AA25</f>
        <v>0</v>
      </c>
      <c r="L6" s="403">
        <f>D6/SUM(D$6:D$8)</f>
        <v>1</v>
      </c>
      <c r="M6" s="403">
        <f>E6/SUM(E$6:E$8)</f>
        <v>0.85785953177257523</v>
      </c>
      <c r="N6" s="403">
        <f t="shared" ref="M6:S8" si="3">F6/SUM(F$6:F$8)</f>
        <v>0.71548117154811719</v>
      </c>
      <c r="O6" s="403">
        <f t="shared" si="3"/>
        <v>0.57286432160804013</v>
      </c>
      <c r="P6" s="403">
        <f t="shared" si="3"/>
        <v>0.43000838222967303</v>
      </c>
      <c r="Q6" s="403">
        <f t="shared" si="3"/>
        <v>0.2869127516778523</v>
      </c>
      <c r="R6" s="403">
        <f t="shared" si="3"/>
        <v>0.14357682619647358</v>
      </c>
      <c r="S6" s="403">
        <f t="shared" si="3"/>
        <v>0</v>
      </c>
      <c r="T6" s="407">
        <f>[15]xdecarb_CZ!$B$4*D6</f>
        <v>177.868399769934</v>
      </c>
      <c r="U6" s="407">
        <f>[15]xdecarb_CZ!$B$4*E6</f>
        <v>142.89809565845391</v>
      </c>
      <c r="V6" s="407">
        <f>[15]xdecarb_CZ!$B$4*F6</f>
        <v>111.10130170925346</v>
      </c>
      <c r="W6" s="407">
        <f>[15]xdecarb_CZ!$B$4*G6</f>
        <v>82.485991565956468</v>
      </c>
      <c r="X6" s="407">
        <f>[15]xdecarb_CZ!$B$4*H6</f>
        <v>57.060165606951649</v>
      </c>
      <c r="Y6" s="407">
        <f>[15]xdecarb_CZ!$B$4*I6</f>
        <v>34.831851057535005</v>
      </c>
      <c r="Z6" s="407">
        <f>[15]xdecarb_CZ!$B$4*J6</f>
        <v>15.809102102617382</v>
      </c>
      <c r="AA6" s="408">
        <f>[15]xdecarb_CZ!$B$4*K6</f>
        <v>0</v>
      </c>
      <c r="AB6" s="175"/>
      <c r="AC6" s="175"/>
      <c r="AD6" s="175"/>
      <c r="AE6" s="175"/>
      <c r="AF6" s="175"/>
      <c r="AG6" s="175"/>
      <c r="AH6" s="175"/>
      <c r="AI6" s="175"/>
      <c r="AJ6" s="176"/>
      <c r="AK6" s="176"/>
      <c r="AL6" s="176"/>
      <c r="AM6" s="176"/>
      <c r="AN6" s="176"/>
      <c r="AO6" s="176"/>
      <c r="AP6" s="176"/>
      <c r="AQ6" s="176"/>
    </row>
    <row r="7" spans="1:43" s="44" customFormat="1" x14ac:dyDescent="0.25">
      <c r="A7" s="391" t="s">
        <v>616</v>
      </c>
      <c r="B7" s="113" t="s">
        <v>1050</v>
      </c>
      <c r="C7" s="15" t="s">
        <v>740</v>
      </c>
      <c r="D7" s="417">
        <f>scen_pct_circular!T26</f>
        <v>0</v>
      </c>
      <c r="E7" s="417">
        <f>scen_pct_circular!U26</f>
        <v>0</v>
      </c>
      <c r="F7" s="417">
        <f>scen_pct_circular!V26</f>
        <v>0</v>
      </c>
      <c r="G7" s="417">
        <f>scen_pct_circular!W26</f>
        <v>0</v>
      </c>
      <c r="H7" s="417">
        <f>scen_pct_circular!X26</f>
        <v>0</v>
      </c>
      <c r="I7" s="417">
        <f>scen_pct_circular!Y26</f>
        <v>0</v>
      </c>
      <c r="J7" s="417">
        <f>scen_pct_circular!Z26</f>
        <v>0</v>
      </c>
      <c r="K7" s="417">
        <f>scen_pct_circular!AA26</f>
        <v>0</v>
      </c>
      <c r="L7" s="404">
        <f t="shared" ref="L7:L8" si="4">D7/SUM(D$6:D$8)</f>
        <v>0</v>
      </c>
      <c r="M7" s="404">
        <f t="shared" si="3"/>
        <v>0</v>
      </c>
      <c r="N7" s="404">
        <f t="shared" si="3"/>
        <v>0</v>
      </c>
      <c r="O7" s="404">
        <f t="shared" si="3"/>
        <v>0</v>
      </c>
      <c r="P7" s="404">
        <f t="shared" si="3"/>
        <v>0</v>
      </c>
      <c r="Q7" s="404">
        <f t="shared" si="3"/>
        <v>0</v>
      </c>
      <c r="R7" s="404">
        <f t="shared" si="3"/>
        <v>0</v>
      </c>
      <c r="S7" s="404">
        <f t="shared" si="3"/>
        <v>0</v>
      </c>
      <c r="T7" s="409">
        <f>[15]xdecarb_CZ!$B$4*D7</f>
        <v>0</v>
      </c>
      <c r="U7" s="409">
        <f>[15]xdecarb_CZ!$B$4*E7</f>
        <v>0</v>
      </c>
      <c r="V7" s="409">
        <f>[15]xdecarb_CZ!$B$4*F7</f>
        <v>0</v>
      </c>
      <c r="W7" s="409">
        <f>[15]xdecarb_CZ!$B$4*G7</f>
        <v>0</v>
      </c>
      <c r="X7" s="409">
        <f>[15]xdecarb_CZ!$B$4*H7</f>
        <v>0</v>
      </c>
      <c r="Y7" s="409">
        <f>[15]xdecarb_CZ!$B$4*I7</f>
        <v>0</v>
      </c>
      <c r="Z7" s="409">
        <f>[15]xdecarb_CZ!$B$4*J7</f>
        <v>0</v>
      </c>
      <c r="AA7" s="410">
        <f>[15]xdecarb_CZ!$B$4*K7</f>
        <v>0</v>
      </c>
      <c r="AB7" s="175"/>
      <c r="AC7" s="175"/>
      <c r="AD7" s="175"/>
      <c r="AE7" s="175"/>
      <c r="AF7" s="175"/>
      <c r="AG7" s="175"/>
      <c r="AH7" s="175"/>
      <c r="AI7" s="175"/>
      <c r="AJ7" s="176"/>
      <c r="AK7" s="176"/>
      <c r="AL7" s="176"/>
      <c r="AM7" s="176"/>
      <c r="AN7" s="176"/>
      <c r="AO7" s="176"/>
      <c r="AP7" s="176"/>
      <c r="AQ7" s="176"/>
    </row>
    <row r="8" spans="1:43" s="44" customFormat="1" x14ac:dyDescent="0.25">
      <c r="A8" s="391" t="s">
        <v>616</v>
      </c>
      <c r="B8" s="113" t="s">
        <v>1051</v>
      </c>
      <c r="C8" s="15" t="s">
        <v>926</v>
      </c>
      <c r="D8" s="418">
        <f>scen_pct_circular!T27</f>
        <v>0</v>
      </c>
      <c r="E8" s="418">
        <f>scen_pct_circular!U27</f>
        <v>0.1331156765939375</v>
      </c>
      <c r="F8" s="418">
        <f>scen_pct_circular!V27</f>
        <v>0.24838945341037394</v>
      </c>
      <c r="G8" s="418">
        <f>scen_pct_circular!W27</f>
        <v>0.34577650155539602</v>
      </c>
      <c r="H8" s="418">
        <f>scen_pct_circular!X27</f>
        <v>0.4252318418286567</v>
      </c>
      <c r="I8" s="418">
        <f>scen_pct_circular!Y27</f>
        <v>0.48671034409289443</v>
      </c>
      <c r="J8" s="418">
        <f>scen_pct_circular!Z27</f>
        <v>0.53016672664027831</v>
      </c>
      <c r="K8" s="418">
        <f>scen_pct_circular!AA27</f>
        <v>0.55555555555555558</v>
      </c>
      <c r="L8" s="405">
        <f t="shared" si="4"/>
        <v>0</v>
      </c>
      <c r="M8" s="405">
        <f t="shared" si="3"/>
        <v>0.14214046822742477</v>
      </c>
      <c r="N8" s="405">
        <f t="shared" si="3"/>
        <v>0.28451882845188287</v>
      </c>
      <c r="O8" s="405">
        <f t="shared" si="3"/>
        <v>0.42713567839195976</v>
      </c>
      <c r="P8" s="405">
        <f t="shared" si="3"/>
        <v>0.56999161777032692</v>
      </c>
      <c r="Q8" s="405">
        <f t="shared" si="3"/>
        <v>0.71308724832214765</v>
      </c>
      <c r="R8" s="405">
        <f t="shared" si="3"/>
        <v>0.85642317380352651</v>
      </c>
      <c r="S8" s="405">
        <f t="shared" si="3"/>
        <v>1</v>
      </c>
      <c r="T8" s="406">
        <f>[15]xdecarb_CZ!$B$4*D8</f>
        <v>0</v>
      </c>
      <c r="U8" s="406">
        <f>[15]xdecarb_CZ!$B$4*E8</f>
        <v>23.677072380055723</v>
      </c>
      <c r="V8" s="406">
        <f>[15]xdecarb_CZ!$B$4*F8</f>
        <v>44.180634597831791</v>
      </c>
      <c r="W8" s="406">
        <f>[15]xdecarb_CZ!$B$4*G8</f>
        <v>61.502713009704387</v>
      </c>
      <c r="X8" s="406">
        <f>[15]xdecarb_CZ!$B$4*H8</f>
        <v>75.635307237284849</v>
      </c>
      <c r="Y8" s="406">
        <f>[15]xdecarb_CZ!$B$4*I8</f>
        <v>86.570390055277088</v>
      </c>
      <c r="Z8" s="406">
        <f>[15]xdecarb_CZ!$B$4*J8</f>
        <v>94.299907278770334</v>
      </c>
      <c r="AA8" s="411">
        <f>[15]xdecarb_CZ!$B$4*K8</f>
        <v>98.815777649963337</v>
      </c>
      <c r="AB8" s="175"/>
      <c r="AC8" s="175"/>
      <c r="AD8" s="175"/>
      <c r="AE8" s="175"/>
      <c r="AF8" s="175"/>
      <c r="AG8" s="175"/>
      <c r="AH8" s="175"/>
      <c r="AI8" s="175"/>
      <c r="AJ8" s="176"/>
      <c r="AK8" s="176"/>
      <c r="AL8" s="176"/>
      <c r="AM8" s="176"/>
      <c r="AN8" s="176"/>
      <c r="AO8" s="176"/>
      <c r="AP8" s="176"/>
      <c r="AQ8" s="176"/>
    </row>
    <row r="9" spans="1:43" s="44" customFormat="1" x14ac:dyDescent="0.25">
      <c r="A9" s="388" t="s">
        <v>616</v>
      </c>
      <c r="B9" s="389" t="s">
        <v>1041</v>
      </c>
      <c r="C9" s="390" t="s">
        <v>735</v>
      </c>
      <c r="D9" s="416">
        <f>scen_pct_circular!T11</f>
        <v>1</v>
      </c>
      <c r="E9" s="416">
        <f>scen_pct_circular!U11</f>
        <v>0.84177840978525331</v>
      </c>
      <c r="F9" s="416">
        <f>scen_pct_circular!V11</f>
        <v>0.68867830202304114</v>
      </c>
      <c r="G9" s="416">
        <f>scen_pct_circular!W11</f>
        <v>0.54069967671336361</v>
      </c>
      <c r="H9" s="416">
        <f>scen_pct_circular!X11</f>
        <v>0.39784253385622081</v>
      </c>
      <c r="I9" s="416">
        <f>scen_pct_circular!Y11</f>
        <v>0.26010687345161254</v>
      </c>
      <c r="J9" s="416">
        <f>scen_pct_circular!Z11</f>
        <v>0.12749269549953898</v>
      </c>
      <c r="K9" s="416">
        <f>scen_pct_circular!AA11</f>
        <v>0</v>
      </c>
      <c r="L9" s="403">
        <f>D9/SUM(D$9:D$11)</f>
        <v>1</v>
      </c>
      <c r="M9" s="403">
        <f t="shared" ref="M9:S11" si="5">E9/SUM(E$9:E$11)</f>
        <v>0.79733113007620693</v>
      </c>
      <c r="N9" s="403">
        <f t="shared" si="5"/>
        <v>0.64063593448859724</v>
      </c>
      <c r="O9" s="403">
        <f t="shared" si="5"/>
        <v>0.50672883565233229</v>
      </c>
      <c r="P9" s="403">
        <f t="shared" si="5"/>
        <v>0.38305301110524342</v>
      </c>
      <c r="Q9" s="403">
        <f t="shared" si="5"/>
        <v>0.26149794630623147</v>
      </c>
      <c r="R9" s="403">
        <f t="shared" si="5"/>
        <v>0.13577238624890753</v>
      </c>
      <c r="S9" s="403">
        <f t="shared" si="5"/>
        <v>0</v>
      </c>
      <c r="T9" s="407">
        <f>[15]xdecarb_CZ!$B$5*D9</f>
        <v>896.79049396425603</v>
      </c>
      <c r="U9" s="407">
        <f>[15]xdecarb_CZ!$B$5*E9</f>
        <v>754.89887591976321</v>
      </c>
      <c r="V9" s="407">
        <f>[15]xdecarb_CZ!$B$5*F9</f>
        <v>617.60015465370816</v>
      </c>
      <c r="W9" s="407">
        <f>[15]xdecarb_CZ!$B$5*G9</f>
        <v>484.89433016609087</v>
      </c>
      <c r="X9" s="407">
        <f>[15]xdecarb_CZ!$B$5*H9</f>
        <v>356.78140245691151</v>
      </c>
      <c r="Y9" s="407">
        <f>[15]xdecarb_CZ!$B$5*I9</f>
        <v>233.26137152616985</v>
      </c>
      <c r="Z9" s="407">
        <f>[15]xdecarb_CZ!$B$5*J9</f>
        <v>114.33423737386605</v>
      </c>
      <c r="AA9" s="408">
        <f>[15]xdecarb_CZ!$B$5*K9</f>
        <v>0</v>
      </c>
      <c r="AB9" s="175"/>
      <c r="AC9" s="175"/>
      <c r="AD9" s="175"/>
      <c r="AE9" s="175"/>
      <c r="AF9" s="175"/>
      <c r="AG9" s="175"/>
      <c r="AH9" s="175"/>
      <c r="AI9" s="175"/>
      <c r="AJ9" s="176"/>
      <c r="AK9" s="176"/>
      <c r="AL9" s="176"/>
      <c r="AM9" s="176"/>
      <c r="AN9" s="176"/>
      <c r="AO9" s="176"/>
      <c r="AP9" s="176"/>
      <c r="AQ9" s="176"/>
    </row>
    <row r="10" spans="1:43" s="44" customFormat="1" x14ac:dyDescent="0.25">
      <c r="A10" s="391" t="s">
        <v>616</v>
      </c>
      <c r="B10" s="113" t="s">
        <v>1042</v>
      </c>
      <c r="C10" s="15" t="s">
        <v>736</v>
      </c>
      <c r="D10" s="417">
        <f>scen_pct_circular!T12</f>
        <v>0</v>
      </c>
      <c r="E10" s="417">
        <f>scen_pct_circular!U12</f>
        <v>0.10605790603961726</v>
      </c>
      <c r="F10" s="417">
        <f>scen_pct_circular!V12</f>
        <v>0.19148585256483686</v>
      </c>
      <c r="G10" s="417">
        <f>scen_pct_circular!W12</f>
        <v>0.26089344033755557</v>
      </c>
      <c r="H10" s="417">
        <f>scen_pct_circular!X12</f>
        <v>0.31761215971001772</v>
      </c>
      <c r="I10" s="417">
        <f>scen_pct_circular!Y12</f>
        <v>0.36410965408544238</v>
      </c>
      <c r="J10" s="417">
        <f>scen_pct_circular!Z12</f>
        <v>0.40225266622868344</v>
      </c>
      <c r="K10" s="417">
        <f>scen_pct_circular!AA12</f>
        <v>0.43347945027265927</v>
      </c>
      <c r="L10" s="404">
        <f t="shared" ref="L10:L11" si="6">D10/SUM(D$9:D$11)</f>
        <v>0</v>
      </c>
      <c r="M10" s="404">
        <f t="shared" si="5"/>
        <v>0.10045787477212346</v>
      </c>
      <c r="N10" s="404">
        <f t="shared" si="5"/>
        <v>0.17812775244821891</v>
      </c>
      <c r="O10" s="404">
        <f t="shared" si="5"/>
        <v>0.24450214221537989</v>
      </c>
      <c r="P10" s="404">
        <f t="shared" si="5"/>
        <v>0.30580514597398523</v>
      </c>
      <c r="Q10" s="404">
        <f t="shared" si="5"/>
        <v>0.36605694232577862</v>
      </c>
      <c r="R10" s="404">
        <f t="shared" si="5"/>
        <v>0.4283759485581759</v>
      </c>
      <c r="S10" s="404">
        <f t="shared" si="5"/>
        <v>0.49567491450412393</v>
      </c>
      <c r="T10" s="409">
        <f>[15]xdecarb_CZ!$B$5*D10</f>
        <v>0</v>
      </c>
      <c r="U10" s="409">
        <f>[15]xdecarb_CZ!$B$5*E10</f>
        <v>95.111721946083023</v>
      </c>
      <c r="V10" s="409">
        <f>[15]xdecarb_CZ!$B$5*F10</f>
        <v>171.72269230878675</v>
      </c>
      <c r="W10" s="409">
        <f>[15]xdecarb_CZ!$B$5*G10</f>
        <v>233.96675723235063</v>
      </c>
      <c r="X10" s="409">
        <f>[15]xdecarb_CZ!$B$5*H10</f>
        <v>284.83156559540095</v>
      </c>
      <c r="Y10" s="409">
        <f>[15]xdecarb_CZ!$B$5*I10</f>
        <v>326.53007654443826</v>
      </c>
      <c r="Z10" s="409">
        <f>[15]xdecarb_CZ!$B$5*J10</f>
        <v>360.73636724566001</v>
      </c>
      <c r="AA10" s="410">
        <f>[15]xdecarb_CZ!$B$5*K10</f>
        <v>388.74025033337227</v>
      </c>
      <c r="AB10" s="175"/>
      <c r="AC10" s="175"/>
      <c r="AD10" s="175"/>
      <c r="AE10" s="175"/>
      <c r="AF10" s="175"/>
      <c r="AG10" s="175"/>
      <c r="AH10" s="175"/>
      <c r="AI10" s="175"/>
      <c r="AJ10" s="176"/>
      <c r="AK10" s="176"/>
      <c r="AL10" s="176"/>
      <c r="AM10" s="176"/>
      <c r="AN10" s="176"/>
      <c r="AO10" s="176"/>
      <c r="AP10" s="176"/>
      <c r="AQ10" s="176"/>
    </row>
    <row r="11" spans="1:43" s="44" customFormat="1" x14ac:dyDescent="0.25">
      <c r="A11" s="392" t="s">
        <v>616</v>
      </c>
      <c r="B11" s="393" t="s">
        <v>1043</v>
      </c>
      <c r="C11" s="394" t="s">
        <v>744</v>
      </c>
      <c r="D11" s="418">
        <f>scen_pct_circular!T13</f>
        <v>0</v>
      </c>
      <c r="E11" s="418">
        <f>scen_pct_circular!U13</f>
        <v>0.10790875423754888</v>
      </c>
      <c r="F11" s="418">
        <f>scen_pct_circular!V13</f>
        <v>0.19482752937501868</v>
      </c>
      <c r="G11" s="418">
        <f>scen_pct_circular!W13</f>
        <v>0.26544636969409574</v>
      </c>
      <c r="H11" s="418">
        <f>scen_pct_circular!X13</f>
        <v>0.32315490438028177</v>
      </c>
      <c r="I11" s="418">
        <f>scen_pct_circular!Y13</f>
        <v>0.370463840418914</v>
      </c>
      <c r="J11" s="418">
        <f>scen_pct_circular!Z13</f>
        <v>0.40927249766043389</v>
      </c>
      <c r="K11" s="418">
        <f>scen_pct_circular!AA13</f>
        <v>0.4410442296402422</v>
      </c>
      <c r="L11" s="405">
        <f t="shared" si="6"/>
        <v>0</v>
      </c>
      <c r="M11" s="405">
        <f t="shared" si="5"/>
        <v>0.10221099515166944</v>
      </c>
      <c r="N11" s="405">
        <f t="shared" si="5"/>
        <v>0.18123631306318377</v>
      </c>
      <c r="O11" s="405">
        <f t="shared" si="5"/>
        <v>0.24876902213228794</v>
      </c>
      <c r="P11" s="405">
        <f t="shared" si="5"/>
        <v>0.31114184292077146</v>
      </c>
      <c r="Q11" s="405">
        <f t="shared" si="5"/>
        <v>0.37244511136798991</v>
      </c>
      <c r="R11" s="405">
        <f t="shared" si="5"/>
        <v>0.43585166519291668</v>
      </c>
      <c r="S11" s="405">
        <f t="shared" si="5"/>
        <v>0.50432508549587607</v>
      </c>
      <c r="T11" s="406">
        <f>[15]xdecarb_CZ!$B$5*D11</f>
        <v>0</v>
      </c>
      <c r="U11" s="406">
        <f>[15]xdecarb_CZ!$B$5*E11</f>
        <v>96.77154501575896</v>
      </c>
      <c r="V11" s="406">
        <f>[15]xdecarb_CZ!$B$5*F11</f>
        <v>174.7194763060586</v>
      </c>
      <c r="W11" s="406">
        <f>[15]xdecarb_CZ!$B$5*G11</f>
        <v>238.04978099898665</v>
      </c>
      <c r="X11" s="406">
        <f>[15]xdecarb_CZ!$B$5*H11</f>
        <v>289.80224632616483</v>
      </c>
      <c r="Y11" s="406">
        <f>[15]xdecarb_CZ!$B$5*I11</f>
        <v>332.22845044517322</v>
      </c>
      <c r="Z11" s="406">
        <f>[15]xdecarb_CZ!$B$5*J11</f>
        <v>367.03168534288534</v>
      </c>
      <c r="AA11" s="411">
        <f>[15]xdecarb_CZ!$B$5*K11</f>
        <v>395.52427255915757</v>
      </c>
      <c r="AB11" s="175"/>
      <c r="AC11" s="175"/>
      <c r="AD11" s="175"/>
      <c r="AE11" s="175"/>
      <c r="AF11" s="175"/>
      <c r="AG11" s="175"/>
      <c r="AH11" s="175"/>
      <c r="AI11" s="175"/>
      <c r="AJ11" s="176"/>
      <c r="AK11" s="176"/>
      <c r="AL11" s="176"/>
      <c r="AM11" s="176"/>
      <c r="AN11" s="176"/>
      <c r="AO11" s="176"/>
      <c r="AP11" s="176"/>
      <c r="AQ11" s="176"/>
    </row>
    <row r="12" spans="1:43" s="44" customFormat="1" x14ac:dyDescent="0.25">
      <c r="A12" s="388" t="s">
        <v>616</v>
      </c>
      <c r="B12" s="389" t="s">
        <v>161</v>
      </c>
      <c r="C12" s="390" t="s">
        <v>160</v>
      </c>
      <c r="D12" s="412">
        <f>scen_pct_circular!T15</f>
        <v>1</v>
      </c>
      <c r="E12" s="412">
        <f>scen_pct_circular!U15</f>
        <v>1.1813383094467389</v>
      </c>
      <c r="F12" s="412">
        <f>scen_pct_circular!V15</f>
        <v>1.3777777121465069</v>
      </c>
      <c r="G12" s="412">
        <f>scen_pct_circular!W15</f>
        <v>1.5893182080993045</v>
      </c>
      <c r="H12" s="412">
        <f>scen_pct_circular!X15</f>
        <v>1.8159597973051309</v>
      </c>
      <c r="I12" s="412">
        <f>scen_pct_circular!Y15</f>
        <v>2.0577024797639867</v>
      </c>
      <c r="J12" s="412">
        <f>scen_pct_circular!Z15</f>
        <v>2.314546255475872</v>
      </c>
      <c r="K12" s="412">
        <f>scen_pct_circular!AA15</f>
        <v>2.5864911244407862</v>
      </c>
      <c r="L12" s="413">
        <f>D12/SUM(D$12)</f>
        <v>1</v>
      </c>
      <c r="M12" s="413">
        <f t="shared" ref="M12:R12" si="7">E12/SUM(E$12)</f>
        <v>1</v>
      </c>
      <c r="N12" s="413">
        <f t="shared" si="7"/>
        <v>1</v>
      </c>
      <c r="O12" s="413">
        <f t="shared" si="7"/>
        <v>1</v>
      </c>
      <c r="P12" s="413">
        <f t="shared" si="7"/>
        <v>1</v>
      </c>
      <c r="Q12" s="413">
        <f t="shared" si="7"/>
        <v>1</v>
      </c>
      <c r="R12" s="413">
        <f t="shared" si="7"/>
        <v>1</v>
      </c>
      <c r="S12" s="413">
        <f>K12/SUM(K$12)</f>
        <v>1</v>
      </c>
      <c r="T12" s="414">
        <f>[15]xdecarb_CZ!$B$6*D12</f>
        <v>178.289135511376</v>
      </c>
      <c r="U12" s="414">
        <f>[15]xdecarb_CZ!$B$6*E12</f>
        <v>210.61978593772946</v>
      </c>
      <c r="V12" s="414">
        <f>[15]xdecarb_CZ!$B$6*F12</f>
        <v>245.64279722544217</v>
      </c>
      <c r="W12" s="414">
        <f>[15]xdecarb_CZ!$B$6*G12</f>
        <v>283.3581693745142</v>
      </c>
      <c r="X12" s="414">
        <f>[15]xdecarb_CZ!$B$6*H12</f>
        <v>323.76590238494538</v>
      </c>
      <c r="Y12" s="414">
        <f>[15]xdecarb_CZ!$B$6*I12</f>
        <v>366.86599625673585</v>
      </c>
      <c r="Z12" s="414">
        <f>[15]xdecarb_CZ!$B$6*J12</f>
        <v>412.65845098988564</v>
      </c>
      <c r="AA12" s="415">
        <f>[15]xdecarb_CZ!$B$6*K12</f>
        <v>461.14326658439461</v>
      </c>
      <c r="AB12" s="175"/>
      <c r="AC12" s="175"/>
      <c r="AD12" s="175"/>
      <c r="AE12" s="175"/>
      <c r="AF12" s="175"/>
      <c r="AG12" s="175"/>
      <c r="AH12" s="175"/>
      <c r="AI12" s="175"/>
      <c r="AJ12" s="176"/>
      <c r="AK12" s="176"/>
      <c r="AL12" s="176"/>
      <c r="AM12" s="176"/>
      <c r="AN12" s="176"/>
      <c r="AO12" s="176"/>
      <c r="AP12" s="176"/>
      <c r="AQ12" s="176"/>
    </row>
    <row r="13" spans="1:43" s="44" customFormat="1" x14ac:dyDescent="0.25">
      <c r="A13" s="388" t="s">
        <v>616</v>
      </c>
      <c r="B13" s="389" t="s">
        <v>1037</v>
      </c>
      <c r="C13" s="390" t="s">
        <v>730</v>
      </c>
      <c r="D13" s="416">
        <f>scen_pct_circular!T4</f>
        <v>1</v>
      </c>
      <c r="E13" s="416">
        <f>scen_pct_circular!U4</f>
        <v>0.77043673469387774</v>
      </c>
      <c r="F13" s="416">
        <f>scen_pct_circular!V4</f>
        <v>0.56977551020408168</v>
      </c>
      <c r="G13" s="416">
        <f>scen_pct_circular!W4</f>
        <v>0.3980163265306122</v>
      </c>
      <c r="H13" s="416">
        <f>scen_pct_circular!X4</f>
        <v>0.2551591836734694</v>
      </c>
      <c r="I13" s="416">
        <f>scen_pct_circular!Y4</f>
        <v>0.14120408163265305</v>
      </c>
      <c r="J13" s="416">
        <f>scen_pct_circular!Z4</f>
        <v>5.6151020408163291E-2</v>
      </c>
      <c r="K13" s="416">
        <f>scen_pct_circular!AA4</f>
        <v>0</v>
      </c>
      <c r="L13" s="403">
        <f>D13/SUM(D$13:D$15)</f>
        <v>1</v>
      </c>
      <c r="M13" s="403">
        <f t="shared" ref="M13:S15" si="8">E13/SUM(E$13:E$15)</f>
        <v>0.94679574378897946</v>
      </c>
      <c r="N13" s="403">
        <f t="shared" si="8"/>
        <v>0.88116157882464796</v>
      </c>
      <c r="O13" s="403">
        <f t="shared" si="8"/>
        <v>0.79816544741778128</v>
      </c>
      <c r="P13" s="403">
        <f t="shared" si="8"/>
        <v>0.68986825285263476</v>
      </c>
      <c r="Q13" s="403">
        <f t="shared" si="8"/>
        <v>0.54262001989606734</v>
      </c>
      <c r="R13" s="403">
        <f t="shared" si="8"/>
        <v>0.33079890480116453</v>
      </c>
      <c r="S13" s="403">
        <f t="shared" si="8"/>
        <v>0</v>
      </c>
      <c r="T13" s="407">
        <f>[15]xdecarb_CZ!$B$7*D13</f>
        <v>2344.70679882788</v>
      </c>
      <c r="U13" s="407">
        <f>[15]xdecarb_CZ!$B$7*E13</f>
        <v>1806.4482499034868</v>
      </c>
      <c r="V13" s="407">
        <f>[15]xdecarb_CZ!$B$7*F13</f>
        <v>1335.9565125811343</v>
      </c>
      <c r="W13" s="407">
        <f>[15]xdecarb_CZ!$B$7*G13</f>
        <v>933.23158686082388</v>
      </c>
      <c r="X13" s="407">
        <f>[15]xdecarb_CZ!$B$7*H13</f>
        <v>598.27347274255555</v>
      </c>
      <c r="Y13" s="407">
        <f>[15]xdecarb_CZ!$B$7*I13</f>
        <v>331.08217022632857</v>
      </c>
      <c r="Z13" s="407">
        <f>[15]xdecarb_CZ!$B$7*J13</f>
        <v>131.6576793121435</v>
      </c>
      <c r="AA13" s="408">
        <f>[15]xdecarb_CZ!$B$7*K13</f>
        <v>0</v>
      </c>
      <c r="AB13" s="175"/>
      <c r="AC13" s="175"/>
      <c r="AD13" s="175"/>
      <c r="AE13" s="175"/>
      <c r="AF13" s="175"/>
      <c r="AG13" s="175"/>
      <c r="AH13" s="175"/>
      <c r="AI13" s="175"/>
      <c r="AJ13" s="176"/>
      <c r="AK13" s="176"/>
      <c r="AL13" s="176"/>
      <c r="AM13" s="176"/>
      <c r="AN13" s="176"/>
      <c r="AO13" s="176"/>
      <c r="AP13" s="176"/>
      <c r="AQ13" s="176"/>
    </row>
    <row r="14" spans="1:43" s="44" customFormat="1" x14ac:dyDescent="0.25">
      <c r="A14" s="391" t="s">
        <v>616</v>
      </c>
      <c r="B14" s="113" t="s">
        <v>1038</v>
      </c>
      <c r="C14" s="15" t="s">
        <v>731</v>
      </c>
      <c r="D14" s="417">
        <f>scen_pct_circular!T5</f>
        <v>0</v>
      </c>
      <c r="E14" s="417">
        <f>scen_pct_circular!U5</f>
        <v>2.9518592072213506E-2</v>
      </c>
      <c r="F14" s="417">
        <f>scen_pct_circular!V5</f>
        <v>5.2393049607535332E-2</v>
      </c>
      <c r="G14" s="417">
        <f>scen_pct_circular!W5</f>
        <v>6.862337260596546E-2</v>
      </c>
      <c r="H14" s="417">
        <f>scen_pct_circular!X5</f>
        <v>7.820956106750393E-2</v>
      </c>
      <c r="I14" s="417">
        <f>scen_pct_circular!Y5</f>
        <v>8.1151614992150706E-2</v>
      </c>
      <c r="J14" s="417">
        <f>scen_pct_circular!Z5</f>
        <v>7.7449534379905816E-2</v>
      </c>
      <c r="K14" s="417">
        <f>scen_pct_circular!AA5</f>
        <v>6.7103319230769232E-2</v>
      </c>
      <c r="L14" s="404">
        <f t="shared" ref="L14:L15" si="9">D14/SUM(D$13:D$15)</f>
        <v>0</v>
      </c>
      <c r="M14" s="404">
        <f t="shared" si="8"/>
        <v>3.6275629234786728E-2</v>
      </c>
      <c r="N14" s="404">
        <f t="shared" si="8"/>
        <v>8.1026196255921862E-2</v>
      </c>
      <c r="O14" s="404">
        <f t="shared" si="8"/>
        <v>0.1376144676696946</v>
      </c>
      <c r="P14" s="404">
        <f t="shared" si="8"/>
        <v>0.21145346396411271</v>
      </c>
      <c r="Q14" s="404">
        <f t="shared" si="8"/>
        <v>0.31184998643449946</v>
      </c>
      <c r="R14" s="404">
        <f t="shared" si="8"/>
        <v>0.45627347399920609</v>
      </c>
      <c r="S14" s="404">
        <f t="shared" si="8"/>
        <v>0.68181818181818188</v>
      </c>
      <c r="T14" s="409">
        <f>[15]xdecarb_CZ!$B$7*D14</f>
        <v>0</v>
      </c>
      <c r="U14" s="409">
        <f>[15]xdecarb_CZ!$B$7*E14</f>
        <v>69.212443523545772</v>
      </c>
      <c r="V14" s="409">
        <f>[15]xdecarb_CZ!$B$7*F14</f>
        <v>122.84633962611449</v>
      </c>
      <c r="W14" s="409">
        <f>[15]xdecarb_CZ!$B$7*G14</f>
        <v>160.90168830770611</v>
      </c>
      <c r="X14" s="409">
        <f>[15]xdecarb_CZ!$B$7*H14</f>
        <v>183.37848956832073</v>
      </c>
      <c r="Y14" s="409">
        <f>[15]xdecarb_CZ!$B$7*I14</f>
        <v>190.27674340795826</v>
      </c>
      <c r="Z14" s="409">
        <f>[15]xdecarb_CZ!$B$7*J14</f>
        <v>181.59644982661879</v>
      </c>
      <c r="AA14" s="410">
        <f>[15]xdecarb_CZ!$B$7*K14</f>
        <v>157.33760882430224</v>
      </c>
      <c r="AB14" s="175"/>
      <c r="AC14" s="175"/>
      <c r="AD14" s="175"/>
      <c r="AE14" s="175"/>
      <c r="AF14" s="175"/>
      <c r="AG14" s="175"/>
      <c r="AH14" s="175"/>
      <c r="AI14" s="175"/>
      <c r="AJ14" s="176"/>
      <c r="AK14" s="176"/>
      <c r="AL14" s="176"/>
      <c r="AM14" s="176"/>
      <c r="AN14" s="176"/>
      <c r="AO14" s="176"/>
      <c r="AP14" s="176"/>
      <c r="AQ14" s="176"/>
    </row>
    <row r="15" spans="1:43" s="44" customFormat="1" x14ac:dyDescent="0.25">
      <c r="A15" s="392" t="s">
        <v>616</v>
      </c>
      <c r="B15" s="393" t="s">
        <v>1039</v>
      </c>
      <c r="C15" s="394" t="s">
        <v>746</v>
      </c>
      <c r="D15" s="418">
        <f>scen_pct_circular!T6</f>
        <v>0</v>
      </c>
      <c r="E15" s="418">
        <f>scen_pct_circular!U6</f>
        <v>1.3775342967032967E-2</v>
      </c>
      <c r="F15" s="418">
        <f>scen_pct_circular!V6</f>
        <v>2.4450089816849818E-2</v>
      </c>
      <c r="G15" s="418">
        <f>scen_pct_circular!W6</f>
        <v>3.202424054945055E-2</v>
      </c>
      <c r="H15" s="418">
        <f>scen_pct_circular!X6</f>
        <v>3.6497795164835159E-2</v>
      </c>
      <c r="I15" s="418">
        <f>scen_pct_circular!Y6</f>
        <v>3.7870753663003666E-2</v>
      </c>
      <c r="J15" s="418">
        <f>scen_pct_circular!Z6</f>
        <v>3.614311604395605E-2</v>
      </c>
      <c r="K15" s="418">
        <f>scen_pct_circular!AA6</f>
        <v>3.1314882307692304E-2</v>
      </c>
      <c r="L15" s="405">
        <f t="shared" si="9"/>
        <v>0</v>
      </c>
      <c r="M15" s="405">
        <f t="shared" si="8"/>
        <v>1.6928626976233804E-2</v>
      </c>
      <c r="N15" s="405">
        <f t="shared" si="8"/>
        <v>3.7812224919430197E-2</v>
      </c>
      <c r="O15" s="405">
        <f t="shared" si="8"/>
        <v>6.422008491252415E-2</v>
      </c>
      <c r="P15" s="405">
        <f t="shared" si="8"/>
        <v>9.8678283183252571E-2</v>
      </c>
      <c r="Q15" s="405">
        <f t="shared" si="8"/>
        <v>0.14552999366943312</v>
      </c>
      <c r="R15" s="405">
        <f t="shared" si="8"/>
        <v>0.21292762119962952</v>
      </c>
      <c r="S15" s="405">
        <f t="shared" si="8"/>
        <v>0.31818181818181818</v>
      </c>
      <c r="T15" s="406">
        <f>[15]xdecarb_CZ!$B$7*D15</f>
        <v>0</v>
      </c>
      <c r="U15" s="406">
        <f>[15]xdecarb_CZ!$B$7*E15</f>
        <v>32.299140310988015</v>
      </c>
      <c r="V15" s="406">
        <f>[15]xdecarb_CZ!$B$7*F15</f>
        <v>57.328291825520083</v>
      </c>
      <c r="W15" s="406">
        <f>[15]xdecarb_CZ!$B$7*G15</f>
        <v>75.087454543596181</v>
      </c>
      <c r="X15" s="406">
        <f>[15]xdecarb_CZ!$B$7*H15</f>
        <v>85.576628465216316</v>
      </c>
      <c r="Y15" s="406">
        <f>[15]xdecarb_CZ!$B$7*I15</f>
        <v>88.795813590380533</v>
      </c>
      <c r="Z15" s="406">
        <f>[15]xdecarb_CZ!$B$7*J15</f>
        <v>84.745009919088787</v>
      </c>
      <c r="AA15" s="411">
        <f>[15]xdecarb_CZ!$B$7*K15</f>
        <v>73.424217451341036</v>
      </c>
      <c r="AB15" s="175"/>
      <c r="AC15" s="175"/>
      <c r="AD15" s="175"/>
      <c r="AE15" s="175"/>
      <c r="AF15" s="175"/>
      <c r="AG15" s="175"/>
      <c r="AH15" s="175"/>
      <c r="AI15" s="175"/>
      <c r="AJ15" s="176"/>
      <c r="AK15" s="176"/>
      <c r="AL15" s="176"/>
      <c r="AM15" s="176"/>
      <c r="AN15" s="176"/>
      <c r="AO15" s="176"/>
      <c r="AP15" s="176"/>
      <c r="AQ15" s="176"/>
    </row>
    <row r="16" spans="1:43" s="44" customFormat="1" x14ac:dyDescent="0.25">
      <c r="A16" s="388" t="s">
        <v>616</v>
      </c>
      <c r="B16" s="389" t="s">
        <v>1040</v>
      </c>
      <c r="C16" s="390" t="s">
        <v>166</v>
      </c>
      <c r="D16" s="412">
        <f>scen_pct_circular!T8</f>
        <v>1</v>
      </c>
      <c r="E16" s="412">
        <f>scen_pct_circular!U8</f>
        <v>1.1698908066818412</v>
      </c>
      <c r="F16" s="412">
        <f>scen_pct_circular!V8</f>
        <v>1.3531035993981713</v>
      </c>
      <c r="G16" s="412">
        <f>scen_pct_circular!W8</f>
        <v>1.5496383781489913</v>
      </c>
      <c r="H16" s="412">
        <f>scen_pct_circular!X8</f>
        <v>1.7594951429343006</v>
      </c>
      <c r="I16" s="412">
        <f>scen_pct_circular!Y8</f>
        <v>1.9826738937540989</v>
      </c>
      <c r="J16" s="412">
        <f>scen_pct_circular!Z8</f>
        <v>2.219174630608387</v>
      </c>
      <c r="K16" s="412">
        <f>scen_pct_circular!AA8</f>
        <v>2.4689973534971648</v>
      </c>
      <c r="L16" s="413">
        <f>D16/SUM(D$16)</f>
        <v>1</v>
      </c>
      <c r="M16" s="413">
        <f t="shared" ref="M16:S16" si="10">E16/SUM(E$16)</f>
        <v>1</v>
      </c>
      <c r="N16" s="413">
        <f t="shared" si="10"/>
        <v>1</v>
      </c>
      <c r="O16" s="413">
        <f t="shared" si="10"/>
        <v>1</v>
      </c>
      <c r="P16" s="413">
        <f t="shared" si="10"/>
        <v>1</v>
      </c>
      <c r="Q16" s="413">
        <f t="shared" si="10"/>
        <v>1</v>
      </c>
      <c r="R16" s="413">
        <f t="shared" si="10"/>
        <v>1</v>
      </c>
      <c r="S16" s="413">
        <f t="shared" si="10"/>
        <v>1</v>
      </c>
      <c r="T16" s="414">
        <f>[15]xdecarb_CZ!$B$8*D16</f>
        <v>612.11938289500404</v>
      </c>
      <c r="U16" s="414">
        <f>[15]xdecarb_CZ!$B$8*E16</f>
        <v>716.11283864062705</v>
      </c>
      <c r="V16" s="414">
        <f>[15]xdecarb_CZ!$B$8*F16</f>
        <v>828.26094025661735</v>
      </c>
      <c r="W16" s="414">
        <f>[15]xdecarb_CZ!$B$8*G16</f>
        <v>948.5636877429755</v>
      </c>
      <c r="X16" s="414">
        <f>[15]xdecarb_CZ!$B$8*H16</f>
        <v>1077.021081099701</v>
      </c>
      <c r="Y16" s="414">
        <f>[15]xdecarb_CZ!$B$8*I16</f>
        <v>1213.6331203267937</v>
      </c>
      <c r="Z16" s="414">
        <f>[15]xdecarb_CZ!$B$8*J16</f>
        <v>1358.3998054242545</v>
      </c>
      <c r="AA16" s="415">
        <f>[15]xdecarb_CZ!$B$8*K16</f>
        <v>1511.3211363920827</v>
      </c>
      <c r="AB16" s="175"/>
      <c r="AC16" s="175"/>
      <c r="AD16" s="175"/>
      <c r="AE16" s="175"/>
      <c r="AF16" s="175"/>
      <c r="AG16" s="175"/>
      <c r="AH16" s="175"/>
      <c r="AI16" s="175"/>
      <c r="AJ16" s="176"/>
      <c r="AK16" s="176"/>
      <c r="AL16" s="176"/>
      <c r="AM16" s="176"/>
      <c r="AN16" s="176"/>
      <c r="AO16" s="176"/>
      <c r="AP16" s="176"/>
      <c r="AQ16" s="176"/>
    </row>
    <row r="17" spans="1:43" s="44" customFormat="1" x14ac:dyDescent="0.25">
      <c r="A17" s="388" t="s">
        <v>616</v>
      </c>
      <c r="B17" s="389" t="s">
        <v>1052</v>
      </c>
      <c r="C17" s="390" t="s">
        <v>733</v>
      </c>
      <c r="D17" s="416">
        <f>scen_pct_circular!T30</f>
        <v>0.98556495769039332</v>
      </c>
      <c r="E17" s="416">
        <f>scen_pct_circular!U30</f>
        <v>0.9670560266777436</v>
      </c>
      <c r="F17" s="416">
        <f>scen_pct_circular!V30</f>
        <v>0.8012906604193909</v>
      </c>
      <c r="G17" s="416">
        <f>scen_pct_circular!W30</f>
        <v>0.53178534318889603</v>
      </c>
      <c r="H17" s="416">
        <f>scen_pct_circular!X30</f>
        <v>0.21735082149081741</v>
      </c>
      <c r="I17" s="416">
        <f>scen_pct_circular!Y30</f>
        <v>0</v>
      </c>
      <c r="J17" s="416">
        <f>scen_pct_circular!Z30</f>
        <v>0</v>
      </c>
      <c r="K17" s="416">
        <f>scen_pct_circular!AA30</f>
        <v>0</v>
      </c>
      <c r="L17" s="403">
        <f>D17/SUM(D$17:D$18)</f>
        <v>0.98556495769039332</v>
      </c>
      <c r="M17" s="403">
        <f t="shared" ref="M17:S18" si="11">E17/SUM(E$17:E$18)</f>
        <v>0.93469041560644606</v>
      </c>
      <c r="N17" s="403">
        <f t="shared" si="11"/>
        <v>0.73530138136555978</v>
      </c>
      <c r="O17" s="403">
        <f t="shared" si="11"/>
        <v>0.48013245033112584</v>
      </c>
      <c r="P17" s="403">
        <f t="shared" si="11"/>
        <v>0.18758085381630016</v>
      </c>
      <c r="Q17" s="403">
        <f t="shared" si="11"/>
        <v>0</v>
      </c>
      <c r="R17" s="403">
        <f t="shared" si="11"/>
        <v>0</v>
      </c>
      <c r="S17" s="403">
        <f t="shared" si="11"/>
        <v>0</v>
      </c>
      <c r="T17" s="407">
        <f>[15]xdecarb_CZ!$B$9*D17</f>
        <v>34610.745364040493</v>
      </c>
      <c r="U17" s="407">
        <f>[15]xdecarb_CZ!$B$9*E17</f>
        <v>33960.754824867268</v>
      </c>
      <c r="V17" s="407">
        <f>[15]xdecarb_CZ!$B$9*F17</f>
        <v>28139.461325157568</v>
      </c>
      <c r="W17" s="407">
        <f>[15]xdecarb_CZ!$B$9*G17</f>
        <v>18675.062417571964</v>
      </c>
      <c r="X17" s="407">
        <f>[15]xdecarb_CZ!$B$9*H17</f>
        <v>7632.854515153007</v>
      </c>
      <c r="Y17" s="407">
        <f>[15]xdecarb_CZ!$B$9*I17</f>
        <v>0</v>
      </c>
      <c r="Z17" s="407">
        <f>[15]xdecarb_CZ!$B$9*J17</f>
        <v>0</v>
      </c>
      <c r="AA17" s="408">
        <f>[15]xdecarb_CZ!$B$9*K17</f>
        <v>0</v>
      </c>
      <c r="AB17" s="175"/>
      <c r="AC17" s="175"/>
      <c r="AD17" s="175"/>
      <c r="AE17" s="175"/>
      <c r="AF17" s="175"/>
      <c r="AG17" s="175"/>
      <c r="AH17" s="175"/>
      <c r="AI17" s="175"/>
      <c r="AJ17" s="176"/>
      <c r="AK17" s="176"/>
      <c r="AL17" s="176"/>
      <c r="AM17" s="176"/>
      <c r="AN17" s="176"/>
      <c r="AO17" s="176"/>
      <c r="AP17" s="176"/>
      <c r="AQ17" s="176"/>
    </row>
    <row r="18" spans="1:43" s="44" customFormat="1" x14ac:dyDescent="0.25">
      <c r="A18" s="392" t="s">
        <v>616</v>
      </c>
      <c r="B18" s="393" t="s">
        <v>1053</v>
      </c>
      <c r="C18" s="394" t="s">
        <v>734</v>
      </c>
      <c r="D18" s="418">
        <f>scen_pct_circular!T31</f>
        <v>1.4435042309606768E-2</v>
      </c>
      <c r="E18" s="418">
        <f>scen_pct_circular!U31</f>
        <v>6.7571065384924009E-2</v>
      </c>
      <c r="F18" s="418">
        <f>scen_pct_circular!V31</f>
        <v>0.28845387253834626</v>
      </c>
      <c r="G18" s="418">
        <f>scen_pct_circular!W31</f>
        <v>0.57579516469418401</v>
      </c>
      <c r="H18" s="418">
        <f>scen_pct_circular!X31</f>
        <v>0.94135390273264363</v>
      </c>
      <c r="I18" s="418">
        <f>scen_pct_circular!Y31</f>
        <v>1.2020650694812716</v>
      </c>
      <c r="J18" s="418">
        <f>scen_pct_circular!Z31</f>
        <v>1.2277084025847704</v>
      </c>
      <c r="K18" s="418">
        <f>scen_pct_circular!AA31</f>
        <v>1.2536223777263011</v>
      </c>
      <c r="L18" s="405">
        <f>D18/SUM(D$17:D$18)</f>
        <v>1.4435042309606768E-2</v>
      </c>
      <c r="M18" s="405">
        <f t="shared" si="11"/>
        <v>6.530958439355386E-2</v>
      </c>
      <c r="N18" s="405">
        <f t="shared" si="11"/>
        <v>0.26469861863444027</v>
      </c>
      <c r="O18" s="405">
        <f t="shared" si="11"/>
        <v>0.51986754966887416</v>
      </c>
      <c r="P18" s="405">
        <f t="shared" si="11"/>
        <v>0.81241914618369993</v>
      </c>
      <c r="Q18" s="405">
        <f t="shared" si="11"/>
        <v>1</v>
      </c>
      <c r="R18" s="405">
        <f t="shared" si="11"/>
        <v>1</v>
      </c>
      <c r="S18" s="405">
        <f t="shared" si="11"/>
        <v>1</v>
      </c>
      <c r="T18" s="406">
        <f>[15]xdecarb_CZ!$B$9*D18</f>
        <v>506.92505836220914</v>
      </c>
      <c r="U18" s="406">
        <f>[15]xdecarb_CZ!$B$9*E18</f>
        <v>2372.9384042783845</v>
      </c>
      <c r="V18" s="406">
        <f>[15]xdecarb_CZ!$B$9*F18</f>
        <v>10129.828027867401</v>
      </c>
      <c r="W18" s="406">
        <f>[15]xdecarb_CZ!$B$9*G18</f>
        <v>20220.584824543435</v>
      </c>
      <c r="X18" s="406">
        <f>[15]xdecarb_CZ!$B$9*H18</f>
        <v>33058.156107007504</v>
      </c>
      <c r="Y18" s="406">
        <f>[15]xdecarb_CZ!$B$9*I18</f>
        <v>42213.724936325896</v>
      </c>
      <c r="Z18" s="406">
        <f>[15]xdecarb_CZ!$B$9*J18</f>
        <v>43114.259056786454</v>
      </c>
      <c r="AA18" s="411">
        <f>[15]xdecarb_CZ!$B$9*K18</f>
        <v>44024.297495141065</v>
      </c>
      <c r="AB18" s="175"/>
      <c r="AC18" s="175"/>
      <c r="AD18" s="175"/>
      <c r="AE18" s="175"/>
      <c r="AF18" s="175"/>
      <c r="AG18" s="175"/>
      <c r="AH18" s="175"/>
      <c r="AI18" s="175"/>
      <c r="AJ18" s="176"/>
      <c r="AK18" s="176"/>
      <c r="AL18" s="176"/>
      <c r="AM18" s="176"/>
      <c r="AN18" s="176"/>
      <c r="AO18" s="176"/>
      <c r="AP18" s="176"/>
      <c r="AQ18" s="176"/>
    </row>
    <row r="19" spans="1:43" x14ac:dyDescent="0.25">
      <c r="A19" s="391" t="s">
        <v>616</v>
      </c>
      <c r="B19" s="15" t="s">
        <v>2</v>
      </c>
      <c r="C19" s="15" t="s">
        <v>3</v>
      </c>
      <c r="D19" s="419">
        <f>scen_pct_circular!T34</f>
        <v>0.50086203722103262</v>
      </c>
      <c r="E19" s="419">
        <f>scen_pct_circular!U34</f>
        <v>0.39604275038087633</v>
      </c>
      <c r="F19" s="419">
        <f>scen_pct_circular!V34</f>
        <v>0.24130781218094849</v>
      </c>
      <c r="G19" s="419">
        <f>scen_pct_circular!W34</f>
        <v>0.16010563240856479</v>
      </c>
      <c r="H19" s="419">
        <f>scen_pct_circular!X34</f>
        <v>0.14348929523913775</v>
      </c>
      <c r="I19" s="419">
        <f>scen_pct_circular!Y34</f>
        <v>2.1667935750453917E-2</v>
      </c>
      <c r="J19" s="419">
        <f>scen_pct_circular!Z34</f>
        <v>0</v>
      </c>
      <c r="K19" s="419">
        <f>scen_pct_circular!AA34</f>
        <v>0</v>
      </c>
      <c r="L19" s="403">
        <f>D19/SUM(D$19:D$31)</f>
        <v>0.50086203722103262</v>
      </c>
      <c r="M19" s="403">
        <f t="shared" ref="M19:S31" si="12">E19/SUM(E$19:E$31)</f>
        <v>0.43147706263294644</v>
      </c>
      <c r="N19" s="403">
        <f t="shared" si="12"/>
        <v>0.26091559562950511</v>
      </c>
      <c r="O19" s="403">
        <f t="shared" si="12"/>
        <v>0.16476007787754116</v>
      </c>
      <c r="P19" s="403">
        <f t="shared" si="12"/>
        <v>0.13178620694225179</v>
      </c>
      <c r="Q19" s="403">
        <f t="shared" si="12"/>
        <v>1.8269138377851043E-2</v>
      </c>
      <c r="R19" s="403">
        <f t="shared" si="12"/>
        <v>0</v>
      </c>
      <c r="S19" s="403">
        <f t="shared" si="12"/>
        <v>0</v>
      </c>
      <c r="T19" s="395">
        <f>[15]xdecarb_CZ!B10</f>
        <v>2857.8017298236</v>
      </c>
      <c r="U19" s="395">
        <f t="shared" ref="U19:AA23" si="13">IFERROR($T19*E19/$D19,0)</f>
        <v>2259.7273760300804</v>
      </c>
      <c r="V19" s="395">
        <f t="shared" si="13"/>
        <v>1376.8459811745226</v>
      </c>
      <c r="W19" s="395">
        <f t="shared" si="13"/>
        <v>913.52532084554662</v>
      </c>
      <c r="X19" s="395">
        <f t="shared" si="13"/>
        <v>818.71638429768655</v>
      </c>
      <c r="Y19" s="395">
        <f t="shared" si="13"/>
        <v>123.6321774613297</v>
      </c>
      <c r="Z19" s="395">
        <f t="shared" si="13"/>
        <v>0</v>
      </c>
      <c r="AA19" s="396">
        <f t="shared" si="13"/>
        <v>0</v>
      </c>
      <c r="AB19" s="177">
        <f>scen_input_bau!D50</f>
        <v>9656.4015500000005</v>
      </c>
      <c r="AC19" s="177">
        <f>scen_input_bau!E50</f>
        <v>10043.422550000003</v>
      </c>
      <c r="AD19" s="177">
        <f>scen_input_bau!F50</f>
        <v>9970.7425500000008</v>
      </c>
      <c r="AE19" s="177">
        <f>scen_input_bau!G50</f>
        <v>9354.0625500000006</v>
      </c>
      <c r="AF19" s="177">
        <f>scen_input_bau!H50</f>
        <v>5533.9675500000003</v>
      </c>
      <c r="AG19" s="177">
        <f>scen_input_bau!I50</f>
        <v>2803.0445500000001</v>
      </c>
      <c r="AH19" s="177">
        <f>scen_input_bau!J50</f>
        <v>1892.0527500000001</v>
      </c>
      <c r="AI19" s="177">
        <f>scen_input_bau!K50</f>
        <v>1788.8687500000001</v>
      </c>
      <c r="AJ19" s="177">
        <f>el_capacity!T2+AB19/lifespan!C2</f>
        <v>241.41003875000001</v>
      </c>
      <c r="AK19" s="177">
        <f>MAX((AC19-AB19),0)/5+AC19/lifespan!D2/5</f>
        <v>127.6213127500005</v>
      </c>
      <c r="AL19" s="177">
        <f>MAX((AD19-AC19),0)/5+AD19/lifespan!E2/5</f>
        <v>49.853712750000007</v>
      </c>
      <c r="AM19" s="177">
        <f>MAX((AE19-AD19),0)/5+AE19/lifespan!F2/5</f>
        <v>46.770312750000002</v>
      </c>
      <c r="AN19" s="177">
        <f>MAX((AF19-AE19),0)/5+AF19/lifespan!G2/5</f>
        <v>27.669837749999999</v>
      </c>
      <c r="AO19" s="177">
        <f>MAX((AG19-AF19),0)/5+AG19/lifespan!H2/5</f>
        <v>14.015222750000001</v>
      </c>
      <c r="AP19" s="177">
        <f>MAX((AH19-AG19),0)/5+AH19/lifespan!I2/5</f>
        <v>9.4602637499999993</v>
      </c>
      <c r="AQ19" s="177">
        <f>MAX((AI19-AH19),0)/5+AI19/lifespan!J2/5</f>
        <v>8.9443437499999998</v>
      </c>
    </row>
    <row r="20" spans="1:43" x14ac:dyDescent="0.25">
      <c r="A20" s="391" t="s">
        <v>616</v>
      </c>
      <c r="B20" s="15" t="s">
        <v>4</v>
      </c>
      <c r="C20" s="15" t="s">
        <v>5</v>
      </c>
      <c r="D20" s="420">
        <f>scen_pct_circular!T35</f>
        <v>5.3882907337272308E-2</v>
      </c>
      <c r="E20" s="420">
        <f>scen_pct_circular!U35</f>
        <v>3.5856531065000981E-2</v>
      </c>
      <c r="F20" s="420">
        <f>scen_pct_circular!V35</f>
        <v>4.2860125354729973E-2</v>
      </c>
      <c r="G20" s="420">
        <f>scen_pct_circular!W35</f>
        <v>8.9061218568554243E-2</v>
      </c>
      <c r="H20" s="420">
        <f>scen_pct_circular!X35</f>
        <v>0.18136571543727836</v>
      </c>
      <c r="I20" s="420">
        <f>scen_pct_circular!Y35</f>
        <v>0.24891236295559685</v>
      </c>
      <c r="J20" s="420">
        <f>scen_pct_circular!Z35</f>
        <v>0.26963535513575576</v>
      </c>
      <c r="K20" s="420">
        <f>scen_pct_circular!AA35</f>
        <v>0.33444648281219286</v>
      </c>
      <c r="L20" s="404">
        <f t="shared" ref="L20:L31" si="14">D20/SUM(D$19:D$31)</f>
        <v>5.3882907337272308E-2</v>
      </c>
      <c r="M20" s="404">
        <f t="shared" si="12"/>
        <v>3.9064648160469589E-2</v>
      </c>
      <c r="N20" s="404">
        <f t="shared" si="12"/>
        <v>4.6342781174854665E-2</v>
      </c>
      <c r="O20" s="404">
        <f t="shared" si="12"/>
        <v>9.1650325391293017E-2</v>
      </c>
      <c r="P20" s="404">
        <f t="shared" si="12"/>
        <v>0.16657339954881464</v>
      </c>
      <c r="Q20" s="404">
        <f t="shared" si="12"/>
        <v>0.20986837210362413</v>
      </c>
      <c r="R20" s="404">
        <f t="shared" si="12"/>
        <v>0.21372955553311804</v>
      </c>
      <c r="S20" s="404">
        <f t="shared" si="12"/>
        <v>0.25808762246087802</v>
      </c>
      <c r="T20" s="119">
        <f>[15]xdecarb_CZ!B11</f>
        <v>102.987242586044</v>
      </c>
      <c r="U20" s="119">
        <f t="shared" si="13"/>
        <v>68.533147997581978</v>
      </c>
      <c r="V20" s="119">
        <f t="shared" si="13"/>
        <v>81.919227178050079</v>
      </c>
      <c r="W20" s="119">
        <f t="shared" si="13"/>
        <v>170.22409841986641</v>
      </c>
      <c r="X20" s="119">
        <f t="shared" si="13"/>
        <v>346.64712532335977</v>
      </c>
      <c r="Y20" s="119">
        <f t="shared" si="13"/>
        <v>475.75008798089078</v>
      </c>
      <c r="Z20" s="119">
        <f t="shared" si="13"/>
        <v>515.35826668231039</v>
      </c>
      <c r="AA20" s="397">
        <f t="shared" si="13"/>
        <v>639.23278753006014</v>
      </c>
      <c r="AB20" s="177">
        <f>scen_input_bau!D51</f>
        <v>929.36387122515339</v>
      </c>
      <c r="AC20" s="177">
        <f>scen_input_bau!E51</f>
        <v>590.43262792372616</v>
      </c>
      <c r="AD20" s="177">
        <f>scen_input_bau!F51</f>
        <v>807.06856322273904</v>
      </c>
      <c r="AE20" s="177">
        <f>scen_input_bau!G51</f>
        <v>475.63079690764778</v>
      </c>
      <c r="AF20" s="177">
        <f>scen_input_bau!H51</f>
        <v>1231.6816818122829</v>
      </c>
      <c r="AG20" s="177">
        <f>scen_input_bau!I51</f>
        <v>1837.6945512113639</v>
      </c>
      <c r="AH20" s="177">
        <f>scen_input_bau!J51</f>
        <v>2571.3754267239383</v>
      </c>
      <c r="AI20" s="177">
        <f>scen_input_bau!K51</f>
        <v>3422.8673719977669</v>
      </c>
      <c r="AJ20" s="177">
        <f>el_capacity!T3+AB20/lifespan!C3</f>
        <v>560.97879570750513</v>
      </c>
      <c r="AK20" s="177">
        <f>MAX((AC20-AB20),0)/5+AC20/lifespan!D3/5</f>
        <v>3.9362175194915077</v>
      </c>
      <c r="AL20" s="177">
        <f>MAX((AD20-AC20),0)/5+AD20/lifespan!E3/5</f>
        <v>48.70764414795417</v>
      </c>
      <c r="AM20" s="177">
        <f>MAX((AE20-AD20),0)/5+AE20/lifespan!F3/5</f>
        <v>3.1708719793843185</v>
      </c>
      <c r="AN20" s="177">
        <f>MAX((AF20-AE20),0)/5+AF20/lifespan!G3/5</f>
        <v>159.42138819300891</v>
      </c>
      <c r="AO20" s="177">
        <f>MAX((AG20-AF20),0)/5+AG20/lifespan!H3/5</f>
        <v>133.45387088789195</v>
      </c>
      <c r="AP20" s="177">
        <f>MAX((AH20-AG20),0)/5+AH20/lifespan!I3/5</f>
        <v>163.87867794734115</v>
      </c>
      <c r="AQ20" s="177">
        <f>MAX((AI20-AH20),0)/5+AI20/lifespan!J3/5</f>
        <v>193.11750486808415</v>
      </c>
    </row>
    <row r="21" spans="1:43" x14ac:dyDescent="0.25">
      <c r="A21" s="391" t="s">
        <v>616</v>
      </c>
      <c r="B21" s="15" t="s">
        <v>6</v>
      </c>
      <c r="C21" s="15" t="s">
        <v>7</v>
      </c>
      <c r="D21" s="420">
        <f>scen_pct_circular!T36</f>
        <v>0.33383772064129019</v>
      </c>
      <c r="E21" s="420">
        <f>scen_pct_circular!U36</f>
        <v>0.3747419059676117</v>
      </c>
      <c r="F21" s="420">
        <f>scen_pct_circular!V36</f>
        <v>0.39322269477726207</v>
      </c>
      <c r="G21" s="420">
        <f>scen_pct_circular!W36</f>
        <v>0.38967129397377814</v>
      </c>
      <c r="H21" s="420">
        <f>scen_pct_circular!X36</f>
        <v>0.38657308473170154</v>
      </c>
      <c r="I21" s="420">
        <f>scen_pct_circular!Y36</f>
        <v>0.47827924701921687</v>
      </c>
      <c r="J21" s="420">
        <f>scen_pct_circular!Z36</f>
        <v>0.473700908154918</v>
      </c>
      <c r="K21" s="420">
        <f>scen_pct_circular!AA36</f>
        <v>0.40638185583919501</v>
      </c>
      <c r="L21" s="404">
        <f t="shared" si="14"/>
        <v>0.33383772064129019</v>
      </c>
      <c r="M21" s="404">
        <f t="shared" si="12"/>
        <v>0.40827041191102825</v>
      </c>
      <c r="N21" s="404">
        <f t="shared" si="12"/>
        <v>0.42517452168483355</v>
      </c>
      <c r="O21" s="404">
        <f t="shared" si="12"/>
        <v>0.40099946376606949</v>
      </c>
      <c r="P21" s="404">
        <f t="shared" si="12"/>
        <v>0.35504391082172543</v>
      </c>
      <c r="Q21" s="404">
        <f t="shared" si="12"/>
        <v>0.40325713753629849</v>
      </c>
      <c r="R21" s="404">
        <f t="shared" si="12"/>
        <v>0.37548445568130639</v>
      </c>
      <c r="S21" s="404">
        <f t="shared" si="12"/>
        <v>0.31359913282052143</v>
      </c>
      <c r="T21" s="119">
        <f>[15]xdecarb_CZ!B12</f>
        <v>1705.85788789408</v>
      </c>
      <c r="U21" s="119">
        <f t="shared" si="13"/>
        <v>1914.8717975647676</v>
      </c>
      <c r="V21" s="119">
        <f t="shared" si="13"/>
        <v>2009.3057018727864</v>
      </c>
      <c r="W21" s="119">
        <f t="shared" si="13"/>
        <v>1991.1586061459798</v>
      </c>
      <c r="X21" s="119">
        <f t="shared" si="13"/>
        <v>1975.3272475332076</v>
      </c>
      <c r="Y21" s="119">
        <f t="shared" si="13"/>
        <v>2443.9312147725641</v>
      </c>
      <c r="Z21" s="119">
        <f t="shared" si="13"/>
        <v>2420.5366281748798</v>
      </c>
      <c r="AA21" s="397">
        <f t="shared" si="13"/>
        <v>2076.5469310917188</v>
      </c>
      <c r="AB21" s="177">
        <f>scen_input_bau!D52</f>
        <v>4006.08</v>
      </c>
      <c r="AC21" s="177">
        <f>scen_input_bau!E52</f>
        <v>4006.08</v>
      </c>
      <c r="AD21" s="177">
        <f>scen_input_bau!F52</f>
        <v>4006.08</v>
      </c>
      <c r="AE21" s="177">
        <f>scen_input_bau!G52</f>
        <v>4006.08</v>
      </c>
      <c r="AF21" s="177">
        <f>scen_input_bau!H52</f>
        <v>4006.08</v>
      </c>
      <c r="AG21" s="177">
        <f>scen_input_bau!I52</f>
        <v>5206.08</v>
      </c>
      <c r="AH21" s="177">
        <f>scen_input_bau!J52</f>
        <v>5206.08</v>
      </c>
      <c r="AI21" s="177">
        <f>scen_input_bau!K52</f>
        <v>4447.68</v>
      </c>
      <c r="AJ21" s="177">
        <f>el_capacity!T4+AB21/lifespan!C4</f>
        <v>66.768000000000001</v>
      </c>
      <c r="AK21" s="177">
        <f>MAX((AC21-AB21),0)/5+AC21/lifespan!D4/5</f>
        <v>13.3536</v>
      </c>
      <c r="AL21" s="177">
        <f>MAX((AD21-AC21),0)/5+AD21/lifespan!E4/5</f>
        <v>13.3536</v>
      </c>
      <c r="AM21" s="177">
        <f>MAX((AE21-AD21),0)/5+AE21/lifespan!F4/5</f>
        <v>13.3536</v>
      </c>
      <c r="AN21" s="177">
        <f>MAX((AF21-AE21),0)/5+AF21/lifespan!G4/5</f>
        <v>13.3536</v>
      </c>
      <c r="AO21" s="177">
        <f>MAX((AG21-AF21),0)/5+AG21/lifespan!H4/5</f>
        <v>257.35360000000003</v>
      </c>
      <c r="AP21" s="177">
        <f>MAX((AH21-AG21),0)/5+AH21/lifespan!I4/5</f>
        <v>17.3536</v>
      </c>
      <c r="AQ21" s="177">
        <f>MAX((AI21-AH21),0)/5+AI21/lifespan!J4/5</f>
        <v>14.8256</v>
      </c>
    </row>
    <row r="22" spans="1:43" x14ac:dyDescent="0.25">
      <c r="A22" s="391" t="s">
        <v>616</v>
      </c>
      <c r="B22" s="15" t="s">
        <v>8</v>
      </c>
      <c r="C22" s="15" t="s">
        <v>9</v>
      </c>
      <c r="D22" s="420">
        <f>scen_pct_circular!T37</f>
        <v>2.2398987911322985E-2</v>
      </c>
      <c r="E22" s="420">
        <f>scen_pct_circular!U37</f>
        <v>3.1517166035199606E-2</v>
      </c>
      <c r="F22" s="420">
        <f>scen_pct_circular!V37</f>
        <v>2.9355744732952816E-2</v>
      </c>
      <c r="G22" s="420">
        <f>scen_pct_circular!W37</f>
        <v>3.0178490472202953E-2</v>
      </c>
      <c r="H22" s="420">
        <f>scen_pct_circular!X37</f>
        <v>3.0231777275776903E-2</v>
      </c>
      <c r="I22" s="420">
        <f>scen_pct_circular!Y37</f>
        <v>3.0827928901308525E-2</v>
      </c>
      <c r="J22" s="420">
        <f>scen_pct_circular!Z37</f>
        <v>3.0938668395874006E-2</v>
      </c>
      <c r="K22" s="420">
        <f>scen_pct_circular!AA37</f>
        <v>3.0932827987772287E-2</v>
      </c>
      <c r="L22" s="404">
        <f t="shared" si="14"/>
        <v>2.2398987911322985E-2</v>
      </c>
      <c r="M22" s="404">
        <f t="shared" si="12"/>
        <v>3.4337036116188539E-2</v>
      </c>
      <c r="N22" s="404">
        <f t="shared" si="12"/>
        <v>3.1741084355787826E-2</v>
      </c>
      <c r="O22" s="404">
        <f t="shared" si="12"/>
        <v>3.1055812126199789E-2</v>
      </c>
      <c r="P22" s="404">
        <f t="shared" si="12"/>
        <v>2.7766052161993609E-2</v>
      </c>
      <c r="Q22" s="404">
        <f t="shared" si="12"/>
        <v>2.5992309811457726E-2</v>
      </c>
      <c r="R22" s="404">
        <f t="shared" si="12"/>
        <v>2.452389020611714E-2</v>
      </c>
      <c r="S22" s="404">
        <f t="shared" si="12"/>
        <v>2.3870426037156119E-2</v>
      </c>
      <c r="T22" s="119">
        <f>[15]xdecarb_CZ!B13</f>
        <v>108.06680701051999</v>
      </c>
      <c r="U22" s="119">
        <f t="shared" si="13"/>
        <v>152.05863376187071</v>
      </c>
      <c r="V22" s="119">
        <f t="shared" si="13"/>
        <v>141.63057783081442</v>
      </c>
      <c r="W22" s="119">
        <f t="shared" si="13"/>
        <v>145.60002079735693</v>
      </c>
      <c r="X22" s="119">
        <f t="shared" si="13"/>
        <v>145.85710985606045</v>
      </c>
      <c r="Y22" s="119">
        <f t="shared" si="13"/>
        <v>148.73332028665612</v>
      </c>
      <c r="Z22" s="119">
        <f t="shared" si="13"/>
        <v>149.26759726537625</v>
      </c>
      <c r="AA22" s="397">
        <f t="shared" si="13"/>
        <v>149.23941946298223</v>
      </c>
      <c r="AB22" s="177">
        <f>scen_input_bau!D53</f>
        <v>1088.0000000000002</v>
      </c>
      <c r="AC22" s="177">
        <f>scen_input_bau!E53</f>
        <v>1090</v>
      </c>
      <c r="AD22" s="177">
        <f>scen_input_bau!F53</f>
        <v>1105.0879081016769</v>
      </c>
      <c r="AE22" s="177">
        <f>scen_input_bau!G53</f>
        <v>1116.3626101561376</v>
      </c>
      <c r="AF22" s="177">
        <f>scen_input_bau!H53</f>
        <v>1116.3626101561376</v>
      </c>
      <c r="AG22" s="177">
        <f>scen_input_bau!I53</f>
        <v>1126.8289114720083</v>
      </c>
      <c r="AH22" s="177">
        <f>scen_input_bau!J53</f>
        <v>1130.7872351795957</v>
      </c>
      <c r="AI22" s="177">
        <f>scen_input_bau!K53</f>
        <v>1131.3137251686019</v>
      </c>
      <c r="AJ22" s="177">
        <f>el_capacity!T5+AB22/lifespan!C5</f>
        <v>26.133333333333336</v>
      </c>
      <c r="AK22" s="177">
        <f>MAX((AC22-AB22),0)/5+AC22/lifespan!D5/5</f>
        <v>4.0333333333332879</v>
      </c>
      <c r="AL22" s="177">
        <f>MAX((AD22-AC22),0)/5+AD22/lifespan!E5/5</f>
        <v>6.7012079806743099</v>
      </c>
      <c r="AM22" s="177">
        <f>MAX((AE22-AD22),0)/5+AE22/lifespan!F5/5</f>
        <v>5.9761491114125995</v>
      </c>
      <c r="AN22" s="177">
        <f>MAX((AF22-AE22),0)/5+AF22/lifespan!G5/5</f>
        <v>3.7212087005204588</v>
      </c>
      <c r="AO22" s="177">
        <f>MAX((AG22-AF22),0)/5+AG22/lifespan!H5/5</f>
        <v>5.849356634747485</v>
      </c>
      <c r="AP22" s="177">
        <f>MAX((AH22-AG22),0)/5+AH22/lifespan!I5/5</f>
        <v>4.5609555254494651</v>
      </c>
      <c r="AQ22" s="177">
        <f>MAX((AI22-AH22),0)/5+AI22/lifespan!J5/5</f>
        <v>3.8763437483632508</v>
      </c>
    </row>
    <row r="23" spans="1:43" x14ac:dyDescent="0.25">
      <c r="A23" s="391" t="s">
        <v>616</v>
      </c>
      <c r="B23" s="15" t="s">
        <v>342</v>
      </c>
      <c r="C23" s="15" t="s">
        <v>336</v>
      </c>
      <c r="D23" s="420">
        <f>scen_pct_circular!T38</f>
        <v>7.0191001782551254E-3</v>
      </c>
      <c r="E23" s="420">
        <f>scen_pct_circular!U38</f>
        <v>9.8942468179843267E-3</v>
      </c>
      <c r="F23" s="420">
        <f>scen_pct_circular!V38</f>
        <v>0.14022981784491256</v>
      </c>
      <c r="G23" s="420">
        <f>scen_pct_circular!W38</f>
        <v>0.19965832815341286</v>
      </c>
      <c r="H23" s="420">
        <f>scen_pct_circular!X38</f>
        <v>0.23254047972988257</v>
      </c>
      <c r="I23" s="420">
        <f>scen_pct_circular!Y38</f>
        <v>0.25211557789937916</v>
      </c>
      <c r="J23" s="420">
        <f>scen_pct_circular!Z38</f>
        <v>0.2638869691211419</v>
      </c>
      <c r="K23" s="420">
        <f>scen_pct_circular!AA38</f>
        <v>0.26982653949516944</v>
      </c>
      <c r="L23" s="404">
        <f t="shared" si="14"/>
        <v>7.0191001782551254E-3</v>
      </c>
      <c r="M23" s="404">
        <f t="shared" si="12"/>
        <v>1.0779494258848572E-2</v>
      </c>
      <c r="N23" s="404">
        <f t="shared" si="12"/>
        <v>0.15162437600895476</v>
      </c>
      <c r="O23" s="404">
        <f t="shared" si="12"/>
        <v>0.20546261365441024</v>
      </c>
      <c r="P23" s="404">
        <f t="shared" si="12"/>
        <v>0.21357431391003162</v>
      </c>
      <c r="Q23" s="404">
        <f t="shared" si="12"/>
        <v>0.21256913592976448</v>
      </c>
      <c r="R23" s="404">
        <f t="shared" si="12"/>
        <v>0.209173031455192</v>
      </c>
      <c r="S23" s="404">
        <f t="shared" si="12"/>
        <v>0.2082213257846097</v>
      </c>
      <c r="T23" s="119">
        <f>[15]xdecarb_CZ!B14</f>
        <v>21.322554890018601</v>
      </c>
      <c r="U23" s="119">
        <f t="shared" si="13"/>
        <v>30.056647649144647</v>
      </c>
      <c r="V23" s="119">
        <f t="shared" si="13"/>
        <v>425.98878948594165</v>
      </c>
      <c r="W23" s="119">
        <f t="shared" si="13"/>
        <v>606.52014548662464</v>
      </c>
      <c r="X23" s="119">
        <f t="shared" si="13"/>
        <v>706.40922871459497</v>
      </c>
      <c r="Y23" s="119">
        <f t="shared" si="13"/>
        <v>765.87427332097525</v>
      </c>
      <c r="Z23" s="119">
        <f t="shared" si="13"/>
        <v>801.63329215297529</v>
      </c>
      <c r="AA23" s="397">
        <f t="shared" si="13"/>
        <v>819.67646180535849</v>
      </c>
      <c r="AB23" s="177">
        <f>scen_input_bau!D54</f>
        <v>281.05</v>
      </c>
      <c r="AC23" s="177">
        <f>scen_input_bau!E54</f>
        <v>396.10000000000014</v>
      </c>
      <c r="AD23" s="177">
        <f>scen_input_bau!F54</f>
        <v>1372.1767250444027</v>
      </c>
      <c r="AE23" s="177">
        <f>scen_input_bau!G54</f>
        <v>1629.060259793333</v>
      </c>
      <c r="AF23" s="177">
        <f>scen_input_bau!H54</f>
        <v>2681.6223856387073</v>
      </c>
      <c r="AG23" s="177">
        <f>scen_input_bau!I54</f>
        <v>3309.8098873589252</v>
      </c>
      <c r="AH23" s="177">
        <f>scen_input_bau!J54</f>
        <v>3670.7201120503883</v>
      </c>
      <c r="AI23" s="177">
        <f>scen_input_bau!K54</f>
        <v>3846.4538872799581</v>
      </c>
      <c r="AJ23" s="177">
        <f>el_capacity!T6+AB23/lifespan!C6</f>
        <v>17.052500000000002</v>
      </c>
      <c r="AK23" s="177">
        <f>MAX((AC23-AB23),0)/5+AC23/lifespan!D6/5</f>
        <v>26.610909090909118</v>
      </c>
      <c r="AL23" s="177">
        <f>MAX((AD23-AC23),0)/5+AD23/lifespan!E6/5</f>
        <v>206.89344479649245</v>
      </c>
      <c r="AM23" s="177">
        <f>MAX((AE23-AD23),0)/5+AE23/lifespan!F6/5</f>
        <v>64.409189028132715</v>
      </c>
      <c r="AN23" s="177">
        <f>MAX((AF23-AE23),0)/5+AF23/lifespan!G6/5</f>
        <v>231.96540425418453</v>
      </c>
      <c r="AO23" s="177">
        <f>MAX((AG23-AF23),0)/5+AG23/lifespan!H6/5</f>
        <v>152.11597944291495</v>
      </c>
      <c r="AP23" s="177">
        <f>MAX((AH23-AG23),0)/5+AH23/lifespan!I6/5</f>
        <v>101.54780583469572</v>
      </c>
      <c r="AQ23" s="177">
        <f>MAX((AI23-AH23),0)/5+AI23/lifespan!J6/5</f>
        <v>65.918386144153629</v>
      </c>
    </row>
    <row r="24" spans="1:43" x14ac:dyDescent="0.25">
      <c r="A24" s="391" t="s">
        <v>616</v>
      </c>
      <c r="B24" s="15" t="s">
        <v>343</v>
      </c>
      <c r="C24" s="15" t="s">
        <v>337</v>
      </c>
      <c r="D24" s="420">
        <f>scen_pct_circular!T39</f>
        <v>0</v>
      </c>
      <c r="E24" s="420">
        <f>scen_pct_circular!U39</f>
        <v>0</v>
      </c>
      <c r="F24" s="420">
        <f>scen_pct_circular!V39</f>
        <v>0</v>
      </c>
      <c r="G24" s="420">
        <f>scen_pct_circular!W39</f>
        <v>0</v>
      </c>
      <c r="H24" s="420">
        <f>scen_pct_circular!X39</f>
        <v>0</v>
      </c>
      <c r="I24" s="420">
        <f>scen_pct_circular!Y39</f>
        <v>0</v>
      </c>
      <c r="J24" s="420">
        <f>scen_pct_circular!Z39</f>
        <v>0</v>
      </c>
      <c r="K24" s="420">
        <f>scen_pct_circular!AA39</f>
        <v>0</v>
      </c>
      <c r="L24" s="404">
        <f t="shared" si="14"/>
        <v>0</v>
      </c>
      <c r="M24" s="404">
        <f t="shared" si="12"/>
        <v>0</v>
      </c>
      <c r="N24" s="404">
        <f t="shared" si="12"/>
        <v>0</v>
      </c>
      <c r="O24" s="404">
        <f t="shared" si="12"/>
        <v>0</v>
      </c>
      <c r="P24" s="404">
        <f t="shared" si="12"/>
        <v>0</v>
      </c>
      <c r="Q24" s="404">
        <f t="shared" si="12"/>
        <v>0</v>
      </c>
      <c r="R24" s="404">
        <f t="shared" si="12"/>
        <v>0</v>
      </c>
      <c r="S24" s="404">
        <f t="shared" si="12"/>
        <v>0</v>
      </c>
      <c r="T24" s="119">
        <f>[15]xdecarb_CZ!B15</f>
        <v>0</v>
      </c>
      <c r="U24" s="174">
        <f>IFERROR([16]x2015el_repl!$A20*E24/el_replacements!$D2,0)</f>
        <v>0</v>
      </c>
      <c r="V24" s="174">
        <f>IFERROR([16]x2015el_repl!$A20*F24/el_replacements!$D2,0)</f>
        <v>0</v>
      </c>
      <c r="W24" s="174">
        <f>IFERROR([16]x2015el_repl!$A20*G24/el_replacements!$D2,0)</f>
        <v>0</v>
      </c>
      <c r="X24" s="174">
        <f>IFERROR([16]x2015el_repl!$A20*H24/el_replacements!$D2,0)</f>
        <v>0</v>
      </c>
      <c r="Y24" s="174">
        <f>IFERROR([16]x2015el_repl!$A20*I24/el_replacements!$D2,0)</f>
        <v>0</v>
      </c>
      <c r="Z24" s="174">
        <f>IFERROR([16]x2015el_repl!$A20*J24/el_replacements!$D2,0)</f>
        <v>0</v>
      </c>
      <c r="AA24" s="398">
        <f>IFERROR([16]x2015el_repl!$A20*K24/el_replacements!$D2,0)</f>
        <v>0</v>
      </c>
      <c r="AB24" s="177">
        <f>scen_input_bau!D55</f>
        <v>0</v>
      </c>
      <c r="AC24" s="177">
        <f>scen_input_bau!E55</f>
        <v>0</v>
      </c>
      <c r="AD24" s="177">
        <f>scen_input_bau!F55</f>
        <v>0</v>
      </c>
      <c r="AE24" s="177">
        <f>scen_input_bau!G55</f>
        <v>0</v>
      </c>
      <c r="AF24" s="177">
        <f>scen_input_bau!H55</f>
        <v>0</v>
      </c>
      <c r="AG24" s="177">
        <f>scen_input_bau!I55</f>
        <v>0</v>
      </c>
      <c r="AH24" s="177">
        <f>scen_input_bau!J55</f>
        <v>0</v>
      </c>
      <c r="AI24" s="177">
        <f>scen_input_bau!K55</f>
        <v>0</v>
      </c>
      <c r="AJ24" s="177">
        <f>el_capacity!T7+AB24/lifespan!C7</f>
        <v>0</v>
      </c>
      <c r="AK24" s="177">
        <f>MAX((AC24-AB24),0)/5+AC24/lifespan!D7/5</f>
        <v>0</v>
      </c>
      <c r="AL24" s="177">
        <f>MAX((AD24-AC24),0)/5+AD24/lifespan!E7/5</f>
        <v>0</v>
      </c>
      <c r="AM24" s="177">
        <f>MAX((AE24-AD24),0)/5+AE24/lifespan!F7/5</f>
        <v>0</v>
      </c>
      <c r="AN24" s="177">
        <f>MAX((AF24-AE24),0)/5+AF24/lifespan!G7/5</f>
        <v>0</v>
      </c>
      <c r="AO24" s="177">
        <f>MAX((AG24-AF24),0)/5+AG24/lifespan!H7/5</f>
        <v>0</v>
      </c>
      <c r="AP24" s="177">
        <f>MAX((AH24-AG24),0)/5+AH24/lifespan!I7/5</f>
        <v>0</v>
      </c>
      <c r="AQ24" s="177">
        <f>MAX((AI24-AH24),0)/5+AI24/lifespan!J7/5</f>
        <v>0</v>
      </c>
    </row>
    <row r="25" spans="1:43" x14ac:dyDescent="0.25">
      <c r="A25" s="391" t="s">
        <v>616</v>
      </c>
      <c r="B25" s="399" t="s">
        <v>10</v>
      </c>
      <c r="C25" s="399" t="s">
        <v>11</v>
      </c>
      <c r="D25" s="420">
        <f>scen_pct_circular!T40</f>
        <v>2.3135979454853373E-3</v>
      </c>
      <c r="E25" s="420">
        <f>scen_pct_circular!U40</f>
        <v>1.6346179395416048E-3</v>
      </c>
      <c r="F25" s="420">
        <f>scen_pct_circular!V40</f>
        <v>1.5307255926064179E-3</v>
      </c>
      <c r="G25" s="420">
        <f>scen_pct_circular!W40</f>
        <v>1.5315972630096915E-3</v>
      </c>
      <c r="H25" s="420">
        <f>scen_pct_circular!X40</f>
        <v>1.2535478234338335E-3</v>
      </c>
      <c r="I25" s="420">
        <f>scen_pct_circular!Y40</f>
        <v>1.2236357885644304E-3</v>
      </c>
      <c r="J25" s="420">
        <f>scen_pct_circular!Z40</f>
        <v>7.8309730825145275E-4</v>
      </c>
      <c r="K25" s="420">
        <f>scen_pct_circular!AA40</f>
        <v>2.0081996641303085E-4</v>
      </c>
      <c r="L25" s="404">
        <f t="shared" si="14"/>
        <v>2.3135979454853373E-3</v>
      </c>
      <c r="M25" s="404">
        <f t="shared" si="12"/>
        <v>1.7808687228897389E-3</v>
      </c>
      <c r="N25" s="404">
        <f t="shared" si="12"/>
        <v>1.6551067125864191E-3</v>
      </c>
      <c r="O25" s="404">
        <f t="shared" si="12"/>
        <v>1.5761224669882787E-3</v>
      </c>
      <c r="P25" s="404">
        <f t="shared" si="12"/>
        <v>1.1513075773056059E-3</v>
      </c>
      <c r="Q25" s="404">
        <f t="shared" si="12"/>
        <v>1.0316982569466109E-3</v>
      </c>
      <c r="R25" s="404">
        <f t="shared" si="12"/>
        <v>6.2073105935049329E-4</v>
      </c>
      <c r="S25" s="404">
        <f t="shared" si="12"/>
        <v>1.5496992893573638E-4</v>
      </c>
      <c r="T25" s="119">
        <f>[15]xdecarb_CZ!B16</f>
        <v>8.0865215949541902</v>
      </c>
      <c r="U25" s="119">
        <f t="shared" ref="U25:AA28" si="15">IFERROR($T25*E25/$D25,0)</f>
        <v>5.7133406836725955</v>
      </c>
      <c r="V25" s="119">
        <f t="shared" si="15"/>
        <v>5.3502146233814143</v>
      </c>
      <c r="W25" s="119">
        <f t="shared" si="15"/>
        <v>5.3532612986058234</v>
      </c>
      <c r="X25" s="119">
        <f t="shared" si="15"/>
        <v>4.3814188045447331</v>
      </c>
      <c r="Y25" s="119">
        <f t="shared" si="15"/>
        <v>4.2768698199675059</v>
      </c>
      <c r="Z25" s="119">
        <f t="shared" si="15"/>
        <v>2.7370932389021712</v>
      </c>
      <c r="AA25" s="397">
        <f t="shared" si="15"/>
        <v>0.70190890265347572</v>
      </c>
      <c r="AB25" s="177">
        <f>scen_input_bau!D56</f>
        <v>133.93011999999999</v>
      </c>
      <c r="AC25" s="177">
        <f>scen_input_bau!E56</f>
        <v>71.85011999999999</v>
      </c>
      <c r="AD25" s="177">
        <f>scen_input_bau!F56</f>
        <v>63.702119999999987</v>
      </c>
      <c r="AE25" s="177">
        <f>scen_input_bau!G56</f>
        <v>63.702119999999987</v>
      </c>
      <c r="AF25" s="177">
        <f>scen_input_bau!H56</f>
        <v>44.702120000000001</v>
      </c>
      <c r="AG25" s="177">
        <f>scen_input_bau!I56</f>
        <v>41.204299999999996</v>
      </c>
      <c r="AH25" s="177">
        <f>scen_input_bau!J56</f>
        <v>41.204299999999996</v>
      </c>
      <c r="AI25" s="177">
        <f>scen_input_bau!K56</f>
        <v>24.104299999999999</v>
      </c>
      <c r="AJ25" s="177">
        <f>el_capacity!T8+AB25/lifespan!C8</f>
        <v>3.8265748571428566</v>
      </c>
      <c r="AK25" s="177">
        <f>MAX((AC25-AB25),0)/5+AC25/lifespan!D8/5</f>
        <v>0.41057211428571422</v>
      </c>
      <c r="AL25" s="177">
        <f>MAX((AD25-AC25),0)/5+AD25/lifespan!E8/5</f>
        <v>0.36401211428571423</v>
      </c>
      <c r="AM25" s="177">
        <f>MAX((AE25-AD25),0)/5+AE25/lifespan!F8/5</f>
        <v>0.36401211428571423</v>
      </c>
      <c r="AN25" s="177">
        <f>MAX((AF25-AE25),0)/5+AF25/lifespan!G8/5</f>
        <v>0.25544068571428574</v>
      </c>
      <c r="AO25" s="177">
        <f>MAX((AG25-AF25),0)/5+AG25/lifespan!H8/5</f>
        <v>0.23545314285714283</v>
      </c>
      <c r="AP25" s="177">
        <f>MAX((AH25-AG25),0)/5+AH25/lifespan!I8/5</f>
        <v>0.23545314285714283</v>
      </c>
      <c r="AQ25" s="177">
        <f>MAX((AI25-AH25),0)/5+AI25/lifespan!J8/5</f>
        <v>0.13773885714285714</v>
      </c>
    </row>
    <row r="26" spans="1:43" x14ac:dyDescent="0.25">
      <c r="A26" s="391" t="s">
        <v>616</v>
      </c>
      <c r="B26" s="15" t="s">
        <v>12</v>
      </c>
      <c r="C26" s="15" t="s">
        <v>13</v>
      </c>
      <c r="D26" s="420">
        <f>scen_pct_circular!T41</f>
        <v>5.1504785957370923E-2</v>
      </c>
      <c r="E26" s="420">
        <f>scen_pct_circular!U41</f>
        <v>4.000863753988157E-2</v>
      </c>
      <c r="F26" s="420">
        <f>scen_pct_circular!V41</f>
        <v>2.3976505470970182E-2</v>
      </c>
      <c r="G26" s="420">
        <f>scen_pct_circular!W41</f>
        <v>4.2580916457430985E-2</v>
      </c>
      <c r="H26" s="420">
        <f>scen_pct_circular!X41</f>
        <v>4.8545279072132345E-2</v>
      </c>
      <c r="I26" s="420">
        <f>scen_pct_circular!Y41</f>
        <v>7.1119546575377557E-2</v>
      </c>
      <c r="J26" s="420">
        <f>scen_pct_circular!Z41</f>
        <v>8.1922461484742817E-2</v>
      </c>
      <c r="K26" s="420">
        <f>scen_pct_circular!AA41</f>
        <v>0.1081911316774274</v>
      </c>
      <c r="L26" s="404">
        <f t="shared" si="14"/>
        <v>5.1504785957370923E-2</v>
      </c>
      <c r="M26" s="404">
        <f t="shared" si="12"/>
        <v>4.3588247453217106E-2</v>
      </c>
      <c r="N26" s="404">
        <f t="shared" si="12"/>
        <v>2.5924747937216507E-2</v>
      </c>
      <c r="O26" s="404">
        <f t="shared" si="12"/>
        <v>4.3818790170483124E-2</v>
      </c>
      <c r="P26" s="404">
        <f t="shared" si="12"/>
        <v>4.4585891813094691E-2</v>
      </c>
      <c r="Q26" s="404">
        <f t="shared" si="12"/>
        <v>5.9963849474141823E-2</v>
      </c>
      <c r="R26" s="404">
        <f t="shared" si="12"/>
        <v>6.4936778311203008E-2</v>
      </c>
      <c r="S26" s="404">
        <f t="shared" si="12"/>
        <v>8.3489566734833806E-2</v>
      </c>
      <c r="T26" s="119">
        <f>[15]xdecarb_CZ!B17</f>
        <v>337.32365507763399</v>
      </c>
      <c r="U26" s="119">
        <f t="shared" si="15"/>
        <v>262.03118018584212</v>
      </c>
      <c r="V26" s="119">
        <f t="shared" si="15"/>
        <v>157.03089161754079</v>
      </c>
      <c r="W26" s="119">
        <f t="shared" si="15"/>
        <v>278.87797432775102</v>
      </c>
      <c r="X26" s="119">
        <f t="shared" si="15"/>
        <v>317.94076354242065</v>
      </c>
      <c r="Y26" s="119">
        <f t="shared" si="15"/>
        <v>465.78788654954303</v>
      </c>
      <c r="Z26" s="119">
        <f t="shared" si="15"/>
        <v>536.54012199686349</v>
      </c>
      <c r="AA26" s="397">
        <f t="shared" si="15"/>
        <v>708.583237577604</v>
      </c>
      <c r="AB26" s="177">
        <f>scen_input_bau!D57</f>
        <v>527.71737877484657</v>
      </c>
      <c r="AC26" s="177">
        <f>scen_input_bau!E57</f>
        <v>645.74488236674006</v>
      </c>
      <c r="AD26" s="177">
        <f>scen_input_bau!F57</f>
        <v>744.9352136228008</v>
      </c>
      <c r="AE26" s="177">
        <f>scen_input_bau!G57</f>
        <v>771.22411156162445</v>
      </c>
      <c r="AF26" s="177">
        <f>scen_input_bau!H57</f>
        <v>896.09943377609989</v>
      </c>
      <c r="AG26" s="177">
        <f>scen_input_bau!I57</f>
        <v>1076.0345635893809</v>
      </c>
      <c r="AH26" s="177">
        <f>scen_input_bau!J57</f>
        <v>1238.7265148613149</v>
      </c>
      <c r="AI26" s="177">
        <f>scen_input_bau!K57</f>
        <v>1543.8614019411211</v>
      </c>
      <c r="AJ26" s="177">
        <f>el_capacity!T9+AB26/lifespan!C9</f>
        <v>48.108695150993867</v>
      </c>
      <c r="AK26" s="177">
        <f>MAX((AC26-AB26),0)/5+AC26/lifespan!D9/5</f>
        <v>28.771459777312621</v>
      </c>
      <c r="AL26" s="177">
        <f>MAX((AD26-AC26),0)/5+AD26/lifespan!E9/5</f>
        <v>25.797547960194553</v>
      </c>
      <c r="AM26" s="177">
        <f>MAX((AE26-AD26),0)/5+AE26/lifespan!F9/5</f>
        <v>11.427572480257727</v>
      </c>
      <c r="AN26" s="177">
        <f>MAX((AF26-AE26),0)/5+AF26/lifespan!G9/5</f>
        <v>32.143859913103881</v>
      </c>
      <c r="AO26" s="177">
        <f>MAX((AG26-AF26),0)/5+AG26/lifespan!H9/5</f>
        <v>44.595302471371255</v>
      </c>
      <c r="AP26" s="177">
        <f>MAX((AH26-AG26),0)/5+AH26/lifespan!I9/5</f>
        <v>42.448202373277297</v>
      </c>
      <c r="AQ26" s="177">
        <f>MAX((AI26-AH26),0)/5+AI26/lifespan!J9/5</f>
        <v>73.37786863149023</v>
      </c>
    </row>
    <row r="27" spans="1:43" x14ac:dyDescent="0.25">
      <c r="A27" s="391" t="s">
        <v>616</v>
      </c>
      <c r="B27" s="15" t="s">
        <v>340</v>
      </c>
      <c r="C27" s="15" t="s">
        <v>338</v>
      </c>
      <c r="D27" s="420">
        <f>scen_pct_circular!T42</f>
        <v>1.8433470403823538E-2</v>
      </c>
      <c r="E27" s="420">
        <f>scen_pct_circular!U42</f>
        <v>1.8433470403823538E-2</v>
      </c>
      <c r="F27" s="420">
        <f>scen_pct_circular!V42</f>
        <v>3.4253719061183706E-2</v>
      </c>
      <c r="G27" s="420">
        <f>scen_pct_circular!W42</f>
        <v>3.8568262273493886E-2</v>
      </c>
      <c r="H27" s="420">
        <f>scen_pct_circular!X42</f>
        <v>4.1489125176208994E-2</v>
      </c>
      <c r="I27" s="420">
        <f>scen_pct_circular!Y42</f>
        <v>4.9608577672457355E-2</v>
      </c>
      <c r="J27" s="420">
        <f>scen_pct_circular!Z42</f>
        <v>6.3312861407365001E-2</v>
      </c>
      <c r="K27" s="420">
        <f>scen_pct_circular!AA42</f>
        <v>6.3426685177556424E-2</v>
      </c>
      <c r="L27" s="404">
        <f t="shared" si="14"/>
        <v>1.8433470403823538E-2</v>
      </c>
      <c r="M27" s="404">
        <f t="shared" si="12"/>
        <v>2.0082730100031112E-2</v>
      </c>
      <c r="N27" s="404">
        <f t="shared" si="12"/>
        <v>3.7037050025851136E-2</v>
      </c>
      <c r="O27" s="404">
        <f t="shared" si="12"/>
        <v>3.9689483750119166E-2</v>
      </c>
      <c r="P27" s="404">
        <f t="shared" si="12"/>
        <v>3.8105242814193668E-2</v>
      </c>
      <c r="Q27" s="404">
        <f t="shared" si="12"/>
        <v>4.1827056377878959E-2</v>
      </c>
      <c r="R27" s="404">
        <f t="shared" si="12"/>
        <v>5.0185665456642478E-2</v>
      </c>
      <c r="S27" s="404">
        <f t="shared" si="12"/>
        <v>4.8945476240043043E-2</v>
      </c>
      <c r="T27" s="119">
        <f>[15]xdecarb_CZ!B18</f>
        <v>73.433125828821801</v>
      </c>
      <c r="U27" s="119">
        <f t="shared" si="15"/>
        <v>73.433125828821801</v>
      </c>
      <c r="V27" s="119">
        <f t="shared" si="15"/>
        <v>136.45600132915123</v>
      </c>
      <c r="W27" s="119">
        <f t="shared" si="15"/>
        <v>153.64377919531717</v>
      </c>
      <c r="X27" s="119">
        <f t="shared" si="15"/>
        <v>165.27957475442827</v>
      </c>
      <c r="Y27" s="119">
        <f t="shared" si="15"/>
        <v>197.6249098300456</v>
      </c>
      <c r="Z27" s="119">
        <f t="shared" si="15"/>
        <v>252.21844918282036</v>
      </c>
      <c r="AA27" s="397">
        <f t="shared" si="15"/>
        <v>252.67188714407612</v>
      </c>
      <c r="AB27" s="177">
        <f>scen_input_bau!D58</f>
        <v>1329.7245711524522</v>
      </c>
      <c r="AC27" s="177">
        <f>scen_input_bau!E58</f>
        <v>1329.7245711524522</v>
      </c>
      <c r="AD27" s="177">
        <f>scen_input_bau!F58</f>
        <v>2325.1548304605794</v>
      </c>
      <c r="AE27" s="177">
        <f>scen_input_bau!G58</f>
        <v>2560.3025642581024</v>
      </c>
      <c r="AF27" s="177">
        <f>scen_input_bau!H58</f>
        <v>2695.5001593880925</v>
      </c>
      <c r="AG27" s="177">
        <f>scen_input_bau!I58</f>
        <v>3068.3944528998218</v>
      </c>
      <c r="AH27" s="177">
        <f>scen_input_bau!J58</f>
        <v>3673.8121257367279</v>
      </c>
      <c r="AI27" s="177">
        <f>scen_input_bau!K58</f>
        <v>3673.8121257367279</v>
      </c>
      <c r="AJ27" s="177">
        <f>el_capacity!T10+AB27/lifespan!C10</f>
        <v>57.995216235805671</v>
      </c>
      <c r="AK27" s="177">
        <f>MAX((AC27-AB27),0)/5+AC27/lifespan!D10/5</f>
        <v>10.637796569219617</v>
      </c>
      <c r="AL27" s="177">
        <f>MAX((AD27-AC27),0)/5+AD27/lifespan!E10/5</f>
        <v>217.68729050531007</v>
      </c>
      <c r="AM27" s="177">
        <f>MAX((AE27-AD27),0)/5+AE27/lifespan!F10/5</f>
        <v>67.511967273569411</v>
      </c>
      <c r="AN27" s="177">
        <f>MAX((AF27-AE27),0)/5+AF27/lifespan!G10/5</f>
        <v>48.603520301102755</v>
      </c>
      <c r="AO27" s="177">
        <f>MAX((AG27-AF27),0)/5+AG27/lifespan!H10/5</f>
        <v>99.126014325544432</v>
      </c>
      <c r="AP27" s="177">
        <f>MAX((AH27-AG27),0)/5+AH27/lifespan!I10/5</f>
        <v>150.47403157327506</v>
      </c>
      <c r="AQ27" s="177">
        <f>MAX((AI27-AH27),0)/5+AI27/lifespan!J10/5</f>
        <v>29.390497005893828</v>
      </c>
    </row>
    <row r="28" spans="1:43" x14ac:dyDescent="0.25">
      <c r="A28" s="391" t="s">
        <v>616</v>
      </c>
      <c r="B28" s="15" t="s">
        <v>341</v>
      </c>
      <c r="C28" s="15" t="s">
        <v>339</v>
      </c>
      <c r="D28" s="420">
        <f>scen_pct_circular!T43</f>
        <v>9.7473924041468676E-3</v>
      </c>
      <c r="E28" s="420">
        <f>scen_pct_circular!U43</f>
        <v>9.7473924041468676E-3</v>
      </c>
      <c r="F28" s="420">
        <f>scen_pct_circular!V43</f>
        <v>1.8112945293334851E-2</v>
      </c>
      <c r="G28" s="420">
        <f>scen_pct_circular!W43</f>
        <v>2.0394422671914221E-2</v>
      </c>
      <c r="H28" s="420">
        <f>scen_pct_circular!X43</f>
        <v>2.3315285574629325E-2</v>
      </c>
      <c r="I28" s="420">
        <f>scen_pct_circular!Y43</f>
        <v>3.1434738070877682E-2</v>
      </c>
      <c r="J28" s="420">
        <f>scen_pct_circular!Z43</f>
        <v>4.5139021805785329E-2</v>
      </c>
      <c r="K28" s="420">
        <f>scen_pct_circular!AA43</f>
        <v>4.5252845575976745E-2</v>
      </c>
      <c r="L28" s="404">
        <f t="shared" si="14"/>
        <v>9.7473924041468676E-3</v>
      </c>
      <c r="M28" s="404">
        <f t="shared" si="12"/>
        <v>1.0619500644380607E-2</v>
      </c>
      <c r="N28" s="404">
        <f t="shared" si="12"/>
        <v>1.9584736470410147E-2</v>
      </c>
      <c r="O28" s="404">
        <f t="shared" si="12"/>
        <v>2.0987310796895649E-2</v>
      </c>
      <c r="P28" s="404">
        <f t="shared" si="12"/>
        <v>2.1413674410589167E-2</v>
      </c>
      <c r="Q28" s="404">
        <f t="shared" si="12"/>
        <v>2.6503935875679167E-2</v>
      </c>
      <c r="R28" s="404">
        <f t="shared" si="12"/>
        <v>3.5779963139080502E-2</v>
      </c>
      <c r="S28" s="404">
        <f t="shared" si="12"/>
        <v>3.4920981156950928E-2</v>
      </c>
      <c r="T28" s="119">
        <f>[15]xdecarb_CZ!B19</f>
        <v>38.830533656220702</v>
      </c>
      <c r="U28" s="119">
        <f t="shared" si="15"/>
        <v>38.830533656220702</v>
      </c>
      <c r="V28" s="119">
        <f t="shared" si="15"/>
        <v>72.156254992555844</v>
      </c>
      <c r="W28" s="119">
        <f t="shared" si="15"/>
        <v>81.244940505733993</v>
      </c>
      <c r="X28" s="119">
        <f t="shared" si="15"/>
        <v>92.880736064845095</v>
      </c>
      <c r="Y28" s="119">
        <f t="shared" si="15"/>
        <v>125.22607114046235</v>
      </c>
      <c r="Z28" s="119">
        <f t="shared" si="15"/>
        <v>179.81961049323706</v>
      </c>
      <c r="AA28" s="397">
        <f t="shared" si="15"/>
        <v>180.27304845449277</v>
      </c>
      <c r="AB28" s="177">
        <f>scen_input_bau!D59</f>
        <v>745.27542884754769</v>
      </c>
      <c r="AC28" s="177">
        <f>scen_input_bau!E59</f>
        <v>745.27542884754769</v>
      </c>
      <c r="AD28" s="177">
        <f>scen_input_bau!F59</f>
        <v>1303.1877435389449</v>
      </c>
      <c r="AE28" s="177">
        <f>scen_input_bau!G59</f>
        <v>1434.9818247723172</v>
      </c>
      <c r="AF28" s="177">
        <f>scen_input_bau!H59</f>
        <v>1510.7564986225073</v>
      </c>
      <c r="AG28" s="177">
        <f>scen_input_bau!I59</f>
        <v>1719.753880893106</v>
      </c>
      <c r="AH28" s="177">
        <f>scen_input_bau!J59</f>
        <v>2059.0744631730581</v>
      </c>
      <c r="AI28" s="177">
        <f>scen_input_bau!K59</f>
        <v>2059.0744631730581</v>
      </c>
      <c r="AJ28" s="177">
        <f>el_capacity!T11+AB28/lifespan!C11</f>
        <v>32.504783764194322</v>
      </c>
      <c r="AK28" s="177">
        <f>MAX((AC28-AB28),0)/5+AC28/lifespan!D11/5</f>
        <v>5.9622034307803817</v>
      </c>
      <c r="AL28" s="177">
        <f>MAX((AD28-AC28),0)/5+AD28/lifespan!E11/5</f>
        <v>122.00796488659101</v>
      </c>
      <c r="AM28" s="177">
        <f>MAX((AE28-AD28),0)/5+AE28/lifespan!F11/5</f>
        <v>37.838670844852984</v>
      </c>
      <c r="AN28" s="177">
        <f>MAX((AF28-AE28),0)/5+AF28/lifespan!G11/5</f>
        <v>27.240986759018075</v>
      </c>
      <c r="AO28" s="177">
        <f>MAX((AG28-AF28),0)/5+AG28/lifespan!H11/5</f>
        <v>55.557507501264602</v>
      </c>
      <c r="AP28" s="177">
        <f>MAX((AH28-AG28),0)/5+AH28/lifespan!I11/5</f>
        <v>84.336712161374876</v>
      </c>
      <c r="AQ28" s="177">
        <f>MAX((AI28-AH28),0)/5+AI28/lifespan!J11/5</f>
        <v>16.472595705384464</v>
      </c>
    </row>
    <row r="29" spans="1:43" x14ac:dyDescent="0.25">
      <c r="A29" s="391" t="s">
        <v>616</v>
      </c>
      <c r="B29" s="15" t="s">
        <v>14</v>
      </c>
      <c r="C29" s="15" t="s">
        <v>15</v>
      </c>
      <c r="D29" s="420">
        <f>scen_pct_circular!T44</f>
        <v>0</v>
      </c>
      <c r="E29" s="420">
        <f>scen_pct_circular!U44</f>
        <v>0</v>
      </c>
      <c r="F29" s="420">
        <f>scen_pct_circular!V44</f>
        <v>0</v>
      </c>
      <c r="G29" s="420">
        <f>scen_pct_circular!W44</f>
        <v>0</v>
      </c>
      <c r="H29" s="420">
        <f>scen_pct_circular!X44</f>
        <v>0</v>
      </c>
      <c r="I29" s="420">
        <f>scen_pct_circular!Y44</f>
        <v>0</v>
      </c>
      <c r="J29" s="420">
        <f>scen_pct_circular!Z44</f>
        <v>0</v>
      </c>
      <c r="K29" s="420">
        <f>scen_pct_circular!AA44</f>
        <v>0</v>
      </c>
      <c r="L29" s="404">
        <f t="shared" si="14"/>
        <v>0</v>
      </c>
      <c r="M29" s="404">
        <f t="shared" si="12"/>
        <v>0</v>
      </c>
      <c r="N29" s="404">
        <f t="shared" si="12"/>
        <v>0</v>
      </c>
      <c r="O29" s="404">
        <f t="shared" si="12"/>
        <v>0</v>
      </c>
      <c r="P29" s="404">
        <f t="shared" si="12"/>
        <v>0</v>
      </c>
      <c r="Q29" s="404">
        <f t="shared" si="12"/>
        <v>0</v>
      </c>
      <c r="R29" s="404">
        <f t="shared" si="12"/>
        <v>0</v>
      </c>
      <c r="S29" s="404">
        <f t="shared" si="12"/>
        <v>0</v>
      </c>
      <c r="T29" s="119">
        <f>[15]xdecarb_CZ!B20</f>
        <v>0</v>
      </c>
      <c r="U29" s="174">
        <f>IFERROR([16]x2015el_repl!$A38*E29/el_replacements!$D3,0)</f>
        <v>0</v>
      </c>
      <c r="V29" s="174">
        <f>IFERROR([16]x2015el_repl!$A38*F29/el_replacements!$D3,0)</f>
        <v>0</v>
      </c>
      <c r="W29" s="174">
        <f>IFERROR([16]x2015el_repl!$A38*G29/el_replacements!$D3,0)</f>
        <v>0</v>
      </c>
      <c r="X29" s="174">
        <f>IFERROR([16]x2015el_repl!$A38*H29/el_replacements!$D3,0)</f>
        <v>0</v>
      </c>
      <c r="Y29" s="174">
        <f>IFERROR([16]x2015el_repl!$A38*I29/el_replacements!$D3,0)</f>
        <v>0</v>
      </c>
      <c r="Z29" s="174">
        <f>IFERROR([16]x2015el_repl!$A38*J29/el_replacements!$D3,0)</f>
        <v>0</v>
      </c>
      <c r="AA29" s="398">
        <f>IFERROR([16]x2015el_repl!$A38*K29/el_replacements!$D3,0)</f>
        <v>0</v>
      </c>
      <c r="AB29" s="177">
        <f>scen_input_bau!D60</f>
        <v>0</v>
      </c>
      <c r="AC29" s="177">
        <f>scen_input_bau!E60</f>
        <v>0</v>
      </c>
      <c r="AD29" s="177">
        <f>scen_input_bau!F60</f>
        <v>0</v>
      </c>
      <c r="AE29" s="177">
        <f>scen_input_bau!G60</f>
        <v>0</v>
      </c>
      <c r="AF29" s="177">
        <f>scen_input_bau!H60</f>
        <v>0</v>
      </c>
      <c r="AG29" s="177">
        <f>scen_input_bau!I60</f>
        <v>0</v>
      </c>
      <c r="AH29" s="177">
        <f>scen_input_bau!J60</f>
        <v>0</v>
      </c>
      <c r="AI29" s="177">
        <f>scen_input_bau!K60</f>
        <v>0</v>
      </c>
      <c r="AJ29" s="177">
        <f>el_capacity!T12+AB29/lifespan!C12</f>
        <v>0</v>
      </c>
      <c r="AK29" s="177">
        <f>MAX((AC29-AB29),0)/5+AC29/lifespan!D12/5</f>
        <v>0</v>
      </c>
      <c r="AL29" s="177">
        <f>MAX((AD29-AC29),0)/5+AD29/lifespan!E12/5</f>
        <v>0</v>
      </c>
      <c r="AM29" s="177">
        <f>MAX((AE29-AD29),0)/5+AE29/lifespan!F12/5</f>
        <v>0</v>
      </c>
      <c r="AN29" s="177">
        <f>MAX((AF29-AE29),0)/5+AF29/lifespan!G12/5</f>
        <v>0</v>
      </c>
      <c r="AO29" s="177">
        <f>MAX((AG29-AF29),0)/5+AG29/lifespan!H12/5</f>
        <v>0</v>
      </c>
      <c r="AP29" s="177">
        <f>MAX((AH29-AG29),0)/5+AH29/lifespan!I12/5</f>
        <v>0</v>
      </c>
      <c r="AQ29" s="177">
        <f>MAX((AI29-AH29),0)/5+AI29/lifespan!J12/5</f>
        <v>0</v>
      </c>
    </row>
    <row r="30" spans="1:43" x14ac:dyDescent="0.25">
      <c r="A30" s="391" t="s">
        <v>616</v>
      </c>
      <c r="B30" s="15" t="s">
        <v>16</v>
      </c>
      <c r="C30" s="15" t="s">
        <v>17</v>
      </c>
      <c r="D30" s="420">
        <f>scen_pct_circular!T45</f>
        <v>0</v>
      </c>
      <c r="E30" s="420">
        <f>scen_pct_circular!U45</f>
        <v>0</v>
      </c>
      <c r="F30" s="420">
        <f>scen_pct_circular!V45</f>
        <v>0</v>
      </c>
      <c r="G30" s="420">
        <f>scen_pct_circular!W45</f>
        <v>0</v>
      </c>
      <c r="H30" s="420">
        <f>scen_pct_circular!X45</f>
        <v>0</v>
      </c>
      <c r="I30" s="420">
        <f>scen_pct_circular!Y45</f>
        <v>0</v>
      </c>
      <c r="J30" s="420">
        <f>scen_pct_circular!Z45</f>
        <v>0</v>
      </c>
      <c r="K30" s="420">
        <f>scen_pct_circular!AA45</f>
        <v>0</v>
      </c>
      <c r="L30" s="404">
        <f t="shared" si="14"/>
        <v>0</v>
      </c>
      <c r="M30" s="404">
        <f t="shared" si="12"/>
        <v>0</v>
      </c>
      <c r="N30" s="404">
        <f t="shared" si="12"/>
        <v>0</v>
      </c>
      <c r="O30" s="404">
        <f t="shared" si="12"/>
        <v>0</v>
      </c>
      <c r="P30" s="404">
        <f t="shared" si="12"/>
        <v>0</v>
      </c>
      <c r="Q30" s="404">
        <f t="shared" si="12"/>
        <v>0</v>
      </c>
      <c r="R30" s="404">
        <f t="shared" si="12"/>
        <v>0</v>
      </c>
      <c r="S30" s="404">
        <f t="shared" si="12"/>
        <v>0</v>
      </c>
      <c r="T30" s="119">
        <f>[15]xdecarb_CZ!B21</f>
        <v>0</v>
      </c>
      <c r="U30" s="174">
        <f>IFERROR([16]x2015el_repl!$A52*E30/el_replacements!$D4,0)</f>
        <v>0</v>
      </c>
      <c r="V30" s="174">
        <f>IFERROR([16]x2015el_repl!$A52*F30/el_replacements!$D4,0)</f>
        <v>0</v>
      </c>
      <c r="W30" s="174">
        <f>IFERROR([16]x2015el_repl!$A52*G30/el_replacements!$D4,0)</f>
        <v>0</v>
      </c>
      <c r="X30" s="174">
        <f>IFERROR([16]x2015el_repl!$A52*H30/el_replacements!$D4,0)</f>
        <v>0</v>
      </c>
      <c r="Y30" s="174">
        <f>IFERROR([16]x2015el_repl!$A52*I30/el_replacements!$D4,0)</f>
        <v>0</v>
      </c>
      <c r="Z30" s="174">
        <f>IFERROR([16]x2015el_repl!$A52*J30/el_replacements!$D4,0)</f>
        <v>0</v>
      </c>
      <c r="AA30" s="398">
        <f>IFERROR([16]x2015el_repl!$A52*K30/el_replacements!$D4,0)</f>
        <v>0</v>
      </c>
      <c r="AB30" s="177">
        <f>scen_input_bau!D61</f>
        <v>0</v>
      </c>
      <c r="AC30" s="177">
        <f>scen_input_bau!E61</f>
        <v>0</v>
      </c>
      <c r="AD30" s="177">
        <f>scen_input_bau!F61</f>
        <v>0</v>
      </c>
      <c r="AE30" s="177">
        <f>scen_input_bau!G61</f>
        <v>0</v>
      </c>
      <c r="AF30" s="177">
        <f>scen_input_bau!H61</f>
        <v>0</v>
      </c>
      <c r="AG30" s="177">
        <f>scen_input_bau!I61</f>
        <v>0</v>
      </c>
      <c r="AH30" s="177">
        <f>scen_input_bau!J61</f>
        <v>0</v>
      </c>
      <c r="AI30" s="177">
        <f>scen_input_bau!K61</f>
        <v>0</v>
      </c>
      <c r="AJ30" s="177">
        <f>el_capacity!T13+AB30/lifespan!C13</f>
        <v>0</v>
      </c>
      <c r="AK30" s="177">
        <f>MAX((AC30-AB30),0)/5+AC30/lifespan!D13/5</f>
        <v>0</v>
      </c>
      <c r="AL30" s="177">
        <f>MAX((AD30-AC30),0)/5+AD30/lifespan!E13/5</f>
        <v>0</v>
      </c>
      <c r="AM30" s="177">
        <f>MAX((AE30-AD30),0)/5+AE30/lifespan!F13/5</f>
        <v>0</v>
      </c>
      <c r="AN30" s="177">
        <f>MAX((AF30-AE30),0)/5+AF30/lifespan!G13/5</f>
        <v>0</v>
      </c>
      <c r="AO30" s="177">
        <f>MAX((AG30-AF30),0)/5+AG30/lifespan!H13/5</f>
        <v>0</v>
      </c>
      <c r="AP30" s="177">
        <f>MAX((AH30-AG30),0)/5+AH30/lifespan!I13/5</f>
        <v>0</v>
      </c>
      <c r="AQ30" s="177">
        <f>MAX((AI30-AH30),0)/5+AI30/lifespan!J13/5</f>
        <v>0</v>
      </c>
    </row>
    <row r="31" spans="1:43" x14ac:dyDescent="0.25">
      <c r="A31" s="392" t="s">
        <v>616</v>
      </c>
      <c r="B31" s="394" t="s">
        <v>18</v>
      </c>
      <c r="C31" s="394" t="s">
        <v>19</v>
      </c>
      <c r="D31" s="421">
        <f>scen_pct_circular!T46</f>
        <v>0</v>
      </c>
      <c r="E31" s="421">
        <f>scen_pct_circular!U46</f>
        <v>0</v>
      </c>
      <c r="F31" s="421">
        <f>scen_pct_circular!V46</f>
        <v>0</v>
      </c>
      <c r="G31" s="421">
        <f>scen_pct_circular!W46</f>
        <v>0</v>
      </c>
      <c r="H31" s="421">
        <f>scen_pct_circular!X46</f>
        <v>0</v>
      </c>
      <c r="I31" s="421">
        <f>scen_pct_circular!Y46</f>
        <v>8.5082534440411703E-4</v>
      </c>
      <c r="J31" s="421">
        <f>scen_pct_circular!Z46</f>
        <v>3.2253276205508066E-2</v>
      </c>
      <c r="K31" s="421">
        <f>scen_pct_circular!AA46</f>
        <v>3.7204904535719015E-2</v>
      </c>
      <c r="L31" s="405">
        <f t="shared" si="14"/>
        <v>0</v>
      </c>
      <c r="M31" s="405">
        <f t="shared" si="12"/>
        <v>0</v>
      </c>
      <c r="N31" s="405">
        <f t="shared" si="12"/>
        <v>0</v>
      </c>
      <c r="O31" s="405">
        <f t="shared" si="12"/>
        <v>0</v>
      </c>
      <c r="P31" s="405">
        <f t="shared" si="12"/>
        <v>0</v>
      </c>
      <c r="Q31" s="405">
        <f t="shared" si="12"/>
        <v>7.1736625635766718E-4</v>
      </c>
      <c r="R31" s="405">
        <f t="shared" si="12"/>
        <v>2.556592915798972E-2</v>
      </c>
      <c r="S31" s="405">
        <f t="shared" si="12"/>
        <v>2.871049883607146E-2</v>
      </c>
      <c r="T31" s="400">
        <f>[15]xdecarb_CZ!B22</f>
        <v>0</v>
      </c>
      <c r="U31" s="401">
        <f>IFERROR([16]x2015el_repl!$A14*E31/el_replacements!$D5,0)</f>
        <v>0</v>
      </c>
      <c r="V31" s="401">
        <f>IFERROR([16]x2015el_repl!$A14*F31/el_replacements!$D5,0)</f>
        <v>0</v>
      </c>
      <c r="W31" s="401">
        <f>IFERROR([16]x2015el_repl!$A14*G31/el_replacements!$D5,0)</f>
        <v>0</v>
      </c>
      <c r="X31" s="401">
        <f>IFERROR([16]x2015el_repl!$A14*H31/el_replacements!$D5,0)</f>
        <v>0</v>
      </c>
      <c r="Y31" s="401">
        <f>IFERROR([16]x2015el_repl!$A14*I31/el_replacements!$D5,0)</f>
        <v>8.8807131319371913E-5</v>
      </c>
      <c r="Z31" s="401">
        <f>IFERROR([16]x2015el_repl!$A14*J31/el_replacements!$D5,0)</f>
        <v>3.3665204666282955E-3</v>
      </c>
      <c r="AA31" s="402">
        <f>IFERROR([16]x2015el_repl!$A14*K31/el_replacements!$D5,0)</f>
        <v>3.8833596866373584E-3</v>
      </c>
      <c r="AB31" s="177">
        <f>scen_input_bau!D62</f>
        <v>0</v>
      </c>
      <c r="AC31" s="177">
        <f>scen_input_bau!E62</f>
        <v>0</v>
      </c>
      <c r="AD31" s="177">
        <f>scen_input_bau!F62</f>
        <v>0</v>
      </c>
      <c r="AE31" s="177">
        <f>scen_input_bau!G62</f>
        <v>0</v>
      </c>
      <c r="AF31" s="177">
        <f>scen_input_bau!H62</f>
        <v>0</v>
      </c>
      <c r="AG31" s="177">
        <f>scen_input_bau!I62</f>
        <v>11.969068554251068</v>
      </c>
      <c r="AH31" s="177">
        <f>scen_input_bau!J62</f>
        <v>453.38759908852768</v>
      </c>
      <c r="AI31" s="177">
        <f>scen_input_bau!K62</f>
        <v>522.93844072382876</v>
      </c>
      <c r="AJ31" s="177">
        <f>el_capacity!T14+AB31/lifespan!C14</f>
        <v>0</v>
      </c>
      <c r="AK31" s="177">
        <f>MAX((AC31-AB31),0)/5+AC31/lifespan!D14/5</f>
        <v>0</v>
      </c>
      <c r="AL31" s="177">
        <f>MAX((AD31-AC31),0)/5+AD31/lifespan!E14/5</f>
        <v>0</v>
      </c>
      <c r="AM31" s="177">
        <f>MAX((AE31-AD31),0)/5+AE31/lifespan!F14/5</f>
        <v>0</v>
      </c>
      <c r="AN31" s="177">
        <f>MAX((AF31-AE31),0)/5+AF31/lifespan!G14/5</f>
        <v>0</v>
      </c>
      <c r="AO31" s="177">
        <f>MAX((AG31-AF31),0)/5+AG31/lifespan!H14/5</f>
        <v>2.4736075012118874</v>
      </c>
      <c r="AP31" s="177">
        <f>MAX((AH31-AG31),0)/5+AH31/lifespan!I14/5</f>
        <v>91.306290100778838</v>
      </c>
      <c r="AQ31" s="177">
        <f>MAX((AI31-AH31),0)/5+AI31/lifespan!J14/5</f>
        <v>17.396424598552407</v>
      </c>
    </row>
    <row r="32" spans="1:43" x14ac:dyDescent="0.25">
      <c r="D32" s="372"/>
      <c r="E32" s="372"/>
      <c r="F32" s="372"/>
      <c r="G32" s="372"/>
      <c r="H32" s="372"/>
      <c r="I32" s="372"/>
      <c r="J32" s="372"/>
      <c r="K32" s="372"/>
      <c r="L32" s="372"/>
      <c r="M32" s="372"/>
      <c r="N32" s="372"/>
      <c r="O32" s="372"/>
      <c r="P32" s="372"/>
      <c r="Q32" s="372"/>
      <c r="R32" s="372"/>
      <c r="S32" s="372"/>
    </row>
  </sheetData>
  <pageMargins left="0.7" right="0.7" top="0.78740157499999996" bottom="0.78740157499999996"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35"/>
  <sheetViews>
    <sheetView zoomScale="75" zoomScaleNormal="75" workbookViewId="0">
      <pane xSplit="3" ySplit="1" topLeftCell="T2" activePane="bottomRight" state="frozen"/>
      <selection activeCell="D2" sqref="D2"/>
      <selection pane="topRight" activeCell="D2" sqref="D2"/>
      <selection pane="bottomLeft" activeCell="D2" sqref="D2"/>
      <selection pane="bottomRight" activeCell="T2" sqref="T2"/>
    </sheetView>
  </sheetViews>
  <sheetFormatPr defaultColWidth="8.25" defaultRowHeight="15" x14ac:dyDescent="0.25"/>
  <cols>
    <col min="1" max="1" width="11.75" bestFit="1" customWidth="1"/>
    <col min="2" max="2" width="90.25" bestFit="1" customWidth="1"/>
    <col min="3" max="3" width="12.25" bestFit="1" customWidth="1"/>
    <col min="4" max="43" width="10.25" style="2" customWidth="1"/>
    <col min="44" max="16384" width="8.25" style="2"/>
  </cols>
  <sheetData>
    <row r="1" spans="1:43" s="44" customFormat="1" x14ac:dyDescent="0.25">
      <c r="A1" s="88" t="s">
        <v>586</v>
      </c>
      <c r="B1" s="88" t="s">
        <v>0</v>
      </c>
      <c r="C1" s="88" t="s">
        <v>1</v>
      </c>
      <c r="D1" s="44" t="s">
        <v>669</v>
      </c>
      <c r="E1" s="44" t="s">
        <v>681</v>
      </c>
      <c r="F1" s="44" t="s">
        <v>682</v>
      </c>
      <c r="G1" s="44" t="s">
        <v>683</v>
      </c>
      <c r="H1" s="44" t="s">
        <v>684</v>
      </c>
      <c r="I1" s="44" t="s">
        <v>685</v>
      </c>
      <c r="J1" s="44" t="s">
        <v>686</v>
      </c>
      <c r="K1" s="44" t="s">
        <v>687</v>
      </c>
      <c r="L1" s="44" t="s">
        <v>1113</v>
      </c>
      <c r="M1" s="44" t="s">
        <v>1114</v>
      </c>
      <c r="N1" s="44" t="s">
        <v>1115</v>
      </c>
      <c r="O1" s="44" t="s">
        <v>1116</v>
      </c>
      <c r="P1" s="44" t="s">
        <v>1117</v>
      </c>
      <c r="Q1" s="44" t="s">
        <v>1118</v>
      </c>
      <c r="R1" s="44" t="s">
        <v>1119</v>
      </c>
      <c r="S1" s="44" t="s">
        <v>1120</v>
      </c>
      <c r="T1" s="44" t="s">
        <v>688</v>
      </c>
      <c r="U1" s="44" t="s">
        <v>689</v>
      </c>
      <c r="V1" s="44" t="s">
        <v>690</v>
      </c>
      <c r="W1" s="44" t="s">
        <v>691</v>
      </c>
      <c r="X1" s="44" t="s">
        <v>692</v>
      </c>
      <c r="Y1" s="44" t="s">
        <v>693</v>
      </c>
      <c r="Z1" s="44" t="s">
        <v>694</v>
      </c>
      <c r="AA1" s="44" t="s">
        <v>695</v>
      </c>
      <c r="AB1" s="44" t="s">
        <v>644</v>
      </c>
      <c r="AC1" s="44" t="s">
        <v>696</v>
      </c>
      <c r="AD1" s="44" t="s">
        <v>697</v>
      </c>
      <c r="AE1" s="44" t="s">
        <v>698</v>
      </c>
      <c r="AF1" s="44" t="s">
        <v>699</v>
      </c>
      <c r="AG1" s="44" t="s">
        <v>700</v>
      </c>
      <c r="AH1" s="44" t="s">
        <v>701</v>
      </c>
      <c r="AI1" s="44" t="s">
        <v>702</v>
      </c>
      <c r="AJ1" s="112" t="s">
        <v>652</v>
      </c>
      <c r="AK1" s="112" t="s">
        <v>703</v>
      </c>
      <c r="AL1" s="112" t="s">
        <v>704</v>
      </c>
      <c r="AM1" s="112" t="s">
        <v>705</v>
      </c>
      <c r="AN1" s="112" t="s">
        <v>706</v>
      </c>
      <c r="AO1" s="112" t="s">
        <v>707</v>
      </c>
      <c r="AP1" s="112" t="s">
        <v>708</v>
      </c>
      <c r="AQ1" s="112" t="s">
        <v>709</v>
      </c>
    </row>
    <row r="2" spans="1:43" s="44" customFormat="1" x14ac:dyDescent="0.25">
      <c r="A2" s="388" t="s">
        <v>616</v>
      </c>
      <c r="B2" s="389" t="s">
        <v>1044</v>
      </c>
      <c r="C2" s="390" t="s">
        <v>737</v>
      </c>
      <c r="D2" s="403">
        <f>scen_pct_bau!T18</f>
        <v>1</v>
      </c>
      <c r="E2" s="403">
        <f>scen_pct_bau!U18</f>
        <v>1.0178571428571428</v>
      </c>
      <c r="F2" s="403">
        <f>scen_pct_bau!V18</f>
        <v>1.0357142857142858</v>
      </c>
      <c r="G2" s="403">
        <f>scen_pct_bau!W18</f>
        <v>1.0535714285714286</v>
      </c>
      <c r="H2" s="403">
        <f>scen_pct_bau!X18</f>
        <v>1.0714285714285714</v>
      </c>
      <c r="I2" s="403">
        <f>scen_pct_bau!Y18</f>
        <v>1.0892857142857142</v>
      </c>
      <c r="J2" s="403">
        <f>scen_pct_bau!Z18</f>
        <v>1.1071428571428572</v>
      </c>
      <c r="K2" s="403">
        <f>scen_pct_bau!AA18</f>
        <v>1.125</v>
      </c>
      <c r="L2" s="403">
        <f>D2/SUM(D$2:D$4)</f>
        <v>1</v>
      </c>
      <c r="M2" s="403">
        <f t="shared" ref="M2:S4" si="0">E2/SUM(E$2:E$4)</f>
        <v>1</v>
      </c>
      <c r="N2" s="403">
        <f t="shared" si="0"/>
        <v>1</v>
      </c>
      <c r="O2" s="403">
        <f t="shared" si="0"/>
        <v>1</v>
      </c>
      <c r="P2" s="403">
        <f t="shared" si="0"/>
        <v>1</v>
      </c>
      <c r="Q2" s="403">
        <f t="shared" si="0"/>
        <v>1</v>
      </c>
      <c r="R2" s="403">
        <f t="shared" si="0"/>
        <v>1</v>
      </c>
      <c r="S2" s="403">
        <f t="shared" si="0"/>
        <v>1</v>
      </c>
      <c r="T2" s="454">
        <f>([15]xdecarb_CZ!$B$2+[15]xdecarb_CZ!$B$3)*(64/68)*D2</f>
        <v>27.945118281078599</v>
      </c>
      <c r="U2" s="454">
        <f>([15]xdecarb_CZ!$B$2+[15]xdecarb_CZ!$B$3)*(64/68)*E2</f>
        <v>28.444138250383574</v>
      </c>
      <c r="V2" s="454">
        <f>([15]xdecarb_CZ!$B$2+[15]xdecarb_CZ!$B$3)*(64/68)*F2</f>
        <v>28.943158219688552</v>
      </c>
      <c r="W2" s="454">
        <f>([15]xdecarb_CZ!$B$2+[15]xdecarb_CZ!$B$3)*(64/68)*G2</f>
        <v>29.442178188993527</v>
      </c>
      <c r="X2" s="454">
        <f>([15]xdecarb_CZ!$B$2+[15]xdecarb_CZ!$B$3)*(64/68)*H2</f>
        <v>29.941198158298498</v>
      </c>
      <c r="Y2" s="454">
        <f>([15]xdecarb_CZ!$B$2+[15]xdecarb_CZ!$B$3)*(64/68)*I2</f>
        <v>30.440218127603472</v>
      </c>
      <c r="Z2" s="454">
        <f>([15]xdecarb_CZ!$B$2+[15]xdecarb_CZ!$B$3)*(64/68)*J2</f>
        <v>30.939238096908451</v>
      </c>
      <c r="AA2" s="455">
        <f>([15]xdecarb_CZ!$B$2+[15]xdecarb_CZ!$B$3)*(64/68)*K2</f>
        <v>31.438258066213425</v>
      </c>
      <c r="AB2" s="175"/>
      <c r="AC2" s="175"/>
      <c r="AD2" s="175"/>
      <c r="AE2" s="175"/>
      <c r="AF2" s="175"/>
      <c r="AG2" s="175"/>
      <c r="AH2" s="175"/>
      <c r="AI2" s="175"/>
      <c r="AJ2" s="176"/>
      <c r="AK2" s="176"/>
      <c r="AL2" s="176"/>
      <c r="AM2" s="176"/>
      <c r="AN2" s="176"/>
      <c r="AO2" s="176"/>
      <c r="AP2" s="176"/>
      <c r="AQ2" s="176"/>
    </row>
    <row r="3" spans="1:43" s="44" customFormat="1" x14ac:dyDescent="0.25">
      <c r="A3" s="391" t="s">
        <v>616</v>
      </c>
      <c r="B3" s="113" t="s">
        <v>1045</v>
      </c>
      <c r="C3" s="15" t="s">
        <v>738</v>
      </c>
      <c r="D3" s="404">
        <f>scen_pct_bau!T19</f>
        <v>0</v>
      </c>
      <c r="E3" s="404">
        <f>scen_pct_bau!U19</f>
        <v>0</v>
      </c>
      <c r="F3" s="404">
        <f>scen_pct_bau!V19</f>
        <v>0</v>
      </c>
      <c r="G3" s="404">
        <f>scen_pct_bau!W19</f>
        <v>0</v>
      </c>
      <c r="H3" s="404">
        <f>scen_pct_bau!X19</f>
        <v>0</v>
      </c>
      <c r="I3" s="404">
        <f>scen_pct_bau!Y19</f>
        <v>0</v>
      </c>
      <c r="J3" s="404">
        <f>scen_pct_bau!Z19</f>
        <v>0</v>
      </c>
      <c r="K3" s="404">
        <f>scen_pct_bau!AA19</f>
        <v>0</v>
      </c>
      <c r="L3" s="404">
        <f t="shared" ref="L3:L4" si="1">D3/SUM(D$2:D$4)</f>
        <v>0</v>
      </c>
      <c r="M3" s="404">
        <f t="shared" si="0"/>
        <v>0</v>
      </c>
      <c r="N3" s="404">
        <f t="shared" si="0"/>
        <v>0</v>
      </c>
      <c r="O3" s="404">
        <f t="shared" si="0"/>
        <v>0</v>
      </c>
      <c r="P3" s="404">
        <f t="shared" si="0"/>
        <v>0</v>
      </c>
      <c r="Q3" s="404">
        <f t="shared" si="0"/>
        <v>0</v>
      </c>
      <c r="R3" s="404">
        <f t="shared" si="0"/>
        <v>0</v>
      </c>
      <c r="S3" s="404">
        <f t="shared" si="0"/>
        <v>0</v>
      </c>
      <c r="T3" s="174">
        <f>([15]xdecarb_CZ!$B$2+[15]xdecarb_CZ!$B$3)*(64/68)*D3</f>
        <v>0</v>
      </c>
      <c r="U3" s="174">
        <f>([15]xdecarb_CZ!$B$2+[15]xdecarb_CZ!$B$3)*(64/68)*E3</f>
        <v>0</v>
      </c>
      <c r="V3" s="174">
        <f>([15]xdecarb_CZ!$B$2+[15]xdecarb_CZ!$B$3)*(64/68)*F3</f>
        <v>0</v>
      </c>
      <c r="W3" s="174">
        <f>([15]xdecarb_CZ!$B$2+[15]xdecarb_CZ!$B$3)*(64/68)*G3</f>
        <v>0</v>
      </c>
      <c r="X3" s="174">
        <f>([15]xdecarb_CZ!$B$2+[15]xdecarb_CZ!$B$3)*(64/68)*H3</f>
        <v>0</v>
      </c>
      <c r="Y3" s="174">
        <f>([15]xdecarb_CZ!$B$2+[15]xdecarb_CZ!$B$3)*(64/68)*I3</f>
        <v>0</v>
      </c>
      <c r="Z3" s="174">
        <f>([15]xdecarb_CZ!$B$2+[15]xdecarb_CZ!$B$3)*(64/68)*J3</f>
        <v>0</v>
      </c>
      <c r="AA3" s="398">
        <f>([15]xdecarb_CZ!$B$2+[15]xdecarb_CZ!$B$3)*(64/68)*K3</f>
        <v>0</v>
      </c>
      <c r="AB3" s="175"/>
      <c r="AC3" s="175"/>
      <c r="AD3" s="175"/>
      <c r="AE3" s="175"/>
      <c r="AF3" s="175"/>
      <c r="AG3" s="175"/>
      <c r="AH3" s="175"/>
      <c r="AI3" s="175"/>
      <c r="AJ3" s="176"/>
      <c r="AK3" s="176"/>
      <c r="AL3" s="176"/>
      <c r="AM3" s="176"/>
      <c r="AN3" s="176"/>
      <c r="AO3" s="176"/>
      <c r="AP3" s="176"/>
      <c r="AQ3" s="176"/>
    </row>
    <row r="4" spans="1:43" s="44" customFormat="1" x14ac:dyDescent="0.25">
      <c r="A4" s="392" t="s">
        <v>616</v>
      </c>
      <c r="B4" s="393" t="s">
        <v>1046</v>
      </c>
      <c r="C4" s="394" t="s">
        <v>748</v>
      </c>
      <c r="D4" s="404">
        <f>scen_pct_bau!T20</f>
        <v>0</v>
      </c>
      <c r="E4" s="404">
        <f>scen_pct_bau!U20</f>
        <v>0</v>
      </c>
      <c r="F4" s="404">
        <f>scen_pct_bau!V20</f>
        <v>0</v>
      </c>
      <c r="G4" s="404">
        <f>scen_pct_bau!W20</f>
        <v>0</v>
      </c>
      <c r="H4" s="404">
        <f>scen_pct_bau!X20</f>
        <v>0</v>
      </c>
      <c r="I4" s="404">
        <f>scen_pct_bau!Y20</f>
        <v>0</v>
      </c>
      <c r="J4" s="404">
        <f>scen_pct_bau!Z20</f>
        <v>0</v>
      </c>
      <c r="K4" s="404">
        <f>scen_pct_bau!AA20</f>
        <v>0</v>
      </c>
      <c r="L4" s="404">
        <f t="shared" si="1"/>
        <v>0</v>
      </c>
      <c r="M4" s="404">
        <f t="shared" si="0"/>
        <v>0</v>
      </c>
      <c r="N4" s="404">
        <f t="shared" si="0"/>
        <v>0</v>
      </c>
      <c r="O4" s="404">
        <f t="shared" si="0"/>
        <v>0</v>
      </c>
      <c r="P4" s="404">
        <f t="shared" si="0"/>
        <v>0</v>
      </c>
      <c r="Q4" s="404">
        <f t="shared" si="0"/>
        <v>0</v>
      </c>
      <c r="R4" s="404">
        <f t="shared" si="0"/>
        <v>0</v>
      </c>
      <c r="S4" s="404">
        <f t="shared" si="0"/>
        <v>0</v>
      </c>
      <c r="T4" s="174">
        <f>([15]xdecarb_CZ!$B$2+[15]xdecarb_CZ!$B$3)*(64/68)*D4</f>
        <v>0</v>
      </c>
      <c r="U4" s="174">
        <f>([15]xdecarb_CZ!$B$2+[15]xdecarb_CZ!$B$3)*(64/68)*E4</f>
        <v>0</v>
      </c>
      <c r="V4" s="174">
        <f>([15]xdecarb_CZ!$B$2+[15]xdecarb_CZ!$B$3)*(64/68)*F4</f>
        <v>0</v>
      </c>
      <c r="W4" s="174">
        <f>([15]xdecarb_CZ!$B$2+[15]xdecarb_CZ!$B$3)*(64/68)*G4</f>
        <v>0</v>
      </c>
      <c r="X4" s="174">
        <f>([15]xdecarb_CZ!$B$2+[15]xdecarb_CZ!$B$3)*(64/68)*H4</f>
        <v>0</v>
      </c>
      <c r="Y4" s="174">
        <f>([15]xdecarb_CZ!$B$2+[15]xdecarb_CZ!$B$3)*(64/68)*I4</f>
        <v>0</v>
      </c>
      <c r="Z4" s="174">
        <f>([15]xdecarb_CZ!$B$2+[15]xdecarb_CZ!$B$3)*(64/68)*J4</f>
        <v>0</v>
      </c>
      <c r="AA4" s="398">
        <f>([15]xdecarb_CZ!$B$2+[15]xdecarb_CZ!$B$3)*(64/68)*K4</f>
        <v>0</v>
      </c>
      <c r="AB4" s="175"/>
      <c r="AC4" s="175"/>
      <c r="AD4" s="175"/>
      <c r="AE4" s="175"/>
      <c r="AF4" s="175"/>
      <c r="AG4" s="175"/>
      <c r="AH4" s="175"/>
      <c r="AI4" s="175"/>
      <c r="AJ4" s="176"/>
      <c r="AK4" s="176"/>
      <c r="AL4" s="176"/>
      <c r="AM4" s="176"/>
      <c r="AN4" s="176"/>
      <c r="AO4" s="176"/>
      <c r="AP4" s="176"/>
      <c r="AQ4" s="176"/>
    </row>
    <row r="5" spans="1:43" s="44" customFormat="1" x14ac:dyDescent="0.25">
      <c r="A5" s="391" t="s">
        <v>616</v>
      </c>
      <c r="B5" s="113" t="s">
        <v>1047</v>
      </c>
      <c r="C5" s="15" t="s">
        <v>140</v>
      </c>
      <c r="D5" s="412">
        <f>scen_pct_bau!T22</f>
        <v>1</v>
      </c>
      <c r="E5" s="412">
        <f>scen_pct_bau!U22</f>
        <v>1.0178571428571428</v>
      </c>
      <c r="F5" s="412">
        <f>scen_pct_bau!V22</f>
        <v>1.0357142857142858</v>
      </c>
      <c r="G5" s="412">
        <f>scen_pct_bau!W22</f>
        <v>1.0535714285714286</v>
      </c>
      <c r="H5" s="412">
        <f>scen_pct_bau!X22</f>
        <v>1.0714285714285714</v>
      </c>
      <c r="I5" s="412">
        <f>scen_pct_bau!Y22</f>
        <v>1.0892857142857142</v>
      </c>
      <c r="J5" s="412">
        <f>scen_pct_bau!Z22</f>
        <v>1.1071428571428572</v>
      </c>
      <c r="K5" s="412">
        <f>scen_pct_bau!AA22</f>
        <v>1.125</v>
      </c>
      <c r="L5" s="413">
        <f>D5/SUM(D$5)</f>
        <v>1</v>
      </c>
      <c r="M5" s="413">
        <f t="shared" ref="M5:S5" si="2">E5/SUM(E$5)</f>
        <v>1</v>
      </c>
      <c r="N5" s="413">
        <f t="shared" si="2"/>
        <v>1</v>
      </c>
      <c r="O5" s="413">
        <f t="shared" si="2"/>
        <v>1</v>
      </c>
      <c r="P5" s="413">
        <f t="shared" si="2"/>
        <v>1</v>
      </c>
      <c r="Q5" s="413">
        <f t="shared" si="2"/>
        <v>1</v>
      </c>
      <c r="R5" s="413">
        <f t="shared" si="2"/>
        <v>1</v>
      </c>
      <c r="S5" s="413">
        <f t="shared" si="2"/>
        <v>1</v>
      </c>
      <c r="T5" s="456">
        <f>([15]xdecarb_CZ!$B$2+[15]xdecarb_CZ!$B$3)*(4/68)*D5</f>
        <v>1.7465698925674125</v>
      </c>
      <c r="U5" s="456">
        <f>([15]xdecarb_CZ!$B$2+[15]xdecarb_CZ!$B$3)*(4/68)*E5</f>
        <v>1.7777586406489734</v>
      </c>
      <c r="V5" s="456">
        <f>([15]xdecarb_CZ!$B$2+[15]xdecarb_CZ!$B$3)*(4/68)*F5</f>
        <v>1.8089473887305345</v>
      </c>
      <c r="W5" s="456">
        <f>([15]xdecarb_CZ!$B$2+[15]xdecarb_CZ!$B$3)*(4/68)*G5</f>
        <v>1.8401361368120954</v>
      </c>
      <c r="X5" s="456">
        <f>([15]xdecarb_CZ!$B$2+[15]xdecarb_CZ!$B$3)*(4/68)*H5</f>
        <v>1.8713248848936561</v>
      </c>
      <c r="Y5" s="456">
        <f>([15]xdecarb_CZ!$B$2+[15]xdecarb_CZ!$B$3)*(4/68)*I5</f>
        <v>1.902513632975217</v>
      </c>
      <c r="Z5" s="456">
        <f>([15]xdecarb_CZ!$B$2+[15]xdecarb_CZ!$B$3)*(4/68)*J5</f>
        <v>1.9337023810567782</v>
      </c>
      <c r="AA5" s="457">
        <f>([15]xdecarb_CZ!$B$2+[15]xdecarb_CZ!$B$3)*(4/68)*K5</f>
        <v>1.9648911291383391</v>
      </c>
      <c r="AB5" s="175"/>
      <c r="AC5" s="175"/>
      <c r="AD5" s="175"/>
      <c r="AE5" s="175"/>
      <c r="AF5" s="175"/>
      <c r="AG5" s="175"/>
      <c r="AH5" s="175"/>
      <c r="AI5" s="175"/>
      <c r="AJ5" s="176"/>
      <c r="AK5" s="176"/>
      <c r="AL5" s="176"/>
      <c r="AM5" s="176"/>
      <c r="AN5" s="176"/>
      <c r="AO5" s="176"/>
      <c r="AP5" s="176"/>
      <c r="AQ5" s="176"/>
    </row>
    <row r="6" spans="1:43" s="44" customFormat="1" x14ac:dyDescent="0.25">
      <c r="A6" s="388" t="s">
        <v>616</v>
      </c>
      <c r="B6" s="389" t="s">
        <v>1049</v>
      </c>
      <c r="C6" s="390" t="s">
        <v>739</v>
      </c>
      <c r="D6" s="416">
        <f>scen_pct_bau!T25</f>
        <v>1</v>
      </c>
      <c r="E6" s="416">
        <f>scen_pct_bau!U25</f>
        <v>0.96296296296296302</v>
      </c>
      <c r="F6" s="416">
        <f>scen_pct_bau!V25</f>
        <v>0.92592592592592593</v>
      </c>
      <c r="G6" s="416">
        <f>scen_pct_bau!W25</f>
        <v>0.88888888888888895</v>
      </c>
      <c r="H6" s="416">
        <f>scen_pct_bau!X25</f>
        <v>0.85185185185185186</v>
      </c>
      <c r="I6" s="416">
        <f>scen_pct_bau!Y25</f>
        <v>0.81481481481481488</v>
      </c>
      <c r="J6" s="416">
        <f>scen_pct_bau!Z25</f>
        <v>0.7777777777777779</v>
      </c>
      <c r="K6" s="416">
        <f>scen_pct_bau!AA25</f>
        <v>0.74074074074074081</v>
      </c>
      <c r="L6" s="403">
        <f>D6/SUM(D$6:D$8)</f>
        <v>1</v>
      </c>
      <c r="M6" s="403">
        <f>E6/SUM(E$6:E$8)</f>
        <v>1</v>
      </c>
      <c r="N6" s="403">
        <f t="shared" ref="M6:S8" si="3">F6/SUM(F$6:F$8)</f>
        <v>1</v>
      </c>
      <c r="O6" s="403">
        <f t="shared" si="3"/>
        <v>1</v>
      </c>
      <c r="P6" s="403">
        <f t="shared" si="3"/>
        <v>1</v>
      </c>
      <c r="Q6" s="403">
        <f t="shared" si="3"/>
        <v>1</v>
      </c>
      <c r="R6" s="403">
        <f t="shared" si="3"/>
        <v>1</v>
      </c>
      <c r="S6" s="403">
        <f t="shared" si="3"/>
        <v>1</v>
      </c>
      <c r="T6" s="407">
        <f>[15]xdecarb_CZ!$B$4*D6</f>
        <v>177.868399769934</v>
      </c>
      <c r="U6" s="407">
        <f>[15]xdecarb_CZ!$B$4*E6</f>
        <v>171.28068125993644</v>
      </c>
      <c r="V6" s="407">
        <f>[15]xdecarb_CZ!$B$4*F6</f>
        <v>164.69296274993889</v>
      </c>
      <c r="W6" s="407">
        <f>[15]xdecarb_CZ!$B$4*G6</f>
        <v>158.10524423994136</v>
      </c>
      <c r="X6" s="407">
        <f>[15]xdecarb_CZ!$B$4*H6</f>
        <v>151.51752572994377</v>
      </c>
      <c r="Y6" s="407">
        <f>[15]xdecarb_CZ!$B$4*I6</f>
        <v>144.92980721994624</v>
      </c>
      <c r="Z6" s="407">
        <f>[15]xdecarb_CZ!$B$4*J6</f>
        <v>138.34208870994868</v>
      </c>
      <c r="AA6" s="408">
        <f>[15]xdecarb_CZ!$B$4*K6</f>
        <v>131.75437019995113</v>
      </c>
      <c r="AB6" s="175"/>
      <c r="AC6" s="175"/>
      <c r="AD6" s="175"/>
      <c r="AE6" s="175"/>
      <c r="AF6" s="175"/>
      <c r="AG6" s="175"/>
      <c r="AH6" s="175"/>
      <c r="AI6" s="175"/>
      <c r="AJ6" s="176"/>
      <c r="AK6" s="176"/>
      <c r="AL6" s="176"/>
      <c r="AM6" s="176"/>
      <c r="AN6" s="176"/>
      <c r="AO6" s="176"/>
      <c r="AP6" s="176"/>
      <c r="AQ6" s="176"/>
    </row>
    <row r="7" spans="1:43" s="44" customFormat="1" x14ac:dyDescent="0.25">
      <c r="A7" s="391" t="s">
        <v>616</v>
      </c>
      <c r="B7" s="113" t="s">
        <v>1050</v>
      </c>
      <c r="C7" s="15" t="s">
        <v>740</v>
      </c>
      <c r="D7" s="417">
        <f>scen_pct_bau!T26</f>
        <v>0</v>
      </c>
      <c r="E7" s="417">
        <f>scen_pct_bau!U26</f>
        <v>0</v>
      </c>
      <c r="F7" s="417">
        <f>scen_pct_bau!V26</f>
        <v>0</v>
      </c>
      <c r="G7" s="417">
        <f>scen_pct_bau!W26</f>
        <v>0</v>
      </c>
      <c r="H7" s="417">
        <f>scen_pct_bau!X26</f>
        <v>0</v>
      </c>
      <c r="I7" s="417">
        <f>scen_pct_bau!Y26</f>
        <v>0</v>
      </c>
      <c r="J7" s="417">
        <f>scen_pct_bau!Z26</f>
        <v>0</v>
      </c>
      <c r="K7" s="417">
        <f>scen_pct_bau!AA26</f>
        <v>0</v>
      </c>
      <c r="L7" s="404">
        <f t="shared" ref="L7:L8" si="4">D7/SUM(D$6:D$8)</f>
        <v>0</v>
      </c>
      <c r="M7" s="404">
        <f t="shared" si="3"/>
        <v>0</v>
      </c>
      <c r="N7" s="404">
        <f t="shared" si="3"/>
        <v>0</v>
      </c>
      <c r="O7" s="404">
        <f t="shared" si="3"/>
        <v>0</v>
      </c>
      <c r="P7" s="404">
        <f t="shared" si="3"/>
        <v>0</v>
      </c>
      <c r="Q7" s="404">
        <f t="shared" si="3"/>
        <v>0</v>
      </c>
      <c r="R7" s="404">
        <f t="shared" si="3"/>
        <v>0</v>
      </c>
      <c r="S7" s="404">
        <f t="shared" si="3"/>
        <v>0</v>
      </c>
      <c r="T7" s="409">
        <f>[15]xdecarb_CZ!$B$4*D7</f>
        <v>0</v>
      </c>
      <c r="U7" s="409">
        <f>[15]xdecarb_CZ!$B$4*E7</f>
        <v>0</v>
      </c>
      <c r="V7" s="409">
        <f>[15]xdecarb_CZ!$B$4*F7</f>
        <v>0</v>
      </c>
      <c r="W7" s="409">
        <f>[15]xdecarb_CZ!$B$4*G7</f>
        <v>0</v>
      </c>
      <c r="X7" s="409">
        <f>[15]xdecarb_CZ!$B$4*H7</f>
        <v>0</v>
      </c>
      <c r="Y7" s="409">
        <f>[15]xdecarb_CZ!$B$4*I7</f>
        <v>0</v>
      </c>
      <c r="Z7" s="409">
        <f>[15]xdecarb_CZ!$B$4*J7</f>
        <v>0</v>
      </c>
      <c r="AA7" s="410">
        <f>[15]xdecarb_CZ!$B$4*K7</f>
        <v>0</v>
      </c>
      <c r="AB7" s="175"/>
      <c r="AC7" s="175"/>
      <c r="AD7" s="175"/>
      <c r="AE7" s="175"/>
      <c r="AF7" s="175"/>
      <c r="AG7" s="175"/>
      <c r="AH7" s="175"/>
      <c r="AI7" s="175"/>
      <c r="AJ7" s="176"/>
      <c r="AK7" s="176"/>
      <c r="AL7" s="176"/>
      <c r="AM7" s="176"/>
      <c r="AN7" s="176"/>
      <c r="AO7" s="176"/>
      <c r="AP7" s="176"/>
      <c r="AQ7" s="176"/>
    </row>
    <row r="8" spans="1:43" s="44" customFormat="1" x14ac:dyDescent="0.25">
      <c r="A8" s="391" t="s">
        <v>616</v>
      </c>
      <c r="B8" s="113" t="s">
        <v>1051</v>
      </c>
      <c r="C8" s="15" t="s">
        <v>926</v>
      </c>
      <c r="D8" s="418">
        <f>scen_pct_bau!T27</f>
        <v>0</v>
      </c>
      <c r="E8" s="418">
        <f>scen_pct_bau!U27</f>
        <v>0</v>
      </c>
      <c r="F8" s="418">
        <f>scen_pct_bau!V27</f>
        <v>0</v>
      </c>
      <c r="G8" s="418">
        <f>scen_pct_bau!W27</f>
        <v>0</v>
      </c>
      <c r="H8" s="418">
        <f>scen_pct_bau!X27</f>
        <v>0</v>
      </c>
      <c r="I8" s="418">
        <f>scen_pct_bau!Y27</f>
        <v>0</v>
      </c>
      <c r="J8" s="418">
        <f>scen_pct_bau!Z27</f>
        <v>0</v>
      </c>
      <c r="K8" s="418">
        <f>scen_pct_bau!AA27</f>
        <v>0</v>
      </c>
      <c r="L8" s="405">
        <f t="shared" si="4"/>
        <v>0</v>
      </c>
      <c r="M8" s="405">
        <f t="shared" si="3"/>
        <v>0</v>
      </c>
      <c r="N8" s="405">
        <f t="shared" si="3"/>
        <v>0</v>
      </c>
      <c r="O8" s="405">
        <f t="shared" si="3"/>
        <v>0</v>
      </c>
      <c r="P8" s="405">
        <f t="shared" si="3"/>
        <v>0</v>
      </c>
      <c r="Q8" s="405">
        <f t="shared" si="3"/>
        <v>0</v>
      </c>
      <c r="R8" s="405">
        <f t="shared" si="3"/>
        <v>0</v>
      </c>
      <c r="S8" s="405">
        <f t="shared" si="3"/>
        <v>0</v>
      </c>
      <c r="T8" s="406">
        <f>[15]xdecarb_CZ!$B$4*D8</f>
        <v>0</v>
      </c>
      <c r="U8" s="406">
        <f>[15]xdecarb_CZ!$B$4*E8</f>
        <v>0</v>
      </c>
      <c r="V8" s="406">
        <f>[15]xdecarb_CZ!$B$4*F8</f>
        <v>0</v>
      </c>
      <c r="W8" s="406">
        <f>[15]xdecarb_CZ!$B$4*G8</f>
        <v>0</v>
      </c>
      <c r="X8" s="406">
        <f>[15]xdecarb_CZ!$B$4*H8</f>
        <v>0</v>
      </c>
      <c r="Y8" s="406">
        <f>[15]xdecarb_CZ!$B$4*I8</f>
        <v>0</v>
      </c>
      <c r="Z8" s="406">
        <f>[15]xdecarb_CZ!$B$4*J8</f>
        <v>0</v>
      </c>
      <c r="AA8" s="411">
        <f>[15]xdecarb_CZ!$B$4*K8</f>
        <v>0</v>
      </c>
      <c r="AB8" s="175"/>
      <c r="AC8" s="175"/>
      <c r="AD8" s="175"/>
      <c r="AE8" s="175"/>
      <c r="AF8" s="175"/>
      <c r="AG8" s="175"/>
      <c r="AH8" s="175"/>
      <c r="AI8" s="175"/>
      <c r="AJ8" s="176"/>
      <c r="AK8" s="176"/>
      <c r="AL8" s="176"/>
      <c r="AM8" s="176"/>
      <c r="AN8" s="176"/>
      <c r="AO8" s="176"/>
      <c r="AP8" s="176"/>
      <c r="AQ8" s="176"/>
    </row>
    <row r="9" spans="1:43" s="44" customFormat="1" x14ac:dyDescent="0.25">
      <c r="A9" s="388" t="s">
        <v>616</v>
      </c>
      <c r="B9" s="389" t="s">
        <v>1041</v>
      </c>
      <c r="C9" s="390" t="s">
        <v>735</v>
      </c>
      <c r="D9" s="416">
        <f>scen_pct_bau!T11</f>
        <v>1</v>
      </c>
      <c r="E9" s="416">
        <f>scen_pct_bau!U11</f>
        <v>1.0292961675329531</v>
      </c>
      <c r="F9" s="416">
        <f>scen_pct_bau!V11</f>
        <v>1.0590152945971678</v>
      </c>
      <c r="G9" s="416">
        <f>scen_pct_bau!W11</f>
        <v>1.0891573811926434</v>
      </c>
      <c r="H9" s="416">
        <f>scen_pct_bau!X11</f>
        <v>1.1197224273193807</v>
      </c>
      <c r="I9" s="416">
        <f>scen_pct_bau!Y11</f>
        <v>1.150710432977379</v>
      </c>
      <c r="J9" s="416">
        <f>scen_pct_bau!Z11</f>
        <v>1.182121398166639</v>
      </c>
      <c r="K9" s="416">
        <f>scen_pct_bau!AA11</f>
        <v>1.2139553228871598</v>
      </c>
      <c r="L9" s="403">
        <f>D9/SUM(D$9:D$11)</f>
        <v>1</v>
      </c>
      <c r="M9" s="403">
        <f t="shared" ref="M9:S11" si="5">E9/SUM(E$9:E$11)</f>
        <v>1</v>
      </c>
      <c r="N9" s="403">
        <f t="shared" si="5"/>
        <v>1</v>
      </c>
      <c r="O9" s="403">
        <f t="shared" si="5"/>
        <v>1</v>
      </c>
      <c r="P9" s="403">
        <f t="shared" si="5"/>
        <v>1</v>
      </c>
      <c r="Q9" s="403">
        <f t="shared" si="5"/>
        <v>1</v>
      </c>
      <c r="R9" s="403">
        <f t="shared" si="5"/>
        <v>1</v>
      </c>
      <c r="S9" s="403">
        <f t="shared" si="5"/>
        <v>1</v>
      </c>
      <c r="T9" s="407">
        <f>[15]xdecarb_CZ!$B$5*D9</f>
        <v>896.79049396425603</v>
      </c>
      <c r="U9" s="407">
        <f>[15]xdecarb_CZ!$B$5*E9</f>
        <v>923.06301851739261</v>
      </c>
      <c r="V9" s="407">
        <f>[15]xdecarb_CZ!$B$5*F9</f>
        <v>949.71484915749625</v>
      </c>
      <c r="W9" s="407">
        <f>[15]xdecarb_CZ!$B$5*G9</f>
        <v>976.74598588456615</v>
      </c>
      <c r="X9" s="407">
        <f>[15]xdecarb_CZ!$B$5*H9</f>
        <v>1004.1564286986031</v>
      </c>
      <c r="Y9" s="407">
        <f>[15]xdecarb_CZ!$B$5*I9</f>
        <v>1031.9461775996067</v>
      </c>
      <c r="Z9" s="407">
        <f>[15]xdecarb_CZ!$B$5*J9</f>
        <v>1060.1152325875771</v>
      </c>
      <c r="AA9" s="408">
        <f>[15]xdecarb_CZ!$B$5*K9</f>
        <v>1088.6635936625139</v>
      </c>
      <c r="AB9" s="175"/>
      <c r="AC9" s="175"/>
      <c r="AD9" s="175"/>
      <c r="AE9" s="175"/>
      <c r="AF9" s="175"/>
      <c r="AG9" s="175"/>
      <c r="AH9" s="175"/>
      <c r="AI9" s="175"/>
      <c r="AJ9" s="176"/>
      <c r="AK9" s="176"/>
      <c r="AL9" s="176"/>
      <c r="AM9" s="176"/>
      <c r="AN9" s="176"/>
      <c r="AO9" s="176"/>
      <c r="AP9" s="176"/>
      <c r="AQ9" s="176"/>
    </row>
    <row r="10" spans="1:43" s="44" customFormat="1" x14ac:dyDescent="0.25">
      <c r="A10" s="391" t="s">
        <v>616</v>
      </c>
      <c r="B10" s="113" t="s">
        <v>1042</v>
      </c>
      <c r="C10" s="15" t="s">
        <v>736</v>
      </c>
      <c r="D10" s="417">
        <f>scen_pct_bau!T12</f>
        <v>0</v>
      </c>
      <c r="E10" s="417">
        <f>scen_pct_bau!U12</f>
        <v>0</v>
      </c>
      <c r="F10" s="417">
        <f>scen_pct_bau!V12</f>
        <v>0</v>
      </c>
      <c r="G10" s="417">
        <f>scen_pct_bau!W12</f>
        <v>0</v>
      </c>
      <c r="H10" s="417">
        <f>scen_pct_bau!X12</f>
        <v>0</v>
      </c>
      <c r="I10" s="417">
        <f>scen_pct_bau!Y12</f>
        <v>0</v>
      </c>
      <c r="J10" s="417">
        <f>scen_pct_bau!Z12</f>
        <v>0</v>
      </c>
      <c r="K10" s="417">
        <f>scen_pct_bau!AA12</f>
        <v>0</v>
      </c>
      <c r="L10" s="404">
        <f t="shared" ref="L10:L11" si="6">D10/SUM(D$9:D$11)</f>
        <v>0</v>
      </c>
      <c r="M10" s="404">
        <f t="shared" si="5"/>
        <v>0</v>
      </c>
      <c r="N10" s="404">
        <f t="shared" si="5"/>
        <v>0</v>
      </c>
      <c r="O10" s="404">
        <f t="shared" si="5"/>
        <v>0</v>
      </c>
      <c r="P10" s="404">
        <f t="shared" si="5"/>
        <v>0</v>
      </c>
      <c r="Q10" s="404">
        <f t="shared" si="5"/>
        <v>0</v>
      </c>
      <c r="R10" s="404">
        <f t="shared" si="5"/>
        <v>0</v>
      </c>
      <c r="S10" s="404">
        <f t="shared" si="5"/>
        <v>0</v>
      </c>
      <c r="T10" s="409">
        <f>[15]xdecarb_CZ!$B$5*D10</f>
        <v>0</v>
      </c>
      <c r="U10" s="409">
        <f>[15]xdecarb_CZ!$B$5*E10</f>
        <v>0</v>
      </c>
      <c r="V10" s="409">
        <f>[15]xdecarb_CZ!$B$5*F10</f>
        <v>0</v>
      </c>
      <c r="W10" s="409">
        <f>[15]xdecarb_CZ!$B$5*G10</f>
        <v>0</v>
      </c>
      <c r="X10" s="409">
        <f>[15]xdecarb_CZ!$B$5*H10</f>
        <v>0</v>
      </c>
      <c r="Y10" s="409">
        <f>[15]xdecarb_CZ!$B$5*I10</f>
        <v>0</v>
      </c>
      <c r="Z10" s="409">
        <f>[15]xdecarb_CZ!$B$5*J10</f>
        <v>0</v>
      </c>
      <c r="AA10" s="410">
        <f>[15]xdecarb_CZ!$B$5*K10</f>
        <v>0</v>
      </c>
      <c r="AB10" s="175"/>
      <c r="AC10" s="175"/>
      <c r="AD10" s="175"/>
      <c r="AE10" s="175"/>
      <c r="AF10" s="175"/>
      <c r="AG10" s="175"/>
      <c r="AH10" s="175"/>
      <c r="AI10" s="175"/>
      <c r="AJ10" s="176"/>
      <c r="AK10" s="176"/>
      <c r="AL10" s="176"/>
      <c r="AM10" s="176"/>
      <c r="AN10" s="176"/>
      <c r="AO10" s="176"/>
      <c r="AP10" s="176"/>
      <c r="AQ10" s="176"/>
    </row>
    <row r="11" spans="1:43" s="44" customFormat="1" x14ac:dyDescent="0.25">
      <c r="A11" s="392" t="s">
        <v>616</v>
      </c>
      <c r="B11" s="393" t="s">
        <v>1043</v>
      </c>
      <c r="C11" s="394" t="s">
        <v>744</v>
      </c>
      <c r="D11" s="418">
        <f>scen_pct_bau!T13</f>
        <v>0</v>
      </c>
      <c r="E11" s="418">
        <f>scen_pct_bau!U13</f>
        <v>0</v>
      </c>
      <c r="F11" s="418">
        <f>scen_pct_bau!V13</f>
        <v>0</v>
      </c>
      <c r="G11" s="418">
        <f>scen_pct_bau!W13</f>
        <v>0</v>
      </c>
      <c r="H11" s="418">
        <f>scen_pct_bau!X13</f>
        <v>0</v>
      </c>
      <c r="I11" s="418">
        <f>scen_pct_bau!Y13</f>
        <v>0</v>
      </c>
      <c r="J11" s="418">
        <f>scen_pct_bau!Z13</f>
        <v>0</v>
      </c>
      <c r="K11" s="418">
        <f>scen_pct_bau!AA13</f>
        <v>0</v>
      </c>
      <c r="L11" s="405">
        <f t="shared" si="6"/>
        <v>0</v>
      </c>
      <c r="M11" s="405">
        <f t="shared" si="5"/>
        <v>0</v>
      </c>
      <c r="N11" s="405">
        <f t="shared" si="5"/>
        <v>0</v>
      </c>
      <c r="O11" s="405">
        <f t="shared" si="5"/>
        <v>0</v>
      </c>
      <c r="P11" s="405">
        <f t="shared" si="5"/>
        <v>0</v>
      </c>
      <c r="Q11" s="405">
        <f t="shared" si="5"/>
        <v>0</v>
      </c>
      <c r="R11" s="405">
        <f t="shared" si="5"/>
        <v>0</v>
      </c>
      <c r="S11" s="405">
        <f t="shared" si="5"/>
        <v>0</v>
      </c>
      <c r="T11" s="406">
        <f>[15]xdecarb_CZ!$B$5*D11</f>
        <v>0</v>
      </c>
      <c r="U11" s="406">
        <f>[15]xdecarb_CZ!$B$5*E11</f>
        <v>0</v>
      </c>
      <c r="V11" s="406">
        <f>[15]xdecarb_CZ!$B$5*F11</f>
        <v>0</v>
      </c>
      <c r="W11" s="406">
        <f>[15]xdecarb_CZ!$B$5*G11</f>
        <v>0</v>
      </c>
      <c r="X11" s="406">
        <f>[15]xdecarb_CZ!$B$5*H11</f>
        <v>0</v>
      </c>
      <c r="Y11" s="406">
        <f>[15]xdecarb_CZ!$B$5*I11</f>
        <v>0</v>
      </c>
      <c r="Z11" s="406">
        <f>[15]xdecarb_CZ!$B$5*J11</f>
        <v>0</v>
      </c>
      <c r="AA11" s="411">
        <f>[15]xdecarb_CZ!$B$5*K11</f>
        <v>0</v>
      </c>
      <c r="AB11" s="175"/>
      <c r="AC11" s="175"/>
      <c r="AD11" s="175"/>
      <c r="AE11" s="175"/>
      <c r="AF11" s="175"/>
      <c r="AG11" s="175"/>
      <c r="AH11" s="175"/>
      <c r="AI11" s="175"/>
      <c r="AJ11" s="176"/>
      <c r="AK11" s="176"/>
      <c r="AL11" s="176"/>
      <c r="AM11" s="176"/>
      <c r="AN11" s="176"/>
      <c r="AO11" s="176"/>
      <c r="AP11" s="176"/>
      <c r="AQ11" s="176"/>
    </row>
    <row r="12" spans="1:43" s="44" customFormat="1" x14ac:dyDescent="0.25">
      <c r="A12" s="388" t="s">
        <v>616</v>
      </c>
      <c r="B12" s="389" t="s">
        <v>161</v>
      </c>
      <c r="C12" s="390" t="s">
        <v>160</v>
      </c>
      <c r="D12" s="412">
        <f>scen_pct_bau!T15</f>
        <v>1</v>
      </c>
      <c r="E12" s="412">
        <f>scen_pct_bau!U15</f>
        <v>1.0292961675329531</v>
      </c>
      <c r="F12" s="412">
        <f>scen_pct_bau!V15</f>
        <v>1.0590152945971678</v>
      </c>
      <c r="G12" s="412">
        <f>scen_pct_bau!W15</f>
        <v>1.0891573811926434</v>
      </c>
      <c r="H12" s="412">
        <f>scen_pct_bau!X15</f>
        <v>1.1197224273193807</v>
      </c>
      <c r="I12" s="412">
        <f>scen_pct_bau!Y15</f>
        <v>1.150710432977379</v>
      </c>
      <c r="J12" s="412">
        <f>scen_pct_bau!Z15</f>
        <v>1.182121398166639</v>
      </c>
      <c r="K12" s="412">
        <f>scen_pct_bau!AA15</f>
        <v>1.2139553228871598</v>
      </c>
      <c r="L12" s="413">
        <f>D12/SUM(D$12)</f>
        <v>1</v>
      </c>
      <c r="M12" s="413">
        <f t="shared" ref="M12:S12" si="7">E12/SUM(E$12)</f>
        <v>1</v>
      </c>
      <c r="N12" s="413">
        <f t="shared" si="7"/>
        <v>1</v>
      </c>
      <c r="O12" s="413">
        <f t="shared" si="7"/>
        <v>1</v>
      </c>
      <c r="P12" s="413">
        <f t="shared" si="7"/>
        <v>1</v>
      </c>
      <c r="Q12" s="413">
        <f t="shared" si="7"/>
        <v>1</v>
      </c>
      <c r="R12" s="413">
        <f t="shared" si="7"/>
        <v>1</v>
      </c>
      <c r="S12" s="413">
        <f t="shared" si="7"/>
        <v>1</v>
      </c>
      <c r="T12" s="414">
        <f>[15]xdecarb_CZ!$B$6*D12</f>
        <v>178.289135511376</v>
      </c>
      <c r="U12" s="414">
        <f>[15]xdecarb_CZ!$B$6*E12</f>
        <v>183.51232389462265</v>
      </c>
      <c r="V12" s="414">
        <f>[15]xdecarb_CZ!$B$6*F12</f>
        <v>188.81092136705422</v>
      </c>
      <c r="W12" s="414">
        <f>[15]xdecarb_CZ!$B$6*G12</f>
        <v>194.18492792867062</v>
      </c>
      <c r="X12" s="414">
        <f>[15]xdecarb_CZ!$B$6*H12</f>
        <v>199.63434357947193</v>
      </c>
      <c r="Y12" s="414">
        <f>[15]xdecarb_CZ!$B$6*I12</f>
        <v>205.15916831945808</v>
      </c>
      <c r="Z12" s="414">
        <f>[15]xdecarb_CZ!$B$6*J12</f>
        <v>210.75940214862916</v>
      </c>
      <c r="AA12" s="415">
        <f>[15]xdecarb_CZ!$B$6*K12</f>
        <v>216.43504506698505</v>
      </c>
      <c r="AB12" s="175"/>
      <c r="AC12" s="175"/>
      <c r="AD12" s="175"/>
      <c r="AE12" s="175"/>
      <c r="AF12" s="175"/>
      <c r="AG12" s="175"/>
      <c r="AH12" s="175"/>
      <c r="AI12" s="175"/>
      <c r="AJ12" s="176"/>
      <c r="AK12" s="176"/>
      <c r="AL12" s="176"/>
      <c r="AM12" s="176"/>
      <c r="AN12" s="176"/>
      <c r="AO12" s="176"/>
      <c r="AP12" s="176"/>
      <c r="AQ12" s="176"/>
    </row>
    <row r="13" spans="1:43" s="44" customFormat="1" x14ac:dyDescent="0.25">
      <c r="A13" s="388" t="s">
        <v>616</v>
      </c>
      <c r="B13" s="389" t="s">
        <v>1037</v>
      </c>
      <c r="C13" s="390" t="s">
        <v>730</v>
      </c>
      <c r="D13" s="416">
        <f>scen_pct_bau!T4</f>
        <v>1</v>
      </c>
      <c r="E13" s="416">
        <f>scen_pct_bau!U4</f>
        <v>1</v>
      </c>
      <c r="F13" s="416">
        <f>scen_pct_bau!V4</f>
        <v>1</v>
      </c>
      <c r="G13" s="416">
        <f>scen_pct_bau!W4</f>
        <v>1.0845558628899548</v>
      </c>
      <c r="H13" s="416">
        <f>scen_pct_bau!X4</f>
        <v>1.1725429781870382</v>
      </c>
      <c r="I13" s="416">
        <f>scen_pct_bau!Y4</f>
        <v>1.2639613458912502</v>
      </c>
      <c r="J13" s="416">
        <f>scen_pct_bau!Z4</f>
        <v>1.2839974090543047</v>
      </c>
      <c r="K13" s="416">
        <f>scen_pct_bau!AA4</f>
        <v>1.3041910297258501</v>
      </c>
      <c r="L13" s="403">
        <f>D13/SUM(D$13:D$15)</f>
        <v>1</v>
      </c>
      <c r="M13" s="403">
        <f t="shared" ref="M13:S15" si="8">E13/SUM(E$13:E$15)</f>
        <v>1</v>
      </c>
      <c r="N13" s="403">
        <f t="shared" si="8"/>
        <v>1</v>
      </c>
      <c r="O13" s="403">
        <f t="shared" si="8"/>
        <v>1</v>
      </c>
      <c r="P13" s="403">
        <f t="shared" si="8"/>
        <v>1</v>
      </c>
      <c r="Q13" s="403">
        <f t="shared" si="8"/>
        <v>1</v>
      </c>
      <c r="R13" s="403">
        <f t="shared" si="8"/>
        <v>1</v>
      </c>
      <c r="S13" s="403">
        <f t="shared" si="8"/>
        <v>1</v>
      </c>
      <c r="T13" s="407">
        <f>[15]xdecarb_CZ!$B$7*D13</f>
        <v>2344.70679882788</v>
      </c>
      <c r="U13" s="407">
        <f>[15]xdecarb_CZ!$B$7*E13</f>
        <v>2344.70679882788</v>
      </c>
      <c r="V13" s="407">
        <f>[15]xdecarb_CZ!$B$7*F13</f>
        <v>2344.70679882788</v>
      </c>
      <c r="W13" s="407">
        <f>[15]xdecarb_CZ!$B$7*G13</f>
        <v>2542.965505426715</v>
      </c>
      <c r="X13" s="407">
        <f>[15]xdecarb_CZ!$B$7*H13</f>
        <v>2749.2694928730393</v>
      </c>
      <c r="Y13" s="407">
        <f>[15]xdecarb_CZ!$B$7*I13</f>
        <v>2963.618761166852</v>
      </c>
      <c r="Z13" s="407">
        <f>[15]xdecarb_CZ!$B$7*J13</f>
        <v>3010.5974546870107</v>
      </c>
      <c r="AA13" s="408">
        <f>[15]xdecarb_CZ!$B$7*K13</f>
        <v>3057.9455743685344</v>
      </c>
      <c r="AB13" s="175"/>
      <c r="AC13" s="175"/>
      <c r="AD13" s="175"/>
      <c r="AE13" s="175"/>
      <c r="AF13" s="175"/>
      <c r="AG13" s="175"/>
      <c r="AH13" s="175"/>
      <c r="AI13" s="175"/>
      <c r="AJ13" s="176"/>
      <c r="AK13" s="176"/>
      <c r="AL13" s="176"/>
      <c r="AM13" s="176"/>
      <c r="AN13" s="176"/>
      <c r="AO13" s="176"/>
      <c r="AP13" s="176"/>
      <c r="AQ13" s="176"/>
    </row>
    <row r="14" spans="1:43" s="44" customFormat="1" x14ac:dyDescent="0.25">
      <c r="A14" s="391" t="s">
        <v>616</v>
      </c>
      <c r="B14" s="113" t="s">
        <v>1038</v>
      </c>
      <c r="C14" s="15" t="s">
        <v>731</v>
      </c>
      <c r="D14" s="417">
        <f>scen_pct_bau!T5</f>
        <v>0</v>
      </c>
      <c r="E14" s="417">
        <f>scen_pct_bau!U5</f>
        <v>0</v>
      </c>
      <c r="F14" s="417">
        <f>scen_pct_bau!V5</f>
        <v>0</v>
      </c>
      <c r="G14" s="417">
        <f>scen_pct_bau!W5</f>
        <v>0</v>
      </c>
      <c r="H14" s="417">
        <f>scen_pct_bau!X5</f>
        <v>0</v>
      </c>
      <c r="I14" s="417">
        <f>scen_pct_bau!Y5</f>
        <v>0</v>
      </c>
      <c r="J14" s="417">
        <f>scen_pct_bau!Z5</f>
        <v>0</v>
      </c>
      <c r="K14" s="417">
        <f>scen_pct_bau!AA5</f>
        <v>0</v>
      </c>
      <c r="L14" s="404">
        <f t="shared" ref="L14:L15" si="9">D14/SUM(D$13:D$15)</f>
        <v>0</v>
      </c>
      <c r="M14" s="404">
        <f t="shared" si="8"/>
        <v>0</v>
      </c>
      <c r="N14" s="404">
        <f t="shared" si="8"/>
        <v>0</v>
      </c>
      <c r="O14" s="404">
        <f t="shared" si="8"/>
        <v>0</v>
      </c>
      <c r="P14" s="404">
        <f t="shared" si="8"/>
        <v>0</v>
      </c>
      <c r="Q14" s="404">
        <f t="shared" si="8"/>
        <v>0</v>
      </c>
      <c r="R14" s="404">
        <f t="shared" si="8"/>
        <v>0</v>
      </c>
      <c r="S14" s="404">
        <f t="shared" si="8"/>
        <v>0</v>
      </c>
      <c r="T14" s="409">
        <f>[15]xdecarb_CZ!$B$7*D14</f>
        <v>0</v>
      </c>
      <c r="U14" s="409">
        <f>[15]xdecarb_CZ!$B$7*E14</f>
        <v>0</v>
      </c>
      <c r="V14" s="409">
        <f>[15]xdecarb_CZ!$B$7*F14</f>
        <v>0</v>
      </c>
      <c r="W14" s="409">
        <f>[15]xdecarb_CZ!$B$7*G14</f>
        <v>0</v>
      </c>
      <c r="X14" s="409">
        <f>[15]xdecarb_CZ!$B$7*H14</f>
        <v>0</v>
      </c>
      <c r="Y14" s="409">
        <f>[15]xdecarb_CZ!$B$7*I14</f>
        <v>0</v>
      </c>
      <c r="Z14" s="409">
        <f>[15]xdecarb_CZ!$B$7*J14</f>
        <v>0</v>
      </c>
      <c r="AA14" s="410">
        <f>[15]xdecarb_CZ!$B$7*K14</f>
        <v>0</v>
      </c>
      <c r="AB14" s="175"/>
      <c r="AC14" s="175"/>
      <c r="AD14" s="175"/>
      <c r="AE14" s="175"/>
      <c r="AF14" s="175"/>
      <c r="AG14" s="175"/>
      <c r="AH14" s="175"/>
      <c r="AI14" s="175"/>
      <c r="AJ14" s="176"/>
      <c r="AK14" s="176"/>
      <c r="AL14" s="176"/>
      <c r="AM14" s="176"/>
      <c r="AN14" s="176"/>
      <c r="AO14" s="176"/>
      <c r="AP14" s="176"/>
      <c r="AQ14" s="176"/>
    </row>
    <row r="15" spans="1:43" s="44" customFormat="1" x14ac:dyDescent="0.25">
      <c r="A15" s="392" t="s">
        <v>616</v>
      </c>
      <c r="B15" s="393" t="s">
        <v>1039</v>
      </c>
      <c r="C15" s="394" t="s">
        <v>746</v>
      </c>
      <c r="D15" s="418">
        <f>scen_pct_bau!T6</f>
        <v>0</v>
      </c>
      <c r="E15" s="418">
        <f>scen_pct_bau!U6</f>
        <v>0</v>
      </c>
      <c r="F15" s="418">
        <f>scen_pct_bau!V6</f>
        <v>0</v>
      </c>
      <c r="G15" s="418">
        <f>scen_pct_bau!W6</f>
        <v>0</v>
      </c>
      <c r="H15" s="418">
        <f>scen_pct_bau!X6</f>
        <v>0</v>
      </c>
      <c r="I15" s="418">
        <f>scen_pct_bau!Y6</f>
        <v>0</v>
      </c>
      <c r="J15" s="418">
        <f>scen_pct_bau!Z6</f>
        <v>0</v>
      </c>
      <c r="K15" s="418">
        <f>scen_pct_bau!AA6</f>
        <v>0</v>
      </c>
      <c r="L15" s="405">
        <f t="shared" si="9"/>
        <v>0</v>
      </c>
      <c r="M15" s="405">
        <f t="shared" si="8"/>
        <v>0</v>
      </c>
      <c r="N15" s="405">
        <f t="shared" si="8"/>
        <v>0</v>
      </c>
      <c r="O15" s="405">
        <f t="shared" si="8"/>
        <v>0</v>
      </c>
      <c r="P15" s="405">
        <f t="shared" si="8"/>
        <v>0</v>
      </c>
      <c r="Q15" s="405">
        <f t="shared" si="8"/>
        <v>0</v>
      </c>
      <c r="R15" s="405">
        <f t="shared" si="8"/>
        <v>0</v>
      </c>
      <c r="S15" s="405">
        <f t="shared" si="8"/>
        <v>0</v>
      </c>
      <c r="T15" s="406">
        <f>[15]xdecarb_CZ!$B$7*D15</f>
        <v>0</v>
      </c>
      <c r="U15" s="406">
        <f>[15]xdecarb_CZ!$B$7*E15</f>
        <v>0</v>
      </c>
      <c r="V15" s="406">
        <f>[15]xdecarb_CZ!$B$7*F15</f>
        <v>0</v>
      </c>
      <c r="W15" s="406">
        <f>[15]xdecarb_CZ!$B$7*G15</f>
        <v>0</v>
      </c>
      <c r="X15" s="406">
        <f>[15]xdecarb_CZ!$B$7*H15</f>
        <v>0</v>
      </c>
      <c r="Y15" s="406">
        <f>[15]xdecarb_CZ!$B$7*I15</f>
        <v>0</v>
      </c>
      <c r="Z15" s="406">
        <f>[15]xdecarb_CZ!$B$7*J15</f>
        <v>0</v>
      </c>
      <c r="AA15" s="411">
        <f>[15]xdecarb_CZ!$B$7*K15</f>
        <v>0</v>
      </c>
      <c r="AB15" s="175"/>
      <c r="AC15" s="175"/>
      <c r="AD15" s="175"/>
      <c r="AE15" s="175"/>
      <c r="AF15" s="175"/>
      <c r="AG15" s="175"/>
      <c r="AH15" s="175"/>
      <c r="AI15" s="175"/>
      <c r="AJ15" s="176"/>
      <c r="AK15" s="176"/>
      <c r="AL15" s="176"/>
      <c r="AM15" s="176"/>
      <c r="AN15" s="176"/>
      <c r="AO15" s="176"/>
      <c r="AP15" s="176"/>
      <c r="AQ15" s="176"/>
    </row>
    <row r="16" spans="1:43" s="44" customFormat="1" x14ac:dyDescent="0.25">
      <c r="A16" s="388" t="s">
        <v>616</v>
      </c>
      <c r="B16" s="389" t="s">
        <v>1040</v>
      </c>
      <c r="C16" s="390" t="s">
        <v>166</v>
      </c>
      <c r="D16" s="412">
        <f>scen_pct_bau!T8</f>
        <v>1</v>
      </c>
      <c r="E16" s="412">
        <f>scen_pct_bau!U8</f>
        <v>1</v>
      </c>
      <c r="F16" s="412">
        <f>scen_pct_bau!V8</f>
        <v>1</v>
      </c>
      <c r="G16" s="412">
        <f>scen_pct_bau!W8</f>
        <v>1.0845558628899548</v>
      </c>
      <c r="H16" s="412">
        <f>scen_pct_bau!X8</f>
        <v>1.1725429781870382</v>
      </c>
      <c r="I16" s="412">
        <f>scen_pct_bau!Y8</f>
        <v>1.2639613458912502</v>
      </c>
      <c r="J16" s="412">
        <f>scen_pct_bau!Z8</f>
        <v>1.2839974090543047</v>
      </c>
      <c r="K16" s="412">
        <f>scen_pct_bau!AA8</f>
        <v>1.3041910297258501</v>
      </c>
      <c r="L16" s="413">
        <f>D16/SUM(D$16)</f>
        <v>1</v>
      </c>
      <c r="M16" s="413">
        <f t="shared" ref="M16:S16" si="10">E16/SUM(E$16)</f>
        <v>1</v>
      </c>
      <c r="N16" s="413">
        <f t="shared" si="10"/>
        <v>1</v>
      </c>
      <c r="O16" s="413">
        <f t="shared" si="10"/>
        <v>1</v>
      </c>
      <c r="P16" s="413">
        <f t="shared" si="10"/>
        <v>1</v>
      </c>
      <c r="Q16" s="413">
        <f t="shared" si="10"/>
        <v>1</v>
      </c>
      <c r="R16" s="413">
        <f t="shared" si="10"/>
        <v>1</v>
      </c>
      <c r="S16" s="413">
        <f t="shared" si="10"/>
        <v>1</v>
      </c>
      <c r="T16" s="414">
        <f>[15]xdecarb_CZ!$B$8*D16</f>
        <v>612.11938289500404</v>
      </c>
      <c r="U16" s="414">
        <f>[15]xdecarb_CZ!$B$8*E16</f>
        <v>612.11938289500404</v>
      </c>
      <c r="V16" s="414">
        <f>[15]xdecarb_CZ!$B$8*F16</f>
        <v>612.11938289500404</v>
      </c>
      <c r="W16" s="414">
        <f>[15]xdecarb_CZ!$B$8*G16</f>
        <v>663.87766550735773</v>
      </c>
      <c r="X16" s="414">
        <f>[15]xdecarb_CZ!$B$8*H16</f>
        <v>717.73628422572006</v>
      </c>
      <c r="Y16" s="414">
        <f>[15]xdecarb_CZ!$B$8*I16</f>
        <v>773.69523905009078</v>
      </c>
      <c r="Z16" s="414">
        <f>[15]xdecarb_CZ!$B$8*J16</f>
        <v>785.95970166910502</v>
      </c>
      <c r="AA16" s="415">
        <f>[15]xdecarb_CZ!$B$8*K16</f>
        <v>798.32060829298723</v>
      </c>
      <c r="AB16" s="175"/>
      <c r="AC16" s="175"/>
      <c r="AD16" s="175"/>
      <c r="AE16" s="175"/>
      <c r="AF16" s="175"/>
      <c r="AG16" s="175"/>
      <c r="AH16" s="175"/>
      <c r="AI16" s="175"/>
      <c r="AJ16" s="176"/>
      <c r="AK16" s="176"/>
      <c r="AL16" s="176"/>
      <c r="AM16" s="176"/>
      <c r="AN16" s="176"/>
      <c r="AO16" s="176"/>
      <c r="AP16" s="176"/>
      <c r="AQ16" s="176"/>
    </row>
    <row r="17" spans="1:43" s="44" customFormat="1" x14ac:dyDescent="0.25">
      <c r="A17" s="388" t="s">
        <v>616</v>
      </c>
      <c r="B17" s="389" t="s">
        <v>1052</v>
      </c>
      <c r="C17" s="390" t="s">
        <v>733</v>
      </c>
      <c r="D17" s="416">
        <f>scen_pct_bau!T30</f>
        <v>0.98556495769039332</v>
      </c>
      <c r="E17" s="416">
        <f>scen_pct_bau!U30</f>
        <v>0.9670560266777436</v>
      </c>
      <c r="F17" s="416">
        <f>scen_pct_bau!V30</f>
        <v>0.98860536025768986</v>
      </c>
      <c r="G17" s="416">
        <f>scen_pct_bau!W30</f>
        <v>1.0103921520589025</v>
      </c>
      <c r="H17" s="416">
        <f>scen_pct_bau!X30</f>
        <v>1.0324164020813817</v>
      </c>
      <c r="I17" s="416">
        <f>scen_pct_bau!Y30</f>
        <v>1.0546781103251284</v>
      </c>
      <c r="J17" s="416">
        <f>scen_pct_bau!Z30</f>
        <v>1.0771772767901411</v>
      </c>
      <c r="K17" s="416">
        <f>scen_pct_bau!AA30</f>
        <v>1.0999139014764201</v>
      </c>
      <c r="L17" s="403">
        <f>D17/SUM(D$17:D$18)</f>
        <v>0.98556495769039332</v>
      </c>
      <c r="M17" s="403">
        <f t="shared" ref="M17:S18" si="11">E17/SUM(E$17:E$18)</f>
        <v>0.93469041560644606</v>
      </c>
      <c r="N17" s="403">
        <f t="shared" si="11"/>
        <v>0.94035327246352085</v>
      </c>
      <c r="O17" s="403">
        <f t="shared" si="11"/>
        <v>0.9460851648351648</v>
      </c>
      <c r="P17" s="403">
        <f t="shared" si="11"/>
        <v>0.9460851648351648</v>
      </c>
      <c r="Q17" s="403">
        <f t="shared" si="11"/>
        <v>0.94608516483516492</v>
      </c>
      <c r="R17" s="403">
        <f t="shared" si="11"/>
        <v>0.9460851648351648</v>
      </c>
      <c r="S17" s="403">
        <f t="shared" si="11"/>
        <v>0.94608516483516492</v>
      </c>
      <c r="T17" s="407">
        <f>[15]xdecarb_CZ!$B$9*D17</f>
        <v>34610.745364040493</v>
      </c>
      <c r="U17" s="407">
        <f>[15]xdecarb_CZ!$B$9*E17</f>
        <v>33960.754824867268</v>
      </c>
      <c r="V17" s="407">
        <f>[15]xdecarb_CZ!$B$9*F17</f>
        <v>34717.517219350237</v>
      </c>
      <c r="W17" s="407">
        <f>[15]xdecarb_CZ!$B$9*G17</f>
        <v>35482.618593386731</v>
      </c>
      <c r="X17" s="407">
        <f>[15]xdecarb_CZ!$B$9*H17</f>
        <v>36256.058946976751</v>
      </c>
      <c r="Y17" s="407">
        <f>[15]xdecarb_CZ!$B$9*I17</f>
        <v>37037.838280120333</v>
      </c>
      <c r="Z17" s="407">
        <f>[15]xdecarb_CZ!$B$9*J17</f>
        <v>37827.95659281742</v>
      </c>
      <c r="AA17" s="408">
        <f>[15]xdecarb_CZ!$B$9*K17</f>
        <v>38626.413885068032</v>
      </c>
      <c r="AB17" s="175"/>
      <c r="AC17" s="175"/>
      <c r="AD17" s="175"/>
      <c r="AE17" s="175"/>
      <c r="AF17" s="175"/>
      <c r="AG17" s="175"/>
      <c r="AH17" s="175"/>
      <c r="AI17" s="175"/>
      <c r="AJ17" s="176"/>
      <c r="AK17" s="176"/>
      <c r="AL17" s="176"/>
      <c r="AM17" s="176"/>
      <c r="AN17" s="176"/>
      <c r="AO17" s="176"/>
      <c r="AP17" s="176"/>
      <c r="AQ17" s="176"/>
    </row>
    <row r="18" spans="1:43" s="44" customFormat="1" x14ac:dyDescent="0.25">
      <c r="A18" s="392" t="s">
        <v>616</v>
      </c>
      <c r="B18" s="393" t="s">
        <v>1053</v>
      </c>
      <c r="C18" s="394" t="s">
        <v>734</v>
      </c>
      <c r="D18" s="418">
        <f>scen_pct_bau!T31</f>
        <v>1.4435042309606768E-2</v>
      </c>
      <c r="E18" s="418">
        <f>scen_pct_bau!U31</f>
        <v>6.7571065384924009E-2</v>
      </c>
      <c r="F18" s="418">
        <f>scen_pct_bau!V31</f>
        <v>6.2707363595292664E-2</v>
      </c>
      <c r="G18" s="418">
        <f>scen_pct_bau!W31</f>
        <v>5.7579516469418411E-2</v>
      </c>
      <c r="H18" s="418">
        <f>scen_pct_bau!X31</f>
        <v>5.8834618920790185E-2</v>
      </c>
      <c r="I18" s="418">
        <f>scen_pct_bau!Y31</f>
        <v>6.0103253474063575E-2</v>
      </c>
      <c r="J18" s="418">
        <f>scen_pct_bau!Z31</f>
        <v>6.1385420129238533E-2</v>
      </c>
      <c r="K18" s="418">
        <f>scen_pct_bau!AA31</f>
        <v>6.2681118886315071E-2</v>
      </c>
      <c r="L18" s="405">
        <f>D18/SUM(D$17:D$18)</f>
        <v>1.4435042309606768E-2</v>
      </c>
      <c r="M18" s="405">
        <f t="shared" si="11"/>
        <v>6.530958439355386E-2</v>
      </c>
      <c r="N18" s="405">
        <f t="shared" si="11"/>
        <v>5.9646727536479219E-2</v>
      </c>
      <c r="O18" s="405">
        <f t="shared" si="11"/>
        <v>5.3914835164835175E-2</v>
      </c>
      <c r="P18" s="405">
        <f t="shared" si="11"/>
        <v>5.3914835164835175E-2</v>
      </c>
      <c r="Q18" s="405">
        <f t="shared" si="11"/>
        <v>5.3914835164835168E-2</v>
      </c>
      <c r="R18" s="405">
        <f t="shared" si="11"/>
        <v>5.3914835164835168E-2</v>
      </c>
      <c r="S18" s="405">
        <f t="shared" si="11"/>
        <v>5.3914835164835188E-2</v>
      </c>
      <c r="T18" s="406">
        <f>[15]xdecarb_CZ!$B$9*D18</f>
        <v>506.92505836220914</v>
      </c>
      <c r="U18" s="406">
        <f>[15]xdecarb_CZ!$B$9*E18</f>
        <v>2372.9384042783845</v>
      </c>
      <c r="V18" s="406">
        <f>[15]xdecarb_CZ!$B$9*F18</f>
        <v>2202.1365277972609</v>
      </c>
      <c r="W18" s="406">
        <f>[15]xdecarb_CZ!$B$9*G18</f>
        <v>2022.0584824543439</v>
      </c>
      <c r="X18" s="406">
        <f>[15]xdecarb_CZ!$B$9*H18</f>
        <v>2066.1347566879676</v>
      </c>
      <c r="Y18" s="406">
        <f>[15]xdecarb_CZ!$B$9*I18</f>
        <v>2110.6862468162944</v>
      </c>
      <c r="Z18" s="406">
        <f>[15]xdecarb_CZ!$B$9*J18</f>
        <v>2155.7129528393234</v>
      </c>
      <c r="AA18" s="411">
        <f>[15]xdecarb_CZ!$B$9*K18</f>
        <v>2201.2148747570541</v>
      </c>
      <c r="AB18" s="175"/>
      <c r="AC18" s="175"/>
      <c r="AD18" s="175"/>
      <c r="AE18" s="175"/>
      <c r="AF18" s="175"/>
      <c r="AG18" s="175"/>
      <c r="AH18" s="175"/>
      <c r="AI18" s="175"/>
      <c r="AJ18" s="176"/>
      <c r="AK18" s="176"/>
      <c r="AL18" s="176"/>
      <c r="AM18" s="176"/>
      <c r="AN18" s="176"/>
      <c r="AO18" s="176"/>
      <c r="AP18" s="176"/>
      <c r="AQ18" s="176"/>
    </row>
    <row r="19" spans="1:43" x14ac:dyDescent="0.25">
      <c r="A19" s="391" t="s">
        <v>616</v>
      </c>
      <c r="B19" s="15" t="s">
        <v>2</v>
      </c>
      <c r="C19" s="15" t="s">
        <v>3</v>
      </c>
      <c r="D19" s="419">
        <f>scen_pct_bau!T34</f>
        <v>0.50069168202017134</v>
      </c>
      <c r="E19" s="419">
        <f>scen_pct_bau!U34</f>
        <v>0.40005654535950214</v>
      </c>
      <c r="F19" s="419">
        <f>scen_pct_bau!V34</f>
        <v>0.27389910183706856</v>
      </c>
      <c r="G19" s="419">
        <f>scen_pct_bau!W34</f>
        <v>0.19539854364203033</v>
      </c>
      <c r="H19" s="419">
        <f>scen_pct_bau!X34</f>
        <v>0.17878220647260326</v>
      </c>
      <c r="I19" s="419">
        <f>scen_pct_bau!Y34</f>
        <v>5.6960846983919108E-2</v>
      </c>
      <c r="J19" s="419">
        <f>scen_pct_bau!Z34</f>
        <v>1.6923435890577262E-2</v>
      </c>
      <c r="K19" s="419">
        <f>scen_pct_bau!AA34</f>
        <v>1.547819375784696E-2</v>
      </c>
      <c r="L19" s="403">
        <f>D19/SUM(D$19:D$31)</f>
        <v>0.50069168202017134</v>
      </c>
      <c r="M19" s="403">
        <f t="shared" ref="M19:S31" si="12">E19/SUM(E$19:E$31)</f>
        <v>0.43377077754756915</v>
      </c>
      <c r="N19" s="403">
        <f t="shared" si="12"/>
        <v>0.31994826650936664</v>
      </c>
      <c r="O19" s="403">
        <f t="shared" si="12"/>
        <v>0.24999611043824921</v>
      </c>
      <c r="P19" s="403">
        <f t="shared" si="12"/>
        <v>0.19959187492140459</v>
      </c>
      <c r="Q19" s="403">
        <f t="shared" si="12"/>
        <v>5.783671266555248E-2</v>
      </c>
      <c r="R19" s="403">
        <f t="shared" si="12"/>
        <v>1.6457447905765157E-2</v>
      </c>
      <c r="S19" s="403">
        <f t="shared" si="12"/>
        <v>1.4587659102755425E-2</v>
      </c>
      <c r="T19" s="395">
        <f>[15]xdecarb_CZ!B10</f>
        <v>2857.8017298236</v>
      </c>
      <c r="U19" s="395">
        <f t="shared" ref="U19:AA23" si="13">IFERROR($T19*E19/$D19,0)</f>
        <v>2283.4057932473888</v>
      </c>
      <c r="V19" s="395">
        <f t="shared" si="13"/>
        <v>1563.335991260926</v>
      </c>
      <c r="W19" s="395">
        <f t="shared" si="13"/>
        <v>1115.2777569065145</v>
      </c>
      <c r="X19" s="395">
        <f t="shared" si="13"/>
        <v>1020.4365625920306</v>
      </c>
      <c r="Y19" s="395">
        <f t="shared" si="13"/>
        <v>325.11586049536845</v>
      </c>
      <c r="Z19" s="395">
        <f t="shared" si="13"/>
        <v>96.594024025951498</v>
      </c>
      <c r="AA19" s="396">
        <f t="shared" si="13"/>
        <v>88.345004489085667</v>
      </c>
      <c r="AB19" s="177">
        <f>scen_input_bau!D50</f>
        <v>9656.4015500000005</v>
      </c>
      <c r="AC19" s="177">
        <f>scen_input_bau!E50</f>
        <v>10043.422550000003</v>
      </c>
      <c r="AD19" s="177">
        <f>scen_input_bau!F50</f>
        <v>9970.7425500000008</v>
      </c>
      <c r="AE19" s="177">
        <f>scen_input_bau!G50</f>
        <v>9354.0625500000006</v>
      </c>
      <c r="AF19" s="177">
        <f>scen_input_bau!H50</f>
        <v>5533.9675500000003</v>
      </c>
      <c r="AG19" s="177">
        <f>scen_input_bau!I50</f>
        <v>2803.0445500000001</v>
      </c>
      <c r="AH19" s="177">
        <f>scen_input_bau!J50</f>
        <v>1892.0527500000001</v>
      </c>
      <c r="AI19" s="177">
        <f>scen_input_bau!K50</f>
        <v>1788.8687500000001</v>
      </c>
      <c r="AJ19" s="177">
        <f>el_capacity!T2+AB19/lifespan!C2</f>
        <v>241.41003875000001</v>
      </c>
      <c r="AK19" s="177">
        <f>MAX((AC19-AB19),0)/5+AC19/lifespan!D2/5</f>
        <v>127.6213127500005</v>
      </c>
      <c r="AL19" s="177">
        <f>MAX((AD19-AC19),0)/5+AD19/lifespan!E2/5</f>
        <v>49.853712750000007</v>
      </c>
      <c r="AM19" s="177">
        <f>MAX((AE19-AD19),0)/5+AE19/lifespan!F2/5</f>
        <v>46.770312750000002</v>
      </c>
      <c r="AN19" s="177">
        <f>MAX((AF19-AE19),0)/5+AF19/lifespan!G2/5</f>
        <v>27.669837749999999</v>
      </c>
      <c r="AO19" s="177">
        <f>MAX((AG19-AF19),0)/5+AG19/lifespan!H2/5</f>
        <v>14.015222750000001</v>
      </c>
      <c r="AP19" s="177">
        <f>MAX((AH19-AG19),0)/5+AH19/lifespan!I2/5</f>
        <v>9.4602637499999993</v>
      </c>
      <c r="AQ19" s="177">
        <f>MAX((AI19-AH19),0)/5+AI19/lifespan!J2/5</f>
        <v>8.9443437499999998</v>
      </c>
    </row>
    <row r="20" spans="1:43" x14ac:dyDescent="0.25">
      <c r="A20" s="391" t="s">
        <v>616</v>
      </c>
      <c r="B20" s="15" t="s">
        <v>4</v>
      </c>
      <c r="C20" s="15" t="s">
        <v>5</v>
      </c>
      <c r="D20" s="420">
        <f>scen_pct_bau!T35</f>
        <v>5.0582981236250123E-2</v>
      </c>
      <c r="E20" s="420">
        <f>scen_pct_bau!U35</f>
        <v>3.6078117135424262E-2</v>
      </c>
      <c r="F20" s="420">
        <f>scen_pct_bau!V35</f>
        <v>3.6791380348339862E-2</v>
      </c>
      <c r="G20" s="420">
        <f>scen_pct_bau!W35</f>
        <v>2.1041214197161429E-2</v>
      </c>
      <c r="H20" s="420">
        <f>scen_pct_bau!X35</f>
        <v>0.11334571106588577</v>
      </c>
      <c r="I20" s="420">
        <f>scen_pct_bau!Y35</f>
        <v>0.18089235858420435</v>
      </c>
      <c r="J20" s="420">
        <f>scen_pct_bau!Z35</f>
        <v>0.2016153507643634</v>
      </c>
      <c r="K20" s="420">
        <f>scen_pct_bau!AA35</f>
        <v>0.26642647844080064</v>
      </c>
      <c r="L20" s="404">
        <f t="shared" ref="L20:L31" si="14">D20/SUM(D$19:D$31)</f>
        <v>5.0582981236250123E-2</v>
      </c>
      <c r="M20" s="404">
        <f t="shared" si="12"/>
        <v>3.9118552374195148E-2</v>
      </c>
      <c r="N20" s="404">
        <f t="shared" si="12"/>
        <v>4.2976914805439588E-2</v>
      </c>
      <c r="O20" s="404">
        <f t="shared" si="12"/>
        <v>2.6920475506844815E-2</v>
      </c>
      <c r="P20" s="404">
        <f t="shared" si="12"/>
        <v>0.12653878387727968</v>
      </c>
      <c r="Q20" s="404">
        <f t="shared" si="12"/>
        <v>0.18367387285835746</v>
      </c>
      <c r="R20" s="404">
        <f t="shared" si="12"/>
        <v>0.19606385805228466</v>
      </c>
      <c r="S20" s="404">
        <f t="shared" si="12"/>
        <v>0.25109768647725217</v>
      </c>
      <c r="T20" s="119">
        <f>[15]xdecarb_CZ!B11</f>
        <v>102.987242586044</v>
      </c>
      <c r="U20" s="119">
        <f t="shared" si="13"/>
        <v>73.455255318381418</v>
      </c>
      <c r="V20" s="119">
        <f t="shared" si="13"/>
        <v>74.90746334845295</v>
      </c>
      <c r="W20" s="119">
        <f t="shared" si="13"/>
        <v>42.840033898101296</v>
      </c>
      <c r="X20" s="119">
        <f t="shared" si="13"/>
        <v>230.7725238081558</v>
      </c>
      <c r="Y20" s="119">
        <f t="shared" si="13"/>
        <v>368.29788913513602</v>
      </c>
      <c r="Z20" s="119">
        <f t="shared" si="13"/>
        <v>410.49002116465869</v>
      </c>
      <c r="AA20" s="397">
        <f t="shared" si="13"/>
        <v>542.44585225958224</v>
      </c>
      <c r="AB20" s="177">
        <f>scen_input_bau!D51</f>
        <v>929.36387122515339</v>
      </c>
      <c r="AC20" s="177">
        <f>scen_input_bau!E51</f>
        <v>590.43262792372616</v>
      </c>
      <c r="AD20" s="177">
        <f>scen_input_bau!F51</f>
        <v>807.06856322273904</v>
      </c>
      <c r="AE20" s="177">
        <f>scen_input_bau!G51</f>
        <v>475.63079690764778</v>
      </c>
      <c r="AF20" s="177">
        <f>scen_input_bau!H51</f>
        <v>1231.6816818122829</v>
      </c>
      <c r="AG20" s="177">
        <f>scen_input_bau!I51</f>
        <v>1837.6945512113639</v>
      </c>
      <c r="AH20" s="177">
        <f>scen_input_bau!J51</f>
        <v>2571.3754267239383</v>
      </c>
      <c r="AI20" s="177">
        <f>scen_input_bau!K51</f>
        <v>3422.8673719977669</v>
      </c>
      <c r="AJ20" s="177">
        <f>el_capacity!T3+AB20/lifespan!C3</f>
        <v>560.97879570750513</v>
      </c>
      <c r="AK20" s="177">
        <f>MAX((AC20-AB20),0)/5+AC20/lifespan!D3/5</f>
        <v>3.9362175194915077</v>
      </c>
      <c r="AL20" s="177">
        <f>MAX((AD20-AC20),0)/5+AD20/lifespan!E3/5</f>
        <v>48.70764414795417</v>
      </c>
      <c r="AM20" s="177">
        <f>MAX((AE20-AD20),0)/5+AE20/lifespan!F3/5</f>
        <v>3.1708719793843185</v>
      </c>
      <c r="AN20" s="177">
        <f>MAX((AF20-AE20),0)/5+AF20/lifespan!G3/5</f>
        <v>159.42138819300891</v>
      </c>
      <c r="AO20" s="177">
        <f>MAX((AG20-AF20),0)/5+AG20/lifespan!H3/5</f>
        <v>133.45387088789195</v>
      </c>
      <c r="AP20" s="177">
        <f>MAX((AH20-AG20),0)/5+AH20/lifespan!I3/5</f>
        <v>163.87867794734115</v>
      </c>
      <c r="AQ20" s="177">
        <f>MAX((AI20-AH20),0)/5+AI20/lifespan!J3/5</f>
        <v>193.11750486808415</v>
      </c>
    </row>
    <row r="21" spans="1:43" x14ac:dyDescent="0.25">
      <c r="A21" s="391" t="s">
        <v>616</v>
      </c>
      <c r="B21" s="15" t="s">
        <v>6</v>
      </c>
      <c r="C21" s="15" t="s">
        <v>7</v>
      </c>
      <c r="D21" s="420">
        <f>scen_pct_bau!T36</f>
        <v>0.3338377206412943</v>
      </c>
      <c r="E21" s="420">
        <f>scen_pct_bau!U36</f>
        <v>0.37474190596761259</v>
      </c>
      <c r="F21" s="420">
        <f>scen_pct_bau!V36</f>
        <v>0.39322269477726307</v>
      </c>
      <c r="G21" s="420">
        <f>scen_pct_bau!W36</f>
        <v>0.39160926241052402</v>
      </c>
      <c r="H21" s="420">
        <f>scen_pct_bau!X36</f>
        <v>0.38851105316844731</v>
      </c>
      <c r="I21" s="420">
        <f>scen_pct_bau!Y36</f>
        <v>0.48021721545596291</v>
      </c>
      <c r="J21" s="420">
        <f>scen_pct_bau!Z36</f>
        <v>0.47563887659166404</v>
      </c>
      <c r="K21" s="420">
        <f>scen_pct_bau!AA36</f>
        <v>0.40831982427594082</v>
      </c>
      <c r="L21" s="404">
        <f t="shared" si="14"/>
        <v>0.3338377206412943</v>
      </c>
      <c r="M21" s="404">
        <f t="shared" si="12"/>
        <v>0.40632278065880778</v>
      </c>
      <c r="N21" s="404">
        <f t="shared" si="12"/>
        <v>0.459333085440225</v>
      </c>
      <c r="O21" s="404">
        <f t="shared" si="12"/>
        <v>0.50103133109106834</v>
      </c>
      <c r="P21" s="404">
        <f t="shared" si="12"/>
        <v>0.43373247852527624</v>
      </c>
      <c r="Q21" s="404">
        <f t="shared" si="12"/>
        <v>0.48760133632175973</v>
      </c>
      <c r="R21" s="404">
        <f t="shared" si="12"/>
        <v>0.46254212702884917</v>
      </c>
      <c r="S21" s="404">
        <f t="shared" si="12"/>
        <v>0.38482722820385296</v>
      </c>
      <c r="T21" s="119">
        <f>[15]xdecarb_CZ!B12</f>
        <v>1705.85788789408</v>
      </c>
      <c r="U21" s="119">
        <f t="shared" si="13"/>
        <v>1914.8717975647482</v>
      </c>
      <c r="V21" s="119">
        <f t="shared" si="13"/>
        <v>2009.3057018727668</v>
      </c>
      <c r="W21" s="119">
        <f t="shared" si="13"/>
        <v>2001.0613179724141</v>
      </c>
      <c r="X21" s="119">
        <f t="shared" si="13"/>
        <v>1985.2299593596417</v>
      </c>
      <c r="Y21" s="119">
        <f t="shared" si="13"/>
        <v>2453.8339265989944</v>
      </c>
      <c r="Z21" s="119">
        <f t="shared" si="13"/>
        <v>2430.43934000131</v>
      </c>
      <c r="AA21" s="397">
        <f t="shared" si="13"/>
        <v>2086.4496429181522</v>
      </c>
      <c r="AB21" s="177">
        <f>scen_input_bau!D52</f>
        <v>4006.08</v>
      </c>
      <c r="AC21" s="177">
        <f>scen_input_bau!E52</f>
        <v>4006.08</v>
      </c>
      <c r="AD21" s="177">
        <f>scen_input_bau!F52</f>
        <v>4006.08</v>
      </c>
      <c r="AE21" s="177">
        <f>scen_input_bau!G52</f>
        <v>4006.08</v>
      </c>
      <c r="AF21" s="177">
        <f>scen_input_bau!H52</f>
        <v>4006.08</v>
      </c>
      <c r="AG21" s="177">
        <f>scen_input_bau!I52</f>
        <v>5206.08</v>
      </c>
      <c r="AH21" s="177">
        <f>scen_input_bau!J52</f>
        <v>5206.08</v>
      </c>
      <c r="AI21" s="177">
        <f>scen_input_bau!K52</f>
        <v>4447.68</v>
      </c>
      <c r="AJ21" s="177">
        <f>el_capacity!T4+AB21/lifespan!C4</f>
        <v>66.768000000000001</v>
      </c>
      <c r="AK21" s="177">
        <f>MAX((AC21-AB21),0)/5+AC21/lifespan!D4/5</f>
        <v>13.3536</v>
      </c>
      <c r="AL21" s="177">
        <f>MAX((AD21-AC21),0)/5+AD21/lifespan!E4/5</f>
        <v>13.3536</v>
      </c>
      <c r="AM21" s="177">
        <f>MAX((AE21-AD21),0)/5+AE21/lifespan!F4/5</f>
        <v>13.3536</v>
      </c>
      <c r="AN21" s="177">
        <f>MAX((AF21-AE21),0)/5+AF21/lifespan!G4/5</f>
        <v>13.3536</v>
      </c>
      <c r="AO21" s="177">
        <f>MAX((AG21-AF21),0)/5+AG21/lifespan!H4/5</f>
        <v>257.35360000000003</v>
      </c>
      <c r="AP21" s="177">
        <f>MAX((AH21-AG21),0)/5+AH21/lifespan!I4/5</f>
        <v>17.3536</v>
      </c>
      <c r="AQ21" s="177">
        <f>MAX((AI21-AH21),0)/5+AI21/lifespan!J4/5</f>
        <v>14.8256</v>
      </c>
    </row>
    <row r="22" spans="1:43" x14ac:dyDescent="0.25">
      <c r="A22" s="391" t="s">
        <v>616</v>
      </c>
      <c r="B22" s="15" t="s">
        <v>8</v>
      </c>
      <c r="C22" s="15" t="s">
        <v>9</v>
      </c>
      <c r="D22" s="420">
        <f>scen_pct_bau!T37</f>
        <v>2.2398987911323033E-2</v>
      </c>
      <c r="E22" s="420">
        <f>scen_pct_bau!U37</f>
        <v>3.1517166035199683E-2</v>
      </c>
      <c r="F22" s="420">
        <f>scen_pct_bau!V37</f>
        <v>2.9320069313281755E-2</v>
      </c>
      <c r="G22" s="420">
        <f>scen_pct_bau!W37</f>
        <v>2.9973194617384694E-2</v>
      </c>
      <c r="H22" s="420">
        <f>scen_pct_bau!X37</f>
        <v>3.0026481420958644E-2</v>
      </c>
      <c r="I22" s="420">
        <f>scen_pct_bau!Y37</f>
        <v>3.062263304649027E-2</v>
      </c>
      <c r="J22" s="420">
        <f>scen_pct_bau!Z37</f>
        <v>3.0733372541055751E-2</v>
      </c>
      <c r="K22" s="420">
        <f>scen_pct_bau!AA37</f>
        <v>3.0727532132954035E-2</v>
      </c>
      <c r="L22" s="404">
        <f t="shared" si="14"/>
        <v>2.2398987911323033E-2</v>
      </c>
      <c r="M22" s="404">
        <f t="shared" si="12"/>
        <v>3.4173233198569603E-2</v>
      </c>
      <c r="N22" s="404">
        <f t="shared" si="12"/>
        <v>3.4249492925680691E-2</v>
      </c>
      <c r="O22" s="404">
        <f t="shared" si="12"/>
        <v>3.8348198159973659E-2</v>
      </c>
      <c r="P22" s="404">
        <f t="shared" si="12"/>
        <v>3.3521466382731076E-2</v>
      </c>
      <c r="Q22" s="404">
        <f t="shared" si="12"/>
        <v>3.1093505843979481E-2</v>
      </c>
      <c r="R22" s="404">
        <f t="shared" si="12"/>
        <v>2.9887126989650896E-2</v>
      </c>
      <c r="S22" s="404">
        <f t="shared" si="12"/>
        <v>2.8959629969566164E-2</v>
      </c>
      <c r="T22" s="119">
        <f>[15]xdecarb_CZ!B13</f>
        <v>108.06680701051999</v>
      </c>
      <c r="U22" s="119">
        <f t="shared" si="13"/>
        <v>152.05863376187077</v>
      </c>
      <c r="V22" s="119">
        <f t="shared" si="13"/>
        <v>141.45845716590392</v>
      </c>
      <c r="W22" s="119">
        <f t="shared" si="13"/>
        <v>144.60954445929451</v>
      </c>
      <c r="X22" s="119">
        <f t="shared" si="13"/>
        <v>144.86663351799803</v>
      </c>
      <c r="Y22" s="119">
        <f t="shared" si="13"/>
        <v>147.74284394859373</v>
      </c>
      <c r="Z22" s="119">
        <f t="shared" si="13"/>
        <v>148.27712092731383</v>
      </c>
      <c r="AA22" s="397">
        <f t="shared" si="13"/>
        <v>148.24894312491986</v>
      </c>
      <c r="AB22" s="177">
        <f>scen_input_bau!D53</f>
        <v>1088.0000000000002</v>
      </c>
      <c r="AC22" s="177">
        <f>scen_input_bau!E53</f>
        <v>1090</v>
      </c>
      <c r="AD22" s="177">
        <f>scen_input_bau!F53</f>
        <v>1105.0879081016769</v>
      </c>
      <c r="AE22" s="177">
        <f>scen_input_bau!G53</f>
        <v>1116.3626101561376</v>
      </c>
      <c r="AF22" s="177">
        <f>scen_input_bau!H53</f>
        <v>1116.3626101561376</v>
      </c>
      <c r="AG22" s="177">
        <f>scen_input_bau!I53</f>
        <v>1126.8289114720083</v>
      </c>
      <c r="AH22" s="177">
        <f>scen_input_bau!J53</f>
        <v>1130.7872351795957</v>
      </c>
      <c r="AI22" s="177">
        <f>scen_input_bau!K53</f>
        <v>1131.3137251686019</v>
      </c>
      <c r="AJ22" s="177">
        <f>el_capacity!T5+AB22/lifespan!C5</f>
        <v>26.133333333333336</v>
      </c>
      <c r="AK22" s="177">
        <f>MAX((AC22-AB22),0)/5+AC22/lifespan!D5/5</f>
        <v>4.0333333333332879</v>
      </c>
      <c r="AL22" s="177">
        <f>MAX((AD22-AC22),0)/5+AD22/lifespan!E5/5</f>
        <v>6.7012079806743099</v>
      </c>
      <c r="AM22" s="177">
        <f>MAX((AE22-AD22),0)/5+AE22/lifespan!F5/5</f>
        <v>5.9761491114125995</v>
      </c>
      <c r="AN22" s="177">
        <f>MAX((AF22-AE22),0)/5+AF22/lifespan!G5/5</f>
        <v>3.7212087005204588</v>
      </c>
      <c r="AO22" s="177">
        <f>MAX((AG22-AF22),0)/5+AG22/lifespan!H5/5</f>
        <v>5.849356634747485</v>
      </c>
      <c r="AP22" s="177">
        <f>MAX((AH22-AG22),0)/5+AH22/lifespan!I5/5</f>
        <v>4.5609555254494651</v>
      </c>
      <c r="AQ22" s="177">
        <f>MAX((AI22-AH22),0)/5+AI22/lifespan!J5/5</f>
        <v>3.8763437483632508</v>
      </c>
    </row>
    <row r="23" spans="1:43" x14ac:dyDescent="0.25">
      <c r="A23" s="391" t="s">
        <v>616</v>
      </c>
      <c r="B23" s="15" t="s">
        <v>342</v>
      </c>
      <c r="C23" s="15" t="s">
        <v>336</v>
      </c>
      <c r="D23" s="420">
        <f>scen_pct_bau!T38</f>
        <v>7.019100178255141E-3</v>
      </c>
      <c r="E23" s="420">
        <f>scen_pct_bau!U38</f>
        <v>9.8942468179843476E-3</v>
      </c>
      <c r="F23" s="420">
        <f>scen_pct_bau!V38</f>
        <v>4.0245909208817703E-2</v>
      </c>
      <c r="G23" s="420">
        <f>scen_pct_bau!W38</f>
        <v>4.8097789109828967E-2</v>
      </c>
      <c r="H23" s="420">
        <f>scen_pct_bau!X38</f>
        <v>8.0979940686298754E-2</v>
      </c>
      <c r="I23" s="420">
        <f>scen_pct_bau!Y38</f>
        <v>0.10055503885579538</v>
      </c>
      <c r="J23" s="420">
        <f>scen_pct_bau!Z38</f>
        <v>0.11232643007755817</v>
      </c>
      <c r="K23" s="420">
        <f>scen_pct_bau!AA38</f>
        <v>0.11826600045158571</v>
      </c>
      <c r="L23" s="404">
        <f t="shared" si="14"/>
        <v>7.019100178255141E-3</v>
      </c>
      <c r="M23" s="404">
        <f t="shared" si="12"/>
        <v>1.0728071282093056E-2</v>
      </c>
      <c r="N23" s="404">
        <f t="shared" si="12"/>
        <v>4.7012234794089801E-2</v>
      </c>
      <c r="O23" s="404">
        <f t="shared" si="12"/>
        <v>6.1537102447215976E-2</v>
      </c>
      <c r="P23" s="404">
        <f t="shared" si="12"/>
        <v>9.0405742895221089E-2</v>
      </c>
      <c r="Q23" s="404">
        <f t="shared" si="12"/>
        <v>0.10210123615293118</v>
      </c>
      <c r="R23" s="404">
        <f t="shared" si="12"/>
        <v>0.10923351400948461</v>
      </c>
      <c r="S23" s="404">
        <f t="shared" si="12"/>
        <v>0.11146159074016095</v>
      </c>
      <c r="T23" s="119">
        <f>[15]xdecarb_CZ!B14</f>
        <v>21.322554890018601</v>
      </c>
      <c r="U23" s="119">
        <f t="shared" si="13"/>
        <v>30.056647649144644</v>
      </c>
      <c r="V23" s="119">
        <f t="shared" si="13"/>
        <v>122.25863521113679</v>
      </c>
      <c r="W23" s="119">
        <f t="shared" si="13"/>
        <v>146.11100031882009</v>
      </c>
      <c r="X23" s="119">
        <f t="shared" si="13"/>
        <v>246.00008354679036</v>
      </c>
      <c r="Y23" s="119">
        <f t="shared" si="13"/>
        <v>305.46512815317072</v>
      </c>
      <c r="Z23" s="119">
        <f t="shared" si="13"/>
        <v>341.22414698517076</v>
      </c>
      <c r="AA23" s="397">
        <f t="shared" si="13"/>
        <v>359.26731663755396</v>
      </c>
      <c r="AB23" s="177">
        <f>scen_input_bau!D54</f>
        <v>281.05</v>
      </c>
      <c r="AC23" s="177">
        <f>scen_input_bau!E54</f>
        <v>396.10000000000014</v>
      </c>
      <c r="AD23" s="177">
        <f>scen_input_bau!F54</f>
        <v>1372.1767250444027</v>
      </c>
      <c r="AE23" s="177">
        <f>scen_input_bau!G54</f>
        <v>1629.060259793333</v>
      </c>
      <c r="AF23" s="177">
        <f>scen_input_bau!H54</f>
        <v>2681.6223856387073</v>
      </c>
      <c r="AG23" s="177">
        <f>scen_input_bau!I54</f>
        <v>3309.8098873589252</v>
      </c>
      <c r="AH23" s="177">
        <f>scen_input_bau!J54</f>
        <v>3670.7201120503883</v>
      </c>
      <c r="AI23" s="177">
        <f>scen_input_bau!K54</f>
        <v>3846.4538872799581</v>
      </c>
      <c r="AJ23" s="177">
        <f>el_capacity!T6+AB23/lifespan!C6</f>
        <v>17.052500000000002</v>
      </c>
      <c r="AK23" s="177">
        <f>MAX((AC23-AB23),0)/5+AC23/lifespan!D6/5</f>
        <v>26.610909090909118</v>
      </c>
      <c r="AL23" s="177">
        <f>MAX((AD23-AC23),0)/5+AD23/lifespan!E6/5</f>
        <v>206.89344479649245</v>
      </c>
      <c r="AM23" s="177">
        <f>MAX((AE23-AD23),0)/5+AE23/lifespan!F6/5</f>
        <v>64.409189028132715</v>
      </c>
      <c r="AN23" s="177">
        <f>MAX((AF23-AE23),0)/5+AF23/lifespan!G6/5</f>
        <v>231.96540425418453</v>
      </c>
      <c r="AO23" s="177">
        <f>MAX((AG23-AF23),0)/5+AG23/lifespan!H6/5</f>
        <v>152.11597944291495</v>
      </c>
      <c r="AP23" s="177">
        <f>MAX((AH23-AG23),0)/5+AH23/lifespan!I6/5</f>
        <v>101.54780583469572</v>
      </c>
      <c r="AQ23" s="177">
        <f>MAX((AI23-AH23),0)/5+AI23/lifespan!J6/5</f>
        <v>65.918386144153629</v>
      </c>
    </row>
    <row r="24" spans="1:43" x14ac:dyDescent="0.25">
      <c r="A24" s="391" t="s">
        <v>616</v>
      </c>
      <c r="B24" s="15" t="s">
        <v>343</v>
      </c>
      <c r="C24" s="15" t="s">
        <v>337</v>
      </c>
      <c r="D24" s="420">
        <f>scen_pct_bau!T39</f>
        <v>0</v>
      </c>
      <c r="E24" s="420">
        <f>scen_pct_bau!U39</f>
        <v>0</v>
      </c>
      <c r="F24" s="420">
        <f>scen_pct_bau!V39</f>
        <v>0</v>
      </c>
      <c r="G24" s="420">
        <f>scen_pct_bau!W39</f>
        <v>0</v>
      </c>
      <c r="H24" s="420">
        <f>scen_pct_bau!X39</f>
        <v>0</v>
      </c>
      <c r="I24" s="420">
        <f>scen_pct_bau!Y39</f>
        <v>0</v>
      </c>
      <c r="J24" s="420">
        <f>scen_pct_bau!Z39</f>
        <v>0</v>
      </c>
      <c r="K24" s="420">
        <f>scen_pct_bau!AA39</f>
        <v>0</v>
      </c>
      <c r="L24" s="404">
        <f t="shared" si="14"/>
        <v>0</v>
      </c>
      <c r="M24" s="404">
        <f t="shared" si="12"/>
        <v>0</v>
      </c>
      <c r="N24" s="404">
        <f t="shared" si="12"/>
        <v>0</v>
      </c>
      <c r="O24" s="404">
        <f t="shared" si="12"/>
        <v>0</v>
      </c>
      <c r="P24" s="404">
        <f t="shared" si="12"/>
        <v>0</v>
      </c>
      <c r="Q24" s="404">
        <f t="shared" si="12"/>
        <v>0</v>
      </c>
      <c r="R24" s="404">
        <f t="shared" si="12"/>
        <v>0</v>
      </c>
      <c r="S24" s="404">
        <f t="shared" si="12"/>
        <v>0</v>
      </c>
      <c r="T24" s="119">
        <f>[15]xdecarb_CZ!B15</f>
        <v>0</v>
      </c>
      <c r="U24" s="174">
        <f>IFERROR([16]x2015el_repl!$A20*E24/el_replacements!$D2,0)</f>
        <v>0</v>
      </c>
      <c r="V24" s="174">
        <f>IFERROR([16]x2015el_repl!$A20*F24/el_replacements!$D2,0)</f>
        <v>0</v>
      </c>
      <c r="W24" s="174">
        <f>IFERROR([16]x2015el_repl!$A20*G24/el_replacements!$D2,0)</f>
        <v>0</v>
      </c>
      <c r="X24" s="174">
        <f>IFERROR([16]x2015el_repl!$A20*H24/el_replacements!$D2,0)</f>
        <v>0</v>
      </c>
      <c r="Y24" s="174">
        <f>IFERROR([16]x2015el_repl!$A20*I24/el_replacements!$D2,0)</f>
        <v>0</v>
      </c>
      <c r="Z24" s="174">
        <f>IFERROR([16]x2015el_repl!$A20*J24/el_replacements!$D2,0)</f>
        <v>0</v>
      </c>
      <c r="AA24" s="398">
        <f>IFERROR([16]x2015el_repl!$A20*K24/el_replacements!$D2,0)</f>
        <v>0</v>
      </c>
      <c r="AB24" s="177">
        <f>scen_input_bau!D55</f>
        <v>0</v>
      </c>
      <c r="AC24" s="177">
        <f>scen_input_bau!E55</f>
        <v>0</v>
      </c>
      <c r="AD24" s="177">
        <f>scen_input_bau!F55</f>
        <v>0</v>
      </c>
      <c r="AE24" s="177">
        <f>scen_input_bau!G55</f>
        <v>0</v>
      </c>
      <c r="AF24" s="177">
        <f>scen_input_bau!H55</f>
        <v>0</v>
      </c>
      <c r="AG24" s="177">
        <f>scen_input_bau!I55</f>
        <v>0</v>
      </c>
      <c r="AH24" s="177">
        <f>scen_input_bau!J55</f>
        <v>0</v>
      </c>
      <c r="AI24" s="177">
        <f>scen_input_bau!K55</f>
        <v>0</v>
      </c>
      <c r="AJ24" s="177">
        <f>el_capacity!T7+AB24/lifespan!C7</f>
        <v>0</v>
      </c>
      <c r="AK24" s="177">
        <f>MAX((AC24-AB24),0)/5+AC24/lifespan!D7/5</f>
        <v>0</v>
      </c>
      <c r="AL24" s="177">
        <f>MAX((AD24-AC24),0)/5+AD24/lifespan!E7/5</f>
        <v>0</v>
      </c>
      <c r="AM24" s="177">
        <f>MAX((AE24-AD24),0)/5+AE24/lifespan!F7/5</f>
        <v>0</v>
      </c>
      <c r="AN24" s="177">
        <f>MAX((AF24-AE24),0)/5+AF24/lifespan!G7/5</f>
        <v>0</v>
      </c>
      <c r="AO24" s="177">
        <f>MAX((AG24-AF24),0)/5+AG24/lifespan!H7/5</f>
        <v>0</v>
      </c>
      <c r="AP24" s="177">
        <f>MAX((AH24-AG24),0)/5+AH24/lifespan!I7/5</f>
        <v>0</v>
      </c>
      <c r="AQ24" s="177">
        <f>MAX((AI24-AH24),0)/5+AI24/lifespan!J7/5</f>
        <v>0</v>
      </c>
    </row>
    <row r="25" spans="1:43" x14ac:dyDescent="0.25">
      <c r="A25" s="391" t="s">
        <v>616</v>
      </c>
      <c r="B25" s="399" t="s">
        <v>10</v>
      </c>
      <c r="C25" s="399" t="s">
        <v>11</v>
      </c>
      <c r="D25" s="420">
        <f>scen_pct_bau!T40</f>
        <v>2.2137866421114978E-3</v>
      </c>
      <c r="E25" s="420">
        <f>scen_pct_bau!U40</f>
        <v>1.6346179395416085E-3</v>
      </c>
      <c r="F25" s="420">
        <f>scen_pct_bau!V40</f>
        <v>1.5577189610358718E-3</v>
      </c>
      <c r="G25" s="420">
        <f>scen_pct_bau!W40</f>
        <v>1.5307255926064218E-3</v>
      </c>
      <c r="H25" s="420">
        <f>scen_pct_bau!X40</f>
        <v>1.2526761530305629E-3</v>
      </c>
      <c r="I25" s="420">
        <f>scen_pct_bau!Y40</f>
        <v>1.2227641181611598E-3</v>
      </c>
      <c r="J25" s="420">
        <f>scen_pct_bau!Z40</f>
        <v>7.8222563784818117E-4</v>
      </c>
      <c r="K25" s="420">
        <f>scen_pct_bau!AA40</f>
        <v>1.9994829600975781E-4</v>
      </c>
      <c r="L25" s="404">
        <f t="shared" si="14"/>
        <v>2.2137866421114978E-3</v>
      </c>
      <c r="M25" s="404">
        <f t="shared" si="12"/>
        <v>1.7723731878727218E-3</v>
      </c>
      <c r="N25" s="404">
        <f t="shared" si="12"/>
        <v>1.8196097685222439E-3</v>
      </c>
      <c r="O25" s="404">
        <f t="shared" si="12"/>
        <v>1.9584354988896437E-3</v>
      </c>
      <c r="P25" s="404">
        <f t="shared" si="12"/>
        <v>1.3984835906531686E-3</v>
      </c>
      <c r="Q25" s="404">
        <f t="shared" si="12"/>
        <v>1.2415661055707292E-3</v>
      </c>
      <c r="R25" s="404">
        <f t="shared" si="12"/>
        <v>7.6068700048127443E-4</v>
      </c>
      <c r="S25" s="404">
        <f t="shared" si="12"/>
        <v>1.8844431243073597E-4</v>
      </c>
      <c r="T25" s="119">
        <f>[15]xdecarb_CZ!B16</f>
        <v>8.0865215949541902</v>
      </c>
      <c r="U25" s="119">
        <f t="shared" ref="U25:AA28" si="15">IFERROR($T25*E25/$D25,0)</f>
        <v>5.9709337007269703</v>
      </c>
      <c r="V25" s="119">
        <f t="shared" si="15"/>
        <v>5.6900370512994343</v>
      </c>
      <c r="W25" s="119">
        <f t="shared" si="15"/>
        <v>5.5914356537785306</v>
      </c>
      <c r="X25" s="119">
        <f t="shared" si="15"/>
        <v>4.5757764412671875</v>
      </c>
      <c r="Y25" s="119">
        <f t="shared" si="15"/>
        <v>4.466513736668996</v>
      </c>
      <c r="Z25" s="119">
        <f t="shared" si="15"/>
        <v>2.8573144278045328</v>
      </c>
      <c r="AA25" s="397">
        <f t="shared" si="15"/>
        <v>0.73037129360172748</v>
      </c>
      <c r="AB25" s="177">
        <f>scen_input_bau!D56</f>
        <v>133.93011999999999</v>
      </c>
      <c r="AC25" s="177">
        <f>scen_input_bau!E56</f>
        <v>71.85011999999999</v>
      </c>
      <c r="AD25" s="177">
        <f>scen_input_bau!F56</f>
        <v>63.702119999999987</v>
      </c>
      <c r="AE25" s="177">
        <f>scen_input_bau!G56</f>
        <v>63.702119999999987</v>
      </c>
      <c r="AF25" s="177">
        <f>scen_input_bau!H56</f>
        <v>44.702120000000001</v>
      </c>
      <c r="AG25" s="177">
        <f>scen_input_bau!I56</f>
        <v>41.204299999999996</v>
      </c>
      <c r="AH25" s="177">
        <f>scen_input_bau!J56</f>
        <v>41.204299999999996</v>
      </c>
      <c r="AI25" s="177">
        <f>scen_input_bau!K56</f>
        <v>24.104299999999999</v>
      </c>
      <c r="AJ25" s="177">
        <f>el_capacity!T8+AB25/lifespan!C8</f>
        <v>3.8265748571428566</v>
      </c>
      <c r="AK25" s="177">
        <f>MAX((AC25-AB25),0)/5+AC25/lifespan!D8/5</f>
        <v>0.41057211428571422</v>
      </c>
      <c r="AL25" s="177">
        <f>MAX((AD25-AC25),0)/5+AD25/lifespan!E8/5</f>
        <v>0.36401211428571423</v>
      </c>
      <c r="AM25" s="177">
        <f>MAX((AE25-AD25),0)/5+AE25/lifespan!F8/5</f>
        <v>0.36401211428571423</v>
      </c>
      <c r="AN25" s="177">
        <f>MAX((AF25-AE25),0)/5+AF25/lifespan!G8/5</f>
        <v>0.25544068571428574</v>
      </c>
      <c r="AO25" s="177">
        <f>MAX((AG25-AF25),0)/5+AG25/lifespan!H8/5</f>
        <v>0.23545314285714283</v>
      </c>
      <c r="AP25" s="177">
        <f>MAX((AH25-AG25),0)/5+AH25/lifespan!I8/5</f>
        <v>0.23545314285714283</v>
      </c>
      <c r="AQ25" s="177">
        <f>MAX((AI25-AH25),0)/5+AI25/lifespan!J8/5</f>
        <v>0.13773885714285714</v>
      </c>
    </row>
    <row r="26" spans="1:43" x14ac:dyDescent="0.25">
      <c r="A26" s="391" t="s">
        <v>616</v>
      </c>
      <c r="B26" s="15" t="s">
        <v>12</v>
      </c>
      <c r="C26" s="15" t="s">
        <v>13</v>
      </c>
      <c r="D26" s="420">
        <f>scen_pct_bau!T41</f>
        <v>5.5074878562624198E-2</v>
      </c>
      <c r="E26" s="420">
        <f>scen_pct_bau!U41</f>
        <v>4.017292460651975E-2</v>
      </c>
      <c r="F26" s="420">
        <f>scen_pct_bau!V41</f>
        <v>3.1599824711880851E-2</v>
      </c>
      <c r="G26" s="420">
        <f>scen_pct_bau!W41</f>
        <v>3.9496107604322178E-2</v>
      </c>
      <c r="H26" s="420">
        <f>scen_pct_bau!X41</f>
        <v>4.5460470219023552E-2</v>
      </c>
      <c r="I26" s="420">
        <f>scen_pct_bau!Y41</f>
        <v>6.8034737722268812E-2</v>
      </c>
      <c r="J26" s="420">
        <f>scen_pct_bau!Z41</f>
        <v>7.88376526316341E-2</v>
      </c>
      <c r="K26" s="420">
        <f>scen_pct_bau!AA41</f>
        <v>0.10510632282431874</v>
      </c>
      <c r="L26" s="404">
        <f t="shared" si="14"/>
        <v>5.5074878562624198E-2</v>
      </c>
      <c r="M26" s="404">
        <f t="shared" si="12"/>
        <v>4.3558444287595879E-2</v>
      </c>
      <c r="N26" s="404">
        <f t="shared" si="12"/>
        <v>3.6912531186686172E-2</v>
      </c>
      <c r="O26" s="404">
        <f t="shared" si="12"/>
        <v>5.0531969657972547E-2</v>
      </c>
      <c r="P26" s="404">
        <f t="shared" si="12"/>
        <v>5.0751921373193391E-2</v>
      </c>
      <c r="Q26" s="404">
        <f t="shared" si="12"/>
        <v>6.9080882488105691E-2</v>
      </c>
      <c r="R26" s="404">
        <f t="shared" si="12"/>
        <v>7.6666852380747288E-2</v>
      </c>
      <c r="S26" s="404">
        <f t="shared" si="12"/>
        <v>9.9059052425158542E-2</v>
      </c>
      <c r="T26" s="119">
        <f>[15]xdecarb_CZ!B17</f>
        <v>337.32365507763399</v>
      </c>
      <c r="U26" s="119">
        <f t="shared" si="15"/>
        <v>246.05188639718307</v>
      </c>
      <c r="V26" s="119">
        <f t="shared" si="15"/>
        <v>193.54320245125376</v>
      </c>
      <c r="W26" s="119">
        <f t="shared" si="15"/>
        <v>241.90650485557205</v>
      </c>
      <c r="X26" s="119">
        <f t="shared" si="15"/>
        <v>278.43714550168369</v>
      </c>
      <c r="Y26" s="119">
        <f t="shared" si="15"/>
        <v>416.70044491570445</v>
      </c>
      <c r="Z26" s="119">
        <f t="shared" si="15"/>
        <v>482.86634192401436</v>
      </c>
      <c r="AA26" s="397">
        <f t="shared" si="15"/>
        <v>643.75718861647908</v>
      </c>
      <c r="AB26" s="177">
        <f>scen_input_bau!D57</f>
        <v>527.71737877484657</v>
      </c>
      <c r="AC26" s="177">
        <f>scen_input_bau!E57</f>
        <v>645.74488236674006</v>
      </c>
      <c r="AD26" s="177">
        <f>scen_input_bau!F57</f>
        <v>744.9352136228008</v>
      </c>
      <c r="AE26" s="177">
        <f>scen_input_bau!G57</f>
        <v>771.22411156162445</v>
      </c>
      <c r="AF26" s="177">
        <f>scen_input_bau!H57</f>
        <v>896.09943377609989</v>
      </c>
      <c r="AG26" s="177">
        <f>scen_input_bau!I57</f>
        <v>1076.0345635893809</v>
      </c>
      <c r="AH26" s="177">
        <f>scen_input_bau!J57</f>
        <v>1238.7265148613149</v>
      </c>
      <c r="AI26" s="177">
        <f>scen_input_bau!K57</f>
        <v>1543.8614019411211</v>
      </c>
      <c r="AJ26" s="177">
        <f>el_capacity!T9+AB26/lifespan!C9</f>
        <v>48.108695150993867</v>
      </c>
      <c r="AK26" s="177">
        <f>MAX((AC26-AB26),0)/5+AC26/lifespan!D9/5</f>
        <v>28.771459777312621</v>
      </c>
      <c r="AL26" s="177">
        <f>MAX((AD26-AC26),0)/5+AD26/lifespan!E9/5</f>
        <v>25.797547960194553</v>
      </c>
      <c r="AM26" s="177">
        <f>MAX((AE26-AD26),0)/5+AE26/lifespan!F9/5</f>
        <v>11.427572480257727</v>
      </c>
      <c r="AN26" s="177">
        <f>MAX((AF26-AE26),0)/5+AF26/lifespan!G9/5</f>
        <v>32.143859913103881</v>
      </c>
      <c r="AO26" s="177">
        <f>MAX((AG26-AF26),0)/5+AG26/lifespan!H9/5</f>
        <v>44.595302471371255</v>
      </c>
      <c r="AP26" s="177">
        <f>MAX((AH26-AG26),0)/5+AH26/lifespan!I9/5</f>
        <v>42.448202373277297</v>
      </c>
      <c r="AQ26" s="177">
        <f>MAX((AI26-AH26),0)/5+AI26/lifespan!J9/5</f>
        <v>73.37786863149023</v>
      </c>
    </row>
    <row r="27" spans="1:43" x14ac:dyDescent="0.25">
      <c r="A27" s="391" t="s">
        <v>616</v>
      </c>
      <c r="B27" s="15" t="s">
        <v>340</v>
      </c>
      <c r="C27" s="15" t="s">
        <v>338</v>
      </c>
      <c r="D27" s="420">
        <f>scen_pct_bau!T42</f>
        <v>1.8433470403823579E-2</v>
      </c>
      <c r="E27" s="420">
        <f>scen_pct_bau!U42</f>
        <v>1.8433470403823579E-2</v>
      </c>
      <c r="F27" s="420">
        <f>scen_pct_bau!V42</f>
        <v>3.2336990290571049E-2</v>
      </c>
      <c r="G27" s="420">
        <f>scen_pct_bau!W42</f>
        <v>3.562266876242854E-2</v>
      </c>
      <c r="H27" s="420">
        <f>scen_pct_bau!X42</f>
        <v>3.7533243333466762E-2</v>
      </c>
      <c r="I27" s="420">
        <f>scen_pct_bau!Y42</f>
        <v>4.2844283251042115E-2</v>
      </c>
      <c r="J27" s="420">
        <f>scen_pct_bau!Z42</f>
        <v>5.1808434219534578E-2</v>
      </c>
      <c r="K27" s="420">
        <f>scen_pct_bau!AA42</f>
        <v>5.1882887834151438E-2</v>
      </c>
      <c r="L27" s="404">
        <f t="shared" si="14"/>
        <v>1.8433470403823579E-2</v>
      </c>
      <c r="M27" s="404">
        <f t="shared" si="12"/>
        <v>1.9986926555048148E-2</v>
      </c>
      <c r="N27" s="404">
        <f t="shared" si="12"/>
        <v>3.7773632400419262E-2</v>
      </c>
      <c r="O27" s="404">
        <f t="shared" si="12"/>
        <v>4.5576228297546387E-2</v>
      </c>
      <c r="P27" s="404">
        <f t="shared" si="12"/>
        <v>4.1901991012488808E-2</v>
      </c>
      <c r="Q27" s="404">
        <f t="shared" si="12"/>
        <v>4.350308380160909E-2</v>
      </c>
      <c r="R27" s="404">
        <f t="shared" si="12"/>
        <v>5.0381885378369677E-2</v>
      </c>
      <c r="S27" s="404">
        <f t="shared" si="12"/>
        <v>4.8897816685322129E-2</v>
      </c>
      <c r="T27" s="119">
        <f>[15]xdecarb_CZ!B18</f>
        <v>73.433125828821801</v>
      </c>
      <c r="U27" s="119">
        <f t="shared" si="15"/>
        <v>73.433125828821801</v>
      </c>
      <c r="V27" s="119">
        <f t="shared" si="15"/>
        <v>128.82035910288155</v>
      </c>
      <c r="W27" s="119">
        <f t="shared" si="15"/>
        <v>141.9094647010827</v>
      </c>
      <c r="X27" s="119">
        <f t="shared" si="15"/>
        <v>149.5205905393999</v>
      </c>
      <c r="Y27" s="119">
        <f t="shared" si="15"/>
        <v>170.67809664136041</v>
      </c>
      <c r="Z27" s="119">
        <f t="shared" si="15"/>
        <v>206.38844372181688</v>
      </c>
      <c r="AA27" s="397">
        <f t="shared" si="15"/>
        <v>206.68504341415894</v>
      </c>
      <c r="AB27" s="177">
        <f>scen_input_bau!D58</f>
        <v>1329.7245711524522</v>
      </c>
      <c r="AC27" s="177">
        <f>scen_input_bau!E58</f>
        <v>1329.7245711524522</v>
      </c>
      <c r="AD27" s="177">
        <f>scen_input_bau!F58</f>
        <v>2325.1548304605794</v>
      </c>
      <c r="AE27" s="177">
        <f>scen_input_bau!G58</f>
        <v>2560.3025642581024</v>
      </c>
      <c r="AF27" s="177">
        <f>scen_input_bau!H58</f>
        <v>2695.5001593880925</v>
      </c>
      <c r="AG27" s="177">
        <f>scen_input_bau!I58</f>
        <v>3068.3944528998218</v>
      </c>
      <c r="AH27" s="177">
        <f>scen_input_bau!J58</f>
        <v>3673.8121257367279</v>
      </c>
      <c r="AI27" s="177">
        <f>scen_input_bau!K58</f>
        <v>3673.8121257367279</v>
      </c>
      <c r="AJ27" s="177">
        <f>el_capacity!T10+AB27/lifespan!C10</f>
        <v>57.995216235805671</v>
      </c>
      <c r="AK27" s="177">
        <f>MAX((AC27-AB27),0)/5+AC27/lifespan!D10/5</f>
        <v>10.637796569219617</v>
      </c>
      <c r="AL27" s="177">
        <f>MAX((AD27-AC27),0)/5+AD27/lifespan!E10/5</f>
        <v>217.68729050531007</v>
      </c>
      <c r="AM27" s="177">
        <f>MAX((AE27-AD27),0)/5+AE27/lifespan!F10/5</f>
        <v>67.511967273569411</v>
      </c>
      <c r="AN27" s="177">
        <f>MAX((AF27-AE27),0)/5+AF27/lifespan!G10/5</f>
        <v>48.603520301102755</v>
      </c>
      <c r="AO27" s="177">
        <f>MAX((AG27-AF27),0)/5+AG27/lifespan!H10/5</f>
        <v>99.126014325544432</v>
      </c>
      <c r="AP27" s="177">
        <f>MAX((AH27-AG27),0)/5+AH27/lifespan!I10/5</f>
        <v>150.47403157327506</v>
      </c>
      <c r="AQ27" s="177">
        <f>MAX((AI27-AH27),0)/5+AI27/lifespan!J10/5</f>
        <v>29.390497005893828</v>
      </c>
    </row>
    <row r="28" spans="1:43" x14ac:dyDescent="0.25">
      <c r="A28" s="391" t="s">
        <v>616</v>
      </c>
      <c r="B28" s="15" t="s">
        <v>341</v>
      </c>
      <c r="C28" s="15" t="s">
        <v>339</v>
      </c>
      <c r="D28" s="420">
        <f>scen_pct_bau!T43</f>
        <v>9.7473924041468901E-3</v>
      </c>
      <c r="E28" s="420">
        <f>scen_pct_bau!U43</f>
        <v>9.7473924041468901E-3</v>
      </c>
      <c r="F28" s="420">
        <f>scen_pct_bau!V43</f>
        <v>1.709940269662423E-2</v>
      </c>
      <c r="G28" s="420">
        <f>scen_pct_bau!W43</f>
        <v>1.8836829056253696E-2</v>
      </c>
      <c r="H28" s="420">
        <f>scen_pct_bau!X43</f>
        <v>1.9847117387930584E-2</v>
      </c>
      <c r="I28" s="420">
        <f>scen_pct_bau!Y43</f>
        <v>2.26555299666036E-2</v>
      </c>
      <c r="J28" s="420">
        <f>scen_pct_bau!Z43</f>
        <v>2.7395662733018831E-2</v>
      </c>
      <c r="K28" s="420">
        <f>scen_pct_bau!AA43</f>
        <v>2.7435032888593395E-2</v>
      </c>
      <c r="L28" s="404">
        <f t="shared" si="14"/>
        <v>9.7473924041468901E-3</v>
      </c>
      <c r="M28" s="404">
        <f t="shared" si="12"/>
        <v>1.0568840908248471E-2</v>
      </c>
      <c r="N28" s="404">
        <f t="shared" si="12"/>
        <v>1.9974232169570758E-2</v>
      </c>
      <c r="O28" s="404">
        <f t="shared" si="12"/>
        <v>2.4100148902239223E-2</v>
      </c>
      <c r="P28" s="404">
        <f t="shared" si="12"/>
        <v>2.2157257421751935E-2</v>
      </c>
      <c r="Q28" s="404">
        <f t="shared" si="12"/>
        <v>2.3003895594006691E-2</v>
      </c>
      <c r="R28" s="404">
        <f t="shared" si="12"/>
        <v>2.6641321253422508E-2</v>
      </c>
      <c r="S28" s="404">
        <f t="shared" si="12"/>
        <v>2.5856563983687599E-2</v>
      </c>
      <c r="T28" s="119">
        <f>[15]xdecarb_CZ!B19</f>
        <v>38.830533656220702</v>
      </c>
      <c r="U28" s="119">
        <f t="shared" si="15"/>
        <v>38.830533656220702</v>
      </c>
      <c r="V28" s="119">
        <f t="shared" si="15"/>
        <v>68.118621307382455</v>
      </c>
      <c r="W28" s="119">
        <f t="shared" si="15"/>
        <v>75.039979341977926</v>
      </c>
      <c r="X28" s="119">
        <f t="shared" si="15"/>
        <v>79.064649062771821</v>
      </c>
      <c r="Y28" s="119">
        <f t="shared" si="15"/>
        <v>90.252478036428556</v>
      </c>
      <c r="Z28" s="119">
        <f t="shared" si="15"/>
        <v>109.13567030874692</v>
      </c>
      <c r="AA28" s="397">
        <f t="shared" si="15"/>
        <v>109.29250857766058</v>
      </c>
      <c r="AB28" s="177">
        <f>scen_input_bau!D59</f>
        <v>745.27542884754769</v>
      </c>
      <c r="AC28" s="177">
        <f>scen_input_bau!E59</f>
        <v>745.27542884754769</v>
      </c>
      <c r="AD28" s="177">
        <f>scen_input_bau!F59</f>
        <v>1303.1877435389449</v>
      </c>
      <c r="AE28" s="177">
        <f>scen_input_bau!G59</f>
        <v>1434.9818247723172</v>
      </c>
      <c r="AF28" s="177">
        <f>scen_input_bau!H59</f>
        <v>1510.7564986225073</v>
      </c>
      <c r="AG28" s="177">
        <f>scen_input_bau!I59</f>
        <v>1719.753880893106</v>
      </c>
      <c r="AH28" s="177">
        <f>scen_input_bau!J59</f>
        <v>2059.0744631730581</v>
      </c>
      <c r="AI28" s="177">
        <f>scen_input_bau!K59</f>
        <v>2059.0744631730581</v>
      </c>
      <c r="AJ28" s="177">
        <f>el_capacity!T11+AB28/lifespan!C11</f>
        <v>32.504783764194322</v>
      </c>
      <c r="AK28" s="177">
        <f>MAX((AC28-AB28),0)/5+AC28/lifespan!D11/5</f>
        <v>5.9622034307803817</v>
      </c>
      <c r="AL28" s="177">
        <f>MAX((AD28-AC28),0)/5+AD28/lifespan!E11/5</f>
        <v>122.00796488659101</v>
      </c>
      <c r="AM28" s="177">
        <f>MAX((AE28-AD28),0)/5+AE28/lifespan!F11/5</f>
        <v>37.838670844852984</v>
      </c>
      <c r="AN28" s="177">
        <f>MAX((AF28-AE28),0)/5+AF28/lifespan!G11/5</f>
        <v>27.240986759018075</v>
      </c>
      <c r="AO28" s="177">
        <f>MAX((AG28-AF28),0)/5+AG28/lifespan!H11/5</f>
        <v>55.557507501264602</v>
      </c>
      <c r="AP28" s="177">
        <f>MAX((AH28-AG28),0)/5+AH28/lifespan!I11/5</f>
        <v>84.336712161374876</v>
      </c>
      <c r="AQ28" s="177">
        <f>MAX((AI28-AH28),0)/5+AI28/lifespan!J11/5</f>
        <v>16.472595705384464</v>
      </c>
    </row>
    <row r="29" spans="1:43" x14ac:dyDescent="0.25">
      <c r="A29" s="391" t="s">
        <v>616</v>
      </c>
      <c r="B29" s="15" t="s">
        <v>14</v>
      </c>
      <c r="C29" s="15" t="s">
        <v>15</v>
      </c>
      <c r="D29" s="420">
        <f>scen_pct_bau!T44</f>
        <v>0</v>
      </c>
      <c r="E29" s="420">
        <f>scen_pct_bau!U44</f>
        <v>0</v>
      </c>
      <c r="F29" s="420">
        <f>scen_pct_bau!V44</f>
        <v>0</v>
      </c>
      <c r="G29" s="420">
        <f>scen_pct_bau!W44</f>
        <v>0</v>
      </c>
      <c r="H29" s="420">
        <f>scen_pct_bau!X44</f>
        <v>0</v>
      </c>
      <c r="I29" s="420">
        <f>scen_pct_bau!Y44</f>
        <v>0</v>
      </c>
      <c r="J29" s="420">
        <f>scen_pct_bau!Z44</f>
        <v>0</v>
      </c>
      <c r="K29" s="420">
        <f>scen_pct_bau!AA44</f>
        <v>0</v>
      </c>
      <c r="L29" s="404">
        <f t="shared" si="14"/>
        <v>0</v>
      </c>
      <c r="M29" s="404">
        <f t="shared" si="12"/>
        <v>0</v>
      </c>
      <c r="N29" s="404">
        <f t="shared" si="12"/>
        <v>0</v>
      </c>
      <c r="O29" s="404">
        <f t="shared" si="12"/>
        <v>0</v>
      </c>
      <c r="P29" s="404">
        <f t="shared" si="12"/>
        <v>0</v>
      </c>
      <c r="Q29" s="404">
        <f t="shared" si="12"/>
        <v>0</v>
      </c>
      <c r="R29" s="404">
        <f t="shared" si="12"/>
        <v>0</v>
      </c>
      <c r="S29" s="404">
        <f t="shared" si="12"/>
        <v>0</v>
      </c>
      <c r="T29" s="119">
        <f>[15]xdecarb_CZ!B20</f>
        <v>0</v>
      </c>
      <c r="U29" s="174">
        <f>IFERROR([16]x2015el_repl!$A38*E29/el_replacements!$D3,0)</f>
        <v>0</v>
      </c>
      <c r="V29" s="174">
        <f>IFERROR([16]x2015el_repl!$A38*F29/el_replacements!$D3,0)</f>
        <v>0</v>
      </c>
      <c r="W29" s="174">
        <f>IFERROR([16]x2015el_repl!$A38*G29/el_replacements!$D3,0)</f>
        <v>0</v>
      </c>
      <c r="X29" s="174">
        <f>IFERROR([16]x2015el_repl!$A38*H29/el_replacements!$D3,0)</f>
        <v>0</v>
      </c>
      <c r="Y29" s="174">
        <f>IFERROR([16]x2015el_repl!$A38*I29/el_replacements!$D3,0)</f>
        <v>0</v>
      </c>
      <c r="Z29" s="174">
        <f>IFERROR([16]x2015el_repl!$A38*J29/el_replacements!$D3,0)</f>
        <v>0</v>
      </c>
      <c r="AA29" s="398">
        <f>IFERROR([16]x2015el_repl!$A38*K29/el_replacements!$D3,0)</f>
        <v>0</v>
      </c>
      <c r="AB29" s="177">
        <f>scen_input_bau!D60</f>
        <v>0</v>
      </c>
      <c r="AC29" s="177">
        <f>scen_input_bau!E60</f>
        <v>0</v>
      </c>
      <c r="AD29" s="177">
        <f>scen_input_bau!F60</f>
        <v>0</v>
      </c>
      <c r="AE29" s="177">
        <f>scen_input_bau!G60</f>
        <v>0</v>
      </c>
      <c r="AF29" s="177">
        <f>scen_input_bau!H60</f>
        <v>0</v>
      </c>
      <c r="AG29" s="177">
        <f>scen_input_bau!I60</f>
        <v>0</v>
      </c>
      <c r="AH29" s="177">
        <f>scen_input_bau!J60</f>
        <v>0</v>
      </c>
      <c r="AI29" s="177">
        <f>scen_input_bau!K60</f>
        <v>0</v>
      </c>
      <c r="AJ29" s="177">
        <f>el_capacity!T12+AB29/lifespan!C12</f>
        <v>0</v>
      </c>
      <c r="AK29" s="177">
        <f>MAX((AC29-AB29),0)/5+AC29/lifespan!D12/5</f>
        <v>0</v>
      </c>
      <c r="AL29" s="177">
        <f>MAX((AD29-AC29),0)/5+AD29/lifespan!E12/5</f>
        <v>0</v>
      </c>
      <c r="AM29" s="177">
        <f>MAX((AE29-AD29),0)/5+AE29/lifespan!F12/5</f>
        <v>0</v>
      </c>
      <c r="AN29" s="177">
        <f>MAX((AF29-AE29),0)/5+AF29/lifespan!G12/5</f>
        <v>0</v>
      </c>
      <c r="AO29" s="177">
        <f>MAX((AG29-AF29),0)/5+AG29/lifespan!H12/5</f>
        <v>0</v>
      </c>
      <c r="AP29" s="177">
        <f>MAX((AH29-AG29),0)/5+AH29/lifespan!I12/5</f>
        <v>0</v>
      </c>
      <c r="AQ29" s="177">
        <f>MAX((AI29-AH29),0)/5+AI29/lifespan!J12/5</f>
        <v>0</v>
      </c>
    </row>
    <row r="30" spans="1:43" x14ac:dyDescent="0.25">
      <c r="A30" s="391" t="s">
        <v>616</v>
      </c>
      <c r="B30" s="15" t="s">
        <v>16</v>
      </c>
      <c r="C30" s="15" t="s">
        <v>17</v>
      </c>
      <c r="D30" s="420">
        <f>scen_pct_bau!T45</f>
        <v>0</v>
      </c>
      <c r="E30" s="420">
        <f>scen_pct_bau!U45</f>
        <v>0</v>
      </c>
      <c r="F30" s="420">
        <f>scen_pct_bau!V45</f>
        <v>0</v>
      </c>
      <c r="G30" s="420">
        <f>scen_pct_bau!W45</f>
        <v>0</v>
      </c>
      <c r="H30" s="420">
        <f>scen_pct_bau!X45</f>
        <v>0</v>
      </c>
      <c r="I30" s="420">
        <f>scen_pct_bau!Y45</f>
        <v>0</v>
      </c>
      <c r="J30" s="420">
        <f>scen_pct_bau!Z45</f>
        <v>0</v>
      </c>
      <c r="K30" s="420">
        <f>scen_pct_bau!AA45</f>
        <v>0</v>
      </c>
      <c r="L30" s="404">
        <f t="shared" si="14"/>
        <v>0</v>
      </c>
      <c r="M30" s="404">
        <f t="shared" si="12"/>
        <v>0</v>
      </c>
      <c r="N30" s="404">
        <f t="shared" si="12"/>
        <v>0</v>
      </c>
      <c r="O30" s="404">
        <f t="shared" si="12"/>
        <v>0</v>
      </c>
      <c r="P30" s="404">
        <f t="shared" si="12"/>
        <v>0</v>
      </c>
      <c r="Q30" s="404">
        <f t="shared" si="12"/>
        <v>0</v>
      </c>
      <c r="R30" s="404">
        <f t="shared" si="12"/>
        <v>0</v>
      </c>
      <c r="S30" s="404">
        <f t="shared" si="12"/>
        <v>0</v>
      </c>
      <c r="T30" s="119">
        <f>[15]xdecarb_CZ!B21</f>
        <v>0</v>
      </c>
      <c r="U30" s="174">
        <f>IFERROR([16]x2015el_repl!$A52*E30/el_replacements!$D4,0)</f>
        <v>0</v>
      </c>
      <c r="V30" s="174">
        <f>IFERROR([16]x2015el_repl!$A52*F30/el_replacements!$D4,0)</f>
        <v>0</v>
      </c>
      <c r="W30" s="174">
        <f>IFERROR([16]x2015el_repl!$A52*G30/el_replacements!$D4,0)</f>
        <v>0</v>
      </c>
      <c r="X30" s="174">
        <f>IFERROR([16]x2015el_repl!$A52*H30/el_replacements!$D4,0)</f>
        <v>0</v>
      </c>
      <c r="Y30" s="174">
        <f>IFERROR([16]x2015el_repl!$A52*I30/el_replacements!$D4,0)</f>
        <v>0</v>
      </c>
      <c r="Z30" s="174">
        <f>IFERROR([16]x2015el_repl!$A52*J30/el_replacements!$D4,0)</f>
        <v>0</v>
      </c>
      <c r="AA30" s="398">
        <f>IFERROR([16]x2015el_repl!$A52*K30/el_replacements!$D4,0)</f>
        <v>0</v>
      </c>
      <c r="AB30" s="177">
        <f>scen_input_bau!D61</f>
        <v>0</v>
      </c>
      <c r="AC30" s="177">
        <f>scen_input_bau!E61</f>
        <v>0</v>
      </c>
      <c r="AD30" s="177">
        <f>scen_input_bau!F61</f>
        <v>0</v>
      </c>
      <c r="AE30" s="177">
        <f>scen_input_bau!G61</f>
        <v>0</v>
      </c>
      <c r="AF30" s="177">
        <f>scen_input_bau!H61</f>
        <v>0</v>
      </c>
      <c r="AG30" s="177">
        <f>scen_input_bau!I61</f>
        <v>0</v>
      </c>
      <c r="AH30" s="177">
        <f>scen_input_bau!J61</f>
        <v>0</v>
      </c>
      <c r="AI30" s="177">
        <f>scen_input_bau!K61</f>
        <v>0</v>
      </c>
      <c r="AJ30" s="177">
        <f>el_capacity!T13+AB30/lifespan!C13</f>
        <v>0</v>
      </c>
      <c r="AK30" s="177">
        <f>MAX((AC30-AB30),0)/5+AC30/lifespan!D13/5</f>
        <v>0</v>
      </c>
      <c r="AL30" s="177">
        <f>MAX((AD30-AC30),0)/5+AD30/lifespan!E13/5</f>
        <v>0</v>
      </c>
      <c r="AM30" s="177">
        <f>MAX((AE30-AD30),0)/5+AE30/lifespan!F13/5</f>
        <v>0</v>
      </c>
      <c r="AN30" s="177">
        <f>MAX((AF30-AE30),0)/5+AF30/lifespan!G13/5</f>
        <v>0</v>
      </c>
      <c r="AO30" s="177">
        <f>MAX((AG30-AF30),0)/5+AG30/lifespan!H13/5</f>
        <v>0</v>
      </c>
      <c r="AP30" s="177">
        <f>MAX((AH30-AG30),0)/5+AH30/lifespan!I13/5</f>
        <v>0</v>
      </c>
      <c r="AQ30" s="177">
        <f>MAX((AI30-AH30),0)/5+AI30/lifespan!J13/5</f>
        <v>0</v>
      </c>
    </row>
    <row r="31" spans="1:43" x14ac:dyDescent="0.25">
      <c r="A31" s="392" t="s">
        <v>616</v>
      </c>
      <c r="B31" s="394" t="s">
        <v>18</v>
      </c>
      <c r="C31" s="394" t="s">
        <v>19</v>
      </c>
      <c r="D31" s="421">
        <f>scen_pct_bau!T46</f>
        <v>0</v>
      </c>
      <c r="E31" s="421">
        <f>scen_pct_bau!U46</f>
        <v>0</v>
      </c>
      <c r="F31" s="421">
        <f>scen_pct_bau!V46</f>
        <v>0</v>
      </c>
      <c r="G31" s="421">
        <f>scen_pct_bau!W46</f>
        <v>0</v>
      </c>
      <c r="H31" s="421">
        <f>scen_pct_bau!X46</f>
        <v>0</v>
      </c>
      <c r="I31" s="421">
        <f>scen_pct_bau!Y46</f>
        <v>8.5082534440411898E-4</v>
      </c>
      <c r="J31" s="421">
        <f>scen_pct_bau!Z46</f>
        <v>3.2253276205508143E-2</v>
      </c>
      <c r="K31" s="421">
        <f>scen_pct_bau!AA46</f>
        <v>3.7204904535719098E-2</v>
      </c>
      <c r="L31" s="405">
        <f t="shared" si="14"/>
        <v>0</v>
      </c>
      <c r="M31" s="405">
        <f t="shared" si="12"/>
        <v>0</v>
      </c>
      <c r="N31" s="405">
        <f t="shared" si="12"/>
        <v>0</v>
      </c>
      <c r="O31" s="405">
        <f t="shared" si="12"/>
        <v>0</v>
      </c>
      <c r="P31" s="405">
        <f t="shared" si="12"/>
        <v>0</v>
      </c>
      <c r="Q31" s="405">
        <f t="shared" si="12"/>
        <v>8.6390816812754155E-4</v>
      </c>
      <c r="R31" s="405">
        <f t="shared" si="12"/>
        <v>3.1365180000944785E-2</v>
      </c>
      <c r="S31" s="405">
        <f t="shared" si="12"/>
        <v>3.5064328099813385E-2</v>
      </c>
      <c r="T31" s="400">
        <f>[15]xdecarb_CZ!B22</f>
        <v>0</v>
      </c>
      <c r="U31" s="401">
        <f>IFERROR([16]x2015el_repl!$A14*E31/el_replacements!$D5,0)</f>
        <v>0</v>
      </c>
      <c r="V31" s="401">
        <f>IFERROR([16]x2015el_repl!$A14*F31/el_replacements!$D5,0)</f>
        <v>0</v>
      </c>
      <c r="W31" s="401">
        <f>IFERROR([16]x2015el_repl!$A14*G31/el_replacements!$D5,0)</f>
        <v>0</v>
      </c>
      <c r="X31" s="401">
        <f>IFERROR([16]x2015el_repl!$A14*H31/el_replacements!$D5,0)</f>
        <v>0</v>
      </c>
      <c r="Y31" s="401">
        <f>IFERROR([16]x2015el_repl!$A14*I31/el_replacements!$D5,0)</f>
        <v>8.880713131937213E-5</v>
      </c>
      <c r="Z31" s="401">
        <f>IFERROR([16]x2015el_repl!$A14*J31/el_replacements!$D5,0)</f>
        <v>3.3665204666283037E-3</v>
      </c>
      <c r="AA31" s="402">
        <f>IFERROR([16]x2015el_repl!$A14*K31/el_replacements!$D5,0)</f>
        <v>3.883359686637367E-3</v>
      </c>
      <c r="AB31" s="177">
        <f>scen_input_bau!D62</f>
        <v>0</v>
      </c>
      <c r="AC31" s="177">
        <f>scen_input_bau!E62</f>
        <v>0</v>
      </c>
      <c r="AD31" s="177">
        <f>scen_input_bau!F62</f>
        <v>0</v>
      </c>
      <c r="AE31" s="177">
        <f>scen_input_bau!G62</f>
        <v>0</v>
      </c>
      <c r="AF31" s="177">
        <f>scen_input_bau!H62</f>
        <v>0</v>
      </c>
      <c r="AG31" s="177">
        <f>scen_input_bau!I62</f>
        <v>11.969068554251068</v>
      </c>
      <c r="AH31" s="177">
        <f>scen_input_bau!J62</f>
        <v>453.38759908852768</v>
      </c>
      <c r="AI31" s="177">
        <f>scen_input_bau!K62</f>
        <v>522.93844072382876</v>
      </c>
      <c r="AJ31" s="177">
        <f>el_capacity!T14+AB31/lifespan!C14</f>
        <v>0</v>
      </c>
      <c r="AK31" s="177">
        <f>MAX((AC31-AB31),0)/5+AC31/lifespan!D14/5</f>
        <v>0</v>
      </c>
      <c r="AL31" s="177">
        <f>MAX((AD31-AC31),0)/5+AD31/lifespan!E14/5</f>
        <v>0</v>
      </c>
      <c r="AM31" s="177">
        <f>MAX((AE31-AD31),0)/5+AE31/lifespan!F14/5</f>
        <v>0</v>
      </c>
      <c r="AN31" s="177">
        <f>MAX((AF31-AE31),0)/5+AF31/lifespan!G14/5</f>
        <v>0</v>
      </c>
      <c r="AO31" s="177">
        <f>MAX((AG31-AF31),0)/5+AG31/lifespan!H14/5</f>
        <v>2.4736075012118874</v>
      </c>
      <c r="AP31" s="177">
        <f>MAX((AH31-AG31),0)/5+AH31/lifespan!I14/5</f>
        <v>91.306290100778838</v>
      </c>
      <c r="AQ31" s="177">
        <f>MAX((AI31-AH31),0)/5+AI31/lifespan!J14/5</f>
        <v>17.396424598552407</v>
      </c>
    </row>
    <row r="32" spans="1:43" x14ac:dyDescent="0.25">
      <c r="D32" s="372"/>
      <c r="E32" s="372"/>
      <c r="F32" s="372"/>
      <c r="G32" s="372"/>
      <c r="H32" s="372"/>
      <c r="I32" s="372"/>
      <c r="J32" s="372"/>
      <c r="K32" s="372"/>
      <c r="L32" s="372"/>
      <c r="M32" s="372"/>
      <c r="N32" s="372"/>
      <c r="O32" s="372"/>
      <c r="P32" s="372"/>
      <c r="Q32" s="372"/>
      <c r="R32" s="372"/>
      <c r="S32" s="372"/>
    </row>
    <row r="33" spans="20:21" x14ac:dyDescent="0.25">
      <c r="T33" s="188"/>
      <c r="U33" s="372"/>
    </row>
    <row r="34" spans="20:21" x14ac:dyDescent="0.25">
      <c r="T34" s="188"/>
      <c r="U34" s="372"/>
    </row>
    <row r="35" spans="20:21" x14ac:dyDescent="0.25">
      <c r="T35" s="188"/>
    </row>
  </sheetData>
  <pageMargins left="0.7" right="0.7" top="0.78740157499999996" bottom="0.78740157499999996" header="0.3" footer="0.3"/>
  <pageSetup paperSize="9"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
  <sheetViews>
    <sheetView zoomScale="75" zoomScaleNormal="75" workbookViewId="0">
      <pane xSplit="4" ySplit="1" topLeftCell="E2" activePane="bottomRight" state="frozen"/>
      <selection activeCell="D2" sqref="D2"/>
      <selection pane="topRight" activeCell="D2" sqref="D2"/>
      <selection pane="bottomLeft" activeCell="D2" sqref="D2"/>
      <selection pane="bottomRight" activeCell="E2" sqref="E2"/>
    </sheetView>
  </sheetViews>
  <sheetFormatPr defaultColWidth="9" defaultRowHeight="15" x14ac:dyDescent="0.25"/>
  <cols>
    <col min="1" max="1" width="11.75" bestFit="1" customWidth="1"/>
    <col min="2" max="2" width="48.625" customWidth="1"/>
    <col min="3" max="3" width="48.625" bestFit="1" customWidth="1"/>
    <col min="4" max="4" width="12.25" bestFit="1" customWidth="1"/>
    <col min="5" max="12" width="10.25" style="2" customWidth="1"/>
  </cols>
  <sheetData>
    <row r="1" spans="1:12" x14ac:dyDescent="0.25">
      <c r="A1" s="88" t="s">
        <v>586</v>
      </c>
      <c r="B1" s="88" t="s">
        <v>710</v>
      </c>
      <c r="C1" s="88" t="s">
        <v>0</v>
      </c>
      <c r="D1" s="88" t="s">
        <v>1</v>
      </c>
      <c r="E1" s="44" t="s">
        <v>688</v>
      </c>
      <c r="F1" s="44" t="s">
        <v>689</v>
      </c>
      <c r="G1" s="44" t="s">
        <v>690</v>
      </c>
      <c r="H1" s="44" t="s">
        <v>691</v>
      </c>
      <c r="I1" s="44" t="s">
        <v>692</v>
      </c>
      <c r="J1" s="44" t="s">
        <v>693</v>
      </c>
      <c r="K1" s="44" t="s">
        <v>694</v>
      </c>
      <c r="L1" s="44" t="s">
        <v>695</v>
      </c>
    </row>
    <row r="2" spans="1:12" x14ac:dyDescent="0.25">
      <c r="A2" s="2" t="s">
        <v>616</v>
      </c>
      <c r="B2" s="2" t="s">
        <v>711</v>
      </c>
      <c r="C2" s="2" t="s">
        <v>712</v>
      </c>
      <c r="D2" s="2" t="s">
        <v>54</v>
      </c>
      <c r="E2" s="449">
        <f>[17]x2015fuel_CZ!C2</f>
        <v>0</v>
      </c>
      <c r="F2" s="449">
        <f>IFERROR(E2*(scen_input_electro_hydro!E$70/scen_input_electro_hydro!D$70),0)</f>
        <v>0</v>
      </c>
      <c r="G2" s="449">
        <f>IFERROR(F2*(scen_input_electro_hydro!F$70/scen_input_electro_hydro!E$70),0)</f>
        <v>0</v>
      </c>
      <c r="H2" s="449">
        <f>IFERROR(G2*(scen_input_electro_hydro!G$70/scen_input_electro_hydro!F$70),0)</f>
        <v>0</v>
      </c>
      <c r="I2" s="449">
        <f>IFERROR(H2*(scen_input_electro_hydro!H$70/scen_input_electro_hydro!G$70),0)</f>
        <v>0</v>
      </c>
      <c r="J2" s="449">
        <f>IFERROR(I2*(scen_input_electro_hydro!I$70/scen_input_electro_hydro!H$70),0)</f>
        <v>0</v>
      </c>
      <c r="K2" s="449">
        <f>IFERROR(J2*(scen_input_electro_hydro!J$70/scen_input_electro_hydro!I$70),0)</f>
        <v>0</v>
      </c>
      <c r="L2" s="449">
        <f>IFERROR(K2*(scen_input_electro_hydro!K$70/scen_input_electro_hydro!J$70),0)</f>
        <v>0</v>
      </c>
    </row>
    <row r="3" spans="1:12" x14ac:dyDescent="0.25">
      <c r="A3" s="2" t="s">
        <v>616</v>
      </c>
      <c r="B3" s="113" t="s">
        <v>636</v>
      </c>
      <c r="C3" s="113" t="s">
        <v>713</v>
      </c>
      <c r="D3" s="113" t="s">
        <v>60</v>
      </c>
      <c r="E3" s="449">
        <f>[17]x2015fuel_CZ!C3</f>
        <v>2459.3578090000001</v>
      </c>
      <c r="F3" s="449">
        <f>IFERROR(E3*(scen_input_electro_hydro!E$66/scen_input_electro_hydro!D$66),0)</f>
        <v>2057.031511945439</v>
      </c>
      <c r="G3" s="449">
        <f>IFERROR(F3*(scen_input_electro_hydro!F$66/scen_input_electro_hydro!E$66),0)</f>
        <v>1609.738337805858</v>
      </c>
      <c r="H3" s="449">
        <f>IFERROR(G3*(scen_input_electro_hydro!G$66/scen_input_electro_hydro!F$66),0)</f>
        <v>707.76624570623994</v>
      </c>
      <c r="I3" s="449">
        <f>IFERROR(H3*(scen_input_electro_hydro!H$66/scen_input_electro_hydro!G$66),0)</f>
        <v>28.43899455217402</v>
      </c>
      <c r="J3" s="449">
        <f>IFERROR(I3*(scen_input_electro_hydro!I$66/scen_input_electro_hydro!H$66),0)</f>
        <v>0</v>
      </c>
      <c r="K3" s="449">
        <f>IFERROR(J3*(scen_input_electro_hydro!J$66/scen_input_electro_hydro!I$66),0)</f>
        <v>0</v>
      </c>
      <c r="L3" s="449">
        <f>IFERROR(K3*(scen_input_electro_hydro!K$66/scen_input_electro_hydro!J$66),0)</f>
        <v>0</v>
      </c>
    </row>
    <row r="4" spans="1:12" x14ac:dyDescent="0.25">
      <c r="A4" s="2" t="s">
        <v>616</v>
      </c>
      <c r="B4" s="113" t="s">
        <v>636</v>
      </c>
      <c r="C4" s="2" t="s">
        <v>714</v>
      </c>
      <c r="D4" s="2" t="s">
        <v>132</v>
      </c>
      <c r="E4" s="449">
        <f>[17]x2015fuel_CZ!C4</f>
        <v>397.54854660000001</v>
      </c>
      <c r="F4" s="449">
        <f>IFERROR(E4*(scen_input_electro_hydro!E$66/scen_input_electro_hydro!D$66),0)</f>
        <v>332.51358744615669</v>
      </c>
      <c r="G4" s="449">
        <f>IFERROR(F4*(scen_input_electro_hydro!F$66/scen_input_electro_hydro!E$66),0)</f>
        <v>260.20985407618605</v>
      </c>
      <c r="H4" s="449">
        <f>IFERROR(G4*(scen_input_electro_hydro!G$66/scen_input_electro_hydro!F$66),0)</f>
        <v>114.40850179806193</v>
      </c>
      <c r="I4" s="449">
        <f>IFERROR(H4*(scen_input_electro_hydro!H$66/scen_input_electro_hydro!G$66),0)</f>
        <v>4.5970866498596985</v>
      </c>
      <c r="J4" s="449">
        <f>IFERROR(I4*(scen_input_electro_hydro!I$66/scen_input_electro_hydro!H$66),0)</f>
        <v>0</v>
      </c>
      <c r="K4" s="449">
        <f>IFERROR(J4*(scen_input_electro_hydro!J$66/scen_input_electro_hydro!I$66),0)</f>
        <v>0</v>
      </c>
      <c r="L4" s="449">
        <f>IFERROR(K4*(scen_input_electro_hydro!K$66/scen_input_electro_hydro!J$66),0)</f>
        <v>0</v>
      </c>
    </row>
    <row r="5" spans="1:12" x14ac:dyDescent="0.25">
      <c r="A5" s="2" t="s">
        <v>616</v>
      </c>
      <c r="B5" s="113" t="s">
        <v>715</v>
      </c>
      <c r="C5" s="2" t="s">
        <v>716</v>
      </c>
      <c r="D5" s="2" t="s">
        <v>134</v>
      </c>
      <c r="E5" s="449">
        <f>[17]x2015fuel_CZ!C5</f>
        <v>2209.150603</v>
      </c>
      <c r="F5" s="449">
        <f>IFERROR(E5*(scen_input_electro_hydro!E$67/scen_input_electro_hydro!D$67),0)</f>
        <v>2006.9050038412131</v>
      </c>
      <c r="G5" s="449">
        <f>IFERROR(F5*(scen_input_electro_hydro!F$67/scen_input_electro_hydro!E$67),0)</f>
        <v>2062.901115380143</v>
      </c>
      <c r="H5" s="449">
        <f>IFERROR(G5*(scen_input_electro_hydro!G$67/scen_input_electro_hydro!F$67),0)</f>
        <v>1851.2135965591031</v>
      </c>
      <c r="I5" s="449">
        <f>IFERROR(H5*(scen_input_electro_hydro!H$67/scen_input_electro_hydro!G$67),0)</f>
        <v>1753.5782500137996</v>
      </c>
      <c r="J5" s="449">
        <f>IFERROR(I5*(scen_input_electro_hydro!I$67/scen_input_electro_hydro!H$67),0)</f>
        <v>1678.1291956463735</v>
      </c>
      <c r="K5" s="449">
        <f>IFERROR(J5*(scen_input_electro_hydro!J$67/scen_input_electro_hydro!I$67),0)</f>
        <v>1588.9337521874402</v>
      </c>
      <c r="L5" s="449">
        <f>IFERROR(K5*(scen_input_electro_hydro!K$67/scen_input_electro_hydro!J$67),0)</f>
        <v>1528.1368773802205</v>
      </c>
    </row>
    <row r="6" spans="1:12" x14ac:dyDescent="0.25">
      <c r="A6" s="2" t="s">
        <v>616</v>
      </c>
      <c r="B6" s="2" t="s">
        <v>711</v>
      </c>
      <c r="C6" s="2" t="s">
        <v>147</v>
      </c>
      <c r="D6" s="2" t="s">
        <v>146</v>
      </c>
      <c r="E6" s="114">
        <f>[17]x2015fuel_CZ!C6*[18]shares_i24.d!$F$3</f>
        <v>28.411191903717292</v>
      </c>
      <c r="F6" s="449">
        <f>IFERROR(E6*(scen_input_electro_hydro!E$70/scen_input_electro_hydro!D$70),0)</f>
        <v>33.338877158193554</v>
      </c>
      <c r="G6" s="449">
        <f>IFERROR(F6*(scen_input_electro_hydro!F$70/scen_input_electro_hydro!E$70),0)</f>
        <v>35.020889752477729</v>
      </c>
      <c r="H6" s="449">
        <f>IFERROR(G6*(scen_input_electro_hydro!G$70/scen_input_electro_hydro!F$70),0)</f>
        <v>35.100716438944737</v>
      </c>
      <c r="I6" s="449">
        <f>IFERROR(H6*(scen_input_electro_hydro!H$70/scen_input_electro_hydro!G$70),0)</f>
        <v>38.153260081394912</v>
      </c>
      <c r="J6" s="449">
        <f>IFERROR(I6*(scen_input_electro_hydro!I$70/scen_input_electro_hydro!H$70),0)</f>
        <v>37.251967413038258</v>
      </c>
      <c r="K6" s="449">
        <f>IFERROR(J6*(scen_input_electro_hydro!J$70/scen_input_electro_hydro!I$70),0)</f>
        <v>35.039384745271441</v>
      </c>
      <c r="L6" s="449">
        <f>IFERROR(K6*(scen_input_electro_hydro!K$70/scen_input_electro_hydro!J$70),0)</f>
        <v>34.158314221477724</v>
      </c>
    </row>
    <row r="7" spans="1:12" x14ac:dyDescent="0.25">
      <c r="A7" s="2" t="s">
        <v>616</v>
      </c>
      <c r="B7" s="113" t="s">
        <v>717</v>
      </c>
      <c r="C7" s="2" t="s">
        <v>718</v>
      </c>
      <c r="D7" s="2" t="s">
        <v>216</v>
      </c>
      <c r="E7" s="449">
        <f>[17]x2015fuel_CZ!C7</f>
        <v>1519.823247</v>
      </c>
      <c r="F7" s="114">
        <f>IFERROR([18]shares_i40.2!$F$2*E7*(scen_input_electro_hydro!E$68/scen_input_electro_hydro!D$68)+[18]shares_i40.2!$F$3*E7*(scen_input_electro_hydro!E$70/scen_input_electro_hydro!D$70),0)</f>
        <v>1535.1523288451115</v>
      </c>
      <c r="G7" s="114">
        <f>IFERROR([18]shares_i40.2!$F$2*F7*(scen_input_electro_hydro!F$68/scen_input_electro_hydro!E$68)+[18]shares_i40.2!$F$3*F7*(scen_input_electro_hydro!F$70/scen_input_electro_hydro!E$70),0)</f>
        <v>1612.9184985895783</v>
      </c>
      <c r="H7" s="114">
        <f>IFERROR([18]shares_i40.2!$F$2*G7*(scen_input_electro_hydro!G$68/scen_input_electro_hydro!F$68)+[18]shares_i40.2!$F$3*G7*(scen_input_electro_hydro!G$70/scen_input_electro_hydro!F$70),0)</f>
        <v>1434.4167161598648</v>
      </c>
      <c r="I7" s="114">
        <f>IFERROR([18]shares_i40.2!$F$2*H7*(scen_input_electro_hydro!H$68/scen_input_electro_hydro!G$68)+[18]shares_i40.2!$F$3*H7*(scen_input_electro_hydro!H$70/scen_input_electro_hydro!G$70),0)</f>
        <v>1433.2752949948726</v>
      </c>
      <c r="J7" s="114">
        <f>IFERROR([18]shares_i40.2!$F$2*I7*(scen_input_electro_hydro!I$68/scen_input_electro_hydro!H$68)+[18]shares_i40.2!$F$3*I7*(scen_input_electro_hydro!I$70/scen_input_electro_hydro!H$70),0)</f>
        <v>1408.1499398516783</v>
      </c>
      <c r="K7" s="114">
        <f>IFERROR([18]shares_i40.2!$F$2*J7*(scen_input_electro_hydro!J$68/scen_input_electro_hydro!I$68)+[18]shares_i40.2!$F$3*J7*(scen_input_electro_hydro!J$70/scen_input_electro_hydro!I$70),0)</f>
        <v>1405.0417461100701</v>
      </c>
      <c r="L7" s="114">
        <f>IFERROR([18]shares_i40.2!$F$2*K7*(scen_input_electro_hydro!K$68/scen_input_electro_hydro!J$68)+[18]shares_i40.2!$F$3*K7*(scen_input_electro_hydro!K$70/scen_input_electro_hydro!J$70),0)</f>
        <v>1393.3995217461957</v>
      </c>
    </row>
    <row r="8" spans="1:12" x14ac:dyDescent="0.25">
      <c r="A8" s="2" t="s">
        <v>616</v>
      </c>
      <c r="B8" s="113" t="s">
        <v>719</v>
      </c>
      <c r="C8" s="2" t="s">
        <v>720</v>
      </c>
      <c r="D8" s="2" t="s">
        <v>218</v>
      </c>
      <c r="E8" s="449">
        <f>[17]x2015fuel_CZ!C8</f>
        <v>610.25160589999996</v>
      </c>
      <c r="F8" s="449">
        <f>IFERROR(E8*(scen_input_electro_hydro!E$69/scen_input_electro_hydro!D$69),0)</f>
        <v>572.26009420433104</v>
      </c>
      <c r="G8" s="449">
        <f>IFERROR(F8*(scen_input_electro_hydro!F$69/scen_input_electro_hydro!E$69),0)</f>
        <v>684.59079511104528</v>
      </c>
      <c r="H8" s="449">
        <f>IFERROR(G8*(scen_input_electro_hydro!G$69/scen_input_electro_hydro!F$69),0)</f>
        <v>664.31601278427411</v>
      </c>
      <c r="I8" s="449">
        <f>IFERROR(H8*(scen_input_electro_hydro!H$69/scen_input_electro_hydro!G$69),0)</f>
        <v>672.32340421532786</v>
      </c>
      <c r="J8" s="449">
        <f>IFERROR(I8*(scen_input_electro_hydro!I$69/scen_input_electro_hydro!H$69),0)</f>
        <v>671.31328263713897</v>
      </c>
      <c r="K8" s="449">
        <f>IFERROR(J8*(scen_input_electro_hydro!J$69/scen_input_electro_hydro!I$69),0)</f>
        <v>641.84371013363443</v>
      </c>
      <c r="L8" s="449">
        <f>IFERROR(K8*(scen_input_electro_hydro!K$69/scen_input_electro_hydro!J$69),0)</f>
        <v>637.60236268739743</v>
      </c>
    </row>
    <row r="9" spans="1:12" x14ac:dyDescent="0.25">
      <c r="A9" s="2" t="s">
        <v>616</v>
      </c>
      <c r="B9" s="2" t="s">
        <v>711</v>
      </c>
      <c r="C9" s="2" t="s">
        <v>721</v>
      </c>
      <c r="D9" s="2" t="s">
        <v>274</v>
      </c>
      <c r="E9" s="449">
        <f>[17]x2015fuel_CZ!C9</f>
        <v>87.609030309999994</v>
      </c>
      <c r="F9" s="449">
        <f>IFERROR(E9*(scen_input_electro_hydro!E$70/scen_input_electro_hydro!D$70),0)</f>
        <v>102.80408894325171</v>
      </c>
      <c r="G9" s="449">
        <f>IFERROR(F9*(scen_input_electro_hydro!F$70/scen_input_electro_hydro!E$70),0)</f>
        <v>107.9907594938513</v>
      </c>
      <c r="H9" s="449">
        <f>IFERROR(G9*(scen_input_electro_hydro!G$70/scen_input_electro_hydro!F$70),0)</f>
        <v>108.23691384802044</v>
      </c>
      <c r="I9" s="449">
        <f>IFERROR(H9*(scen_input_electro_hydro!H$70/scen_input_electro_hydro!G$70),0)</f>
        <v>117.64976739532355</v>
      </c>
      <c r="J9" s="449">
        <f>IFERROR(I9*(scen_input_electro_hydro!I$70/scen_input_electro_hydro!H$70),0)</f>
        <v>114.87053247382391</v>
      </c>
      <c r="K9" s="449">
        <f>IFERROR(J9*(scen_input_electro_hydro!J$70/scen_input_electro_hydro!I$70),0)</f>
        <v>108.04779083522334</v>
      </c>
      <c r="L9" s="449">
        <f>IFERROR(K9*(scen_input_electro_hydro!K$70/scen_input_electro_hydro!J$70),0)</f>
        <v>105.33091311724939</v>
      </c>
    </row>
    <row r="10" spans="1:12" x14ac:dyDescent="0.25">
      <c r="A10" s="2" t="s">
        <v>616</v>
      </c>
      <c r="B10" s="2" t="s">
        <v>711</v>
      </c>
      <c r="C10" s="2" t="s">
        <v>722</v>
      </c>
      <c r="D10" s="2" t="s">
        <v>276</v>
      </c>
      <c r="E10" s="449">
        <f>[17]x2015fuel_CZ!C10</f>
        <v>90.707964079999996</v>
      </c>
      <c r="F10" s="449">
        <f>IFERROR(E10*(scen_input_electro_hydro!E$70/scen_input_electro_hydro!D$70),0)</f>
        <v>106.44050703614735</v>
      </c>
      <c r="G10" s="449">
        <f>IFERROR(F10*(scen_input_electro_hydro!F$70/scen_input_electro_hydro!E$70),0)</f>
        <v>111.81064210480226</v>
      </c>
      <c r="H10" s="449">
        <f>IFERROR(G10*(scen_input_electro_hydro!G$70/scen_input_electro_hydro!F$70),0)</f>
        <v>112.06550350706983</v>
      </c>
      <c r="I10" s="449">
        <f>IFERROR(H10*(scen_input_electro_hydro!H$70/scen_input_electro_hydro!G$70),0)</f>
        <v>121.81131142707387</v>
      </c>
      <c r="J10" s="449">
        <f>IFERROR(I10*(scen_input_electro_hydro!I$70/scen_input_electro_hydro!H$70),0)</f>
        <v>118.93376854665125</v>
      </c>
      <c r="K10" s="449">
        <f>IFERROR(J10*(scen_input_electro_hydro!J$70/scen_input_electro_hydro!I$70),0)</f>
        <v>111.86969077645522</v>
      </c>
      <c r="L10" s="449">
        <f>IFERROR(K10*(scen_input_electro_hydro!K$70/scen_input_electro_hydro!J$70),0)</f>
        <v>109.05671081788577</v>
      </c>
    </row>
    <row r="11" spans="1:12" x14ac:dyDescent="0.25">
      <c r="A11" s="2" t="s">
        <v>616</v>
      </c>
      <c r="B11" s="2" t="s">
        <v>711</v>
      </c>
      <c r="C11" s="2" t="s">
        <v>723</v>
      </c>
      <c r="D11" s="2" t="s">
        <v>278</v>
      </c>
      <c r="E11" s="449">
        <f>[17]x2015fuel_CZ!C11</f>
        <v>38.917766090000001</v>
      </c>
      <c r="F11" s="449">
        <f>IFERROR(E11*(scen_input_electro_hydro!E$70/scen_input_electro_hydro!D$70),0)</f>
        <v>45.667729370271879</v>
      </c>
      <c r="G11" s="449">
        <f>IFERROR(F11*(scen_input_electro_hydro!F$70/scen_input_electro_hydro!E$70),0)</f>
        <v>47.971757055087906</v>
      </c>
      <c r="H11" s="449">
        <f>IFERROR(G11*(scen_input_electro_hydro!G$70/scen_input_electro_hydro!F$70),0)</f>
        <v>48.081103974505822</v>
      </c>
      <c r="I11" s="449">
        <f>IFERROR(H11*(scen_input_electro_hydro!H$70/scen_input_electro_hydro!G$70),0)</f>
        <v>52.262490656873382</v>
      </c>
      <c r="J11" s="449">
        <f>IFERROR(I11*(scen_input_electro_hydro!I$70/scen_input_electro_hydro!H$70),0)</f>
        <v>51.027896298262654</v>
      </c>
      <c r="K11" s="449">
        <f>IFERROR(J11*(scen_input_electro_hydro!J$70/scen_input_electro_hydro!I$70),0)</f>
        <v>47.997091571352527</v>
      </c>
      <c r="L11" s="449">
        <f>IFERROR(K11*(scen_input_electro_hydro!K$70/scen_input_electro_hydro!J$70),0)</f>
        <v>46.790197588516442</v>
      </c>
    </row>
    <row r="12" spans="1:12" x14ac:dyDescent="0.25">
      <c r="A12" s="2" t="s">
        <v>616</v>
      </c>
      <c r="B12" s="2" t="s">
        <v>711</v>
      </c>
      <c r="C12" s="2" t="s">
        <v>724</v>
      </c>
      <c r="D12" s="2" t="s">
        <v>280</v>
      </c>
      <c r="E12" s="449">
        <f>[17]x2015fuel_CZ!C12</f>
        <v>93.98397971</v>
      </c>
      <c r="F12" s="449">
        <f>IFERROR(E12*(scen_input_electro_hydro!E$70/scen_input_electro_hydro!D$70),0)</f>
        <v>110.28472036683139</v>
      </c>
      <c r="G12" s="449">
        <f>IFERROR(F12*(scen_input_electro_hydro!F$70/scen_input_electro_hydro!E$70),0)</f>
        <v>115.84880363616037</v>
      </c>
      <c r="H12" s="449">
        <f>IFERROR(G12*(scen_input_electro_hydro!G$70/scen_input_electro_hydro!F$70),0)</f>
        <v>116.11286963193615</v>
      </c>
      <c r="I12" s="449">
        <f>IFERROR(H12*(scen_input_electro_hydro!H$70/scen_input_electro_hydro!G$70),0)</f>
        <v>126.21065788130524</v>
      </c>
      <c r="J12" s="449">
        <f>IFERROR(I12*(scen_input_electro_hydro!I$70/scen_input_electro_hydro!H$70),0)</f>
        <v>123.22918944651843</v>
      </c>
      <c r="K12" s="449">
        <f>IFERROR(J12*(scen_input_electro_hydro!J$70/scen_input_electro_hydro!I$70),0)</f>
        <v>115.90998491406492</v>
      </c>
      <c r="L12" s="449">
        <f>IFERROR(K12*(scen_input_electro_hydro!K$70/scen_input_electro_hydro!J$70),0)</f>
        <v>112.99541116045646</v>
      </c>
    </row>
    <row r="13" spans="1:12" x14ac:dyDescent="0.25">
      <c r="A13" s="2" t="s">
        <v>616</v>
      </c>
      <c r="B13" s="2" t="s">
        <v>711</v>
      </c>
      <c r="C13" s="2" t="s">
        <v>725</v>
      </c>
      <c r="D13" s="2" t="s">
        <v>282</v>
      </c>
      <c r="E13" s="449">
        <f>[17]x2015fuel_CZ!C13</f>
        <v>20.42211154</v>
      </c>
      <c r="F13" s="449">
        <f>IFERROR(E13*(scen_input_electro_hydro!E$70/scen_input_electro_hydro!D$70),0)</f>
        <v>23.964157162090238</v>
      </c>
      <c r="G13" s="449">
        <f>IFERROR(F13*(scen_input_electro_hydro!F$70/scen_input_electro_hydro!E$70),0)</f>
        <v>25.173196505760359</v>
      </c>
      <c r="H13" s="449">
        <f>IFERROR(G13*(scen_input_electro_hydro!G$70/scen_input_electro_hydro!F$70),0)</f>
        <v>25.230576340454466</v>
      </c>
      <c r="I13" s="449">
        <f>IFERROR(H13*(scen_input_electro_hydro!H$70/scen_input_electro_hydro!G$70),0)</f>
        <v>27.424760483031001</v>
      </c>
      <c r="J13" s="449">
        <f>IFERROR(I13*(scen_input_electro_hydro!I$70/scen_input_electro_hydro!H$70),0)</f>
        <v>26.776906656069396</v>
      </c>
      <c r="K13" s="449">
        <f>IFERROR(J13*(scen_input_electro_hydro!J$70/scen_input_electro_hydro!I$70),0)</f>
        <v>25.186490802143442</v>
      </c>
      <c r="L13" s="449">
        <f>IFERROR(K13*(scen_input_electro_hydro!K$70/scen_input_electro_hydro!J$70),0)</f>
        <v>24.553172757180771</v>
      </c>
    </row>
    <row r="14" spans="1:12" x14ac:dyDescent="0.25">
      <c r="A14" s="2" t="s">
        <v>616</v>
      </c>
      <c r="B14" s="2" t="s">
        <v>711</v>
      </c>
      <c r="C14" s="2" t="s">
        <v>726</v>
      </c>
      <c r="D14" s="2" t="s">
        <v>284</v>
      </c>
      <c r="E14" s="449">
        <f>[17]x2015fuel_CZ!C14</f>
        <v>26.286215290000001</v>
      </c>
      <c r="F14" s="449">
        <f>IFERROR(E14*(scen_input_electro_hydro!E$70/scen_input_electro_hydro!D$70),0)</f>
        <v>30.845341000722961</v>
      </c>
      <c r="G14" s="449">
        <f>IFERROR(F14*(scen_input_electro_hydro!F$70/scen_input_electro_hydro!E$70),0)</f>
        <v>32.401549741408012</v>
      </c>
      <c r="H14" s="449">
        <f>IFERROR(G14*(scen_input_electro_hydro!G$70/scen_input_electro_hydro!F$70),0)</f>
        <v>32.475405898990914</v>
      </c>
      <c r="I14" s="449">
        <f>IFERROR(H14*(scen_input_electro_hydro!H$70/scen_input_electro_hydro!G$70),0)</f>
        <v>35.299638674563681</v>
      </c>
      <c r="J14" s="449">
        <f>IFERROR(I14*(scen_input_electro_hydro!I$70/scen_input_electro_hydro!H$70),0)</f>
        <v>34.465756970479951</v>
      </c>
      <c r="K14" s="449">
        <f>IFERROR(J14*(scen_input_electro_hydro!J$70/scen_input_electro_hydro!I$70),0)</f>
        <v>32.418661426268329</v>
      </c>
      <c r="L14" s="449">
        <f>IFERROR(K14*(scen_input_electro_hydro!K$70/scen_input_electro_hydro!J$70),0)</f>
        <v>31.603489378837104</v>
      </c>
    </row>
    <row r="15" spans="1:12" x14ac:dyDescent="0.25">
      <c r="A15" s="2" t="s">
        <v>616</v>
      </c>
      <c r="B15" s="2" t="s">
        <v>711</v>
      </c>
      <c r="C15" s="2" t="s">
        <v>727</v>
      </c>
      <c r="D15" s="2" t="s">
        <v>286</v>
      </c>
      <c r="E15" s="449">
        <f>[17]x2015fuel_CZ!C15</f>
        <v>125.8717551</v>
      </c>
      <c r="F15" s="449">
        <f>IFERROR(E15*(scen_input_electro_hydro!E$70/scen_input_electro_hydro!D$70),0)</f>
        <v>147.70316554076237</v>
      </c>
      <c r="G15" s="449">
        <f>IFERROR(F15*(scen_input_electro_hydro!F$70/scen_input_electro_hydro!E$70),0)</f>
        <v>155.15508371654127</v>
      </c>
      <c r="H15" s="449">
        <f>IFERROR(G15*(scen_input_electro_hydro!G$70/scen_input_electro_hydro!F$70),0)</f>
        <v>155.50874452610785</v>
      </c>
      <c r="I15" s="449">
        <f>IFERROR(H15*(scen_input_electro_hydro!H$70/scen_input_electro_hydro!G$70),0)</f>
        <v>169.03260607674832</v>
      </c>
      <c r="J15" s="449">
        <f>IFERROR(I15*(scen_input_electro_hydro!I$70/scen_input_electro_hydro!H$70),0)</f>
        <v>165.03955677387938</v>
      </c>
      <c r="K15" s="449">
        <f>IFERROR(J15*(scen_input_electro_hydro!J$70/scen_input_electro_hydro!I$70),0)</f>
        <v>155.23702315827242</v>
      </c>
      <c r="L15" s="449">
        <f>IFERROR(K15*(scen_input_electro_hydro!K$70/scen_input_electro_hydro!J$70),0)</f>
        <v>151.33356519802115</v>
      </c>
    </row>
    <row r="16" spans="1:12" x14ac:dyDescent="0.25">
      <c r="A16" s="2" t="s">
        <v>616</v>
      </c>
      <c r="B16" s="2" t="s">
        <v>711</v>
      </c>
      <c r="C16" s="2" t="s">
        <v>289</v>
      </c>
      <c r="D16" s="2" t="s">
        <v>288</v>
      </c>
      <c r="E16" s="449">
        <f>[17]x2015fuel_CZ!C16</f>
        <v>0</v>
      </c>
      <c r="F16" s="449">
        <f>IFERROR(E16*(scen_input_electro_hydro!E$70/scen_input_electro_hydro!D$70),0)</f>
        <v>0</v>
      </c>
      <c r="G16" s="449">
        <f>IFERROR(F16*(scen_input_electro_hydro!F$70/scen_input_electro_hydro!E$70),0)</f>
        <v>0</v>
      </c>
      <c r="H16" s="449">
        <f>IFERROR(G16*(scen_input_electro_hydro!G$70/scen_input_electro_hydro!F$70),0)</f>
        <v>0</v>
      </c>
      <c r="I16" s="449">
        <f>IFERROR(H16*(scen_input_electro_hydro!H$70/scen_input_electro_hydro!G$70),0)</f>
        <v>0</v>
      </c>
      <c r="J16" s="449">
        <f>IFERROR(I16*(scen_input_electro_hydro!I$70/scen_input_electro_hydro!H$70),0)</f>
        <v>0</v>
      </c>
      <c r="K16" s="449">
        <f>IFERROR(J16*(scen_input_electro_hydro!J$70/scen_input_electro_hydro!I$70),0)</f>
        <v>0</v>
      </c>
      <c r="L16" s="449">
        <f>IFERROR(K16*(scen_input_electro_hydro!K$70/scen_input_electro_hydro!J$70),0)</f>
        <v>0</v>
      </c>
    </row>
    <row r="17" spans="1:12" x14ac:dyDescent="0.25">
      <c r="A17" s="2" t="s">
        <v>616</v>
      </c>
      <c r="B17" s="2" t="s">
        <v>711</v>
      </c>
      <c r="C17" s="2" t="s">
        <v>291</v>
      </c>
      <c r="D17" s="2" t="s">
        <v>290</v>
      </c>
      <c r="E17" s="449">
        <f>[17]x2015fuel_CZ!C17</f>
        <v>0</v>
      </c>
      <c r="F17" s="449">
        <f>IFERROR(E17*(scen_input_electro_hydro!E$70/scen_input_electro_hydro!D$70),0)</f>
        <v>0</v>
      </c>
      <c r="G17" s="449">
        <f>IFERROR(F17*(scen_input_electro_hydro!F$70/scen_input_electro_hydro!E$70),0)</f>
        <v>0</v>
      </c>
      <c r="H17" s="449">
        <f>IFERROR(G17*(scen_input_electro_hydro!G$70/scen_input_electro_hydro!F$70),0)</f>
        <v>0</v>
      </c>
      <c r="I17" s="449">
        <f>IFERROR(H17*(scen_input_electro_hydro!H$70/scen_input_electro_hydro!G$70),0)</f>
        <v>0</v>
      </c>
      <c r="J17" s="449">
        <f>IFERROR(I17*(scen_input_electro_hydro!I$70/scen_input_electro_hydro!H$70),0)</f>
        <v>0</v>
      </c>
      <c r="K17" s="449">
        <f>IFERROR(J17*(scen_input_electro_hydro!J$70/scen_input_electro_hydro!I$70),0)</f>
        <v>0</v>
      </c>
      <c r="L17" s="449">
        <f>IFERROR(K17*(scen_input_electro_hydro!K$70/scen_input_electro_hydro!J$70),0)</f>
        <v>0</v>
      </c>
    </row>
    <row r="18" spans="1:12" x14ac:dyDescent="0.25">
      <c r="A18" s="2" t="s">
        <v>616</v>
      </c>
      <c r="B18" s="2" t="s">
        <v>711</v>
      </c>
      <c r="C18" s="2" t="s">
        <v>293</v>
      </c>
      <c r="D18" s="2" t="s">
        <v>292</v>
      </c>
      <c r="E18" s="449">
        <f>[17]x2015fuel_CZ!C18</f>
        <v>530.48695459999999</v>
      </c>
      <c r="F18" s="449">
        <f>IFERROR(E18*(scen_input_electro_hydro!E$70/scen_input_electro_hydro!D$70),0)</f>
        <v>622.49551069061636</v>
      </c>
      <c r="G18" s="449">
        <f>IFERROR(F18*(scen_input_electro_hydro!F$70/scen_input_electro_hydro!E$70),0)</f>
        <v>653.90164605320604</v>
      </c>
      <c r="H18" s="449">
        <f>IFERROR(G18*(scen_input_electro_hydro!G$70/scen_input_electro_hydro!F$70),0)</f>
        <v>655.39215077906204</v>
      </c>
      <c r="I18" s="449">
        <f>IFERROR(H18*(scen_input_electro_hydro!H$70/scen_input_electro_hydro!G$70),0)</f>
        <v>712.38851285196438</v>
      </c>
      <c r="J18" s="449">
        <f>IFERROR(I18*(scen_input_electro_hydro!I$70/scen_input_electro_hydro!H$70),0)</f>
        <v>695.55979252019711</v>
      </c>
      <c r="K18" s="449">
        <f>IFERROR(J18*(scen_input_electro_hydro!J$70/scen_input_electro_hydro!I$70),0)</f>
        <v>654.24698011858891</v>
      </c>
      <c r="L18" s="449">
        <f>IFERROR(K18*(scen_input_electro_hydro!K$70/scen_input_electro_hydro!J$70),0)</f>
        <v>637.79584281540519</v>
      </c>
    </row>
    <row r="19" spans="1:12" x14ac:dyDescent="0.25">
      <c r="A19" s="2" t="s">
        <v>616</v>
      </c>
      <c r="B19" s="2" t="s">
        <v>711</v>
      </c>
      <c r="C19" s="2" t="s">
        <v>295</v>
      </c>
      <c r="D19" s="2" t="s">
        <v>294</v>
      </c>
      <c r="E19" s="449">
        <f>[17]x2015fuel_CZ!C19</f>
        <v>92.581594899999999</v>
      </c>
      <c r="F19" s="449">
        <f>IFERROR(E19*(scen_input_electro_hydro!E$70/scen_input_electro_hydro!D$70),0)</f>
        <v>108.63910355963966</v>
      </c>
      <c r="G19" s="449">
        <f>IFERROR(F19*(scen_input_electro_hydro!F$70/scen_input_electro_hydro!E$70),0)</f>
        <v>114.12016219133828</v>
      </c>
      <c r="H19" s="449">
        <f>IFERROR(G19*(scen_input_electro_hydro!G$70/scen_input_electro_hydro!F$70),0)</f>
        <v>114.38028791833149</v>
      </c>
      <c r="I19" s="449">
        <f>IFERROR(H19*(scen_input_electro_hydro!H$70/scen_input_electro_hydro!G$70),0)</f>
        <v>124.32740171340308</v>
      </c>
      <c r="J19" s="449">
        <f>IFERROR(I19*(scen_input_electro_hydro!I$70/scen_input_electro_hydro!H$70),0)</f>
        <v>121.39042135049129</v>
      </c>
      <c r="K19" s="449">
        <f>IFERROR(J19*(scen_input_electro_hydro!J$70/scen_input_electro_hydro!I$70),0)</f>
        <v>114.18043055094491</v>
      </c>
      <c r="L19" s="449">
        <f>IFERROR(K19*(scen_input_electro_hydro!K$70/scen_input_electro_hydro!J$70),0)</f>
        <v>111.30934669819293</v>
      </c>
    </row>
    <row r="20" spans="1:12" x14ac:dyDescent="0.25">
      <c r="A20" s="2" t="s">
        <v>616</v>
      </c>
      <c r="B20" s="2" t="s">
        <v>711</v>
      </c>
      <c r="C20" s="2" t="s">
        <v>297</v>
      </c>
      <c r="D20" s="2" t="s">
        <v>296</v>
      </c>
      <c r="E20" s="449">
        <f>[17]x2015fuel_CZ!C20</f>
        <v>0</v>
      </c>
      <c r="F20" s="449">
        <f>IFERROR(E20*(scen_input_electro_hydro!E$70/scen_input_electro_hydro!D$70),0)</f>
        <v>0</v>
      </c>
      <c r="G20" s="449">
        <f>IFERROR(F20*(scen_input_electro_hydro!F$70/scen_input_electro_hydro!E$70),0)</f>
        <v>0</v>
      </c>
      <c r="H20" s="449">
        <f>IFERROR(G20*(scen_input_electro_hydro!G$70/scen_input_electro_hydro!F$70),0)</f>
        <v>0</v>
      </c>
      <c r="I20" s="449">
        <f>IFERROR(H20*(scen_input_electro_hydro!H$70/scen_input_electro_hydro!G$70),0)</f>
        <v>0</v>
      </c>
      <c r="J20" s="449">
        <f>IFERROR(I20*(scen_input_electro_hydro!I$70/scen_input_electro_hydro!H$70),0)</f>
        <v>0</v>
      </c>
      <c r="K20" s="449">
        <f>IFERROR(J20*(scen_input_electro_hydro!J$70/scen_input_electro_hydro!I$70),0)</f>
        <v>0</v>
      </c>
      <c r="L20" s="449">
        <f>IFERROR(K20*(scen_input_electro_hydro!K$70/scen_input_electro_hydro!J$70),0)</f>
        <v>0</v>
      </c>
    </row>
  </sheetData>
  <pageMargins left="0.7" right="0.7" top="0.78740157499999996" bottom="0.78740157499999996"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
  <sheetViews>
    <sheetView zoomScale="75" zoomScaleNormal="75" workbookViewId="0">
      <pane xSplit="4" ySplit="1" topLeftCell="E2" activePane="bottomRight" state="frozen"/>
      <selection activeCell="D2" sqref="D2"/>
      <selection pane="topRight" activeCell="D2" sqref="D2"/>
      <selection pane="bottomLeft" activeCell="D2" sqref="D2"/>
      <selection pane="bottomRight" activeCell="E2" sqref="E2"/>
    </sheetView>
  </sheetViews>
  <sheetFormatPr defaultColWidth="9" defaultRowHeight="15" x14ac:dyDescent="0.25"/>
  <cols>
    <col min="1" max="1" width="11.75" bestFit="1" customWidth="1"/>
    <col min="2" max="2" width="48.625" customWidth="1"/>
    <col min="3" max="3" width="48.625" bestFit="1" customWidth="1"/>
    <col min="4" max="4" width="12.25" bestFit="1" customWidth="1"/>
    <col min="5" max="12" width="10.25" style="2" customWidth="1"/>
  </cols>
  <sheetData>
    <row r="1" spans="1:12" x14ac:dyDescent="0.25">
      <c r="A1" s="88" t="s">
        <v>586</v>
      </c>
      <c r="B1" s="88" t="s">
        <v>710</v>
      </c>
      <c r="C1" s="88" t="s">
        <v>0</v>
      </c>
      <c r="D1" s="88" t="s">
        <v>1</v>
      </c>
      <c r="E1" s="44" t="s">
        <v>688</v>
      </c>
      <c r="F1" s="44" t="s">
        <v>689</v>
      </c>
      <c r="G1" s="44" t="s">
        <v>690</v>
      </c>
      <c r="H1" s="44" t="s">
        <v>691</v>
      </c>
      <c r="I1" s="44" t="s">
        <v>692</v>
      </c>
      <c r="J1" s="44" t="s">
        <v>693</v>
      </c>
      <c r="K1" s="44" t="s">
        <v>694</v>
      </c>
      <c r="L1" s="44" t="s">
        <v>695</v>
      </c>
    </row>
    <row r="2" spans="1:12" x14ac:dyDescent="0.25">
      <c r="A2" s="2" t="s">
        <v>616</v>
      </c>
      <c r="B2" s="2" t="s">
        <v>711</v>
      </c>
      <c r="C2" s="2" t="s">
        <v>712</v>
      </c>
      <c r="D2" s="2" t="s">
        <v>54</v>
      </c>
      <c r="E2" s="449">
        <f>[17]x2015fuel_CZ!C2</f>
        <v>0</v>
      </c>
      <c r="F2" s="449">
        <f>IFERROR(E2*(scen_input_ccs!E$70/scen_input_ccs!D$70),0)</f>
        <v>0</v>
      </c>
      <c r="G2" s="449">
        <f>IFERROR(F2*(scen_input_ccs!F$70/scen_input_ccs!E$70),0)</f>
        <v>0</v>
      </c>
      <c r="H2" s="449">
        <f>IFERROR(G2*(scen_input_ccs!G$70/scen_input_ccs!F$70),0)</f>
        <v>0</v>
      </c>
      <c r="I2" s="449">
        <f>IFERROR(H2*(scen_input_ccs!H$70/scen_input_ccs!G$70),0)</f>
        <v>0</v>
      </c>
      <c r="J2" s="449">
        <f>IFERROR(I2*(scen_input_ccs!I$70/scen_input_ccs!H$70),0)</f>
        <v>0</v>
      </c>
      <c r="K2" s="449">
        <f>IFERROR(J2*(scen_input_ccs!J$70/scen_input_ccs!I$70),0)</f>
        <v>0</v>
      </c>
      <c r="L2" s="449">
        <f>IFERROR(K2*(scen_input_ccs!K$70/scen_input_ccs!J$70),0)</f>
        <v>0</v>
      </c>
    </row>
    <row r="3" spans="1:12" x14ac:dyDescent="0.25">
      <c r="A3" s="2" t="s">
        <v>616</v>
      </c>
      <c r="B3" s="113" t="s">
        <v>636</v>
      </c>
      <c r="C3" s="113" t="s">
        <v>713</v>
      </c>
      <c r="D3" s="113" t="s">
        <v>60</v>
      </c>
      <c r="E3" s="449">
        <f>[17]x2015fuel_CZ!C3</f>
        <v>2459.3578090000001</v>
      </c>
      <c r="F3" s="449">
        <f>IFERROR(E3*(scen_input_ccs!E$66/scen_input_ccs!D$66),0)</f>
        <v>2057.031511945439</v>
      </c>
      <c r="G3" s="449">
        <f>IFERROR(F3*(scen_input_ccs!F$66/scen_input_ccs!E$66),0)</f>
        <v>1609.738337805858</v>
      </c>
      <c r="H3" s="449">
        <f>IFERROR(G3*(scen_input_ccs!G$66/scen_input_ccs!F$66),0)</f>
        <v>707.76624570623994</v>
      </c>
      <c r="I3" s="449">
        <f>IFERROR(H3*(scen_input_ccs!H$66/scen_input_ccs!G$66),0)</f>
        <v>28.43899455217402</v>
      </c>
      <c r="J3" s="449">
        <f>IFERROR(I3*(scen_input_ccs!I$66/scen_input_ccs!H$66),0)</f>
        <v>0</v>
      </c>
      <c r="K3" s="449">
        <f>IFERROR(J3*(scen_input_ccs!J$66/scen_input_ccs!I$66),0)</f>
        <v>0</v>
      </c>
      <c r="L3" s="449">
        <f>IFERROR(K3*(scen_input_ccs!K$66/scen_input_ccs!J$66),0)</f>
        <v>0</v>
      </c>
    </row>
    <row r="4" spans="1:12" x14ac:dyDescent="0.25">
      <c r="A4" s="2" t="s">
        <v>616</v>
      </c>
      <c r="B4" s="113" t="s">
        <v>636</v>
      </c>
      <c r="C4" s="2" t="s">
        <v>714</v>
      </c>
      <c r="D4" s="2" t="s">
        <v>132</v>
      </c>
      <c r="E4" s="449">
        <f>[17]x2015fuel_CZ!C4</f>
        <v>397.54854660000001</v>
      </c>
      <c r="F4" s="449">
        <f>IFERROR(E4*(scen_input_ccs!E$66/scen_input_ccs!D$66),0)</f>
        <v>332.51358744615669</v>
      </c>
      <c r="G4" s="449">
        <f>IFERROR(F4*(scen_input_ccs!F$66/scen_input_ccs!E$66),0)</f>
        <v>260.20985407618605</v>
      </c>
      <c r="H4" s="449">
        <f>IFERROR(G4*(scen_input_ccs!G$66/scen_input_ccs!F$66),0)</f>
        <v>114.40850179806193</v>
      </c>
      <c r="I4" s="449">
        <f>IFERROR(H4*(scen_input_ccs!H$66/scen_input_ccs!G$66),0)</f>
        <v>4.5970866498596985</v>
      </c>
      <c r="J4" s="449">
        <f>IFERROR(I4*(scen_input_ccs!I$66/scen_input_ccs!H$66),0)</f>
        <v>0</v>
      </c>
      <c r="K4" s="449">
        <f>IFERROR(J4*(scen_input_ccs!J$66/scen_input_ccs!I$66),0)</f>
        <v>0</v>
      </c>
      <c r="L4" s="449">
        <f>IFERROR(K4*(scen_input_ccs!K$66/scen_input_ccs!J$66),0)</f>
        <v>0</v>
      </c>
    </row>
    <row r="5" spans="1:12" x14ac:dyDescent="0.25">
      <c r="A5" s="2" t="s">
        <v>616</v>
      </c>
      <c r="B5" s="113" t="s">
        <v>715</v>
      </c>
      <c r="C5" s="2" t="s">
        <v>716</v>
      </c>
      <c r="D5" s="2" t="s">
        <v>134</v>
      </c>
      <c r="E5" s="449">
        <f>[17]x2015fuel_CZ!C5</f>
        <v>2209.150603</v>
      </c>
      <c r="F5" s="449">
        <f>IFERROR(E5*(scen_input_ccs!E$67/scen_input_ccs!D$67),0)</f>
        <v>2006.9050038412131</v>
      </c>
      <c r="G5" s="449">
        <f>IFERROR(F5*(scen_input_ccs!F$67/scen_input_ccs!E$67),0)</f>
        <v>2062.901115380143</v>
      </c>
      <c r="H5" s="449">
        <f>IFERROR(G5*(scen_input_ccs!G$67/scen_input_ccs!F$67),0)</f>
        <v>1851.2135965591031</v>
      </c>
      <c r="I5" s="449">
        <f>IFERROR(H5*(scen_input_ccs!H$67/scen_input_ccs!G$67),0)</f>
        <v>1753.5782500137996</v>
      </c>
      <c r="J5" s="449">
        <f>IFERROR(I5*(scen_input_ccs!I$67/scen_input_ccs!H$67),0)</f>
        <v>1678.1291956463735</v>
      </c>
      <c r="K5" s="449">
        <f>IFERROR(J5*(scen_input_ccs!J$67/scen_input_ccs!I$67),0)</f>
        <v>1588.9337521874402</v>
      </c>
      <c r="L5" s="449">
        <f>IFERROR(K5*(scen_input_ccs!K$67/scen_input_ccs!J$67),0)</f>
        <v>1528.1368773802205</v>
      </c>
    </row>
    <row r="6" spans="1:12" x14ac:dyDescent="0.25">
      <c r="A6" s="2" t="s">
        <v>616</v>
      </c>
      <c r="B6" s="2" t="s">
        <v>711</v>
      </c>
      <c r="C6" s="2" t="s">
        <v>147</v>
      </c>
      <c r="D6" s="2" t="s">
        <v>146</v>
      </c>
      <c r="E6" s="114">
        <f>[17]x2015fuel_CZ!C6*[18]shares_i24.d!$F$3</f>
        <v>28.411191903717292</v>
      </c>
      <c r="F6" s="449">
        <f>IFERROR(E6*(scen_input_ccs!E$70/scen_input_ccs!D$70),0)</f>
        <v>33.338877158193554</v>
      </c>
      <c r="G6" s="449">
        <f>IFERROR(F6*(scen_input_ccs!F$70/scen_input_ccs!E$70),0)</f>
        <v>35.020889752477729</v>
      </c>
      <c r="H6" s="449">
        <f>IFERROR(G6*(scen_input_ccs!G$70/scen_input_ccs!F$70),0)</f>
        <v>35.100716438944737</v>
      </c>
      <c r="I6" s="449">
        <f>IFERROR(H6*(scen_input_ccs!H$70/scen_input_ccs!G$70),0)</f>
        <v>38.153260081394912</v>
      </c>
      <c r="J6" s="449">
        <f>IFERROR(I6*(scen_input_ccs!I$70/scen_input_ccs!H$70),0)</f>
        <v>37.251967413038258</v>
      </c>
      <c r="K6" s="449">
        <f>IFERROR(J6*(scen_input_ccs!J$70/scen_input_ccs!I$70),0)</f>
        <v>35.039384745271441</v>
      </c>
      <c r="L6" s="449">
        <f>IFERROR(K6*(scen_input_ccs!K$70/scen_input_ccs!J$70),0)</f>
        <v>34.158314221477724</v>
      </c>
    </row>
    <row r="7" spans="1:12" x14ac:dyDescent="0.25">
      <c r="A7" s="2" t="s">
        <v>616</v>
      </c>
      <c r="B7" s="113" t="s">
        <v>717</v>
      </c>
      <c r="C7" s="2" t="s">
        <v>718</v>
      </c>
      <c r="D7" s="2" t="s">
        <v>216</v>
      </c>
      <c r="E7" s="449">
        <f>[17]x2015fuel_CZ!C7</f>
        <v>1519.823247</v>
      </c>
      <c r="F7" s="114">
        <f>IFERROR([18]shares_i40.2!$F$2*E7*(scen_input_ccs!E$68/scen_input_ccs!D$68)+[18]shares_i40.2!$F$3*E7*(scen_input_ccs!E$70/scen_input_ccs!D$70),0)</f>
        <v>1535.1523288451115</v>
      </c>
      <c r="G7" s="114">
        <f>IFERROR([18]shares_i40.2!$F$2*F7*(scen_input_ccs!F$68/scen_input_ccs!E$68)+[18]shares_i40.2!$F$3*F7*(scen_input_ccs!F$70/scen_input_ccs!E$70),0)</f>
        <v>1612.9184985895783</v>
      </c>
      <c r="H7" s="114">
        <f>IFERROR([18]shares_i40.2!$F$2*G7*(scen_input_ccs!G$68/scen_input_ccs!F$68)+[18]shares_i40.2!$F$3*G7*(scen_input_ccs!G$70/scen_input_ccs!F$70),0)</f>
        <v>1434.4167161598648</v>
      </c>
      <c r="I7" s="114">
        <f>IFERROR([18]shares_i40.2!$F$2*H7*(scen_input_ccs!H$68/scen_input_ccs!G$68)+[18]shares_i40.2!$F$3*H7*(scen_input_ccs!H$70/scen_input_ccs!G$70),0)</f>
        <v>1433.2752949948726</v>
      </c>
      <c r="J7" s="114">
        <f>IFERROR([18]shares_i40.2!$F$2*I7*(scen_input_ccs!I$68/scen_input_ccs!H$68)+[18]shares_i40.2!$F$3*I7*(scen_input_ccs!I$70/scen_input_ccs!H$70),0)</f>
        <v>1408.1499398516783</v>
      </c>
      <c r="K7" s="114">
        <f>IFERROR([18]shares_i40.2!$F$2*J7*(scen_input_ccs!J$68/scen_input_ccs!I$68)+[18]shares_i40.2!$F$3*J7*(scen_input_ccs!J$70/scen_input_ccs!I$70),0)</f>
        <v>1405.0417461100701</v>
      </c>
      <c r="L7" s="114">
        <f>IFERROR([18]shares_i40.2!$F$2*K7*(scen_input_ccs!K$68/scen_input_ccs!J$68)+[18]shares_i40.2!$F$3*K7*(scen_input_ccs!K$70/scen_input_ccs!J$70),0)</f>
        <v>1393.3995217461957</v>
      </c>
    </row>
    <row r="8" spans="1:12" x14ac:dyDescent="0.25">
      <c r="A8" s="2" t="s">
        <v>616</v>
      </c>
      <c r="B8" s="113" t="s">
        <v>719</v>
      </c>
      <c r="C8" s="2" t="s">
        <v>720</v>
      </c>
      <c r="D8" s="2" t="s">
        <v>218</v>
      </c>
      <c r="E8" s="449">
        <f>[17]x2015fuel_CZ!C8</f>
        <v>610.25160589999996</v>
      </c>
      <c r="F8" s="449">
        <f>IFERROR(E8*(scen_input_ccs!E$69/scen_input_ccs!D$69),0)</f>
        <v>572.26009420433104</v>
      </c>
      <c r="G8" s="449">
        <f>IFERROR(F8*(scen_input_ccs!F$69/scen_input_ccs!E$69),0)</f>
        <v>684.59079511104528</v>
      </c>
      <c r="H8" s="449">
        <f>IFERROR(G8*(scen_input_ccs!G$69/scen_input_ccs!F$69),0)</f>
        <v>664.31601278427411</v>
      </c>
      <c r="I8" s="449">
        <f>IFERROR(H8*(scen_input_ccs!H$69/scen_input_ccs!G$69),0)</f>
        <v>672.32340421532786</v>
      </c>
      <c r="J8" s="449">
        <f>IFERROR(I8*(scen_input_ccs!I$69/scen_input_ccs!H$69),0)</f>
        <v>671.31328263713897</v>
      </c>
      <c r="K8" s="449">
        <f>IFERROR(J8*(scen_input_ccs!J$69/scen_input_ccs!I$69),0)</f>
        <v>641.84371013363443</v>
      </c>
      <c r="L8" s="449">
        <f>IFERROR(K8*(scen_input_ccs!K$69/scen_input_ccs!J$69),0)</f>
        <v>637.60236268739743</v>
      </c>
    </row>
    <row r="9" spans="1:12" x14ac:dyDescent="0.25">
      <c r="A9" s="2" t="s">
        <v>616</v>
      </c>
      <c r="B9" s="2" t="s">
        <v>711</v>
      </c>
      <c r="C9" s="2" t="s">
        <v>721</v>
      </c>
      <c r="D9" s="2" t="s">
        <v>274</v>
      </c>
      <c r="E9" s="449">
        <f>[17]x2015fuel_CZ!C9</f>
        <v>87.609030309999994</v>
      </c>
      <c r="F9" s="449">
        <f>IFERROR(E9*(scen_input_ccs!E$70/scen_input_ccs!D$70),0)</f>
        <v>102.80408894325171</v>
      </c>
      <c r="G9" s="449">
        <f>IFERROR(F9*(scen_input_ccs!F$70/scen_input_ccs!E$70),0)</f>
        <v>107.9907594938513</v>
      </c>
      <c r="H9" s="449">
        <f>IFERROR(G9*(scen_input_ccs!G$70/scen_input_ccs!F$70),0)</f>
        <v>108.23691384802044</v>
      </c>
      <c r="I9" s="449">
        <f>IFERROR(H9*(scen_input_ccs!H$70/scen_input_ccs!G$70),0)</f>
        <v>117.64976739532355</v>
      </c>
      <c r="J9" s="449">
        <f>IFERROR(I9*(scen_input_ccs!I$70/scen_input_ccs!H$70),0)</f>
        <v>114.87053247382391</v>
      </c>
      <c r="K9" s="449">
        <f>IFERROR(J9*(scen_input_ccs!J$70/scen_input_ccs!I$70),0)</f>
        <v>108.04779083522334</v>
      </c>
      <c r="L9" s="449">
        <f>IFERROR(K9*(scen_input_ccs!K$70/scen_input_ccs!J$70),0)</f>
        <v>105.33091311724939</v>
      </c>
    </row>
    <row r="10" spans="1:12" x14ac:dyDescent="0.25">
      <c r="A10" s="2" t="s">
        <v>616</v>
      </c>
      <c r="B10" s="2" t="s">
        <v>711</v>
      </c>
      <c r="C10" s="2" t="s">
        <v>722</v>
      </c>
      <c r="D10" s="2" t="s">
        <v>276</v>
      </c>
      <c r="E10" s="449">
        <f>[17]x2015fuel_CZ!C10</f>
        <v>90.707964079999996</v>
      </c>
      <c r="F10" s="449">
        <f>IFERROR(E10*(scen_input_ccs!E$70/scen_input_ccs!D$70),0)</f>
        <v>106.44050703614735</v>
      </c>
      <c r="G10" s="449">
        <f>IFERROR(F10*(scen_input_ccs!F$70/scen_input_ccs!E$70),0)</f>
        <v>111.81064210480226</v>
      </c>
      <c r="H10" s="449">
        <f>IFERROR(G10*(scen_input_ccs!G$70/scen_input_ccs!F$70),0)</f>
        <v>112.06550350706983</v>
      </c>
      <c r="I10" s="449">
        <f>IFERROR(H10*(scen_input_ccs!H$70/scen_input_ccs!G$70),0)</f>
        <v>121.81131142707387</v>
      </c>
      <c r="J10" s="449">
        <f>IFERROR(I10*(scen_input_ccs!I$70/scen_input_ccs!H$70),0)</f>
        <v>118.93376854665125</v>
      </c>
      <c r="K10" s="449">
        <f>IFERROR(J10*(scen_input_ccs!J$70/scen_input_ccs!I$70),0)</f>
        <v>111.86969077645522</v>
      </c>
      <c r="L10" s="449">
        <f>IFERROR(K10*(scen_input_ccs!K$70/scen_input_ccs!J$70),0)</f>
        <v>109.05671081788577</v>
      </c>
    </row>
    <row r="11" spans="1:12" x14ac:dyDescent="0.25">
      <c r="A11" s="2" t="s">
        <v>616</v>
      </c>
      <c r="B11" s="2" t="s">
        <v>711</v>
      </c>
      <c r="C11" s="2" t="s">
        <v>723</v>
      </c>
      <c r="D11" s="2" t="s">
        <v>278</v>
      </c>
      <c r="E11" s="449">
        <f>[17]x2015fuel_CZ!C11</f>
        <v>38.917766090000001</v>
      </c>
      <c r="F11" s="449">
        <f>IFERROR(E11*(scen_input_ccs!E$70/scen_input_ccs!D$70),0)</f>
        <v>45.667729370271879</v>
      </c>
      <c r="G11" s="449">
        <f>IFERROR(F11*(scen_input_ccs!F$70/scen_input_ccs!E$70),0)</f>
        <v>47.971757055087906</v>
      </c>
      <c r="H11" s="449">
        <f>IFERROR(G11*(scen_input_ccs!G$70/scen_input_ccs!F$70),0)</f>
        <v>48.081103974505822</v>
      </c>
      <c r="I11" s="449">
        <f>IFERROR(H11*(scen_input_ccs!H$70/scen_input_ccs!G$70),0)</f>
        <v>52.262490656873382</v>
      </c>
      <c r="J11" s="449">
        <f>IFERROR(I11*(scen_input_ccs!I$70/scen_input_ccs!H$70),0)</f>
        <v>51.027896298262654</v>
      </c>
      <c r="K11" s="449">
        <f>IFERROR(J11*(scen_input_ccs!J$70/scen_input_ccs!I$70),0)</f>
        <v>47.997091571352527</v>
      </c>
      <c r="L11" s="449">
        <f>IFERROR(K11*(scen_input_ccs!K$70/scen_input_ccs!J$70),0)</f>
        <v>46.790197588516442</v>
      </c>
    </row>
    <row r="12" spans="1:12" x14ac:dyDescent="0.25">
      <c r="A12" s="2" t="s">
        <v>616</v>
      </c>
      <c r="B12" s="2" t="s">
        <v>711</v>
      </c>
      <c r="C12" s="2" t="s">
        <v>724</v>
      </c>
      <c r="D12" s="2" t="s">
        <v>280</v>
      </c>
      <c r="E12" s="449">
        <f>[17]x2015fuel_CZ!C12</f>
        <v>93.98397971</v>
      </c>
      <c r="F12" s="449">
        <f>IFERROR(E12*(scen_input_ccs!E$70/scen_input_ccs!D$70),0)</f>
        <v>110.28472036683139</v>
      </c>
      <c r="G12" s="449">
        <f>IFERROR(F12*(scen_input_ccs!F$70/scen_input_ccs!E$70),0)</f>
        <v>115.84880363616037</v>
      </c>
      <c r="H12" s="449">
        <f>IFERROR(G12*(scen_input_ccs!G$70/scen_input_ccs!F$70),0)</f>
        <v>116.11286963193615</v>
      </c>
      <c r="I12" s="449">
        <f>IFERROR(H12*(scen_input_ccs!H$70/scen_input_ccs!G$70),0)</f>
        <v>126.21065788130524</v>
      </c>
      <c r="J12" s="449">
        <f>IFERROR(I12*(scen_input_ccs!I$70/scen_input_ccs!H$70),0)</f>
        <v>123.22918944651843</v>
      </c>
      <c r="K12" s="449">
        <f>IFERROR(J12*(scen_input_ccs!J$70/scen_input_ccs!I$70),0)</f>
        <v>115.90998491406492</v>
      </c>
      <c r="L12" s="449">
        <f>IFERROR(K12*(scen_input_ccs!K$70/scen_input_ccs!J$70),0)</f>
        <v>112.99541116045646</v>
      </c>
    </row>
    <row r="13" spans="1:12" x14ac:dyDescent="0.25">
      <c r="A13" s="2" t="s">
        <v>616</v>
      </c>
      <c r="B13" s="2" t="s">
        <v>711</v>
      </c>
      <c r="C13" s="2" t="s">
        <v>725</v>
      </c>
      <c r="D13" s="2" t="s">
        <v>282</v>
      </c>
      <c r="E13" s="449">
        <f>[17]x2015fuel_CZ!C13</f>
        <v>20.42211154</v>
      </c>
      <c r="F13" s="449">
        <f>IFERROR(E13*(scen_input_ccs!E$70/scen_input_ccs!D$70),0)</f>
        <v>23.964157162090238</v>
      </c>
      <c r="G13" s="449">
        <f>IFERROR(F13*(scen_input_ccs!F$70/scen_input_ccs!E$70),0)</f>
        <v>25.173196505760359</v>
      </c>
      <c r="H13" s="449">
        <f>IFERROR(G13*(scen_input_ccs!G$70/scen_input_ccs!F$70),0)</f>
        <v>25.230576340454466</v>
      </c>
      <c r="I13" s="449">
        <f>IFERROR(H13*(scen_input_ccs!H$70/scen_input_ccs!G$70),0)</f>
        <v>27.424760483031001</v>
      </c>
      <c r="J13" s="449">
        <f>IFERROR(I13*(scen_input_ccs!I$70/scen_input_ccs!H$70),0)</f>
        <v>26.776906656069396</v>
      </c>
      <c r="K13" s="449">
        <f>IFERROR(J13*(scen_input_ccs!J$70/scen_input_ccs!I$70),0)</f>
        <v>25.186490802143442</v>
      </c>
      <c r="L13" s="449">
        <f>IFERROR(K13*(scen_input_ccs!K$70/scen_input_ccs!J$70),0)</f>
        <v>24.553172757180771</v>
      </c>
    </row>
    <row r="14" spans="1:12" x14ac:dyDescent="0.25">
      <c r="A14" s="2" t="s">
        <v>616</v>
      </c>
      <c r="B14" s="2" t="s">
        <v>711</v>
      </c>
      <c r="C14" s="2" t="s">
        <v>726</v>
      </c>
      <c r="D14" s="2" t="s">
        <v>284</v>
      </c>
      <c r="E14" s="449">
        <f>[17]x2015fuel_CZ!C14</f>
        <v>26.286215290000001</v>
      </c>
      <c r="F14" s="449">
        <f>IFERROR(E14*(scen_input_ccs!E$70/scen_input_ccs!D$70),0)</f>
        <v>30.845341000722961</v>
      </c>
      <c r="G14" s="449">
        <f>IFERROR(F14*(scen_input_ccs!F$70/scen_input_ccs!E$70),0)</f>
        <v>32.401549741408012</v>
      </c>
      <c r="H14" s="449">
        <f>IFERROR(G14*(scen_input_ccs!G$70/scen_input_ccs!F$70),0)</f>
        <v>32.475405898990914</v>
      </c>
      <c r="I14" s="449">
        <f>IFERROR(H14*(scen_input_ccs!H$70/scen_input_ccs!G$70),0)</f>
        <v>35.299638674563681</v>
      </c>
      <c r="J14" s="449">
        <f>IFERROR(I14*(scen_input_ccs!I$70/scen_input_ccs!H$70),0)</f>
        <v>34.465756970479951</v>
      </c>
      <c r="K14" s="449">
        <f>IFERROR(J14*(scen_input_ccs!J$70/scen_input_ccs!I$70),0)</f>
        <v>32.418661426268329</v>
      </c>
      <c r="L14" s="449">
        <f>IFERROR(K14*(scen_input_ccs!K$70/scen_input_ccs!J$70),0)</f>
        <v>31.603489378837104</v>
      </c>
    </row>
    <row r="15" spans="1:12" x14ac:dyDescent="0.25">
      <c r="A15" s="2" t="s">
        <v>616</v>
      </c>
      <c r="B15" s="2" t="s">
        <v>711</v>
      </c>
      <c r="C15" s="2" t="s">
        <v>727</v>
      </c>
      <c r="D15" s="2" t="s">
        <v>286</v>
      </c>
      <c r="E15" s="449">
        <f>[17]x2015fuel_CZ!C15</f>
        <v>125.8717551</v>
      </c>
      <c r="F15" s="449">
        <f>IFERROR(E15*(scen_input_ccs!E$70/scen_input_ccs!D$70),0)</f>
        <v>147.70316554076237</v>
      </c>
      <c r="G15" s="449">
        <f>IFERROR(F15*(scen_input_ccs!F$70/scen_input_ccs!E$70),0)</f>
        <v>155.15508371654127</v>
      </c>
      <c r="H15" s="449">
        <f>IFERROR(G15*(scen_input_ccs!G$70/scen_input_ccs!F$70),0)</f>
        <v>155.50874452610785</v>
      </c>
      <c r="I15" s="449">
        <f>IFERROR(H15*(scen_input_ccs!H$70/scen_input_ccs!G$70),0)</f>
        <v>169.03260607674832</v>
      </c>
      <c r="J15" s="449">
        <f>IFERROR(I15*(scen_input_ccs!I$70/scen_input_ccs!H$70),0)</f>
        <v>165.03955677387938</v>
      </c>
      <c r="K15" s="449">
        <f>IFERROR(J15*(scen_input_ccs!J$70/scen_input_ccs!I$70),0)</f>
        <v>155.23702315827242</v>
      </c>
      <c r="L15" s="449">
        <f>IFERROR(K15*(scen_input_ccs!K$70/scen_input_ccs!J$70),0)</f>
        <v>151.33356519802115</v>
      </c>
    </row>
    <row r="16" spans="1:12" x14ac:dyDescent="0.25">
      <c r="A16" s="2" t="s">
        <v>616</v>
      </c>
      <c r="B16" s="2" t="s">
        <v>711</v>
      </c>
      <c r="C16" s="2" t="s">
        <v>289</v>
      </c>
      <c r="D16" s="2" t="s">
        <v>288</v>
      </c>
      <c r="E16" s="449">
        <f>[17]x2015fuel_CZ!C16</f>
        <v>0</v>
      </c>
      <c r="F16" s="449">
        <f>IFERROR(E16*(scen_input_ccs!E$70/scen_input_ccs!D$70),0)</f>
        <v>0</v>
      </c>
      <c r="G16" s="449">
        <f>IFERROR(F16*(scen_input_ccs!F$70/scen_input_ccs!E$70),0)</f>
        <v>0</v>
      </c>
      <c r="H16" s="449">
        <f>IFERROR(G16*(scen_input_ccs!G$70/scen_input_ccs!F$70),0)</f>
        <v>0</v>
      </c>
      <c r="I16" s="449">
        <f>IFERROR(H16*(scen_input_ccs!H$70/scen_input_ccs!G$70),0)</f>
        <v>0</v>
      </c>
      <c r="J16" s="449">
        <f>IFERROR(I16*(scen_input_ccs!I$70/scen_input_ccs!H$70),0)</f>
        <v>0</v>
      </c>
      <c r="K16" s="449">
        <f>IFERROR(J16*(scen_input_ccs!J$70/scen_input_ccs!I$70),0)</f>
        <v>0</v>
      </c>
      <c r="L16" s="449">
        <f>IFERROR(K16*(scen_input_ccs!K$70/scen_input_ccs!J$70),0)</f>
        <v>0</v>
      </c>
    </row>
    <row r="17" spans="1:12" x14ac:dyDescent="0.25">
      <c r="A17" s="2" t="s">
        <v>616</v>
      </c>
      <c r="B17" s="2" t="s">
        <v>711</v>
      </c>
      <c r="C17" s="2" t="s">
        <v>291</v>
      </c>
      <c r="D17" s="2" t="s">
        <v>290</v>
      </c>
      <c r="E17" s="449">
        <f>[17]x2015fuel_CZ!C17</f>
        <v>0</v>
      </c>
      <c r="F17" s="449">
        <f>IFERROR(E17*(scen_input_ccs!E$70/scen_input_ccs!D$70),0)</f>
        <v>0</v>
      </c>
      <c r="G17" s="449">
        <f>IFERROR(F17*(scen_input_ccs!F$70/scen_input_ccs!E$70),0)</f>
        <v>0</v>
      </c>
      <c r="H17" s="449">
        <f>IFERROR(G17*(scen_input_ccs!G$70/scen_input_ccs!F$70),0)</f>
        <v>0</v>
      </c>
      <c r="I17" s="449">
        <f>IFERROR(H17*(scen_input_ccs!H$70/scen_input_ccs!G$70),0)</f>
        <v>0</v>
      </c>
      <c r="J17" s="449">
        <f>IFERROR(I17*(scen_input_ccs!I$70/scen_input_ccs!H$70),0)</f>
        <v>0</v>
      </c>
      <c r="K17" s="449">
        <f>IFERROR(J17*(scen_input_ccs!J$70/scen_input_ccs!I$70),0)</f>
        <v>0</v>
      </c>
      <c r="L17" s="449">
        <f>IFERROR(K17*(scen_input_ccs!K$70/scen_input_ccs!J$70),0)</f>
        <v>0</v>
      </c>
    </row>
    <row r="18" spans="1:12" x14ac:dyDescent="0.25">
      <c r="A18" s="2" t="s">
        <v>616</v>
      </c>
      <c r="B18" s="2" t="s">
        <v>711</v>
      </c>
      <c r="C18" s="2" t="s">
        <v>293</v>
      </c>
      <c r="D18" s="2" t="s">
        <v>292</v>
      </c>
      <c r="E18" s="449">
        <f>[17]x2015fuel_CZ!C18</f>
        <v>530.48695459999999</v>
      </c>
      <c r="F18" s="449">
        <f>IFERROR(E18*(scen_input_ccs!E$70/scen_input_ccs!D$70),0)</f>
        <v>622.49551069061636</v>
      </c>
      <c r="G18" s="449">
        <f>IFERROR(F18*(scen_input_ccs!F$70/scen_input_ccs!E$70),0)</f>
        <v>653.90164605320604</v>
      </c>
      <c r="H18" s="449">
        <f>IFERROR(G18*(scen_input_ccs!G$70/scen_input_ccs!F$70),0)</f>
        <v>655.39215077906204</v>
      </c>
      <c r="I18" s="449">
        <f>IFERROR(H18*(scen_input_ccs!H$70/scen_input_ccs!G$70),0)</f>
        <v>712.38851285196438</v>
      </c>
      <c r="J18" s="449">
        <f>IFERROR(I18*(scen_input_ccs!I$70/scen_input_ccs!H$70),0)</f>
        <v>695.55979252019711</v>
      </c>
      <c r="K18" s="449">
        <f>IFERROR(J18*(scen_input_ccs!J$70/scen_input_ccs!I$70),0)</f>
        <v>654.24698011858891</v>
      </c>
      <c r="L18" s="449">
        <f>IFERROR(K18*(scen_input_ccs!K$70/scen_input_ccs!J$70),0)</f>
        <v>637.79584281540519</v>
      </c>
    </row>
    <row r="19" spans="1:12" x14ac:dyDescent="0.25">
      <c r="A19" s="2" t="s">
        <v>616</v>
      </c>
      <c r="B19" s="2" t="s">
        <v>711</v>
      </c>
      <c r="C19" s="2" t="s">
        <v>295</v>
      </c>
      <c r="D19" s="2" t="s">
        <v>294</v>
      </c>
      <c r="E19" s="449">
        <f>[17]x2015fuel_CZ!C19</f>
        <v>92.581594899999999</v>
      </c>
      <c r="F19" s="449">
        <f>IFERROR(E19*(scen_input_ccs!E$70/scen_input_ccs!D$70),0)</f>
        <v>108.63910355963966</v>
      </c>
      <c r="G19" s="449">
        <f>IFERROR(F19*(scen_input_ccs!F$70/scen_input_ccs!E$70),0)</f>
        <v>114.12016219133828</v>
      </c>
      <c r="H19" s="449">
        <f>IFERROR(G19*(scen_input_ccs!G$70/scen_input_ccs!F$70),0)</f>
        <v>114.38028791833149</v>
      </c>
      <c r="I19" s="449">
        <f>IFERROR(H19*(scen_input_ccs!H$70/scen_input_ccs!G$70),0)</f>
        <v>124.32740171340308</v>
      </c>
      <c r="J19" s="449">
        <f>IFERROR(I19*(scen_input_ccs!I$70/scen_input_ccs!H$70),0)</f>
        <v>121.39042135049129</v>
      </c>
      <c r="K19" s="449">
        <f>IFERROR(J19*(scen_input_ccs!J$70/scen_input_ccs!I$70),0)</f>
        <v>114.18043055094491</v>
      </c>
      <c r="L19" s="449">
        <f>IFERROR(K19*(scen_input_ccs!K$70/scen_input_ccs!J$70),0)</f>
        <v>111.30934669819293</v>
      </c>
    </row>
    <row r="20" spans="1:12" x14ac:dyDescent="0.25">
      <c r="A20" s="2" t="s">
        <v>616</v>
      </c>
      <c r="B20" s="2" t="s">
        <v>711</v>
      </c>
      <c r="C20" s="2" t="s">
        <v>297</v>
      </c>
      <c r="D20" s="2" t="s">
        <v>296</v>
      </c>
      <c r="E20" s="449">
        <f>[17]x2015fuel_CZ!C20</f>
        <v>0</v>
      </c>
      <c r="F20" s="449">
        <f>IFERROR(E20*(scen_input_ccs!E$70/scen_input_ccs!D$70),0)</f>
        <v>0</v>
      </c>
      <c r="G20" s="449">
        <f>IFERROR(F20*(scen_input_ccs!F$70/scen_input_ccs!E$70),0)</f>
        <v>0</v>
      </c>
      <c r="H20" s="449">
        <f>IFERROR(G20*(scen_input_ccs!G$70/scen_input_ccs!F$70),0)</f>
        <v>0</v>
      </c>
      <c r="I20" s="449">
        <f>IFERROR(H20*(scen_input_ccs!H$70/scen_input_ccs!G$70),0)</f>
        <v>0</v>
      </c>
      <c r="J20" s="449">
        <f>IFERROR(I20*(scen_input_ccs!I$70/scen_input_ccs!H$70),0)</f>
        <v>0</v>
      </c>
      <c r="K20" s="449">
        <f>IFERROR(J20*(scen_input_ccs!J$70/scen_input_ccs!I$70),0)</f>
        <v>0</v>
      </c>
      <c r="L20" s="449">
        <f>IFERROR(K20*(scen_input_ccs!K$70/scen_input_ccs!J$70),0)</f>
        <v>0</v>
      </c>
    </row>
  </sheetData>
  <pageMargins left="0.7" right="0.7" top="0.78740157499999996" bottom="0.78740157499999996"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
  <sheetViews>
    <sheetView zoomScale="75" zoomScaleNormal="75" workbookViewId="0">
      <pane xSplit="4" ySplit="1" topLeftCell="E2" activePane="bottomRight" state="frozen"/>
      <selection activeCell="D2" sqref="D2"/>
      <selection pane="topRight" activeCell="D2" sqref="D2"/>
      <selection pane="bottomLeft" activeCell="D2" sqref="D2"/>
      <selection pane="bottomRight" activeCell="E2" sqref="E2"/>
    </sheetView>
  </sheetViews>
  <sheetFormatPr defaultColWidth="9" defaultRowHeight="15" x14ac:dyDescent="0.25"/>
  <cols>
    <col min="1" max="1" width="11.75" bestFit="1" customWidth="1"/>
    <col min="2" max="2" width="48.625" customWidth="1"/>
    <col min="3" max="3" width="48.625" bestFit="1" customWidth="1"/>
    <col min="4" max="4" width="12.25" bestFit="1" customWidth="1"/>
    <col min="5" max="12" width="10.25" style="2" customWidth="1"/>
  </cols>
  <sheetData>
    <row r="1" spans="1:12" x14ac:dyDescent="0.25">
      <c r="A1" s="88" t="s">
        <v>586</v>
      </c>
      <c r="B1" s="88" t="s">
        <v>710</v>
      </c>
      <c r="C1" s="88" t="s">
        <v>0</v>
      </c>
      <c r="D1" s="88" t="s">
        <v>1</v>
      </c>
      <c r="E1" s="44" t="s">
        <v>688</v>
      </c>
      <c r="F1" s="44" t="s">
        <v>689</v>
      </c>
      <c r="G1" s="44" t="s">
        <v>690</v>
      </c>
      <c r="H1" s="44" t="s">
        <v>691</v>
      </c>
      <c r="I1" s="44" t="s">
        <v>692</v>
      </c>
      <c r="J1" s="44" t="s">
        <v>693</v>
      </c>
      <c r="K1" s="44" t="s">
        <v>694</v>
      </c>
      <c r="L1" s="44" t="s">
        <v>695</v>
      </c>
    </row>
    <row r="2" spans="1:12" x14ac:dyDescent="0.25">
      <c r="A2" s="2" t="s">
        <v>616</v>
      </c>
      <c r="B2" s="2" t="s">
        <v>711</v>
      </c>
      <c r="C2" s="2" t="s">
        <v>712</v>
      </c>
      <c r="D2" s="2" t="s">
        <v>54</v>
      </c>
      <c r="E2" s="449">
        <f>[17]x2015fuel_CZ!C2</f>
        <v>0</v>
      </c>
      <c r="F2" s="449">
        <f>IFERROR(E2*(scen_input_circular!E$70/scen_input_circular!D$70),0)</f>
        <v>0</v>
      </c>
      <c r="G2" s="449">
        <f>IFERROR(F2*(scen_input_circular!F$70/scen_input_circular!E$70),0)</f>
        <v>0</v>
      </c>
      <c r="H2" s="449">
        <f>IFERROR(G2*(scen_input_circular!G$70/scen_input_circular!F$70),0)</f>
        <v>0</v>
      </c>
      <c r="I2" s="449">
        <f>IFERROR(H2*(scen_input_circular!H$70/scen_input_circular!G$70),0)</f>
        <v>0</v>
      </c>
      <c r="J2" s="449">
        <f>IFERROR(I2*(scen_input_circular!I$70/scen_input_circular!H$70),0)</f>
        <v>0</v>
      </c>
      <c r="K2" s="449">
        <f>IFERROR(J2*(scen_input_circular!J$70/scen_input_circular!I$70),0)</f>
        <v>0</v>
      </c>
      <c r="L2" s="449">
        <f>IFERROR(K2*(scen_input_circular!K$70/scen_input_circular!J$70),0)</f>
        <v>0</v>
      </c>
    </row>
    <row r="3" spans="1:12" x14ac:dyDescent="0.25">
      <c r="A3" s="2" t="s">
        <v>616</v>
      </c>
      <c r="B3" s="113" t="s">
        <v>636</v>
      </c>
      <c r="C3" s="113" t="s">
        <v>713</v>
      </c>
      <c r="D3" s="113" t="s">
        <v>60</v>
      </c>
      <c r="E3" s="449">
        <f>[17]x2015fuel_CZ!C3</f>
        <v>2459.3578090000001</v>
      </c>
      <c r="F3" s="449">
        <f>IFERROR(E3*(scen_input_circular!E$66/scen_input_circular!D$66),0)</f>
        <v>2057.031511945439</v>
      </c>
      <c r="G3" s="449">
        <f>IFERROR(F3*(scen_input_circular!F$66/scen_input_circular!E$66),0)</f>
        <v>1609.738337805858</v>
      </c>
      <c r="H3" s="449">
        <f>IFERROR(G3*(scen_input_circular!G$66/scen_input_circular!F$66),0)</f>
        <v>707.76624570623994</v>
      </c>
      <c r="I3" s="449">
        <f>IFERROR(H3*(scen_input_circular!H$66/scen_input_circular!G$66),0)</f>
        <v>28.43899455217402</v>
      </c>
      <c r="J3" s="449">
        <f>IFERROR(I3*(scen_input_circular!I$66/scen_input_circular!H$66),0)</f>
        <v>0</v>
      </c>
      <c r="K3" s="449">
        <f>IFERROR(J3*(scen_input_circular!J$66/scen_input_circular!I$66),0)</f>
        <v>0</v>
      </c>
      <c r="L3" s="449">
        <f>IFERROR(K3*(scen_input_circular!K$66/scen_input_circular!J$66),0)</f>
        <v>0</v>
      </c>
    </row>
    <row r="4" spans="1:12" x14ac:dyDescent="0.25">
      <c r="A4" s="2" t="s">
        <v>616</v>
      </c>
      <c r="B4" s="113" t="s">
        <v>636</v>
      </c>
      <c r="C4" s="2" t="s">
        <v>714</v>
      </c>
      <c r="D4" s="2" t="s">
        <v>132</v>
      </c>
      <c r="E4" s="449">
        <f>[17]x2015fuel_CZ!C4</f>
        <v>397.54854660000001</v>
      </c>
      <c r="F4" s="449">
        <f>IFERROR(E4*(scen_input_circular!E$66/scen_input_circular!D$66),0)</f>
        <v>332.51358744615669</v>
      </c>
      <c r="G4" s="449">
        <f>IFERROR(F4*(scen_input_circular!F$66/scen_input_circular!E$66),0)</f>
        <v>260.20985407618605</v>
      </c>
      <c r="H4" s="449">
        <f>IFERROR(G4*(scen_input_circular!G$66/scen_input_circular!F$66),0)</f>
        <v>114.40850179806193</v>
      </c>
      <c r="I4" s="449">
        <f>IFERROR(H4*(scen_input_circular!H$66/scen_input_circular!G$66),0)</f>
        <v>4.5970866498596985</v>
      </c>
      <c r="J4" s="449">
        <f>IFERROR(I4*(scen_input_circular!I$66/scen_input_circular!H$66),0)</f>
        <v>0</v>
      </c>
      <c r="K4" s="449">
        <f>IFERROR(J4*(scen_input_circular!J$66/scen_input_circular!I$66),0)</f>
        <v>0</v>
      </c>
      <c r="L4" s="449">
        <f>IFERROR(K4*(scen_input_circular!K$66/scen_input_circular!J$66),0)</f>
        <v>0</v>
      </c>
    </row>
    <row r="5" spans="1:12" x14ac:dyDescent="0.25">
      <c r="A5" s="2" t="s">
        <v>616</v>
      </c>
      <c r="B5" s="113" t="s">
        <v>715</v>
      </c>
      <c r="C5" s="2" t="s">
        <v>716</v>
      </c>
      <c r="D5" s="2" t="s">
        <v>134</v>
      </c>
      <c r="E5" s="449">
        <f>[17]x2015fuel_CZ!C5</f>
        <v>2209.150603</v>
      </c>
      <c r="F5" s="449">
        <f>IFERROR(E5*(scen_input_circular!E$67/scen_input_circular!D$67),0)</f>
        <v>2006.9050038412131</v>
      </c>
      <c r="G5" s="449">
        <f>IFERROR(F5*(scen_input_circular!F$67/scen_input_circular!E$67),0)</f>
        <v>2062.901115380143</v>
      </c>
      <c r="H5" s="449">
        <f>IFERROR(G5*(scen_input_circular!G$67/scen_input_circular!F$67),0)</f>
        <v>1851.2135965591031</v>
      </c>
      <c r="I5" s="449">
        <f>IFERROR(H5*(scen_input_circular!H$67/scen_input_circular!G$67),0)</f>
        <v>1753.5782500137996</v>
      </c>
      <c r="J5" s="449">
        <f>IFERROR(I5*(scen_input_circular!I$67/scen_input_circular!H$67),0)</f>
        <v>1678.1291956463735</v>
      </c>
      <c r="K5" s="449">
        <f>IFERROR(J5*(scen_input_circular!J$67/scen_input_circular!I$67),0)</f>
        <v>1588.9337521874402</v>
      </c>
      <c r="L5" s="449">
        <f>IFERROR(K5*(scen_input_circular!K$67/scen_input_circular!J$67),0)</f>
        <v>1528.1368773802205</v>
      </c>
    </row>
    <row r="6" spans="1:12" x14ac:dyDescent="0.25">
      <c r="A6" s="2" t="s">
        <v>616</v>
      </c>
      <c r="B6" s="2" t="s">
        <v>711</v>
      </c>
      <c r="C6" s="2" t="s">
        <v>147</v>
      </c>
      <c r="D6" s="2" t="s">
        <v>146</v>
      </c>
      <c r="E6" s="114">
        <f>[17]x2015fuel_CZ!C6*[18]shares_i24.d!$F$3</f>
        <v>28.411191903717292</v>
      </c>
      <c r="F6" s="449">
        <f>IFERROR(E6*(scen_input_circular!E$70/scen_input_circular!D$70),0)</f>
        <v>33.338877158193554</v>
      </c>
      <c r="G6" s="449">
        <f>IFERROR(F6*(scen_input_circular!F$70/scen_input_circular!E$70),0)</f>
        <v>35.020889752477729</v>
      </c>
      <c r="H6" s="449">
        <f>IFERROR(G6*(scen_input_circular!G$70/scen_input_circular!F$70),0)</f>
        <v>35.100716438944737</v>
      </c>
      <c r="I6" s="449">
        <f>IFERROR(H6*(scen_input_circular!H$70/scen_input_circular!G$70),0)</f>
        <v>38.153260081394912</v>
      </c>
      <c r="J6" s="449">
        <f>IFERROR(I6*(scen_input_circular!I$70/scen_input_circular!H$70),0)</f>
        <v>37.251967413038258</v>
      </c>
      <c r="K6" s="449">
        <f>IFERROR(J6*(scen_input_circular!J$70/scen_input_circular!I$70),0)</f>
        <v>35.039384745271441</v>
      </c>
      <c r="L6" s="449">
        <f>IFERROR(K6*(scen_input_circular!K$70/scen_input_circular!J$70),0)</f>
        <v>34.158314221477724</v>
      </c>
    </row>
    <row r="7" spans="1:12" x14ac:dyDescent="0.25">
      <c r="A7" s="2" t="s">
        <v>616</v>
      </c>
      <c r="B7" s="113" t="s">
        <v>717</v>
      </c>
      <c r="C7" s="2" t="s">
        <v>718</v>
      </c>
      <c r="D7" s="2" t="s">
        <v>216</v>
      </c>
      <c r="E7" s="449">
        <f>[17]x2015fuel_CZ!C7</f>
        <v>1519.823247</v>
      </c>
      <c r="F7" s="114">
        <f>IFERROR([18]shares_i40.2!$F$2*E7*(scen_input_circular!E$68/scen_input_circular!D$68)+[18]shares_i40.2!$F$3*E7*(scen_input_circular!E$70/scen_input_circular!D$70),0)</f>
        <v>1535.1523288451115</v>
      </c>
      <c r="G7" s="114">
        <f>IFERROR([18]shares_i40.2!$F$2*F7*(scen_input_circular!F$68/scen_input_circular!E$68)+[18]shares_i40.2!$F$3*F7*(scen_input_circular!F$70/scen_input_circular!E$70),0)</f>
        <v>1612.9184985895783</v>
      </c>
      <c r="H7" s="114">
        <f>IFERROR([18]shares_i40.2!$F$2*G7*(scen_input_circular!G$68/scen_input_circular!F$68)+[18]shares_i40.2!$F$3*G7*(scen_input_circular!G$70/scen_input_circular!F$70),0)</f>
        <v>1434.4167161598648</v>
      </c>
      <c r="I7" s="114">
        <f>IFERROR([18]shares_i40.2!$F$2*H7*(scen_input_circular!H$68/scen_input_circular!G$68)+[18]shares_i40.2!$F$3*H7*(scen_input_circular!H$70/scen_input_circular!G$70),0)</f>
        <v>1433.2752949948726</v>
      </c>
      <c r="J7" s="114">
        <f>IFERROR([18]shares_i40.2!$F$2*I7*(scen_input_circular!I$68/scen_input_circular!H$68)+[18]shares_i40.2!$F$3*I7*(scen_input_circular!I$70/scen_input_circular!H$70),0)</f>
        <v>1408.1499398516783</v>
      </c>
      <c r="K7" s="114">
        <f>IFERROR([18]shares_i40.2!$F$2*J7*(scen_input_circular!J$68/scen_input_circular!I$68)+[18]shares_i40.2!$F$3*J7*(scen_input_circular!J$70/scen_input_circular!I$70),0)</f>
        <v>1405.0417461100701</v>
      </c>
      <c r="L7" s="114">
        <f>IFERROR([18]shares_i40.2!$F$2*K7*(scen_input_circular!K$68/scen_input_circular!J$68)+[18]shares_i40.2!$F$3*K7*(scen_input_circular!K$70/scen_input_circular!J$70),0)</f>
        <v>1393.3995217461957</v>
      </c>
    </row>
    <row r="8" spans="1:12" x14ac:dyDescent="0.25">
      <c r="A8" s="2" t="s">
        <v>616</v>
      </c>
      <c r="B8" s="113" t="s">
        <v>719</v>
      </c>
      <c r="C8" s="2" t="s">
        <v>720</v>
      </c>
      <c r="D8" s="2" t="s">
        <v>218</v>
      </c>
      <c r="E8" s="449">
        <f>[17]x2015fuel_CZ!C8</f>
        <v>610.25160589999996</v>
      </c>
      <c r="F8" s="449">
        <f>IFERROR(E8*(scen_input_circular!E$69/scen_input_circular!D$69),0)</f>
        <v>572.26009420433104</v>
      </c>
      <c r="G8" s="449">
        <f>IFERROR(F8*(scen_input_circular!F$69/scen_input_circular!E$69),0)</f>
        <v>684.59079511104528</v>
      </c>
      <c r="H8" s="449">
        <f>IFERROR(G8*(scen_input_circular!G$69/scen_input_circular!F$69),0)</f>
        <v>664.31601278427411</v>
      </c>
      <c r="I8" s="449">
        <f>IFERROR(H8*(scen_input_circular!H$69/scen_input_circular!G$69),0)</f>
        <v>672.32340421532786</v>
      </c>
      <c r="J8" s="449">
        <f>IFERROR(I8*(scen_input_circular!I$69/scen_input_circular!H$69),0)</f>
        <v>671.31328263713897</v>
      </c>
      <c r="K8" s="449">
        <f>IFERROR(J8*(scen_input_circular!J$69/scen_input_circular!I$69),0)</f>
        <v>641.84371013363443</v>
      </c>
      <c r="L8" s="449">
        <f>IFERROR(K8*(scen_input_circular!K$69/scen_input_circular!J$69),0)</f>
        <v>637.60236268739743</v>
      </c>
    </row>
    <row r="9" spans="1:12" x14ac:dyDescent="0.25">
      <c r="A9" s="2" t="s">
        <v>616</v>
      </c>
      <c r="B9" s="2" t="s">
        <v>711</v>
      </c>
      <c r="C9" s="2" t="s">
        <v>721</v>
      </c>
      <c r="D9" s="2" t="s">
        <v>274</v>
      </c>
      <c r="E9" s="449">
        <f>[17]x2015fuel_CZ!C9</f>
        <v>87.609030309999994</v>
      </c>
      <c r="F9" s="449">
        <f>IFERROR(E9*(scen_input_circular!E$70/scen_input_circular!D$70),0)</f>
        <v>102.80408894325171</v>
      </c>
      <c r="G9" s="449">
        <f>IFERROR(F9*(scen_input_circular!F$70/scen_input_circular!E$70),0)</f>
        <v>107.9907594938513</v>
      </c>
      <c r="H9" s="449">
        <f>IFERROR(G9*(scen_input_circular!G$70/scen_input_circular!F$70),0)</f>
        <v>108.23691384802044</v>
      </c>
      <c r="I9" s="449">
        <f>IFERROR(H9*(scen_input_circular!H$70/scen_input_circular!G$70),0)</f>
        <v>117.64976739532355</v>
      </c>
      <c r="J9" s="449">
        <f>IFERROR(I9*(scen_input_circular!I$70/scen_input_circular!H$70),0)</f>
        <v>114.87053247382391</v>
      </c>
      <c r="K9" s="449">
        <f>IFERROR(J9*(scen_input_circular!J$70/scen_input_circular!I$70),0)</f>
        <v>108.04779083522334</v>
      </c>
      <c r="L9" s="449">
        <f>IFERROR(K9*(scen_input_circular!K$70/scen_input_circular!J$70),0)</f>
        <v>105.33091311724939</v>
      </c>
    </row>
    <row r="10" spans="1:12" x14ac:dyDescent="0.25">
      <c r="A10" s="2" t="s">
        <v>616</v>
      </c>
      <c r="B10" s="2" t="s">
        <v>711</v>
      </c>
      <c r="C10" s="2" t="s">
        <v>722</v>
      </c>
      <c r="D10" s="2" t="s">
        <v>276</v>
      </c>
      <c r="E10" s="449">
        <f>[17]x2015fuel_CZ!C10</f>
        <v>90.707964079999996</v>
      </c>
      <c r="F10" s="449">
        <f>IFERROR(E10*(scen_input_circular!E$70/scen_input_circular!D$70),0)</f>
        <v>106.44050703614735</v>
      </c>
      <c r="G10" s="449">
        <f>IFERROR(F10*(scen_input_circular!F$70/scen_input_circular!E$70),0)</f>
        <v>111.81064210480226</v>
      </c>
      <c r="H10" s="449">
        <f>IFERROR(G10*(scen_input_circular!G$70/scen_input_circular!F$70),0)</f>
        <v>112.06550350706983</v>
      </c>
      <c r="I10" s="449">
        <f>IFERROR(H10*(scen_input_circular!H$70/scen_input_circular!G$70),0)</f>
        <v>121.81131142707387</v>
      </c>
      <c r="J10" s="449">
        <f>IFERROR(I10*(scen_input_circular!I$70/scen_input_circular!H$70),0)</f>
        <v>118.93376854665125</v>
      </c>
      <c r="K10" s="449">
        <f>IFERROR(J10*(scen_input_circular!J$70/scen_input_circular!I$70),0)</f>
        <v>111.86969077645522</v>
      </c>
      <c r="L10" s="449">
        <f>IFERROR(K10*(scen_input_circular!K$70/scen_input_circular!J$70),0)</f>
        <v>109.05671081788577</v>
      </c>
    </row>
    <row r="11" spans="1:12" x14ac:dyDescent="0.25">
      <c r="A11" s="2" t="s">
        <v>616</v>
      </c>
      <c r="B11" s="2" t="s">
        <v>711</v>
      </c>
      <c r="C11" s="2" t="s">
        <v>723</v>
      </c>
      <c r="D11" s="2" t="s">
        <v>278</v>
      </c>
      <c r="E11" s="449">
        <f>[17]x2015fuel_CZ!C11</f>
        <v>38.917766090000001</v>
      </c>
      <c r="F11" s="449">
        <f>IFERROR(E11*(scen_input_circular!E$70/scen_input_circular!D$70),0)</f>
        <v>45.667729370271879</v>
      </c>
      <c r="G11" s="449">
        <f>IFERROR(F11*(scen_input_circular!F$70/scen_input_circular!E$70),0)</f>
        <v>47.971757055087906</v>
      </c>
      <c r="H11" s="449">
        <f>IFERROR(G11*(scen_input_circular!G$70/scen_input_circular!F$70),0)</f>
        <v>48.081103974505822</v>
      </c>
      <c r="I11" s="449">
        <f>IFERROR(H11*(scen_input_circular!H$70/scen_input_circular!G$70),0)</f>
        <v>52.262490656873382</v>
      </c>
      <c r="J11" s="449">
        <f>IFERROR(I11*(scen_input_circular!I$70/scen_input_circular!H$70),0)</f>
        <v>51.027896298262654</v>
      </c>
      <c r="K11" s="449">
        <f>IFERROR(J11*(scen_input_circular!J$70/scen_input_circular!I$70),0)</f>
        <v>47.997091571352527</v>
      </c>
      <c r="L11" s="449">
        <f>IFERROR(K11*(scen_input_circular!K$70/scen_input_circular!J$70),0)</f>
        <v>46.790197588516442</v>
      </c>
    </row>
    <row r="12" spans="1:12" x14ac:dyDescent="0.25">
      <c r="A12" s="2" t="s">
        <v>616</v>
      </c>
      <c r="B12" s="2" t="s">
        <v>711</v>
      </c>
      <c r="C12" s="2" t="s">
        <v>724</v>
      </c>
      <c r="D12" s="2" t="s">
        <v>280</v>
      </c>
      <c r="E12" s="449">
        <f>[17]x2015fuel_CZ!C12</f>
        <v>93.98397971</v>
      </c>
      <c r="F12" s="449">
        <f>IFERROR(E12*(scen_input_circular!E$70/scen_input_circular!D$70),0)</f>
        <v>110.28472036683139</v>
      </c>
      <c r="G12" s="449">
        <f>IFERROR(F12*(scen_input_circular!F$70/scen_input_circular!E$70),0)</f>
        <v>115.84880363616037</v>
      </c>
      <c r="H12" s="449">
        <f>IFERROR(G12*(scen_input_circular!G$70/scen_input_circular!F$70),0)</f>
        <v>116.11286963193615</v>
      </c>
      <c r="I12" s="449">
        <f>IFERROR(H12*(scen_input_circular!H$70/scen_input_circular!G$70),0)</f>
        <v>126.21065788130524</v>
      </c>
      <c r="J12" s="449">
        <f>IFERROR(I12*(scen_input_circular!I$70/scen_input_circular!H$70),0)</f>
        <v>123.22918944651843</v>
      </c>
      <c r="K12" s="449">
        <f>IFERROR(J12*(scen_input_circular!J$70/scen_input_circular!I$70),0)</f>
        <v>115.90998491406492</v>
      </c>
      <c r="L12" s="449">
        <f>IFERROR(K12*(scen_input_circular!K$70/scen_input_circular!J$70),0)</f>
        <v>112.99541116045646</v>
      </c>
    </row>
    <row r="13" spans="1:12" x14ac:dyDescent="0.25">
      <c r="A13" s="2" t="s">
        <v>616</v>
      </c>
      <c r="B13" s="2" t="s">
        <v>711</v>
      </c>
      <c r="C13" s="2" t="s">
        <v>725</v>
      </c>
      <c r="D13" s="2" t="s">
        <v>282</v>
      </c>
      <c r="E13" s="449">
        <f>[17]x2015fuel_CZ!C13</f>
        <v>20.42211154</v>
      </c>
      <c r="F13" s="449">
        <f>IFERROR(E13*(scen_input_circular!E$70/scen_input_circular!D$70),0)</f>
        <v>23.964157162090238</v>
      </c>
      <c r="G13" s="449">
        <f>IFERROR(F13*(scen_input_circular!F$70/scen_input_circular!E$70),0)</f>
        <v>25.173196505760359</v>
      </c>
      <c r="H13" s="449">
        <f>IFERROR(G13*(scen_input_circular!G$70/scen_input_circular!F$70),0)</f>
        <v>25.230576340454466</v>
      </c>
      <c r="I13" s="449">
        <f>IFERROR(H13*(scen_input_circular!H$70/scen_input_circular!G$70),0)</f>
        <v>27.424760483031001</v>
      </c>
      <c r="J13" s="449">
        <f>IFERROR(I13*(scen_input_circular!I$70/scen_input_circular!H$70),0)</f>
        <v>26.776906656069396</v>
      </c>
      <c r="K13" s="449">
        <f>IFERROR(J13*(scen_input_circular!J$70/scen_input_circular!I$70),0)</f>
        <v>25.186490802143442</v>
      </c>
      <c r="L13" s="449">
        <f>IFERROR(K13*(scen_input_circular!K$70/scen_input_circular!J$70),0)</f>
        <v>24.553172757180771</v>
      </c>
    </row>
    <row r="14" spans="1:12" x14ac:dyDescent="0.25">
      <c r="A14" s="2" t="s">
        <v>616</v>
      </c>
      <c r="B14" s="2" t="s">
        <v>711</v>
      </c>
      <c r="C14" s="2" t="s">
        <v>726</v>
      </c>
      <c r="D14" s="2" t="s">
        <v>284</v>
      </c>
      <c r="E14" s="449">
        <f>[17]x2015fuel_CZ!C14</f>
        <v>26.286215290000001</v>
      </c>
      <c r="F14" s="449">
        <f>IFERROR(E14*(scen_input_circular!E$70/scen_input_circular!D$70),0)</f>
        <v>30.845341000722961</v>
      </c>
      <c r="G14" s="449">
        <f>IFERROR(F14*(scen_input_circular!F$70/scen_input_circular!E$70),0)</f>
        <v>32.401549741408012</v>
      </c>
      <c r="H14" s="449">
        <f>IFERROR(G14*(scen_input_circular!G$70/scen_input_circular!F$70),0)</f>
        <v>32.475405898990914</v>
      </c>
      <c r="I14" s="449">
        <f>IFERROR(H14*(scen_input_circular!H$70/scen_input_circular!G$70),0)</f>
        <v>35.299638674563681</v>
      </c>
      <c r="J14" s="449">
        <f>IFERROR(I14*(scen_input_circular!I$70/scen_input_circular!H$70),0)</f>
        <v>34.465756970479951</v>
      </c>
      <c r="K14" s="449">
        <f>IFERROR(J14*(scen_input_circular!J$70/scen_input_circular!I$70),0)</f>
        <v>32.418661426268329</v>
      </c>
      <c r="L14" s="449">
        <f>IFERROR(K14*(scen_input_circular!K$70/scen_input_circular!J$70),0)</f>
        <v>31.603489378837104</v>
      </c>
    </row>
    <row r="15" spans="1:12" x14ac:dyDescent="0.25">
      <c r="A15" s="2" t="s">
        <v>616</v>
      </c>
      <c r="B15" s="2" t="s">
        <v>711</v>
      </c>
      <c r="C15" s="2" t="s">
        <v>727</v>
      </c>
      <c r="D15" s="2" t="s">
        <v>286</v>
      </c>
      <c r="E15" s="449">
        <f>[17]x2015fuel_CZ!C15</f>
        <v>125.8717551</v>
      </c>
      <c r="F15" s="449">
        <f>IFERROR(E15*(scen_input_circular!E$70/scen_input_circular!D$70),0)</f>
        <v>147.70316554076237</v>
      </c>
      <c r="G15" s="449">
        <f>IFERROR(F15*(scen_input_circular!F$70/scen_input_circular!E$70),0)</f>
        <v>155.15508371654127</v>
      </c>
      <c r="H15" s="449">
        <f>IFERROR(G15*(scen_input_circular!G$70/scen_input_circular!F$70),0)</f>
        <v>155.50874452610785</v>
      </c>
      <c r="I15" s="449">
        <f>IFERROR(H15*(scen_input_circular!H$70/scen_input_circular!G$70),0)</f>
        <v>169.03260607674832</v>
      </c>
      <c r="J15" s="449">
        <f>IFERROR(I15*(scen_input_circular!I$70/scen_input_circular!H$70),0)</f>
        <v>165.03955677387938</v>
      </c>
      <c r="K15" s="449">
        <f>IFERROR(J15*(scen_input_circular!J$70/scen_input_circular!I$70),0)</f>
        <v>155.23702315827242</v>
      </c>
      <c r="L15" s="449">
        <f>IFERROR(K15*(scen_input_circular!K$70/scen_input_circular!J$70),0)</f>
        <v>151.33356519802115</v>
      </c>
    </row>
    <row r="16" spans="1:12" x14ac:dyDescent="0.25">
      <c r="A16" s="2" t="s">
        <v>616</v>
      </c>
      <c r="B16" s="2" t="s">
        <v>711</v>
      </c>
      <c r="C16" s="2" t="s">
        <v>289</v>
      </c>
      <c r="D16" s="2" t="s">
        <v>288</v>
      </c>
      <c r="E16" s="449">
        <f>[17]x2015fuel_CZ!C16</f>
        <v>0</v>
      </c>
      <c r="F16" s="449">
        <f>IFERROR(E16*(scen_input_circular!E$70/scen_input_circular!D$70),0)</f>
        <v>0</v>
      </c>
      <c r="G16" s="449">
        <f>IFERROR(F16*(scen_input_circular!F$70/scen_input_circular!E$70),0)</f>
        <v>0</v>
      </c>
      <c r="H16" s="449">
        <f>IFERROR(G16*(scen_input_circular!G$70/scen_input_circular!F$70),0)</f>
        <v>0</v>
      </c>
      <c r="I16" s="449">
        <f>IFERROR(H16*(scen_input_circular!H$70/scen_input_circular!G$70),0)</f>
        <v>0</v>
      </c>
      <c r="J16" s="449">
        <f>IFERROR(I16*(scen_input_circular!I$70/scen_input_circular!H$70),0)</f>
        <v>0</v>
      </c>
      <c r="K16" s="449">
        <f>IFERROR(J16*(scen_input_circular!J$70/scen_input_circular!I$70),0)</f>
        <v>0</v>
      </c>
      <c r="L16" s="449">
        <f>IFERROR(K16*(scen_input_circular!K$70/scen_input_circular!J$70),0)</f>
        <v>0</v>
      </c>
    </row>
    <row r="17" spans="1:12" x14ac:dyDescent="0.25">
      <c r="A17" s="2" t="s">
        <v>616</v>
      </c>
      <c r="B17" s="2" t="s">
        <v>711</v>
      </c>
      <c r="C17" s="2" t="s">
        <v>291</v>
      </c>
      <c r="D17" s="2" t="s">
        <v>290</v>
      </c>
      <c r="E17" s="449">
        <f>[17]x2015fuel_CZ!C17</f>
        <v>0</v>
      </c>
      <c r="F17" s="449">
        <f>IFERROR(E17*(scen_input_circular!E$70/scen_input_circular!D$70),0)</f>
        <v>0</v>
      </c>
      <c r="G17" s="449">
        <f>IFERROR(F17*(scen_input_circular!F$70/scen_input_circular!E$70),0)</f>
        <v>0</v>
      </c>
      <c r="H17" s="449">
        <f>IFERROR(G17*(scen_input_circular!G$70/scen_input_circular!F$70),0)</f>
        <v>0</v>
      </c>
      <c r="I17" s="449">
        <f>IFERROR(H17*(scen_input_circular!H$70/scen_input_circular!G$70),0)</f>
        <v>0</v>
      </c>
      <c r="J17" s="449">
        <f>IFERROR(I17*(scen_input_circular!I$70/scen_input_circular!H$70),0)</f>
        <v>0</v>
      </c>
      <c r="K17" s="449">
        <f>IFERROR(J17*(scen_input_circular!J$70/scen_input_circular!I$70),0)</f>
        <v>0</v>
      </c>
      <c r="L17" s="449">
        <f>IFERROR(K17*(scen_input_circular!K$70/scen_input_circular!J$70),0)</f>
        <v>0</v>
      </c>
    </row>
    <row r="18" spans="1:12" x14ac:dyDescent="0.25">
      <c r="A18" s="2" t="s">
        <v>616</v>
      </c>
      <c r="B18" s="2" t="s">
        <v>711</v>
      </c>
      <c r="C18" s="2" t="s">
        <v>293</v>
      </c>
      <c r="D18" s="2" t="s">
        <v>292</v>
      </c>
      <c r="E18" s="449">
        <f>[17]x2015fuel_CZ!C18</f>
        <v>530.48695459999999</v>
      </c>
      <c r="F18" s="449">
        <f>IFERROR(E18*(scen_input_circular!E$70/scen_input_circular!D$70),0)</f>
        <v>622.49551069061636</v>
      </c>
      <c r="G18" s="449">
        <f>IFERROR(F18*(scen_input_circular!F$70/scen_input_circular!E$70),0)</f>
        <v>653.90164605320604</v>
      </c>
      <c r="H18" s="449">
        <f>IFERROR(G18*(scen_input_circular!G$70/scen_input_circular!F$70),0)</f>
        <v>655.39215077906204</v>
      </c>
      <c r="I18" s="449">
        <f>IFERROR(H18*(scen_input_circular!H$70/scen_input_circular!G$70),0)</f>
        <v>712.38851285196438</v>
      </c>
      <c r="J18" s="449">
        <f>IFERROR(I18*(scen_input_circular!I$70/scen_input_circular!H$70),0)</f>
        <v>695.55979252019711</v>
      </c>
      <c r="K18" s="449">
        <f>IFERROR(J18*(scen_input_circular!J$70/scen_input_circular!I$70),0)</f>
        <v>654.24698011858891</v>
      </c>
      <c r="L18" s="449">
        <f>IFERROR(K18*(scen_input_circular!K$70/scen_input_circular!J$70),0)</f>
        <v>637.79584281540519</v>
      </c>
    </row>
    <row r="19" spans="1:12" x14ac:dyDescent="0.25">
      <c r="A19" s="2" t="s">
        <v>616</v>
      </c>
      <c r="B19" s="2" t="s">
        <v>711</v>
      </c>
      <c r="C19" s="2" t="s">
        <v>295</v>
      </c>
      <c r="D19" s="2" t="s">
        <v>294</v>
      </c>
      <c r="E19" s="449">
        <f>[17]x2015fuel_CZ!C19</f>
        <v>92.581594899999999</v>
      </c>
      <c r="F19" s="449">
        <f>IFERROR(E19*(scen_input_circular!E$70/scen_input_circular!D$70),0)</f>
        <v>108.63910355963966</v>
      </c>
      <c r="G19" s="449">
        <f>IFERROR(F19*(scen_input_circular!F$70/scen_input_circular!E$70),0)</f>
        <v>114.12016219133828</v>
      </c>
      <c r="H19" s="449">
        <f>IFERROR(G19*(scen_input_circular!G$70/scen_input_circular!F$70),0)</f>
        <v>114.38028791833149</v>
      </c>
      <c r="I19" s="449">
        <f>IFERROR(H19*(scen_input_circular!H$70/scen_input_circular!G$70),0)</f>
        <v>124.32740171340308</v>
      </c>
      <c r="J19" s="449">
        <f>IFERROR(I19*(scen_input_circular!I$70/scen_input_circular!H$70),0)</f>
        <v>121.39042135049129</v>
      </c>
      <c r="K19" s="449">
        <f>IFERROR(J19*(scen_input_circular!J$70/scen_input_circular!I$70),0)</f>
        <v>114.18043055094491</v>
      </c>
      <c r="L19" s="449">
        <f>IFERROR(K19*(scen_input_circular!K$70/scen_input_circular!J$70),0)</f>
        <v>111.30934669819293</v>
      </c>
    </row>
    <row r="20" spans="1:12" x14ac:dyDescent="0.25">
      <c r="A20" s="2" t="s">
        <v>616</v>
      </c>
      <c r="B20" s="2" t="s">
        <v>711</v>
      </c>
      <c r="C20" s="2" t="s">
        <v>297</v>
      </c>
      <c r="D20" s="2" t="s">
        <v>296</v>
      </c>
      <c r="E20" s="449">
        <f>[17]x2015fuel_CZ!C20</f>
        <v>0</v>
      </c>
      <c r="F20" s="449">
        <f>IFERROR(E20*(scen_input_circular!E$70/scen_input_circular!D$70),0)</f>
        <v>0</v>
      </c>
      <c r="G20" s="449">
        <f>IFERROR(F20*(scen_input_circular!F$70/scen_input_circular!E$70),0)</f>
        <v>0</v>
      </c>
      <c r="H20" s="449">
        <f>IFERROR(G20*(scen_input_circular!G$70/scen_input_circular!F$70),0)</f>
        <v>0</v>
      </c>
      <c r="I20" s="449">
        <f>IFERROR(H20*(scen_input_circular!H$70/scen_input_circular!G$70),0)</f>
        <v>0</v>
      </c>
      <c r="J20" s="449">
        <f>IFERROR(I20*(scen_input_circular!I$70/scen_input_circular!H$70),0)</f>
        <v>0</v>
      </c>
      <c r="K20" s="449">
        <f>IFERROR(J20*(scen_input_circular!J$70/scen_input_circular!I$70),0)</f>
        <v>0</v>
      </c>
      <c r="L20" s="449">
        <f>IFERROR(K20*(scen_input_circular!K$70/scen_input_circular!J$70),0)</f>
        <v>0</v>
      </c>
    </row>
  </sheetData>
  <pageMargins left="0.7" right="0.7" top="0.78740157499999996" bottom="0.78740157499999996"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
  <sheetViews>
    <sheetView zoomScale="75" zoomScaleNormal="75" workbookViewId="0">
      <pane xSplit="4" ySplit="1" topLeftCell="E2" activePane="bottomRight" state="frozen"/>
      <selection activeCell="D2" sqref="D2"/>
      <selection pane="topRight" activeCell="D2" sqref="D2"/>
      <selection pane="bottomLeft" activeCell="D2" sqref="D2"/>
      <selection pane="bottomRight" activeCell="E2" sqref="E2"/>
    </sheetView>
  </sheetViews>
  <sheetFormatPr defaultColWidth="9" defaultRowHeight="15" x14ac:dyDescent="0.25"/>
  <cols>
    <col min="1" max="1" width="11.75" bestFit="1" customWidth="1"/>
    <col min="2" max="2" width="48.625" customWidth="1"/>
    <col min="3" max="3" width="48.625" bestFit="1" customWidth="1"/>
    <col min="4" max="4" width="12.25" bestFit="1" customWidth="1"/>
    <col min="5" max="12" width="10.25" style="2" customWidth="1"/>
  </cols>
  <sheetData>
    <row r="1" spans="1:12" x14ac:dyDescent="0.25">
      <c r="A1" s="88" t="s">
        <v>586</v>
      </c>
      <c r="B1" s="88" t="s">
        <v>710</v>
      </c>
      <c r="C1" s="88" t="s">
        <v>0</v>
      </c>
      <c r="D1" s="88" t="s">
        <v>1</v>
      </c>
      <c r="E1" s="44" t="s">
        <v>688</v>
      </c>
      <c r="F1" s="44" t="s">
        <v>689</v>
      </c>
      <c r="G1" s="44" t="s">
        <v>690</v>
      </c>
      <c r="H1" s="44" t="s">
        <v>691</v>
      </c>
      <c r="I1" s="44" t="s">
        <v>692</v>
      </c>
      <c r="J1" s="44" t="s">
        <v>693</v>
      </c>
      <c r="K1" s="44" t="s">
        <v>694</v>
      </c>
      <c r="L1" s="44" t="s">
        <v>695</v>
      </c>
    </row>
    <row r="2" spans="1:12" x14ac:dyDescent="0.25">
      <c r="A2" s="2" t="s">
        <v>616</v>
      </c>
      <c r="B2" s="2" t="s">
        <v>711</v>
      </c>
      <c r="C2" s="2" t="s">
        <v>712</v>
      </c>
      <c r="D2" s="2" t="s">
        <v>54</v>
      </c>
      <c r="E2" s="449">
        <f>[17]x2015fuel_CZ!C2</f>
        <v>0</v>
      </c>
      <c r="F2" s="449">
        <f>IFERROR(E2*(scen_input_bau!E$70/scen_input_bau!D$70),0)</f>
        <v>0</v>
      </c>
      <c r="G2" s="449">
        <f>IFERROR(F2*(scen_input_bau!F$70/scen_input_bau!E$70),0)</f>
        <v>0</v>
      </c>
      <c r="H2" s="449">
        <f>IFERROR(G2*(scen_input_bau!G$70/scen_input_bau!F$70),0)</f>
        <v>0</v>
      </c>
      <c r="I2" s="449">
        <f>IFERROR(H2*(scen_input_bau!H$70/scen_input_bau!G$70),0)</f>
        <v>0</v>
      </c>
      <c r="J2" s="449">
        <f>IFERROR(I2*(scen_input_bau!I$70/scen_input_bau!H$70),0)</f>
        <v>0</v>
      </c>
      <c r="K2" s="449">
        <f>IFERROR(J2*(scen_input_bau!J$70/scen_input_bau!I$70),0)</f>
        <v>0</v>
      </c>
      <c r="L2" s="449">
        <f>IFERROR(K2*(scen_input_bau!K$70/scen_input_bau!J$70),0)</f>
        <v>0</v>
      </c>
    </row>
    <row r="3" spans="1:12" x14ac:dyDescent="0.25">
      <c r="A3" s="2" t="s">
        <v>616</v>
      </c>
      <c r="B3" s="113" t="s">
        <v>636</v>
      </c>
      <c r="C3" s="113" t="s">
        <v>713</v>
      </c>
      <c r="D3" s="113" t="s">
        <v>60</v>
      </c>
      <c r="E3" s="449">
        <f>[17]x2015fuel_CZ!C3</f>
        <v>2459.3578090000001</v>
      </c>
      <c r="F3" s="449">
        <f>IFERROR(E3*(scen_input_bau!E$66/scen_input_bau!D$66),0)</f>
        <v>2061.2319042715039</v>
      </c>
      <c r="G3" s="449">
        <f>IFERROR(F3*(scen_input_bau!F$66/scen_input_bau!E$66),0)</f>
        <v>2185.8322314794086</v>
      </c>
      <c r="H3" s="449">
        <f>IFERROR(G3*(scen_input_bau!G$66/scen_input_bau!F$66),0)</f>
        <v>1516.4296282889311</v>
      </c>
      <c r="I3" s="449">
        <f>IFERROR(H3*(scen_input_bau!H$66/scen_input_bau!G$66),0)</f>
        <v>837.10237713486254</v>
      </c>
      <c r="J3" s="449">
        <f>IFERROR(I3*(scen_input_bau!I$66/scen_input_bau!H$66),0)</f>
        <v>493.35440024507881</v>
      </c>
      <c r="K3" s="449">
        <f>IFERROR(J3*(scen_input_bau!J$66/scen_input_bau!I$66),0)</f>
        <v>270.31164859495618</v>
      </c>
      <c r="L3" s="449">
        <f>IFERROR(K3*(scen_input_bau!K$66/scen_input_bau!J$66),0)</f>
        <v>179.70966402406108</v>
      </c>
    </row>
    <row r="4" spans="1:12" x14ac:dyDescent="0.25">
      <c r="A4" s="2" t="s">
        <v>616</v>
      </c>
      <c r="B4" s="113" t="s">
        <v>636</v>
      </c>
      <c r="C4" s="2" t="s">
        <v>714</v>
      </c>
      <c r="D4" s="2" t="s">
        <v>132</v>
      </c>
      <c r="E4" s="449">
        <f>[17]x2015fuel_CZ!C4</f>
        <v>397.54854660000001</v>
      </c>
      <c r="F4" s="449">
        <f>IFERROR(E4*(scen_input_bau!E$66/scen_input_bau!D$66),0)</f>
        <v>333.19256951955242</v>
      </c>
      <c r="G4" s="449">
        <f>IFERROR(F4*(scen_input_bau!F$66/scen_input_bau!E$66),0)</f>
        <v>353.33387584192451</v>
      </c>
      <c r="H4" s="449">
        <f>IFERROR(G4*(scen_input_bau!G$66/scen_input_bau!F$66),0)</f>
        <v>245.12675322854687</v>
      </c>
      <c r="I4" s="449">
        <f>IFERROR(H4*(scen_input_bau!H$66/scen_input_bau!G$66),0)</f>
        <v>135.31533808034422</v>
      </c>
      <c r="J4" s="449">
        <f>IFERROR(I4*(scen_input_bau!I$66/scen_input_bau!H$66),0)</f>
        <v>79.749406149199231</v>
      </c>
      <c r="K4" s="449">
        <f>IFERROR(J4*(scen_input_bau!J$66/scen_input_bau!I$66),0)</f>
        <v>43.695147828721147</v>
      </c>
      <c r="L4" s="449">
        <f>IFERROR(K4*(scen_input_bau!K$66/scen_input_bau!J$66),0)</f>
        <v>29.049581757194318</v>
      </c>
    </row>
    <row r="5" spans="1:12" x14ac:dyDescent="0.25">
      <c r="A5" s="2" t="s">
        <v>616</v>
      </c>
      <c r="B5" s="113" t="s">
        <v>715</v>
      </c>
      <c r="C5" s="2" t="s">
        <v>716</v>
      </c>
      <c r="D5" s="2" t="s">
        <v>134</v>
      </c>
      <c r="E5" s="449">
        <f>[17]x2015fuel_CZ!C5</f>
        <v>2209.150603</v>
      </c>
      <c r="F5" s="449">
        <f>IFERROR(E5*(scen_input_bau!E$67/scen_input_bau!D$67),0)</f>
        <v>2007.5441163875075</v>
      </c>
      <c r="G5" s="449">
        <f>IFERROR(F5*(scen_input_bau!F$67/scen_input_bau!E$67),0)</f>
        <v>2099.1990306309226</v>
      </c>
      <c r="H5" s="449">
        <f>IFERROR(G5*(scen_input_bau!G$67/scen_input_bau!F$67),0)</f>
        <v>1951.3119223036156</v>
      </c>
      <c r="I5" s="449">
        <f>IFERROR(H5*(scen_input_bau!H$67/scen_input_bau!G$67),0)</f>
        <v>1853.6765757583121</v>
      </c>
      <c r="J5" s="449">
        <f>IFERROR(I5*(scen_input_bau!I$67/scen_input_bau!H$67),0)</f>
        <v>1778.2275213908861</v>
      </c>
      <c r="K5" s="449">
        <f>IFERROR(J5*(scen_input_bau!J$67/scen_input_bau!I$67),0)</f>
        <v>1689.0320779319529</v>
      </c>
      <c r="L5" s="449">
        <f>IFERROR(K5*(scen_input_bau!K$67/scen_input_bau!J$67),0)</f>
        <v>1628.2352031247333</v>
      </c>
    </row>
    <row r="6" spans="1:12" x14ac:dyDescent="0.25">
      <c r="A6" s="2" t="s">
        <v>616</v>
      </c>
      <c r="B6" s="2" t="s">
        <v>711</v>
      </c>
      <c r="C6" s="2" t="s">
        <v>147</v>
      </c>
      <c r="D6" s="2" t="s">
        <v>146</v>
      </c>
      <c r="E6" s="114">
        <f>[17]x2015fuel_CZ!C6*[18]shares_i24.d!$F$3</f>
        <v>28.411191903717292</v>
      </c>
      <c r="F6" s="449">
        <f>IFERROR(E6*(scen_input_bau!E$70/scen_input_bau!D$70),0)</f>
        <v>33.331881473528412</v>
      </c>
      <c r="G6" s="449">
        <f>IFERROR(F6*(scen_input_bau!F$70/scen_input_bau!E$70),0)</f>
        <v>34.594914007330424</v>
      </c>
      <c r="H6" s="449">
        <f>IFERROR(G6*(scen_input_bau!G$70/scen_input_bau!F$70),0)</f>
        <v>37.77245347338399</v>
      </c>
      <c r="I6" s="449">
        <f>IFERROR(H6*(scen_input_bau!H$70/scen_input_bau!G$70),0)</f>
        <v>40.824997115834165</v>
      </c>
      <c r="J6" s="449">
        <f>IFERROR(I6*(scen_input_bau!I$70/scen_input_bau!H$70),0)</f>
        <v>39.923704447477512</v>
      </c>
      <c r="K6" s="449">
        <f>IFERROR(J6*(scen_input_bau!J$70/scen_input_bau!I$70),0)</f>
        <v>37.711121779710695</v>
      </c>
      <c r="L6" s="449">
        <f>IFERROR(K6*(scen_input_bau!K$70/scen_input_bau!J$70),0)</f>
        <v>36.830051255916985</v>
      </c>
    </row>
    <row r="7" spans="1:12" x14ac:dyDescent="0.25">
      <c r="A7" s="2" t="s">
        <v>616</v>
      </c>
      <c r="B7" s="113" t="s">
        <v>717</v>
      </c>
      <c r="C7" s="2" t="s">
        <v>718</v>
      </c>
      <c r="D7" s="2" t="s">
        <v>216</v>
      </c>
      <c r="E7" s="449">
        <f>[17]x2015fuel_CZ!C7</f>
        <v>1519.823247</v>
      </c>
      <c r="F7" s="114">
        <f>IFERROR([18]shares_i40.2!$F$2*E7*(scen_input_bau!E$68/scen_input_bau!D$68)+[18]shares_i40.2!$F$3*E7*(scen_input_bau!E$70/scen_input_bau!D$70),0)</f>
        <v>1561.4747369812742</v>
      </c>
      <c r="G7" s="114">
        <f>IFERROR([18]shares_i40.2!$F$2*F7*(scen_input_bau!F$68/scen_input_bau!E$68)+[18]shares_i40.2!$F$3*F7*(scen_input_bau!F$70/scen_input_bau!E$70),0)</f>
        <v>1643.3944999895452</v>
      </c>
      <c r="H7" s="114">
        <f>IFERROR([18]shares_i40.2!$F$2*G7*(scen_input_bau!G$68/scen_input_bau!F$68)+[18]shares_i40.2!$F$3*G7*(scen_input_bau!G$70/scen_input_bau!F$70),0)</f>
        <v>1561.1765176144042</v>
      </c>
      <c r="I7" s="114">
        <f>IFERROR([18]shares_i40.2!$F$2*H7*(scen_input_bau!H$68/scen_input_bau!G$68)+[18]shares_i40.2!$F$3*H7*(scen_input_bau!H$70/scen_input_bau!G$70),0)</f>
        <v>1560.6682700036129</v>
      </c>
      <c r="J7" s="114">
        <f>IFERROR([18]shares_i40.2!$F$2*I7*(scen_input_bau!I$68/scen_input_bau!H$68)+[18]shares_i40.2!$F$3*I7*(scen_input_bau!I$70/scen_input_bau!H$70),0)</f>
        <v>1535.4766708390716</v>
      </c>
      <c r="K7" s="114">
        <f>IFERROR([18]shares_i40.2!$F$2*J7*(scen_input_bau!J$68/scen_input_bau!I$68)+[18]shares_i40.2!$F$3*J7*(scen_input_bau!J$70/scen_input_bau!I$70),0)</f>
        <v>1531.7391115598637</v>
      </c>
      <c r="L7" s="114">
        <f>IFERROR([18]shares_i40.2!$F$2*K7*(scen_input_bau!K$68/scen_input_bau!J$68)+[18]shares_i40.2!$F$3*K7*(scen_input_bau!K$70/scen_input_bau!J$70),0)</f>
        <v>1519.9606779661754</v>
      </c>
    </row>
    <row r="8" spans="1:12" x14ac:dyDescent="0.25">
      <c r="A8" s="2" t="s">
        <v>616</v>
      </c>
      <c r="B8" s="113" t="s">
        <v>719</v>
      </c>
      <c r="C8" s="2" t="s">
        <v>720</v>
      </c>
      <c r="D8" s="2" t="s">
        <v>218</v>
      </c>
      <c r="E8" s="449">
        <f>[17]x2015fuel_CZ!C8</f>
        <v>610.25160589999996</v>
      </c>
      <c r="F8" s="449">
        <f>IFERROR(E8*(scen_input_bau!E$69/scen_input_bau!D$69),0)</f>
        <v>571.30007866722246</v>
      </c>
      <c r="G8" s="449">
        <f>IFERROR(F8*(scen_input_bau!F$69/scen_input_bau!E$69),0)</f>
        <v>616.66536480222146</v>
      </c>
      <c r="H8" s="449">
        <f>IFERROR(G8*(scen_input_bau!G$69/scen_input_bau!F$69),0)</f>
        <v>618.57796254679386</v>
      </c>
      <c r="I8" s="449">
        <f>IFERROR(H8*(scen_input_bau!H$69/scen_input_bau!G$69),0)</f>
        <v>626.5853539778476</v>
      </c>
      <c r="J8" s="449">
        <f>IFERROR(I8*(scen_input_bau!I$69/scen_input_bau!H$69),0)</f>
        <v>625.5752323996586</v>
      </c>
      <c r="K8" s="449">
        <f>IFERROR(J8*(scen_input_bau!J$69/scen_input_bau!I$69),0)</f>
        <v>596.10565989615407</v>
      </c>
      <c r="L8" s="449">
        <f>IFERROR(K8*(scen_input_bau!K$69/scen_input_bau!J$69),0)</f>
        <v>591.86431244991707</v>
      </c>
    </row>
    <row r="9" spans="1:12" x14ac:dyDescent="0.25">
      <c r="A9" s="2" t="s">
        <v>616</v>
      </c>
      <c r="B9" s="2" t="s">
        <v>711</v>
      </c>
      <c r="C9" s="2" t="s">
        <v>721</v>
      </c>
      <c r="D9" s="2" t="s">
        <v>274</v>
      </c>
      <c r="E9" s="449">
        <f>[17]x2015fuel_CZ!C9</f>
        <v>87.609030309999994</v>
      </c>
      <c r="F9" s="449">
        <f>IFERROR(E9*(scen_input_bau!E$70/scen_input_bau!D$70),0)</f>
        <v>102.78251698133106</v>
      </c>
      <c r="G9" s="449">
        <f>IFERROR(F9*(scen_input_bau!F$70/scen_input_bau!E$70),0)</f>
        <v>106.67721650366609</v>
      </c>
      <c r="H9" s="449">
        <f>IFERROR(G9*(scen_input_bau!G$70/scen_input_bau!F$70),0)</f>
        <v>116.47550839990592</v>
      </c>
      <c r="I9" s="449">
        <f>IFERROR(H9*(scen_input_bau!H$70/scen_input_bau!G$70),0)</f>
        <v>125.88836194720903</v>
      </c>
      <c r="J9" s="449">
        <f>IFERROR(I9*(scen_input_bau!I$70/scen_input_bau!H$70),0)</f>
        <v>123.1091270257094</v>
      </c>
      <c r="K9" s="449">
        <f>IFERROR(J9*(scen_input_bau!J$70/scen_input_bau!I$70),0)</f>
        <v>116.28638538710882</v>
      </c>
      <c r="L9" s="449">
        <f>IFERROR(K9*(scen_input_bau!K$70/scen_input_bau!J$70),0)</f>
        <v>113.56950766913489</v>
      </c>
    </row>
    <row r="10" spans="1:12" x14ac:dyDescent="0.25">
      <c r="A10" s="2" t="s">
        <v>616</v>
      </c>
      <c r="B10" s="2" t="s">
        <v>711</v>
      </c>
      <c r="C10" s="2" t="s">
        <v>722</v>
      </c>
      <c r="D10" s="2" t="s">
        <v>276</v>
      </c>
      <c r="E10" s="449">
        <f>[17]x2015fuel_CZ!C10</f>
        <v>90.707964079999996</v>
      </c>
      <c r="F10" s="449">
        <f>IFERROR(E10*(scen_input_bau!E$70/scen_input_bau!D$70),0)</f>
        <v>106.41817202410454</v>
      </c>
      <c r="G10" s="449">
        <f>IFERROR(F10*(scen_input_bau!F$70/scen_input_bau!E$70),0)</f>
        <v>110.4506360649037</v>
      </c>
      <c r="H10" s="449">
        <f>IFERROR(G10*(scen_input_bau!G$70/scen_input_bau!F$70),0)</f>
        <v>120.59551617856968</v>
      </c>
      <c r="I10" s="449">
        <f>IFERROR(H10*(scen_input_bau!H$70/scen_input_bau!G$70),0)</f>
        <v>130.34132409857372</v>
      </c>
      <c r="J10" s="449">
        <f>IFERROR(I10*(scen_input_bau!I$70/scen_input_bau!H$70),0)</f>
        <v>127.4637812181511</v>
      </c>
      <c r="K10" s="449">
        <f>IFERROR(J10*(scen_input_bau!J$70/scen_input_bau!I$70),0)</f>
        <v>120.39970344795506</v>
      </c>
      <c r="L10" s="449">
        <f>IFERROR(K10*(scen_input_bau!K$70/scen_input_bau!J$70),0)</f>
        <v>117.58672348938563</v>
      </c>
    </row>
    <row r="11" spans="1:12" x14ac:dyDescent="0.25">
      <c r="A11" s="2" t="s">
        <v>616</v>
      </c>
      <c r="B11" s="2" t="s">
        <v>711</v>
      </c>
      <c r="C11" s="2" t="s">
        <v>723</v>
      </c>
      <c r="D11" s="2" t="s">
        <v>278</v>
      </c>
      <c r="E11" s="449">
        <f>[17]x2015fuel_CZ!C11</f>
        <v>38.917766090000001</v>
      </c>
      <c r="F11" s="449">
        <f>IFERROR(E11*(scen_input_bau!E$70/scen_input_bau!D$70),0)</f>
        <v>45.658146652997637</v>
      </c>
      <c r="G11" s="449">
        <f>IFERROR(F11*(scen_input_bau!F$70/scen_input_bau!E$70),0)</f>
        <v>47.388253748861345</v>
      </c>
      <c r="H11" s="449">
        <f>IFERROR(G11*(scen_input_bau!G$70/scen_input_bau!F$70),0)</f>
        <v>51.740860218195571</v>
      </c>
      <c r="I11" s="449">
        <f>IFERROR(H11*(scen_input_bau!H$70/scen_input_bau!G$70),0)</f>
        <v>55.922246900563131</v>
      </c>
      <c r="J11" s="449">
        <f>IFERROR(I11*(scen_input_bau!I$70/scen_input_bau!H$70),0)</f>
        <v>54.687652541952403</v>
      </c>
      <c r="K11" s="449">
        <f>IFERROR(J11*(scen_input_bau!J$70/scen_input_bau!I$70),0)</f>
        <v>51.656847815042276</v>
      </c>
      <c r="L11" s="449">
        <f>IFERROR(K11*(scen_input_bau!K$70/scen_input_bau!J$70),0)</f>
        <v>50.449953832206198</v>
      </c>
    </row>
    <row r="12" spans="1:12" x14ac:dyDescent="0.25">
      <c r="A12" s="2" t="s">
        <v>616</v>
      </c>
      <c r="B12" s="2" t="s">
        <v>711</v>
      </c>
      <c r="C12" s="2" t="s">
        <v>724</v>
      </c>
      <c r="D12" s="2" t="s">
        <v>280</v>
      </c>
      <c r="E12" s="449">
        <f>[17]x2015fuel_CZ!C12</f>
        <v>93.98397971</v>
      </c>
      <c r="F12" s="449">
        <f>IFERROR(E12*(scen_input_bau!E$70/scen_input_bau!D$70),0)</f>
        <v>110.26157870181943</v>
      </c>
      <c r="G12" s="449">
        <f>IFERROR(F12*(scen_input_bau!F$70/scen_input_bau!E$70),0)</f>
        <v>114.43967951618151</v>
      </c>
      <c r="H12" s="449">
        <f>IFERROR(G12*(scen_input_bau!G$70/scen_input_bau!F$70),0)</f>
        <v>124.95095288047247</v>
      </c>
      <c r="I12" s="449">
        <f>IFERROR(H12*(scen_input_bau!H$70/scen_input_bau!G$70),0)</f>
        <v>135.04874112984155</v>
      </c>
      <c r="J12" s="449">
        <f>IFERROR(I12*(scen_input_bau!I$70/scen_input_bau!H$70),0)</f>
        <v>132.06727269505475</v>
      </c>
      <c r="K12" s="449">
        <f>IFERROR(J12*(scen_input_bau!J$70/scen_input_bau!I$70),0)</f>
        <v>124.74806816260124</v>
      </c>
      <c r="L12" s="449">
        <f>IFERROR(K12*(scen_input_bau!K$70/scen_input_bau!J$70),0)</f>
        <v>121.83349440899279</v>
      </c>
    </row>
    <row r="13" spans="1:12" x14ac:dyDescent="0.25">
      <c r="A13" s="2" t="s">
        <v>616</v>
      </c>
      <c r="B13" s="2" t="s">
        <v>711</v>
      </c>
      <c r="C13" s="2" t="s">
        <v>725</v>
      </c>
      <c r="D13" s="2" t="s">
        <v>282</v>
      </c>
      <c r="E13" s="449">
        <f>[17]x2015fuel_CZ!C13</f>
        <v>20.42211154</v>
      </c>
      <c r="F13" s="449">
        <f>IFERROR(E13*(scen_input_bau!E$70/scen_input_bau!D$70),0)</f>
        <v>23.959128627806486</v>
      </c>
      <c r="G13" s="449">
        <f>IFERROR(F13*(scen_input_bau!F$70/scen_input_bau!E$70),0)</f>
        <v>24.867002939147106</v>
      </c>
      <c r="H13" s="449">
        <f>IFERROR(G13*(scen_input_bau!G$70/scen_input_bau!F$70),0)</f>
        <v>27.15103472557869</v>
      </c>
      <c r="I13" s="449">
        <f>IFERROR(H13*(scen_input_bau!H$70/scen_input_bau!G$70),0)</f>
        <v>29.345218868155225</v>
      </c>
      <c r="J13" s="449">
        <f>IFERROR(I13*(scen_input_bau!I$70/scen_input_bau!H$70),0)</f>
        <v>28.697365041193621</v>
      </c>
      <c r="K13" s="449">
        <f>IFERROR(J13*(scen_input_bau!J$70/scen_input_bau!I$70),0)</f>
        <v>27.106949187267666</v>
      </c>
      <c r="L13" s="449">
        <f>IFERROR(K13*(scen_input_bau!K$70/scen_input_bau!J$70),0)</f>
        <v>26.473631142304999</v>
      </c>
    </row>
    <row r="14" spans="1:12" x14ac:dyDescent="0.25">
      <c r="A14" s="2" t="s">
        <v>616</v>
      </c>
      <c r="B14" s="2" t="s">
        <v>711</v>
      </c>
      <c r="C14" s="2" t="s">
        <v>726</v>
      </c>
      <c r="D14" s="2" t="s">
        <v>284</v>
      </c>
      <c r="E14" s="449">
        <f>[17]x2015fuel_CZ!C14</f>
        <v>26.286215290000001</v>
      </c>
      <c r="F14" s="449">
        <f>IFERROR(E14*(scen_input_bau!E$70/scen_input_bau!D$70),0)</f>
        <v>30.838868548816258</v>
      </c>
      <c r="G14" s="449">
        <f>IFERROR(F14*(scen_input_bau!F$70/scen_input_bau!E$70),0)</f>
        <v>32.007434275108437</v>
      </c>
      <c r="H14" s="449">
        <f>IFERROR(G14*(scen_input_bau!G$70/scen_input_bau!F$70),0)</f>
        <v>34.947313980972773</v>
      </c>
      <c r="I14" s="449">
        <f>IFERROR(H14*(scen_input_bau!H$70/scen_input_bau!G$70),0)</f>
        <v>37.77154675654554</v>
      </c>
      <c r="J14" s="449">
        <f>IFERROR(I14*(scen_input_bau!I$70/scen_input_bau!H$70),0)</f>
        <v>36.93766505246181</v>
      </c>
      <c r="K14" s="449">
        <f>IFERROR(J14*(scen_input_bau!J$70/scen_input_bau!I$70),0)</f>
        <v>34.890569508250188</v>
      </c>
      <c r="L14" s="449">
        <f>IFERROR(K14*(scen_input_bau!K$70/scen_input_bau!J$70),0)</f>
        <v>34.075397460818962</v>
      </c>
    </row>
    <row r="15" spans="1:12" x14ac:dyDescent="0.25">
      <c r="A15" s="2" t="s">
        <v>616</v>
      </c>
      <c r="B15" s="2" t="s">
        <v>711</v>
      </c>
      <c r="C15" s="2" t="s">
        <v>727</v>
      </c>
      <c r="D15" s="2" t="s">
        <v>286</v>
      </c>
      <c r="E15" s="449">
        <f>[17]x2015fuel_CZ!C15</f>
        <v>125.8717551</v>
      </c>
      <c r="F15" s="449">
        <f>IFERROR(E15*(scen_input_bau!E$70/scen_input_bau!D$70),0)</f>
        <v>147.67217215231491</v>
      </c>
      <c r="G15" s="449">
        <f>IFERROR(F15*(scen_input_bau!F$70/scen_input_bau!E$70),0)</f>
        <v>153.26785860984995</v>
      </c>
      <c r="H15" s="449">
        <f>IFERROR(G15*(scen_input_bau!G$70/scen_input_bau!F$70),0)</f>
        <v>167.34549642409979</v>
      </c>
      <c r="I15" s="449">
        <f>IFERROR(H15*(scen_input_bau!H$70/scen_input_bau!G$70),0)</f>
        <v>180.86935797474027</v>
      </c>
      <c r="J15" s="449">
        <f>IFERROR(I15*(scen_input_bau!I$70/scen_input_bau!H$70),0)</f>
        <v>176.87630867187133</v>
      </c>
      <c r="K15" s="449">
        <f>IFERROR(J15*(scen_input_bau!J$70/scen_input_bau!I$70),0)</f>
        <v>167.07377505626437</v>
      </c>
      <c r="L15" s="449">
        <f>IFERROR(K15*(scen_input_bau!K$70/scen_input_bau!J$70),0)</f>
        <v>163.17031709601312</v>
      </c>
    </row>
    <row r="16" spans="1:12" x14ac:dyDescent="0.25">
      <c r="A16" s="2" t="s">
        <v>616</v>
      </c>
      <c r="B16" s="2" t="s">
        <v>711</v>
      </c>
      <c r="C16" s="2" t="s">
        <v>289</v>
      </c>
      <c r="D16" s="2" t="s">
        <v>288</v>
      </c>
      <c r="E16" s="449">
        <f>[17]x2015fuel_CZ!C16</f>
        <v>0</v>
      </c>
      <c r="F16" s="449">
        <f>IFERROR(E16*(scen_input_bau!E$70/scen_input_bau!D$70),0)</f>
        <v>0</v>
      </c>
      <c r="G16" s="449">
        <f>IFERROR(F16*(scen_input_bau!F$70/scen_input_bau!E$70),0)</f>
        <v>0</v>
      </c>
      <c r="H16" s="449">
        <f>IFERROR(G16*(scen_input_bau!G$70/scen_input_bau!F$70),0)</f>
        <v>0</v>
      </c>
      <c r="I16" s="449">
        <f>IFERROR(H16*(scen_input_bau!H$70/scen_input_bau!G$70),0)</f>
        <v>0</v>
      </c>
      <c r="J16" s="449">
        <f>IFERROR(I16*(scen_input_bau!I$70/scen_input_bau!H$70),0)</f>
        <v>0</v>
      </c>
      <c r="K16" s="449">
        <f>IFERROR(J16*(scen_input_bau!J$70/scen_input_bau!I$70),0)</f>
        <v>0</v>
      </c>
      <c r="L16" s="449">
        <f>IFERROR(K16*(scen_input_bau!K$70/scen_input_bau!J$70),0)</f>
        <v>0</v>
      </c>
    </row>
    <row r="17" spans="1:12" x14ac:dyDescent="0.25">
      <c r="A17" s="2" t="s">
        <v>616</v>
      </c>
      <c r="B17" s="2" t="s">
        <v>711</v>
      </c>
      <c r="C17" s="2" t="s">
        <v>291</v>
      </c>
      <c r="D17" s="2" t="s">
        <v>290</v>
      </c>
      <c r="E17" s="449">
        <f>[17]x2015fuel_CZ!C17</f>
        <v>0</v>
      </c>
      <c r="F17" s="449">
        <f>IFERROR(E17*(scen_input_bau!E$70/scen_input_bau!D$70),0)</f>
        <v>0</v>
      </c>
      <c r="G17" s="449">
        <f>IFERROR(F17*(scen_input_bau!F$70/scen_input_bau!E$70),0)</f>
        <v>0</v>
      </c>
      <c r="H17" s="449">
        <f>IFERROR(G17*(scen_input_bau!G$70/scen_input_bau!F$70),0)</f>
        <v>0</v>
      </c>
      <c r="I17" s="449">
        <f>IFERROR(H17*(scen_input_bau!H$70/scen_input_bau!G$70),0)</f>
        <v>0</v>
      </c>
      <c r="J17" s="449">
        <f>IFERROR(I17*(scen_input_bau!I$70/scen_input_bau!H$70),0)</f>
        <v>0</v>
      </c>
      <c r="K17" s="449">
        <f>IFERROR(J17*(scen_input_bau!J$70/scen_input_bau!I$70),0)</f>
        <v>0</v>
      </c>
      <c r="L17" s="449">
        <f>IFERROR(K17*(scen_input_bau!K$70/scen_input_bau!J$70),0)</f>
        <v>0</v>
      </c>
    </row>
    <row r="18" spans="1:12" x14ac:dyDescent="0.25">
      <c r="A18" s="2" t="s">
        <v>616</v>
      </c>
      <c r="B18" s="2" t="s">
        <v>711</v>
      </c>
      <c r="C18" s="2" t="s">
        <v>293</v>
      </c>
      <c r="D18" s="2" t="s">
        <v>292</v>
      </c>
      <c r="E18" s="449">
        <f>[17]x2015fuel_CZ!C18</f>
        <v>530.48695459999999</v>
      </c>
      <c r="F18" s="449">
        <f>IFERROR(E18*(scen_input_bau!E$70/scen_input_bau!D$70),0)</f>
        <v>622.36488894599086</v>
      </c>
      <c r="G18" s="449">
        <f>IFERROR(F18*(scen_input_bau!F$70/scen_input_bau!E$70),0)</f>
        <v>645.94792920308362</v>
      </c>
      <c r="H18" s="449">
        <f>IFERROR(G18*(scen_input_bau!G$70/scen_input_bau!F$70),0)</f>
        <v>705.27818328677517</v>
      </c>
      <c r="I18" s="449">
        <f>IFERROR(H18*(scen_input_bau!H$70/scen_input_bau!G$70),0)</f>
        <v>762.27454535967763</v>
      </c>
      <c r="J18" s="449">
        <f>IFERROR(I18*(scen_input_bau!I$70/scen_input_bau!H$70),0)</f>
        <v>745.44582502791036</v>
      </c>
      <c r="K18" s="449">
        <f>IFERROR(J18*(scen_input_bau!J$70/scen_input_bau!I$70),0)</f>
        <v>704.13301262630216</v>
      </c>
      <c r="L18" s="449">
        <f>IFERROR(K18*(scen_input_bau!K$70/scen_input_bau!J$70),0)</f>
        <v>687.68187532311845</v>
      </c>
    </row>
    <row r="19" spans="1:12" x14ac:dyDescent="0.25">
      <c r="A19" s="2" t="s">
        <v>616</v>
      </c>
      <c r="B19" s="2" t="s">
        <v>711</v>
      </c>
      <c r="C19" s="2" t="s">
        <v>295</v>
      </c>
      <c r="D19" s="2" t="s">
        <v>294</v>
      </c>
      <c r="E19" s="449">
        <f>[17]x2015fuel_CZ!C19</f>
        <v>92.581594899999999</v>
      </c>
      <c r="F19" s="449">
        <f>IFERROR(E19*(scen_input_bau!E$70/scen_input_bau!D$70),0)</f>
        <v>108.61630720368561</v>
      </c>
      <c r="G19" s="449">
        <f>IFERROR(F19*(scen_input_bau!F$70/scen_input_bau!E$70),0)</f>
        <v>112.73206435974772</v>
      </c>
      <c r="H19" s="449">
        <f>IFERROR(G19*(scen_input_bau!G$70/scen_input_bau!F$70),0)</f>
        <v>123.08649343903049</v>
      </c>
      <c r="I19" s="449">
        <f>IFERROR(H19*(scen_input_bau!H$70/scen_input_bau!G$70),0)</f>
        <v>133.03360723410208</v>
      </c>
      <c r="J19" s="449">
        <f>IFERROR(I19*(scen_input_bau!I$70/scen_input_bau!H$70),0)</f>
        <v>130.0966268711903</v>
      </c>
      <c r="K19" s="449">
        <f>IFERROR(J19*(scen_input_bau!J$70/scen_input_bau!I$70),0)</f>
        <v>122.88663607164391</v>
      </c>
      <c r="L19" s="449">
        <f>IFERROR(K19*(scen_input_bau!K$70/scen_input_bau!J$70),0)</f>
        <v>120.01555221889193</v>
      </c>
    </row>
    <row r="20" spans="1:12" x14ac:dyDescent="0.25">
      <c r="A20" s="2" t="s">
        <v>616</v>
      </c>
      <c r="B20" s="2" t="s">
        <v>711</v>
      </c>
      <c r="C20" s="2" t="s">
        <v>297</v>
      </c>
      <c r="D20" s="2" t="s">
        <v>296</v>
      </c>
      <c r="E20" s="449">
        <f>[17]x2015fuel_CZ!C20</f>
        <v>0</v>
      </c>
      <c r="F20" s="449">
        <f>IFERROR(E20*(scen_input_bau!E$70/scen_input_bau!D$70),0)</f>
        <v>0</v>
      </c>
      <c r="G20" s="449">
        <f>IFERROR(F20*(scen_input_bau!F$70/scen_input_bau!E$70),0)</f>
        <v>0</v>
      </c>
      <c r="H20" s="449">
        <f>IFERROR(G20*(scen_input_bau!G$70/scen_input_bau!F$70),0)</f>
        <v>0</v>
      </c>
      <c r="I20" s="449">
        <f>IFERROR(H20*(scen_input_bau!H$70/scen_input_bau!G$70),0)</f>
        <v>0</v>
      </c>
      <c r="J20" s="449">
        <f>IFERROR(I20*(scen_input_bau!I$70/scen_input_bau!H$70),0)</f>
        <v>0</v>
      </c>
      <c r="K20" s="449">
        <f>IFERROR(J20*(scen_input_bau!J$70/scen_input_bau!I$70),0)</f>
        <v>0</v>
      </c>
      <c r="L20" s="449">
        <f>IFERROR(K20*(scen_input_bau!K$70/scen_input_bau!J$70),0)</f>
        <v>0</v>
      </c>
    </row>
  </sheetData>
  <pageMargins left="0.7" right="0.7" top="0.78740157499999996" bottom="0.78740157499999996"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37</vt:i4>
      </vt:variant>
    </vt:vector>
  </HeadingPairs>
  <TitlesOfParts>
    <vt:vector size="37" baseType="lpstr">
      <vt:lpstr>decarb_sources</vt:lpstr>
      <vt:lpstr>decarb_industries</vt:lpstr>
      <vt:lpstr>lifespan_sources</vt:lpstr>
      <vt:lpstr>lifespan</vt:lpstr>
      <vt:lpstr>labcap_sources</vt:lpstr>
      <vt:lpstr>labcap_calc</vt:lpstr>
      <vt:lpstr>opex_sources</vt:lpstr>
      <vt:lpstr>opex_concordance</vt:lpstr>
      <vt:lpstr>opex_orig</vt:lpstr>
      <vt:lpstr>opex_det</vt:lpstr>
      <vt:lpstr>opex_det_2015</vt:lpstr>
      <vt:lpstr>opex_det_2030</vt:lpstr>
      <vt:lpstr>opex_det_2050</vt:lpstr>
      <vt:lpstr>capex_sources</vt:lpstr>
      <vt:lpstr>capex_concordance</vt:lpstr>
      <vt:lpstr>capex_det</vt:lpstr>
      <vt:lpstr>scen_input_electro_hydro</vt:lpstr>
      <vt:lpstr>scen_input_ccs</vt:lpstr>
      <vt:lpstr>scen_input_circular</vt:lpstr>
      <vt:lpstr>scen_input_bau</vt:lpstr>
      <vt:lpstr>cost_projections</vt:lpstr>
      <vt:lpstr>scen_pct_electro_hydro</vt:lpstr>
      <vt:lpstr>scen_pct_ccs</vt:lpstr>
      <vt:lpstr>scen_pct_circular</vt:lpstr>
      <vt:lpstr>scen_pct_bau</vt:lpstr>
      <vt:lpstr>scen_GFCF</vt:lpstr>
      <vt:lpstr>el_capacity</vt:lpstr>
      <vt:lpstr>el_generation</vt:lpstr>
      <vt:lpstr>el_replacements</vt:lpstr>
      <vt:lpstr>scen_electro_hydro</vt:lpstr>
      <vt:lpstr>scen_ccs</vt:lpstr>
      <vt:lpstr>scen_circular</vt:lpstr>
      <vt:lpstr>scen_bau</vt:lpstr>
      <vt:lpstr>fuels_electro_hydro</vt:lpstr>
      <vt:lpstr>fuels_ccs</vt:lpstr>
      <vt:lpstr>fuels_circular</vt:lpstr>
      <vt:lpstr>fuels_bau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Cerny</dc:creator>
  <cp:lastModifiedBy>Cerny</cp:lastModifiedBy>
  <dcterms:created xsi:type="dcterms:W3CDTF">2020-11-30T22:39:46Z</dcterms:created>
  <dcterms:modified xsi:type="dcterms:W3CDTF">2022-10-03T13:54:00Z</dcterms:modified>
</cp:coreProperties>
</file>